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5.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6.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7.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8.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9.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10.xml" ContentType="application/vnd.openxmlformats-officedocument.drawing+xml"/>
  <Override PartName="/xl/ctrlProps/ctrlProp72.xml" ContentType="application/vnd.ms-excel.controlproperties+xml"/>
  <Override PartName="/xl/drawings/drawing11.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12.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13.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omments2.xml" ContentType="application/vnd.openxmlformats-officedocument.spreadsheetml.comments+xml"/>
  <Override PartName="/xl/drawings/drawing14.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drawings/drawing15.xml" ContentType="application/vnd.openxmlformats-officedocument.drawing+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omments3.xml" ContentType="application/vnd.openxmlformats-officedocument.spreadsheetml.comments+xml"/>
  <Override PartName="/xl/drawings/drawing16.xml" ContentType="application/vnd.openxmlformats-officedocument.drawing+xml"/>
  <Override PartName="/xl/ctrlProps/ctrlProp99.xml" ContentType="application/vnd.ms-excel.controlproperties+xml"/>
  <Override PartName="/xl/ctrlProps/ctrlProp100.xml" ContentType="application/vnd.ms-excel.controlproperties+xml"/>
  <Override PartName="/xl/comments4.xml" ContentType="application/vnd.openxmlformats-officedocument.spreadsheetml.comments+xml"/>
  <Override PartName="/xl/drawings/drawing17.xml" ContentType="application/vnd.openxmlformats-officedocument.drawing+xml"/>
  <Override PartName="/xl/ctrlProps/ctrlProp101.xml" ContentType="application/vnd.ms-excel.controlproperties+xml"/>
  <Override PartName="/xl/ctrlProps/ctrlProp102.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2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2.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omments5.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BC58C6B1-8752-B0C3-C2C4-DFD462C6FBCC}"/>
  <workbookPr showInkAnnotation="0" updateLinks="never" codeName="ThisWorkbook" autoCompressPictures="0"/>
  <mc:AlternateContent xmlns:mc="http://schemas.openxmlformats.org/markup-compatibility/2006">
    <mc:Choice Requires="x15">
      <x15ac:absPath xmlns:x15ac="http://schemas.microsoft.com/office/spreadsheetml/2010/11/ac" url="C:\Users\mikieffer\Dropbox (USGBC)\LEED\LEED\Technical Development\LEED v4.1\Form &amp; Calculator Updates\EA\"/>
    </mc:Choice>
  </mc:AlternateContent>
  <xr:revisionPtr revIDLastSave="0" documentId="13_ncr:1_{1752DCAD-90D5-413E-A2A8-248940BA6A7E}" xr6:coauthVersionLast="47" xr6:coauthVersionMax="47" xr10:uidLastSave="{00000000-0000-0000-0000-000000000000}"/>
  <workbookProtection workbookAlgorithmName="SHA-512" workbookHashValue="xFKShPOaMcjODslBrtdp6gI6FW7s9xTVPmj2EUlGL+IfVq7xUB6hRiiKs75UcLjZTS6Myl+ImxrLPZNWjBQTSw==" workbookSaltValue="UuI/5uHCvgTBOoYgunrt2g==" workbookSpinCount="100000" lockStructure="1"/>
  <bookViews>
    <workbookView xWindow="-108" yWindow="-108" windowWidth="23256" windowHeight="12576" tabRatio="830" firstSheet="1" activeTab="1" xr2:uid="{00000000-000D-0000-FFFF-FFFF00000000}"/>
  </bookViews>
  <sheets>
    <sheet name="Performance_Outputs_0" sheetId="38" state="hidden" r:id="rId1"/>
    <sheet name="Instructions" sheetId="54" r:id="rId2"/>
    <sheet name="Definitions" sheetId="30" state="hidden" r:id="rId3"/>
    <sheet name="General Information" sheetId="2" r:id="rId4"/>
    <sheet name="1 - Multiple Buildings Details" sheetId="3" state="hidden" r:id="rId5"/>
    <sheet name="BPF 2016" sheetId="50" state="hidden" r:id="rId6"/>
    <sheet name="2a - Schedules" sheetId="5" r:id="rId7"/>
    <sheet name="2b - EFLH Calculator" sheetId="29" r:id="rId8"/>
    <sheet name="3 - Multifamily Details" sheetId="4" r:id="rId9"/>
    <sheet name="4 - Shading and Fenestration" sheetId="8" r:id="rId10"/>
    <sheet name="5 - Opaque Assemblies" sheetId="7" r:id="rId11"/>
    <sheet name="Envelope Assumptions" sheetId="9" state="hidden" r:id="rId12"/>
    <sheet name="Envelope Lookup 90.1-2007" sheetId="62" state="hidden" r:id="rId13"/>
    <sheet name="Envelope Lookup 90.1-2013" sheetId="41" state="hidden" r:id="rId14"/>
    <sheet name="Envelope Lookup 90.1-2010" sheetId="44" state="hidden" r:id="rId15"/>
    <sheet name="6a - Lighting Counts" sheetId="33" r:id="rId16"/>
    <sheet name="6b - General Lighting" sheetId="10" r:id="rId17"/>
    <sheet name="Lighting Assumptions" sheetId="11" state="hidden" r:id="rId18"/>
    <sheet name="Lighting Assumptions 90.1-2007" sheetId="63" state="hidden" r:id="rId19"/>
    <sheet name="Lighting Assumptions 90.1-2013" sheetId="42" state="hidden" r:id="rId20"/>
    <sheet name="Lighting Assumptions 90.1-2010" sheetId="45" state="hidden" r:id="rId21"/>
    <sheet name="Lighting Assumptions 90.1-2016" sheetId="75" state="hidden" r:id="rId22"/>
    <sheet name="7 - Process Loads" sheetId="12" r:id="rId23"/>
    <sheet name="8 - Service Water Heating" sheetId="13" r:id="rId24"/>
    <sheet name="SWH Lookup" sheetId="49" state="hidden" r:id="rId25"/>
    <sheet name="9 - General HVAC" sheetId="14" r:id="rId26"/>
    <sheet name="10a - Baseline Air-Side HVAC" sheetId="15" r:id="rId27"/>
    <sheet name="10b - Proposed Air-Side HVAC" sheetId="70" r:id="rId28"/>
    <sheet name="11 - Water-Side HVAC" sheetId="16" r:id="rId29"/>
    <sheet name="P4P - LEED Inputs" sheetId="71" state="hidden" r:id="rId30"/>
    <sheet name="Results from eQuest" sheetId="36" r:id="rId31"/>
    <sheet name="ECM" sheetId="58" state="hidden" r:id="rId32"/>
    <sheet name="Detailed Measures" sheetId="59" r:id="rId33"/>
    <sheet name="Results from Trace" sheetId="35" state="hidden" r:id="rId34"/>
    <sheet name="12 - Performance_Outputs_1" sheetId="22" r:id="rId35"/>
    <sheet name="13 - Conversion Tool " sheetId="79" r:id="rId36"/>
    <sheet name="90.1-2004 Site EUI" sheetId="67" state="hidden" r:id="rId37"/>
    <sheet name="90.1-2013 Site EUI" sheetId="69" state="hidden" r:id="rId38"/>
    <sheet name="Points_v4.1" sheetId="76" r:id="rId39"/>
    <sheet name="Points_v4PilotACP_GHG+Cost" sheetId="77" r:id="rId40"/>
    <sheet name="Points_v4PilotACP_Cost" sheetId="78" r:id="rId41"/>
    <sheet name="Revision Notes" sheetId="56" state="hidden" r:id="rId42"/>
    <sheet name="Quality Assurance Checks" sheetId="51" r:id="rId43"/>
    <sheet name="Performance_Outputs_0 old" sheetId="26" state="hidden" r:id="rId44"/>
    <sheet name="Performance_Outputs_Summary" sheetId="27" state="hidden" r:id="rId45"/>
    <sheet name="BPF 2013BM" sheetId="53" state="hidden" r:id="rId46"/>
    <sheet name="BPF 2007" sheetId="55" state="hidden" r:id="rId47"/>
    <sheet name="BPF 2010" sheetId="47" state="hidden" r:id="rId48"/>
    <sheet name="BPF 2013" sheetId="48" state="hidden" r:id="rId49"/>
    <sheet name="Summary" sheetId="18" r:id="rId50"/>
    <sheet name="Revision Log" sheetId="40" state="hidden" r:id="rId51"/>
    <sheet name="GHG_EF" sheetId="74" state="hidden" r:id="rId52"/>
    <sheet name="Version Update Checklist" sheetId="65" state="hidden" r:id="rId53"/>
    <sheet name="Rating System Descriptions" sheetId="73" state="hidden" r:id="rId54"/>
    <sheet name="HVAC Lookup" sheetId="21" state="hidden" r:id="rId55"/>
    <sheet name="DropdownData" sheetId="19" state="hidden" r:id="rId56"/>
    <sheet name="HVAC Lookup 90.1-2007" sheetId="64" state="hidden" r:id="rId57"/>
    <sheet name="HVAC Lookup 90.1-2013" sheetId="43" state="hidden" r:id="rId58"/>
    <sheet name="HVAC Lookup 90.1-2010" sheetId="46" state="hidden" r:id="rId59"/>
    <sheet name="District Energy Path 3" sheetId="23" state="hidden" r:id="rId60"/>
  </sheets>
  <externalReferences>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s>
  <definedNames>
    <definedName name="_xlnm._FilterDatabase" localSheetId="15" hidden="1">'6a - Lighting Counts'!$E$20:$E$551</definedName>
    <definedName name="_Toc504031257" localSheetId="42">'Quality Assurance Checks'!$DN$1</definedName>
    <definedName name="AddG" localSheetId="37">'4 - Shading and Fenestration'!#REF!</definedName>
    <definedName name="AddG">'4 - Shading and Fenestration'!$40:$40</definedName>
    <definedName name="AddPowAnchor">'6b - General Lighting'!$85:$85</definedName>
    <definedName name="AHVAC_Base_CoolingCap" localSheetId="32">'[1]Air-Side HVAC'!$K$19:$Z$19</definedName>
    <definedName name="AHVAC_Base_CoolingCap" localSheetId="1">'10a - Baseline Air-Side HVAC'!$I$14:$N$14</definedName>
    <definedName name="AHVAC_Base_CoolingCap" localSheetId="53">'[2]10a - Baseline Air-Side HVAC'!$I$14:$N$14</definedName>
    <definedName name="AHVAC_Base_CoolingCap" localSheetId="33">'[3]Air-Side HVAC'!$J$17:$J$17</definedName>
    <definedName name="AHVAC_Base_CoolingCap">'10a - Baseline Air-Side HVAC'!$I$14:$N$14</definedName>
    <definedName name="AHVAC_Base_FanFlow" localSheetId="32">'[1]Air-Side HVAC'!$K$28:$Z$28</definedName>
    <definedName name="AHVAC_Base_FanFlow" localSheetId="1">'10a - Baseline Air-Side HVAC'!$I$24:$N$24</definedName>
    <definedName name="AHVAC_Base_FanFlow" localSheetId="53">'[2]10a - Baseline Air-Side HVAC'!$I$23:$N$23</definedName>
    <definedName name="AHVAC_Base_FanFlow" localSheetId="33">'[3]Air-Side HVAC'!$J$25:$J$25</definedName>
    <definedName name="AHVAC_Base_FanFlow">'10a - Baseline Air-Side HVAC'!$I$24:$N$24</definedName>
    <definedName name="AHVAC_Base_FanPower" localSheetId="32">'[1]Air-Side HVAC'!$K$39:$Z$39</definedName>
    <definedName name="AHVAC_Base_FanPower" localSheetId="1">'10a - Baseline Air-Side HVAC'!$I$35:$N$35</definedName>
    <definedName name="AHVAC_Base_FanPower" localSheetId="53">'[2]10a - Baseline Air-Side HVAC'!$I$34:$N$34</definedName>
    <definedName name="AHVAC_Base_FanPower" localSheetId="33">'[3]Air-Side HVAC'!$J$36:$J$36</definedName>
    <definedName name="AHVAC_Base_FanPower">'10a - Baseline Air-Side HVAC'!$I$35:$N$35</definedName>
    <definedName name="AHVAC_Base_HeatingCap" localSheetId="32">'[1]Air-Side HVAC'!$K$24:$Z$24</definedName>
    <definedName name="AHVAC_Base_HeatingCap" localSheetId="1">'10a - Baseline Air-Side HVAC'!$I$19:$N$19</definedName>
    <definedName name="AHVAC_Base_HeatingCap" localSheetId="53">'[2]10a - Baseline Air-Side HVAC'!$I$19:$N$19</definedName>
    <definedName name="AHVAC_Base_HeatingCap" localSheetId="33">'[3]Air-Side HVAC'!$J$21:$J$21</definedName>
    <definedName name="AHVAC_Base_HeatingCap">'10a - Baseline Air-Side HVAC'!$I$19:$N$19</definedName>
    <definedName name="AHVAC_Base_ID" localSheetId="32">'[1]Air-Side HVAC'!$K$12:$Z$12</definedName>
    <definedName name="AHVAC_Base_ID" localSheetId="1">'10a - Baseline Air-Side HVAC'!$I$10:$N$10</definedName>
    <definedName name="AHVAC_Base_ID" localSheetId="53">'[2]10a - Baseline Air-Side HVAC'!$I$10:$N$10</definedName>
    <definedName name="AHVAC_Base_ID" localSheetId="33">'[3]Air-Side HVAC'!$J$10:$J$10</definedName>
    <definedName name="AHVAC_Base_ID">'10a - Baseline Air-Side HVAC'!$I$10:$N$10</definedName>
    <definedName name="AHVAC_Base_OAFlow" localSheetId="32">'[1]Air-Side HVAC'!$K$29:$Z$29</definedName>
    <definedName name="AHVAC_Base_OAFlow" localSheetId="1">'10a - Baseline Air-Side HVAC'!$I$25:$N$25</definedName>
    <definedName name="AHVAC_Base_OAFlow" localSheetId="53">'[2]10a - Baseline Air-Side HVAC'!$I$24:$N$24</definedName>
    <definedName name="AHVAC_Base_OAFlow" localSheetId="33">'[3]Air-Side HVAC'!$J$26:$J$26</definedName>
    <definedName name="AHVAC_Base_OAFlow">'10a - Baseline Air-Side HVAC'!$I$25:$N$25</definedName>
    <definedName name="AHVAC_BaseSystemList" localSheetId="37">'10a - Baseline Air-Side HVAC'!$AN$11,'10a - Baseline Air-Side HVAC'!#REF!</definedName>
    <definedName name="AHVAC_BaseSystemList" localSheetId="46">'10a - Baseline Air-Side HVAC'!$AN$11,'10a - Baseline Air-Side HVAC'!#REF!</definedName>
    <definedName name="AHVAC_BaseSystemList" localSheetId="32">'10a - Baseline Air-Side HVAC'!$I$11</definedName>
    <definedName name="AHVAC_BaseSystemList" localSheetId="12">'10a - Baseline Air-Side HVAC'!$AN$11,'10a - Baseline Air-Side HVAC'!#REF!</definedName>
    <definedName name="AHVAC_BaseSystemList" localSheetId="56">'10a - Baseline Air-Side HVAC'!$AN$11,'10a - Baseline Air-Side HVAC'!#REF!</definedName>
    <definedName name="AHVAC_BaseSystemList" localSheetId="1">'10a - Baseline Air-Side HVAC'!$I$11</definedName>
    <definedName name="AHVAC_BaseSystemList" localSheetId="18">'10a - Baseline Air-Side HVAC'!$AN$11,'10a - Baseline Air-Side HVAC'!#REF!</definedName>
    <definedName name="AHVAC_BaseSystemList" localSheetId="21">'10a - Baseline Air-Side HVAC'!$AN$11,'10a - Baseline Air-Side HVAC'!#REF!</definedName>
    <definedName name="AHVAC_BaseSystemList" localSheetId="53">'[2]10a - Baseline Air-Side HVAC'!$AR$11,'[2]10a - Baseline Air-Side HVAC'!#REF!</definedName>
    <definedName name="AHVAC_BaseSystemList" localSheetId="33">'[3]Air-Side HVAC'!$AC$12,'[3]Air-Side HVAC'!$K$12</definedName>
    <definedName name="AHVAC_BaseSystemList">'10a - Baseline Air-Side HVAC'!$AN$11,'10a - Baseline Air-Side HVAC'!#REF!</definedName>
    <definedName name="AHVAC_Design_CoolingCap" localSheetId="32">'[1]Air-Side HVAC'!$AA$19:$AP$19</definedName>
    <definedName name="AHVAC_Design_CoolingCap" localSheetId="1">'10b - Proposed Air-Side HVAC'!$D$14</definedName>
    <definedName name="AHVAC_Design_CoolingCap" localSheetId="53">'[2]10b - Proposed Air-Side HVAC'!$D$14</definedName>
    <definedName name="AHVAC_Design_CoolingCap" localSheetId="33">'[3]Air-Side HVAC'!$L$17:$N$17</definedName>
    <definedName name="AHVAC_Design_CoolingCap">'10b - Proposed Air-Side HVAC'!$D$14</definedName>
    <definedName name="AHVAC_Design_FanFlow" localSheetId="32">'10b - Proposed Air-Side HVAC'!$D$33</definedName>
    <definedName name="AHVAC_Design_FanFlow" localSheetId="1">'10b - Proposed Air-Side HVAC'!$D$22</definedName>
    <definedName name="AHVAC_Design_FanFlow" localSheetId="53">'[2]10b - Proposed Air-Side HVAC'!$D$22</definedName>
    <definedName name="AHVAC_Design_FanFlow" localSheetId="33">'[3]Air-Side HVAC'!$L$25:$N$25</definedName>
    <definedName name="AHVAC_Design_FanFlow">'10b - Proposed Air-Side HVAC'!$D$22</definedName>
    <definedName name="AHVAC_Design_FanPower" localSheetId="32">'[1]Air-Side HVAC'!$AA$38:$AP$38</definedName>
    <definedName name="AHVAC_Design_FanPower" localSheetId="1">'10b - Proposed Air-Side HVAC'!$D$33</definedName>
    <definedName name="AHVAC_Design_FanPower" localSheetId="53">'[2]10b - Proposed Air-Side HVAC'!$D$33</definedName>
    <definedName name="AHVAC_Design_FanPower" localSheetId="33">'[3]Air-Side HVAC'!$L$35:$N$35</definedName>
    <definedName name="AHVAC_Design_FanPower">'10b - Proposed Air-Side HVAC'!$D$33</definedName>
    <definedName name="AHVAC_Design_HeatingCap" localSheetId="32">'10b - Proposed Air-Side HVAC'!$D$18</definedName>
    <definedName name="AHVAC_Design_HeatingCap" localSheetId="1">'10b - Proposed Air-Side HVAC'!$D$18</definedName>
    <definedName name="AHVAC_Design_HeatingCap" localSheetId="53">'[2]10b - Proposed Air-Side HVAC'!$D$18</definedName>
    <definedName name="AHVAC_Design_HeatingCap" localSheetId="33">'[3]Air-Side HVAC'!$L$21:$N$21</definedName>
    <definedName name="AHVAC_Design_HeatingCap">'10b - Proposed Air-Side HVAC'!$D$18</definedName>
    <definedName name="AHVAC_Design_ID" localSheetId="32">'[1]Air-Side HVAC'!$AA$12:$AP$12</definedName>
    <definedName name="AHVAC_Design_ID" localSheetId="1">'10b - Proposed Air-Side HVAC'!$I$10</definedName>
    <definedName name="AHVAC_Design_ID" localSheetId="53">'[2]10b - Proposed Air-Side HVAC'!$I$10</definedName>
    <definedName name="AHVAC_Design_ID" localSheetId="33">'[3]Air-Side HVAC'!$L$10:$N$10</definedName>
    <definedName name="AHVAC_Design_ID">'10b - Proposed Air-Side HVAC'!$I$10</definedName>
    <definedName name="AHVAC_Design_OAFlow" localSheetId="32">'[1]Air-Side HVAC'!$AA$29:$AP$29</definedName>
    <definedName name="AHVAC_Design_OAFlow" localSheetId="1">'10b - Proposed Air-Side HVAC'!$D$23</definedName>
    <definedName name="AHVAC_Design_OAFlow" localSheetId="53">'[2]10b - Proposed Air-Side HVAC'!$D$23</definedName>
    <definedName name="AHVAC_Design_OAFlow" localSheetId="33">'[3]Air-Side HVAC'!$L$26:$N$26</definedName>
    <definedName name="AHVAC_Design_OAFlow">'10b - Proposed Air-Side HVAC'!$D$23</definedName>
    <definedName name="AirsideHide">'10a - Baseline Air-Side HVAC'!$AO:$AQ</definedName>
    <definedName name="All_Sys">DropdownData!$EC$3:$EC$15</definedName>
    <definedName name="AreaPropEqualsBase">'6a - Lighting Counts'!$CX$28</definedName>
    <definedName name="AreaUnits">DropdownData!$O$2:$O$3</definedName>
    <definedName name="AshraeClimate" localSheetId="32">DropdownData!$AX$2:$AX$18</definedName>
    <definedName name="AshraeClimate" localSheetId="1">DropdownData!$AV$2:$AV$18</definedName>
    <definedName name="AshraeClimate" localSheetId="53">[2]DropdownData!$AV$2:$AV$19</definedName>
    <definedName name="AshraeClimate" localSheetId="33">[3]DropdownData!$AX$2:$AX$19</definedName>
    <definedName name="AshraeClimate">DropdownData!$AV$2:$AV$18</definedName>
    <definedName name="AshraeCZ" localSheetId="55">DropdownData!$AV$2:$AV$18</definedName>
    <definedName name="AshraeCZ" localSheetId="12">'Envelope Lookup 90.1-2007'!$A$3:$A$21</definedName>
    <definedName name="AshraeCZ" localSheetId="14">'Envelope Lookup 90.1-2010'!$A$3:$A$21</definedName>
    <definedName name="AshraeCZ">'Envelope Lookup 90.1-2013'!$A$3:$A$21</definedName>
    <definedName name="ASHRAEversion" localSheetId="32">DropdownData!$AS$2:$AS$4</definedName>
    <definedName name="ASHRAEversion" localSheetId="1">DropdownData!$AQ$2:$AQ$4</definedName>
    <definedName name="ASHRAEversion" localSheetId="53">[2]DropdownData!$AQ$2:$AQ$4</definedName>
    <definedName name="ASHRAEversion">DropdownData!$AQ$2:$AQ$4</definedName>
    <definedName name="ASHVAC_Base_System" localSheetId="37">'10a - Baseline Air-Side HVAC'!#REF!</definedName>
    <definedName name="ASHVAC_Base_System" localSheetId="46">'10a - Baseline Air-Side HVAC'!#REF!</definedName>
    <definedName name="ASHVAC_Base_System" localSheetId="12">'10a - Baseline Air-Side HVAC'!#REF!</definedName>
    <definedName name="ASHVAC_Base_System" localSheetId="56">'10a - Baseline Air-Side HVAC'!#REF!</definedName>
    <definedName name="ASHVAC_Base_System" localSheetId="18">'10a - Baseline Air-Side HVAC'!#REF!</definedName>
    <definedName name="ASHVAC_Proposed_System" localSheetId="37">'10a - Baseline Air-Side HVAC'!#REF!</definedName>
    <definedName name="ASHVAC_Proposed_System" localSheetId="46">'10a - Baseline Air-Side HVAC'!#REF!</definedName>
    <definedName name="ASHVAC_Proposed_System" localSheetId="12">'10a - Baseline Air-Side HVAC'!#REF!</definedName>
    <definedName name="ASHVAC_Proposed_System" localSheetId="56">'10a - Baseline Air-Side HVAC'!#REF!</definedName>
    <definedName name="ASHVAC_Proposed_System" localSheetId="18">'10a - Baseline Air-Side HVAC'!#REF!</definedName>
    <definedName name="Avg_Bedroom_Area" localSheetId="32">'[4]Multifamily Details'!$U$17</definedName>
    <definedName name="Avg_Bedroom_Area" localSheetId="1">'3 - Multifamily Details'!$U$18</definedName>
    <definedName name="Avg_Bedroom_Area" localSheetId="53">'[2]3 - Multifamily Details'!$U$17</definedName>
    <definedName name="Avg_Bedroom_Area" localSheetId="33">'[3]Multifamily Details'!$U$17</definedName>
    <definedName name="Avg_Bedroom_Area">'3 - Multifamily Details'!$U$17</definedName>
    <definedName name="Avg_Bedrooms" localSheetId="32">'[4]Multifamily Details'!$U$16</definedName>
    <definedName name="Avg_Bedrooms" localSheetId="1">'3 - Multifamily Details'!$U$17</definedName>
    <definedName name="Avg_Bedrooms" localSheetId="53">'[2]3 - Multifamily Details'!$U$16</definedName>
    <definedName name="Avg_Bedrooms" localSheetId="33">'[3]Multifamily Details'!$U$16</definedName>
    <definedName name="Avg_Bedrooms">'3 - Multifamily Details'!$U$16</definedName>
    <definedName name="BAequipTable">'7 - Process Loads'!$18:$33</definedName>
    <definedName name="BAManchor">'6b - General Lighting'!$36:$36</definedName>
    <definedName name="BAMCategories" localSheetId="32">'Lighting Assumptions'!$D$3:$D$34</definedName>
    <definedName name="BAMCategories" localSheetId="12">'[5]Lighting Lookup'!$A$2:$A$33</definedName>
    <definedName name="BAMCategories" localSheetId="14">'[5]Lighting Lookup'!$A$2:$A$33</definedName>
    <definedName name="BAMCategories" localSheetId="13">'[5]Lighting Lookup'!$A$2:$A$33</definedName>
    <definedName name="BAMCategories" localSheetId="1">'[6]Lighting Lookup'!$A$2:$A$33</definedName>
    <definedName name="BAMCategories" localSheetId="18">'Lighting Assumptions 90.1-2007'!$D$3:$D$34</definedName>
    <definedName name="BAMCategories" localSheetId="20">'Lighting Assumptions 90.1-2010'!$D$3:$D$35</definedName>
    <definedName name="BAMCategories" localSheetId="19">'Lighting Assumptions 90.1-2013'!$D$3:$D$34</definedName>
    <definedName name="BAMCategories" localSheetId="21">'Lighting Assumptions 90.1-2016'!$D$3:$D$35</definedName>
    <definedName name="BAMCategories" localSheetId="53">'[2]Lighting Assumptions'!$D$3:$D$34</definedName>
    <definedName name="BAMCategories" localSheetId="33">'[3]Lighting Assumptions'!$D$3:$D$34</definedName>
    <definedName name="BAMCategories" localSheetId="50">'[6]Lighting Lookup'!$A$2:$A$33</definedName>
    <definedName name="BAMCategories">'Lighting Assumptions'!$D$3:$D$35</definedName>
    <definedName name="BaselineAnchor">'10a - Baseline Air-Side HVAC'!$S:$S</definedName>
    <definedName name="BaselineHVACModeled" localSheetId="12">'[5]6 - General HVAC'!$C$27:$C$34</definedName>
    <definedName name="BaselineHVACModeled" localSheetId="14">'[5]6 - General HVAC'!$C$27:$C$34</definedName>
    <definedName name="BaselineHVACModeled" localSheetId="13">'[5]6 - General HVAC'!$C$27:$C$34</definedName>
    <definedName name="BaselineHVACModeled" localSheetId="1">'[7]6 - General HVAC'!$C$27:$C$34</definedName>
    <definedName name="BaselineHVACModeled" localSheetId="50">'[7]6 - General HVAC'!$C$27:$C$34</definedName>
    <definedName name="BaselineHVACModeled">'9 - General HVAC'!$D$30:$D$33</definedName>
    <definedName name="BaselineHVACSystems" localSheetId="32">OFFSET('[8]HVAC Lookup'!$H$10,0,0,COUNTIF('[8]HVAC Lookup'!$H$10:$H$35,"&gt;*"),1)</definedName>
    <definedName name="BaselineHVACSystems" localSheetId="56">OFFSET('HVAC Lookup 90.1-2007'!$H$10,0,0,COUNTIF('HVAC Lookup 90.1-2007'!$H$10:$H$35,"&gt;*"),1)</definedName>
    <definedName name="BaselineHVACSystems" localSheetId="58">OFFSET('HVAC Lookup 90.1-2010'!$H$10,0,0,COUNTIF('HVAC Lookup 90.1-2010'!$H$10:$H$35,"&gt;*"),1)</definedName>
    <definedName name="BaselineHVACSystems" localSheetId="57">OFFSET('HVAC Lookup 90.1-2013'!$H$10,0,0,COUNTIF('HVAC Lookup 90.1-2013'!$H$10:$H$35,"&gt;*"),1)</definedName>
    <definedName name="BaselineHVACSystems" localSheetId="1">OFFSET('[9]HVAC Lookup'!$H$10,0,0,COUNTIF('[9]HVAC Lookup'!$H$10:$H$35,"&gt;*"),1)</definedName>
    <definedName name="BaselineHVACSystems" localSheetId="53">OFFSET('[2]HVAC Lookup'!$H$10,0,0,COUNTIF('[2]HVAC Lookup'!$H$10:$H$35,"&gt;*"),1)</definedName>
    <definedName name="BaselineHVACSystems" localSheetId="30">OFFSET('[3]HVAC Lookup'!$H$10,0,0,COUNTIF('[3]HVAC Lookup'!$H$10:$H$35,"&gt;*"),1)</definedName>
    <definedName name="BaselineHVACSystems" localSheetId="33">OFFSET('[3]HVAC Lookup'!$H$10,0,0,COUNTIF('[3]HVAC Lookup'!$H$10:$H$35,"&gt;*"),1)</definedName>
    <definedName name="BaselineHVACSystems">OFFSET('HVAC Lookup'!$H$10,0,0,COUNTIF('HVAC Lookup'!$H$10:$H$35,"&gt;*"),1)</definedName>
    <definedName name="BaselineOrientationExemptions" localSheetId="32">DropdownData!$CU$2:$CU$5</definedName>
    <definedName name="BaselineOrientationExemptions" localSheetId="1">DropdownData!$CQ$2:$CQ$5</definedName>
    <definedName name="BaselineOrientationExemptions" localSheetId="53">[2]DropdownData!$CS$2:$CS$5</definedName>
    <definedName name="BaselineOrientationExemptions" localSheetId="33">[3]DropdownData!$CS$2:$CS$5</definedName>
    <definedName name="BaselineOrientationExemptions">DropdownData!$CS$2:$CS$5</definedName>
    <definedName name="BaselineSecondarySystems" localSheetId="32">OFFSET('[8]HVAC Lookup'!$I$10,0,0,COUNTIF('[8]HVAC Lookup'!$I$10:$I$35,"&gt;*"),1)</definedName>
    <definedName name="BaselineSecondarySystems" localSheetId="12">'[5]HVAC Lookup'!$A$10:$A$32</definedName>
    <definedName name="BaselineSecondarySystems" localSheetId="14">'[5]HVAC Lookup'!$A$10:$A$32</definedName>
    <definedName name="BaselineSecondarySystems" localSheetId="13">'[5]HVAC Lookup'!$A$10:$A$32</definedName>
    <definedName name="BaselineSecondarySystems" localSheetId="56">OFFSET('HVAC Lookup 90.1-2007'!$I$10,0,0,COUNTIF('HVAC Lookup 90.1-2007'!$I$10:$I$35,"&gt;*"),1)</definedName>
    <definedName name="BaselineSecondarySystems" localSheetId="58">OFFSET('HVAC Lookup 90.1-2010'!$I$10,0,0,COUNTIF('HVAC Lookup 90.1-2010'!$I$10:$I$35,"&gt;*"),1)</definedName>
    <definedName name="BaselineSecondarySystems" localSheetId="57">OFFSET('HVAC Lookup 90.1-2013'!$I$10,0,0,COUNTIF('HVAC Lookup 90.1-2013'!$I$10:$I$35,"&gt;*"),1)</definedName>
    <definedName name="BaselineSecondarySystems" localSheetId="1">'HVAC Lookup'!$A$10:$A$32</definedName>
    <definedName name="BaselineSecondarySystems" localSheetId="53">OFFSET('[2]HVAC Lookup'!$I$10,0,0,COUNTIF('[2]HVAC Lookup'!$I$10:$I$35,"&gt;*"),1)</definedName>
    <definedName name="BaselineSecondarySystems" localSheetId="30">OFFSET('[3]HVAC Lookup'!$I$10,0,0,COUNTIF('[3]HVAC Lookup'!$I$10:$I$35,"&gt;*"),1)</definedName>
    <definedName name="BaselineSecondarySystems" localSheetId="33">OFFSET('[3]HVAC Lookup'!$I$10,0,0,COUNTIF('[3]HVAC Lookup'!$I$10:$I$35,"&gt;*"),1)</definedName>
    <definedName name="BaselineSecondarySystems" localSheetId="50">'HVAC Lookup'!$A$10:$A$32</definedName>
    <definedName name="BaselineSecondarySystems">OFFSET('HVAC Lookup'!$I$10,0,0,COUNTIF('HVAC Lookup'!$I$10:$I$35,"&gt;*"),1)</definedName>
    <definedName name="BelowLastRow">'6a - Lighting Counts'!$C$552</definedName>
    <definedName name="bpf_reference">'General Information'!$R$11</definedName>
    <definedName name="BPFBuildingType" localSheetId="32">'BPF 2013'!$B$4:$B$12</definedName>
    <definedName name="BPFBuildingType" localSheetId="1">'BPF 2013'!$B$4:$B$12</definedName>
    <definedName name="BPFBuildingType" localSheetId="53">'[2]BPF 2013'!$B$4:$B$12</definedName>
    <definedName name="BPFBuildingType">'BPF 2013'!$B$4:$B$12</definedName>
    <definedName name="BPFBuildingType2016">'BPF 2016'!$B$4:$B$13</definedName>
    <definedName name="Building_ID_Entry" localSheetId="26">'10a - Baseline Air-Side HVAC'!$I$10:$N$10</definedName>
    <definedName name="Building_ID_Entry" localSheetId="28">'11 - Water-Side HVAC'!$I$10:$L$10</definedName>
    <definedName name="Building_ID_Entry" localSheetId="8">'3 - Multifamily Details'!#REF!,'3 - Multifamily Details'!$B$59:$B$61</definedName>
    <definedName name="Building_ID_Entry" localSheetId="9">'4 - Shading and Fenestration'!$B$69:$B$69,'4 - Shading and Fenestration'!$B$78:$B$78</definedName>
    <definedName name="Building_ID_Entry" localSheetId="10">'5 - Opaque Assemblies'!$B$52:$B$52,'5 - Opaque Assemblies'!$B$62:$B$62,'5 - Opaque Assemblies'!$B$72:$B$72,'5 - Opaque Assemblies'!$B$82:$B$82,'5 - Opaque Assemblies'!$B$92:$B$92,'5 - Opaque Assemblies'!#REF!</definedName>
    <definedName name="Building_ID_Entry" localSheetId="16">'6b - General Lighting'!$B$65:$B$69,'6b - General Lighting'!$B$85:$B$90,'6b - General Lighting'!$B$114:$B$116,'6b - General Lighting'!$B$36:$B$38</definedName>
    <definedName name="Building_ID_Entry" localSheetId="22">'7 - Process Loads'!#REF!,'7 - Process Loads'!$B$39:$B$39,'7 - Process Loads'!$B$92:$B$94,'7 - Process Loads'!$B$110:$B$110</definedName>
    <definedName name="Building_ID_Entry" localSheetId="23">'8 - Service Water Heating'!$B$47:$B$50</definedName>
    <definedName name="Building_ID_Entry" localSheetId="25">'9 - General HVAC'!$B$16:$B$22,'9 - General HVAC'!$B$30:$B$33</definedName>
    <definedName name="BuildingArea" localSheetId="32">'General Information'!$K$33</definedName>
    <definedName name="BuildingArea" localSheetId="53">'[2]General Information'!$F$23</definedName>
    <definedName name="BuildingArea">'General Information'!$G$30</definedName>
    <definedName name="BuildingAreaType" localSheetId="32">'Envelope Assumptions'!$CI$3:$CI$18</definedName>
    <definedName name="BuildingAreaType" localSheetId="1">'Envelope Assumptions'!$CI$3:$CI$18</definedName>
    <definedName name="BuildingAreaType" localSheetId="53">'[2]Envelope Assumptions'!$CI$3:$CI$18</definedName>
    <definedName name="BuildingAreaType" localSheetId="33">'[3]Envelope Assumptions'!$CI$3:$CI$18</definedName>
    <definedName name="BuildingAreaType">'Envelope Assumptions'!$CI$3:$CI$18</definedName>
    <definedName name="BuildingIDLookup" localSheetId="32">OFFSET([8]DropdownData!$DT$3:$DT$42,0,0,[8]DropdownData!$DT$2,1)</definedName>
    <definedName name="BuildingIDLookup" localSheetId="1">OFFSET([9]DropdownData!$DR$3:$DR$42,0,0,[9]DropdownData!$DR$2,1)</definedName>
    <definedName name="BuildingIDLookup" localSheetId="53">OFFSET([2]DropdownData!$DR$3:$DR$42,0,0,[2]DropdownData!$DR$2,1)</definedName>
    <definedName name="BuildingIDLookup" localSheetId="30">OFFSET([3]DropdownData!$DR$3:$DR$42,0,0,[3]DropdownData!$DR$2,1)</definedName>
    <definedName name="BuildingIDLookup" localSheetId="33">OFFSET([3]DropdownData!$DR$3:$DR$42,0,0,[3]DropdownData!$DR$2,1)</definedName>
    <definedName name="BuildingIDLookup">OFFSET(DropdownData!$DR$3:$DR$42,0,0,DropdownData!$DR$2,1)</definedName>
    <definedName name="BuildingIDLookupAlt" localSheetId="32">OFFSET([8]DropdownData!$DT$3:$DT$42,0,0,[8]DropdownData!$DT$2-1,1)</definedName>
    <definedName name="BuildingIDLookupAlt" localSheetId="1">OFFSET([9]DropdownData!$DR$3:$DR$42,0,0,[9]DropdownData!$DR$2-1,1)</definedName>
    <definedName name="BuildingIDLookupAlt" localSheetId="53">OFFSET([2]DropdownData!$DR$3:$DR$42,0,0,[2]DropdownData!$DR$2-1,1)</definedName>
    <definedName name="BuildingIDLookupAlt" localSheetId="30">OFFSET([3]DropdownData!$DR$3:$DR$42,0,0,[3]DropdownData!$DR$2-1,1)</definedName>
    <definedName name="BuildingIDLookupAlt" localSheetId="33">OFFSET([3]DropdownData!$DR$3:$DR$42,0,0,[3]DropdownData!$DR$2-1,1)</definedName>
    <definedName name="BuildingIDLookupAlt">OFFSET(DropdownData!$DR$3:$DR$42,0,0,DropdownData!$DR$2-1,1)</definedName>
    <definedName name="BuildingNames">DropdownData!$CM$2:$CM$4</definedName>
    <definedName name="BuildingNames2">DropdownData!$CM$3:$CM$4</definedName>
    <definedName name="BuildingOrientationExemptionRange">'4 - Shading and Fenestration'!$56:$59</definedName>
    <definedName name="BuildingRotationModeled">'4 - Shading and Fenestration'!$L$10</definedName>
    <definedName name="BuildingType" localSheetId="12">'Envelope Lookup 90.1-2007'!$BU$3:$BU$5</definedName>
    <definedName name="BuildingType" localSheetId="14">'Envelope Lookup 90.1-2010'!$CS$3:$CS$5</definedName>
    <definedName name="BuildingType">'Envelope Lookup 90.1-2013'!$CS$3:$CS$5</definedName>
    <definedName name="BuildingTypes" localSheetId="32">'Lighting Assumptions'!$D$3:$D$34</definedName>
    <definedName name="BuildingTypes" localSheetId="12">'[5]LPD-Space by Space'!$L$5:$L$37</definedName>
    <definedName name="BuildingTypes" localSheetId="14">'[5]LPD-Space by Space'!$L$5:$L$37</definedName>
    <definedName name="BuildingTypes" localSheetId="13">'[5]LPD-Space by Space'!$L$5:$L$37</definedName>
    <definedName name="BuildingTypes" localSheetId="1">'[10]LPD-Space by Space'!$L$5:$L$37</definedName>
    <definedName name="BuildingTypes" localSheetId="18">'Lighting Assumptions 90.1-2007'!$D$3:$D$34</definedName>
    <definedName name="BuildingTypes" localSheetId="20">'Lighting Assumptions 90.1-2010'!$D$3:$D$34</definedName>
    <definedName name="BuildingTypes" localSheetId="19">'Lighting Assumptions 90.1-2013'!$D$3:$D$34</definedName>
    <definedName name="BuildingTypes" localSheetId="21">'Lighting Assumptions 90.1-2016'!$D$3:$D$34</definedName>
    <definedName name="BuildingTypes" localSheetId="53">'[2]Lighting Assumptions'!$D$3:$D$34</definedName>
    <definedName name="BuildingTypes" localSheetId="33">'[3]Lighting Assumptions'!$D$3:$D$34</definedName>
    <definedName name="BuildingTypes" localSheetId="50">'[10]LPD-Space by Space'!$L$5:$L$37</definedName>
    <definedName name="BuildingTypes">'Lighting Assumptions'!$D$3:$D$34</definedName>
    <definedName name="BvPUnregCheck" localSheetId="34">'12 - Performance_Outputs_1'!$AA$238:$AA$293</definedName>
    <definedName name="BvPUnregCheck" localSheetId="0">Performance_Outputs_0!$Y$243:$Y$290</definedName>
    <definedName name="BvPUnregCheck" localSheetId="43">'Performance_Outputs_0 old'!$Y$171:$Y$218</definedName>
    <definedName name="BvPUnregCheck" localSheetId="44">Performance_Outputs_Summary!$Y$32:$Y$79</definedName>
    <definedName name="CaliforniaClimate" localSheetId="32">DropdownData!$BA$2:$BA$17</definedName>
    <definedName name="CaliforniaClimate" localSheetId="1">DropdownData!$AW$2:$AW$17</definedName>
    <definedName name="CaliforniaClimate" localSheetId="53">[2]DropdownData!$AY$2:$AY$17</definedName>
    <definedName name="CaliforniaClimate" localSheetId="33">[3]DropdownData!$AY$2:$AY$17</definedName>
    <definedName name="CaliforniaClimate">DropdownData!$AY$2:$AY$17</definedName>
    <definedName name="CampusEndUses">DropdownData!$BE$31:$BE$38</definedName>
    <definedName name="CAZones">DropdownData!$AY$2:$AY$17</definedName>
    <definedName name="checkboxcol">'6a - Lighting Counts'!$DJ$28</definedName>
    <definedName name="ClimateZone">DropdownData!$BB$2:$BB$18</definedName>
    <definedName name="CodeUsed" localSheetId="32">'General Information'!$H$50:$K$50</definedName>
    <definedName name="CodeUsed" localSheetId="53">'[2]General Information'!$C$42:$F$42</definedName>
    <definedName name="CodeUsed">'General Information'!$H$49:$K$49</definedName>
    <definedName name="common_row_all" localSheetId="53">'[2]2a - Schedules'!#REF!</definedName>
    <definedName name="common_row_all">'2a - Schedules'!#REF!</definedName>
    <definedName name="Common_Rows2" localSheetId="53">'[2]2a - Schedules'!#REF!</definedName>
    <definedName name="Common_Rows2">'2a - Schedules'!#REF!</definedName>
    <definedName name="ConsumptionUnits" localSheetId="32">DropdownData!$E$2:$E$8</definedName>
    <definedName name="ConsumptionUnits" localSheetId="1">DropdownData!$E$2:$E$8</definedName>
    <definedName name="ConsumptionUnits" localSheetId="53">[2]DropdownData!$E$2:$E$8</definedName>
    <definedName name="ConsumptionUnits" localSheetId="33">[3]DropdownData!$E$2:$E$8</definedName>
    <definedName name="ConsumptionUnits">DropdownData!$E$2:$E$8</definedName>
    <definedName name="contbl_hdl">GHG_EF!$N$3:$U$3</definedName>
    <definedName name="conversiontable">GHG_EF!$N$4:$U$10</definedName>
    <definedName name="CSSchedule">'2a - Schedules'!$B$13:$S$13</definedName>
    <definedName name="Datacenter_Avg" localSheetId="32">'General Information'!$S$74</definedName>
    <definedName name="Datacenter_Avg" localSheetId="1">'General Information'!$T$75</definedName>
    <definedName name="Datacenter_Avg" localSheetId="53">'[2]General Information'!$M$68</definedName>
    <definedName name="Datacenter_Avg" localSheetId="33">'[3]General Information'!$K$66</definedName>
    <definedName name="Datacenter_Avg">'General Information'!$T$75</definedName>
    <definedName name="DataInputFreezeCell">'6a - Lighting Counts'!$H$28</definedName>
    <definedName name="DataInputTopLeft">'6a - Lighting Counts'!$C$22</definedName>
    <definedName name="DataSourceSelection">GHG_EF!$B$28:$B$31</definedName>
    <definedName name="DD_GH_BaseSysList" localSheetId="32">DropdownData!$DQ$2:$DQ$4</definedName>
    <definedName name="DD_GH_BaseSysList" localSheetId="1">DropdownData!$DM$2:$DM$4</definedName>
    <definedName name="DD_GH_BaseSysList" localSheetId="53">[2]DropdownData!$DO$2:$DO$4</definedName>
    <definedName name="DD_GH_BaseSysList" localSheetId="33">[3]DropdownData!$DO$2:$DO$4</definedName>
    <definedName name="DD_GH_BaseSysList">DropdownData!$DO$2:$DO$4</definedName>
    <definedName name="deleteme">'9 - General HVAC'!$J$35:$J$38</definedName>
    <definedName name="DemandTable" localSheetId="32">DropdownData!$K$2:$M$9</definedName>
    <definedName name="DemandTable" localSheetId="1">DropdownData!$I$2:$K$9</definedName>
    <definedName name="DemandTable" localSheetId="53">[2]DropdownData!$I$2:$K$9</definedName>
    <definedName name="DemandTable" localSheetId="33">[3]DropdownData!$K$2:$M$9</definedName>
    <definedName name="DemandTable">DropdownData!$I$2:$K$9</definedName>
    <definedName name="DemandUnits" localSheetId="32">DropdownData!$K$2:$K$9</definedName>
    <definedName name="DemandUnits" localSheetId="1">DropdownData!$I$2:$I$9</definedName>
    <definedName name="DemandUnits" localSheetId="53">[2]DropdownData!$I$2:$I$9</definedName>
    <definedName name="DemandUnits" localSheetId="33">[3]DropdownData!$K$2:$K$9</definedName>
    <definedName name="DemandUnits">DropdownData!$I$2:$I$9</definedName>
    <definedName name="DESBaseCHWTable" localSheetId="32">'District Energy Path 3'!$B$60:$Q$65</definedName>
    <definedName name="DESBaseCHWTable" localSheetId="1">'District Energy Path 3'!$B$60:$Q$65</definedName>
    <definedName name="DESBaseCHWTable" localSheetId="53">'[2]District Energy Path 3'!$B$60:$Q$65</definedName>
    <definedName name="DESBaseCHWTable" localSheetId="33">'[3]District Energy Path 3'!$B$60:$Q$65</definedName>
    <definedName name="DESBaseCHWTable">'District Energy Path 3'!$B$60:$Q$65</definedName>
    <definedName name="DESBaseHHWTable" localSheetId="32">'District Energy Path 3'!$B$116:$I$118</definedName>
    <definedName name="DESBaseHHWTable" localSheetId="1">'District Energy Path 3'!$B$116:$I$118</definedName>
    <definedName name="DESBaseHHWTable" localSheetId="53">'[2]District Energy Path 3'!$B$116:$I$118</definedName>
    <definedName name="DESBaseHHWTable" localSheetId="33">'[3]District Energy Path 3'!$B$116:$I$118</definedName>
    <definedName name="DESBaseHHWTable">'District Energy Path 3'!$B$116:$I$118</definedName>
    <definedName name="DESInputsInGeneralInformation">'General Information'!$I$69:$K$71</definedName>
    <definedName name="DESPath" localSheetId="32">DropdownData!$C$90</definedName>
    <definedName name="DESPath" localSheetId="1">DropdownData!$C$90</definedName>
    <definedName name="DESPath" localSheetId="53">[2]DropdownData!$C$90</definedName>
    <definedName name="DESPath" localSheetId="33">[3]DropdownData!$C$90</definedName>
    <definedName name="DESPath">DropdownData!$C$90</definedName>
    <definedName name="DESPath3_Cooling_COP" localSheetId="32">'District Energy Path 3'!$C$73</definedName>
    <definedName name="DESPath3_Cooling_COP" localSheetId="1">'District Energy Path 3'!$C$73</definedName>
    <definedName name="DESPath3_Cooling_COP" localSheetId="53">'[2]District Energy Path 3'!$C$73</definedName>
    <definedName name="DESPath3_Cooling_COP" localSheetId="33">'[3]District Energy Path 3'!$C$73</definedName>
    <definedName name="DESPath3_Cooling_COP">'District Energy Path 3'!$C$73</definedName>
    <definedName name="DESPath3_Heating_eCOP" localSheetId="32">'District Energy Path 3'!$F$126</definedName>
    <definedName name="DESPath3_Heating_eCOP" localSheetId="1">'District Energy Path 3'!$F$126</definedName>
    <definedName name="DESPath3_Heating_eCOP" localSheetId="53">'[2]District Energy Path 3'!$F$126</definedName>
    <definedName name="DESPath3_Heating_eCOP" localSheetId="33">'[3]District Energy Path 3'!$F$126</definedName>
    <definedName name="DESPath3_Heating_eCOP">'District Energy Path 3'!$F$126</definedName>
    <definedName name="DESPath3_Heating_fCOP" localSheetId="32">'District Energy Path 3'!$C$126</definedName>
    <definedName name="DESPath3_Heating_fCOP" localSheetId="1">'District Energy Path 3'!$C$126</definedName>
    <definedName name="DESPath3_Heating_fCOP" localSheetId="53">'[2]District Energy Path 3'!$C$126</definedName>
    <definedName name="DESPath3_Heating_fCOP" localSheetId="33">'[3]District Energy Path 3'!$C$126</definedName>
    <definedName name="DESPath3_Heating_fCOP">'District Energy Path 3'!$C$126</definedName>
    <definedName name="DistrictCooling" localSheetId="32">DropdownData!$C$98</definedName>
    <definedName name="DistrictCooling" localSheetId="1">DropdownData!$C$98</definedName>
    <definedName name="DistrictCooling" localSheetId="53">[2]DropdownData!$C$98</definedName>
    <definedName name="DistrictCooling" localSheetId="33">[3]DropdownData!$C$98</definedName>
    <definedName name="DistrictCooling">DropdownData!$C$98</definedName>
    <definedName name="DistrictHeating" localSheetId="32">DropdownData!$C$96</definedName>
    <definedName name="DistrictHeating" localSheetId="1">DropdownData!$C$96</definedName>
    <definedName name="DistrictHeating" localSheetId="53">[2]DropdownData!$C$96</definedName>
    <definedName name="DistrictHeating" localSheetId="33">[3]DropdownData!$C$96</definedName>
    <definedName name="DistrictHeating">DropdownData!$C$96</definedName>
    <definedName name="DUSchedule">'2a - Schedules'!$B$12:$S$12</definedName>
    <definedName name="dwelling_row_all">'2a - Schedules'!$12:$12</definedName>
    <definedName name="Dwelling_Rows2">'2a - Schedules'!$A$12:$A$12</definedName>
    <definedName name="EcoTempIP">DropdownData!$ES$3:$ES$5</definedName>
    <definedName name="EcoTempSI">DropdownData!$ER$3:$ER$5</definedName>
    <definedName name="EFLH_Fraction_Abbreviated" localSheetId="7">'2b - EFLH Calculator'!$B$59:$AB$67</definedName>
    <definedName name="EFLH_Fraction_Detailed" localSheetId="7">'2b - EFLH Calculator'!$B$97:$AB$110</definedName>
    <definedName name="EFLH_On_Off_Abbreviated" localSheetId="7">'2b - EFLH Calculator'!$B$20:$AB$28</definedName>
    <definedName name="EFLH_ON_OFF_Detailed" localSheetId="7">'2b - EFLH Calculator'!$B$40:$AB$53</definedName>
    <definedName name="EndOfFixtures">'6a - Lighting Counts'!$CR$22</definedName>
    <definedName name="EndUses">DropdownData!$BE$2:$BE$22</definedName>
    <definedName name="EnergyCode" localSheetId="32">DropdownData!$AT$2:$AT$4</definedName>
    <definedName name="EnergyCode" localSheetId="1">DropdownData!$AR$2:$AR$4</definedName>
    <definedName name="EnergyCode" localSheetId="53">[2]DropdownData!$AR$2:$AR$4</definedName>
    <definedName name="EnergyCode" localSheetId="33">[3]DropdownData!$AT$2:$AT$4</definedName>
    <definedName name="EnergyCode">DropdownData!$AR$2:$AR$4</definedName>
    <definedName name="EnergyCodeREF">DropdownData!$AQ$2:$AQ$4</definedName>
    <definedName name="EnergyModelPhase">'General Information'!$H$42</definedName>
    <definedName name="EnergyModelPhaseOther">'General Information'!$43:$45</definedName>
    <definedName name="EnergySources" localSheetId="32">DropdownData!$B$101:$B$107</definedName>
    <definedName name="EnergySources" localSheetId="1">DropdownData!$B$101:$B$107</definedName>
    <definedName name="EnergySources" localSheetId="53">[2]DropdownData!$B$101:$B$107</definedName>
    <definedName name="EnergySources" localSheetId="33">[3]DropdownData!$B$101:$B$107</definedName>
    <definedName name="EnergySources">DropdownData!$B$101:$B$107</definedName>
    <definedName name="EnergyTypesTable">'[11]Other Lookup'!$A$1:$B$8</definedName>
    <definedName name="EnergyUnitsTable" localSheetId="32">DropdownData!$E$2:$G$8</definedName>
    <definedName name="EnergyUnitsTable" localSheetId="1">DropdownData!$E$2:$G$8</definedName>
    <definedName name="EnergyUnitsTable" localSheetId="53">[2]DropdownData!$E$2:$G$8</definedName>
    <definedName name="EnergyUnitsTable" localSheetId="33">[3]DropdownData!$E$2:$G$8</definedName>
    <definedName name="EnergyUnitsTable">DropdownData!$E$2:$G$8</definedName>
    <definedName name="EnergyUnitsTableNCP" localSheetId="37">DropdownData!#REF!</definedName>
    <definedName name="Env_Lookup_2013_Windows">'Envelope Lookup 90.1-2013'!$DI$2:$DL$34</definedName>
    <definedName name="Env_Lookup_2013_Windows_BT">'Envelope Lookup 90.1-2013'!$DI$2:$DL$2</definedName>
    <definedName name="Env_Lookup_2013_Windows_CZ">'Envelope Lookup 90.1-2013'!$DI$2:$DI$34</definedName>
    <definedName name="EnvelopeCopyRange" localSheetId="55">DropdownData!$203:$218</definedName>
    <definedName name="eQUESTOutputColumn" localSheetId="0">Performance_Outputs_0!$BF$143</definedName>
    <definedName name="eQUESTOutputColumn">'12 - Performance_Outputs_1'!$BK$144</definedName>
    <definedName name="EquipAnchor" localSheetId="37">'7 - Process Loads'!#REF!</definedName>
    <definedName name="EquipAnchor" localSheetId="46">'7 - Process Loads'!#REF!</definedName>
    <definedName name="EquipAnchor" localSheetId="32">'7 - Process Loads'!#REF!</definedName>
    <definedName name="EquipAnchor" localSheetId="12">'7 - Process Loads'!#REF!</definedName>
    <definedName name="EquipAnchor" localSheetId="56">'7 - Process Loads'!#REF!</definedName>
    <definedName name="EquipAnchor" localSheetId="18">'7 - Process Loads'!#REF!</definedName>
    <definedName name="EquipAnchor" localSheetId="21">'7 - Process Loads'!#REF!</definedName>
    <definedName name="EquipAnchor" localSheetId="53">'[2]7 - Process Loads'!#REF!</definedName>
    <definedName name="EquipAnchor">'7 - Process Loads'!#REF!</definedName>
    <definedName name="EquipBAanchor">'7 - Process Loads'!$22:$22</definedName>
    <definedName name="Fanslookup" localSheetId="32">'HVAC Lookup'!$A$10:$O$35</definedName>
    <definedName name="Fanslookup" localSheetId="12">'[5]HVAC Lookup'!$A$10:$K$32</definedName>
    <definedName name="Fanslookup" localSheetId="14">'[5]HVAC Lookup'!$A$10:$K$32</definedName>
    <definedName name="Fanslookup" localSheetId="13">'[5]HVAC Lookup'!$A$10:$K$32</definedName>
    <definedName name="Fanslookup" localSheetId="56">'HVAC Lookup'!$A$10:$O$35</definedName>
    <definedName name="Fanslookup" localSheetId="58">'HVAC Lookup 90.1-2010'!$A$10:$O$35</definedName>
    <definedName name="Fanslookup" localSheetId="57">'HVAC Lookup'!$A$10:$O$35</definedName>
    <definedName name="Fanslookup" localSheetId="1">'HVAC Lookup'!$A$10:$K$32</definedName>
    <definedName name="Fanslookup" localSheetId="53">'[2]HVAC Lookup'!$A$10:$O$35</definedName>
    <definedName name="Fanslookup" localSheetId="33">'[3]HVAC Lookup'!$A$10:$O$35</definedName>
    <definedName name="Fanslookup" localSheetId="50">'HVAC Lookup'!$A$10:$K$32</definedName>
    <definedName name="Fanslookup">'HVAC Lookup'!$A$10:$O$35</definedName>
    <definedName name="FenestrationPercent" localSheetId="32">DropdownData!$AH$2:$AH$5</definedName>
    <definedName name="FenestrationPercent" localSheetId="1">DropdownData!$AF$2:$AF$5</definedName>
    <definedName name="FenestrationPercent" localSheetId="53">[2]DropdownData!$AF$2:$AF$5</definedName>
    <definedName name="FenestrationPercent" localSheetId="33">[3]DropdownData!$AH$2:$AH$5</definedName>
    <definedName name="FenestrationPercent">DropdownData!$AF$2:$AF$5</definedName>
    <definedName name="FinishedAnchor" localSheetId="37">'10a - Baseline Air-Side HVAC'!#REF!</definedName>
    <definedName name="FinishedAnchor" localSheetId="46">'10a - Baseline Air-Side HVAC'!#REF!</definedName>
    <definedName name="FinishedAnchor" localSheetId="32">'10b - Proposed Air-Side HVAC'!$H:$H</definedName>
    <definedName name="FinishedAnchor" localSheetId="12">'10a - Baseline Air-Side HVAC'!#REF!</definedName>
    <definedName name="FinishedAnchor" localSheetId="56">'10a - Baseline Air-Side HVAC'!#REF!</definedName>
    <definedName name="FinishedAnchor" localSheetId="18">'10a - Baseline Air-Side HVAC'!#REF!</definedName>
    <definedName name="FinishedAnchor">'10b - Proposed Air-Side HVAC'!$H:$H</definedName>
    <definedName name="FixtureCountLabel">'6a - Lighting Counts'!$I$28</definedName>
    <definedName name="FormulaProposed1" localSheetId="34">'12 - Performance_Outputs_1'!$AG$238:$AI$293</definedName>
    <definedName name="FormulaProposed1" localSheetId="0">Performance_Outputs_0!$AE$243:$AH$290</definedName>
    <definedName name="FormulaProposed1" localSheetId="43">'Performance_Outputs_0 old'!$AE$171:$AH$218</definedName>
    <definedName name="FormulaProposed1" localSheetId="44">Performance_Outputs_Summary!$AE$32:$AH$79</definedName>
    <definedName name="FramingType" localSheetId="12">'Envelope Lookup 90.1-2007'!$X$2:$AG$2</definedName>
    <definedName name="FramingType" localSheetId="14">'Envelope Lookup 90.1-2010'!$X$2:$AV$2</definedName>
    <definedName name="FramingType">'Envelope Lookup 90.1-2013'!$X$2:$AV$2</definedName>
    <definedName name="FuelTable" localSheetId="53">[2]DropdownData!$B$2:$C$14</definedName>
    <definedName name="FuelTable">DropdownData!$B$2:$C$8</definedName>
    <definedName name="FuelTableEPA" localSheetId="37">DropdownData!#REF!</definedName>
    <definedName name="FuelTypes" localSheetId="32">DropdownData!$B$2:$B$14</definedName>
    <definedName name="FuelTypes" localSheetId="1">DropdownData!$B$2:$B$14</definedName>
    <definedName name="FuelTypes" localSheetId="53">[2]DropdownData!$B$2:$B$14</definedName>
    <definedName name="FuelTypes" localSheetId="33">[3]DropdownData!$B$2:$B$14</definedName>
    <definedName name="FuelTypes">DropdownData!$B$2:$B$14</definedName>
    <definedName name="FuelTypesTable" localSheetId="32">DropdownData!$B$2:$C$14</definedName>
    <definedName name="FuelTypesTable" localSheetId="1">DropdownData!$B$2:$C$14</definedName>
    <definedName name="FuelTypesTable" localSheetId="53">[2]DropdownData!$B$2:$C$14</definedName>
    <definedName name="FuelTypesTable" localSheetId="33">[3]DropdownData!$B$2:$C$14</definedName>
    <definedName name="FuelTypesTable">DropdownData!$B$2:$C$14</definedName>
    <definedName name="GenHVACformatref">'9 - General HVAC'!$J$30:$J$33</definedName>
    <definedName name="GHG_EF">GHG_EF!$B$5:$J$17</definedName>
    <definedName name="GHG_EF_Database">DropdownData!$EE$2:$EE$7</definedName>
    <definedName name="GHG_EF_ESPM">GHG_EF!$L$27:$R$67</definedName>
    <definedName name="GHG_EF_ESPM_hdl">GHG_EF!$L$27:$R$27</definedName>
    <definedName name="GHG_EF_HL">GHG_EF!$B$4:$J$4</definedName>
    <definedName name="GHVAC_BaseSystemList">'9 - General HVAC'!$D$29:$D$33</definedName>
    <definedName name="GHVAC_BHVACST_Index" localSheetId="32">'[12]General HVAC'!$B$27:$B$34</definedName>
    <definedName name="GHVAC_BHVACST_Index" localSheetId="1">'9 - General HVAC'!$B$29:$B$35</definedName>
    <definedName name="GHVAC_BHVACST_Index" localSheetId="53">'[2]9 - General HVAC'!$B$29:$B$34</definedName>
    <definedName name="GHVAC_BHVACST_Index">'9 - General HVAC'!$B$28:$B$33</definedName>
    <definedName name="GHVAC_BSysType_Hdr" localSheetId="32">'[12]General HVAC'!$B$28:$G$28</definedName>
    <definedName name="GHVAC_BSysType_Hdr" localSheetId="1">'9 - General HVAC'!$B$30:$G$30</definedName>
    <definedName name="GHVAC_BSysType_Hdr" localSheetId="53">'[2]9 - General HVAC'!$B$30:$G$30</definedName>
    <definedName name="GHVAC_BSysType_Hdr">'9 - General HVAC'!$B$29:$G$29</definedName>
    <definedName name="GHVAC_BSysType_Index">'9 - General HVAC'!$B$29:$B$33</definedName>
    <definedName name="GHVAC_BSysType_Table">'9 - General HVAC'!$B$29:$G$33</definedName>
    <definedName name="GHVAC_PHVACST_Index">'9 - General HVAC'!$B$15:$B$22</definedName>
    <definedName name="GI_BldgArea" localSheetId="32">'General Information'!$K$33</definedName>
    <definedName name="GI_BldgArea" localSheetId="1">'General Information'!$G$30</definedName>
    <definedName name="GI_BldgArea" localSheetId="53">'[2]General Information'!$F$23</definedName>
    <definedName name="GI_BldgArea" localSheetId="33">'[3]General Information'!$F$27</definedName>
    <definedName name="GI_BldgArea">'General Information'!$G$30</definedName>
    <definedName name="GI_DES_ModelingMethod">'General Information'!$I$69</definedName>
    <definedName name="GI_DES_Path1Boolean">'General Information'!$R$69</definedName>
    <definedName name="GI_DESPath">'General Information'!$I$70</definedName>
    <definedName name="GI_Project_Name" localSheetId="32">'General Information'!$J$7</definedName>
    <definedName name="GI_Project_Name" localSheetId="1">'General Information'!$J$7</definedName>
    <definedName name="GI_Project_Name" localSheetId="53">'[2]General Information'!$E$7</definedName>
    <definedName name="GI_Project_Name" localSheetId="33">'[3]General Information'!$E$8</definedName>
    <definedName name="GI_Project_Name">'General Information'!$J$7</definedName>
    <definedName name="GI_Project_Number">'General Information'!$J$5</definedName>
    <definedName name="GI_RSV_DataCenterMethod">'General Information'!$J$75</definedName>
    <definedName name="GlazingDescription" localSheetId="12">'Envelope Lookup 90.1-2007'!$CG$19:$CG$22</definedName>
    <definedName name="GlazingDescription" localSheetId="14">'Envelope Lookup 90.1-2010'!$DE$19:$DE$22</definedName>
    <definedName name="GlazingDescription">'Envelope Lookup 90.1-2013'!$DE$19:$DE$22</definedName>
    <definedName name="GlazingType" localSheetId="12">'Envelope Lookup 90.1-2007'!$CG$3:$CG$17</definedName>
    <definedName name="GlazingType" localSheetId="14">'Envelope Lookup 90.1-2010'!$DE$3:$DE$17</definedName>
    <definedName name="GlazingType">'Envelope Lookup 90.1-2013'!$DE$3:$DE$17</definedName>
    <definedName name="HeatingOnly" localSheetId="12">'[5]HVAC Lookup'!$F$39:$F$41</definedName>
    <definedName name="HeatingOnly" localSheetId="14">'[5]HVAC Lookup'!$F$39:$F$41</definedName>
    <definedName name="HeatingOnly" localSheetId="13">'[5]HVAC Lookup'!$F$39:$F$41</definedName>
    <definedName name="HeatingOnly" localSheetId="56">'HVAC Lookup 90.1-2007'!$F$38:$F$50</definedName>
    <definedName name="HeatingOnly" localSheetId="58">'HVAC Lookup 90.1-2010'!$F$38:$F$50</definedName>
    <definedName name="HeatingOnly" localSheetId="57">'HVAC Lookup 90.1-2013'!$F$38:$F$50</definedName>
    <definedName name="HeatingOnly" localSheetId="1">'HVAC Lookup'!$F$39:$F$41</definedName>
    <definedName name="HeatingOnly" localSheetId="50">'HVAC Lookup'!$F$39:$F$41</definedName>
    <definedName name="HeatingOnly">'HVAC Lookup'!$F$38:$F$50</definedName>
    <definedName name="Homes_DwellingEqpList" localSheetId="32">DropdownData!$CW$2:$CW$8</definedName>
    <definedName name="Homes_DwellingEqpList" localSheetId="1">DropdownData!$CS$2:$CS$8</definedName>
    <definedName name="Homes_DwellingEqpList" localSheetId="53">[2]DropdownData!$CU$2:$CU$8</definedName>
    <definedName name="Homes_DwellingEqpList" localSheetId="33">[3]DropdownData!$CU$2:$CU$11</definedName>
    <definedName name="Homes_DwellingEqpList">DropdownData!$CU$2:$CU$8</definedName>
    <definedName name="Homes_DwellingEqpLookup" localSheetId="32">DropdownData!$CW$2:$DJ$11</definedName>
    <definedName name="Homes_DwellingEqpLookup" localSheetId="1">DropdownData!$CS$2:$DF$11</definedName>
    <definedName name="Homes_DwellingEqpLookup" localSheetId="53">[2]DropdownData!$CU$2:$DH$11</definedName>
    <definedName name="Homes_DwellingEqpLookup" localSheetId="33">[3]DropdownData!$CU$2:$DH$11</definedName>
    <definedName name="Homes_DwellingEqpLookup">DropdownData!$CU$2:$DH$11</definedName>
    <definedName name="Homes_DwellingNonResEPDList">DropdownData!$DJ$2:$DJ$7</definedName>
    <definedName name="Homes_DwellingNonResEPDLookup">DropdownData!$DJ$2:$DL$7</definedName>
    <definedName name="Homes_GeneralInformation" hidden="1">'General Information'!$35:$36</definedName>
    <definedName name="Homes_LaundryEqpList" localSheetId="32">DropdownData!$CW$17:$CW$19</definedName>
    <definedName name="Homes_LaundryEqpList" localSheetId="1">DropdownData!$CS$17:$CS$19</definedName>
    <definedName name="Homes_LaundryEqpList" localSheetId="53">[2]DropdownData!$CU$17:$CU$19</definedName>
    <definedName name="Homes_LaundryEqpList" localSheetId="33">[3]DropdownData!$CU$17:$CU$19</definedName>
    <definedName name="Homes_LaundryEqpList">DropdownData!$CU$17:$CU$19</definedName>
    <definedName name="Homes_LaundryEqpLookup" localSheetId="32">DropdownData!$CW$17:$DJ$19</definedName>
    <definedName name="Homes_LaundryEqpLookup" localSheetId="1">DropdownData!$CS$17:$DF$19</definedName>
    <definedName name="Homes_LaundryEqpLookup" localSheetId="53">[2]DropdownData!$CU$17:$DH$19</definedName>
    <definedName name="Homes_LaundryEqpLookup" localSheetId="33">[3]DropdownData!$CU$17:$DH$19</definedName>
    <definedName name="Homes_LaundryEqpLookup">DropdownData!$CU$17:$DH$19</definedName>
    <definedName name="Homes_Point_Adjustment" localSheetId="32">'[4]Multifamily Details'!$U$19</definedName>
    <definedName name="Homes_Point_Adjustment" localSheetId="1">'3 - Multifamily Details'!$U$20</definedName>
    <definedName name="Homes_Point_Adjustment" localSheetId="53">'[2]3 - Multifamily Details'!$U$19</definedName>
    <definedName name="Homes_Point_Adjustment" localSheetId="33">'[3]Multifamily Details'!$U$19</definedName>
    <definedName name="Homes_Point_Adjustment">'3 - Multifamily Details'!$U$19</definedName>
    <definedName name="HomesEqpCalc">'7 - Process Loads'!$A$78:$H$84</definedName>
    <definedName name="HomesInGeneralInformation">'General Information'!$35:$36</definedName>
    <definedName name="L_BAM_Area_Total">'6b - General Lighting'!$D$39</definedName>
    <definedName name="L_BAM_ButtonRow">'6b - General Lighting'!$41:$41</definedName>
    <definedName name="L_BAM_SumHdr">'6b - General Lighting'!$B$45:$Q$45</definedName>
    <definedName name="L_BAM_SumIndex">'6b - General Lighting'!$B$45:$B$48</definedName>
    <definedName name="L_BAM_SumTable">'6b - General Lighting'!$B$45:$O$48</definedName>
    <definedName name="L_BAMInput_Index" localSheetId="32">'[13]General Lighting'!$B$32:$B$38</definedName>
    <definedName name="L_BAMInput_Index" localSheetId="1">'6b - General Lighting'!$B$32:$B$38</definedName>
    <definedName name="L_BAMInput_Index" localSheetId="53">'[2]6b - General Lighting'!$B$32:$B$38</definedName>
    <definedName name="L_BAMInput_Index">'6b - General Lighting'!$B$32:$B$38</definedName>
    <definedName name="L_ELR_Response" localSheetId="32">'[13]General Lighting'!$P$121</definedName>
    <definedName name="L_ELR_Response" localSheetId="1">'6b - General Lighting'!$P$131</definedName>
    <definedName name="L_ELR_Response" localSheetId="53">'[2]6b - General Lighting'!$P$121</definedName>
    <definedName name="L_ELR_Response" localSheetId="33">'[3]General Lighting'!$P$111</definedName>
    <definedName name="L_ELR_Response">'6b - General Lighting'!$P$121</definedName>
    <definedName name="L_ExtSum_Hdr" localSheetId="32">'[13]General Lighting'!$B$162:$Q$162</definedName>
    <definedName name="L_ExtSum_Hdr" localSheetId="1">'6b - General Lighting'!$B$173:$Q$173</definedName>
    <definedName name="L_ExtSum_Hdr" localSheetId="53">'[2]6b - General Lighting'!$B$171:$Q$171</definedName>
    <definedName name="L_ExtSum_Hdr" localSheetId="33">'[3]General Lighting'!$B$147:$Q$147</definedName>
    <definedName name="L_ExtSum_Hdr">'6b - General Lighting'!$B$172:$Q$172</definedName>
    <definedName name="L_ExtSum_Index">'6b - General Lighting'!$B$172:$I$173</definedName>
    <definedName name="L_ExtSum_Table" localSheetId="32">'[13]General Lighting'!$B$162:$Q$163</definedName>
    <definedName name="L_ExtSum_Table" localSheetId="1">'6b - General Lighting'!$B$173:$Q$174</definedName>
    <definedName name="L_ExtSum_Table" localSheetId="53">'[2]6b - General Lighting'!$B$171:$Q$172</definedName>
    <definedName name="L_ExtSum_Table" localSheetId="33">'[3]General Lighting'!$B$147:$Q$148</definedName>
    <definedName name="L_ExtSum_Table">'6b - General Lighting'!$B$172:$Q$173</definedName>
    <definedName name="L_IL_SumHdr" localSheetId="32">'[13]General Lighting'!$B$107:$Q$107</definedName>
    <definedName name="L_IL_SumHdr" localSheetId="1">'6b - General Lighting'!$B$107:$Q$107</definedName>
    <definedName name="L_IL_SumHdr" localSheetId="53">'[2]6b - General Lighting'!$B$107:$Q$107</definedName>
    <definedName name="L_IL_SumHdr" localSheetId="33">'[3]General Lighting'!$B$97:$Q$97</definedName>
    <definedName name="L_IL_SumHdr">'6b - General Lighting'!$B$107:$Q$107</definedName>
    <definedName name="L_IL_SumIndex" localSheetId="32">'[13]General Lighting'!$B$107:$B$108</definedName>
    <definedName name="L_IL_SumIndex" localSheetId="1">'6b - General Lighting'!$B$107:$B$109</definedName>
    <definedName name="L_IL_SumIndex" localSheetId="53">'[2]6b - General Lighting'!$B$107:$B$108</definedName>
    <definedName name="L_IL_SumIndex" localSheetId="33">'[3]General Lighting'!$B$97:$B$98</definedName>
    <definedName name="L_IL_SumIndex">'6b - General Lighting'!$B$107:$B$108</definedName>
    <definedName name="L_IL_SumTable" localSheetId="32">'[13]General Lighting'!$B$107:$P$108</definedName>
    <definedName name="L_IL_SumTable" localSheetId="1">'6b - General Lighting'!$B$107:$P$109</definedName>
    <definedName name="L_IL_SumTable" localSheetId="53">'[2]6b - General Lighting'!$B$107:$P$108</definedName>
    <definedName name="L_IL_SumTable" localSheetId="33">'[3]General Lighting'!$B$97:$P$98</definedName>
    <definedName name="L_IL_SumTable">'6b - General Lighting'!$B$107:$P$108</definedName>
    <definedName name="L_IPL_Index">'6b - General Lighting'!$B$113:$B$116</definedName>
    <definedName name="L_LPDmethod" localSheetId="37">'6b - General Lighting'!#REF!</definedName>
    <definedName name="L_LPDmethod" localSheetId="46">'6b - General Lighting'!#REF!</definedName>
    <definedName name="L_LPDmethod" localSheetId="45">'6b - General Lighting'!#REF!</definedName>
    <definedName name="L_LPDmethod" localSheetId="5">'6b - General Lighting'!#REF!</definedName>
    <definedName name="L_LPDmethod" localSheetId="32">'6b - General Lighting'!$AC$25</definedName>
    <definedName name="L_LPDmethod" localSheetId="12">'6b - General Lighting'!#REF!</definedName>
    <definedName name="L_LPDmethod" localSheetId="56">'6b - General Lighting'!#REF!</definedName>
    <definedName name="L_LPDmethod" localSheetId="1">'6b - General Lighting'!$AC$25</definedName>
    <definedName name="L_LPDmethod" localSheetId="18">'6b - General Lighting'!#REF!</definedName>
    <definedName name="L_LPDmethod" localSheetId="53">'[2]6b - General Lighting'!$AC$25</definedName>
    <definedName name="L_LPDmethod">'6b - General Lighting'!$AC$25</definedName>
    <definedName name="L_LtgZone_Hdr" localSheetId="32">'[13]General Lighting'!$B$125:$Q$125</definedName>
    <definedName name="L_LtgZone_Hdr" localSheetId="1">'6b - General Lighting'!$B$135:$Q$135</definedName>
    <definedName name="L_LtgZone_Hdr" localSheetId="53">'[2]6b - General Lighting'!$B$134:$Q$134</definedName>
    <definedName name="L_LtgZone_Hdr" localSheetId="33">'[3]General Lighting'!$B$115:$Q$115</definedName>
    <definedName name="L_LtgZone_Hdr">'6b - General Lighting'!$B$134:$Q$134</definedName>
    <definedName name="L_LtgZone_Index">'6b - General Lighting'!$B$134:$B$135</definedName>
    <definedName name="L_LtgZone_Table" localSheetId="32">'[13]General Lighting'!$B$125:$Q$126</definedName>
    <definedName name="L_LtgZone_Table" localSheetId="1">'6b - General Lighting'!$B$135:$Q$136</definedName>
    <definedName name="L_LtgZone_Table" localSheetId="53">'[2]6b - General Lighting'!$B$134:$Q$135</definedName>
    <definedName name="L_LtgZone_Table" localSheetId="33">'[3]General Lighting'!$B$115:$Q$116</definedName>
    <definedName name="L_LtgZone_Table">'6b - General Lighting'!$B$134:$Q$135</definedName>
    <definedName name="L_NTSurface_Hdr" localSheetId="32">'[13]General Lighting'!$B$149:$Q$149</definedName>
    <definedName name="L_NTSurface_Hdr" localSheetId="1">'6b - General Lighting'!$B$160:$Q$160</definedName>
    <definedName name="L_NTSurface_Hdr" localSheetId="53">'[2]6b - General Lighting'!$B$158:$Q$158</definedName>
    <definedName name="L_NTSurface_Hdr" localSheetId="33">'[3]General Lighting'!$B$136:$Q$136</definedName>
    <definedName name="L_NTSurface_Hdr">'6b - General Lighting'!$B$159:$Q$159</definedName>
    <definedName name="L_NTSurface_Index" localSheetId="32">'[13]General Lighting'!$B$149:$B$156</definedName>
    <definedName name="L_NTSurface_Index" localSheetId="1">'6b - General Lighting'!$B$160:$B$167</definedName>
    <definedName name="L_NTSurface_Index" localSheetId="53">'[2]6b - General Lighting'!$B$158:$B$165</definedName>
    <definedName name="L_NTSurface_Index" localSheetId="33">'[3]General Lighting'!$B$136:$B$143</definedName>
    <definedName name="L_NTSurface_Index">'6b - General Lighting'!$B$159:$B$166</definedName>
    <definedName name="L_NTSurface_Table" localSheetId="32">'[13]General Lighting'!$B$149:$Q$156</definedName>
    <definedName name="L_NTSurface_Table" localSheetId="1">'6b - General Lighting'!$B$160:$Q$167</definedName>
    <definedName name="L_NTSurface_Table" localSheetId="53">'[2]6b - General Lighting'!$B$158:$Q$165</definedName>
    <definedName name="L_NTSurface_Table" localSheetId="33">'[3]General Lighting'!$B$136:$Q$143</definedName>
    <definedName name="L_NTSurface_Table">'6b - General Lighting'!$B$159:$Q$166</definedName>
    <definedName name="L_SxS_Area_Total">'6b - General Lighting'!$D$70</definedName>
    <definedName name="L_SxS_SumHdr">'6b - General Lighting'!$B$75:$Q$75</definedName>
    <definedName name="L_SxS_SumIndex">'6b - General Lighting'!$B$75:$B$78</definedName>
    <definedName name="L_SxS_SumTable">'6b - General Lighting'!$B$75:$O$78</definedName>
    <definedName name="L_SxSALP_ButtonRow">'6b - General Lighting'!$96:$96</definedName>
    <definedName name="L_SxSALP_SumHdr">'6b - General Lighting'!$B$98:$Q$98</definedName>
    <definedName name="L_SXSALP_SumIndex">'6b - General Lighting'!$B$98:$B$101</definedName>
    <definedName name="L_SxSALP_SumTable">'6b - General Lighting'!$B$98:$L$101</definedName>
    <definedName name="L_SxSALPInput_Hdr">'6b - General Lighting'!$B$84:$Q$84</definedName>
    <definedName name="L_SxSALPInput_Index">'6b - General Lighting'!$B$84:$B$90</definedName>
    <definedName name="L_SxSInput_Index" localSheetId="32">'[13]General Lighting'!$B$61:$B$69</definedName>
    <definedName name="L_SxSInput_Index" localSheetId="1">'6b - General Lighting'!$B$61:$B$69</definedName>
    <definedName name="L_SxSInput_Index" localSheetId="53">'[2]6b - General Lighting'!$B$61:$B$69</definedName>
    <definedName name="L_SxSInput_Index">'6b - General Lighting'!$B$61:$B$69</definedName>
    <definedName name="L_SxSM_ButtonRow">'6b - General Lighting'!$72:$72</definedName>
    <definedName name="LastBaseline" localSheetId="37">'10a - Baseline Air-Side HVAC'!#REF!</definedName>
    <definedName name="LastBaseline" localSheetId="46">'10a - Baseline Air-Side HVAC'!#REF!</definedName>
    <definedName name="LastBaseline" localSheetId="12">'10a - Baseline Air-Side HVAC'!#REF!</definedName>
    <definedName name="LastBaseline" localSheetId="56">'10a - Baseline Air-Side HVAC'!#REF!</definedName>
    <definedName name="LastBaseline" localSheetId="18">'10a - Baseline Air-Side HVAC'!#REF!</definedName>
    <definedName name="LastLightingColumn">'6a - Lighting Counts'!$CR$24:$CR$27</definedName>
    <definedName name="LastProposed" localSheetId="37">'10a - Baseline Air-Side HVAC'!#REF!</definedName>
    <definedName name="LastProposed" localSheetId="46">'10a - Baseline Air-Side HVAC'!#REF!</definedName>
    <definedName name="LastProposed" localSheetId="12">'10a - Baseline Air-Side HVAC'!#REF!</definedName>
    <definedName name="LastProposed" localSheetId="56">'10a - Baseline Air-Side HVAC'!#REF!</definedName>
    <definedName name="LastProposed" localSheetId="18">'10a - Baseline Air-Side HVAC'!#REF!</definedName>
    <definedName name="Lighting_Residential_Hdr" localSheetId="32">'[13]General Lighting'!$B$32:$Q$32</definedName>
    <definedName name="Lighting_Residential_Hdr" localSheetId="1">'[13]General Lighting'!$B$32:$Q$32</definedName>
    <definedName name="Lighting_Residential_Hdr" localSheetId="53">'[2]6b - General Lighting'!$B$32:$Q$32</definedName>
    <definedName name="Lighting_Residential_Hdr">'6b - General Lighting'!$B$32:$Q$32</definedName>
    <definedName name="Lighting_Residential_Index">'6b - General Lighting'!$B$32:$B$35</definedName>
    <definedName name="Lighting_Residential_Table">'6b - General Lighting'!$B$32:$N$35</definedName>
    <definedName name="Lighting_SxS_Residential_Hdr" localSheetId="32">'[13]General Lighting'!$B$61:$P$61</definedName>
    <definedName name="Lighting_SxS_Residential_Hdr" localSheetId="1">'6b - General Lighting'!$B$61:$P$61</definedName>
    <definedName name="Lighting_SxS_Residential_Hdr" localSheetId="53">'[2]6b - General Lighting'!$B$61:$P$61</definedName>
    <definedName name="Lighting_SxS_Residential_Hdr">'6b - General Lighting'!$B$61:$P$61</definedName>
    <definedName name="Lighting_SxS_Residential_Index">'6b - General Lighting'!$B$61:$B$64</definedName>
    <definedName name="Lighting_SxS_Residential_Table">'6b - General Lighting'!$B$61:$P$64</definedName>
    <definedName name="LightingMethod" localSheetId="37">'6a - Lighting Counts'!#REF!</definedName>
    <definedName name="LightingMethod" localSheetId="46">'6a - Lighting Counts'!#REF!</definedName>
    <definedName name="LightingMethod" localSheetId="45">'6a - Lighting Counts'!#REF!</definedName>
    <definedName name="LightingMethod" localSheetId="5">'6a - Lighting Counts'!#REF!</definedName>
    <definedName name="LightingMethod" localSheetId="12">'[5]3A - Interior Lighting'!$J$20</definedName>
    <definedName name="LightingMethod" localSheetId="14">'[5]3A - Interior Lighting'!$J$20</definedName>
    <definedName name="LightingMethod" localSheetId="13">'[5]3A - Interior Lighting'!$J$20</definedName>
    <definedName name="LightingMethod" localSheetId="56">'6a - Lighting Counts'!#REF!</definedName>
    <definedName name="LightingMethod" localSheetId="58">'6a - Lighting Counts'!#REF!</definedName>
    <definedName name="LightingMethod" localSheetId="57">'6a - Lighting Counts'!#REF!</definedName>
    <definedName name="LightingMethod" localSheetId="1">'[14]3A - Interior Lighting'!$J$20</definedName>
    <definedName name="LightingMethod" localSheetId="18">'6a - Lighting Counts'!#REF!</definedName>
    <definedName name="LightingMethod" localSheetId="20">'6a - Lighting Counts'!#REF!</definedName>
    <definedName name="LightingMethod" localSheetId="19">'6a - Lighting Counts'!#REF!</definedName>
    <definedName name="LightingMethod" localSheetId="21">'6a - Lighting Counts'!#REF!</definedName>
    <definedName name="LightingMethod" localSheetId="0">'6a - Lighting Counts'!#REF!</definedName>
    <definedName name="LightingMethod" localSheetId="33">'[3]Lighting Counts'!#REF!</definedName>
    <definedName name="LightingMethod" localSheetId="50">'[14]3A - Interior Lighting'!$J$20</definedName>
    <definedName name="LightingSummarySpaceTypes">'6b - General Lighting'!$B$27:$C$59</definedName>
    <definedName name="LPDbySpaceTypeES" localSheetId="53">'[2]Lighting Assumptions'!$G$3:$G$112</definedName>
    <definedName name="LPDbySpaceTypeES">'Lighting Assumptions'!$G$3:$G$112</definedName>
    <definedName name="LPDSpacebySpace" localSheetId="32">'Lighting Assumptions'!$G$3:$G$107</definedName>
    <definedName name="LPDSpacebySpace" localSheetId="12">'[5]LPD-Space by Space'!$A$4:$A$110</definedName>
    <definedName name="LPDSpacebySpace" localSheetId="14">'[5]LPD-Space by Space'!$A$4:$A$110</definedName>
    <definedName name="LPDSpacebySpace" localSheetId="13">'[5]LPD-Space by Space'!$A$4:$A$110</definedName>
    <definedName name="LPDSpacebySpace" localSheetId="1">'[10]LPD-Space by Space'!$A$4:$A$110</definedName>
    <definedName name="LPDSpacebySpace" localSheetId="18">'Lighting Assumptions 90.1-2007'!$G$3:$G$106</definedName>
    <definedName name="LPDSpacebySpace" localSheetId="20">'Lighting Assumptions 90.1-2010'!$G$3:$G$106</definedName>
    <definedName name="LPDSpacebySpace" localSheetId="19">'Lighting Assumptions 90.1-2013'!$G$3:$G$106</definedName>
    <definedName name="LPDSpacebySpace" localSheetId="53">'[2]Lighting Assumptions'!$G$3:$G$107</definedName>
    <definedName name="LPDSpacebySpace" localSheetId="33">'[3]Lighting Assumptions'!$G$3:$G$106</definedName>
    <definedName name="LPDSpacebySpace" localSheetId="50">'[10]LPD-Space by Space'!$A$4:$A$110</definedName>
    <definedName name="LPDSpacebySpace">'Lighting Assumptions'!$G$3:$G$107</definedName>
    <definedName name="LPDSpacebySpace2016" localSheetId="21">'Lighting Assumptions 90.1-2016'!$G$3:$G$106</definedName>
    <definedName name="MBD_BS_Hdr" localSheetId="32">'[15]Multiple Buildings Details'!$B$23:$K$23</definedName>
    <definedName name="MBD_BS_Hdr" localSheetId="1">'1 - Multiple Buildings Details'!$B$22:$K$22</definedName>
    <definedName name="MBD_BS_Hdr" localSheetId="53">'[2]1 - Multiple Buildings Details'!$B$22:$K$22</definedName>
    <definedName name="MBD_BS_Hdr" localSheetId="33">'[3]Multiple Buildings Details'!$B$22:$K$22</definedName>
    <definedName name="MBD_BS_Hdr">'1 - Multiple Buildings Details'!$B$22:$K$22</definedName>
    <definedName name="MBD_BS_Index" localSheetId="32">'[15]Multiple Buildings Details'!$B$23:$B$26</definedName>
    <definedName name="MBD_BS_Index" localSheetId="1">'1 - Multiple Buildings Details'!$B$22:$B$24</definedName>
    <definedName name="MBD_BS_Index" localSheetId="53">'[2]1 - Multiple Buildings Details'!$B$22:$B$24</definedName>
    <definedName name="MBD_BS_Index" localSheetId="33">'[3]Multiple Buildings Details'!$B$22:$B$24</definedName>
    <definedName name="MBD_BS_Index">'1 - Multiple Buildings Details'!$B$22:$B$24</definedName>
    <definedName name="MBD_BS_Table" localSheetId="32">'[15]Multiple Buildings Details'!$B$23:$K$26</definedName>
    <definedName name="MBD_BS_Table" localSheetId="1">'1 - Multiple Buildings Details'!$B$22:$K$24</definedName>
    <definedName name="MBD_BS_Table" localSheetId="53">'[2]1 - Multiple Buildings Details'!$B$22:$K$24</definedName>
    <definedName name="MBD_BS_Table" localSheetId="33">'[3]Multiple Buildings Details'!$B$22:$K$24</definedName>
    <definedName name="MBD_BS_Table">'1 - Multiple Buildings Details'!$B$22:$K$24</definedName>
    <definedName name="MBD_BSTotal_Index" localSheetId="32">'[15]Multiple Buildings Details'!$B$23:$B$27</definedName>
    <definedName name="MBD_BSTotal_Index" localSheetId="1">'1 - Multiple Buildings Details'!$B$22:$B$25</definedName>
    <definedName name="MBD_BSTotal_Index" localSheetId="53">'[2]1 - Multiple Buildings Details'!$B$22:$B$25</definedName>
    <definedName name="MBD_BSTotal_Index" localSheetId="33">'[3]Multiple Buildings Details'!$B$22:$B$25</definedName>
    <definedName name="MBD_BSTotal_Index">'1 - Multiple Buildings Details'!$B$22:$B$25</definedName>
    <definedName name="MBD_EMI_Hdr" localSheetId="32">'[15]Multiple Buildings Details'!$B$16:$K$16</definedName>
    <definedName name="MBD_EMI_Hdr" localSheetId="1">'1 - Multiple Buildings Details'!$B$16:$K$16</definedName>
    <definedName name="MBD_EMI_Hdr" localSheetId="53">'[2]1 - Multiple Buildings Details'!$B$16:$K$16</definedName>
    <definedName name="MBD_EMI_Hdr" localSheetId="33">'[3]Multiple Buildings Details'!$B$16:$K$16</definedName>
    <definedName name="MBD_EMI_Hdr">'1 - Multiple Buildings Details'!$B$16:$K$16</definedName>
    <definedName name="MBD_EMI_Index" localSheetId="32">'[15]Multiple Buildings Details'!$B$16:$B$18</definedName>
    <definedName name="MBD_EMI_Index" localSheetId="1">'1 - Multiple Buildings Details'!$B$16:$B$17</definedName>
    <definedName name="MBD_EMI_Index" localSheetId="53">'[2]1 - Multiple Buildings Details'!$B$16:$B$17</definedName>
    <definedName name="MBD_EMI_Index" localSheetId="33">'[3]Multiple Buildings Details'!$B$16:$B$17</definedName>
    <definedName name="MBD_EMI_Index">'1 - Multiple Buildings Details'!$B$16:$B$17</definedName>
    <definedName name="MBD_EMI_Table" localSheetId="32">'[15]Multiple Buildings Details'!$B$16:$K$18</definedName>
    <definedName name="MBD_EMI_Table" localSheetId="1">'1 - Multiple Buildings Details'!$B$16:$K$17</definedName>
    <definedName name="MBD_EMI_Table" localSheetId="53">'[2]1 - Multiple Buildings Details'!$B$16:$K$17</definedName>
    <definedName name="MBD_EMI_Table" localSheetId="33">'[3]Multiple Buildings Details'!$B$16:$K$17</definedName>
    <definedName name="MBD_EMI_Table">'1 - Multiple Buildings Details'!$B$16:$K$17</definedName>
    <definedName name="MBD_EMSubsetRange" localSheetId="4">'1 - Multiple Buildings Details'!$D$23:$K$23</definedName>
    <definedName name="MBD_LEEDNDEMSubsetExist" localSheetId="32">'[15]Multiple Buildings Details'!$O$12</definedName>
    <definedName name="MBD_LEEDNDEMSubsetExist" localSheetId="1">'1 - Multiple Buildings Details'!$O$12</definedName>
    <definedName name="MBD_LEEDNDEMSubsetExist" localSheetId="53">'[2]1 - Multiple Buildings Details'!$O$12</definedName>
    <definedName name="MBD_LEEDNDEMSubsetExist" localSheetId="33">'[3]Multiple Buildings Details'!$O$12</definedName>
    <definedName name="MBD_LEEDNDEMSubsetExist">'1 - Multiple Buildings Details'!$O$12</definedName>
    <definedName name="MBD_rbModelMethod">'1 - Multiple Buildings Details'!$O$6</definedName>
    <definedName name="MD_BUS_Hdr" localSheetId="32">'[4]Multifamily Details'!$B$11:$U$11</definedName>
    <definedName name="MD_BUS_Hdr" localSheetId="1">'3 - Multifamily Details'!$B$11:$U$11</definedName>
    <definedName name="MD_BUS_Hdr" localSheetId="53">'[2]3 - Multifamily Details'!$B$11:$U$11</definedName>
    <definedName name="MD_BUS_Hdr" localSheetId="33">'[3]Multifamily Details'!$B$11:$U$11</definedName>
    <definedName name="MD_BUS_Hdr">'3 - Multifamily Details'!$B$11:$U$11</definedName>
    <definedName name="MD_BUS_Index" localSheetId="32">'[4]Multifamily Details'!$B$11:$B$12</definedName>
    <definedName name="MD_BUS_Index" localSheetId="1">'3 - Multifamily Details'!$B$11:$B$13</definedName>
    <definedName name="MD_BUS_Index" localSheetId="53">'[2]3 - Multifamily Details'!$B$11:$B$12</definedName>
    <definedName name="MD_BUS_Index" localSheetId="33">'[3]Multifamily Details'!$B$11:$B$12</definedName>
    <definedName name="MD_BUS_Index">'3 - Multifamily Details'!$B$11:$B$12</definedName>
    <definedName name="MD_BUS_SumHdr" localSheetId="32">'[4]Multifamily Details'!$B$21:$U$21</definedName>
    <definedName name="MD_BUS_SumHdr" localSheetId="1">'3 - Multifamily Details'!$B$22:$U$22</definedName>
    <definedName name="MD_BUS_SumHdr" localSheetId="53">'[2]3 - Multifamily Details'!$B$21:$U$21</definedName>
    <definedName name="MD_BUS_SumHdr" localSheetId="33">'[3]Multifamily Details'!$B$21:$U$21</definedName>
    <definedName name="MD_BUS_SumHdr">'3 - Multifamily Details'!$B$21:$U$21</definedName>
    <definedName name="MD_BUS_SumIndex" localSheetId="32">'[4]Multifamily Details'!$B$21:$B$22</definedName>
    <definedName name="MD_BUS_SumIndex" localSheetId="1">'3 - Multifamily Details'!$B$22:$B$24</definedName>
    <definedName name="MD_BUS_SumIndex" localSheetId="53">'[2]3 - Multifamily Details'!$B$21:$B$22</definedName>
    <definedName name="MD_BUS_SumIndex" localSheetId="33">'[3]Multifamily Details'!$B$21:$B$22</definedName>
    <definedName name="MD_BUS_SumIndex">'3 - Multifamily Details'!$B$21:$B$22</definedName>
    <definedName name="MD_BUS_SumTable" localSheetId="32">'[4]Multifamily Details'!$B$21:$U$22</definedName>
    <definedName name="MD_BUS_SumTable" localSheetId="1">'3 - Multifamily Details'!$B$22:$U$24</definedName>
    <definedName name="MD_BUS_SumTable" localSheetId="53">'[2]3 - Multifamily Details'!$B$21:$U$22</definedName>
    <definedName name="MD_BUS_SumTable" localSheetId="33">'[3]Multifamily Details'!$B$21:$U$22</definedName>
    <definedName name="MD_BUS_SumTable">'3 - Multifamily Details'!$B$21:$U$22</definedName>
    <definedName name="MD_BUS_Table" localSheetId="32">'[4]Multifamily Details'!$B$11:$U$12</definedName>
    <definedName name="MD_BUS_Table" localSheetId="1">'3 - Multifamily Details'!$B$11:$U$13</definedName>
    <definedName name="MD_BUS_Table" localSheetId="53">'[2]3 - Multifamily Details'!$B$11:$U$12</definedName>
    <definedName name="MD_BUS_Table" localSheetId="33">'[3]Multifamily Details'!$B$11:$U$12</definedName>
    <definedName name="MD_BUS_Table">'3 - Multifamily Details'!$B$11:$U$12</definedName>
    <definedName name="MD_HDUEC_Hdr" localSheetId="53">'[2]3 - Multifamily Details'!$B$31:$U$31</definedName>
    <definedName name="MD_HDUEC_Hdr" localSheetId="33">'[3]Multifamily Details'!$B$31:$U$31</definedName>
    <definedName name="MD_HDUEC_Hdr">'3 - Multifamily Details'!$B$31:$U$31</definedName>
    <definedName name="MD_HDUEC_Index" localSheetId="1">'3 - Multifamily Details'!$B$31:$B$35</definedName>
    <definedName name="MD_HDUEC_Index" localSheetId="33">'[3]Multifamily Details'!$B$31:$B$35</definedName>
    <definedName name="MD_HDUEC_Index1" localSheetId="53">'[2]3 - Multifamily Details'!$B$31:$B$34</definedName>
    <definedName name="MD_HDUEC_Index1">'3 - Multifamily Details'!$B$31:$B$35</definedName>
    <definedName name="MD_HDUEC_Table">'3 - Multifamily Details'!$B$31:$U$32</definedName>
    <definedName name="MD_HDUEMS_Table">'3 - Multifamily Details'!$B$47:$U$48</definedName>
    <definedName name="MD_HLREMS_Index">'3 - Multifamily Details'!$B$74:$B$75</definedName>
    <definedName name="MD_HLREMS_Table">'3 - Multifamily Details'!$B$74:$U$75</definedName>
    <definedName name="MD_HSWHLS_Table">'3 - Multifamily Details'!$B$91:$W$92</definedName>
    <definedName name="MD_Laundry_Hdr" localSheetId="32">'[4]Multifamily Details'!$B$58:$U$58</definedName>
    <definedName name="MD_Laundry_Hdr" localSheetId="1">'3 - Multifamily Details'!$B$60:$U$60</definedName>
    <definedName name="MD_Laundry_Hdr" localSheetId="53">'[2]3 - Multifamily Details'!$B$57:$U$57</definedName>
    <definedName name="MD_Laundry_Hdr" localSheetId="33">'[3]Multifamily Details'!$B$58:$U$58</definedName>
    <definedName name="MD_Laundry_Hdr">'3 - Multifamily Details'!$B$58:$U$58</definedName>
    <definedName name="MD_Laundry_Index" localSheetId="32">'[4]Multifamily Details'!$B$58:$B$61</definedName>
    <definedName name="MD_Laundry_Index" localSheetId="1">'3 - Multifamily Details'!$B$60:$B$63</definedName>
    <definedName name="MD_Laundry_Index" localSheetId="53">'[2]3 - Multifamily Details'!$B$57:$B$60</definedName>
    <definedName name="MD_Laundry_Index" localSheetId="33">'[3]Multifamily Details'!$B$58:$B$62</definedName>
    <definedName name="MD_Laundry_Index">'3 - Multifamily Details'!$B$58:$B$61</definedName>
    <definedName name="MD_Laundry_Table">'3 - Multifamily Details'!$B$58:$U$61</definedName>
    <definedName name="MD_SWH_Profile" localSheetId="8">'3 - Multifamily Details'!$B$82:$B$84</definedName>
    <definedName name="ModelingMethod">DropdownData!$BH$2:$BH$3</definedName>
    <definedName name="Motor_Horsepower" localSheetId="12">'[5]HVAC Lookup'!$U$10:$W$32</definedName>
    <definedName name="Motor_Horsepower" localSheetId="14">'[5]HVAC Lookup'!$U$10:$W$32</definedName>
    <definedName name="Motor_Horsepower" localSheetId="13">'[5]HVAC Lookup'!$U$10:$W$32</definedName>
    <definedName name="Motor_Horsepower" localSheetId="56">'HVAC Lookup 90.1-2007'!$Q$10:$T$29</definedName>
    <definedName name="Motor_Horsepower" localSheetId="58">'HVAC Lookup 90.1-2010'!$Q$10:$T$29</definedName>
    <definedName name="Motor_Horsepower" localSheetId="57">'HVAC Lookup 90.1-2013'!$Q$10:$T$29</definedName>
    <definedName name="Motor_Horsepower" localSheetId="1">'HVAC Lookup'!$U$10:$W$32</definedName>
    <definedName name="Motor_Horsepower" localSheetId="50">'HVAC Lookup'!$U$10:$W$32</definedName>
    <definedName name="Motor_Horsepower">'HVAC Lookup'!$Q$10:$T$29</definedName>
    <definedName name="Motor_Horsepower_Nominal_Efficiency_IP" localSheetId="32">'HVAC Lookup'!$Q$10:$U$29</definedName>
    <definedName name="Motor_Horsepower_Nominal_Efficiency_IP" localSheetId="56">'HVAC Lookup 90.1-2007'!$Q$10:$U$29</definedName>
    <definedName name="Motor_Horsepower_Nominal_Efficiency_IP" localSheetId="58">'HVAC Lookup 90.1-2010'!$Q$10:$U$29</definedName>
    <definedName name="Motor_Horsepower_Nominal_Efficiency_IP" localSheetId="57">'HVAC Lookup 90.1-2013'!$Q$10:$U$29</definedName>
    <definedName name="Motor_Horsepower_Nominal_Efficiency_IP" localSheetId="1">'HVAC Lookup'!$Q$10:$U$29</definedName>
    <definedName name="Motor_Horsepower_Nominal_Efficiency_IP" localSheetId="53">'[2]HVAC Lookup'!$Q$10:$U$29</definedName>
    <definedName name="Motor_Horsepower_Nominal_Efficiency_IP" localSheetId="33">'[3]HVAC Lookup'!$Q$10:$U$29</definedName>
    <definedName name="Motor_Horsepower_Nominal_Efficiency_IP">'HVAC Lookup'!$Q$10:$U$29</definedName>
    <definedName name="Motor_Horsepower_Nominal_Efficiency_SI" localSheetId="32">'HVAC Lookup'!$R$10:$U$32</definedName>
    <definedName name="Motor_Horsepower_Nominal_Efficiency_SI" localSheetId="56">'HVAC Lookup 90.1-2007'!$R$10:$U$32</definedName>
    <definedName name="Motor_Horsepower_Nominal_Efficiency_SI" localSheetId="58">'HVAC Lookup 90.1-2010'!$R$10:$U$32</definedName>
    <definedName name="Motor_Horsepower_Nominal_Efficiency_SI" localSheetId="57">'HVAC Lookup 90.1-2013'!$R$10:$U$32</definedName>
    <definedName name="Motor_Horsepower_Nominal_Efficiency_SI" localSheetId="1">'HVAC Lookup'!$R$10:$U$32</definedName>
    <definedName name="Motor_Horsepower_Nominal_Efficiency_SI" localSheetId="53">'[2]HVAC Lookup'!$R$10:$U$32</definedName>
    <definedName name="Motor_Horsepower_Nominal_Efficiency_SI" localSheetId="33">'[3]HVAC Lookup'!$R$10:$U$32</definedName>
    <definedName name="Motor_Horsepower_Nominal_Efficiency_SI">'HVAC Lookup'!$R$10:$U$32</definedName>
    <definedName name="MultipleBuildingsExist" localSheetId="32">'General Information'!$E$26</definedName>
    <definedName name="MultipleBuildingsExist" localSheetId="1">'General Information'!$K$16</definedName>
    <definedName name="MultipleBuildingsExist" localSheetId="53">'[2]General Information'!$F$13</definedName>
    <definedName name="MultipleBuildingsExist" localSheetId="33">'[3]General Information'!$F$20</definedName>
    <definedName name="MultipleBuildingsExist">'General Information'!$K$16</definedName>
    <definedName name="Natural_Gas">DropdownData!$B$3:$B$11</definedName>
    <definedName name="NewExisting" localSheetId="12">'Envelope Lookup 90.1-2007'!$BT$3:$BT$4</definedName>
    <definedName name="NewExisting" localSheetId="14">'Envelope Lookup 90.1-2010'!$CR$3:$CR$4</definedName>
    <definedName name="NewExisting">'Envelope Lookup 90.1-2013'!$CR$3:$CR$4</definedName>
    <definedName name="NoA" localSheetId="12">'[5]HVAC Lookup'!$E$39:$E$49</definedName>
    <definedName name="NoA" localSheetId="14">'[5]HVAC Lookup'!$E$39:$E$49</definedName>
    <definedName name="NoA" localSheetId="13">'[5]HVAC Lookup'!$E$39:$E$49</definedName>
    <definedName name="NoA" localSheetId="56">'HVAC Lookup 90.1-2007'!$E$38:$E$50</definedName>
    <definedName name="NoA" localSheetId="58">'HVAC Lookup 90.1-2010'!$E$38:$E$50</definedName>
    <definedName name="NoA" localSheetId="57">'HVAC Lookup 90.1-2013'!$E$38:$E$50</definedName>
    <definedName name="NoA" localSheetId="1">'HVAC Lookup'!$E$39:$E$49</definedName>
    <definedName name="NoA" localSheetId="50">'HVAC Lookup'!$E$39:$E$49</definedName>
    <definedName name="NoA">'HVAC Lookup'!$E$38:$E$50</definedName>
    <definedName name="NoEconomizer" localSheetId="12">'[5]HVAC Lookup'!$H$39:$H$50</definedName>
    <definedName name="NoEconomizer" localSheetId="14">'[5]HVAC Lookup'!$H$39:$H$50</definedName>
    <definedName name="NoEconomizer" localSheetId="13">'[5]HVAC Lookup'!$H$39:$H$50</definedName>
    <definedName name="NoEconomizer" localSheetId="56">'HVAC Lookup 90.1-2007'!$H$38:$H$52</definedName>
    <definedName name="NoEconomizer" localSheetId="58">'HVAC Lookup 90.1-2010'!$H$38:$H$52</definedName>
    <definedName name="NoEconomizer" localSheetId="57">'HVAC Lookup 90.1-2013'!$H$38:$H$52</definedName>
    <definedName name="NoEconomizer" localSheetId="1">'HVAC Lookup'!$H$39:$H$50</definedName>
    <definedName name="NoEconomizer" localSheetId="50">'HVAC Lookup'!$H$39:$H$50</definedName>
    <definedName name="NoEconomizer">'HVAC Lookup'!$H$38:$H$52</definedName>
    <definedName name="NonresidentialGlazing" localSheetId="32">'Envelope Lookup 90.1-2013'!$CG$3:$CG$6</definedName>
    <definedName name="NonresidentialGlazing" localSheetId="12">'Envelope Lookup 90.1-2007'!$CG$3:$CG$6+'Envelope Lookup 90.1-2007'!$CG$3:$CG$6</definedName>
    <definedName name="NonresidentialGlazing" localSheetId="14">'Envelope Lookup 90.1-2010'!$DE$3:$DE$6+'Envelope Lookup 90.1-2010'!$DE$3:$DE$6</definedName>
    <definedName name="NonresidentialGlazing" localSheetId="1">'Envelope Lookup 90.1-2013'!$DE$3:$DE$6</definedName>
    <definedName name="NonresidentialGlazing" localSheetId="53">'[2]Envelope Lookup 90.1-2013'!$DE$3:$DE$6+'[2]Envelope Lookup 90.1-2013'!$DE$3:$DE$6</definedName>
    <definedName name="NonresidentialGlazing">'Envelope Lookup 90.1-2013'!$DE$3:$DE$6+'Envelope Lookup 90.1-2013'!$DE$3:$DE$6</definedName>
    <definedName name="OA_AGEWC_hdr">'5 - Opaque Assemblies'!$B$61:$X$61</definedName>
    <definedName name="OA_AGEWC_Index">'5 - Opaque Assemblies'!$B$61:$B$62</definedName>
    <definedName name="OA_AGEWC_table">'5 - Opaque Assemblies'!$B$62:$X$65</definedName>
    <definedName name="OA_BGEWC_hdr">'5 - Opaque Assemblies'!$B$71:$X$71</definedName>
    <definedName name="OA_BGEWC_Index">'5 - Opaque Assemblies'!$B$71:$B$72</definedName>
    <definedName name="OA_BGEWC_table">'5 - Opaque Assemblies'!$B$72:$X$75</definedName>
    <definedName name="OA_EFC_hdr">'5 - Opaque Assemblies'!$B$81:$X$81</definedName>
    <definedName name="OA_EFC_Index">'5 - Opaque Assemblies'!$B$81:$B$82</definedName>
    <definedName name="OA_EFC_table">'5 - Opaque Assemblies'!$B$82:$X$85</definedName>
    <definedName name="OA_OBEC_hdr">'5 - Opaque Assemblies'!$B$51:$X$51</definedName>
    <definedName name="OA_OBEC_Index">'5 - Opaque Assemblies'!$B$51:$B$52</definedName>
    <definedName name="OA_OBEC_table">'5 - Opaque Assemblies'!$B$52:$X$55</definedName>
    <definedName name="OA_OD_hdr">'5 - Opaque Assemblies'!$B$101:$X$101</definedName>
    <definedName name="OA_OD_Index">'5 - Opaque Assemblies'!$B$101:$B$102</definedName>
    <definedName name="OA_OD_table">'5 - Opaque Assemblies'!$B$105:$X$105</definedName>
    <definedName name="OA_SOGF_hdr">'5 - Opaque Assemblies'!$B$91:$X$91</definedName>
    <definedName name="OA_SOGF_Index">'5 - Opaque Assemblies'!$B$91:$B$92</definedName>
    <definedName name="OA_SOGF_table">'5 - Opaque Assemblies'!$B$92:$X$95</definedName>
    <definedName name="OtherHRanges" localSheetId="56">'HVAC Lookup 90.1-2007'!$AA$37:$AA$39</definedName>
    <definedName name="OtherHRanges" localSheetId="58">'HVAC Lookup 90.1-2010'!$AA$37:$AA$39</definedName>
    <definedName name="OtherHRanges" localSheetId="57">'HVAC Lookup 90.1-2013'!$AA$37:$AA$39</definedName>
    <definedName name="OtherHRanges" localSheetId="33">'[3]HVAC Lookup'!$AA$37:$AA$39</definedName>
    <definedName name="OtherHRanges">'HVAC Lookup'!$AA$40:$AA$42</definedName>
    <definedName name="OutputSheetNames">DropdownData!$CL$3:$CL$4</definedName>
    <definedName name="P4P_measureNumber">"1,2,3,4,5,6,7,8,9,10,11,12,13,14,15,16,17,18,19,20,21,22,23,24,25"</definedName>
    <definedName name="pctNew" localSheetId="32">'General Information'!$K$16</definedName>
    <definedName name="pctNew" localSheetId="1">'General Information'!$H$31</definedName>
    <definedName name="pctNew" localSheetId="53">'[2]General Information'!$G$24</definedName>
    <definedName name="pctNew" localSheetId="33">'[3]General Information'!$F$14</definedName>
    <definedName name="pctNew">'General Information'!$H$31</definedName>
    <definedName name="PctRenovation" localSheetId="32">'General Information'!$E$18</definedName>
    <definedName name="PctRenovation" localSheetId="1">'General Information'!$I$31</definedName>
    <definedName name="PctRenovation" localSheetId="53">'[2]General Information'!$H$24</definedName>
    <definedName name="PctRenovation" localSheetId="33">'[3]General Information'!$F$16</definedName>
    <definedName name="PctRenovation">'General Information'!$I$31</definedName>
    <definedName name="PL_BAEPD_Hdr">'7 - Process Loads'!$B$20:$I$20</definedName>
    <definedName name="PL_BAEPD_Index">'7 - Process Loads'!$B$20:$B$21</definedName>
    <definedName name="PL_BAEPD_Table">'7 - Process Loads'!$B$20:$I$21</definedName>
    <definedName name="PL_BAEPDInput_Index">'7 - Process Loads'!$B$21:$B$21</definedName>
    <definedName name="PL_EPD_SumHdr">'7 - Process Loads'!$B$86:$I$86</definedName>
    <definedName name="PL_EPD_SumIndex">'7 - Process Loads'!$B$86:$B$87</definedName>
    <definedName name="PL_EPD_SumTable">'7 - Process Loads'!$B$86:$I$87</definedName>
    <definedName name="PL_GFPC_Index">'7 - Process Loads'!$B$109:$B$110</definedName>
    <definedName name="PL_GFPC_Table">'7 - Process Loads'!$B$109:$I$110</definedName>
    <definedName name="PL_NRPEInput_Index">'7 - Process Loads'!$B$91:$B$94</definedName>
    <definedName name="PL_REMM_BAMBoolean">'7 - Process Loads'!$O$16</definedName>
    <definedName name="PL_REMM_Description">'7 - Process Loads'!$B$16</definedName>
    <definedName name="PL_REMM_SxSBoolean">'7 - Process Loads'!$P$16</definedName>
    <definedName name="PL_SxSEPD_Hdr">'7 - Process Loads'!$B$37:$I$37</definedName>
    <definedName name="PL_SxSEPD_Index">'7 - Process Loads'!$B$37:$B$38</definedName>
    <definedName name="PL_SxSEPD_Table">'7 - Process Loads'!$B$37:$I$38</definedName>
    <definedName name="PL_SxSEPDInput_Index">'7 - Process Loads'!$B$38:$B$39</definedName>
    <definedName name="PO_base_Add_EndUses" localSheetId="34">'12 - Performance_Outputs_1'!$B$196:$C$203</definedName>
    <definedName name="PO_base_Add_EndUses" localSheetId="0">Performance_Outputs_0!$B$181:$C$192</definedName>
    <definedName name="PO_base_Add_EndUses" localSheetId="43">'Performance_Outputs_0 old'!$B$133:$C$144</definedName>
    <definedName name="PO_baseline_hdr" localSheetId="34">'12 - Performance_Outputs_1'!$B$145:$T$145</definedName>
    <definedName name="PO_baseline_hdr" localSheetId="0">Performance_Outputs_0!$B$144:$S$144</definedName>
    <definedName name="PO_baseline_hdr" localSheetId="43">'Performance_Outputs_0 old'!$B$96:$S$96</definedName>
    <definedName name="PO_baseline_index" localSheetId="34">'12 - Performance_Outputs_1'!$B$146:$B$203</definedName>
    <definedName name="PO_baseline_index" localSheetId="0">Performance_Outputs_0!$B$145:$B$192</definedName>
    <definedName name="PO_baseline_index" localSheetId="43">'Performance_Outputs_0 old'!$B$97:$B$144</definedName>
    <definedName name="PO_Baseline_Subtotal_table" localSheetId="34">'12 - Performance_Outputs_1'!$E$299:$G$305</definedName>
    <definedName name="PO_Baseline_Subtotal_table" localSheetId="0">Performance_Outputs_0!$E$296:$G$311</definedName>
    <definedName name="PO_Baseline_Subtotal_table" localSheetId="43">'Performance_Outputs_0 old'!$E$224:$G$227</definedName>
    <definedName name="PO_Baseline_Subtotal_table" localSheetId="44">Performance_Outputs_Summary!$E$85:$G$100</definedName>
    <definedName name="PO_baseline_table" localSheetId="32">[16]Performance_Outputs_1!$B$111:$S$160</definedName>
    <definedName name="PO_baseline_table" localSheetId="1">'12 - Performance_Outputs_1'!$B$146:$T$201</definedName>
    <definedName name="PO_baseline_table" localSheetId="0">Performance_Outputs_0!$B$145:$S$192</definedName>
    <definedName name="PO_baseline_table" localSheetId="43">'Performance_Outputs_0 old'!$B$97:$S$144</definedName>
    <definedName name="PO_baseline_table" localSheetId="53">'[2]12 - Performance_Outputs_1'!$B$119:$S$176</definedName>
    <definedName name="PO_baseline_table" localSheetId="33">[3]Performance_Outputs_1!$B$97:$S$144</definedName>
    <definedName name="PO_baseline_table">'12 - Performance_Outputs_1'!$B$146:$T$203</definedName>
    <definedName name="PO_BaselineSection" localSheetId="34">'12 - Performance_Outputs_1'!$136:$228</definedName>
    <definedName name="PO_BaselineSection" localSheetId="0">Performance_Outputs_0!$135:$233</definedName>
    <definedName name="PO_BaselineSection" localSheetId="43">'Performance_Outputs_0 old'!$87:$161</definedName>
    <definedName name="PO_Datacenter_averaged_tables" localSheetId="34">'12 - Performance_Outputs_1'!$355:$392</definedName>
    <definedName name="PO_Datacenter_averaged_tables" localSheetId="0">Performance_Outputs_0!$388:$452</definedName>
    <definedName name="PO_Datacenter_averaged_tables" localSheetId="43">'Performance_Outputs_0 old'!$268:$296</definedName>
    <definedName name="PO_Datacenter_averaged_tables" localSheetId="44">Performance_Outputs_Summary!$142:$163</definedName>
    <definedName name="PO_Datacenter_PUE_table" localSheetId="34">'12 - Performance_Outputs_1'!$432:$446</definedName>
    <definedName name="PO_Datacenter_PUE_table" localSheetId="0">Performance_Outputs_0!$477:$500</definedName>
    <definedName name="PO_Datacenter_PUE_table" localSheetId="43">'Performance_Outputs_0 old'!$308:$319</definedName>
    <definedName name="PO_Datacenter_text1" localSheetId="34">'12 - Performance_Outputs_1'!$84:$84</definedName>
    <definedName name="PO_Datacenter_text1" localSheetId="0">Performance_Outputs_0!$73:$73</definedName>
    <definedName name="PO_Datacenter_text1" localSheetId="43">'Performance_Outputs_0 old'!$49:$49</definedName>
    <definedName name="PO_Datacenter_text2" localSheetId="34">'12 - Performance_Outputs_1'!$141:$141</definedName>
    <definedName name="PO_Datacenter_text2" localSheetId="0">Performance_Outputs_0!$140:$140</definedName>
    <definedName name="PO_Datacenter_text2" localSheetId="43">'Performance_Outputs_0 old'!$92:$92</definedName>
    <definedName name="PO_Datacenter_text3" localSheetId="34">'12 - Performance_Outputs_1'!$233:$233</definedName>
    <definedName name="PO_Datacenter_text3" localSheetId="0">Performance_Outputs_0!$238:$238</definedName>
    <definedName name="PO_Datacenter_text3" localSheetId="43">'Performance_Outputs_0 old'!$166:$166</definedName>
    <definedName name="PO_DES_PRM_Section" localSheetId="34">'12 - Performance_Outputs_1'!$330:$354</definedName>
    <definedName name="PO_DES_PRM_Section" localSheetId="0">Performance_Outputs_0!$354:$387</definedName>
    <definedName name="PO_DES_PRM_Section" localSheetId="43">'Performance_Outputs_0 old'!$246:$267</definedName>
    <definedName name="PO_DESbase_Enrgy_Hdr" localSheetId="34">'12 - Performance_Outputs_1'!$B$334:$S$334</definedName>
    <definedName name="PO_DESbase_Enrgy_Hdr" localSheetId="0">Performance_Outputs_0!$B$358:$R$358</definedName>
    <definedName name="PO_DESbase_Enrgy_Hdr" localSheetId="43">'Performance_Outputs_0 old'!$B$250:$R$250</definedName>
    <definedName name="PO_DESbase_Enrgy_Index" localSheetId="34">'12 - Performance_Outputs_1'!$B$334:$B$337</definedName>
    <definedName name="PO_DESbase_Enrgy_Index" localSheetId="0">Performance_Outputs_0!$B$358:$B$361</definedName>
    <definedName name="PO_DESbase_Enrgy_Index" localSheetId="43">'Performance_Outputs_0 old'!$B$250:$B$253</definedName>
    <definedName name="PO_DESbase_Enrgy_Table" localSheetId="34">'12 - Performance_Outputs_1'!$B$336:$S$337</definedName>
    <definedName name="PO_DESbase_Enrgy_Table" localSheetId="0">Performance_Outputs_0!$B$360:$R$361</definedName>
    <definedName name="PO_DESbase_Enrgy_Table" localSheetId="43">'Performance_Outputs_0 old'!$B$252:$R$253</definedName>
    <definedName name="PO_DESdesign_Enrgy_Hdr" localSheetId="34">'12 - Performance_Outputs_1'!$B$338:$M$338</definedName>
    <definedName name="PO_DESdesign_Enrgy_Hdr" localSheetId="0">Performance_Outputs_0!$B$362:$M$362</definedName>
    <definedName name="PO_DESdesign_Enrgy_Hdr" localSheetId="43">'Performance_Outputs_0 old'!$B$254:$M$254</definedName>
    <definedName name="PO_DESdesign_Enrgy_Index" localSheetId="34">'12 - Performance_Outputs_1'!$B$338:$B$341</definedName>
    <definedName name="PO_DESdesign_Enrgy_Index" localSheetId="0">Performance_Outputs_0!$B$362:$B$365</definedName>
    <definedName name="PO_DESdesign_Enrgy_Index" localSheetId="43">'Performance_Outputs_0 old'!$B$254:$B$257</definedName>
    <definedName name="PO_DESdesign_Enrgy_Table" localSheetId="34">'12 - Performance_Outputs_1'!$B$340:$S$341</definedName>
    <definedName name="PO_DESdesign_Enrgy_Table" localSheetId="0">Performance_Outputs_0!$B$364:$R$365</definedName>
    <definedName name="PO_DESdesign_Enrgy_Table" localSheetId="43">'Performance_Outputs_0 old'!$B$256:$R$257</definedName>
    <definedName name="PO_design_Add_EndUses" localSheetId="34">'12 - Performance_Outputs_1'!$B$288:$B$293</definedName>
    <definedName name="PO_design_Add_EndUses" localSheetId="0">Performance_Outputs_0!$B$279:$B$290</definedName>
    <definedName name="PO_design_Add_EndUses" localSheetId="43">'Performance_Outputs_0 old'!$B$207:$B$218</definedName>
    <definedName name="PO_design_Add_EndUses" localSheetId="44">Performance_Outputs_Summary!$B$68:$B$79</definedName>
    <definedName name="PO_design_hdr" localSheetId="34">'12 - Performance_Outputs_1'!$B$237:$U$237</definedName>
    <definedName name="PO_design_hdr" localSheetId="0">Performance_Outputs_0!$B$242:$T$242</definedName>
    <definedName name="PO_design_hdr" localSheetId="43">'Performance_Outputs_0 old'!$B$170:$T$170</definedName>
    <definedName name="PO_design_hdr" localSheetId="44">Performance_Outputs_Summary!$B$31:$R$31</definedName>
    <definedName name="PO_design_hdr" localSheetId="42">'12 - Performance_Outputs_1'!$B$237:$U$237</definedName>
    <definedName name="PO_design_index" localSheetId="34">'12 - Performance_Outputs_1'!$B$237:$B$293</definedName>
    <definedName name="PO_design_index" localSheetId="0">Performance_Outputs_0!$B$242:$B$290</definedName>
    <definedName name="PO_design_index" localSheetId="43">'Performance_Outputs_0 old'!$B$170:$B$218</definedName>
    <definedName name="PO_design_index" localSheetId="44">Performance_Outputs_Summary!$B$31:$B$79</definedName>
    <definedName name="PO_design_table" localSheetId="34">'12 - Performance_Outputs_1'!$B$238:$U$293</definedName>
    <definedName name="PO_design_table" localSheetId="0">Performance_Outputs_0!$B$243:$T$290</definedName>
    <definedName name="PO_design_table" localSheetId="43">'Performance_Outputs_0 old'!$B$171:$T$218</definedName>
    <definedName name="PO_design_table" localSheetId="44">Performance_Outputs_Summary!$B$32:$R$79</definedName>
    <definedName name="PO_design_table" localSheetId="42">'12 - Performance_Outputs_1'!$B$238:$U$293</definedName>
    <definedName name="PO_DesignOutputs_Section" localSheetId="44">Performance_Outputs_Summary!$28:$79</definedName>
    <definedName name="PO_DESPath1_text1" localSheetId="34">'12 - Performance_Outputs_1'!$10:$10</definedName>
    <definedName name="PO_DESPath1_text1" localSheetId="0">Performance_Outputs_0!$10:$10</definedName>
    <definedName name="PO_DESPath1_text1" localSheetId="43">'Performance_Outputs_0 old'!$10:$10</definedName>
    <definedName name="PO_DESPath1_text2" localSheetId="34">'12 - Performance_Outputs_1'!$138:$138</definedName>
    <definedName name="PO_DESPath1_text2" localSheetId="0">Performance_Outputs_0!$137:$137</definedName>
    <definedName name="PO_DESPath1_text2" localSheetId="43">'Performance_Outputs_0 old'!$89:$89</definedName>
    <definedName name="PO_DESPath1_text3" localSheetId="34">'12 - Performance_Outputs_1'!$230:$230</definedName>
    <definedName name="PO_DESPath1_text3" localSheetId="0">Performance_Outputs_0!$235:$235</definedName>
    <definedName name="PO_DESPath1_text3" localSheetId="43">'Performance_Outputs_0 old'!$163:$163</definedName>
    <definedName name="PO_DESPath2_text1" localSheetId="34">'12 - Performance_Outputs_1'!$11:$11</definedName>
    <definedName name="PO_DESPath2_text1" localSheetId="0">Performance_Outputs_0!$11:$11</definedName>
    <definedName name="PO_DESPath2_text1" localSheetId="43">'Performance_Outputs_0 old'!$11:$11</definedName>
    <definedName name="PO_DESPath2_text2" localSheetId="34">'12 - Performance_Outputs_1'!$139:$139</definedName>
    <definedName name="PO_DESPath2_text2" localSheetId="0">Performance_Outputs_0!$138:$138</definedName>
    <definedName name="PO_DESPath2_text2" localSheetId="43">'Performance_Outputs_0 old'!$90:$90</definedName>
    <definedName name="PO_DESpath2_text3" localSheetId="34">'12 - Performance_Outputs_1'!$231:$231</definedName>
    <definedName name="PO_DESpath2_text3" localSheetId="0">Performance_Outputs_0!$236:$236</definedName>
    <definedName name="PO_DESpath2_text3" localSheetId="43">'Performance_Outputs_0 old'!$164:$164</definedName>
    <definedName name="PO_DESPath3_tables" localSheetId="34">'12 - Performance_Outputs_1'!$330:$354</definedName>
    <definedName name="PO_DESPath3_tables" localSheetId="0">Performance_Outputs_0!$354:$387</definedName>
    <definedName name="PO_DESPath3_tables" localSheetId="43">'Performance_Outputs_0 old'!$246:$267</definedName>
    <definedName name="PO_DESPath3_text1" localSheetId="34">'12 - Performance_Outputs_1'!$12:$12</definedName>
    <definedName name="PO_DESPath3_text1" localSheetId="0">Performance_Outputs_0!$12:$12</definedName>
    <definedName name="PO_DESPath3_text1" localSheetId="43">'Performance_Outputs_0 old'!$12:$12</definedName>
    <definedName name="PO_DESPath3_text2" localSheetId="34">'12 - Performance_Outputs_1'!$140:$140</definedName>
    <definedName name="PO_DESPath3_text2" localSheetId="0">Performance_Outputs_0!$139:$139</definedName>
    <definedName name="PO_DESPath3_text2" localSheetId="43">'Performance_Outputs_0 old'!$91:$91</definedName>
    <definedName name="PO_DESPath3_text3" localSheetId="34">'12 - Performance_Outputs_1'!$232:$232</definedName>
    <definedName name="PO_DESPath3_text3" localSheetId="0">Performance_Outputs_0!$237:$237</definedName>
    <definedName name="PO_DESPath3_text3" localSheetId="43">'Performance_Outputs_0 old'!$165:$165</definedName>
    <definedName name="PO_DESPath3outputs" localSheetId="44">Performance_Outputs_Summary!$143:$162</definedName>
    <definedName name="PO_EnergyEndUses" localSheetId="34">'12 - Performance_Outputs_1'!$B$246:$C$293</definedName>
    <definedName name="PO_EnergyEndUses" localSheetId="0">Performance_Outputs_0!$B$279:$C$290</definedName>
    <definedName name="PO_EnergyEndUses" localSheetId="43">'Performance_Outputs_0 old'!$B$207:$C$218</definedName>
    <definedName name="PO_EnergyEndUses" localSheetId="44">Performance_Outputs_Summary!$B$68:$C$79</definedName>
    <definedName name="PO_EnergyReportingMethod" localSheetId="34">'12 - Performance_Outputs_1'!$S$126</definedName>
    <definedName name="PO_EnergyReportingMethod" localSheetId="0">Performance_Outputs_0!$R$125</definedName>
    <definedName name="PO_EnergyReportingMethod" localSheetId="43">'Performance_Outputs_0 old'!$R$77</definedName>
    <definedName name="PO_EnergyReportingMethod" localSheetId="42">'12 - Performance_Outputs_1'!$S$126</definedName>
    <definedName name="PO_EnergySources_Section" localSheetId="44">Performance_Outputs_Summary!$5:$27</definedName>
    <definedName name="PO_EnergyType" localSheetId="34">'12 - Performance_Outputs_1'!$B$17:$C$18</definedName>
    <definedName name="PO_EnergyType" localSheetId="0">Performance_Outputs_0!$B$17:$C$18</definedName>
    <definedName name="PO_EnergyType" localSheetId="43">'Performance_Outputs_0 old'!$B$17:$C$18</definedName>
    <definedName name="PO_EnergyType" localSheetId="44">Performance_Outputs_Summary!$B$10:$C$11</definedName>
    <definedName name="PO_Enrgy_1_Hdr" localSheetId="34">'12 - Performance_Outputs_1'!$B$16:$T$16</definedName>
    <definedName name="PO_Enrgy_1_Hdr" localSheetId="0">Performance_Outputs_0!$B$16:$R$16</definedName>
    <definedName name="PO_Enrgy_1_Hdr" localSheetId="43">'Performance_Outputs_0 old'!$B$16:$R$16</definedName>
    <definedName name="PO_Enrgy_1_Hdr" localSheetId="44">Performance_Outputs_Summary!$B$9:$R$9</definedName>
    <definedName name="PO_Enrgy_1_Index" localSheetId="34">'12 - Performance_Outputs_1'!$B$16:$B$22</definedName>
    <definedName name="PO_Enrgy_1_Index" localSheetId="0">Performance_Outputs_0!$B$16:$B$31</definedName>
    <definedName name="PO_Enrgy_1_Index" localSheetId="43">'Performance_Outputs_0 old'!$B$16:$B$19</definedName>
    <definedName name="PO_Enrgy_1_Index" localSheetId="44">Performance_Outputs_Summary!$B$9:$B$24</definedName>
    <definedName name="PO_Enrgy_1_Table" localSheetId="34">'12 - Performance_Outputs_1'!$B$17:$T$22</definedName>
    <definedName name="PO_Enrgy_1_Table" localSheetId="0">Performance_Outputs_0!$B$17:$R$31</definedName>
    <definedName name="PO_Enrgy_1_Table" localSheetId="43">'Performance_Outputs_0 old'!$B$17:$R$19</definedName>
    <definedName name="PO_Enrgy_1_Table" localSheetId="44">Performance_Outputs_Summary!$B$10:$R$24</definedName>
    <definedName name="PO_Enrgy_10_Hdr" localSheetId="34">'12 - Performance_Outputs_1'!$B$346:$U$346</definedName>
    <definedName name="PO_Enrgy_10_Hdr" localSheetId="0">Performance_Outputs_0!$B$370:$R$370</definedName>
    <definedName name="PO_Enrgy_10_Hdr" localSheetId="43">'Performance_Outputs_0 old'!$B$262:$R$262</definedName>
    <definedName name="PO_Enrgy_10_Index" localSheetId="34">'12 - Performance_Outputs_1'!$B$346:$U$352</definedName>
    <definedName name="PO_Enrgy_10_Index" localSheetId="0">Performance_Outputs_0!$B$370:$R$385</definedName>
    <definedName name="PO_Enrgy_10_Index" localSheetId="43">'Performance_Outputs_0 old'!$B$262:$R$265</definedName>
    <definedName name="PO_Enrgy_10_Table" localSheetId="34">'12 - Performance_Outputs_1'!$B$347:$U$352</definedName>
    <definedName name="PO_Enrgy_10_Table" localSheetId="0">Performance_Outputs_0!$B$371:$R$385</definedName>
    <definedName name="PO_Enrgy_10_Table" localSheetId="43">'Performance_Outputs_0 old'!$B$263:$R$265</definedName>
    <definedName name="PO_Enrgy_11_Hdr" localSheetId="34">'12 - Performance_Outputs_1'!$B$360:$U$360</definedName>
    <definedName name="PO_Enrgy_11_Hdr" localSheetId="0">Performance_Outputs_0!$B$393:$R$393</definedName>
    <definedName name="PO_Enrgy_11_Hdr" localSheetId="43">'Performance_Outputs_0 old'!$B$273:$R$273</definedName>
    <definedName name="PO_Enrgy_11_Index" localSheetId="34">'12 - Performance_Outputs_1'!$B$360:$B$366</definedName>
    <definedName name="PO_Enrgy_11_Index" localSheetId="0">Performance_Outputs_0!$B$393:$B$408</definedName>
    <definedName name="PO_Enrgy_11_Index" localSheetId="43">'Performance_Outputs_0 old'!$B$273:$B$276</definedName>
    <definedName name="PO_Enrgy_11_Table" localSheetId="34">'12 - Performance_Outputs_1'!$B$361:$U$366</definedName>
    <definedName name="PO_Enrgy_11_Table" localSheetId="0">Performance_Outputs_0!$B$394:$R$408</definedName>
    <definedName name="PO_Enrgy_11_Table" localSheetId="43">'Performance_Outputs_0 old'!$B$274:$R$276</definedName>
    <definedName name="PO_Enrgy_12_Hdr" localSheetId="34">'12 - Performance_Outputs_1'!$B$372:$U$372</definedName>
    <definedName name="PO_Enrgy_12_Hdr" localSheetId="0">Performance_Outputs_0!$B$414:$R$414</definedName>
    <definedName name="PO_Enrgy_12_Hdr" localSheetId="43">'Performance_Outputs_0 old'!$B$282:$R$282</definedName>
    <definedName name="PO_Enrgy_12_Index" localSheetId="34">'12 - Performance_Outputs_1'!$B$372:$B$378</definedName>
    <definedName name="PO_Enrgy_12_Index" localSheetId="0">Performance_Outputs_0!$B$414:$B$429</definedName>
    <definedName name="PO_Enrgy_12_Index" localSheetId="43">'Performance_Outputs_0 old'!$B$282:$B$285</definedName>
    <definedName name="PO_Enrgy_12_Table" localSheetId="34">'12 - Performance_Outputs_1'!$B$373:$U$378</definedName>
    <definedName name="PO_Enrgy_12_Table" localSheetId="0">Performance_Outputs_0!$B$415:$R$429</definedName>
    <definedName name="PO_Enrgy_12_Table" localSheetId="43">'Performance_Outputs_0 old'!$B$283:$R$285</definedName>
    <definedName name="PO_Enrgy_13_Hdr" localSheetId="34">'12 - Performance_Outputs_1'!$B$384:$U$384</definedName>
    <definedName name="PO_Enrgy_13_Hdr" localSheetId="0">Performance_Outputs_0!$B$435:$R$435</definedName>
    <definedName name="PO_Enrgy_13_Hdr" localSheetId="43">'Performance_Outputs_0 old'!$B$291:$R$291</definedName>
    <definedName name="PO_Enrgy_13_Hdr" localSheetId="44">Performance_Outputs_Summary!$B$146:$R$146</definedName>
    <definedName name="PO_Enrgy_13_Index" localSheetId="34">'12 - Performance_Outputs_1'!$B$384:$B$390</definedName>
    <definedName name="PO_Enrgy_13_Index" localSheetId="0">Performance_Outputs_0!$B$435:$B$450</definedName>
    <definedName name="PO_Enrgy_13_Index" localSheetId="43">'Performance_Outputs_0 old'!$B$291:$B$294</definedName>
    <definedName name="PO_Enrgy_13_Index" localSheetId="44">Performance_Outputs_Summary!$B$146:$B$161</definedName>
    <definedName name="PO_Enrgy_13_Table" localSheetId="34">'12 - Performance_Outputs_1'!$B$385:$U$390</definedName>
    <definedName name="PO_Enrgy_13_Table" localSheetId="0">Performance_Outputs_0!$B$436:$R$450</definedName>
    <definedName name="PO_Enrgy_13_Table" localSheetId="43">'Performance_Outputs_0 old'!$B$292:$R$294</definedName>
    <definedName name="PO_Enrgy_13_Table" localSheetId="44">Performance_Outputs_Summary!$B$147:$R$161</definedName>
    <definedName name="PO_Enrgy_14_Hdr" localSheetId="34">'12 - Performance_Outputs_1'!$B$406:$V$406</definedName>
    <definedName name="PO_Enrgy_14_Hdr" localSheetId="0">Performance_Outputs_0!$B$459:$S$459</definedName>
    <definedName name="PO_Enrgy_14_Hdr" localSheetId="43">'Performance_Outputs_0 old'!$B$302:$R$302</definedName>
    <definedName name="PO_Enrgy_14_Hdr" localSheetId="44">Performance_Outputs_Summary!$B$169:$R$169</definedName>
    <definedName name="PO_Enrgy_14_Index" localSheetId="34">'12 - Performance_Outputs_1'!$B$406:$B$412</definedName>
    <definedName name="PO_Enrgy_14_Index" localSheetId="0">Performance_Outputs_0!$B$459:$B$474</definedName>
    <definedName name="PO_Enrgy_14_Index" localSheetId="43">'Performance_Outputs_0 old'!$B$302:$B$305</definedName>
    <definedName name="PO_Enrgy_14_Index" localSheetId="44">Performance_Outputs_Summary!$B$169:$B$184</definedName>
    <definedName name="PO_Enrgy_14_Table" localSheetId="34">'12 - Performance_Outputs_1'!$B$407:$V$412</definedName>
    <definedName name="PO_Enrgy_14_Table" localSheetId="0">Performance_Outputs_0!$B$460:$S$474</definedName>
    <definedName name="PO_Enrgy_14_Table" localSheetId="43">'Performance_Outputs_0 old'!$B$303:$S$305</definedName>
    <definedName name="PO_Enrgy_14_Table" localSheetId="44">Performance_Outputs_Summary!$B$170:$S$184</definedName>
    <definedName name="PO_Enrgy_15_Hdr" localSheetId="34">'12 - Performance_Outputs_1'!$B$436:$S$436</definedName>
    <definedName name="PO_Enrgy_15_Hdr" localSheetId="0">Performance_Outputs_0!$B$481:$R$481</definedName>
    <definedName name="PO_Enrgy_15_Hdr" localSheetId="43">'Performance_Outputs_0 old'!$B$312:$R$312</definedName>
    <definedName name="PO_Enrgy_15_Index" localSheetId="34">'12 - Performance_Outputs_1'!$B$436:$B$444</definedName>
    <definedName name="PO_Enrgy_15_Index" localSheetId="0">Performance_Outputs_0!$B$481:$B$498</definedName>
    <definedName name="PO_Enrgy_15_Index" localSheetId="43">'Performance_Outputs_0 old'!$B$312:$B$317</definedName>
    <definedName name="PO_Enrgy_15_Table" localSheetId="34">'12 - Performance_Outputs_1'!$B$439:$S$444</definedName>
    <definedName name="PO_Enrgy_15_Table" localSheetId="0">Performance_Outputs_0!$B$484:$R$498</definedName>
    <definedName name="PO_Enrgy_15_Table" localSheetId="43">'Performance_Outputs_0 old'!$B$315:$R$317</definedName>
    <definedName name="PO_Enrgy_16_Hdr" localSheetId="34">'12 - Performance_Outputs_1'!$B$450:$U$450</definedName>
    <definedName name="PO_Enrgy_16_Hdr" localSheetId="0">Performance_Outputs_0!$B$504:$R$504</definedName>
    <definedName name="PO_Enrgy_16_Hdr" localSheetId="43">'Performance_Outputs_0 old'!$B$323:$R$323</definedName>
    <definedName name="PO_Enrgy_16_Hdr" localSheetId="44">Performance_Outputs_Summary!$B$190:$R$190</definedName>
    <definedName name="PO_Enrgy_16_Index" localSheetId="34">'12 - Performance_Outputs_1'!$B$450:$U$456</definedName>
    <definedName name="PO_Enrgy_16_Index" localSheetId="0">Performance_Outputs_0!$B$504:$R$519</definedName>
    <definedName name="PO_Enrgy_16_Index" localSheetId="43">'Performance_Outputs_0 old'!$B$323:$R$326</definedName>
    <definedName name="PO_Enrgy_16_Index" localSheetId="44">Performance_Outputs_Summary!$B$190:$R$205</definedName>
    <definedName name="PO_Enrgy_16_Table" localSheetId="34">'12 - Performance_Outputs_1'!$B$451:$U$456</definedName>
    <definedName name="PO_Enrgy_16_Table" localSheetId="0">Performance_Outputs_0!$B$505:$R$519</definedName>
    <definedName name="PO_Enrgy_16_Table" localSheetId="43">'Performance_Outputs_0 old'!$B$324:$R$326</definedName>
    <definedName name="PO_Enrgy_16_Table" localSheetId="44">Performance_Outputs_Summary!$B$191:$R$205</definedName>
    <definedName name="PO_Enrgy_17_Hdr">'12 - Performance_Outputs_1'!$B$417:$V$417</definedName>
    <definedName name="PO_Enrgy_17_Table">'12 - Performance_Outputs_1'!$B$418:$X$423</definedName>
    <definedName name="PO_Enrgy_2_Hdr" localSheetId="34">'12 - Performance_Outputs_1'!$B$70:$T$70</definedName>
    <definedName name="PO_Enrgy_2_Hdr" localSheetId="0">Performance_Outputs_0!$B$50:$R$50</definedName>
    <definedName name="PO_Enrgy_2_Hdr" localSheetId="43">'Performance_Outputs_0 old'!$B$38:$R$38</definedName>
    <definedName name="PO_Enrgy_2_Index" localSheetId="34">'12 - Performance_Outputs_1'!$B$70:$B$76</definedName>
    <definedName name="PO_Enrgy_2_Index" localSheetId="0">Performance_Outputs_0!$B$50:$B$65</definedName>
    <definedName name="PO_Enrgy_2_Index" localSheetId="43">'Performance_Outputs_0 old'!$B$38:$B$41</definedName>
    <definedName name="PO_Enrgy_2_Table" localSheetId="34">'12 - Performance_Outputs_1'!$B$71:$T$76</definedName>
    <definedName name="PO_Enrgy_2_Table" localSheetId="0">Performance_Outputs_0!$B$51:$R$65</definedName>
    <definedName name="PO_Enrgy_2_Table" localSheetId="43">'Performance_Outputs_0 old'!$B$39:$R$41</definedName>
    <definedName name="PO_Enrgy_3_Hdr" localSheetId="34">'12 - Performance_Outputs_1'!$B$97:$S$97</definedName>
    <definedName name="PO_Enrgy_3_Hdr" localSheetId="0">Performance_Outputs_0!$B$86:$R$86</definedName>
    <definedName name="PO_Enrgy_3_Hdr" localSheetId="43">'Performance_Outputs_0 old'!$B$62:$R$62</definedName>
    <definedName name="PO_Enrgy_3_Index" localSheetId="34">'12 - Performance_Outputs_1'!$B$97:$B$103</definedName>
    <definedName name="PO_Enrgy_3_Index" localSheetId="0">Performance_Outputs_0!$B$86:$B$101</definedName>
    <definedName name="PO_Enrgy_3_Index" localSheetId="43">'Performance_Outputs_0 old'!$B$62:$B$65</definedName>
    <definedName name="PO_Enrgy_3_Table" localSheetId="34">'12 - Performance_Outputs_1'!$B$98:$S$103</definedName>
    <definedName name="PO_Enrgy_3_Table" localSheetId="0">Performance_Outputs_0!$B$87:$R$101</definedName>
    <definedName name="PO_Enrgy_3_Table" localSheetId="43">'Performance_Outputs_0 old'!$B$63:$R$65</definedName>
    <definedName name="PO_Enrgy_4_Hdr" localSheetId="34">'12 - Performance_Outputs_1'!$B$105:$S$105</definedName>
    <definedName name="PO_Enrgy_4_Hdr" localSheetId="0">Performance_Outputs_0!$B$103:$R$103</definedName>
    <definedName name="PO_Enrgy_4_Hdr" localSheetId="43">'Performance_Outputs_0 old'!$B$67:$R$67</definedName>
    <definedName name="PO_Enrgy_4_Index" localSheetId="34">'12 - Performance_Outputs_1'!$B$105:$B$111</definedName>
    <definedName name="PO_Enrgy_4_Index" localSheetId="0">Performance_Outputs_0!$B$103:$B$118</definedName>
    <definedName name="PO_Enrgy_4_Index" localSheetId="43">'Performance_Outputs_0 old'!$B$67:$B$70</definedName>
    <definedName name="PO_Enrgy_4_Table" localSheetId="34">'12 - Performance_Outputs_1'!$B$106:$S$111</definedName>
    <definedName name="PO_Enrgy_4_Table" localSheetId="0">Performance_Outputs_0!$B$104:$R$118</definedName>
    <definedName name="PO_Enrgy_4_Table" localSheetId="43">'Performance_Outputs_0 old'!$B$68:$R$70</definedName>
    <definedName name="PO_Enrgy_4_Table_Add_P" localSheetId="53">'[2]12 - Performance_Outputs_1'!$B$87:$R$92</definedName>
    <definedName name="PO_Enrgy_4_Table_Add_P">'12 - Performance_Outputs_1'!$B$114:$S$119</definedName>
    <definedName name="PO_Enrgy_5_Hdr" localSheetId="34">'12 - Performance_Outputs_1'!$E$204:$S$204</definedName>
    <definedName name="PO_Enrgy_5_Hdr" localSheetId="0">Performance_Outputs_0!$E$193:$R$193</definedName>
    <definedName name="PO_Enrgy_5_Hdr" localSheetId="43">'Performance_Outputs_0 old'!$E$145:$R$145</definedName>
    <definedName name="PO_Enrgy_5_Index" localSheetId="34">'12 - Performance_Outputs_1'!$E$204:$E$210</definedName>
    <definedName name="PO_Enrgy_5_Index" localSheetId="0">Performance_Outputs_0!$E$193:$E$208</definedName>
    <definedName name="PO_Enrgy_5_Index" localSheetId="43">'Performance_Outputs_0 old'!$E$145:$E$148</definedName>
    <definedName name="PO_Enrgy_5_Table" localSheetId="34">'12 - Performance_Outputs_1'!$E$205:$S$210</definedName>
    <definedName name="PO_Enrgy_5_Table" localSheetId="0">Performance_Outputs_0!$E$194:$R$208</definedName>
    <definedName name="PO_Enrgy_5_Table" localSheetId="43">'Performance_Outputs_0 old'!$E$146:$R$148</definedName>
    <definedName name="PO_Enrgy_6_Hdr" localSheetId="34">'12 - Performance_Outputs_1'!$B$218:$S$218</definedName>
    <definedName name="PO_Enrgy_6_Hdr" localSheetId="0">Performance_Outputs_0!$B$214:$R$214</definedName>
    <definedName name="PO_Enrgy_6_Hdr" localSheetId="43">'Performance_Outputs_0 old'!$B$154:$R$154</definedName>
    <definedName name="PO_Enrgy_6_Index" localSheetId="34">'12 - Performance_Outputs_1'!$B$218:$S$224</definedName>
    <definedName name="PO_Enrgy_6_Index" localSheetId="0">Performance_Outputs_0!$B$214:$R$229</definedName>
    <definedName name="PO_Enrgy_6_Index" localSheetId="43">'Performance_Outputs_0 old'!$B$154:$R$157</definedName>
    <definedName name="PO_Enrgy_6_Table" localSheetId="34">'12 - Performance_Outputs_1'!$B$219:$S$224</definedName>
    <definedName name="PO_Enrgy_6_Table" localSheetId="0">Performance_Outputs_0!$B$215:$R$229</definedName>
    <definedName name="PO_Enrgy_6_Table" localSheetId="43">'Performance_Outputs_0 old'!$B$155:$R$157</definedName>
    <definedName name="PO_Enrgy_7_Hdr" localSheetId="34">'12 - Performance_Outputs_1'!$B$298:$U$298</definedName>
    <definedName name="PO_Enrgy_7_Hdr" localSheetId="0">Performance_Outputs_0!$B$295:$R$295</definedName>
    <definedName name="PO_Enrgy_7_Hdr" localSheetId="43">'Performance_Outputs_0 old'!$B$223:$R$223</definedName>
    <definedName name="PO_Enrgy_7_Hdr" localSheetId="44">Performance_Outputs_Summary!$B$84:$R$84</definedName>
    <definedName name="PO_Enrgy_7_Index" localSheetId="34">'12 - Performance_Outputs_1'!$B$298:$B$304</definedName>
    <definedName name="PO_Enrgy_7_Index" localSheetId="0">Performance_Outputs_0!$B$295:$B$310</definedName>
    <definedName name="PO_Enrgy_7_Index" localSheetId="43">'Performance_Outputs_0 old'!$B$223:$B$226</definedName>
    <definedName name="PO_Enrgy_7_Index" localSheetId="44">Performance_Outputs_Summary!$B$84:$B$99</definedName>
    <definedName name="PO_Enrgy_7_Table" localSheetId="34">'12 - Performance_Outputs_1'!$B$299:$U$304</definedName>
    <definedName name="PO_Enrgy_7_Table" localSheetId="0">Performance_Outputs_0!$B$296:$R$310</definedName>
    <definedName name="PO_Enrgy_7_Table" localSheetId="43">'Performance_Outputs_0 old'!$B$224:$R$226</definedName>
    <definedName name="PO_Enrgy_7_Table" localSheetId="44">Performance_Outputs_Summary!$B$85:$R$99</definedName>
    <definedName name="PO_Enrgy_8_Hdr" localSheetId="34">'12 - Performance_Outputs_1'!$B$310:$S$310</definedName>
    <definedName name="PO_Enrgy_8_Hdr" localSheetId="0">Performance_Outputs_0!$B$316:$R$316</definedName>
    <definedName name="PO_Enrgy_8_Hdr" localSheetId="43">'Performance_Outputs_0 old'!$B$232:$R$232</definedName>
    <definedName name="PO_Enrgy_8_Hdr" localSheetId="44">Performance_Outputs_Summary!$B$105:$R$105</definedName>
    <definedName name="PO_Enrgy_8_Hdr" localSheetId="42">'12 - Performance_Outputs_1'!$B$310:$S$310</definedName>
    <definedName name="PO_Enrgy_8_Index" localSheetId="34">'12 - Performance_Outputs_1'!$B$310:$B$316</definedName>
    <definedName name="PO_Enrgy_8_Index" localSheetId="0">Performance_Outputs_0!$B$316:$B$331</definedName>
    <definedName name="PO_Enrgy_8_Index" localSheetId="43">'Performance_Outputs_0 old'!$B$232:$B$235</definedName>
    <definedName name="PO_Enrgy_8_Index" localSheetId="44">Performance_Outputs_Summary!$B$105:$B$120</definedName>
    <definedName name="PO_Enrgy_8_Table" localSheetId="34">'12 - Performance_Outputs_1'!$B$311:$S$316</definedName>
    <definedName name="PO_Enrgy_8_Table" localSheetId="0">Performance_Outputs_0!$B$317:$R$331</definedName>
    <definedName name="PO_Enrgy_8_Table" localSheetId="43">'Performance_Outputs_0 old'!$B$233:$R$235</definedName>
    <definedName name="PO_Enrgy_8_Table" localSheetId="44">Performance_Outputs_Summary!$B$106:$R$120</definedName>
    <definedName name="PO_Enrgy_8_Table" localSheetId="42">'12 - Performance_Outputs_1'!$B$311:$S$313</definedName>
    <definedName name="PO_Enrgy_9_Hdr" localSheetId="34">'12 - Performance_Outputs_1'!$B$321:$U$321</definedName>
    <definedName name="PO_Enrgy_9_Hdr" localSheetId="0">Performance_Outputs_0!$B$336:$R$336</definedName>
    <definedName name="PO_Enrgy_9_Hdr" localSheetId="43">'Performance_Outputs_0 old'!$B$240:$R$240</definedName>
    <definedName name="PO_Enrgy_9_Hdr" localSheetId="44">Performance_Outputs_Summary!$B$125:$R$125</definedName>
    <definedName name="PO_Enrgy_9_Index" localSheetId="34">'12 - Performance_Outputs_1'!$B$321:$B$327</definedName>
    <definedName name="PO_Enrgy_9_Index" localSheetId="0">Performance_Outputs_0!$B$336:$B$351</definedName>
    <definedName name="PO_Enrgy_9_Index" localSheetId="43">'Performance_Outputs_0 old'!$B$240:$B$243</definedName>
    <definedName name="PO_Enrgy_9_Index" localSheetId="44">Performance_Outputs_Summary!$B$125:$B$140</definedName>
    <definedName name="PO_Enrgy_9_Table" localSheetId="34">'12 - Performance_Outputs_1'!$B$322:$U$327</definedName>
    <definedName name="PO_Enrgy_9_Table" localSheetId="0">Performance_Outputs_0!$B$337:$R$351</definedName>
    <definedName name="PO_Enrgy_9_Table" localSheetId="43">'Performance_Outputs_0 old'!$B$241:$R$243</definedName>
    <definedName name="PO_Enrgy_9_Table" localSheetId="44">Performance_Outputs_Summary!$B$126:$R$140</definedName>
    <definedName name="PO_ExCalc_Hdr" localSheetId="34">'12 - Performance_Outputs_1'!$B$91:$V$91</definedName>
    <definedName name="PO_ExCalc_Hdr" localSheetId="0">Performance_Outputs_0!$B$80:$U$80</definedName>
    <definedName name="PO_ExCalc_Hdr" localSheetId="43">'Performance_Outputs_0 old'!$B$56:$U$56</definedName>
    <definedName name="PO_ExCalc_Hdr" localSheetId="42">'12 - Performance_Outputs_1'!$B$91:$V$91</definedName>
    <definedName name="PO_ExCalc_Table" localSheetId="34">'12 - Performance_Outputs_1'!$B$92:$V$96</definedName>
    <definedName name="PO_ExCalc_Table" localSheetId="0">Performance_Outputs_0!$B$81:$U$85</definedName>
    <definedName name="PO_ExCalc_Table" localSheetId="43">'Performance_Outputs_0 old'!$B$57:$U$61</definedName>
    <definedName name="PO_ExCalc_Table" localSheetId="42">'12 - Performance_Outputs_1'!$B$92:$V$96</definedName>
    <definedName name="PO_ExCalcOutputs" localSheetId="34">'12 - Performance_Outputs_1'!$318:$329</definedName>
    <definedName name="PO_ExCalcOutputs" localSheetId="0">Performance_Outputs_0!$333:$353</definedName>
    <definedName name="PO_ExCalcOutputs" localSheetId="43">'Performance_Outputs_0 old'!$237:$245</definedName>
    <definedName name="PO_ExCalcOutputs" localSheetId="44">Performance_Outputs_Summary!$122:$141</definedName>
    <definedName name="PO_ExCalcSection" localSheetId="34">'12 - Performance_Outputs_1'!$86:$123</definedName>
    <definedName name="PO_ExCalcSection" localSheetId="0">Performance_Outputs_0!$75:$122</definedName>
    <definedName name="PO_ExCalcSection" localSheetId="43">'Performance_Outputs_0 old'!$51:$74</definedName>
    <definedName name="PO_ExLBaseAnchor" localSheetId="0">Performance_Outputs_0!$B$147</definedName>
    <definedName name="PO_ExLBaseAnchor" localSheetId="43">'Performance_Outputs_0 old'!$B$99</definedName>
    <definedName name="PO_ExLBaseAnchor">'12 - Performance_Outputs_1'!$B$152</definedName>
    <definedName name="PO_ModelID" localSheetId="34">'12 - Performance_Outputs_1'!$H$5</definedName>
    <definedName name="PO_ModelID" localSheetId="0">Performance_Outputs_0!$H$5</definedName>
    <definedName name="PO_ModelID" localSheetId="43">'Performance_Outputs_0 old'!$H$5</definedName>
    <definedName name="PO_ModelID" localSheetId="44">Performance_Outputs_Summary!#REF!</definedName>
    <definedName name="PO_ModelSubtotal" localSheetId="34">'12 - Performance_Outputs_1'!$305:$305</definedName>
    <definedName name="PO_ModelSubtotal" localSheetId="0">Performance_Outputs_0!$311:$311</definedName>
    <definedName name="PO_ModelSubtotal" localSheetId="43">'Performance_Outputs_0 old'!$227:$227</definedName>
    <definedName name="PO_ModelSubtotal" localSheetId="44">Performance_Outputs_Summary!$100:$100</definedName>
    <definedName name="PO_ModelSubtotals" localSheetId="34">'12 - Performance_Outputs_1'!$B$299:$AL$300</definedName>
    <definedName name="PO_ModelSubtotals" localSheetId="0">Performance_Outputs_0!$B$296:$AI$297</definedName>
    <definedName name="PO_ModelSubtotals" localSheetId="43">'Performance_Outputs_0 old'!$B$224:$AI$225</definedName>
    <definedName name="PO_ModelSubtotals" localSheetId="44">Performance_Outputs_Summary!$B$85:$AI$86</definedName>
    <definedName name="PO_Multiplier" localSheetId="34">'12 - Performance_Outputs_1'!$R$5</definedName>
    <definedName name="PO_Multiplier" localSheetId="0">Performance_Outputs_0!$Q$5</definedName>
    <definedName name="PO_Multiplier" localSheetId="43">'Performance_Outputs_0 old'!$Q$5</definedName>
    <definedName name="PO_offsite_RenewableRange">'12 - Performance_Outputs_1'!$31:$53</definedName>
    <definedName name="PO_offSiteRenewable">'12 - Performance_Outputs_1'!$AE$28</definedName>
    <definedName name="PO_OSEnrgy_Hdr">'12 - Performance_Outputs_1'!$B$43:$T$43</definedName>
    <definedName name="PO_OSEnrgy_Table">'12 - Performance_Outputs_1'!$B$44:$T$49</definedName>
    <definedName name="PO_osrenewable_hdr">'12 - Performance_Outputs_1'!$B$35:$W$35</definedName>
    <definedName name="PO_osrenewable_table">'12 - Performance_Outputs_1'!$B$36:$W$39</definedName>
    <definedName name="PO_PRM_Total_Section" localSheetId="34">'12 - Performance_Outputs_1'!$447:$452</definedName>
    <definedName name="PO_PRM_Total_Section" localSheetId="0">Performance_Outputs_0!$501:$506</definedName>
    <definedName name="PO_PRM_Total_Section" localSheetId="43">'Performance_Outputs_0 old'!$320:$325</definedName>
    <definedName name="PO_PRM_Total_Section" localSheetId="44">Performance_Outputs_Summary!$187:$192</definedName>
    <definedName name="PO_QA_BaseExtLtgDem" localSheetId="34">'12 - Performance_Outputs_1'!$C$496</definedName>
    <definedName name="PO_QA_BaseExtLtgDem" localSheetId="0">Performance_Outputs_0!$C$542</definedName>
    <definedName name="PO_QA_DesignExtLtgDem" localSheetId="34">'12 - Performance_Outputs_1'!$D$496</definedName>
    <definedName name="PO_QA_DesignExtLtgDem" localSheetId="0">Performance_Outputs_0!$D$542</definedName>
    <definedName name="PO_QACheck" localSheetId="34">'Quality Assurance Checks'!$B$65:$M$206</definedName>
    <definedName name="PO_QACheck" localSheetId="0">Performance_Outputs_0!$B$552:$M$583</definedName>
    <definedName name="PO_QACheck" localSheetId="43">'Performance_Outputs_0 old'!$B$358:$M$388</definedName>
    <definedName name="PO_qcrenewtablelookup" localSheetId="34">'12 - Performance_Outputs_1'!$B$61:$B$64</definedName>
    <definedName name="PO_qcrenewtablelookup" localSheetId="0">Performance_Outputs_0!$B$43:$B$46</definedName>
    <definedName name="PO_qcrenewtablelookup" localSheetId="43">'Performance_Outputs_0 old'!$B$31:$B$34</definedName>
    <definedName name="PO_QCvirtuallookup" localSheetId="34">'12 - Performance_Outputs_1'!$B$310:$M$312</definedName>
    <definedName name="PO_QCvirtuallookup" localSheetId="0">Performance_Outputs_0!$B$316:$M$318</definedName>
    <definedName name="PO_QCvirtuallookup" localSheetId="43">'Performance_Outputs_0 old'!$B$232:$M$234</definedName>
    <definedName name="PO_QCvirtuallookup" localSheetId="44">Performance_Outputs_Summary!$B$105:$M$107</definedName>
    <definedName name="PO_QCvirtualratetable" localSheetId="34">'12 - Performance_Outputs_1'!$B$308:$L$312</definedName>
    <definedName name="PO_QCvirtualratetable" localSheetId="0">Performance_Outputs_0!$B$314:$L$318</definedName>
    <definedName name="PO_QCvirtualratetable" localSheetId="43">'Performance_Outputs_0 old'!$B$230:$L$234</definedName>
    <definedName name="PO_QCvirtualratetable" localSheetId="44">Performance_Outputs_Summary!$B$103:$L$107</definedName>
    <definedName name="PO_renewable_hdr" localSheetId="34">'12 - Performance_Outputs_1'!$B$62:$W$62</definedName>
    <definedName name="PO_renewable_hdr" localSheetId="0">Performance_Outputs_0!$B$44:$U$44</definedName>
    <definedName name="PO_renewable_hdr" localSheetId="43">'Performance_Outputs_0 old'!$B$32:$U$32</definedName>
    <definedName name="PO_renewable_hdr" localSheetId="42">'12 - Performance_Outputs_1'!$B$62:$W$62</definedName>
    <definedName name="PO_renewable_Index" localSheetId="34">'12 - Performance_Outputs_1'!$B$62:$B$64</definedName>
    <definedName name="PO_renewable_Index" localSheetId="0">Performance_Outputs_0!$B$44:$B$46</definedName>
    <definedName name="PO_renewable_Index" localSheetId="43">'Performance_Outputs_0 old'!$B$32:$B$34</definedName>
    <definedName name="PO_renewable_table" localSheetId="34">'12 - Performance_Outputs_1'!$B$63:$W$67</definedName>
    <definedName name="PO_renewable_table" localSheetId="0">Performance_Outputs_0!$B$45:$U$47</definedName>
    <definedName name="PO_renewable_table" localSheetId="43">'Performance_Outputs_0 old'!$B$33:$U$35</definedName>
    <definedName name="PO_renewable_table" localSheetId="42">'12 - Performance_Outputs_1'!$B$63:$W$67</definedName>
    <definedName name="PO_RenewableEnergyTotal" localSheetId="34">'12 - Performance_Outputs_1'!$B$71:$L$77</definedName>
    <definedName name="PO_RenewableEnergyTotal" localSheetId="0">Performance_Outputs_0!$B$51:$K$66</definedName>
    <definedName name="PO_RenewableEnergyTotal" localSheetId="43">'Performance_Outputs_0 old'!$B$39:$K$42</definedName>
    <definedName name="PO_RenewableOutputs" localSheetId="34">'12 - Performance_Outputs_1'!$403:$431</definedName>
    <definedName name="PO_RenewableOutputs" localSheetId="0">Performance_Outputs_0!$456:$476</definedName>
    <definedName name="PO_RenewableOutputs" localSheetId="43">'Performance_Outputs_0 old'!$299:$307</definedName>
    <definedName name="PO_RenewableOutputs" localSheetId="44">Performance_Outputs_Summary!$166:$186</definedName>
    <definedName name="PO_RenewableRange" localSheetId="34">'12 - Performance_Outputs_1'!$58:$80</definedName>
    <definedName name="PO_RenewableRange" localSheetId="0">Performance_Outputs_0!$40:$69</definedName>
    <definedName name="PO_RenewableRange" localSheetId="43">'Performance_Outputs_0 old'!$28:$45</definedName>
    <definedName name="PO_Retail_text1" localSheetId="34">'12 - Performance_Outputs_1'!$142:$142</definedName>
    <definedName name="PO_Retail_text1" localSheetId="0">Performance_Outputs_0!$141:$141</definedName>
    <definedName name="PO_Retail_text1" localSheetId="43">'Performance_Outputs_0 old'!$93:$93</definedName>
    <definedName name="PO_Retail_text2" localSheetId="34">'12 - Performance_Outputs_1'!$234:$234</definedName>
    <definedName name="PO_Retail_text2" localSheetId="0">Performance_Outputs_0!$239:$239</definedName>
    <definedName name="PO_Retail_text2" localSheetId="43">'Performance_Outputs_0 old'!$167:$167</definedName>
    <definedName name="PO_Section_Baseline" localSheetId="34">'12 - Performance_Outputs_1'!$136:$226</definedName>
    <definedName name="PO_Section_Baseline" localSheetId="0">Performance_Outputs_0!$135:$231</definedName>
    <definedName name="PO_Section_Baseline" localSheetId="43">'Performance_Outputs_0 old'!$87:$159</definedName>
    <definedName name="PO_SectionExCalc" localSheetId="34">'12 - Performance_Outputs_1'!$86:$123</definedName>
    <definedName name="PO_SectionExCalc" localSheetId="0">Performance_Outputs_0!$75:$122</definedName>
    <definedName name="PO_SectionExCalc" localSheetId="43">'Performance_Outputs_0 old'!$51:$74</definedName>
    <definedName name="PO_SectionUnmetLoads" localSheetId="34">'12 - Performance_Outputs_1'!$478:$485</definedName>
    <definedName name="PO_SectionUnmetLoads" localSheetId="0">Performance_Outputs_0!$524:$531</definedName>
    <definedName name="PO_SectionUnmetLoads" localSheetId="43">'Performance_Outputs_0 old'!$330:$337</definedName>
    <definedName name="PO_ShowExCalc" localSheetId="34">'12 - Performance_Outputs_1'!$U$82</definedName>
    <definedName name="PO_ShowExCalc" localSheetId="0">Performance_Outputs_0!$T$71</definedName>
    <definedName name="PO_ShowExCalc" localSheetId="43">'Performance_Outputs_0 old'!$T$47</definedName>
    <definedName name="PO_ShowExCalc" localSheetId="42">'12 - Performance_Outputs_1'!$U$82</definedName>
    <definedName name="PO_SiteRenewable" localSheetId="34">'12 - Performance_Outputs_1'!$AE$56</definedName>
    <definedName name="PO_SiteRenewable" localSheetId="0">Performance_Outputs_0!$AD$38</definedName>
    <definedName name="PO_SiteRenewable" localSheetId="43">'Performance_Outputs_0 old'!$AD$26</definedName>
    <definedName name="PO_SiteRenewable" localSheetId="42">'12 - Performance_Outputs_1'!$AE$56</definedName>
    <definedName name="PO_SiteUnits" localSheetId="34">'12 - Performance_Outputs_1'!$L$23</definedName>
    <definedName name="PO_SiteUnits" localSheetId="0">Performance_Outputs_0!$L$32</definedName>
    <definedName name="PO_SiteUnits" localSheetId="43">'Performance_Outputs_0 old'!$L$20</definedName>
    <definedName name="PO_SiteUnits" localSheetId="44">Performance_Outputs_Summary!$L$25</definedName>
    <definedName name="PO_SourceUnits" localSheetId="34">'12 - Performance_Outputs_1'!$L$24</definedName>
    <definedName name="PO_SourceUnits" localSheetId="0">Performance_Outputs_0!$L$33</definedName>
    <definedName name="PO_SourceUnits" localSheetId="43">'Performance_Outputs_0 old'!$L$21</definedName>
    <definedName name="PO_SourceUnits" localSheetId="44">Performance_Outputs_Summary!$L$26</definedName>
    <definedName name="PO_TableExceptionalCalc" localSheetId="34">'12 - Performance_Outputs_1'!$C$92:$M$95</definedName>
    <definedName name="PO_TableExceptionalCalc" localSheetId="0">Performance_Outputs_0!$C$81:$M$84</definedName>
    <definedName name="PO_TableExceptionalCalc" localSheetId="43">'Performance_Outputs_0 old'!$C$57:$M$60</definedName>
    <definedName name="PO_TableSiteRenewable" localSheetId="34">'12 - Performance_Outputs_1'!$B$63:$W$64</definedName>
    <definedName name="PO_TableSiteRenewable" localSheetId="0">Performance_Outputs_0!$B$45:$U$46</definedName>
    <definedName name="PO_TableSiteRenewable" localSheetId="43">'Performance_Outputs_0 old'!$B$33:$U$34</definedName>
    <definedName name="PO_virtual_rate_hdr">'12 - Performance_Outputs_1'!$B$310:$M$310</definedName>
    <definedName name="PO_virtual_rate_table">'12 - Performance_Outputs_1'!$B$311:$M$316</definedName>
    <definedName name="PO_VirtualEnergyRate" localSheetId="34">'12 - Performance_Outputs_1'!$E$311:$J$312</definedName>
    <definedName name="PO_VirtualEnergyRate" localSheetId="0">Performance_Outputs_0!$E$317:$J$318</definedName>
    <definedName name="PO_VirtualEnergyRate" localSheetId="43">'Performance_Outputs_0 old'!$E$233:$J$234</definedName>
    <definedName name="PO_VR_hdr" localSheetId="34">'12 - Performance_Outputs_1'!$B$310:$V$310</definedName>
    <definedName name="PO_VR_hdr" localSheetId="0">Performance_Outputs_0!$B$316:$U$316</definedName>
    <definedName name="PO_VR_hdr" localSheetId="43">'Performance_Outputs_0 old'!$B$232:$T$232</definedName>
    <definedName name="PO_VR_table" localSheetId="34">'12 - Performance_Outputs_1'!$B$311:$V$317</definedName>
    <definedName name="PO_VR_table" localSheetId="0">Performance_Outputs_0!$B$317:$U$332</definedName>
    <definedName name="PO_VR_table" localSheetId="43">'Performance_Outputs_0 old'!$B$233:$T$236</definedName>
    <definedName name="_xlnm.Print_Area" localSheetId="34">'12 - Performance_Outputs_1'!$B$4:$T$485</definedName>
    <definedName name="_xlnm.Print_Area" localSheetId="0">Performance_Outputs_0!$B$4:$M$531</definedName>
    <definedName name="_xlnm.Print_Area" localSheetId="43">'Performance_Outputs_0 old'!$B$4:$M$337</definedName>
    <definedName name="_xlnm.Print_Area" localSheetId="44">Performance_Outputs_Summary!$B$4:$M$209</definedName>
    <definedName name="proj_RatingSystem" localSheetId="32">'General Information'!$P$9</definedName>
    <definedName name="proj_RatingSystem" localSheetId="1">'General Information'!$R$9</definedName>
    <definedName name="proj_RatingSystem" localSheetId="53">'[2]General Information'!$K$9</definedName>
    <definedName name="proj_RatingSystem" localSheetId="33">'[3]General Information'!$I$10</definedName>
    <definedName name="proj_RatingSystem">'General Information'!$R$9</definedName>
    <definedName name="ProjectEnergyTypes2">DropdownData!$B$102:$B$106</definedName>
    <definedName name="ProjectEnergyTypeTable2">DropdownData!$B$102:$D$106</definedName>
    <definedName name="ProjectPhaseCompleteness" localSheetId="32">DropdownData!$DX$65:$DX$68</definedName>
    <definedName name="ProjectPhaseCompleteness" localSheetId="1">DropdownData!$DX$65:$DX$68</definedName>
    <definedName name="ProjectPhaseCompleteness" localSheetId="53">[2]DropdownData!$DX$65:$DX$68</definedName>
    <definedName name="ProjectPhaseCompleteness" localSheetId="33">'[3]LEED Instructions'!$I$80:$I$83</definedName>
    <definedName name="ProjectPhaseCompleteness">DropdownData!$DX$65:$DX$68</definedName>
    <definedName name="ProposedAnchor">'10b - Proposed Air-Side HVAC'!$N:$N</definedName>
    <definedName name="ProposedHVAC" localSheetId="12">'[5]6 - General HVAC'!$B$20:$B$22</definedName>
    <definedName name="ProposedHVAC" localSheetId="14">'[5]6 - General HVAC'!$B$20:$B$22</definedName>
    <definedName name="ProposedHVAC" localSheetId="13">'[5]6 - General HVAC'!$B$20:$B$22</definedName>
    <definedName name="ProposedHVAC" localSheetId="1">'[7]6 - General HVAC'!$B$20:$B$22</definedName>
    <definedName name="ProposedHVAC" localSheetId="50">'[7]6 - General HVAC'!$B$20:$B$22</definedName>
    <definedName name="ProposedHVAC">'9 - General HVAC'!$B$13:$B$15</definedName>
    <definedName name="ProposedHVACModeled" localSheetId="32">'[12]General HVAC'!$C$16:$C$21</definedName>
    <definedName name="ProposedHVACModeled" localSheetId="1">'9 - General HVAC'!$C$16:$C$22</definedName>
    <definedName name="ProposedHVACModeled" localSheetId="53">'[2]9 - General HVAC'!$C$16:$C$24</definedName>
    <definedName name="ProposedHVACModeled" localSheetId="33">'[3]General HVAC'!$C$16:$C$18</definedName>
    <definedName name="ProposedHVACModeled">'9 - General HVAC'!$C$16:$C$23</definedName>
    <definedName name="PSZHPRanges" localSheetId="32">'HVAC Lookup'!$AA$16:$AA$19</definedName>
    <definedName name="PSZHPRanges" localSheetId="56">'HVAC Lookup 90.1-2007'!$AA$16:$AA$19</definedName>
    <definedName name="PSZHPRanges" localSheetId="58">'HVAC Lookup 90.1-2010'!$AA$16:$AA$19</definedName>
    <definedName name="PSZHPRanges" localSheetId="57">'HVAC Lookup 90.1-2013'!$AA$16:$AA$19</definedName>
    <definedName name="PSZHPRanges" localSheetId="1">'HVAC Lookup'!$AA$16:$AA$19</definedName>
    <definedName name="PSZHPRanges" localSheetId="53">'[2]HVAC Lookup'!$AA$16:$AA$19</definedName>
    <definedName name="PSZHPRanges" localSheetId="33">'[3]HVAC Lookup'!$AA$16:$AA$19</definedName>
    <definedName name="PSZHPRanges">'HVAC Lookup'!$AA$16:$AA$19</definedName>
    <definedName name="PTRanges" localSheetId="32">'HVAC Lookup'!$AA$8:$AA$8</definedName>
    <definedName name="PTRanges" localSheetId="56">'HVAC Lookup 90.1-2007'!$AA$8:$AA$8</definedName>
    <definedName name="PTRanges" localSheetId="58">'HVAC Lookup 90.1-2010'!$AA$8:$AA$8</definedName>
    <definedName name="PTRanges" localSheetId="57">'HVAC Lookup 90.1-2013'!$AA$8:$AA$8</definedName>
    <definedName name="PTRanges" localSheetId="1">'HVAC Lookup'!$AA$8:$AA$8</definedName>
    <definedName name="PTRanges" localSheetId="53">'[2]HVAC Lookup'!$AA$8:$AA$8</definedName>
    <definedName name="PTRanges" localSheetId="33">'[3]HVAC Lookup'!$AA$8:$AA$8</definedName>
    <definedName name="PTRanges">'HVAC Lookup'!$AA$8:$AA$8</definedName>
    <definedName name="QA_Check" localSheetId="34">'Quality Assurance Checks'!$106:$109</definedName>
    <definedName name="QA_Check" localSheetId="0">Performance_Outputs_0!$586:$588</definedName>
    <definedName name="QA_Check" localSheetId="43">'Performance_Outputs_0 old'!$B$392:$M$394</definedName>
    <definedName name="QA_Check" localSheetId="44">Performance_Outputs_Summary!$209:$219</definedName>
    <definedName name="QCConsumptionConvert">DropdownData!$CO$3:$CP$9</definedName>
    <definedName name="QCDemandConvert">DropdownData!$CO$11:$CP$18</definedName>
    <definedName name="QCEnSaveRank" localSheetId="32">[16]Performance_Outputs_1!$AC$197:$AD$254</definedName>
    <definedName name="QCEnSaveRank" localSheetId="1">'12 - Performance_Outputs_1'!$AE$236:$AF$293</definedName>
    <definedName name="QCEnSaveRank" localSheetId="0">Performance_Outputs_0!$AC$243:$AD$290</definedName>
    <definedName name="QCEnSaveRank" localSheetId="43">'Performance_Outputs_0 old'!$AC$171:$AD$218</definedName>
    <definedName name="QCEnSaveRank" localSheetId="44">Performance_Outputs_Summary!$AC$32:$AD$79</definedName>
    <definedName name="QCEnSaveRank" localSheetId="33">[3]Performance_Outputs_1!$AC$171:$AD$218</definedName>
    <definedName name="QCEnSaveRank">'12 - Performance_Outputs_1'!$AE$236:$AF$293</definedName>
    <definedName name="qcExCalcbasediff" localSheetId="34">'12 - Performance_Outputs_1'!$AP$322:$AP$323</definedName>
    <definedName name="qcExCalcbasediff" localSheetId="0">Performance_Outputs_0!$AM$337:$AM$338</definedName>
    <definedName name="qcExCalcbasediff" localSheetId="43">'Performance_Outputs_0 old'!$AM$241:$AM$242</definedName>
    <definedName name="qcExCalcbasediff" localSheetId="44">Performance_Outputs_Summary!$AM$126:$AM$127</definedName>
    <definedName name="qcExCalcbasediff2" localSheetId="0">Performance_Outputs_0!$AN$337:$AN$338</definedName>
    <definedName name="qcExCalcbasediff2" localSheetId="43">'Performance_Outputs_0 old'!$AN$241:$AN$242</definedName>
    <definedName name="qcExCalcbasediff2" localSheetId="44">Performance_Outputs_Summary!$AN$126:$AN$127</definedName>
    <definedName name="qcExCalcbasediff2">'12 - Performance_Outputs_1'!$AQ$322:$AQ$323</definedName>
    <definedName name="qcExLPerfAnchor" localSheetId="0">Performance_Outputs_0!$B$245</definedName>
    <definedName name="qcExLPerfAnchor" localSheetId="43">'Performance_Outputs_0 old'!$B$173</definedName>
    <definedName name="qcExLPerfAnchor" localSheetId="44">Performance_Outputs_Summary!$B$34</definedName>
    <definedName name="qcExLPerfAnchor">'12 - Performance_Outputs_1'!$B$242</definedName>
    <definedName name="qcnontrade">'6b - General Lighting'!$AF$160:$AF$165</definedName>
    <definedName name="Qty_Bedrooms">'3 - Multifamily Details'!$U$14</definedName>
    <definedName name="Qty_Res_Units">'3 - Multifamily Details'!$U$13</definedName>
    <definedName name="RatingSystem" localSheetId="32">DropdownData!$W$2:$W$14</definedName>
    <definedName name="RatingSystem" localSheetId="1">DropdownData!$W$2:$W$14</definedName>
    <definedName name="RatingSystem" localSheetId="53">[2]DropdownData!$W$2:$W$4</definedName>
    <definedName name="RatingSystem" localSheetId="33">[3]DropdownData!$Y$2:$Y$14</definedName>
    <definedName name="RatingSystem">DropdownData!$W$2:$W$14</definedName>
    <definedName name="RatingSystem_IDC" localSheetId="32">'General Information'!$P$73</definedName>
    <definedName name="RatingSystem_IDC" localSheetId="1">'General Information'!$R$74</definedName>
    <definedName name="RatingSystem_IDC" localSheetId="53">'[2]General Information'!$K$67</definedName>
    <definedName name="RatingSystem_IDC" localSheetId="33">'[3]General Information'!$I$65</definedName>
    <definedName name="RatingSystem_IDC">'General Information'!$R$74</definedName>
    <definedName name="RatingSystemSelection" localSheetId="32">'General Information'!$J$9</definedName>
    <definedName name="RatingSystemSelection" localSheetId="1">'General Information'!$J$9</definedName>
    <definedName name="RatingSystemSelection" localSheetId="53">'[2]General Information'!$E$9</definedName>
    <definedName name="RatingSystemSelection" localSheetId="33">'[3]General Information'!$E$10</definedName>
    <definedName name="RatingSystemSelection">'General Information'!$J$9</definedName>
    <definedName name="rbOutputReporting">DropdownData!$CB$2</definedName>
    <definedName name="RenewableSource" localSheetId="32">DropdownData!$AN$2:$AN$14</definedName>
    <definedName name="RenewableSource" localSheetId="1">DropdownData!$AL$2:$AL$14</definedName>
    <definedName name="RenewableSource" localSheetId="53">[2]DropdownData!$AL$2:$AL$14</definedName>
    <definedName name="RenewableSource" localSheetId="33">[3]DropdownData!$AN$2:$AN$14</definedName>
    <definedName name="RenewableSource">DropdownData!$AL$2:$AL$14</definedName>
    <definedName name="Res_Usage_Profile_Table" localSheetId="32">'[4]Multifamily Details'!$B$82:$U$84</definedName>
    <definedName name="Res_Usage_Profile_Table" localSheetId="1">'3 - Multifamily Details'!$B$84:$U$86</definedName>
    <definedName name="Res_Usage_Profile_Table" localSheetId="53">'[2]3 - Multifamily Details'!$B$81:$U$83</definedName>
    <definedName name="Res_Usage_Profile_Table" localSheetId="33">'[3]Multifamily Details'!$B$81:$U$83</definedName>
    <definedName name="Res_Usage_Profile_Table">'3 - Multifamily Details'!$B$82:$U$84</definedName>
    <definedName name="ResDwellingUnitsExist" localSheetId="32">'General Information'!$J$35</definedName>
    <definedName name="ResDwellingUnitsExist" localSheetId="1">'General Information'!$K$33</definedName>
    <definedName name="ResDwellingUnitsExist" localSheetId="53">'[2]General Information'!$F$26</definedName>
    <definedName name="ResDwellingUnitsExist" localSheetId="33">'[3]General Information'!$F$29</definedName>
    <definedName name="ResDwellingUnitsExist">'General Information'!$K$33</definedName>
    <definedName name="ResidentialGlazing" localSheetId="12">'Envelope Lookup 90.1-2007'!$CG$7:$CG$10</definedName>
    <definedName name="ResidentialGlazing" localSheetId="14">'Envelope Lookup 90.1-2010'!$DE$7:$DE$10</definedName>
    <definedName name="ResidentialGlazing">'Envelope Lookup 90.1-2013'!$DE$7:$DE$10</definedName>
    <definedName name="RNvsVIRTqcCheck" localSheetId="0">Performance_Outputs_0!$AP$460:$AP$461</definedName>
    <definedName name="RNvsVIRTqcCheck" localSheetId="43">'Performance_Outputs_0 old'!$AP$303:$AP$304</definedName>
    <definedName name="RNvsVIRTqcCheck" localSheetId="44">Performance_Outputs_Summary!$AP$170:$AP$171</definedName>
    <definedName name="RNvsVIRTqcCheck">'12 - Performance_Outputs_1'!$AS$407:$AS$408</definedName>
    <definedName name="S_ResDwellingSchedule" localSheetId="37">'2a - Schedules'!#REF!</definedName>
    <definedName name="S_ResDwellingSchedule" localSheetId="53">'[2]2a - Schedules'!#REF!</definedName>
    <definedName name="S_ResDwellingSchedule">'2a - Schedules'!#REF!</definedName>
    <definedName name="S_S_TotalPoints" localSheetId="21">Summary!#REF!</definedName>
    <definedName name="S_S_TotalPoints">Summary!#REF!</definedName>
    <definedName name="S_Sched_Hdr">'2a - Schedules'!$B$11:$S$11</definedName>
    <definedName name="S_Sched_Index">'2a - Schedules'!$B$11:$B$22</definedName>
    <definedName name="S_Sched_Table">'2a - Schedules'!$B$11:$S$22</definedName>
    <definedName name="SATreset" localSheetId="12">'[5]HVAC Lookup'!$I$39:$I$50</definedName>
    <definedName name="SATreset" localSheetId="14">'[5]HVAC Lookup'!$I$39:$I$50</definedName>
    <definedName name="SATreset" localSheetId="13">'[5]HVAC Lookup'!$I$39:$I$50</definedName>
    <definedName name="SATreset" localSheetId="56">'HVAC Lookup 90.1-2007'!$I$38:$I$56</definedName>
    <definedName name="SATreset" localSheetId="58">'HVAC Lookup 90.1-2010'!$I$38:$I$56</definedName>
    <definedName name="SATreset" localSheetId="57">'HVAC Lookup 90.1-2013'!$I$38:$I$56</definedName>
    <definedName name="SATreset" localSheetId="1">'HVAC Lookup'!$I$39:$I$50</definedName>
    <definedName name="SATreset" localSheetId="50">'HVAC Lookup'!$I$39:$I$50</definedName>
    <definedName name="SATreset">'HVAC Lookup'!$I$38:$I$56</definedName>
    <definedName name="SbSanchor">'6b - General Lighting'!$65:$65</definedName>
    <definedName name="SbSequipTable">'7 - Process Loads'!$35:$76</definedName>
    <definedName name="SelectedSxS" localSheetId="32">'[13]General Lighting'!$C$61:$C$69</definedName>
    <definedName name="SelectedSxS" localSheetId="1">'6b - General Lighting'!$C$61:$C$69</definedName>
    <definedName name="SelectedSxS" localSheetId="53">'[2]6b - General Lighting'!$C$61:$C$69</definedName>
    <definedName name="SelectedSxS" localSheetId="33">'[3]General Lighting'!$C$57:$C$63</definedName>
    <definedName name="SelectedSxS">'6b - General Lighting'!$C$61:$C$69</definedName>
    <definedName name="SelectUnfinished">DropdownData!$FA$2:$FA$4</definedName>
    <definedName name="SemiheatedGlazing" localSheetId="12">'Envelope Lookup 90.1-2007'!$CG$11:$CG$14</definedName>
    <definedName name="SemiheatedGlazing" localSheetId="14">'Envelope Lookup 90.1-2010'!$DE$11:$DE$14</definedName>
    <definedName name="SemiheatedGlazing">'Envelope Lookup 90.1-2013'!$DE$11:$DE$14</definedName>
    <definedName name="SF_BMZ_Table">'4 - Shading and Fenestration'!$49:$50</definedName>
    <definedName name="SF_qc40BaseFenestration">'4 - Shading and Fenestration'!$U$57</definedName>
    <definedName name="SF_qcVerticalGlazingDiff">'4 - Shading and Fenestration'!$T$57</definedName>
    <definedName name="SF_S_hdr">'4 - Shading and Fenestration'!$B$77:$W$77</definedName>
    <definedName name="SF_S_Index">'4 - Shading and Fenestration'!$B$77:$B$78</definedName>
    <definedName name="SF_S_table">'4 - Shading and Fenestration'!$B$78:$W$80</definedName>
    <definedName name="SF_VG_hdr">'4 - Shading and Fenestration'!$B$68:$W$68</definedName>
    <definedName name="SF_VG_Index">'4 - Shading and Fenestration'!$B$68:$B$69</definedName>
    <definedName name="SF_VG_table">'4 - Shading and Fenestration'!$B$69:$W$71</definedName>
    <definedName name="SI_IP_Units" localSheetId="32">'General Information'!$P$14</definedName>
    <definedName name="SI_IP_Units" localSheetId="1">'General Information'!$R$14</definedName>
    <definedName name="SI_IP_Units" localSheetId="53">'[2]General Information'!$K$11</definedName>
    <definedName name="SI_IP_Units" localSheetId="33">'[3]General Information'!$I$12</definedName>
    <definedName name="SI_IP_Units">'General Information'!$R$14</definedName>
    <definedName name="SimProgram">DropdownData!$AO$2:$AO$8</definedName>
    <definedName name="SimTool" localSheetId="32">'General Information'!$H$48</definedName>
    <definedName name="SimTool" localSheetId="1">'General Information'!$H$47</definedName>
    <definedName name="SimTool" localSheetId="53">'[2]General Information'!$C$40</definedName>
    <definedName name="SimTool">'General Information'!$H$47</definedName>
    <definedName name="SimulationProgram" localSheetId="32">DropdownData!$AQ$2:$AQ$8</definedName>
    <definedName name="SimulationProgram" localSheetId="1">DropdownData!$AO$2:$AO$8</definedName>
    <definedName name="SimulationProgram" localSheetId="53">[2]DropdownData!$AO$2:$AO$8</definedName>
    <definedName name="SimulationProgram" localSheetId="33">[3]DropdownData!$AQ$2:$AQ$8</definedName>
    <definedName name="SimulationProgram">DropdownData!$AO$2:$AO$8</definedName>
    <definedName name="SkyLightDescs">'Envelope Assumptions'!$BR$2:$CC$2</definedName>
    <definedName name="SkylightFrame" localSheetId="12">'Envelope Lookup 90.1-2007'!$AM$2:$AO$2</definedName>
    <definedName name="SkylightFrame" localSheetId="14">'Envelope Lookup 90.1-2010'!$BK$2:$BM$2</definedName>
    <definedName name="SkylightFrame">'Envelope Lookup 90.1-2013'!$BK$2:$BM$2</definedName>
    <definedName name="SkylightPercent" localSheetId="32">DropdownData!$AI$2:$AI$3</definedName>
    <definedName name="SkylightPercent" localSheetId="1">DropdownData!$AG$2:$AG$3</definedName>
    <definedName name="SkylightPercent" localSheetId="53">[2]DropdownData!$AG$2:$AG$3</definedName>
    <definedName name="SkylightPercent" localSheetId="33">[3]DropdownData!$AI$2:$AI$3</definedName>
    <definedName name="SkylightPercent">DropdownData!$AG$2:$AG$3</definedName>
    <definedName name="SpaceConditioningCategory" localSheetId="12">'Envelope Lookup 90.1-2007'!$BU$3:$BU$6</definedName>
    <definedName name="SpaceConditioningCategory" localSheetId="14">'Envelope Lookup 90.1-2010'!$CS$3:$CS$6</definedName>
    <definedName name="SpaceConditioningCategory" localSheetId="13">'Envelope Lookup 90.1-2013'!$CS$3:$CS$6</definedName>
    <definedName name="SpaceConditioningCategory">OFFSET('[17]Envelope Lookup'!$BT$2,0,0,COUNTIF('[17]Envelope Lookup'!$BT$2:$BT$5,"&gt;*"),1)</definedName>
    <definedName name="SWH_Fixture_Hdr" localSheetId="32">'[18]Service Water Heating'!$B$40:$AC$40</definedName>
    <definedName name="SWH_Fixture_Hdr" localSheetId="1">'8 - Service Water Heating'!$B$47:$AD$47</definedName>
    <definedName name="SWH_Fixture_Hdr" localSheetId="53">'[2]8 - Service Water Heating'!$B$65:$AD$65</definedName>
    <definedName name="SWH_Fixture_Hdr" localSheetId="33">'[3]Service Water Heating'!$B$35:$Z$35</definedName>
    <definedName name="SWH_Fixture_Hdr">'8 - Service Water Heating'!$B$46:$AD$46</definedName>
    <definedName name="SWH_Fixture_Index" localSheetId="32">'[18]Service Water Heating'!$B$40:$B$44</definedName>
    <definedName name="SWH_Fixture_Index" localSheetId="1">'8 - Service Water Heating'!$B$47:$B$51</definedName>
    <definedName name="SWH_Fixture_Index" localSheetId="53">'[2]8 - Service Water Heating'!$B$65:$B$69</definedName>
    <definedName name="SWH_Fixture_Index" localSheetId="33">'[3]Service Water Heating'!$B$35:$B$39</definedName>
    <definedName name="SWH_Fixture_Index">'8 - Service Water Heating'!$B$46:$B$50</definedName>
    <definedName name="SWH_Fixture_Table" localSheetId="32">'[18]Service Water Heating'!$B$40:$AC$44</definedName>
    <definedName name="SWH_Fixture_Table" localSheetId="1">'8 - Service Water Heating'!$B$47:$AD$51</definedName>
    <definedName name="SWH_Fixture_Table" localSheetId="53">'[2]8 - Service Water Heating'!$B$65:$AD$69</definedName>
    <definedName name="SWH_Fixture_Table" localSheetId="33">'[3]Service Water Heating'!$B$35:$Z$39</definedName>
    <definedName name="SWH_Fixture_Table">'8 - Service Water Heating'!$B$46:$AD$50</definedName>
    <definedName name="SWH_Flow_Hdr" localSheetId="32">'[18]Service Water Heating'!$B$50:$M$50</definedName>
    <definedName name="SWH_Flow_Hdr" localSheetId="1">'8 - Service Water Heating'!$B$55:$M$55</definedName>
    <definedName name="SWH_Flow_Hdr" localSheetId="53">'[2]8 - Service Water Heating'!$B$75:$M$75</definedName>
    <definedName name="SWH_Flow_Hdr" localSheetId="33">'[3]Service Water Heating'!$B$43:$M$43</definedName>
    <definedName name="SWH_Flow_Hdr">'8 - Service Water Heating'!$B$56:$M$56</definedName>
    <definedName name="SWH_Flow_Index" localSheetId="32">'[18]Service Water Heating'!$B$50:$B$51</definedName>
    <definedName name="SWH_Flow_Index" localSheetId="1">'8 - Service Water Heating'!$B$57:$B$58</definedName>
    <definedName name="SWH_Flow_Index" localSheetId="53">'[2]8 - Service Water Heating'!$B$75:$B$76</definedName>
    <definedName name="SWH_Flow_Index" localSheetId="33">'[3]Service Water Heating'!$B$43:$B$44</definedName>
    <definedName name="SWH_Flow_Index">'8 - Service Water Heating'!$B$56:$B$57</definedName>
    <definedName name="SWH_Flow_Table" localSheetId="32">'[18]Service Water Heating'!$B$50:$M$51</definedName>
    <definedName name="SWH_Flow_Table" localSheetId="1">'8 - Service Water Heating'!$B$57:$M$58</definedName>
    <definedName name="SWH_Flow_Table" localSheetId="53">'[2]8 - Service Water Heating'!$B$75:$M$76</definedName>
    <definedName name="SWH_Flow_Table" localSheetId="33">'[3]Service Water Heating'!$B$43:$M$44</definedName>
    <definedName name="SWH_Flow_Table">'8 - Service Water Heating'!$B$56:$M$57</definedName>
    <definedName name="SWH_Heater_Hdr">'8 - Service Water Heating'!$B$12:$M$12</definedName>
    <definedName name="SWH_Heater_Rows">'8 - Service Water Heating'!$13:$31</definedName>
    <definedName name="SWH_Heater_Table">'8 - Service Water Heating'!$B$8:$M$31</definedName>
    <definedName name="SxSCategories" localSheetId="32">'Lighting Assumptions'!$G$3:$G$96</definedName>
    <definedName name="SxSCategories" localSheetId="12">'[5]Lighting Lookup'!$D$2:$D$93</definedName>
    <definedName name="SxSCategories" localSheetId="14">'[5]Lighting Lookup'!$D$2:$D$93</definedName>
    <definedName name="SxSCategories" localSheetId="13">'[5]Lighting Lookup'!$D$2:$D$93</definedName>
    <definedName name="SxSCategories" localSheetId="1">'[6]Lighting Lookup'!$D$2:$D$93</definedName>
    <definedName name="SxSCategories" localSheetId="18">'Lighting Assumptions 90.1-2007'!$G$3:$G$96</definedName>
    <definedName name="SxSCategories" localSheetId="20">'Lighting Assumptions 90.1-2010'!$G$3:$G$96</definedName>
    <definedName name="SxSCategories" localSheetId="19">'Lighting Assumptions 90.1-2013'!$G$3:$G$96</definedName>
    <definedName name="SxSCategories" localSheetId="21">'Lighting Assumptions 90.1-2016'!$G$3:$G$96</definedName>
    <definedName name="SxSCategories" localSheetId="53">'[2]Lighting Assumptions'!$G$3:$G$96</definedName>
    <definedName name="SxSCategories" localSheetId="33">'[3]Lighting Assumptions'!$G$3:$G$96</definedName>
    <definedName name="SxSCategories" localSheetId="50">'[6]Lighting Lookup'!$D$2:$D$93</definedName>
    <definedName name="SxSCategories">'Lighting Assumptions'!$G$3:$G$96</definedName>
    <definedName name="Sys_3_5_Ranges" localSheetId="32">'HVAC Lookup'!$AA$20:$AA$24</definedName>
    <definedName name="Sys_3_5_Ranges" localSheetId="56">'HVAC Lookup 90.1-2007'!$AA$20:$AA$24</definedName>
    <definedName name="Sys_3_5_Ranges" localSheetId="58">'HVAC Lookup 90.1-2010'!$AA$20:$AA$24</definedName>
    <definedName name="Sys_3_5_Ranges" localSheetId="57">'HVAC Lookup 90.1-2013'!$AA$20:$AA$24</definedName>
    <definedName name="Sys_3_5_Ranges" localSheetId="1">'HVAC Lookup'!$AA$20:$AA$24</definedName>
    <definedName name="Sys_3_5_Ranges" localSheetId="53">'[2]HVAC Lookup'!$AA$20:$AA$24</definedName>
    <definedName name="Sys_3_5_Ranges" localSheetId="33">'[3]HVAC Lookup'!$AA$20:$AA$24</definedName>
    <definedName name="Sys_3_5_Ranges">'HVAC Lookup'!$AA$20:$AA$24</definedName>
    <definedName name="Sys12H" localSheetId="32">'HVAC Lookup'!$AA$56:$AA$58</definedName>
    <definedName name="Sys12H" localSheetId="1">'HVAC Lookup'!$AA$56:$AA$58</definedName>
    <definedName name="Sys12H" localSheetId="53">'[2]HVAC Lookup'!$AA$56:$AA$58</definedName>
    <definedName name="Sys12H">'HVAC Lookup'!$AA$58:$AA$60</definedName>
    <definedName name="Sys12H13" localSheetId="56">'HVAC Lookup 90.1-2007'!$AA$56:$AA$58</definedName>
    <definedName name="Sys12H13">'HVAC Lookup 90.1-2013'!$AA$56:$AA$58</definedName>
    <definedName name="Sys1H" localSheetId="32">'HVAC Lookup'!$AA$33:$AA$35</definedName>
    <definedName name="Sys1H" localSheetId="1">'HVAC Lookup'!$AA$33:$AA$35</definedName>
    <definedName name="Sys1H" localSheetId="53">'[2]HVAC Lookup'!$AA$33:$AA$35</definedName>
    <definedName name="Sys1H">'HVAC Lookup'!$AA$33:$AA$35</definedName>
    <definedName name="Sys1H13" localSheetId="56">'HVAC Lookup 90.1-2007'!$AA$33:$AA$35</definedName>
    <definedName name="Sys1H13">'HVAC Lookup 90.1-2013'!$AA$33:$AA$35</definedName>
    <definedName name="Sys2H">'HVAC Lookup'!$AA$36</definedName>
    <definedName name="Sys2H13" localSheetId="56">'HVAC Lookup 90.1-2007'!$AA$36</definedName>
    <definedName name="Sys2H13">'HVAC Lookup 90.1-2013'!$AA$36</definedName>
    <definedName name="Sys2HRanges" localSheetId="33">'[3]HVAC Lookup'!$AA$33:$AA$34</definedName>
    <definedName name="Sys2HRanges">'HVAC Lookup'!$AA$36:$AA$37</definedName>
    <definedName name="Sys3H" localSheetId="32">'HVAC Lookup'!$AA$38:$AA$39</definedName>
    <definedName name="Sys3H" localSheetId="1">'HVAC Lookup'!$AA$38:$AA$39</definedName>
    <definedName name="Sys3H" localSheetId="53">'[2]HVAC Lookup'!$AA$38:$AA$39</definedName>
    <definedName name="Sys3H">'HVAC Lookup'!$AA$38:$AA$39</definedName>
    <definedName name="Sys3H13" localSheetId="56">'HVAC Lookup 90.1-2007'!$AA$38:$AA$39</definedName>
    <definedName name="Sys3H13">'HVAC Lookup 90.1-2013'!$AA$38:$AA$39</definedName>
    <definedName name="Sys3HRanges" localSheetId="33">'[3]HVAC Lookup'!$AA$35:$AA$36</definedName>
    <definedName name="Sys3HRanges">'HVAC Lookup'!$AA$38:$AA$39</definedName>
    <definedName name="Sys4H">'HVAC Lookup'!$AA$40:$AA$42</definedName>
    <definedName name="Sys4H13" localSheetId="56">'HVAC Lookup 90.1-2007'!$AA$40:$AA$42</definedName>
    <definedName name="Sys4H13">'HVAC Lookup 90.1-2013'!$AA$40:$AA$42</definedName>
    <definedName name="Sys5H" localSheetId="32">'HVAC Lookup'!$AA$43:$AA$45</definedName>
    <definedName name="Sys5H" localSheetId="1">'HVAC Lookup'!$AA$43:$AA$45</definedName>
    <definedName name="Sys5H" localSheetId="53">'[2]HVAC Lookup'!$AA$43:$AA$45</definedName>
    <definedName name="Sys5H">'HVAC Lookup'!$AA$45:$AA$47</definedName>
    <definedName name="Sys5H13" localSheetId="56">'HVAC Lookup 90.1-2007'!$AA$43:$AA$45</definedName>
    <definedName name="Sys5H13">'HVAC Lookup 90.1-2013'!$AA$43:$AA$45</definedName>
    <definedName name="Sys7H" localSheetId="32">'HVAC Lookup'!$AA$53:$AA$55</definedName>
    <definedName name="Sys7H" localSheetId="1">'HVAC Lookup'!$AA$53:$AA$55</definedName>
    <definedName name="Sys7H" localSheetId="53">'[2]HVAC Lookup'!$AA$53:$AA$55</definedName>
    <definedName name="Sys7H">'HVAC Lookup'!$AA$55:$AA$57</definedName>
    <definedName name="Sys7H13" localSheetId="56">'HVAC Lookup 90.1-2007'!$AA$53:$AA$55</definedName>
    <definedName name="Sys7H13">'HVAC Lookup 90.1-2013'!$AA$53:$AA$55</definedName>
    <definedName name="Sys9H" localSheetId="32">'HVAC Lookup'!$AA$51:$AA$52</definedName>
    <definedName name="Sys9H" localSheetId="1">'HVAC Lookup'!$AA$51:$AA$52</definedName>
    <definedName name="Sys9H" localSheetId="53">'[2]HVAC Lookup'!$AA$51:$AA$52</definedName>
    <definedName name="Sys9H">'HVAC Lookup'!$AA$53:$AA$54</definedName>
    <definedName name="Sys9H13" localSheetId="56">'HVAC Lookup 90.1-2007'!$AA$51:$AA$52</definedName>
    <definedName name="Sys9H13">'HVAC Lookup 90.1-2013'!$AA$51:$AA$52</definedName>
    <definedName name="SysGENERALRAnges">'HVAC Lookup'!$AA$25:$AA$29</definedName>
    <definedName name="tableBAM">'6b - General Lighting'!$27:$42</definedName>
    <definedName name="tablesSxS" localSheetId="32">'[13]General Lighting'!$79:$96</definedName>
    <definedName name="tablesSxS" localSheetId="1">'6b - General Lighting'!$79:$96</definedName>
    <definedName name="tablesSxS" localSheetId="53">'[2]6b - General Lighting'!$50:$72,'[2]6b - General Lighting'!$79:$96</definedName>
    <definedName name="tablesSxS" localSheetId="33">'[3]General Lighting'!$46:$66,'[3]General Lighting'!$71:$88</definedName>
    <definedName name="tablesSxS">'6b - General Lighting'!$50:$72,'6b - General Lighting'!$79:$96</definedName>
    <definedName name="tableSxS">'6b - General Lighting'!$50:$102</definedName>
    <definedName name="TemplateBaseline">'10a - Baseline Air-Side HVAC'!$AN:$AO</definedName>
    <definedName name="TemplateProposed">'10b - Proposed Air-Side HVAC'!$AO:$AS</definedName>
    <definedName name="ThermalTable">DropdownData!$B$12:$C$14</definedName>
    <definedName name="ThermalTypes">DropdownData!$B$12:$B$14</definedName>
    <definedName name="TotalArea" localSheetId="32">'[19]Lighting Counts'!$H$26</definedName>
    <definedName name="TotalArea" localSheetId="12">'[5]3A - Interior Lighting'!$I$27</definedName>
    <definedName name="TotalArea" localSheetId="14">'[5]3A - Interior Lighting'!$I$27</definedName>
    <definedName name="TotalArea" localSheetId="13">'[5]3A - Interior Lighting'!$I$27</definedName>
    <definedName name="TotalArea" localSheetId="1">'[14]3A - Interior Lighting'!$I$27</definedName>
    <definedName name="TotalArea" localSheetId="53">'[2]6a - Lighting Counts'!$H$26</definedName>
    <definedName name="TotalArea" localSheetId="33">'[3]Lighting Counts'!$H$26</definedName>
    <definedName name="TotalArea" localSheetId="50">'[14]3A - Interior Lighting'!$I$27</definedName>
    <definedName name="TotalArea">'6a - Lighting Counts'!$H$26</definedName>
    <definedName name="TraceOutputColumns" localSheetId="0">Performance_Outputs_0!$BG$143:$BI$143</definedName>
    <definedName name="TraceOutputColumns">'12 - Performance_Outputs_1'!$BL$144:$BN$144</definedName>
    <definedName name="TradableExterior" localSheetId="37">'[6]Lighting Lookup'!#REF!</definedName>
    <definedName name="TradableExterior" localSheetId="46">'[6]Lighting Lookup'!#REF!</definedName>
    <definedName name="TradableExterior" localSheetId="45">'[5]Lighting Lookup'!#REF!</definedName>
    <definedName name="TradableExterior" localSheetId="5">'[5]Lighting Lookup'!#REF!</definedName>
    <definedName name="TradableExterior" localSheetId="12">'[5]Lighting Lookup'!#REF!</definedName>
    <definedName name="TradableExterior" localSheetId="14">'[5]Lighting Lookup'!#REF!</definedName>
    <definedName name="TradableExterior" localSheetId="13">'[5]Lighting Lookup'!#REF!</definedName>
    <definedName name="TradableExterior" localSheetId="56">'[5]Lighting Lookup'!#REF!</definedName>
    <definedName name="TradableExterior" localSheetId="58">'[5]Lighting Lookup'!#REF!</definedName>
    <definedName name="TradableExterior" localSheetId="57">'[5]Lighting Lookup'!#REF!</definedName>
    <definedName name="TradableExterior" localSheetId="18">'[5]Lighting Lookup'!#REF!</definedName>
    <definedName name="TradableExterior" localSheetId="20">'[5]Lighting Lookup'!#REF!</definedName>
    <definedName name="TradableExterior" localSheetId="19">'[5]Lighting Lookup'!#REF!</definedName>
    <definedName name="TradableExterior" localSheetId="21">'[5]Lighting Lookup'!#REF!</definedName>
    <definedName name="TradableSurfaces" localSheetId="32">'Lighting Assumptions'!$L$4:$L$14</definedName>
    <definedName name="TradableSurfaces" localSheetId="1">'Lighting Assumptions'!$L$4:$L$14</definedName>
    <definedName name="TradableSurfaces" localSheetId="18">'Lighting Assumptions 90.1-2007'!$L$4:$L$14</definedName>
    <definedName name="TradableSurfaces" localSheetId="20">'Lighting Assumptions 90.1-2010'!$L$4:$L$14</definedName>
    <definedName name="TradableSurfaces" localSheetId="19">'Lighting Assumptions 90.1-2013'!$L$4:$L$14</definedName>
    <definedName name="TradableSurfaces" localSheetId="21">'Lighting Assumptions 90.1-2016'!$L$4:$L$14</definedName>
    <definedName name="TradableSurfaces" localSheetId="53">'[2]Lighting Assumptions'!$L$4:$L$14</definedName>
    <definedName name="TradableSurfaces" localSheetId="33">'[3]Lighting Assumptions'!$L$4:$L$14</definedName>
    <definedName name="TradableSurfaces">'Lighting Assumptions'!$L$4:$L$14</definedName>
    <definedName name="UfactorMethod" localSheetId="9">'4 - Shading and Fenestration'!$H$86:$H$91</definedName>
    <definedName name="UfactorMethod">'[20]2 - Shading &amp; Fenestration'!$H$41:$H$46</definedName>
    <definedName name="UnitaryCooling" localSheetId="12">'[5]HVAC Lookup'!$C$39:$C$47</definedName>
    <definedName name="UnitaryCooling" localSheetId="14">'[5]HVAC Lookup'!$C$39:$C$47</definedName>
    <definedName name="UnitaryCooling" localSheetId="13">'[5]HVAC Lookup'!$C$39:$C$47</definedName>
    <definedName name="UnitaryCooling" localSheetId="56">'HVAC Lookup 90.1-2007'!$C$38:$C$50</definedName>
    <definedName name="UnitaryCooling" localSheetId="58">'HVAC Lookup 90.1-2010'!$C$38:$C$50</definedName>
    <definedName name="UnitaryCooling" localSheetId="57">'HVAC Lookup 90.1-2013'!$C$38:$C$50</definedName>
    <definedName name="UnitaryCooling" localSheetId="1">'HVAC Lookup'!$C$39:$C$47</definedName>
    <definedName name="UnitaryCooling" localSheetId="50">'HVAC Lookup'!$C$39:$C$47</definedName>
    <definedName name="UnitaryCooling">'HVAC Lookup'!$C$38:$C$50</definedName>
    <definedName name="UnitaryHeating" localSheetId="12">'[5]HVAC Lookup'!$D$39:$D$44</definedName>
    <definedName name="UnitaryHeating" localSheetId="14">'[5]HVAC Lookup'!$D$39:$D$44</definedName>
    <definedName name="UnitaryHeating" localSheetId="13">'[5]HVAC Lookup'!$D$39:$D$44</definedName>
    <definedName name="UnitaryHeating" localSheetId="56">'HVAC Lookup 90.1-2007'!$D$38:$D$50</definedName>
    <definedName name="UnitaryHeating" localSheetId="58">'HVAC Lookup 90.1-2010'!$D$38:$D$50</definedName>
    <definedName name="UnitaryHeating" localSheetId="57">'HVAC Lookup 90.1-2013'!$D$38:$D$50</definedName>
    <definedName name="UnitaryHeating" localSheetId="1">'HVAC Lookup'!$D$39:$D$44</definedName>
    <definedName name="UnitaryHeating" localSheetId="50">'HVAC Lookup'!$D$39:$D$44</definedName>
    <definedName name="UnitaryHeating">'HVAC Lookup'!$D$38:$D$50</definedName>
    <definedName name="UnitaryHeatingSize" localSheetId="12">'[5]HVAC Lookup'!$G$39:$G$44</definedName>
    <definedName name="UnitaryHeatingSize" localSheetId="14">'[5]HVAC Lookup'!$G$39:$G$44</definedName>
    <definedName name="UnitaryHeatingSize" localSheetId="13">'[5]HVAC Lookup'!$G$39:$G$44</definedName>
    <definedName name="UnitaryHeatingSize" localSheetId="56">'HVAC Lookup 90.1-2007'!$G$38:$G$53</definedName>
    <definedName name="UnitaryHeatingSize" localSheetId="58">'HVAC Lookup 90.1-2010'!$G$38:$G$53</definedName>
    <definedName name="UnitaryHeatingSize" localSheetId="57">'HVAC Lookup 90.1-2013'!$G$38:$G$53</definedName>
    <definedName name="UnitaryHeatingSize" localSheetId="1">'HVAC Lookup'!$G$39:$G$44</definedName>
    <definedName name="UnitaryHeatingSize" localSheetId="50">'HVAC Lookup'!$G$39:$G$44</definedName>
    <definedName name="UnitaryHeatingSize">'HVAC Lookup'!$G$38:$G$53</definedName>
    <definedName name="Units" localSheetId="12">'[5]HVAC Lookup'!$L$9:$L$12</definedName>
    <definedName name="Units" localSheetId="14">'[5]HVAC Lookup'!$L$9:$L$12</definedName>
    <definedName name="Units" localSheetId="13">'[5]HVAC Lookup'!$L$9:$L$12</definedName>
    <definedName name="Units" localSheetId="56">'HVAC Lookup 90.1-2007'!$AI$7:$AI$10</definedName>
    <definedName name="Units" localSheetId="58">'HVAC Lookup 90.1-2010'!$AI$7:$AI$10</definedName>
    <definedName name="Units" localSheetId="57">'HVAC Lookup 90.1-2013'!$AI$7:$AI$10</definedName>
    <definedName name="Units" localSheetId="1">'HVAC Lookup'!$L$9:$L$12</definedName>
    <definedName name="Units" localSheetId="50">'HVAC Lookup'!$L$9:$L$12</definedName>
    <definedName name="Units">'HVAC Lookup'!$AN$7:$AN$10</definedName>
    <definedName name="UtilityRateStructure" localSheetId="32">DropdownData!$S$2:$S$14</definedName>
    <definedName name="UtilityRateStructure" localSheetId="1">DropdownData!$Q$2:$Q$14</definedName>
    <definedName name="UtilityRateStructure" localSheetId="53">[2]DropdownData!$Q$2:$Q$14</definedName>
    <definedName name="UtilityRateStructure" localSheetId="33">[3]DropdownData!$S$2:$S$14</definedName>
    <definedName name="UtilityRateStructure">DropdownData!$Q$2:$Q$14</definedName>
    <definedName name="VertGlazeDescs">'Envelope Assumptions'!$AT$2:$BE$2</definedName>
    <definedName name="WSHVAC_Base_System">'11 - Water-Side HVAC'!$G:$G</definedName>
    <definedName name="WSHVAC_Proposed_System">'11 - Water-Side HVAC'!$J:$J</definedName>
    <definedName name="Z_75D6F8CE_A4F4_4FDD_BA92_7996F9E19FA9_.wvu.Cols" localSheetId="26" hidden="1">'10a - Baseline Air-Side HVAC'!#REF!</definedName>
    <definedName name="Z_75D6F8CE_A4F4_4FDD_BA92_7996F9E19FA9_.wvu.Rows" localSheetId="4" hidden="1">'1 - Multiple Buildings Details'!$16:$16,'1 - Multiple Buildings Details'!#REF!,'1 - Multiple Buildings Details'!$23:$23</definedName>
    <definedName name="Z_75D6F8CE_A4F4_4FDD_BA92_7996F9E19FA9_.wvu.Rows" localSheetId="8" hidden="1">'3 - Multifamily Details'!$32:$32,'3 - Multifamily Details'!$62:$62</definedName>
    <definedName name="Z_75D6F8CE_A4F4_4FDD_BA92_7996F9E19FA9_.wvu.Rows" localSheetId="9" hidden="1">'4 - Shading and Fenestration'!$56:$59,'4 - Shading and Fenestration'!$70:$70,'4 - Shading and Fenestration'!$79:$79,'4 - Shading and Fenestration'!$85:$92</definedName>
    <definedName name="Z_75D6F8CE_A4F4_4FDD_BA92_7996F9E19FA9_.wvu.Rows" localSheetId="10" hidden="1">'5 - Opaque Assemblies'!$63:$63,'5 - Opaque Assemblies'!$73:$73,'5 - Opaque Assemblies'!$83:$83,'5 - Opaque Assemblies'!$93:$93,'5 - Opaque Assemblies'!#REF!</definedName>
    <definedName name="Z_75D6F8CE_A4F4_4FDD_BA92_7996F9E19FA9_.wvu.Rows" localSheetId="16" hidden="1">'6b - General Lighting'!$27:$49,'6b - General Lighting'!$61:$61,'6b - General Lighting'!$65:$65,'6b - General Lighting'!$85:$85,'6b - General Lighting'!$148:$148</definedName>
    <definedName name="Z_75D6F8CE_A4F4_4FDD_BA92_7996F9E19FA9_.wvu.Rows" localSheetId="22" hidden="1">'7 - Process Loads'!$22:$22,'7 - Process Loads'!#REF!,'7 - Process Loads'!$78:$84,'7 - Process Loads'!$95:$95,'7 - Process Loads'!$113:$113</definedName>
    <definedName name="Z_75D6F8CE_A4F4_4FDD_BA92_7996F9E19FA9_.wvu.Rows" localSheetId="23" hidden="1">'8 - Service Water Heating'!#REF!</definedName>
    <definedName name="Z_75D6F8CE_A4F4_4FDD_BA92_7996F9E19FA9_.wvu.Rows" localSheetId="25" hidden="1">'9 - General HVAC'!$17:$17,'9 - General HVAC'!$34:$34</definedName>
    <definedName name="Z_75D6F8CE_A4F4_4FDD_BA92_7996F9E19FA9_.wvu.Rows" localSheetId="3" hidden="1">'General Information'!$43:$45</definedName>
  </definedNames>
  <calcPr calcId="191029"/>
  <customWorkbookViews>
    <customWorkbookView name="Luke McGuire - Personal View" guid="{75D6F8CE-A4F4-4FDD-BA92-7996F9E19FA9}" mergeInterval="0" personalView="1" maximized="1" xWindow="103" yWindow="-8" windowWidth="1345" windowHeight="916" tabRatio="91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8" i="7" l="1"/>
  <c r="Y25" i="2"/>
  <c r="J25" i="2" s="1"/>
  <c r="Y24" i="2"/>
  <c r="J24" i="2" s="1"/>
  <c r="Y23" i="2"/>
  <c r="J23" i="2" s="1"/>
  <c r="Y22" i="2"/>
  <c r="J22" i="2" s="1"/>
  <c r="Y21" i="2"/>
  <c r="J21" i="2" s="1"/>
  <c r="R11" i="2"/>
  <c r="E35" i="45" s="1"/>
  <c r="Y20" i="2"/>
  <c r="J20" i="2"/>
  <c r="R14" i="2"/>
  <c r="K99" i="7" s="1"/>
  <c r="K79" i="7"/>
  <c r="K69" i="7"/>
  <c r="B43" i="7"/>
  <c r="B42" i="7"/>
  <c r="B38" i="7"/>
  <c r="B40" i="7"/>
  <c r="B33" i="7"/>
  <c r="F35" i="7"/>
  <c r="E35" i="75"/>
  <c r="H105" i="11"/>
  <c r="F18" i="70"/>
  <c r="G19" i="15"/>
  <c r="DU30" i="33"/>
  <c r="DV30" i="33"/>
  <c r="DW30" i="33"/>
  <c r="CZ30" i="33" s="1"/>
  <c r="DC30" i="33"/>
  <c r="DU31" i="33"/>
  <c r="DV31" i="33"/>
  <c r="DW31" i="33"/>
  <c r="CZ31" i="33" s="1"/>
  <c r="DC31" i="33"/>
  <c r="DU32" i="33"/>
  <c r="DV32" i="33"/>
  <c r="DW32" i="33"/>
  <c r="CZ32" i="33" s="1"/>
  <c r="DU33" i="33"/>
  <c r="DV33" i="33"/>
  <c r="DW33" i="33"/>
  <c r="CZ33" i="33" s="1"/>
  <c r="DU34" i="33"/>
  <c r="DV34" i="33"/>
  <c r="DW34" i="33"/>
  <c r="CZ34" i="33" s="1"/>
  <c r="DU35" i="33"/>
  <c r="DV35" i="33"/>
  <c r="DW35" i="33"/>
  <c r="CZ35" i="33" s="1"/>
  <c r="DU36" i="33"/>
  <c r="DV36" i="33"/>
  <c r="DW36" i="33"/>
  <c r="CZ36" i="33" s="1"/>
  <c r="DU37" i="33"/>
  <c r="DV37" i="33"/>
  <c r="DW37" i="33"/>
  <c r="CZ37" i="33" s="1"/>
  <c r="DU38" i="33"/>
  <c r="DV38" i="33"/>
  <c r="DW38" i="33"/>
  <c r="CZ38" i="33" s="1"/>
  <c r="DU39" i="33"/>
  <c r="DV39" i="33"/>
  <c r="DW39" i="33"/>
  <c r="CZ39" i="33" s="1"/>
  <c r="DU40" i="33"/>
  <c r="DV40" i="33"/>
  <c r="DW40" i="33"/>
  <c r="CZ40" i="33" s="1"/>
  <c r="DU41" i="33"/>
  <c r="DV41" i="33"/>
  <c r="DW41" i="33"/>
  <c r="CZ41" i="33" s="1"/>
  <c r="DU42" i="33"/>
  <c r="DV42" i="33"/>
  <c r="DW42" i="33"/>
  <c r="CZ42" i="33" s="1"/>
  <c r="DU43" i="33"/>
  <c r="DV43" i="33"/>
  <c r="DW43" i="33"/>
  <c r="CZ43" i="33" s="1"/>
  <c r="DU44" i="33"/>
  <c r="DV44" i="33"/>
  <c r="DW44" i="33"/>
  <c r="CZ44" i="33" s="1"/>
  <c r="DU45" i="33"/>
  <c r="DV45" i="33"/>
  <c r="DW45" i="33"/>
  <c r="CZ45" i="33" s="1"/>
  <c r="DU46" i="33"/>
  <c r="DV46" i="33"/>
  <c r="DW46" i="33"/>
  <c r="CZ46" i="33" s="1"/>
  <c r="DU47" i="33"/>
  <c r="DS47" i="33" s="1"/>
  <c r="DD47" i="33" s="1"/>
  <c r="DA47" i="33" s="1"/>
  <c r="DV47" i="33"/>
  <c r="DW47" i="33"/>
  <c r="CZ47" i="33"/>
  <c r="DU48" i="33"/>
  <c r="DV48" i="33"/>
  <c r="DW48" i="33"/>
  <c r="CZ48" i="33"/>
  <c r="DU49" i="33"/>
  <c r="DV49" i="33"/>
  <c r="DW49" i="33"/>
  <c r="CZ49" i="33"/>
  <c r="DU50" i="33"/>
  <c r="DV50" i="33"/>
  <c r="DW50" i="33"/>
  <c r="CZ50" i="33"/>
  <c r="DU51" i="33"/>
  <c r="DV51" i="33"/>
  <c r="DW51" i="33"/>
  <c r="CZ51" i="33"/>
  <c r="DU52" i="33"/>
  <c r="DV52" i="33"/>
  <c r="DW52" i="33"/>
  <c r="CZ52" i="33"/>
  <c r="DU53" i="33"/>
  <c r="DV53" i="33"/>
  <c r="DW53" i="33"/>
  <c r="CZ53" i="33"/>
  <c r="DU54" i="33"/>
  <c r="DV54" i="33"/>
  <c r="DW54" i="33"/>
  <c r="CZ54" i="33"/>
  <c r="DU55" i="33"/>
  <c r="DV55" i="33"/>
  <c r="DW55" i="33"/>
  <c r="CZ55" i="33"/>
  <c r="DU56" i="33"/>
  <c r="DV56" i="33"/>
  <c r="DW56" i="33"/>
  <c r="CZ56" i="33"/>
  <c r="DU57" i="33"/>
  <c r="DV57" i="33"/>
  <c r="DW57" i="33"/>
  <c r="CZ57" i="33"/>
  <c r="DU58" i="33"/>
  <c r="DV58" i="33"/>
  <c r="DW58" i="33"/>
  <c r="CZ58" i="33"/>
  <c r="DU59" i="33"/>
  <c r="DV59" i="33"/>
  <c r="DW59" i="33"/>
  <c r="CZ59" i="33"/>
  <c r="DU60" i="33"/>
  <c r="DV60" i="33"/>
  <c r="DW60" i="33"/>
  <c r="CZ60" i="33"/>
  <c r="DU61" i="33"/>
  <c r="DV61" i="33"/>
  <c r="DW61" i="33"/>
  <c r="CZ61" i="33"/>
  <c r="DU62" i="33"/>
  <c r="DV62" i="33"/>
  <c r="DW62" i="33"/>
  <c r="CZ62" i="33"/>
  <c r="DU63" i="33"/>
  <c r="DV63" i="33"/>
  <c r="DW63" i="33"/>
  <c r="CZ63" i="33"/>
  <c r="DU64" i="33"/>
  <c r="DV64" i="33"/>
  <c r="DW64" i="33"/>
  <c r="CZ64" i="33"/>
  <c r="DU65" i="33"/>
  <c r="DV65" i="33"/>
  <c r="DW65" i="33"/>
  <c r="CZ65" i="33"/>
  <c r="DU66" i="33"/>
  <c r="DV66" i="33"/>
  <c r="DW66" i="33"/>
  <c r="CZ66" i="33"/>
  <c r="DU67" i="33"/>
  <c r="DV67" i="33"/>
  <c r="DW67" i="33"/>
  <c r="CZ67" i="33"/>
  <c r="DU68" i="33"/>
  <c r="DV68" i="33"/>
  <c r="DW68" i="33"/>
  <c r="CZ68" i="33"/>
  <c r="DU69" i="33"/>
  <c r="DV69" i="33"/>
  <c r="DW69" i="33"/>
  <c r="CZ69" i="33"/>
  <c r="DU70" i="33"/>
  <c r="DV70" i="33"/>
  <c r="DW70" i="33"/>
  <c r="CZ70" i="33"/>
  <c r="DU71" i="33"/>
  <c r="DV71" i="33"/>
  <c r="DW71" i="33"/>
  <c r="CZ71" i="33" s="1"/>
  <c r="DU72" i="33"/>
  <c r="DV72" i="33"/>
  <c r="DW72" i="33"/>
  <c r="CZ72" i="33" s="1"/>
  <c r="DU73" i="33"/>
  <c r="DV73" i="33"/>
  <c r="DW73" i="33"/>
  <c r="CZ73" i="33" s="1"/>
  <c r="DU74" i="33"/>
  <c r="DV74" i="33"/>
  <c r="DW74" i="33"/>
  <c r="CZ74" i="33" s="1"/>
  <c r="DU75" i="33"/>
  <c r="DV75" i="33"/>
  <c r="DW75" i="33"/>
  <c r="CZ75" i="33" s="1"/>
  <c r="DU76" i="33"/>
  <c r="DV76" i="33"/>
  <c r="DW76" i="33"/>
  <c r="CZ76" i="33" s="1"/>
  <c r="DU77" i="33"/>
  <c r="DV77" i="33"/>
  <c r="DW77" i="33"/>
  <c r="CZ77" i="33" s="1"/>
  <c r="DU78" i="33"/>
  <c r="DV78" i="33"/>
  <c r="DW78" i="33"/>
  <c r="CZ78" i="33" s="1"/>
  <c r="DU79" i="33"/>
  <c r="DV79" i="33"/>
  <c r="DW79" i="33"/>
  <c r="CZ79" i="33" s="1"/>
  <c r="DU80" i="33"/>
  <c r="DV80" i="33"/>
  <c r="DW80" i="33"/>
  <c r="CZ80" i="33" s="1"/>
  <c r="DU81" i="33"/>
  <c r="DV81" i="33"/>
  <c r="DW81" i="33"/>
  <c r="CZ81" i="33" s="1"/>
  <c r="DU82" i="33"/>
  <c r="DV82" i="33"/>
  <c r="DW82" i="33"/>
  <c r="CZ82" i="33" s="1"/>
  <c r="DU83" i="33"/>
  <c r="DV83" i="33"/>
  <c r="DW83" i="33"/>
  <c r="CZ83" i="33" s="1"/>
  <c r="DU84" i="33"/>
  <c r="DV84" i="33"/>
  <c r="DW84" i="33"/>
  <c r="CZ84" i="33" s="1"/>
  <c r="DU85" i="33"/>
  <c r="DV85" i="33"/>
  <c r="DW85" i="33"/>
  <c r="CZ85" i="33" s="1"/>
  <c r="DU86" i="33"/>
  <c r="DV86" i="33"/>
  <c r="DW86" i="33"/>
  <c r="CZ86" i="33"/>
  <c r="DU87" i="33"/>
  <c r="DV87" i="33"/>
  <c r="DW87" i="33"/>
  <c r="CZ87" i="33" s="1"/>
  <c r="DU88" i="33"/>
  <c r="DV88" i="33"/>
  <c r="DW88" i="33"/>
  <c r="CZ88" i="33" s="1"/>
  <c r="DU89" i="33"/>
  <c r="DV89" i="33"/>
  <c r="DW89" i="33"/>
  <c r="CZ89" i="33" s="1"/>
  <c r="DU90" i="33"/>
  <c r="DV90" i="33"/>
  <c r="DW90" i="33"/>
  <c r="CZ90" i="33" s="1"/>
  <c r="DU91" i="33"/>
  <c r="DV91" i="33"/>
  <c r="DW91" i="33"/>
  <c r="CZ91" i="33" s="1"/>
  <c r="DU92" i="33"/>
  <c r="DV92" i="33"/>
  <c r="DW92" i="33"/>
  <c r="CZ92" i="33" s="1"/>
  <c r="DU93" i="33"/>
  <c r="DV93" i="33"/>
  <c r="DW93" i="33"/>
  <c r="CZ93" i="33" s="1"/>
  <c r="DU94" i="33"/>
  <c r="DV94" i="33"/>
  <c r="DW94" i="33"/>
  <c r="CZ94" i="33" s="1"/>
  <c r="DU95" i="33"/>
  <c r="DV95" i="33"/>
  <c r="DW95" i="33"/>
  <c r="CZ95" i="33" s="1"/>
  <c r="DU96" i="33"/>
  <c r="DV96" i="33"/>
  <c r="DW96" i="33"/>
  <c r="CZ96" i="33" s="1"/>
  <c r="DU97" i="33"/>
  <c r="DV97" i="33"/>
  <c r="DW97" i="33"/>
  <c r="CZ97" i="33" s="1"/>
  <c r="DU98" i="33"/>
  <c r="DV98" i="33"/>
  <c r="DW98" i="33"/>
  <c r="CZ98" i="33" s="1"/>
  <c r="DU99" i="33"/>
  <c r="DV99" i="33"/>
  <c r="DW99" i="33"/>
  <c r="CZ99" i="33" s="1"/>
  <c r="DU100" i="33"/>
  <c r="DV100" i="33"/>
  <c r="DW100" i="33"/>
  <c r="CZ100" i="33" s="1"/>
  <c r="DU101" i="33"/>
  <c r="DV101" i="33"/>
  <c r="DW101" i="33"/>
  <c r="CZ101" i="33" s="1"/>
  <c r="DU102" i="33"/>
  <c r="DV102" i="33"/>
  <c r="DW102" i="33"/>
  <c r="CZ102" i="33" s="1"/>
  <c r="DU103" i="33"/>
  <c r="DV103" i="33"/>
  <c r="DW103" i="33"/>
  <c r="CZ103" i="33" s="1"/>
  <c r="DU104" i="33"/>
  <c r="DV104" i="33"/>
  <c r="DW104" i="33"/>
  <c r="CZ104" i="33" s="1"/>
  <c r="DU105" i="33"/>
  <c r="DV105" i="33"/>
  <c r="DW105" i="33"/>
  <c r="CZ105" i="33" s="1"/>
  <c r="DU106" i="33"/>
  <c r="DV106" i="33"/>
  <c r="DW106" i="33"/>
  <c r="CZ106" i="33" s="1"/>
  <c r="DU107" i="33"/>
  <c r="DV107" i="33"/>
  <c r="DW107" i="33"/>
  <c r="CZ107" i="33" s="1"/>
  <c r="DU108" i="33"/>
  <c r="DV108" i="33"/>
  <c r="DW108" i="33"/>
  <c r="CZ108" i="33" s="1"/>
  <c r="DU109" i="33"/>
  <c r="DV109" i="33"/>
  <c r="DW109" i="33"/>
  <c r="CZ109" i="33" s="1"/>
  <c r="DU110" i="33"/>
  <c r="DV110" i="33"/>
  <c r="DW110" i="33"/>
  <c r="CZ110" i="33" s="1"/>
  <c r="DU111" i="33"/>
  <c r="DV111" i="33"/>
  <c r="DW111" i="33"/>
  <c r="CZ111" i="33" s="1"/>
  <c r="DU112" i="33"/>
  <c r="DV112" i="33"/>
  <c r="DW112" i="33"/>
  <c r="CZ112" i="33" s="1"/>
  <c r="DU113" i="33"/>
  <c r="DV113" i="33"/>
  <c r="DW113" i="33"/>
  <c r="CZ113" i="33" s="1"/>
  <c r="DU114" i="33"/>
  <c r="DV114" i="33"/>
  <c r="DW114" i="33"/>
  <c r="CZ114" i="33" s="1"/>
  <c r="DU115" i="33"/>
  <c r="DV115" i="33"/>
  <c r="DW115" i="33"/>
  <c r="CZ115" i="33" s="1"/>
  <c r="DU116" i="33"/>
  <c r="DV116" i="33"/>
  <c r="DW116" i="33"/>
  <c r="CZ116" i="33" s="1"/>
  <c r="DU117" i="33"/>
  <c r="DV117" i="33"/>
  <c r="DW117" i="33"/>
  <c r="CZ117" i="33" s="1"/>
  <c r="DU118" i="33"/>
  <c r="DV118" i="33"/>
  <c r="DW118" i="33"/>
  <c r="CZ118" i="33" s="1"/>
  <c r="DU119" i="33"/>
  <c r="DV119" i="33"/>
  <c r="DW119" i="33"/>
  <c r="CZ119" i="33" s="1"/>
  <c r="DU120" i="33"/>
  <c r="DV120" i="33"/>
  <c r="DW120" i="33"/>
  <c r="CZ120" i="33" s="1"/>
  <c r="DU121" i="33"/>
  <c r="DV121" i="33"/>
  <c r="DW121" i="33"/>
  <c r="CZ121" i="33" s="1"/>
  <c r="DU122" i="33"/>
  <c r="DV122" i="33"/>
  <c r="DW122" i="33"/>
  <c r="CZ122" i="33" s="1"/>
  <c r="DU123" i="33"/>
  <c r="DV123" i="33"/>
  <c r="DW123" i="33"/>
  <c r="CZ123" i="33" s="1"/>
  <c r="DU124" i="33"/>
  <c r="DV124" i="33"/>
  <c r="DW124" i="33"/>
  <c r="CZ124" i="33" s="1"/>
  <c r="DU125" i="33"/>
  <c r="DV125" i="33"/>
  <c r="DW125" i="33"/>
  <c r="CZ125" i="33" s="1"/>
  <c r="DU126" i="33"/>
  <c r="DV126" i="33"/>
  <c r="DW126" i="33"/>
  <c r="CZ126" i="33" s="1"/>
  <c r="DU127" i="33"/>
  <c r="DV127" i="33"/>
  <c r="DW127" i="33"/>
  <c r="CZ127" i="33" s="1"/>
  <c r="DU128" i="33"/>
  <c r="DV128" i="33"/>
  <c r="DW128" i="33"/>
  <c r="CZ128" i="33" s="1"/>
  <c r="DU129" i="33"/>
  <c r="DV129" i="33"/>
  <c r="DW129" i="33"/>
  <c r="CZ129" i="33" s="1"/>
  <c r="DU130" i="33"/>
  <c r="DV130" i="33"/>
  <c r="DW130" i="33"/>
  <c r="CZ130" i="33" s="1"/>
  <c r="DU131" i="33"/>
  <c r="DV131" i="33"/>
  <c r="DW131" i="33"/>
  <c r="CZ131" i="33" s="1"/>
  <c r="DU132" i="33"/>
  <c r="DV132" i="33"/>
  <c r="DW132" i="33"/>
  <c r="CZ132" i="33" s="1"/>
  <c r="DU133" i="33"/>
  <c r="DV133" i="33"/>
  <c r="DW133" i="33"/>
  <c r="CZ133" i="33" s="1"/>
  <c r="DU134" i="33"/>
  <c r="DV134" i="33"/>
  <c r="DW134" i="33"/>
  <c r="CZ134" i="33" s="1"/>
  <c r="DU135" i="33"/>
  <c r="DV135" i="33"/>
  <c r="DW135" i="33"/>
  <c r="CZ135" i="33" s="1"/>
  <c r="DU136" i="33"/>
  <c r="DV136" i="33"/>
  <c r="DW136" i="33"/>
  <c r="CZ136" i="33" s="1"/>
  <c r="DU137" i="33"/>
  <c r="DV137" i="33"/>
  <c r="DW137" i="33"/>
  <c r="CZ137" i="33" s="1"/>
  <c r="DU138" i="33"/>
  <c r="DV138" i="33"/>
  <c r="DW138" i="33"/>
  <c r="CZ138" i="33" s="1"/>
  <c r="DU139" i="33"/>
  <c r="DV139" i="33"/>
  <c r="DW139" i="33"/>
  <c r="CZ139" i="33" s="1"/>
  <c r="DU140" i="33"/>
  <c r="DV140" i="33"/>
  <c r="DW140" i="33"/>
  <c r="CZ140" i="33" s="1"/>
  <c r="DU141" i="33"/>
  <c r="DV141" i="33"/>
  <c r="DW141" i="33"/>
  <c r="CZ141" i="33" s="1"/>
  <c r="DU142" i="33"/>
  <c r="DV142" i="33"/>
  <c r="DW142" i="33"/>
  <c r="CZ142" i="33" s="1"/>
  <c r="DU143" i="33"/>
  <c r="DV143" i="33"/>
  <c r="DW143" i="33"/>
  <c r="CZ143" i="33" s="1"/>
  <c r="DU144" i="33"/>
  <c r="DV144" i="33"/>
  <c r="DW144" i="33"/>
  <c r="CZ144" i="33" s="1"/>
  <c r="DU145" i="33"/>
  <c r="DV145" i="33"/>
  <c r="DW145" i="33"/>
  <c r="CZ145" i="33" s="1"/>
  <c r="DU146" i="33"/>
  <c r="DV146" i="33"/>
  <c r="DW146" i="33"/>
  <c r="CZ146" i="33" s="1"/>
  <c r="DU147" i="33"/>
  <c r="DV147" i="33"/>
  <c r="DW147" i="33"/>
  <c r="CZ147" i="33" s="1"/>
  <c r="DU148" i="33"/>
  <c r="DV148" i="33"/>
  <c r="DW148" i="33"/>
  <c r="CZ148" i="33" s="1"/>
  <c r="DU149" i="33"/>
  <c r="DV149" i="33"/>
  <c r="DW149" i="33"/>
  <c r="CZ149" i="33" s="1"/>
  <c r="DU150" i="33"/>
  <c r="DV150" i="33"/>
  <c r="DW150" i="33"/>
  <c r="CZ150" i="33" s="1"/>
  <c r="DU151" i="33"/>
  <c r="DV151" i="33"/>
  <c r="DS151" i="33"/>
  <c r="DD151" i="33" s="1"/>
  <c r="DA151" i="33" s="1"/>
  <c r="DW151" i="33"/>
  <c r="CZ151" i="33" s="1"/>
  <c r="DU152" i="33"/>
  <c r="DV152" i="33"/>
  <c r="DW152" i="33"/>
  <c r="CZ152" i="33" s="1"/>
  <c r="DU153" i="33"/>
  <c r="DV153" i="33"/>
  <c r="DW153" i="33"/>
  <c r="CZ153" i="33" s="1"/>
  <c r="DU154" i="33"/>
  <c r="DV154" i="33"/>
  <c r="DW154" i="33"/>
  <c r="CZ154" i="33"/>
  <c r="DU155" i="33"/>
  <c r="DV155" i="33"/>
  <c r="DW155" i="33"/>
  <c r="CZ155" i="33"/>
  <c r="DU156" i="33"/>
  <c r="DV156" i="33"/>
  <c r="DW156" i="33"/>
  <c r="CZ156" i="33"/>
  <c r="DU157" i="33"/>
  <c r="DV157" i="33"/>
  <c r="DW157" i="33"/>
  <c r="CZ157" i="33"/>
  <c r="DU158" i="33"/>
  <c r="DV158" i="33"/>
  <c r="DW158" i="33"/>
  <c r="CZ158" i="33"/>
  <c r="DU159" i="33"/>
  <c r="DV159" i="33"/>
  <c r="DW159" i="33"/>
  <c r="CZ159" i="33"/>
  <c r="DU160" i="33"/>
  <c r="DV160" i="33"/>
  <c r="DW160" i="33"/>
  <c r="CZ160" i="33"/>
  <c r="DU161" i="33"/>
  <c r="DV161" i="33"/>
  <c r="DW161" i="33"/>
  <c r="CZ161" i="33"/>
  <c r="DU162" i="33"/>
  <c r="DV162" i="33"/>
  <c r="DW162" i="33"/>
  <c r="CZ162" i="33"/>
  <c r="DU163" i="33"/>
  <c r="DV163" i="33"/>
  <c r="DW163" i="33"/>
  <c r="CZ163" i="33"/>
  <c r="DU164" i="33"/>
  <c r="DV164" i="33"/>
  <c r="DW164" i="33"/>
  <c r="CZ164" i="33"/>
  <c r="DU165" i="33"/>
  <c r="DV165" i="33"/>
  <c r="DW165" i="33"/>
  <c r="CZ165" i="33"/>
  <c r="DU166" i="33"/>
  <c r="DV166" i="33"/>
  <c r="DW166" i="33"/>
  <c r="CZ166" i="33"/>
  <c r="DU167" i="33"/>
  <c r="DV167" i="33"/>
  <c r="DW167" i="33"/>
  <c r="CZ167" i="33"/>
  <c r="DU168" i="33"/>
  <c r="DV168" i="33"/>
  <c r="DW168" i="33"/>
  <c r="CZ168" i="33"/>
  <c r="DU169" i="33"/>
  <c r="DV169" i="33"/>
  <c r="DW169" i="33"/>
  <c r="CZ169" i="33"/>
  <c r="DU170" i="33"/>
  <c r="DV170" i="33"/>
  <c r="DW170" i="33"/>
  <c r="CZ170" i="33"/>
  <c r="DU171" i="33"/>
  <c r="DV171" i="33"/>
  <c r="DW171" i="33"/>
  <c r="CZ171" i="33"/>
  <c r="DU172" i="33"/>
  <c r="DV172" i="33"/>
  <c r="DW172" i="33"/>
  <c r="CZ172" i="33"/>
  <c r="DU173" i="33"/>
  <c r="DV173" i="33"/>
  <c r="DW173" i="33"/>
  <c r="CZ173" i="33"/>
  <c r="DU174" i="33"/>
  <c r="DV174" i="33"/>
  <c r="DW174" i="33"/>
  <c r="CZ174" i="33"/>
  <c r="DU175" i="33"/>
  <c r="DS175" i="33" s="1"/>
  <c r="DD175" i="33" s="1"/>
  <c r="DA175" i="33" s="1"/>
  <c r="DV175" i="33"/>
  <c r="DW175" i="33"/>
  <c r="CZ175" i="33"/>
  <c r="DU176" i="33"/>
  <c r="DV176" i="33"/>
  <c r="DW176" i="33"/>
  <c r="CZ176" i="33"/>
  <c r="DU177" i="33"/>
  <c r="DV177" i="33"/>
  <c r="DW177" i="33"/>
  <c r="CZ177" i="33"/>
  <c r="DU178" i="33"/>
  <c r="DV178" i="33"/>
  <c r="DW178" i="33"/>
  <c r="CZ178" i="33"/>
  <c r="DU179" i="33"/>
  <c r="DV179" i="33"/>
  <c r="DW179" i="33"/>
  <c r="CZ179" i="33"/>
  <c r="DU180" i="33"/>
  <c r="DV180" i="33"/>
  <c r="DW180" i="33"/>
  <c r="CZ180" i="33"/>
  <c r="DU181" i="33"/>
  <c r="DV181" i="33"/>
  <c r="DW181" i="33"/>
  <c r="CZ181" i="33"/>
  <c r="DU182" i="33"/>
  <c r="DV182" i="33"/>
  <c r="DW182" i="33"/>
  <c r="CZ182" i="33"/>
  <c r="DU183" i="33"/>
  <c r="DV183" i="33"/>
  <c r="DW183" i="33"/>
  <c r="CZ183" i="33"/>
  <c r="DU184" i="33"/>
  <c r="DV184" i="33"/>
  <c r="DW184" i="33"/>
  <c r="CZ184" i="33"/>
  <c r="DU185" i="33"/>
  <c r="DV185" i="33"/>
  <c r="DW185" i="33"/>
  <c r="CZ185" i="33"/>
  <c r="DU186" i="33"/>
  <c r="DV186" i="33"/>
  <c r="DW186" i="33"/>
  <c r="CZ186" i="33"/>
  <c r="DU187" i="33"/>
  <c r="DV187" i="33"/>
  <c r="DW187" i="33"/>
  <c r="CZ187" i="33"/>
  <c r="DU188" i="33"/>
  <c r="DV188" i="33"/>
  <c r="DW188" i="33"/>
  <c r="CZ188" i="33"/>
  <c r="DU189" i="33"/>
  <c r="DV189" i="33"/>
  <c r="DW189" i="33"/>
  <c r="CZ189" i="33"/>
  <c r="DU190" i="33"/>
  <c r="DV190" i="33"/>
  <c r="DW190" i="33"/>
  <c r="CZ190" i="33"/>
  <c r="DU191" i="33"/>
  <c r="DV191" i="33"/>
  <c r="DW191" i="33"/>
  <c r="CZ191" i="33"/>
  <c r="DU192" i="33"/>
  <c r="DV192" i="33"/>
  <c r="DW192" i="33"/>
  <c r="CZ192" i="33"/>
  <c r="DU193" i="33"/>
  <c r="DV193" i="33"/>
  <c r="DW193" i="33"/>
  <c r="CZ193" i="33"/>
  <c r="DU194" i="33"/>
  <c r="DV194" i="33"/>
  <c r="DW194" i="33"/>
  <c r="CZ194" i="33"/>
  <c r="DU195" i="33"/>
  <c r="DV195" i="33"/>
  <c r="DW195" i="33"/>
  <c r="CZ195" i="33"/>
  <c r="DU196" i="33"/>
  <c r="DV196" i="33"/>
  <c r="DW196" i="33"/>
  <c r="CZ196" i="33"/>
  <c r="DU197" i="33"/>
  <c r="DV197" i="33"/>
  <c r="DW197" i="33"/>
  <c r="CZ197" i="33"/>
  <c r="DU198" i="33"/>
  <c r="DV198" i="33"/>
  <c r="DW198" i="33"/>
  <c r="CZ198" i="33"/>
  <c r="DU199" i="33"/>
  <c r="DV199" i="33"/>
  <c r="DW199" i="33"/>
  <c r="CZ199" i="33"/>
  <c r="DU200" i="33"/>
  <c r="DV200" i="33"/>
  <c r="DW200" i="33"/>
  <c r="CZ200" i="33"/>
  <c r="DU201" i="33"/>
  <c r="DV201" i="33"/>
  <c r="DW201" i="33"/>
  <c r="CZ201" i="33"/>
  <c r="DU202" i="33"/>
  <c r="DV202" i="33"/>
  <c r="DW202" i="33"/>
  <c r="CZ202" i="33"/>
  <c r="DU203" i="33"/>
  <c r="DV203" i="33"/>
  <c r="DW203" i="33"/>
  <c r="CZ203" i="33"/>
  <c r="DU204" i="33"/>
  <c r="DV204" i="33"/>
  <c r="DW204" i="33"/>
  <c r="CZ204" i="33"/>
  <c r="DU205" i="33"/>
  <c r="DV205" i="33"/>
  <c r="DW205" i="33"/>
  <c r="CZ205" i="33"/>
  <c r="DU206" i="33"/>
  <c r="DV206" i="33"/>
  <c r="DW206" i="33"/>
  <c r="CZ206" i="33"/>
  <c r="DU207" i="33"/>
  <c r="DV207" i="33"/>
  <c r="DW207" i="33"/>
  <c r="CZ207" i="33" s="1"/>
  <c r="DU208" i="33"/>
  <c r="DV208" i="33"/>
  <c r="DW208" i="33"/>
  <c r="CZ208" i="33" s="1"/>
  <c r="DU209" i="33"/>
  <c r="DV209" i="33"/>
  <c r="DW209" i="33"/>
  <c r="CZ209" i="33" s="1"/>
  <c r="DU210" i="33"/>
  <c r="DV210" i="33"/>
  <c r="DW210" i="33"/>
  <c r="CZ210" i="33" s="1"/>
  <c r="DU211" i="33"/>
  <c r="DV211" i="33"/>
  <c r="DW211" i="33"/>
  <c r="CZ211" i="33" s="1"/>
  <c r="DU212" i="33"/>
  <c r="DV212" i="33"/>
  <c r="DW212" i="33"/>
  <c r="CZ212" i="33" s="1"/>
  <c r="DU213" i="33"/>
  <c r="DV213" i="33"/>
  <c r="DW213" i="33"/>
  <c r="CZ213" i="33" s="1"/>
  <c r="DU214" i="33"/>
  <c r="DV214" i="33"/>
  <c r="DW214" i="33"/>
  <c r="CZ214" i="33" s="1"/>
  <c r="DU215" i="33"/>
  <c r="DS215" i="33" s="1"/>
  <c r="DD215" i="33" s="1"/>
  <c r="DA215" i="33" s="1"/>
  <c r="DV215" i="33"/>
  <c r="DW215" i="33"/>
  <c r="CZ215" i="33"/>
  <c r="DU216" i="33"/>
  <c r="DV216" i="33"/>
  <c r="DW216" i="33"/>
  <c r="CZ216" i="33"/>
  <c r="DU217" i="33"/>
  <c r="DV217" i="33"/>
  <c r="DW217" i="33"/>
  <c r="CZ217" i="33"/>
  <c r="DU218" i="33"/>
  <c r="DV218" i="33"/>
  <c r="DW218" i="33"/>
  <c r="CZ218" i="33"/>
  <c r="DU219" i="33"/>
  <c r="DV219" i="33"/>
  <c r="DW219" i="33"/>
  <c r="CZ219" i="33"/>
  <c r="DU220" i="33"/>
  <c r="DV220" i="33"/>
  <c r="DW220" i="33"/>
  <c r="CZ220" i="33"/>
  <c r="DU221" i="33"/>
  <c r="DV221" i="33"/>
  <c r="DW221" i="33"/>
  <c r="CZ221" i="33"/>
  <c r="DU222" i="33"/>
  <c r="DV222" i="33"/>
  <c r="DW222" i="33"/>
  <c r="CZ222" i="33"/>
  <c r="DU223" i="33"/>
  <c r="DV223" i="33"/>
  <c r="DW223" i="33"/>
  <c r="CZ223" i="33"/>
  <c r="DU224" i="33"/>
  <c r="DV224" i="33"/>
  <c r="DW224" i="33"/>
  <c r="CZ224" i="33"/>
  <c r="DU225" i="33"/>
  <c r="DV225" i="33"/>
  <c r="DS225" i="33" s="1"/>
  <c r="DW225" i="33"/>
  <c r="CZ225" i="33"/>
  <c r="DU226" i="33"/>
  <c r="DV226" i="33"/>
  <c r="DW226" i="33"/>
  <c r="CZ226" i="33"/>
  <c r="DU227" i="33"/>
  <c r="DV227" i="33"/>
  <c r="DW227" i="33"/>
  <c r="CZ227" i="33"/>
  <c r="DU228" i="33"/>
  <c r="DV228" i="33"/>
  <c r="DW228" i="33"/>
  <c r="CZ228" i="33"/>
  <c r="DU229" i="33"/>
  <c r="DV229" i="33"/>
  <c r="DW229" i="33"/>
  <c r="CZ229" i="33"/>
  <c r="DU230" i="33"/>
  <c r="DV230" i="33"/>
  <c r="DS230" i="33" s="1"/>
  <c r="DW230" i="33"/>
  <c r="CZ230" i="33"/>
  <c r="DU231" i="33"/>
  <c r="DV231" i="33"/>
  <c r="DW231" i="33"/>
  <c r="CZ231" i="33"/>
  <c r="DU232" i="33"/>
  <c r="DV232" i="33"/>
  <c r="DW232" i="33"/>
  <c r="CZ232" i="33"/>
  <c r="DU233" i="33"/>
  <c r="DV233" i="33"/>
  <c r="DW233" i="33"/>
  <c r="CZ233" i="33"/>
  <c r="DU234" i="33"/>
  <c r="DV234" i="33"/>
  <c r="DW234" i="33"/>
  <c r="CZ234" i="33"/>
  <c r="DU235" i="33"/>
  <c r="DV235" i="33"/>
  <c r="DW235" i="33"/>
  <c r="CZ235" i="33"/>
  <c r="DU236" i="33"/>
  <c r="DV236" i="33"/>
  <c r="DW236" i="33"/>
  <c r="CZ236" i="33"/>
  <c r="DU237" i="33"/>
  <c r="DV237" i="33"/>
  <c r="DW237" i="33"/>
  <c r="CZ237" i="33"/>
  <c r="DU238" i="33"/>
  <c r="DV238" i="33"/>
  <c r="DW238" i="33"/>
  <c r="CZ238" i="33"/>
  <c r="DU239" i="33"/>
  <c r="DV239" i="33"/>
  <c r="DW239" i="33"/>
  <c r="CZ239" i="33"/>
  <c r="DU240" i="33"/>
  <c r="DV240" i="33"/>
  <c r="DW240" i="33"/>
  <c r="CZ240" i="33"/>
  <c r="DU241" i="33"/>
  <c r="DV241" i="33"/>
  <c r="DW241" i="33"/>
  <c r="CZ241" i="33"/>
  <c r="DU242" i="33"/>
  <c r="DV242" i="33"/>
  <c r="DW242" i="33"/>
  <c r="CZ242" i="33"/>
  <c r="DU243" i="33"/>
  <c r="DV243" i="33"/>
  <c r="DW243" i="33"/>
  <c r="CZ243" i="33"/>
  <c r="DU244" i="33"/>
  <c r="DV244" i="33"/>
  <c r="DW244" i="33"/>
  <c r="CZ244" i="33"/>
  <c r="DU245" i="33"/>
  <c r="DV245" i="33"/>
  <c r="DW245" i="33"/>
  <c r="CZ245" i="33"/>
  <c r="DU246" i="33"/>
  <c r="DV246" i="33"/>
  <c r="DW246" i="33"/>
  <c r="CZ246" i="33"/>
  <c r="DU247" i="33"/>
  <c r="DV247" i="33"/>
  <c r="DW247" i="33"/>
  <c r="CZ247" i="33"/>
  <c r="DU248" i="33"/>
  <c r="DV248" i="33"/>
  <c r="DW248" i="33"/>
  <c r="CZ248" i="33"/>
  <c r="DU249" i="33"/>
  <c r="DV249" i="33"/>
  <c r="DS249" i="33" s="1"/>
  <c r="DW249" i="33"/>
  <c r="CZ249" i="33"/>
  <c r="DU250" i="33"/>
  <c r="DV250" i="33"/>
  <c r="DW250" i="33"/>
  <c r="CZ250" i="33"/>
  <c r="DU251" i="33"/>
  <c r="DV251" i="33"/>
  <c r="DW251" i="33"/>
  <c r="CZ251" i="33"/>
  <c r="DU252" i="33"/>
  <c r="DV252" i="33"/>
  <c r="DW252" i="33"/>
  <c r="CZ252" i="33"/>
  <c r="DU253" i="33"/>
  <c r="DV253" i="33"/>
  <c r="DW253" i="33"/>
  <c r="CZ253" i="33"/>
  <c r="DU254" i="33"/>
  <c r="DV254" i="33"/>
  <c r="DW254" i="33"/>
  <c r="CZ254" i="33"/>
  <c r="DU255" i="33"/>
  <c r="DV255" i="33"/>
  <c r="DW255" i="33"/>
  <c r="CZ255" i="33"/>
  <c r="DU256" i="33"/>
  <c r="DV256" i="33"/>
  <c r="DW256" i="33"/>
  <c r="CZ256" i="33"/>
  <c r="DU257" i="33"/>
  <c r="DV257" i="33"/>
  <c r="DW257" i="33"/>
  <c r="CZ257" i="33"/>
  <c r="DU258" i="33"/>
  <c r="DV258" i="33"/>
  <c r="DS258" i="33" s="1"/>
  <c r="DW258" i="33"/>
  <c r="CZ258" i="33"/>
  <c r="DU259" i="33"/>
  <c r="DV259" i="33"/>
  <c r="DW259" i="33"/>
  <c r="CZ259" i="33"/>
  <c r="DU260" i="33"/>
  <c r="DV260" i="33"/>
  <c r="DW260" i="33"/>
  <c r="CZ260" i="33"/>
  <c r="DU261" i="33"/>
  <c r="DV261" i="33"/>
  <c r="DW261" i="33"/>
  <c r="CZ261" i="33"/>
  <c r="DU262" i="33"/>
  <c r="DV262" i="33"/>
  <c r="DW262" i="33"/>
  <c r="CZ262" i="33"/>
  <c r="DU263" i="33"/>
  <c r="DV263" i="33"/>
  <c r="DW263" i="33"/>
  <c r="CZ263" i="33"/>
  <c r="DU264" i="33"/>
  <c r="DV264" i="33"/>
  <c r="DW264" i="33"/>
  <c r="CZ264" i="33"/>
  <c r="DU265" i="33"/>
  <c r="DV265" i="33"/>
  <c r="DS265" i="33" s="1"/>
  <c r="DW265" i="33"/>
  <c r="CZ265" i="33"/>
  <c r="DU266" i="33"/>
  <c r="DV266" i="33"/>
  <c r="DW266" i="33"/>
  <c r="CZ266" i="33"/>
  <c r="DU267" i="33"/>
  <c r="DV267" i="33"/>
  <c r="DW267" i="33"/>
  <c r="CZ267" i="33"/>
  <c r="DU268" i="33"/>
  <c r="DV268" i="33"/>
  <c r="DW268" i="33"/>
  <c r="CZ268" i="33"/>
  <c r="DU269" i="33"/>
  <c r="DV269" i="33"/>
  <c r="DW269" i="33"/>
  <c r="CZ269" i="33"/>
  <c r="DU270" i="33"/>
  <c r="DV270" i="33"/>
  <c r="DS270" i="33" s="1"/>
  <c r="DW270" i="33"/>
  <c r="CZ270" i="33"/>
  <c r="DU271" i="33"/>
  <c r="DV271" i="33"/>
  <c r="DS271" i="33" s="1"/>
  <c r="DD271" i="33"/>
  <c r="DA271" i="33" s="1"/>
  <c r="DW271" i="33"/>
  <c r="CZ271" i="33" s="1"/>
  <c r="DU272" i="33"/>
  <c r="DV272" i="33"/>
  <c r="DW272" i="33"/>
  <c r="CZ272" i="33" s="1"/>
  <c r="DU273" i="33"/>
  <c r="DV273" i="33"/>
  <c r="DW273" i="33"/>
  <c r="CZ273" i="33" s="1"/>
  <c r="DU274" i="33"/>
  <c r="DV274" i="33"/>
  <c r="DW274" i="33"/>
  <c r="CZ274" i="33" s="1"/>
  <c r="DU275" i="33"/>
  <c r="DV275" i="33"/>
  <c r="DW275" i="33"/>
  <c r="CZ275" i="33" s="1"/>
  <c r="DU276" i="33"/>
  <c r="DV276" i="33"/>
  <c r="DW276" i="33"/>
  <c r="CZ276" i="33" s="1"/>
  <c r="DU277" i="33"/>
  <c r="DV277" i="33"/>
  <c r="DW277" i="33"/>
  <c r="CZ277" i="33" s="1"/>
  <c r="DU278" i="33"/>
  <c r="DV278" i="33"/>
  <c r="DW278" i="33"/>
  <c r="CZ278" i="33" s="1"/>
  <c r="DU279" i="33"/>
  <c r="DV279" i="33"/>
  <c r="DW279" i="33"/>
  <c r="CZ279" i="33" s="1"/>
  <c r="DU280" i="33"/>
  <c r="DV280" i="33"/>
  <c r="DW280" i="33"/>
  <c r="CZ280" i="33" s="1"/>
  <c r="DU281" i="33"/>
  <c r="DV281" i="33"/>
  <c r="DW281" i="33"/>
  <c r="CZ281" i="33" s="1"/>
  <c r="DU282" i="33"/>
  <c r="DV282" i="33"/>
  <c r="DW282" i="33"/>
  <c r="CZ282" i="33" s="1"/>
  <c r="DU283" i="33"/>
  <c r="DV283" i="33"/>
  <c r="DW283" i="33"/>
  <c r="CZ283" i="33" s="1"/>
  <c r="DU284" i="33"/>
  <c r="DV284" i="33"/>
  <c r="DW284" i="33"/>
  <c r="CZ284" i="33" s="1"/>
  <c r="DU285" i="33"/>
  <c r="DV285" i="33"/>
  <c r="DW285" i="33"/>
  <c r="CZ285" i="33" s="1"/>
  <c r="DU286" i="33"/>
  <c r="DV286" i="33"/>
  <c r="DW286" i="33"/>
  <c r="CZ286" i="33" s="1"/>
  <c r="DU287" i="33"/>
  <c r="DV287" i="33"/>
  <c r="DW287" i="33"/>
  <c r="CZ287" i="33" s="1"/>
  <c r="DU288" i="33"/>
  <c r="DV288" i="33"/>
  <c r="DW288" i="33"/>
  <c r="CZ288" i="33" s="1"/>
  <c r="DU289" i="33"/>
  <c r="DV289" i="33"/>
  <c r="DW289" i="33"/>
  <c r="CZ289" i="33" s="1"/>
  <c r="DU290" i="33"/>
  <c r="DV290" i="33"/>
  <c r="DW290" i="33"/>
  <c r="CZ290" i="33" s="1"/>
  <c r="DU291" i="33"/>
  <c r="DV291" i="33"/>
  <c r="DW291" i="33"/>
  <c r="CZ291" i="33" s="1"/>
  <c r="DU292" i="33"/>
  <c r="DV292" i="33"/>
  <c r="DW292" i="33"/>
  <c r="CZ292" i="33" s="1"/>
  <c r="DU293" i="33"/>
  <c r="DV293" i="33"/>
  <c r="DW293" i="33"/>
  <c r="CZ293" i="33" s="1"/>
  <c r="DU294" i="33"/>
  <c r="DV294" i="33"/>
  <c r="DW294" i="33"/>
  <c r="CZ294" i="33" s="1"/>
  <c r="DU295" i="33"/>
  <c r="DV295" i="33"/>
  <c r="DW295" i="33"/>
  <c r="CZ295" i="33" s="1"/>
  <c r="DU296" i="33"/>
  <c r="DV296" i="33"/>
  <c r="DW296" i="33"/>
  <c r="CZ296" i="33" s="1"/>
  <c r="DU297" i="33"/>
  <c r="DV297" i="33"/>
  <c r="DW297" i="33"/>
  <c r="CZ297" i="33" s="1"/>
  <c r="DU298" i="33"/>
  <c r="DV298" i="33"/>
  <c r="DW298" i="33"/>
  <c r="CZ298" i="33" s="1"/>
  <c r="DU299" i="33"/>
  <c r="DV299" i="33"/>
  <c r="DW299" i="33"/>
  <c r="CZ299" i="33" s="1"/>
  <c r="DU300" i="33"/>
  <c r="DV300" i="33"/>
  <c r="DW300" i="33"/>
  <c r="CZ300" i="33" s="1"/>
  <c r="DU301" i="33"/>
  <c r="DV301" i="33"/>
  <c r="DW301" i="33"/>
  <c r="CZ301" i="33" s="1"/>
  <c r="DU302" i="33"/>
  <c r="DV302" i="33"/>
  <c r="DS302" i="33" s="1"/>
  <c r="DW302" i="33"/>
  <c r="CZ302" i="33" s="1"/>
  <c r="DU303" i="33"/>
  <c r="DV303" i="33"/>
  <c r="DW303" i="33"/>
  <c r="CZ303" i="33" s="1"/>
  <c r="DU304" i="33"/>
  <c r="DV304" i="33"/>
  <c r="DW304" i="33"/>
  <c r="CZ304" i="33" s="1"/>
  <c r="DU305" i="33"/>
  <c r="DV305" i="33"/>
  <c r="DW305" i="33"/>
  <c r="CZ305" i="33" s="1"/>
  <c r="DU306" i="33"/>
  <c r="DV306" i="33"/>
  <c r="DW306" i="33"/>
  <c r="CZ306" i="33" s="1"/>
  <c r="DU307" i="33"/>
  <c r="DV307" i="33"/>
  <c r="DW307" i="33"/>
  <c r="CZ307" i="33" s="1"/>
  <c r="DU308" i="33"/>
  <c r="DV308" i="33"/>
  <c r="DW308" i="33"/>
  <c r="CZ308" i="33" s="1"/>
  <c r="DU309" i="33"/>
  <c r="DV309" i="33"/>
  <c r="DW309" i="33"/>
  <c r="CZ309" i="33" s="1"/>
  <c r="DU310" i="33"/>
  <c r="DV310" i="33"/>
  <c r="DW310" i="33"/>
  <c r="CZ310" i="33" s="1"/>
  <c r="DU311" i="33"/>
  <c r="DV311" i="33"/>
  <c r="DW311" i="33"/>
  <c r="CZ311" i="33" s="1"/>
  <c r="DU312" i="33"/>
  <c r="DV312" i="33"/>
  <c r="DW312" i="33"/>
  <c r="CZ312" i="33" s="1"/>
  <c r="DU313" i="33"/>
  <c r="DV313" i="33"/>
  <c r="DW313" i="33"/>
  <c r="CZ313" i="33" s="1"/>
  <c r="DU314" i="33"/>
  <c r="DV314" i="33"/>
  <c r="DW314" i="33"/>
  <c r="CZ314" i="33" s="1"/>
  <c r="DU315" i="33"/>
  <c r="DV315" i="33"/>
  <c r="DW315" i="33"/>
  <c r="CZ315" i="33" s="1"/>
  <c r="DU316" i="33"/>
  <c r="DV316" i="33"/>
  <c r="DW316" i="33"/>
  <c r="CZ316" i="33" s="1"/>
  <c r="DU317" i="33"/>
  <c r="DV317" i="33"/>
  <c r="DW317" i="33"/>
  <c r="CZ317" i="33" s="1"/>
  <c r="DU318" i="33"/>
  <c r="DV318" i="33"/>
  <c r="DW318" i="33"/>
  <c r="CZ318" i="33" s="1"/>
  <c r="DU319" i="33"/>
  <c r="DV319" i="33"/>
  <c r="DW319" i="33"/>
  <c r="CZ319" i="33" s="1"/>
  <c r="DU320" i="33"/>
  <c r="DV320" i="33"/>
  <c r="DW320" i="33"/>
  <c r="CZ320" i="33" s="1"/>
  <c r="DU321" i="33"/>
  <c r="DV321" i="33"/>
  <c r="DW321" i="33"/>
  <c r="CZ321" i="33" s="1"/>
  <c r="DU322" i="33"/>
  <c r="DV322" i="33"/>
  <c r="DS322" i="33" s="1"/>
  <c r="DW322" i="33"/>
  <c r="CZ322" i="33" s="1"/>
  <c r="DU323" i="33"/>
  <c r="DV323" i="33"/>
  <c r="DW323" i="33"/>
  <c r="CZ323" i="33" s="1"/>
  <c r="DU324" i="33"/>
  <c r="DV324" i="33"/>
  <c r="DW324" i="33"/>
  <c r="CZ324" i="33" s="1"/>
  <c r="DU325" i="33"/>
  <c r="DV325" i="33"/>
  <c r="DW325" i="33"/>
  <c r="CZ325" i="33" s="1"/>
  <c r="DU326" i="33"/>
  <c r="DV326" i="33"/>
  <c r="DW326" i="33"/>
  <c r="CZ326" i="33" s="1"/>
  <c r="DU327" i="33"/>
  <c r="DV327" i="33"/>
  <c r="DS327" i="33" s="1"/>
  <c r="DW327" i="33"/>
  <c r="CZ327" i="33" s="1"/>
  <c r="DU328" i="33"/>
  <c r="DV328" i="33"/>
  <c r="DW328" i="33"/>
  <c r="CZ328" i="33" s="1"/>
  <c r="DU329" i="33"/>
  <c r="DV329" i="33"/>
  <c r="DW329" i="33"/>
  <c r="CZ329" i="33" s="1"/>
  <c r="DU330" i="33"/>
  <c r="DV330" i="33"/>
  <c r="DW330" i="33"/>
  <c r="CZ330" i="33" s="1"/>
  <c r="DU331" i="33"/>
  <c r="DV331" i="33"/>
  <c r="DW331" i="33"/>
  <c r="CZ331" i="33" s="1"/>
  <c r="DU332" i="33"/>
  <c r="DV332" i="33"/>
  <c r="DW332" i="33"/>
  <c r="CZ332" i="33" s="1"/>
  <c r="DU333" i="33"/>
  <c r="DV333" i="33"/>
  <c r="DW333" i="33"/>
  <c r="CZ333" i="33" s="1"/>
  <c r="DU334" i="33"/>
  <c r="DV334" i="33"/>
  <c r="DW334" i="33"/>
  <c r="CZ334" i="33" s="1"/>
  <c r="DU335" i="33"/>
  <c r="DV335" i="33"/>
  <c r="DS335" i="33" s="1"/>
  <c r="DT335" i="33" s="1"/>
  <c r="DW335" i="33"/>
  <c r="CZ335" i="33" s="1"/>
  <c r="DU336" i="33"/>
  <c r="DV336" i="33"/>
  <c r="DW336" i="33"/>
  <c r="CZ336" i="33" s="1"/>
  <c r="DU337" i="33"/>
  <c r="DV337" i="33"/>
  <c r="DW337" i="33"/>
  <c r="CZ337" i="33" s="1"/>
  <c r="DU338" i="33"/>
  <c r="DV338" i="33"/>
  <c r="DW338" i="33"/>
  <c r="CZ338" i="33" s="1"/>
  <c r="DU339" i="33"/>
  <c r="DV339" i="33"/>
  <c r="DW339" i="33"/>
  <c r="CZ339" i="33" s="1"/>
  <c r="DU340" i="33"/>
  <c r="DV340" i="33"/>
  <c r="DW340" i="33"/>
  <c r="CZ340" i="33" s="1"/>
  <c r="DU341" i="33"/>
  <c r="DV341" i="33"/>
  <c r="DW341" i="33"/>
  <c r="CZ341" i="33" s="1"/>
  <c r="DU342" i="33"/>
  <c r="DV342" i="33"/>
  <c r="DW342" i="33"/>
  <c r="CZ342" i="33" s="1"/>
  <c r="DU343" i="33"/>
  <c r="DV343" i="33"/>
  <c r="DW343" i="33"/>
  <c r="CZ343" i="33" s="1"/>
  <c r="DU344" i="33"/>
  <c r="DV344" i="33"/>
  <c r="DW344" i="33"/>
  <c r="CZ344" i="33" s="1"/>
  <c r="DU345" i="33"/>
  <c r="DV345" i="33"/>
  <c r="DW345" i="33"/>
  <c r="CZ345" i="33" s="1"/>
  <c r="DU346" i="33"/>
  <c r="DV346" i="33"/>
  <c r="DS346" i="33" s="1"/>
  <c r="DW346" i="33"/>
  <c r="CZ346" i="33" s="1"/>
  <c r="DU347" i="33"/>
  <c r="DV347" i="33"/>
  <c r="DW347" i="33"/>
  <c r="CZ347" i="33" s="1"/>
  <c r="DU348" i="33"/>
  <c r="DV348" i="33"/>
  <c r="DW348" i="33"/>
  <c r="CZ348" i="33" s="1"/>
  <c r="DU349" i="33"/>
  <c r="DV349" i="33"/>
  <c r="DW349" i="33"/>
  <c r="CZ349" i="33" s="1"/>
  <c r="DU350" i="33"/>
  <c r="DV350" i="33"/>
  <c r="DS350" i="33" s="1"/>
  <c r="DW350" i="33"/>
  <c r="CZ350" i="33" s="1"/>
  <c r="DU351" i="33"/>
  <c r="DV351" i="33"/>
  <c r="DW351" i="33"/>
  <c r="CZ351" i="33" s="1"/>
  <c r="DU352" i="33"/>
  <c r="DV352" i="33"/>
  <c r="DW352" i="33"/>
  <c r="CZ352" i="33" s="1"/>
  <c r="DU353" i="33"/>
  <c r="DV353" i="33"/>
  <c r="DW353" i="33"/>
  <c r="CZ353" i="33" s="1"/>
  <c r="DU354" i="33"/>
  <c r="DV354" i="33"/>
  <c r="DS354" i="33" s="1"/>
  <c r="DD354" i="33" s="1"/>
  <c r="DA354" i="33" s="1"/>
  <c r="DW354" i="33"/>
  <c r="CZ354" i="33" s="1"/>
  <c r="DU355" i="33"/>
  <c r="DV355" i="33"/>
  <c r="DW355" i="33"/>
  <c r="CZ355" i="33" s="1"/>
  <c r="DU356" i="33"/>
  <c r="DV356" i="33"/>
  <c r="DW356" i="33"/>
  <c r="CZ356" i="33" s="1"/>
  <c r="DU357" i="33"/>
  <c r="DV357" i="33"/>
  <c r="DW357" i="33"/>
  <c r="CZ357" i="33" s="1"/>
  <c r="DU358" i="33"/>
  <c r="DV358" i="33"/>
  <c r="DS358" i="33" s="1"/>
  <c r="DW358" i="33"/>
  <c r="CZ358" i="33" s="1"/>
  <c r="DU359" i="33"/>
  <c r="DV359" i="33"/>
  <c r="DW359" i="33"/>
  <c r="CZ359" i="33" s="1"/>
  <c r="DU360" i="33"/>
  <c r="DV360" i="33"/>
  <c r="DW360" i="33"/>
  <c r="CZ360" i="33" s="1"/>
  <c r="DU361" i="33"/>
  <c r="DV361" i="33"/>
  <c r="DW361" i="33"/>
  <c r="CZ361" i="33" s="1"/>
  <c r="DU362" i="33"/>
  <c r="DV362" i="33"/>
  <c r="DW362" i="33"/>
  <c r="CZ362" i="33" s="1"/>
  <c r="DU363" i="33"/>
  <c r="DV363" i="33"/>
  <c r="DW363" i="33"/>
  <c r="CZ363" i="33" s="1"/>
  <c r="DU364" i="33"/>
  <c r="DV364" i="33"/>
  <c r="DW364" i="33"/>
  <c r="CZ364" i="33" s="1"/>
  <c r="DU365" i="33"/>
  <c r="DV365" i="33"/>
  <c r="DW365" i="33"/>
  <c r="CZ365" i="33" s="1"/>
  <c r="DU366" i="33"/>
  <c r="DV366" i="33"/>
  <c r="DS366" i="33" s="1"/>
  <c r="DW366" i="33"/>
  <c r="CZ366" i="33" s="1"/>
  <c r="DU367" i="33"/>
  <c r="DV367" i="33"/>
  <c r="DW367" i="33"/>
  <c r="CZ367" i="33" s="1"/>
  <c r="DU368" i="33"/>
  <c r="DV368" i="33"/>
  <c r="DW368" i="33"/>
  <c r="CZ368" i="33" s="1"/>
  <c r="DU369" i="33"/>
  <c r="DV369" i="33"/>
  <c r="DW369" i="33"/>
  <c r="CZ369" i="33" s="1"/>
  <c r="DU370" i="33"/>
  <c r="DV370" i="33"/>
  <c r="DS370" i="33" s="1"/>
  <c r="DD370" i="33" s="1"/>
  <c r="DW370" i="33"/>
  <c r="CZ370" i="33" s="1"/>
  <c r="DU371" i="33"/>
  <c r="DV371" i="33"/>
  <c r="DW371" i="33"/>
  <c r="CZ371" i="33" s="1"/>
  <c r="DU372" i="33"/>
  <c r="DV372" i="33"/>
  <c r="DW372" i="33"/>
  <c r="CZ372" i="33" s="1"/>
  <c r="DU373" i="33"/>
  <c r="DS373" i="33" s="1"/>
  <c r="DV373" i="33"/>
  <c r="DW373" i="33"/>
  <c r="CZ373" i="33" s="1"/>
  <c r="DU374" i="33"/>
  <c r="DV374" i="33"/>
  <c r="DS374" i="33" s="1"/>
  <c r="DT374" i="33" s="1"/>
  <c r="DW374" i="33"/>
  <c r="CZ374" i="33" s="1"/>
  <c r="DU375" i="33"/>
  <c r="DV375" i="33"/>
  <c r="DW375" i="33"/>
  <c r="CZ375" i="33" s="1"/>
  <c r="DU376" i="33"/>
  <c r="DV376" i="33"/>
  <c r="DW376" i="33"/>
  <c r="CZ376" i="33" s="1"/>
  <c r="DU377" i="33"/>
  <c r="DV377" i="33"/>
  <c r="DW377" i="33"/>
  <c r="CZ377" i="33" s="1"/>
  <c r="DU378" i="33"/>
  <c r="DV378" i="33"/>
  <c r="DW378" i="33"/>
  <c r="CZ378" i="33" s="1"/>
  <c r="DU379" i="33"/>
  <c r="DV379" i="33"/>
  <c r="DW379" i="33"/>
  <c r="CZ379" i="33" s="1"/>
  <c r="DU380" i="33"/>
  <c r="DV380" i="33"/>
  <c r="DW380" i="33"/>
  <c r="CZ380" i="33" s="1"/>
  <c r="DU381" i="33"/>
  <c r="DS381" i="33" s="1"/>
  <c r="DV381" i="33"/>
  <c r="DW381" i="33"/>
  <c r="CZ381" i="33" s="1"/>
  <c r="DU382" i="33"/>
  <c r="DV382" i="33"/>
  <c r="DW382" i="33"/>
  <c r="CZ382" i="33" s="1"/>
  <c r="DU383" i="33"/>
  <c r="DV383" i="33"/>
  <c r="DW383" i="33"/>
  <c r="CZ383" i="33" s="1"/>
  <c r="DU384" i="33"/>
  <c r="DV384" i="33"/>
  <c r="DW384" i="33"/>
  <c r="CZ384" i="33" s="1"/>
  <c r="DU385" i="33"/>
  <c r="DV385" i="33"/>
  <c r="DW385" i="33"/>
  <c r="CZ385" i="33" s="1"/>
  <c r="DU386" i="33"/>
  <c r="DV386" i="33"/>
  <c r="DW386" i="33"/>
  <c r="CZ386" i="33" s="1"/>
  <c r="DU387" i="33"/>
  <c r="DV387" i="33"/>
  <c r="DS387" i="33"/>
  <c r="DD387" i="33" s="1"/>
  <c r="DA387" i="33" s="1"/>
  <c r="DW387" i="33"/>
  <c r="CZ387" i="33" s="1"/>
  <c r="DU388" i="33"/>
  <c r="DV388" i="33"/>
  <c r="DW388" i="33"/>
  <c r="CZ388" i="33" s="1"/>
  <c r="DU389" i="33"/>
  <c r="DV389" i="33"/>
  <c r="DW389" i="33"/>
  <c r="CZ389" i="33" s="1"/>
  <c r="DU390" i="33"/>
  <c r="DV390" i="33"/>
  <c r="DW390" i="33"/>
  <c r="CZ390" i="33" s="1"/>
  <c r="DU391" i="33"/>
  <c r="DV391" i="33"/>
  <c r="DW391" i="33"/>
  <c r="CZ391" i="33" s="1"/>
  <c r="DU392" i="33"/>
  <c r="DV392" i="33"/>
  <c r="DW392" i="33"/>
  <c r="CZ392" i="33" s="1"/>
  <c r="DU393" i="33"/>
  <c r="DV393" i="33"/>
  <c r="DW393" i="33"/>
  <c r="CZ393" i="33" s="1"/>
  <c r="DU394" i="33"/>
  <c r="DV394" i="33"/>
  <c r="DW394" i="33"/>
  <c r="CZ394" i="33" s="1"/>
  <c r="DU395" i="33"/>
  <c r="DV395" i="33"/>
  <c r="DW395" i="33"/>
  <c r="CZ395" i="33" s="1"/>
  <c r="DU396" i="33"/>
  <c r="DV396" i="33"/>
  <c r="DW396" i="33"/>
  <c r="CZ396" i="33" s="1"/>
  <c r="DU397" i="33"/>
  <c r="DV397" i="33"/>
  <c r="DW397" i="33"/>
  <c r="CZ397" i="33" s="1"/>
  <c r="DU398" i="33"/>
  <c r="DV398" i="33"/>
  <c r="DW398" i="33"/>
  <c r="CZ398" i="33" s="1"/>
  <c r="DU399" i="33"/>
  <c r="DV399" i="33"/>
  <c r="DW399" i="33"/>
  <c r="CZ399" i="33" s="1"/>
  <c r="DU400" i="33"/>
  <c r="DV400" i="33"/>
  <c r="DW400" i="33"/>
  <c r="CZ400" i="33" s="1"/>
  <c r="DU401" i="33"/>
  <c r="DV401" i="33"/>
  <c r="DW401" i="33"/>
  <c r="CZ401" i="33" s="1"/>
  <c r="DU402" i="33"/>
  <c r="DV402" i="33"/>
  <c r="DW402" i="33"/>
  <c r="CZ402" i="33" s="1"/>
  <c r="DU403" i="33"/>
  <c r="DV403" i="33"/>
  <c r="DW403" i="33"/>
  <c r="CZ403" i="33" s="1"/>
  <c r="DU404" i="33"/>
  <c r="DV404" i="33"/>
  <c r="DW404" i="33"/>
  <c r="CZ404" i="33" s="1"/>
  <c r="DU405" i="33"/>
  <c r="DV405" i="33"/>
  <c r="DS405" i="33" s="1"/>
  <c r="DW405" i="33"/>
  <c r="CZ405" i="33" s="1"/>
  <c r="DU406" i="33"/>
  <c r="DV406" i="33"/>
  <c r="DW406" i="33"/>
  <c r="CZ406" i="33" s="1"/>
  <c r="DU407" i="33"/>
  <c r="DV407" i="33"/>
  <c r="DW407" i="33"/>
  <c r="CZ407" i="33" s="1"/>
  <c r="DU408" i="33"/>
  <c r="DV408" i="33"/>
  <c r="DW408" i="33"/>
  <c r="CZ408" i="33" s="1"/>
  <c r="DU409" i="33"/>
  <c r="DV409" i="33"/>
  <c r="DS409" i="33" s="1"/>
  <c r="DW409" i="33"/>
  <c r="CZ409" i="33" s="1"/>
  <c r="DU410" i="33"/>
  <c r="DV410" i="33"/>
  <c r="DS410" i="33" s="1"/>
  <c r="DW410" i="33"/>
  <c r="CZ410" i="33" s="1"/>
  <c r="DU411" i="33"/>
  <c r="DV411" i="33"/>
  <c r="DS411" i="33" s="1"/>
  <c r="DD411" i="33" s="1"/>
  <c r="DA411" i="33" s="1"/>
  <c r="DW411" i="33"/>
  <c r="CZ411" i="33" s="1"/>
  <c r="DU412" i="33"/>
  <c r="DV412" i="33"/>
  <c r="DS412" i="33" s="1"/>
  <c r="DW412" i="33"/>
  <c r="CZ412" i="33" s="1"/>
  <c r="DU413" i="33"/>
  <c r="DV413" i="33"/>
  <c r="DS413" i="33" s="1"/>
  <c r="DW413" i="33"/>
  <c r="CZ413" i="33" s="1"/>
  <c r="DU414" i="33"/>
  <c r="DV414" i="33"/>
  <c r="DS414" i="33" s="1"/>
  <c r="DT414" i="33" s="1"/>
  <c r="DW414" i="33"/>
  <c r="CZ414" i="33" s="1"/>
  <c r="DU415" i="33"/>
  <c r="DV415" i="33"/>
  <c r="DS415" i="33" s="1"/>
  <c r="DD415" i="33" s="1"/>
  <c r="DW415" i="33"/>
  <c r="CZ415" i="33"/>
  <c r="DU416" i="33"/>
  <c r="DV416" i="33"/>
  <c r="DW416" i="33"/>
  <c r="CZ416" i="33"/>
  <c r="DU417" i="33"/>
  <c r="DV417" i="33"/>
  <c r="DS417" i="33" s="1"/>
  <c r="DW417" i="33"/>
  <c r="CZ417" i="33"/>
  <c r="DU418" i="33"/>
  <c r="DV418" i="33"/>
  <c r="DS418" i="33" s="1"/>
  <c r="DW418" i="33"/>
  <c r="CZ418" i="33"/>
  <c r="DU419" i="33"/>
  <c r="DV419" i="33"/>
  <c r="DS419" i="33" s="1"/>
  <c r="DD419" i="33" s="1"/>
  <c r="DA419" i="33" s="1"/>
  <c r="DW419" i="33"/>
  <c r="CZ419" i="33"/>
  <c r="DU420" i="33"/>
  <c r="DV420" i="33"/>
  <c r="DS420" i="33" s="1"/>
  <c r="DW420" i="33"/>
  <c r="CZ420" i="33"/>
  <c r="DU421" i="33"/>
  <c r="DV421" i="33"/>
  <c r="DS421" i="33" s="1"/>
  <c r="DW421" i="33"/>
  <c r="CZ421" i="33"/>
  <c r="DU422" i="33"/>
  <c r="DV422" i="33"/>
  <c r="DS422" i="33" s="1"/>
  <c r="DW422" i="33"/>
  <c r="CZ422" i="33"/>
  <c r="DU423" i="33"/>
  <c r="DV423" i="33"/>
  <c r="DS423" i="33" s="1"/>
  <c r="DW423" i="33"/>
  <c r="CZ423" i="33"/>
  <c r="DU424" i="33"/>
  <c r="DV424" i="33"/>
  <c r="DW424" i="33"/>
  <c r="CZ424" i="33"/>
  <c r="DU425" i="33"/>
  <c r="DV425" i="33"/>
  <c r="DS425" i="33" s="1"/>
  <c r="DD425" i="33" s="1"/>
  <c r="DW425" i="33"/>
  <c r="CZ425" i="33"/>
  <c r="DU426" i="33"/>
  <c r="DV426" i="33"/>
  <c r="DS426" i="33" s="1"/>
  <c r="DW426" i="33"/>
  <c r="CZ426" i="33"/>
  <c r="DU427" i="33"/>
  <c r="DV427" i="33"/>
  <c r="DS427" i="33" s="1"/>
  <c r="DW427" i="33"/>
  <c r="CZ427" i="33"/>
  <c r="DU428" i="33"/>
  <c r="DV428" i="33"/>
  <c r="DS428" i="33" s="1"/>
  <c r="DW428" i="33"/>
  <c r="CZ428" i="33"/>
  <c r="DU429" i="33"/>
  <c r="DV429" i="33"/>
  <c r="DW429" i="33"/>
  <c r="CZ429" i="33"/>
  <c r="DU430" i="33"/>
  <c r="DV430" i="33"/>
  <c r="DS430" i="33" s="1"/>
  <c r="DD430" i="33" s="1"/>
  <c r="DA430" i="33" s="1"/>
  <c r="DW430" i="33"/>
  <c r="CZ430" i="33"/>
  <c r="DU431" i="33"/>
  <c r="DV431" i="33"/>
  <c r="DS431" i="33" s="1"/>
  <c r="DD431" i="33" s="1"/>
  <c r="DW431" i="33"/>
  <c r="CZ431" i="33"/>
  <c r="DU432" i="33"/>
  <c r="DV432" i="33"/>
  <c r="DW432" i="33"/>
  <c r="CZ432" i="33"/>
  <c r="DU433" i="33"/>
  <c r="DV433" i="33"/>
  <c r="DS433" i="33" s="1"/>
  <c r="DD433" i="33" s="1"/>
  <c r="DA433" i="33" s="1"/>
  <c r="DW433" i="33"/>
  <c r="CZ433" i="33"/>
  <c r="DU434" i="33"/>
  <c r="DV434" i="33"/>
  <c r="DS434" i="33" s="1"/>
  <c r="DW434" i="33"/>
  <c r="CZ434" i="33"/>
  <c r="DU435" i="33"/>
  <c r="DV435" i="33"/>
  <c r="DS435" i="33" s="1"/>
  <c r="DT435" i="33" s="1"/>
  <c r="DW435" i="33"/>
  <c r="CZ435" i="33"/>
  <c r="DU436" i="33"/>
  <c r="DV436" i="33"/>
  <c r="DS436" i="33" s="1"/>
  <c r="DW436" i="33"/>
  <c r="CZ436" i="33"/>
  <c r="DU437" i="33"/>
  <c r="DV437" i="33"/>
  <c r="DS437" i="33" s="1"/>
  <c r="DT437" i="33" s="1"/>
  <c r="DW437" i="33"/>
  <c r="CZ437" i="33"/>
  <c r="DU438" i="33"/>
  <c r="DV438" i="33"/>
  <c r="DS438" i="33" s="1"/>
  <c r="DD438" i="33" s="1"/>
  <c r="DA438" i="33" s="1"/>
  <c r="DW438" i="33"/>
  <c r="CZ438" i="33" s="1"/>
  <c r="DU439" i="33"/>
  <c r="DV439" i="33"/>
  <c r="DW439" i="33"/>
  <c r="CZ439" i="33" s="1"/>
  <c r="DU440" i="33"/>
  <c r="DV440" i="33"/>
  <c r="DW440" i="33"/>
  <c r="CZ440" i="33" s="1"/>
  <c r="DU441" i="33"/>
  <c r="DS441" i="33" s="1"/>
  <c r="DD441" i="33" s="1"/>
  <c r="DA441" i="33" s="1"/>
  <c r="DV441" i="33"/>
  <c r="DW441" i="33"/>
  <c r="CZ441" i="33" s="1"/>
  <c r="DU442" i="33"/>
  <c r="DV442" i="33"/>
  <c r="DS442" i="33" s="1"/>
  <c r="DD442" i="33" s="1"/>
  <c r="DA442" i="33" s="1"/>
  <c r="DW442" i="33"/>
  <c r="CZ442" i="33" s="1"/>
  <c r="DU443" i="33"/>
  <c r="DV443" i="33"/>
  <c r="DW443" i="33"/>
  <c r="CZ443" i="33" s="1"/>
  <c r="DU444" i="33"/>
  <c r="DV444" i="33"/>
  <c r="DW444" i="33"/>
  <c r="CZ444" i="33" s="1"/>
  <c r="DU445" i="33"/>
  <c r="DS445" i="33" s="1"/>
  <c r="DD445" i="33" s="1"/>
  <c r="DA445" i="33" s="1"/>
  <c r="DV445" i="33"/>
  <c r="DW445" i="33"/>
  <c r="CZ445" i="33" s="1"/>
  <c r="DU446" i="33"/>
  <c r="DV446" i="33"/>
  <c r="DS446" i="33" s="1"/>
  <c r="DW446" i="33"/>
  <c r="CZ446" i="33" s="1"/>
  <c r="DU447" i="33"/>
  <c r="DV447" i="33"/>
  <c r="DW447" i="33"/>
  <c r="CZ447" i="33" s="1"/>
  <c r="DU448" i="33"/>
  <c r="DV448" i="33"/>
  <c r="DW448" i="33"/>
  <c r="CZ448" i="33" s="1"/>
  <c r="DU449" i="33"/>
  <c r="DS449" i="33" s="1"/>
  <c r="DD449" i="33" s="1"/>
  <c r="DA449" i="33" s="1"/>
  <c r="DV449" i="33"/>
  <c r="DW449" i="33"/>
  <c r="CZ449" i="33" s="1"/>
  <c r="DU450" i="33"/>
  <c r="DV450" i="33"/>
  <c r="DS450" i="33" s="1"/>
  <c r="DW450" i="33"/>
  <c r="CZ450" i="33" s="1"/>
  <c r="DU451" i="33"/>
  <c r="DV451" i="33"/>
  <c r="DW451" i="33"/>
  <c r="CZ451" i="33" s="1"/>
  <c r="DU452" i="33"/>
  <c r="DV452" i="33"/>
  <c r="DW452" i="33"/>
  <c r="CZ452" i="33" s="1"/>
  <c r="DU453" i="33"/>
  <c r="DS453" i="33" s="1"/>
  <c r="DV453" i="33"/>
  <c r="DW453" i="33"/>
  <c r="CZ453" i="33" s="1"/>
  <c r="DU454" i="33"/>
  <c r="DV454" i="33"/>
  <c r="DW454" i="33"/>
  <c r="CZ454" i="33"/>
  <c r="DU455" i="33"/>
  <c r="DV455" i="33"/>
  <c r="DS455" i="33" s="1"/>
  <c r="DW455" i="33"/>
  <c r="CZ455" i="33"/>
  <c r="DU456" i="33"/>
  <c r="DV456" i="33"/>
  <c r="DS456" i="33" s="1"/>
  <c r="DT456" i="33" s="1"/>
  <c r="DW456" i="33"/>
  <c r="CZ456" i="33"/>
  <c r="DU457" i="33"/>
  <c r="DV457" i="33"/>
  <c r="DS457" i="33" s="1"/>
  <c r="DT457" i="33" s="1"/>
  <c r="DW457" i="33"/>
  <c r="CZ457" i="33"/>
  <c r="DU458" i="33"/>
  <c r="DV458" i="33"/>
  <c r="DS458" i="33" s="1"/>
  <c r="DW458" i="33"/>
  <c r="CZ458" i="33"/>
  <c r="DU459" i="33"/>
  <c r="DV459" i="33"/>
  <c r="DS459" i="33" s="1"/>
  <c r="DT459" i="33" s="1"/>
  <c r="DW459" i="33"/>
  <c r="CZ459" i="33"/>
  <c r="DU460" i="33"/>
  <c r="DV460" i="33"/>
  <c r="DS460" i="33" s="1"/>
  <c r="DW460" i="33"/>
  <c r="CZ460" i="33"/>
  <c r="DU461" i="33"/>
  <c r="DV461" i="33"/>
  <c r="DW461" i="33"/>
  <c r="CZ461" i="33"/>
  <c r="DU462" i="33"/>
  <c r="DV462" i="33"/>
  <c r="DS462" i="33" s="1"/>
  <c r="DT462" i="33" s="1"/>
  <c r="DW462" i="33"/>
  <c r="CZ462" i="33"/>
  <c r="DU463" i="33"/>
  <c r="DV463" i="33"/>
  <c r="DS463" i="33" s="1"/>
  <c r="DT463" i="33" s="1"/>
  <c r="DW463" i="33"/>
  <c r="CZ463" i="33"/>
  <c r="DU464" i="33"/>
  <c r="DV464" i="33"/>
  <c r="DS464" i="33" s="1"/>
  <c r="DD464" i="33" s="1"/>
  <c r="DA464" i="33" s="1"/>
  <c r="DW464" i="33"/>
  <c r="CZ464" i="33"/>
  <c r="DU465" i="33"/>
  <c r="DV465" i="33"/>
  <c r="DW465" i="33"/>
  <c r="CZ465" i="33"/>
  <c r="DU466" i="33"/>
  <c r="DV466" i="33"/>
  <c r="DS466" i="33" s="1"/>
  <c r="DD466" i="33" s="1"/>
  <c r="DA466" i="33" s="1"/>
  <c r="DW466" i="33"/>
  <c r="CZ466" i="33"/>
  <c r="DU467" i="33"/>
  <c r="DV467" i="33"/>
  <c r="DS467" i="33" s="1"/>
  <c r="DD467" i="33" s="1"/>
  <c r="DA467" i="33" s="1"/>
  <c r="DW467" i="33"/>
  <c r="CZ467" i="33"/>
  <c r="DU468" i="33"/>
  <c r="DV468" i="33"/>
  <c r="DS468" i="33" s="1"/>
  <c r="DD468" i="33" s="1"/>
  <c r="DA468" i="33" s="1"/>
  <c r="DW468" i="33"/>
  <c r="CZ468" i="33"/>
  <c r="DU469" i="33"/>
  <c r="DV469" i="33"/>
  <c r="DS469" i="33" s="1"/>
  <c r="DW469" i="33"/>
  <c r="CZ469" i="33"/>
  <c r="DU470" i="33"/>
  <c r="DV470" i="33"/>
  <c r="DS470" i="33" s="1"/>
  <c r="DD470" i="33" s="1"/>
  <c r="DW470" i="33"/>
  <c r="CZ470" i="33"/>
  <c r="DU471" i="33"/>
  <c r="DV471" i="33"/>
  <c r="DS471" i="33" s="1"/>
  <c r="DD471" i="33" s="1"/>
  <c r="DA471" i="33" s="1"/>
  <c r="DW471" i="33"/>
  <c r="CZ471" i="33"/>
  <c r="DU472" i="33"/>
  <c r="DV472" i="33"/>
  <c r="DS472" i="33" s="1"/>
  <c r="DD472" i="33" s="1"/>
  <c r="DA472" i="33" s="1"/>
  <c r="DW472" i="33"/>
  <c r="CZ472" i="33"/>
  <c r="DU473" i="33"/>
  <c r="DV473" i="33"/>
  <c r="DW473" i="33"/>
  <c r="CZ473" i="33"/>
  <c r="DU474" i="33"/>
  <c r="DV474" i="33"/>
  <c r="DS474" i="33" s="1"/>
  <c r="DW474" i="33"/>
  <c r="CZ474" i="33"/>
  <c r="DU475" i="33"/>
  <c r="DV475" i="33"/>
  <c r="DW475" i="33"/>
  <c r="CZ475" i="33"/>
  <c r="DU476" i="33"/>
  <c r="DV476" i="33"/>
  <c r="DS476" i="33" s="1"/>
  <c r="DW476" i="33"/>
  <c r="CZ476" i="33"/>
  <c r="DU477" i="33"/>
  <c r="DV477" i="33"/>
  <c r="DW477" i="33"/>
  <c r="CZ477" i="33"/>
  <c r="DU478" i="33"/>
  <c r="DV478" i="33"/>
  <c r="DS478" i="33" s="1"/>
  <c r="DW478" i="33"/>
  <c r="CZ478" i="33"/>
  <c r="DU479" i="33"/>
  <c r="DV479" i="33"/>
  <c r="DS479" i="33" s="1"/>
  <c r="DW479" i="33"/>
  <c r="CZ479" i="33"/>
  <c r="DU480" i="33"/>
  <c r="DV480" i="33"/>
  <c r="DS480" i="33" s="1"/>
  <c r="DW480" i="33"/>
  <c r="CZ480" i="33"/>
  <c r="DU481" i="33"/>
  <c r="DV481" i="33"/>
  <c r="DS481" i="33" s="1"/>
  <c r="DT481" i="33" s="1"/>
  <c r="DW481" i="33"/>
  <c r="CZ481" i="33"/>
  <c r="DU482" i="33"/>
  <c r="DV482" i="33"/>
  <c r="DS482" i="33" s="1"/>
  <c r="DW482" i="33"/>
  <c r="CZ482" i="33"/>
  <c r="DU483" i="33"/>
  <c r="DV483" i="33"/>
  <c r="DS483" i="33" s="1"/>
  <c r="DT483" i="33" s="1"/>
  <c r="DW483" i="33"/>
  <c r="CZ483" i="33"/>
  <c r="DU484" i="33"/>
  <c r="DV484" i="33"/>
  <c r="DS484" i="33" s="1"/>
  <c r="DD484" i="33" s="1"/>
  <c r="DA484" i="33" s="1"/>
  <c r="DW484" i="33"/>
  <c r="CZ484" i="33"/>
  <c r="DU485" i="33"/>
  <c r="DV485" i="33"/>
  <c r="DS485" i="33" s="1"/>
  <c r="DW485" i="33"/>
  <c r="CZ485" i="33"/>
  <c r="DU486" i="33"/>
  <c r="DV486" i="33"/>
  <c r="DS486" i="33" s="1"/>
  <c r="DT486" i="33" s="1"/>
  <c r="DW486" i="33"/>
  <c r="CZ486" i="33"/>
  <c r="DU487" i="33"/>
  <c r="DV487" i="33"/>
  <c r="DS487" i="33" s="1"/>
  <c r="DD487" i="33" s="1"/>
  <c r="DA487" i="33" s="1"/>
  <c r="DW487" i="33"/>
  <c r="CZ487" i="33"/>
  <c r="DU488" i="33"/>
  <c r="DV488" i="33"/>
  <c r="DS488" i="33" s="1"/>
  <c r="DD488" i="33" s="1"/>
  <c r="DA488" i="33" s="1"/>
  <c r="DW488" i="33"/>
  <c r="CZ488" i="33"/>
  <c r="DU489" i="33"/>
  <c r="DV489" i="33"/>
  <c r="DS489" i="33" s="1"/>
  <c r="DD489" i="33" s="1"/>
  <c r="DA489" i="33" s="1"/>
  <c r="DW489" i="33"/>
  <c r="CZ489" i="33"/>
  <c r="DU490" i="33"/>
  <c r="DV490" i="33"/>
  <c r="DS490" i="33" s="1"/>
  <c r="DD490" i="33" s="1"/>
  <c r="DW490" i="33"/>
  <c r="CZ490" i="33"/>
  <c r="DU491" i="33"/>
  <c r="DV491" i="33"/>
  <c r="DS491" i="33" s="1"/>
  <c r="DD491" i="33" s="1"/>
  <c r="DA491" i="33" s="1"/>
  <c r="DW491" i="33"/>
  <c r="CZ491" i="33"/>
  <c r="DU492" i="33"/>
  <c r="DV492" i="33"/>
  <c r="DS492" i="33" s="1"/>
  <c r="DD492" i="33" s="1"/>
  <c r="DA492" i="33" s="1"/>
  <c r="DW492" i="33"/>
  <c r="CZ492" i="33"/>
  <c r="DU493" i="33"/>
  <c r="DV493" i="33"/>
  <c r="DS493" i="33" s="1"/>
  <c r="DD493" i="33" s="1"/>
  <c r="DA493" i="33" s="1"/>
  <c r="DW493" i="33"/>
  <c r="CZ493" i="33"/>
  <c r="DU494" i="33"/>
  <c r="DV494" i="33"/>
  <c r="DS494" i="33" s="1"/>
  <c r="DW494" i="33"/>
  <c r="CZ494" i="33"/>
  <c r="DU495" i="33"/>
  <c r="DV495" i="33"/>
  <c r="DS495" i="33" s="1"/>
  <c r="DT495" i="33" s="1"/>
  <c r="DW495" i="33"/>
  <c r="CZ495" i="33"/>
  <c r="DU496" i="33"/>
  <c r="DV496" i="33"/>
  <c r="DS496" i="33" s="1"/>
  <c r="DT496" i="33" s="1"/>
  <c r="DW496" i="33"/>
  <c r="CZ496" i="33"/>
  <c r="DU497" i="33"/>
  <c r="DV497" i="33"/>
  <c r="DS497" i="33" s="1"/>
  <c r="DD497" i="33" s="1"/>
  <c r="DA497" i="33" s="1"/>
  <c r="DW497" i="33"/>
  <c r="CZ497" i="33"/>
  <c r="DU498" i="33"/>
  <c r="DV498" i="33"/>
  <c r="DS498" i="33" s="1"/>
  <c r="DT498" i="33" s="1"/>
  <c r="DW498" i="33"/>
  <c r="CZ498" i="33"/>
  <c r="DU499" i="33"/>
  <c r="DV499" i="33"/>
  <c r="DS499" i="33" s="1"/>
  <c r="DW499" i="33"/>
  <c r="CZ499" i="33"/>
  <c r="DU500" i="33"/>
  <c r="DV500" i="33"/>
  <c r="DS500" i="33" s="1"/>
  <c r="DW500" i="33"/>
  <c r="CZ500" i="33"/>
  <c r="DU501" i="33"/>
  <c r="DV501" i="33"/>
  <c r="DS501" i="33" s="1"/>
  <c r="DD501" i="33" s="1"/>
  <c r="DW501" i="33"/>
  <c r="CZ501" i="33"/>
  <c r="DU502" i="33"/>
  <c r="DV502" i="33"/>
  <c r="DS502" i="33" s="1"/>
  <c r="DT502" i="33" s="1"/>
  <c r="DW502" i="33"/>
  <c r="CZ502" i="33"/>
  <c r="DU503" i="33"/>
  <c r="DV503" i="33"/>
  <c r="DS503" i="33" s="1"/>
  <c r="DD503" i="33" s="1"/>
  <c r="DA503" i="33" s="1"/>
  <c r="DW503" i="33"/>
  <c r="CZ503" i="33"/>
  <c r="DU504" i="33"/>
  <c r="DV504" i="33"/>
  <c r="DS504" i="33" s="1"/>
  <c r="DD504" i="33" s="1"/>
  <c r="DA504" i="33" s="1"/>
  <c r="DW504" i="33"/>
  <c r="CZ504" i="33"/>
  <c r="DU505" i="33"/>
  <c r="DV505" i="33"/>
  <c r="DS505" i="33" s="1"/>
  <c r="DD505" i="33" s="1"/>
  <c r="DA505" i="33" s="1"/>
  <c r="DW505" i="33"/>
  <c r="CZ505" i="33"/>
  <c r="DU506" i="33"/>
  <c r="DV506" i="33"/>
  <c r="DS506" i="33" s="1"/>
  <c r="DD506" i="33" s="1"/>
  <c r="DA506" i="33" s="1"/>
  <c r="DW506" i="33"/>
  <c r="CZ506" i="33"/>
  <c r="DU507" i="33"/>
  <c r="DV507" i="33"/>
  <c r="DS507" i="33" s="1"/>
  <c r="DT507" i="33" s="1"/>
  <c r="DW507" i="33"/>
  <c r="CZ507" i="33"/>
  <c r="DU508" i="33"/>
  <c r="DV508" i="33"/>
  <c r="DS508" i="33" s="1"/>
  <c r="DW508" i="33"/>
  <c r="CZ508" i="33"/>
  <c r="DU509" i="33"/>
  <c r="DV509" i="33"/>
  <c r="DS509" i="33" s="1"/>
  <c r="DD509" i="33" s="1"/>
  <c r="DW509" i="33"/>
  <c r="CZ509" i="33"/>
  <c r="DU510" i="33"/>
  <c r="DV510" i="33"/>
  <c r="DS510" i="33" s="1"/>
  <c r="DT510" i="33" s="1"/>
  <c r="DW510" i="33"/>
  <c r="CZ510" i="33"/>
  <c r="DU511" i="33"/>
  <c r="DV511" i="33"/>
  <c r="DS511" i="33" s="1"/>
  <c r="DD511" i="33" s="1"/>
  <c r="DA511" i="33" s="1"/>
  <c r="DW511" i="33"/>
  <c r="CZ511" i="33"/>
  <c r="DU512" i="33"/>
  <c r="DV512" i="33"/>
  <c r="DS512" i="33" s="1"/>
  <c r="DW512" i="33"/>
  <c r="CZ512" i="33"/>
  <c r="DU513" i="33"/>
  <c r="DV513" i="33"/>
  <c r="DS513" i="33" s="1"/>
  <c r="DD513" i="33" s="1"/>
  <c r="DA513" i="33" s="1"/>
  <c r="DW513" i="33"/>
  <c r="CZ513" i="33"/>
  <c r="DU514" i="33"/>
  <c r="DV514" i="33"/>
  <c r="DS514" i="33" s="1"/>
  <c r="DD514" i="33" s="1"/>
  <c r="DA514" i="33" s="1"/>
  <c r="DW514" i="33"/>
  <c r="CZ514" i="33"/>
  <c r="DU515" i="33"/>
  <c r="DV515" i="33"/>
  <c r="DS515" i="33" s="1"/>
  <c r="DW515" i="33"/>
  <c r="CZ515" i="33"/>
  <c r="DU516" i="33"/>
  <c r="DV516" i="33"/>
  <c r="DS516" i="33" s="1"/>
  <c r="DT516" i="33" s="1"/>
  <c r="DW516" i="33"/>
  <c r="CZ516" i="33"/>
  <c r="DU517" i="33"/>
  <c r="DV517" i="33"/>
  <c r="DS517" i="33" s="1"/>
  <c r="DW517" i="33"/>
  <c r="CZ517" i="33"/>
  <c r="DU518" i="33"/>
  <c r="DV518" i="33"/>
  <c r="DS518" i="33" s="1"/>
  <c r="DT518" i="33" s="1"/>
  <c r="DW518" i="33"/>
  <c r="CZ518" i="33"/>
  <c r="DU519" i="33"/>
  <c r="DV519" i="33"/>
  <c r="DW519" i="33"/>
  <c r="CZ519" i="33"/>
  <c r="DU520" i="33"/>
  <c r="DV520" i="33"/>
  <c r="DW520" i="33"/>
  <c r="CZ520" i="33"/>
  <c r="DU521" i="33"/>
  <c r="DV521" i="33"/>
  <c r="DS521" i="33" s="1"/>
  <c r="DW521" i="33"/>
  <c r="CZ521" i="33"/>
  <c r="DU522" i="33"/>
  <c r="DV522" i="33"/>
  <c r="DS522" i="33" s="1"/>
  <c r="DT522" i="33" s="1"/>
  <c r="DW522" i="33"/>
  <c r="CZ522" i="33"/>
  <c r="DU523" i="33"/>
  <c r="DV523" i="33"/>
  <c r="DS523" i="33" s="1"/>
  <c r="DD523" i="33" s="1"/>
  <c r="DA523" i="33" s="1"/>
  <c r="DW523" i="33"/>
  <c r="CZ523" i="33"/>
  <c r="DU524" i="33"/>
  <c r="DV524" i="33"/>
  <c r="DS524" i="33" s="1"/>
  <c r="DT524" i="33" s="1"/>
  <c r="DW524" i="33"/>
  <c r="CZ524" i="33"/>
  <c r="DU525" i="33"/>
  <c r="DV525" i="33"/>
  <c r="DS525" i="33" s="1"/>
  <c r="DD525" i="33" s="1"/>
  <c r="DA525" i="33" s="1"/>
  <c r="DW525" i="33"/>
  <c r="CZ525" i="33"/>
  <c r="DU526" i="33"/>
  <c r="DV526" i="33"/>
  <c r="DS526" i="33" s="1"/>
  <c r="DW526" i="33"/>
  <c r="CZ526" i="33"/>
  <c r="DU527" i="33"/>
  <c r="DV527" i="33"/>
  <c r="DS527" i="33" s="1"/>
  <c r="DT527" i="33" s="1"/>
  <c r="DW527" i="33"/>
  <c r="CZ527" i="33"/>
  <c r="DU528" i="33"/>
  <c r="DV528" i="33"/>
  <c r="DS528" i="33" s="1"/>
  <c r="DD528" i="33" s="1"/>
  <c r="DW528" i="33"/>
  <c r="CZ528" i="33"/>
  <c r="DU529" i="33"/>
  <c r="DV529" i="33"/>
  <c r="DS529" i="33" s="1"/>
  <c r="DW529" i="33"/>
  <c r="CZ529" i="33"/>
  <c r="DU530" i="33"/>
  <c r="DV530" i="33"/>
  <c r="DS530" i="33" s="1"/>
  <c r="DT530" i="33" s="1"/>
  <c r="DW530" i="33"/>
  <c r="CZ530" i="33"/>
  <c r="DU531" i="33"/>
  <c r="DV531" i="33"/>
  <c r="DS531" i="33" s="1"/>
  <c r="DD531" i="33" s="1"/>
  <c r="DA531" i="33" s="1"/>
  <c r="DW531" i="33"/>
  <c r="CZ531" i="33"/>
  <c r="DU532" i="33"/>
  <c r="DV532" i="33"/>
  <c r="DS532" i="33" s="1"/>
  <c r="DW532" i="33"/>
  <c r="CZ532" i="33"/>
  <c r="DU533" i="33"/>
  <c r="DV533" i="33"/>
  <c r="DW533" i="33"/>
  <c r="CZ533" i="33"/>
  <c r="DU534" i="33"/>
  <c r="DV534" i="33"/>
  <c r="DS534" i="33" s="1"/>
  <c r="DW534" i="33"/>
  <c r="CZ534" i="33"/>
  <c r="DU535" i="33"/>
  <c r="DV535" i="33"/>
  <c r="DS535" i="33" s="1"/>
  <c r="DW535" i="33"/>
  <c r="CZ535" i="33"/>
  <c r="DU536" i="33"/>
  <c r="DV536" i="33"/>
  <c r="DS536" i="33" s="1"/>
  <c r="DD536" i="33" s="1"/>
  <c r="DA536" i="33" s="1"/>
  <c r="DW536" i="33"/>
  <c r="CZ536" i="33"/>
  <c r="DU537" i="33"/>
  <c r="DV537" i="33"/>
  <c r="DS537" i="33" s="1"/>
  <c r="DD537" i="33" s="1"/>
  <c r="DA537" i="33" s="1"/>
  <c r="DW537" i="33"/>
  <c r="CZ537" i="33"/>
  <c r="DU538" i="33"/>
  <c r="DV538" i="33"/>
  <c r="DS538" i="33" s="1"/>
  <c r="DD538" i="33" s="1"/>
  <c r="DA538" i="33" s="1"/>
  <c r="DW538" i="33"/>
  <c r="CZ538" i="33"/>
  <c r="DU539" i="33"/>
  <c r="DV539" i="33"/>
  <c r="DS539" i="33" s="1"/>
  <c r="DT539" i="33" s="1"/>
  <c r="DW539" i="33"/>
  <c r="CZ539" i="33"/>
  <c r="DU540" i="33"/>
  <c r="DV540" i="33"/>
  <c r="DS540" i="33" s="1"/>
  <c r="DT540" i="33" s="1"/>
  <c r="DW540" i="33"/>
  <c r="CZ540" i="33"/>
  <c r="DU541" i="33"/>
  <c r="DV541" i="33"/>
  <c r="DS541" i="33" s="1"/>
  <c r="DT541" i="33" s="1"/>
  <c r="DW541" i="33"/>
  <c r="CZ541" i="33"/>
  <c r="DU542" i="33"/>
  <c r="DV542" i="33"/>
  <c r="DS542" i="33" s="1"/>
  <c r="DD542" i="33" s="1"/>
  <c r="DW542" i="33"/>
  <c r="CZ542" i="33"/>
  <c r="DU543" i="33"/>
  <c r="DV543" i="33"/>
  <c r="DS543" i="33" s="1"/>
  <c r="DW543" i="33"/>
  <c r="CZ543" i="33"/>
  <c r="DU544" i="33"/>
  <c r="DV544" i="33"/>
  <c r="DS544" i="33" s="1"/>
  <c r="DT544" i="33" s="1"/>
  <c r="DW544" i="33"/>
  <c r="CZ544" i="33"/>
  <c r="DU545" i="33"/>
  <c r="DV545" i="33"/>
  <c r="DS545" i="33" s="1"/>
  <c r="DD545" i="33" s="1"/>
  <c r="DA545" i="33" s="1"/>
  <c r="DW545" i="33"/>
  <c r="CZ545" i="33"/>
  <c r="DU546" i="33"/>
  <c r="DV546" i="33"/>
  <c r="DS546" i="33" s="1"/>
  <c r="DT546" i="33" s="1"/>
  <c r="DW546" i="33"/>
  <c r="CZ546" i="33"/>
  <c r="DU547" i="33"/>
  <c r="DV547" i="33"/>
  <c r="DS547" i="33" s="1"/>
  <c r="DW547" i="33"/>
  <c r="CZ547" i="33"/>
  <c r="DU548" i="33"/>
  <c r="DV548" i="33"/>
  <c r="DW548" i="33"/>
  <c r="CZ548" i="33"/>
  <c r="DU549" i="33"/>
  <c r="DV549" i="33"/>
  <c r="DS549" i="33" s="1"/>
  <c r="DD549" i="33" s="1"/>
  <c r="DW549" i="33"/>
  <c r="CZ549" i="33"/>
  <c r="DU550" i="33"/>
  <c r="DV550" i="33"/>
  <c r="DS550" i="33" s="1"/>
  <c r="DW550" i="33"/>
  <c r="CZ550" i="33"/>
  <c r="DU551" i="33"/>
  <c r="DV551" i="33"/>
  <c r="DS551" i="33" s="1"/>
  <c r="DT551" i="33" s="1"/>
  <c r="DW551" i="33"/>
  <c r="CZ551" i="33"/>
  <c r="DC32" i="33"/>
  <c r="DC33" i="33"/>
  <c r="DC34" i="33"/>
  <c r="DC35" i="33"/>
  <c r="DC36" i="33"/>
  <c r="DC37" i="33"/>
  <c r="DC38" i="33"/>
  <c r="DC39" i="33"/>
  <c r="DC40" i="33"/>
  <c r="DC41" i="33"/>
  <c r="DC42" i="33"/>
  <c r="DC43" i="33"/>
  <c r="DC44" i="33"/>
  <c r="DC45" i="33"/>
  <c r="DC46" i="33"/>
  <c r="DC47" i="33"/>
  <c r="DC48" i="33"/>
  <c r="DC49" i="33"/>
  <c r="DC50" i="33"/>
  <c r="DC51" i="33"/>
  <c r="DC52" i="33"/>
  <c r="DC53" i="33"/>
  <c r="DC54" i="33"/>
  <c r="DC55" i="33"/>
  <c r="DC56" i="33"/>
  <c r="DC57" i="33"/>
  <c r="DC58" i="33"/>
  <c r="DC59" i="33"/>
  <c r="DC60" i="33"/>
  <c r="DC61" i="33"/>
  <c r="DC62" i="33"/>
  <c r="DC63" i="33"/>
  <c r="DC64" i="33"/>
  <c r="DC65" i="33"/>
  <c r="DC66" i="33"/>
  <c r="DC67" i="33"/>
  <c r="DC68" i="33"/>
  <c r="DC69" i="33"/>
  <c r="DC70" i="33"/>
  <c r="DC71" i="33"/>
  <c r="DC72" i="33"/>
  <c r="DC73" i="33"/>
  <c r="DC74" i="33"/>
  <c r="DC75" i="33"/>
  <c r="DC76" i="33"/>
  <c r="DC77" i="33"/>
  <c r="DC78" i="33"/>
  <c r="DC79" i="33"/>
  <c r="DC80" i="33"/>
  <c r="DC81" i="33"/>
  <c r="DC82" i="33"/>
  <c r="DC83" i="33"/>
  <c r="DC84" i="33"/>
  <c r="DC85" i="33"/>
  <c r="DC86" i="33"/>
  <c r="DC87" i="33"/>
  <c r="DC88" i="33"/>
  <c r="DC89" i="33"/>
  <c r="DC90" i="33"/>
  <c r="DC91" i="33"/>
  <c r="DC92" i="33"/>
  <c r="DC93" i="33"/>
  <c r="DC94" i="33"/>
  <c r="DC95" i="33"/>
  <c r="DC96" i="33"/>
  <c r="DC97" i="33"/>
  <c r="DC98" i="33"/>
  <c r="DC99" i="33"/>
  <c r="DC100" i="33"/>
  <c r="DC101" i="33"/>
  <c r="DC102" i="33"/>
  <c r="DC103" i="33"/>
  <c r="DC104" i="33"/>
  <c r="DC105" i="33"/>
  <c r="DC106" i="33"/>
  <c r="DC107" i="33"/>
  <c r="DC108" i="33"/>
  <c r="DC109" i="33"/>
  <c r="DC110" i="33"/>
  <c r="DC111" i="33"/>
  <c r="DC112" i="33"/>
  <c r="DC113" i="33"/>
  <c r="DC114" i="33"/>
  <c r="DC115" i="33"/>
  <c r="DC116" i="33"/>
  <c r="DC117" i="33"/>
  <c r="DC118" i="33"/>
  <c r="DC119" i="33"/>
  <c r="DC120" i="33"/>
  <c r="DC121" i="33"/>
  <c r="DC122" i="33"/>
  <c r="DC123" i="33"/>
  <c r="DC124" i="33"/>
  <c r="DC125" i="33"/>
  <c r="DC126" i="33"/>
  <c r="DC127" i="33"/>
  <c r="DC128" i="33"/>
  <c r="DC129" i="33"/>
  <c r="DC130" i="33"/>
  <c r="DC131" i="33"/>
  <c r="DC132" i="33"/>
  <c r="DC133" i="33"/>
  <c r="DC134" i="33"/>
  <c r="DC135" i="33"/>
  <c r="DC136" i="33"/>
  <c r="DC137" i="33"/>
  <c r="DC138" i="33"/>
  <c r="DC139" i="33"/>
  <c r="DC140" i="33"/>
  <c r="DC141" i="33"/>
  <c r="DC142" i="33"/>
  <c r="DC143" i="33"/>
  <c r="DC144" i="33"/>
  <c r="DC145" i="33"/>
  <c r="DC146" i="33"/>
  <c r="DC147" i="33"/>
  <c r="DC148" i="33"/>
  <c r="DC149" i="33"/>
  <c r="DC150" i="33"/>
  <c r="DC151" i="33"/>
  <c r="DC152" i="33"/>
  <c r="DC153" i="33"/>
  <c r="DC154" i="33"/>
  <c r="DC155" i="33"/>
  <c r="DC156" i="33"/>
  <c r="DC157" i="33"/>
  <c r="DC158" i="33"/>
  <c r="DC159" i="33"/>
  <c r="DC160" i="33"/>
  <c r="DC161" i="33"/>
  <c r="DC162" i="33"/>
  <c r="DC163" i="33"/>
  <c r="DC164" i="33"/>
  <c r="DC165" i="33"/>
  <c r="DC166" i="33"/>
  <c r="DC167" i="33"/>
  <c r="DC168" i="33"/>
  <c r="DC169" i="33"/>
  <c r="DC170" i="33"/>
  <c r="DC171" i="33"/>
  <c r="DC172" i="33"/>
  <c r="DC173" i="33"/>
  <c r="DC174" i="33"/>
  <c r="DC175" i="33"/>
  <c r="DC176" i="33"/>
  <c r="DC177" i="33"/>
  <c r="DC178" i="33"/>
  <c r="DC179" i="33"/>
  <c r="DC180" i="33"/>
  <c r="DC181" i="33"/>
  <c r="DC182" i="33"/>
  <c r="DC183" i="33"/>
  <c r="DC184" i="33"/>
  <c r="DC185" i="33"/>
  <c r="DC186" i="33"/>
  <c r="DC187" i="33"/>
  <c r="DC188" i="33"/>
  <c r="DC189" i="33"/>
  <c r="DC190" i="33"/>
  <c r="DC191" i="33"/>
  <c r="DC192" i="33"/>
  <c r="DC193" i="33"/>
  <c r="DC194" i="33"/>
  <c r="DC195" i="33"/>
  <c r="DC196" i="33"/>
  <c r="DC197" i="33"/>
  <c r="DC198" i="33"/>
  <c r="DC199" i="33"/>
  <c r="DC200" i="33"/>
  <c r="DC201" i="33"/>
  <c r="DC202" i="33"/>
  <c r="DC203" i="33"/>
  <c r="DC204" i="33"/>
  <c r="DC205" i="33"/>
  <c r="DC206" i="33"/>
  <c r="DC207" i="33"/>
  <c r="DC208" i="33"/>
  <c r="DC209" i="33"/>
  <c r="DC210" i="33"/>
  <c r="DC211" i="33"/>
  <c r="DC212" i="33"/>
  <c r="DC213" i="33"/>
  <c r="DC214" i="33"/>
  <c r="DC215" i="33"/>
  <c r="DC216" i="33"/>
  <c r="DC217" i="33"/>
  <c r="DC218" i="33"/>
  <c r="DC219" i="33"/>
  <c r="DC220" i="33"/>
  <c r="DC221" i="33"/>
  <c r="DC222" i="33"/>
  <c r="DC223" i="33"/>
  <c r="DC224" i="33"/>
  <c r="DC225" i="33"/>
  <c r="DC226" i="33"/>
  <c r="DC227" i="33"/>
  <c r="DC228" i="33"/>
  <c r="DC229" i="33"/>
  <c r="DC230" i="33"/>
  <c r="DC231" i="33"/>
  <c r="DC232" i="33"/>
  <c r="DC233" i="33"/>
  <c r="DC234" i="33"/>
  <c r="DC235" i="33"/>
  <c r="DC236" i="33"/>
  <c r="DC237" i="33"/>
  <c r="DC238" i="33"/>
  <c r="DC239" i="33"/>
  <c r="DC240" i="33"/>
  <c r="DC241" i="33"/>
  <c r="DC242" i="33"/>
  <c r="DC243" i="33"/>
  <c r="DC244" i="33"/>
  <c r="DC245" i="33"/>
  <c r="DC246" i="33"/>
  <c r="DC247" i="33"/>
  <c r="DC248" i="33"/>
  <c r="DC249" i="33"/>
  <c r="DC250" i="33"/>
  <c r="DC251" i="33"/>
  <c r="DC252" i="33"/>
  <c r="DC253" i="33"/>
  <c r="DC254" i="33"/>
  <c r="DC255" i="33"/>
  <c r="DC256" i="33"/>
  <c r="DC257" i="33"/>
  <c r="DC258" i="33"/>
  <c r="DC259" i="33"/>
  <c r="DC260" i="33"/>
  <c r="DC261" i="33"/>
  <c r="DC262" i="33"/>
  <c r="DC263" i="33"/>
  <c r="DC264" i="33"/>
  <c r="DC265" i="33"/>
  <c r="DC266" i="33"/>
  <c r="DC267" i="33"/>
  <c r="DC268" i="33"/>
  <c r="DC269" i="33"/>
  <c r="DC270" i="33"/>
  <c r="DC271" i="33"/>
  <c r="DC272" i="33"/>
  <c r="DC273" i="33"/>
  <c r="DC274" i="33"/>
  <c r="DC275" i="33"/>
  <c r="DC276" i="33"/>
  <c r="DC277" i="33"/>
  <c r="DC278" i="33"/>
  <c r="DC279" i="33"/>
  <c r="DC280" i="33"/>
  <c r="DC281" i="33"/>
  <c r="DC282" i="33"/>
  <c r="DC283" i="33"/>
  <c r="DC284" i="33"/>
  <c r="DC285" i="33"/>
  <c r="DC286" i="33"/>
  <c r="DC287" i="33"/>
  <c r="DC288" i="33"/>
  <c r="DC289" i="33"/>
  <c r="DC290" i="33"/>
  <c r="DC291" i="33"/>
  <c r="DC292" i="33"/>
  <c r="DC293" i="33"/>
  <c r="DC294" i="33"/>
  <c r="DC295" i="33"/>
  <c r="DC296" i="33"/>
  <c r="DC297" i="33"/>
  <c r="DC298" i="33"/>
  <c r="DC299" i="33"/>
  <c r="DC300" i="33"/>
  <c r="DC301" i="33"/>
  <c r="DC302" i="33"/>
  <c r="DC303" i="33"/>
  <c r="DC304" i="33"/>
  <c r="DC305" i="33"/>
  <c r="DC306" i="33"/>
  <c r="DC307" i="33"/>
  <c r="DC308" i="33"/>
  <c r="DC309" i="33"/>
  <c r="DC310" i="33"/>
  <c r="DC311" i="33"/>
  <c r="DC312" i="33"/>
  <c r="DC313" i="33"/>
  <c r="DC314" i="33"/>
  <c r="DC315" i="33"/>
  <c r="DC316" i="33"/>
  <c r="DC317" i="33"/>
  <c r="DC318" i="33"/>
  <c r="DC319" i="33"/>
  <c r="DC320" i="33"/>
  <c r="DC321" i="33"/>
  <c r="DC322" i="33"/>
  <c r="DC323" i="33"/>
  <c r="DC324" i="33"/>
  <c r="DC325" i="33"/>
  <c r="DC326" i="33"/>
  <c r="DC327" i="33"/>
  <c r="DC328" i="33"/>
  <c r="DC329" i="33"/>
  <c r="DC330" i="33"/>
  <c r="DC331" i="33"/>
  <c r="DC332" i="33"/>
  <c r="DC333" i="33"/>
  <c r="DC334" i="33"/>
  <c r="DC335" i="33"/>
  <c r="DC336" i="33"/>
  <c r="DC337" i="33"/>
  <c r="DC338" i="33"/>
  <c r="DC339" i="33"/>
  <c r="DC340" i="33"/>
  <c r="DC341" i="33"/>
  <c r="DC342" i="33"/>
  <c r="DC343" i="33"/>
  <c r="DC344" i="33"/>
  <c r="DC345" i="33"/>
  <c r="DC346" i="33"/>
  <c r="DC347" i="33"/>
  <c r="DC348" i="33"/>
  <c r="DC349" i="33"/>
  <c r="DC350" i="33"/>
  <c r="DC351" i="33"/>
  <c r="DC352" i="33"/>
  <c r="DC353" i="33"/>
  <c r="DC354" i="33"/>
  <c r="DC355" i="33"/>
  <c r="DC356" i="33"/>
  <c r="DC357" i="33"/>
  <c r="DC358" i="33"/>
  <c r="DC359" i="33"/>
  <c r="DC360" i="33"/>
  <c r="DC361" i="33"/>
  <c r="DC362" i="33"/>
  <c r="DC363" i="33"/>
  <c r="DC364" i="33"/>
  <c r="DC365" i="33"/>
  <c r="DC366" i="33"/>
  <c r="DC367" i="33"/>
  <c r="DC368" i="33"/>
  <c r="DC369" i="33"/>
  <c r="DC370" i="33"/>
  <c r="DC371" i="33"/>
  <c r="DC372" i="33"/>
  <c r="DC373" i="33"/>
  <c r="DC374" i="33"/>
  <c r="DC375" i="33"/>
  <c r="DC376" i="33"/>
  <c r="DC377" i="33"/>
  <c r="DC378" i="33"/>
  <c r="DC379" i="33"/>
  <c r="DC380" i="33"/>
  <c r="DC381" i="33"/>
  <c r="DC382" i="33"/>
  <c r="DC383" i="33"/>
  <c r="DC384" i="33"/>
  <c r="DC385" i="33"/>
  <c r="DC386" i="33"/>
  <c r="DC387" i="33"/>
  <c r="DC388" i="33"/>
  <c r="DC389" i="33"/>
  <c r="DC390" i="33"/>
  <c r="DC391" i="33"/>
  <c r="DC392" i="33"/>
  <c r="DC393" i="33"/>
  <c r="DC394" i="33"/>
  <c r="DC395" i="33"/>
  <c r="DC396" i="33"/>
  <c r="DC397" i="33"/>
  <c r="DC398" i="33"/>
  <c r="DC399" i="33"/>
  <c r="DC400" i="33"/>
  <c r="DC401" i="33"/>
  <c r="DC402" i="33"/>
  <c r="DC403" i="33"/>
  <c r="DC404" i="33"/>
  <c r="DC405" i="33"/>
  <c r="DC406" i="33"/>
  <c r="DC407" i="33"/>
  <c r="DC408" i="33"/>
  <c r="DC409" i="33"/>
  <c r="DC410" i="33"/>
  <c r="DC411" i="33"/>
  <c r="DC412" i="33"/>
  <c r="DC413" i="33"/>
  <c r="DC414" i="33"/>
  <c r="DC415" i="33"/>
  <c r="DC416" i="33"/>
  <c r="DC417" i="33"/>
  <c r="DC418" i="33"/>
  <c r="DC419" i="33"/>
  <c r="DC420" i="33"/>
  <c r="DC421" i="33"/>
  <c r="DC422" i="33"/>
  <c r="DC423" i="33"/>
  <c r="DC424" i="33"/>
  <c r="DC425" i="33"/>
  <c r="DC426" i="33"/>
  <c r="DC427" i="33"/>
  <c r="DC428" i="33"/>
  <c r="DC429" i="33"/>
  <c r="DC430" i="33"/>
  <c r="DC431" i="33"/>
  <c r="DC432" i="33"/>
  <c r="DC433" i="33"/>
  <c r="DC434" i="33"/>
  <c r="DC435" i="33"/>
  <c r="DC436" i="33"/>
  <c r="DC437" i="33"/>
  <c r="DC438" i="33"/>
  <c r="DC439" i="33"/>
  <c r="DC440" i="33"/>
  <c r="DC441" i="33"/>
  <c r="DC442" i="33"/>
  <c r="DC443" i="33"/>
  <c r="DC444" i="33"/>
  <c r="DC445" i="33"/>
  <c r="DC446" i="33"/>
  <c r="DC447" i="33"/>
  <c r="DC448" i="33"/>
  <c r="DC449" i="33"/>
  <c r="DC450" i="33"/>
  <c r="DC451" i="33"/>
  <c r="DC452" i="33"/>
  <c r="DC453" i="33"/>
  <c r="DC454" i="33"/>
  <c r="DC455" i="33"/>
  <c r="DC456" i="33"/>
  <c r="DC457" i="33"/>
  <c r="DC458" i="33"/>
  <c r="DC459" i="33"/>
  <c r="DC460" i="33"/>
  <c r="DC461" i="33"/>
  <c r="DC462" i="33"/>
  <c r="DC463" i="33"/>
  <c r="DC464" i="33"/>
  <c r="DC465" i="33"/>
  <c r="DC466" i="33"/>
  <c r="DC467" i="33"/>
  <c r="DC468" i="33"/>
  <c r="DC469" i="33"/>
  <c r="DC470" i="33"/>
  <c r="DC471" i="33"/>
  <c r="DC472" i="33"/>
  <c r="DC473" i="33"/>
  <c r="DC474" i="33"/>
  <c r="DC475" i="33"/>
  <c r="DC476" i="33"/>
  <c r="DC477" i="33"/>
  <c r="DC478" i="33"/>
  <c r="DC479" i="33"/>
  <c r="DC480" i="33"/>
  <c r="DC481" i="33"/>
  <c r="DC482" i="33"/>
  <c r="DC483" i="33"/>
  <c r="DC484" i="33"/>
  <c r="DC485" i="33"/>
  <c r="DC486" i="33"/>
  <c r="DC487" i="33"/>
  <c r="DC488" i="33"/>
  <c r="DC489" i="33"/>
  <c r="DC490" i="33"/>
  <c r="DC491" i="33"/>
  <c r="DC492" i="33"/>
  <c r="DC493" i="33"/>
  <c r="DC494" i="33"/>
  <c r="DC495" i="33"/>
  <c r="DC496" i="33"/>
  <c r="DC497" i="33"/>
  <c r="DC498" i="33"/>
  <c r="DC499" i="33"/>
  <c r="DC500" i="33"/>
  <c r="DC501" i="33"/>
  <c r="DC502" i="33"/>
  <c r="DC503" i="33"/>
  <c r="DC504" i="33"/>
  <c r="DC505" i="33"/>
  <c r="DC506" i="33"/>
  <c r="DC507" i="33"/>
  <c r="DC508" i="33"/>
  <c r="DC509" i="33"/>
  <c r="DC510" i="33"/>
  <c r="DC511" i="33"/>
  <c r="DC512" i="33"/>
  <c r="DC513" i="33"/>
  <c r="DC514" i="33"/>
  <c r="DC515" i="33"/>
  <c r="DC516" i="33"/>
  <c r="DC517" i="33"/>
  <c r="DC518" i="33"/>
  <c r="DC519" i="33"/>
  <c r="DC520" i="33"/>
  <c r="DC521" i="33"/>
  <c r="DC522" i="33"/>
  <c r="DC523" i="33"/>
  <c r="DC524" i="33"/>
  <c r="DC525" i="33"/>
  <c r="DC526" i="33"/>
  <c r="DC527" i="33"/>
  <c r="DC528" i="33"/>
  <c r="DC529" i="33"/>
  <c r="DC530" i="33"/>
  <c r="DC531" i="33"/>
  <c r="DC532" i="33"/>
  <c r="DC533" i="33"/>
  <c r="DC534" i="33"/>
  <c r="DC535" i="33"/>
  <c r="DC536" i="33"/>
  <c r="DC537" i="33"/>
  <c r="DC538" i="33"/>
  <c r="DC539" i="33"/>
  <c r="DC540" i="33"/>
  <c r="DC541" i="33"/>
  <c r="DC542" i="33"/>
  <c r="DC543" i="33"/>
  <c r="DC544" i="33"/>
  <c r="DC545" i="33"/>
  <c r="DC546" i="33"/>
  <c r="DC547" i="33"/>
  <c r="DC548" i="33"/>
  <c r="DC549" i="33"/>
  <c r="DC550" i="33"/>
  <c r="DC551" i="33"/>
  <c r="F35" i="75"/>
  <c r="F35" i="45"/>
  <c r="CX26" i="33"/>
  <c r="D5" i="33"/>
  <c r="FA5" i="19"/>
  <c r="DS54" i="33"/>
  <c r="DS400" i="33"/>
  <c r="DS39" i="33"/>
  <c r="DD39" i="33" s="1"/>
  <c r="DA39" i="33"/>
  <c r="DS273" i="33"/>
  <c r="DT273" i="33"/>
  <c r="DT265" i="33"/>
  <c r="DT249" i="33"/>
  <c r="DD225" i="33"/>
  <c r="DA225" i="33" s="1"/>
  <c r="DS209" i="33"/>
  <c r="DS201" i="33"/>
  <c r="DT201" i="33" s="1"/>
  <c r="DS193" i="33"/>
  <c r="DS177" i="33"/>
  <c r="DT177" i="33" s="1"/>
  <c r="DS169" i="33"/>
  <c r="DS153" i="33"/>
  <c r="DT153" i="33" s="1"/>
  <c r="DS137" i="33"/>
  <c r="DT137" i="33" s="1"/>
  <c r="DS121" i="33"/>
  <c r="DS105" i="33"/>
  <c r="DT105" i="33" s="1"/>
  <c r="DS89" i="33"/>
  <c r="DS73" i="33"/>
  <c r="DS65" i="33"/>
  <c r="DT65" i="33" s="1"/>
  <c r="DS57" i="33"/>
  <c r="DS49" i="33"/>
  <c r="DT49" i="33" s="1"/>
  <c r="DS41" i="33"/>
  <c r="DT41" i="33" s="1"/>
  <c r="DS38" i="33"/>
  <c r="DD38" i="33"/>
  <c r="DA38" i="33" s="1"/>
  <c r="DD373" i="33"/>
  <c r="DA373" i="33" s="1"/>
  <c r="DS349" i="33"/>
  <c r="DS519" i="33"/>
  <c r="DD519" i="33" s="1"/>
  <c r="DA519" i="33" s="1"/>
  <c r="DS306" i="33"/>
  <c r="DS186" i="33"/>
  <c r="DD186" i="33" s="1"/>
  <c r="DA186" i="33" s="1"/>
  <c r="DS162" i="33"/>
  <c r="DD162" i="33" s="1"/>
  <c r="DA162" i="33" s="1"/>
  <c r="DS146" i="33"/>
  <c r="DS143" i="33"/>
  <c r="DD143" i="33" s="1"/>
  <c r="DA143" i="33" s="1"/>
  <c r="DS130" i="33"/>
  <c r="DD130" i="33"/>
  <c r="DA130" i="33" s="1"/>
  <c r="DS114" i="33"/>
  <c r="DD114" i="33" s="1"/>
  <c r="DA114" i="33" s="1"/>
  <c r="DS82" i="33"/>
  <c r="DT82" i="33" s="1"/>
  <c r="DS79" i="33"/>
  <c r="DD79" i="33" s="1"/>
  <c r="DA79" i="33"/>
  <c r="DS66" i="33"/>
  <c r="DS58" i="33"/>
  <c r="DS324" i="33"/>
  <c r="DT324" i="33" s="1"/>
  <c r="DS300" i="33"/>
  <c r="DD300" i="33" s="1"/>
  <c r="DS33" i="33"/>
  <c r="DS334" i="33"/>
  <c r="DD334" i="33" s="1"/>
  <c r="DS62" i="33"/>
  <c r="DD62" i="33" s="1"/>
  <c r="DA62" i="33"/>
  <c r="DS35" i="33"/>
  <c r="DD35" i="33"/>
  <c r="DA35" i="33" s="1"/>
  <c r="DD422" i="33"/>
  <c r="DA422" i="33" s="1"/>
  <c r="DS332" i="33"/>
  <c r="DD332" i="33" s="1"/>
  <c r="DA332" i="33" s="1"/>
  <c r="DS309" i="33"/>
  <c r="DS304" i="33"/>
  <c r="DS278" i="33"/>
  <c r="DS262" i="33"/>
  <c r="DS254" i="33"/>
  <c r="DS238" i="33"/>
  <c r="DS222" i="33"/>
  <c r="DS214" i="33"/>
  <c r="DS182" i="33"/>
  <c r="DD182" i="33"/>
  <c r="DA182" i="33" s="1"/>
  <c r="DS174" i="33"/>
  <c r="DD174" i="33" s="1"/>
  <c r="DA174" i="33" s="1"/>
  <c r="DS142" i="33"/>
  <c r="DD142" i="33" s="1"/>
  <c r="DA142" i="33" s="1"/>
  <c r="DS134" i="33"/>
  <c r="DD134" i="33" s="1"/>
  <c r="DA134" i="33" s="1"/>
  <c r="DS118" i="33"/>
  <c r="DS78" i="33"/>
  <c r="DD78" i="33" s="1"/>
  <c r="DA78" i="33"/>
  <c r="DS70" i="33"/>
  <c r="DD70" i="33"/>
  <c r="DA70" i="33" s="1"/>
  <c r="DS477" i="33"/>
  <c r="DS357" i="33"/>
  <c r="DS347" i="33"/>
  <c r="DD347" i="33" s="1"/>
  <c r="DA347" i="33" s="1"/>
  <c r="DS301" i="33"/>
  <c r="DS288" i="33"/>
  <c r="DS275" i="33"/>
  <c r="DD275" i="33" s="1"/>
  <c r="DA275" i="33" s="1"/>
  <c r="DS251" i="33"/>
  <c r="DS227" i="33"/>
  <c r="DD227" i="33" s="1"/>
  <c r="DA227" i="33" s="1"/>
  <c r="DS211" i="33"/>
  <c r="DS195" i="33"/>
  <c r="DD195" i="33" s="1"/>
  <c r="DA195" i="33" s="1"/>
  <c r="DS179" i="33"/>
  <c r="DS171" i="33"/>
  <c r="DD171" i="33"/>
  <c r="DA171" i="33" s="1"/>
  <c r="DS155" i="33"/>
  <c r="DS139" i="33"/>
  <c r="DD139" i="33" s="1"/>
  <c r="DA139" i="33" s="1"/>
  <c r="DS107" i="33"/>
  <c r="DS91" i="33"/>
  <c r="DS75" i="33"/>
  <c r="DS67" i="33"/>
  <c r="DD67" i="33" s="1"/>
  <c r="DA67" i="33" s="1"/>
  <c r="DS59" i="33"/>
  <c r="DS51" i="33"/>
  <c r="DD51" i="33"/>
  <c r="DA51" i="33" s="1"/>
  <c r="DS43" i="33"/>
  <c r="DD43" i="33" s="1"/>
  <c r="DA43" i="33" s="1"/>
  <c r="DS264" i="33"/>
  <c r="DD264" i="33" s="1"/>
  <c r="DA264" i="33" s="1"/>
  <c r="DS256" i="33"/>
  <c r="DT256" i="33" s="1"/>
  <c r="DS248" i="33"/>
  <c r="DD248" i="33" s="1"/>
  <c r="DS240" i="33"/>
  <c r="DT240" i="33" s="1"/>
  <c r="DS208" i="33"/>
  <c r="DT208" i="33" s="1"/>
  <c r="DS200" i="33"/>
  <c r="DD200" i="33" s="1"/>
  <c r="DA200" i="33" s="1"/>
  <c r="DS192" i="33"/>
  <c r="DT192" i="33" s="1"/>
  <c r="DS176" i="33"/>
  <c r="DS168" i="33"/>
  <c r="DT168" i="33" s="1"/>
  <c r="DS152" i="33"/>
  <c r="DT152" i="33" s="1"/>
  <c r="DS136" i="33"/>
  <c r="DD136" i="33" s="1"/>
  <c r="DA136" i="33" s="1"/>
  <c r="DS120" i="33"/>
  <c r="DD120" i="33" s="1"/>
  <c r="DS104" i="33"/>
  <c r="DD104" i="33" s="1"/>
  <c r="DS88" i="33"/>
  <c r="DT88" i="33" s="1"/>
  <c r="DS72" i="33"/>
  <c r="DT72" i="33" s="1"/>
  <c r="DS64" i="33"/>
  <c r="DS56" i="33"/>
  <c r="DT56" i="33" s="1"/>
  <c r="DS40" i="33"/>
  <c r="DD40" i="33" s="1"/>
  <c r="DS32" i="33"/>
  <c r="DT32" i="33" s="1"/>
  <c r="DS429" i="33"/>
  <c r="DD429" i="33" s="1"/>
  <c r="DS382" i="33"/>
  <c r="DD382" i="33" s="1"/>
  <c r="DS364" i="33"/>
  <c r="DS359" i="33"/>
  <c r="DS341" i="33"/>
  <c r="DS261" i="33"/>
  <c r="DS253" i="33"/>
  <c r="DS245" i="33"/>
  <c r="DT245" i="33" s="1"/>
  <c r="DS237" i="33"/>
  <c r="DS205" i="33"/>
  <c r="DS197" i="33"/>
  <c r="DD197" i="33" s="1"/>
  <c r="DA197" i="33" s="1"/>
  <c r="DS189" i="33"/>
  <c r="DT189" i="33" s="1"/>
  <c r="DS173" i="33"/>
  <c r="DS165" i="33"/>
  <c r="DS149" i="33"/>
  <c r="DS133" i="33"/>
  <c r="DS117" i="33"/>
  <c r="DS101" i="33"/>
  <c r="DS85" i="33"/>
  <c r="DD85" i="33" s="1"/>
  <c r="DS69" i="33"/>
  <c r="DS61" i="33"/>
  <c r="DS45" i="33"/>
  <c r="DS37" i="33"/>
  <c r="DT37" i="33" s="1"/>
  <c r="DS50" i="33"/>
  <c r="DD50" i="33" s="1"/>
  <c r="DA50" i="33"/>
  <c r="DS42" i="33"/>
  <c r="DD42" i="33"/>
  <c r="DA42" i="33" s="1"/>
  <c r="DS34" i="33"/>
  <c r="DT34" i="33"/>
  <c r="DD65" i="33"/>
  <c r="DA65" i="33" s="1"/>
  <c r="DS392" i="33"/>
  <c r="DS348" i="33"/>
  <c r="DS310" i="33"/>
  <c r="DS231" i="33"/>
  <c r="DS223" i="33"/>
  <c r="DD223" i="33" s="1"/>
  <c r="DA223" i="33"/>
  <c r="DS127" i="33"/>
  <c r="DD127" i="33"/>
  <c r="DA127" i="33" s="1"/>
  <c r="DD177" i="33"/>
  <c r="DA177" i="33" s="1"/>
  <c r="DS407" i="33"/>
  <c r="DT381" i="33"/>
  <c r="DD335" i="33"/>
  <c r="DA335" i="33" s="1"/>
  <c r="DS325" i="33"/>
  <c r="DS297" i="33"/>
  <c r="DS260" i="33"/>
  <c r="DD260" i="33" s="1"/>
  <c r="DA260" i="33"/>
  <c r="DS252" i="33"/>
  <c r="DS244" i="33"/>
  <c r="DS236" i="33"/>
  <c r="DS204" i="33"/>
  <c r="DS196" i="33"/>
  <c r="DS188" i="33"/>
  <c r="DD188" i="33" s="1"/>
  <c r="DA188" i="33" s="1"/>
  <c r="DS172" i="33"/>
  <c r="DT172" i="33" s="1"/>
  <c r="DS164" i="33"/>
  <c r="DD164" i="33" s="1"/>
  <c r="DA164" i="33" s="1"/>
  <c r="DS148" i="33"/>
  <c r="DS132" i="33"/>
  <c r="DD132" i="33" s="1"/>
  <c r="DA132" i="33" s="1"/>
  <c r="DS100" i="33"/>
  <c r="DS84" i="33"/>
  <c r="DD84" i="33" s="1"/>
  <c r="DA84" i="33"/>
  <c r="DS60" i="33"/>
  <c r="DD60" i="33"/>
  <c r="DA60" i="33" s="1"/>
  <c r="DS52" i="33"/>
  <c r="DD52" i="33"/>
  <c r="DA52" i="33" s="1"/>
  <c r="DS473" i="33"/>
  <c r="DD473" i="33" s="1"/>
  <c r="DA473" i="33" s="1"/>
  <c r="DD420" i="33"/>
  <c r="DA420" i="33" s="1"/>
  <c r="DS448" i="33"/>
  <c r="DD448" i="33"/>
  <c r="DA448" i="33" s="1"/>
  <c r="DA425" i="33"/>
  <c r="DS376" i="33"/>
  <c r="DD376" i="33" s="1"/>
  <c r="DS356" i="33"/>
  <c r="DS242" i="33"/>
  <c r="DD242" i="33" s="1"/>
  <c r="DA242" i="33" s="1"/>
  <c r="DS234" i="33"/>
  <c r="DT234" i="33" s="1"/>
  <c r="DD460" i="33"/>
  <c r="DA460" i="33" s="1"/>
  <c r="DS263" i="33"/>
  <c r="DT464" i="33"/>
  <c r="DS408" i="33"/>
  <c r="DD408" i="33" s="1"/>
  <c r="DA408" i="33"/>
  <c r="DS247" i="33"/>
  <c r="DD247" i="33"/>
  <c r="DA247" i="33" s="1"/>
  <c r="DD476" i="33"/>
  <c r="DA476" i="33" s="1"/>
  <c r="DS239" i="33"/>
  <c r="DD239" i="33" s="1"/>
  <c r="DA239" i="33"/>
  <c r="DS548" i="33"/>
  <c r="DA415" i="33"/>
  <c r="DS110" i="33"/>
  <c r="DD110" i="33" s="1"/>
  <c r="DA110" i="33" s="1"/>
  <c r="DS520" i="33"/>
  <c r="DD457" i="33"/>
  <c r="DA457" i="33" s="1"/>
  <c r="DS452" i="33"/>
  <c r="DD452" i="33"/>
  <c r="DA452" i="33" s="1"/>
  <c r="DS424" i="33"/>
  <c r="DT424" i="33" s="1"/>
  <c r="DD424" i="33"/>
  <c r="DA424" i="33" s="1"/>
  <c r="DS383" i="33"/>
  <c r="DD383" i="33"/>
  <c r="DA383" i="33" s="1"/>
  <c r="DS363" i="33"/>
  <c r="DS218" i="33"/>
  <c r="DD218" i="33" s="1"/>
  <c r="DA218" i="33" s="1"/>
  <c r="DS440" i="33"/>
  <c r="DD440" i="33"/>
  <c r="DA440" i="33" s="1"/>
  <c r="DS395" i="33"/>
  <c r="DS365" i="33"/>
  <c r="DD365" i="33"/>
  <c r="DA365" i="33" s="1"/>
  <c r="DS533" i="33"/>
  <c r="DD533" i="33" s="1"/>
  <c r="DA533" i="33" s="1"/>
  <c r="DS475" i="33"/>
  <c r="DD475" i="33" s="1"/>
  <c r="DA475" i="33" s="1"/>
  <c r="DS461" i="33"/>
  <c r="DD461" i="33" s="1"/>
  <c r="DA461" i="33" s="1"/>
  <c r="DS402" i="33"/>
  <c r="DT402" i="33" s="1"/>
  <c r="DS385" i="33"/>
  <c r="DD385" i="33" s="1"/>
  <c r="DA385" i="33" s="1"/>
  <c r="DS317" i="33"/>
  <c r="DS315" i="33"/>
  <c r="DS246" i="33"/>
  <c r="DD246" i="33" s="1"/>
  <c r="DA246" i="33" s="1"/>
  <c r="DA431" i="33"/>
  <c r="DS303" i="33"/>
  <c r="DD303" i="33"/>
  <c r="DA303" i="33" s="1"/>
  <c r="DS451" i="33"/>
  <c r="DD451" i="33" s="1"/>
  <c r="DA451" i="33" s="1"/>
  <c r="DS416" i="33"/>
  <c r="DS199" i="33"/>
  <c r="DD199" i="33"/>
  <c r="DA199" i="33" s="1"/>
  <c r="DS103" i="33"/>
  <c r="DD103" i="33" s="1"/>
  <c r="DA103" i="33" s="1"/>
  <c r="DT542" i="33"/>
  <c r="DA528" i="33"/>
  <c r="DD486" i="33"/>
  <c r="DA486" i="33" s="1"/>
  <c r="DS465" i="33"/>
  <c r="DS444" i="33"/>
  <c r="DS432" i="33"/>
  <c r="DS394" i="33"/>
  <c r="DS333" i="33"/>
  <c r="DS331" i="33"/>
  <c r="DS401" i="33"/>
  <c r="DS369" i="33"/>
  <c r="DD369" i="33" s="1"/>
  <c r="DA369" i="33" s="1"/>
  <c r="DS282" i="33"/>
  <c r="DS167" i="33"/>
  <c r="DD167" i="33"/>
  <c r="DA167" i="33" s="1"/>
  <c r="DS126" i="33"/>
  <c r="DS375" i="33"/>
  <c r="DD375" i="33" s="1"/>
  <c r="DA375" i="33"/>
  <c r="DS119" i="33"/>
  <c r="DD119" i="33"/>
  <c r="DA119" i="33" s="1"/>
  <c r="DS308" i="33"/>
  <c r="DS296" i="33"/>
  <c r="DS280" i="33"/>
  <c r="DT280" i="33" s="1"/>
  <c r="DS268" i="33"/>
  <c r="DD268" i="33" s="1"/>
  <c r="DA268" i="33"/>
  <c r="DS232" i="33"/>
  <c r="DS220" i="33"/>
  <c r="DS213" i="33"/>
  <c r="DS185" i="33"/>
  <c r="DS178" i="33"/>
  <c r="DD178" i="33"/>
  <c r="DA178" i="33" s="1"/>
  <c r="DS157" i="33"/>
  <c r="DS145" i="33"/>
  <c r="DD145" i="33" s="1"/>
  <c r="DA145" i="33" s="1"/>
  <c r="DS138" i="33"/>
  <c r="DD138" i="33"/>
  <c r="DA138" i="33" s="1"/>
  <c r="DS131" i="33"/>
  <c r="DS124" i="33"/>
  <c r="DT114" i="33"/>
  <c r="DS112" i="33"/>
  <c r="DS93" i="33"/>
  <c r="DD93" i="33" s="1"/>
  <c r="DS81" i="33"/>
  <c r="DS74" i="33"/>
  <c r="DS150" i="33"/>
  <c r="DD150" i="33"/>
  <c r="DA150" i="33" s="1"/>
  <c r="DS86" i="33"/>
  <c r="DS377" i="33"/>
  <c r="DS360" i="33"/>
  <c r="DS353" i="33"/>
  <c r="DS344" i="33"/>
  <c r="DT344" i="33" s="1"/>
  <c r="DS337" i="33"/>
  <c r="DT337" i="33" s="1"/>
  <c r="DS328" i="33"/>
  <c r="DS321" i="33"/>
  <c r="DS312" i="33"/>
  <c r="DD312" i="33" s="1"/>
  <c r="DA312" i="33" s="1"/>
  <c r="DS305" i="33"/>
  <c r="DD305" i="33" s="1"/>
  <c r="DA305" i="33" s="1"/>
  <c r="DS298" i="33"/>
  <c r="DT298" i="33" s="1"/>
  <c r="DS293" i="33"/>
  <c r="DT293" i="33" s="1"/>
  <c r="DS291" i="33"/>
  <c r="DS284" i="33"/>
  <c r="DD284" i="33" s="1"/>
  <c r="DS277" i="33"/>
  <c r="DD277" i="33" s="1"/>
  <c r="DA277" i="33" s="1"/>
  <c r="DS272" i="33"/>
  <c r="DT272" i="33" s="1"/>
  <c r="DS241" i="33"/>
  <c r="DD241" i="33" s="1"/>
  <c r="DA241" i="33" s="1"/>
  <c r="DS229" i="33"/>
  <c r="DS224" i="33"/>
  <c r="DT224" i="33" s="1"/>
  <c r="DS217" i="33"/>
  <c r="DT215" i="33"/>
  <c r="DS210" i="33"/>
  <c r="DD210" i="33" s="1"/>
  <c r="DA210" i="33" s="1"/>
  <c r="DS194" i="33"/>
  <c r="DS187" i="33"/>
  <c r="DD187" i="33" s="1"/>
  <c r="DA187" i="33" s="1"/>
  <c r="DS180" i="33"/>
  <c r="DD180" i="33"/>
  <c r="DA180" i="33" s="1"/>
  <c r="DS161" i="33"/>
  <c r="DD161" i="33" s="1"/>
  <c r="DS154" i="33"/>
  <c r="DD154" i="33"/>
  <c r="DA154" i="33" s="1"/>
  <c r="DS147" i="33"/>
  <c r="DD147" i="33" s="1"/>
  <c r="DA147" i="33" s="1"/>
  <c r="DS140" i="33"/>
  <c r="DD140" i="33"/>
  <c r="DA140" i="33" s="1"/>
  <c r="DT130" i="33"/>
  <c r="DS128" i="33"/>
  <c r="DS109" i="33"/>
  <c r="DS97" i="33"/>
  <c r="DS90" i="33"/>
  <c r="DD90" i="33" s="1"/>
  <c r="DA90" i="33" s="1"/>
  <c r="DS83" i="33"/>
  <c r="DD83" i="33"/>
  <c r="DA83" i="33" s="1"/>
  <c r="DS76" i="33"/>
  <c r="DD76" i="33" s="1"/>
  <c r="DA76" i="33" s="1"/>
  <c r="DS48" i="33"/>
  <c r="DS206" i="33"/>
  <c r="DD206" i="33" s="1"/>
  <c r="DA206" i="33" s="1"/>
  <c r="DS46" i="33"/>
  <c r="DS386" i="33"/>
  <c r="DS379" i="33"/>
  <c r="DT379" i="33" s="1"/>
  <c r="DD379" i="33"/>
  <c r="DA379" i="33" s="1"/>
  <c r="DS372" i="33"/>
  <c r="DD372" i="33" s="1"/>
  <c r="DA372" i="33"/>
  <c r="DS362" i="33"/>
  <c r="DT362" i="33" s="1"/>
  <c r="DD362" i="33"/>
  <c r="DA362" i="33" s="1"/>
  <c r="DS314" i="33"/>
  <c r="DD314" i="33" s="1"/>
  <c r="DA314" i="33" s="1"/>
  <c r="DS267" i="33"/>
  <c r="DS203" i="33"/>
  <c r="DT175" i="33"/>
  <c r="DT142" i="33"/>
  <c r="DS123" i="33"/>
  <c r="DD123" i="33" s="1"/>
  <c r="DA123" i="33" s="1"/>
  <c r="DS116" i="33"/>
  <c r="DD116" i="33" s="1"/>
  <c r="DA116" i="33" s="1"/>
  <c r="DS53" i="33"/>
  <c r="DS391" i="33"/>
  <c r="DD391" i="33" s="1"/>
  <c r="DA391" i="33" s="1"/>
  <c r="DS135" i="33"/>
  <c r="DD135" i="33"/>
  <c r="DA135" i="33" s="1"/>
  <c r="DS355" i="33"/>
  <c r="DD355" i="33" s="1"/>
  <c r="DA355" i="33" s="1"/>
  <c r="DS339" i="33"/>
  <c r="DD339" i="33" s="1"/>
  <c r="DA339" i="33" s="1"/>
  <c r="DS323" i="33"/>
  <c r="DS281" i="33"/>
  <c r="DT281" i="33" s="1"/>
  <c r="DS274" i="33"/>
  <c r="DD274" i="33" s="1"/>
  <c r="DA274" i="33" s="1"/>
  <c r="DS269" i="33"/>
  <c r="DS257" i="33"/>
  <c r="DD257" i="33" s="1"/>
  <c r="DA257" i="33"/>
  <c r="DS250" i="33"/>
  <c r="DD250" i="33" s="1"/>
  <c r="DA250" i="33" s="1"/>
  <c r="DS243" i="33"/>
  <c r="DS233" i="33"/>
  <c r="DT233" i="33" s="1"/>
  <c r="DS226" i="33"/>
  <c r="DS221" i="33"/>
  <c r="DD221" i="33" s="1"/>
  <c r="DS219" i="33"/>
  <c r="DS212" i="33"/>
  <c r="DS184" i="33"/>
  <c r="DD184" i="33" s="1"/>
  <c r="DA184" i="33" s="1"/>
  <c r="DS170" i="33"/>
  <c r="DS163" i="33"/>
  <c r="DD163" i="33" s="1"/>
  <c r="DA163" i="33"/>
  <c r="DS156" i="33"/>
  <c r="DD156" i="33" s="1"/>
  <c r="DA156" i="33" s="1"/>
  <c r="DS144" i="33"/>
  <c r="DT144" i="33" s="1"/>
  <c r="DT132" i="33"/>
  <c r="DS125" i="33"/>
  <c r="DT125" i="33" s="1"/>
  <c r="DS113" i="33"/>
  <c r="DS106" i="33"/>
  <c r="DD106" i="33" s="1"/>
  <c r="DA106" i="33" s="1"/>
  <c r="DS99" i="33"/>
  <c r="DS92" i="33"/>
  <c r="DD92" i="33"/>
  <c r="DA92" i="33" s="1"/>
  <c r="DS80" i="33"/>
  <c r="DT80" i="33" s="1"/>
  <c r="DS68" i="33"/>
  <c r="DD68" i="33" s="1"/>
  <c r="DA68" i="33" s="1"/>
  <c r="DS198" i="33"/>
  <c r="DS166" i="33"/>
  <c r="DD166" i="33"/>
  <c r="DA166" i="33" s="1"/>
  <c r="DS102" i="33"/>
  <c r="DD102" i="33" s="1"/>
  <c r="DA102" i="33"/>
  <c r="DT151" i="33"/>
  <c r="DT39" i="33"/>
  <c r="DS351" i="33"/>
  <c r="DD351" i="33" s="1"/>
  <c r="DA351" i="33" s="1"/>
  <c r="DS319" i="33"/>
  <c r="DD319" i="33" s="1"/>
  <c r="DA319" i="33" s="1"/>
  <c r="DS287" i="33"/>
  <c r="DS255" i="33"/>
  <c r="DS191" i="33"/>
  <c r="DD191" i="33"/>
  <c r="DA191" i="33" s="1"/>
  <c r="DS159" i="33"/>
  <c r="DS95" i="33"/>
  <c r="DD95" i="33"/>
  <c r="DA95" i="33" s="1"/>
  <c r="DS63" i="33"/>
  <c r="DD63" i="33" s="1"/>
  <c r="DA63" i="33" s="1"/>
  <c r="DS397" i="33"/>
  <c r="DS378" i="33"/>
  <c r="DS371" i="33"/>
  <c r="DS361" i="33"/>
  <c r="DS352" i="33"/>
  <c r="DD352" i="33" s="1"/>
  <c r="DA352" i="33" s="1"/>
  <c r="DS345" i="33"/>
  <c r="DT345" i="33" s="1"/>
  <c r="DS336" i="33"/>
  <c r="DS329" i="33"/>
  <c r="DT329" i="33" s="1"/>
  <c r="DS320" i="33"/>
  <c r="DT320" i="33" s="1"/>
  <c r="DS313" i="33"/>
  <c r="DS292" i="33"/>
  <c r="DS290" i="33"/>
  <c r="DT290" i="33" s="1"/>
  <c r="DS285" i="33"/>
  <c r="DT285" i="33" s="1"/>
  <c r="DS283" i="33"/>
  <c r="DS276" i="33"/>
  <c r="DD276" i="33"/>
  <c r="DA276" i="33" s="1"/>
  <c r="DT271" i="33"/>
  <c r="DS266" i="33"/>
  <c r="DS259" i="33"/>
  <c r="DD259" i="33" s="1"/>
  <c r="DA259" i="33"/>
  <c r="DS235" i="33"/>
  <c r="DS228" i="33"/>
  <c r="DT225" i="33"/>
  <c r="DT223" i="33"/>
  <c r="DS216" i="33"/>
  <c r="DS202" i="33"/>
  <c r="DS181" i="33"/>
  <c r="DT174" i="33"/>
  <c r="DT162" i="33"/>
  <c r="DS160" i="33"/>
  <c r="DS141" i="33"/>
  <c r="DT134" i="33"/>
  <c r="DS129" i="33"/>
  <c r="DS122" i="33"/>
  <c r="DS115" i="33"/>
  <c r="DS108" i="33"/>
  <c r="DD108" i="33" s="1"/>
  <c r="DA108" i="33"/>
  <c r="DS96" i="33"/>
  <c r="DT96" i="33" s="1"/>
  <c r="DT84" i="33"/>
  <c r="DS77" i="33"/>
  <c r="DD77" i="33" s="1"/>
  <c r="DA77" i="33" s="1"/>
  <c r="DS44" i="33"/>
  <c r="DD44" i="33" s="1"/>
  <c r="DA44" i="33" s="1"/>
  <c r="DS318" i="33"/>
  <c r="DD318" i="33" s="1"/>
  <c r="DA318" i="33" s="1"/>
  <c r="DS286" i="33"/>
  <c r="DS190" i="33"/>
  <c r="DD190" i="33" s="1"/>
  <c r="DA190" i="33"/>
  <c r="DS158" i="33"/>
  <c r="DD158" i="33" s="1"/>
  <c r="DA158" i="33" s="1"/>
  <c r="DS94" i="33"/>
  <c r="DD94" i="33" s="1"/>
  <c r="DA94" i="33" s="1"/>
  <c r="DT50" i="33"/>
  <c r="DT62" i="33"/>
  <c r="DS36" i="33"/>
  <c r="DT38" i="33"/>
  <c r="DT42" i="33"/>
  <c r="DT47" i="33"/>
  <c r="DS30" i="33"/>
  <c r="DS31" i="33"/>
  <c r="DD31" i="33"/>
  <c r="DA31" i="33" s="1"/>
  <c r="DT275" i="33"/>
  <c r="DT171" i="33"/>
  <c r="DT43" i="33"/>
  <c r="DT139" i="33"/>
  <c r="DT387" i="33"/>
  <c r="DT51" i="33"/>
  <c r="DT347" i="33"/>
  <c r="DT538" i="33"/>
  <c r="DD374" i="33"/>
  <c r="DA374" i="33" s="1"/>
  <c r="DT514" i="33"/>
  <c r="DA382" i="33"/>
  <c r="DT448" i="33"/>
  <c r="DT66" i="33"/>
  <c r="DD66" i="33"/>
  <c r="DA66" i="33" s="1"/>
  <c r="DD381" i="33"/>
  <c r="DA381" i="33" s="1"/>
  <c r="DD234" i="33"/>
  <c r="DA234" i="33" s="1"/>
  <c r="DD495" i="33"/>
  <c r="DA495" i="33" s="1"/>
  <c r="F29" i="33"/>
  <c r="N100" i="7"/>
  <c r="N90" i="7"/>
  <c r="N80" i="7"/>
  <c r="N70" i="7"/>
  <c r="N60" i="7"/>
  <c r="Q50" i="7"/>
  <c r="DD265" i="33"/>
  <c r="DA265" i="33"/>
  <c r="DT422" i="33"/>
  <c r="DT78" i="33"/>
  <c r="DT433" i="33"/>
  <c r="DD273" i="33"/>
  <c r="DA273" i="33"/>
  <c r="DD414" i="33"/>
  <c r="DA414" i="33" s="1"/>
  <c r="DT35" i="33"/>
  <c r="DT79" i="33"/>
  <c r="DT247" i="33"/>
  <c r="DT186" i="33"/>
  <c r="DD49" i="33"/>
  <c r="DA49" i="33"/>
  <c r="DD249" i="33"/>
  <c r="DA249" i="33"/>
  <c r="DD153" i="33"/>
  <c r="DA153" i="33"/>
  <c r="DT411" i="33"/>
  <c r="DT83" i="33"/>
  <c r="DT52" i="33"/>
  <c r="DT158" i="33"/>
  <c r="DD498" i="33"/>
  <c r="DA498" i="33" s="1"/>
  <c r="DD137" i="33"/>
  <c r="DA137" i="33" s="1"/>
  <c r="DT373" i="33"/>
  <c r="DT73" i="33"/>
  <c r="DD73" i="33"/>
  <c r="DA73" i="33" s="1"/>
  <c r="DT121" i="33"/>
  <c r="DD121" i="33"/>
  <c r="DA121" i="33" s="1"/>
  <c r="DD201" i="33"/>
  <c r="DA201" i="33" s="1"/>
  <c r="DD41" i="33"/>
  <c r="DA41" i="33" s="1"/>
  <c r="DD34" i="33"/>
  <c r="DA34" i="33" s="1"/>
  <c r="DT60" i="33"/>
  <c r="DT227" i="33"/>
  <c r="DT70" i="33"/>
  <c r="DT472" i="33"/>
  <c r="DD105" i="33"/>
  <c r="DA105" i="33" s="1"/>
  <c r="DT519" i="33"/>
  <c r="DT300" i="33"/>
  <c r="DA300" i="33"/>
  <c r="DT418" i="33"/>
  <c r="DD418" i="33"/>
  <c r="DA418" i="33"/>
  <c r="DD324" i="33"/>
  <c r="DA324" i="33" s="1"/>
  <c r="DT349" i="33"/>
  <c r="DD349" i="33"/>
  <c r="DA349" i="33" s="1"/>
  <c r="DT351" i="33"/>
  <c r="DT426" i="33"/>
  <c r="DD426" i="33"/>
  <c r="DA426" i="33" s="1"/>
  <c r="DT69" i="33"/>
  <c r="DD69" i="33"/>
  <c r="DA69" i="33" s="1"/>
  <c r="DD357" i="33"/>
  <c r="DA357" i="33" s="1"/>
  <c r="DT357" i="33"/>
  <c r="DT182" i="33"/>
  <c r="DT45" i="33"/>
  <c r="DD45" i="33"/>
  <c r="DA45" i="33" s="1"/>
  <c r="DT165" i="33"/>
  <c r="DD165" i="33"/>
  <c r="DA165" i="33" s="1"/>
  <c r="DT261" i="33"/>
  <c r="DD261" i="33"/>
  <c r="DA261" i="33"/>
  <c r="DD32" i="33"/>
  <c r="DA32" i="33" s="1"/>
  <c r="DT136" i="33"/>
  <c r="DT248" i="33"/>
  <c r="DA248" i="33"/>
  <c r="DT301" i="33"/>
  <c r="DD301" i="33"/>
  <c r="DA301" i="33" s="1"/>
  <c r="DT430" i="33"/>
  <c r="DT67" i="33"/>
  <c r="DT106" i="33"/>
  <c r="DT102" i="33"/>
  <c r="DT431" i="33"/>
  <c r="DT252" i="33"/>
  <c r="DD252" i="33"/>
  <c r="DA252" i="33" s="1"/>
  <c r="DT61" i="33"/>
  <c r="DD61" i="33"/>
  <c r="DA61" i="33"/>
  <c r="DT173" i="33"/>
  <c r="DD173" i="33"/>
  <c r="DA173" i="33" s="1"/>
  <c r="DD341" i="33"/>
  <c r="DA341" i="33"/>
  <c r="DT341" i="33"/>
  <c r="DT421" i="33"/>
  <c r="DD421" i="33"/>
  <c r="DA421" i="33"/>
  <c r="DA40" i="33"/>
  <c r="DD152" i="33"/>
  <c r="DA152" i="33" s="1"/>
  <c r="DD256" i="33"/>
  <c r="DA256" i="33" s="1"/>
  <c r="DT429" i="33"/>
  <c r="DA429" i="33"/>
  <c r="DD168" i="33"/>
  <c r="DA168" i="33" s="1"/>
  <c r="DT489" i="33"/>
  <c r="DT415" i="33"/>
  <c r="DT460" i="33"/>
  <c r="DT85" i="33"/>
  <c r="DA85" i="33"/>
  <c r="DT197" i="33"/>
  <c r="DD434" i="33"/>
  <c r="DA434" i="33" s="1"/>
  <c r="DT434" i="33"/>
  <c r="DD437" i="33"/>
  <c r="DA437" i="33" s="1"/>
  <c r="DT493" i="33"/>
  <c r="DT135" i="33"/>
  <c r="DT257" i="33"/>
  <c r="DT260" i="33"/>
  <c r="DD502" i="33"/>
  <c r="DA502" i="33" s="1"/>
  <c r="DT101" i="33"/>
  <c r="DD101" i="33"/>
  <c r="DA101" i="33" s="1"/>
  <c r="DT205" i="33"/>
  <c r="DD205" i="33"/>
  <c r="DA205" i="33"/>
  <c r="DT364" i="33"/>
  <c r="DD364" i="33"/>
  <c r="DA364" i="33" s="1"/>
  <c r="DD72" i="33"/>
  <c r="DA72" i="33" s="1"/>
  <c r="DD192" i="33"/>
  <c r="DA192" i="33" s="1"/>
  <c r="DD474" i="33"/>
  <c r="DA474" i="33" s="1"/>
  <c r="DT474" i="33"/>
  <c r="DT304" i="33"/>
  <c r="DD304" i="33"/>
  <c r="DA304" i="33" s="1"/>
  <c r="DT501" i="33"/>
  <c r="DA501" i="33"/>
  <c r="DD481" i="33"/>
  <c r="DA481" i="33" s="1"/>
  <c r="DT451" i="33"/>
  <c r="DT196" i="33"/>
  <c r="DD196" i="33"/>
  <c r="DA196" i="33" s="1"/>
  <c r="DT117" i="33"/>
  <c r="DD117" i="33"/>
  <c r="DA117" i="33" s="1"/>
  <c r="DT237" i="33"/>
  <c r="DD237" i="33"/>
  <c r="DA237" i="33"/>
  <c r="DD88" i="33"/>
  <c r="DA88" i="33" s="1"/>
  <c r="DT200" i="33"/>
  <c r="DT309" i="33"/>
  <c r="DD309" i="33"/>
  <c r="DA309" i="33" s="1"/>
  <c r="DD518" i="33"/>
  <c r="DA518" i="33" s="1"/>
  <c r="DT94" i="33"/>
  <c r="DT391" i="33"/>
  <c r="DT365" i="33"/>
  <c r="DT76" i="33"/>
  <c r="DT204" i="33"/>
  <c r="DD204" i="33"/>
  <c r="DA204" i="33" s="1"/>
  <c r="DT348" i="33"/>
  <c r="DD348" i="33"/>
  <c r="DA348" i="33"/>
  <c r="DD245" i="33"/>
  <c r="DA245" i="33" s="1"/>
  <c r="DT104" i="33"/>
  <c r="DA104" i="33"/>
  <c r="DD208" i="33"/>
  <c r="DA208" i="33" s="1"/>
  <c r="DD189" i="33"/>
  <c r="DA189" i="33" s="1"/>
  <c r="DD56" i="33"/>
  <c r="DA56" i="33" s="1"/>
  <c r="DT264" i="33"/>
  <c r="DT127" i="33"/>
  <c r="DT195" i="33"/>
  <c r="DT259" i="33"/>
  <c r="DT63" i="33"/>
  <c r="DT164" i="33"/>
  <c r="DT178" i="33"/>
  <c r="DT375" i="33"/>
  <c r="DT476" i="33"/>
  <c r="DD37" i="33"/>
  <c r="DA37" i="33" s="1"/>
  <c r="DT149" i="33"/>
  <c r="DD149" i="33"/>
  <c r="DA149" i="33" s="1"/>
  <c r="DT253" i="33"/>
  <c r="DD253" i="33"/>
  <c r="DA253" i="33" s="1"/>
  <c r="DT120" i="33"/>
  <c r="DA120" i="33"/>
  <c r="DD240" i="33"/>
  <c r="DA240" i="33" s="1"/>
  <c r="DD288" i="33"/>
  <c r="DA288" i="33" s="1"/>
  <c r="DT288" i="33"/>
  <c r="DD96" i="33"/>
  <c r="DA96" i="33" s="1"/>
  <c r="DT277" i="33"/>
  <c r="DT321" i="33"/>
  <c r="DD321" i="33"/>
  <c r="DA321" i="33"/>
  <c r="DD361" i="33"/>
  <c r="DA361" i="33"/>
  <c r="DT361" i="33"/>
  <c r="DT161" i="33"/>
  <c r="DA161" i="33"/>
  <c r="DD496" i="33"/>
  <c r="DA496" i="33" s="1"/>
  <c r="DT506" i="33"/>
  <c r="DT108" i="33"/>
  <c r="DT276" i="33"/>
  <c r="DD224" i="33"/>
  <c r="DA224" i="33" s="1"/>
  <c r="DT442" i="33"/>
  <c r="DT533" i="33"/>
  <c r="DT445" i="33"/>
  <c r="DD527" i="33"/>
  <c r="DA527" i="33" s="1"/>
  <c r="DD378" i="33"/>
  <c r="DA378" i="33" s="1"/>
  <c r="DT378" i="33"/>
  <c r="DT318" i="33"/>
  <c r="DD144" i="33"/>
  <c r="DA144" i="33" s="1"/>
  <c r="DT250" i="33"/>
  <c r="DT48" i="33"/>
  <c r="DD48" i="33"/>
  <c r="DA48" i="33" s="1"/>
  <c r="DT128" i="33"/>
  <c r="DD128" i="33"/>
  <c r="DA128" i="33" s="1"/>
  <c r="DT229" i="33"/>
  <c r="DD229" i="33"/>
  <c r="DA229" i="33"/>
  <c r="DD337" i="33"/>
  <c r="DA337" i="33" s="1"/>
  <c r="DT145" i="33"/>
  <c r="DT206" i="33"/>
  <c r="DD432" i="33"/>
  <c r="DA432" i="33" s="1"/>
  <c r="DT432" i="33"/>
  <c r="DD544" i="33"/>
  <c r="DA544" i="33" s="1"/>
  <c r="DT449" i="33"/>
  <c r="DD540" i="33"/>
  <c r="DA540" i="33" s="1"/>
  <c r="DT218" i="33"/>
  <c r="DT138" i="33"/>
  <c r="DD462" i="33"/>
  <c r="DA462" i="33"/>
  <c r="DT549" i="33"/>
  <c r="DA549" i="33"/>
  <c r="DT376" i="33"/>
  <c r="DA376" i="33"/>
  <c r="DT488" i="33"/>
  <c r="DD216" i="33"/>
  <c r="DA216" i="33" s="1"/>
  <c r="DT216" i="33"/>
  <c r="DT81" i="33"/>
  <c r="DD81" i="33"/>
  <c r="DA81" i="33" s="1"/>
  <c r="DD125" i="33"/>
  <c r="DA125" i="33" s="1"/>
  <c r="DT355" i="33"/>
  <c r="DT284" i="33"/>
  <c r="DA284" i="33"/>
  <c r="DD80" i="33"/>
  <c r="DA80" i="33" s="1"/>
  <c r="DT116" i="33"/>
  <c r="DT372" i="33"/>
  <c r="DT109" i="33"/>
  <c r="DD109" i="33"/>
  <c r="DA109" i="33" s="1"/>
  <c r="DT166" i="33"/>
  <c r="DD291" i="33"/>
  <c r="DA291" i="33" s="1"/>
  <c r="DT291" i="33"/>
  <c r="DT93" i="33"/>
  <c r="DA93" i="33"/>
  <c r="DT190" i="33"/>
  <c r="DT369" i="33"/>
  <c r="DD541" i="33"/>
  <c r="DA541" i="33" s="1"/>
  <c r="DT408" i="33"/>
  <c r="DT356" i="33"/>
  <c r="DD356" i="33"/>
  <c r="DA356" i="33" s="1"/>
  <c r="DT420" i="33"/>
  <c r="DT163" i="33"/>
  <c r="DT187" i="33"/>
  <c r="DT44" i="33"/>
  <c r="DD285" i="33"/>
  <c r="DA285" i="33" s="1"/>
  <c r="DT336" i="33"/>
  <c r="DD336" i="33"/>
  <c r="DA336" i="33" s="1"/>
  <c r="DT383" i="33"/>
  <c r="DT53" i="33"/>
  <c r="DD53" i="33"/>
  <c r="DA53" i="33" s="1"/>
  <c r="DT314" i="33"/>
  <c r="DT180" i="33"/>
  <c r="DD344" i="33"/>
  <c r="DA344" i="33" s="1"/>
  <c r="DT112" i="33"/>
  <c r="DD112" i="33"/>
  <c r="DA112" i="33" s="1"/>
  <c r="DT150" i="33"/>
  <c r="DT213" i="33"/>
  <c r="DD213" i="33"/>
  <c r="DA213" i="33" s="1"/>
  <c r="DT296" i="33"/>
  <c r="DD296" i="33"/>
  <c r="DA296" i="33" s="1"/>
  <c r="DT154" i="33"/>
  <c r="DT103" i="33"/>
  <c r="DT119" i="33"/>
  <c r="DT461" i="33"/>
  <c r="DT241" i="33"/>
  <c r="DT452" i="33"/>
  <c r="DT504" i="33"/>
  <c r="DT417" i="33"/>
  <c r="DD417" i="33"/>
  <c r="DA417" i="33" s="1"/>
  <c r="DD141" i="33"/>
  <c r="DA141" i="33" s="1"/>
  <c r="DT141" i="33"/>
  <c r="DT97" i="33"/>
  <c r="DD97" i="33"/>
  <c r="DA97" i="33" s="1"/>
  <c r="DT328" i="33"/>
  <c r="DD328" i="33"/>
  <c r="DA328" i="33"/>
  <c r="DD458" i="33"/>
  <c r="DA458" i="33" s="1"/>
  <c r="DT458" i="33"/>
  <c r="DT509" i="33"/>
  <c r="DA509" i="33"/>
  <c r="DT221" i="33"/>
  <c r="DA221" i="33"/>
  <c r="DT157" i="33"/>
  <c r="DD157" i="33"/>
  <c r="DA157" i="33"/>
  <c r="DT308" i="33"/>
  <c r="DD308" i="33"/>
  <c r="DA308" i="33"/>
  <c r="DD510" i="33"/>
  <c r="DA510" i="33" s="1"/>
  <c r="DT140" i="33"/>
  <c r="DD529" i="33"/>
  <c r="DA529" i="33" s="1"/>
  <c r="DT529" i="33"/>
  <c r="DD516" i="33"/>
  <c r="DA516" i="33" s="1"/>
  <c r="DD469" i="33"/>
  <c r="DA469" i="33" s="1"/>
  <c r="DT469" i="33"/>
  <c r="DA490" i="33"/>
  <c r="DD320" i="33"/>
  <c r="DA320" i="33" s="1"/>
  <c r="DT217" i="33"/>
  <c r="DD217" i="33"/>
  <c r="DA217" i="33"/>
  <c r="DD280" i="33"/>
  <c r="DA280" i="33" s="1"/>
  <c r="DT537" i="33"/>
  <c r="DT370" i="33"/>
  <c r="DA370" i="33"/>
  <c r="DT269" i="33"/>
  <c r="DD269" i="33"/>
  <c r="DA269" i="33" s="1"/>
  <c r="DT292" i="33"/>
  <c r="DD292" i="33"/>
  <c r="DA292" i="33" s="1"/>
  <c r="DT312" i="33"/>
  <c r="DT353" i="33"/>
  <c r="DD353" i="33"/>
  <c r="DA353" i="33"/>
  <c r="DT232" i="33"/>
  <c r="DD232" i="33"/>
  <c r="DA232" i="33" s="1"/>
  <c r="DT167" i="33"/>
  <c r="DD521" i="33"/>
  <c r="DA521" i="33" s="1"/>
  <c r="DT521" i="33"/>
  <c r="DT305" i="33"/>
  <c r="DT468" i="33"/>
  <c r="DT363" i="33"/>
  <c r="DD363" i="33"/>
  <c r="DA363" i="33"/>
  <c r="DT410" i="33"/>
  <c r="DD410" i="33"/>
  <c r="DA410" i="33"/>
  <c r="DT268" i="33"/>
  <c r="DT492" i="33"/>
  <c r="DD532" i="33"/>
  <c r="DA532" i="33" s="1"/>
  <c r="DT532" i="33"/>
  <c r="DT425" i="33"/>
  <c r="DT473" i="33"/>
  <c r="DT181" i="33"/>
  <c r="DD181" i="33"/>
  <c r="DA181" i="33" s="1"/>
  <c r="DT68" i="33"/>
  <c r="DA542" i="33"/>
  <c r="DT531" i="33"/>
  <c r="DT129" i="33"/>
  <c r="DD129" i="33"/>
  <c r="DA129" i="33" s="1"/>
  <c r="DD345" i="33"/>
  <c r="DA345" i="33" s="1"/>
  <c r="DT191" i="33"/>
  <c r="DT113" i="33"/>
  <c r="DD113" i="33"/>
  <c r="DA113" i="33" s="1"/>
  <c r="DT274" i="33"/>
  <c r="DT339" i="33"/>
  <c r="DT92" i="33"/>
  <c r="DT95" i="33"/>
  <c r="DT319" i="33"/>
  <c r="DT360" i="33"/>
  <c r="DD360" i="33"/>
  <c r="DA360" i="33" s="1"/>
  <c r="DT333" i="33"/>
  <c r="DD333" i="33"/>
  <c r="DA333" i="33" s="1"/>
  <c r="DD446" i="33"/>
  <c r="DA446" i="33" s="1"/>
  <c r="DT446" i="33"/>
  <c r="DT199" i="33"/>
  <c r="DT470" i="33"/>
  <c r="DA470" i="33"/>
  <c r="DD517" i="33"/>
  <c r="DA517" i="33" s="1"/>
  <c r="DT517" i="33"/>
  <c r="DT303" i="33"/>
  <c r="DT440" i="33"/>
  <c r="DT536" i="33"/>
  <c r="DT487" i="33"/>
  <c r="DT239" i="33"/>
  <c r="DT317" i="33"/>
  <c r="DD317" i="33"/>
  <c r="DA317" i="33"/>
  <c r="DD402" i="33"/>
  <c r="DA402" i="33" s="1"/>
  <c r="DT545" i="33"/>
  <c r="DT31" i="33"/>
  <c r="DT258" i="33"/>
  <c r="DD258" i="33"/>
  <c r="DA258" i="33" s="1"/>
  <c r="DT230" i="33"/>
  <c r="DD230" i="33"/>
  <c r="DA230" i="33" s="1"/>
  <c r="DD507" i="33"/>
  <c r="DA507" i="33" s="1"/>
  <c r="DT262" i="33"/>
  <c r="DD262" i="33"/>
  <c r="DA262" i="33"/>
  <c r="DT222" i="33"/>
  <c r="DD222" i="33"/>
  <c r="DA222" i="33" s="1"/>
  <c r="DT238" i="33"/>
  <c r="DD238" i="33"/>
  <c r="DA238" i="33" s="1"/>
  <c r="DT346" i="33"/>
  <c r="DD346" i="33"/>
  <c r="DA346" i="33"/>
  <c r="DD298" i="33"/>
  <c r="DA298" i="33" s="1"/>
  <c r="DT210" i="33"/>
  <c r="DT254" i="33"/>
  <c r="DD254" i="33"/>
  <c r="DA254" i="33"/>
  <c r="DT270" i="33"/>
  <c r="DD270" i="33"/>
  <c r="DA270" i="33" s="1"/>
  <c r="DT350" i="33"/>
  <c r="DD350" i="33"/>
  <c r="DA350" i="33"/>
  <c r="DD435" i="33"/>
  <c r="DA435" i="33" s="1"/>
  <c r="DT246" i="33"/>
  <c r="DT310" i="33"/>
  <c r="DD310" i="33"/>
  <c r="DA310" i="33" s="1"/>
  <c r="DD290" i="33"/>
  <c r="DA290" i="33" s="1"/>
  <c r="DT322" i="33"/>
  <c r="DD322" i="33"/>
  <c r="DA322" i="33" s="1"/>
  <c r="DT354" i="33"/>
  <c r="DT423" i="33"/>
  <c r="DD423" i="33"/>
  <c r="DA423" i="33" s="1"/>
  <c r="DT214" i="33"/>
  <c r="DD214" i="33"/>
  <c r="DA214" i="33" s="1"/>
  <c r="DT366" i="33"/>
  <c r="DD366" i="33"/>
  <c r="DA366" i="33"/>
  <c r="DT306" i="33"/>
  <c r="DD306" i="33"/>
  <c r="DA306" i="33" s="1"/>
  <c r="DT226" i="33"/>
  <c r="DD226" i="33"/>
  <c r="DA226" i="33" s="1"/>
  <c r="DT358" i="33"/>
  <c r="DD358" i="33"/>
  <c r="DA358" i="33" s="1"/>
  <c r="DT455" i="33"/>
  <c r="DD455" i="33"/>
  <c r="DA455" i="33" s="1"/>
  <c r="DT467" i="33"/>
  <c r="DT427" i="33"/>
  <c r="DD427" i="33"/>
  <c r="DA427" i="33" s="1"/>
  <c r="DT334" i="33"/>
  <c r="DA334" i="33"/>
  <c r="DT499" i="33"/>
  <c r="DD499" i="33"/>
  <c r="DA499" i="33"/>
  <c r="DD459" i="33"/>
  <c r="DA459" i="33" s="1"/>
  <c r="DT302" i="33"/>
  <c r="DD302" i="33"/>
  <c r="DA302" i="33" s="1"/>
  <c r="DT278" i="33"/>
  <c r="DD278" i="33"/>
  <c r="DA278" i="33"/>
  <c r="DT491" i="33"/>
  <c r="DT475" i="33"/>
  <c r="D7" i="79"/>
  <c r="F30" i="33"/>
  <c r="G125" i="51"/>
  <c r="B57" i="13"/>
  <c r="C10" i="16"/>
  <c r="AP19" i="15"/>
  <c r="Q19" i="15"/>
  <c r="K48" i="8"/>
  <c r="Y26" i="2"/>
  <c r="L47" i="2"/>
  <c r="A189" i="51" a="1"/>
  <c r="A189" i="51"/>
  <c r="E25" i="15"/>
  <c r="H136" i="51" s="1"/>
  <c r="E24" i="15"/>
  <c r="G136" i="51"/>
  <c r="F39" i="8"/>
  <c r="K39" i="8"/>
  <c r="CV29" i="33"/>
  <c r="F31" i="33"/>
  <c r="F32" i="33"/>
  <c r="F33" i="33"/>
  <c r="F34" i="33"/>
  <c r="F35" i="33"/>
  <c r="F36" i="33"/>
  <c r="F37" i="33"/>
  <c r="F38" i="33"/>
  <c r="U92" i="4"/>
  <c r="F149" i="10"/>
  <c r="I149" i="10"/>
  <c r="J149" i="10" s="1"/>
  <c r="T149" i="10"/>
  <c r="X149" i="10"/>
  <c r="Y149" i="10" s="1"/>
  <c r="Z149" i="10"/>
  <c r="AA149" i="10" s="1"/>
  <c r="N96" i="12"/>
  <c r="S96" i="12"/>
  <c r="W96" i="12"/>
  <c r="Z96" i="12"/>
  <c r="Y96" i="12" s="1"/>
  <c r="N97" i="12"/>
  <c r="S97" i="12"/>
  <c r="W97" i="12"/>
  <c r="Z97" i="12"/>
  <c r="Y97" i="12" s="1"/>
  <c r="N98" i="12"/>
  <c r="S98" i="12"/>
  <c r="W98" i="12"/>
  <c r="Z98" i="12"/>
  <c r="Y98" i="12"/>
  <c r="N99" i="12"/>
  <c r="S99" i="12"/>
  <c r="W99" i="12"/>
  <c r="Z99" i="12"/>
  <c r="Y99" i="12" s="1"/>
  <c r="N100" i="12"/>
  <c r="S100" i="12"/>
  <c r="W100" i="12"/>
  <c r="Z100" i="12"/>
  <c r="Y100" i="12" s="1"/>
  <c r="N101" i="12"/>
  <c r="S101" i="12"/>
  <c r="W101" i="12"/>
  <c r="Z101" i="12"/>
  <c r="Y101" i="12" s="1"/>
  <c r="N102" i="12"/>
  <c r="S102" i="12"/>
  <c r="W102" i="12"/>
  <c r="Z102" i="12"/>
  <c r="Y102" i="12"/>
  <c r="Y24" i="12"/>
  <c r="W24" i="12"/>
  <c r="N24" i="12"/>
  <c r="B24" i="12"/>
  <c r="Y23" i="12"/>
  <c r="W23" i="12"/>
  <c r="N23" i="12"/>
  <c r="B23" i="12"/>
  <c r="Y61" i="12"/>
  <c r="W61" i="12"/>
  <c r="N61" i="12"/>
  <c r="Y60" i="12"/>
  <c r="W60" i="12"/>
  <c r="N60" i="12"/>
  <c r="Y59" i="12"/>
  <c r="W59" i="12"/>
  <c r="N59" i="12"/>
  <c r="Y58" i="12"/>
  <c r="W58" i="12"/>
  <c r="N58" i="12"/>
  <c r="Y57" i="12"/>
  <c r="W57" i="12"/>
  <c r="N57" i="12"/>
  <c r="Y56" i="12"/>
  <c r="W56" i="12"/>
  <c r="N56" i="12"/>
  <c r="Y55" i="12"/>
  <c r="W55" i="12"/>
  <c r="N55" i="12"/>
  <c r="Y54" i="12"/>
  <c r="W54" i="12"/>
  <c r="N54" i="12"/>
  <c r="Y53" i="12"/>
  <c r="W53" i="12"/>
  <c r="N53" i="12"/>
  <c r="Y52" i="12"/>
  <c r="W52" i="12"/>
  <c r="N52" i="12"/>
  <c r="Y51" i="12"/>
  <c r="W51" i="12"/>
  <c r="N51" i="12"/>
  <c r="Y68" i="12"/>
  <c r="W68" i="12"/>
  <c r="N68" i="12"/>
  <c r="Y67" i="12"/>
  <c r="W67" i="12"/>
  <c r="N67" i="12"/>
  <c r="Y66" i="12"/>
  <c r="W66" i="12"/>
  <c r="N66" i="12"/>
  <c r="Y65" i="12"/>
  <c r="W65" i="12"/>
  <c r="N65" i="12"/>
  <c r="Y64" i="12"/>
  <c r="W64" i="12"/>
  <c r="N64" i="12"/>
  <c r="Y63" i="12"/>
  <c r="W63" i="12"/>
  <c r="N63" i="12"/>
  <c r="Y62" i="12"/>
  <c r="W62" i="12"/>
  <c r="N62" i="12"/>
  <c r="Y50" i="12"/>
  <c r="W50" i="12"/>
  <c r="N50" i="12"/>
  <c r="Y49" i="12"/>
  <c r="W49" i="12"/>
  <c r="N49" i="12"/>
  <c r="Y69" i="12"/>
  <c r="W69" i="12"/>
  <c r="N69" i="12"/>
  <c r="Y48" i="12"/>
  <c r="W48" i="12"/>
  <c r="N48" i="12"/>
  <c r="Y47" i="12"/>
  <c r="W47" i="12"/>
  <c r="N47" i="12"/>
  <c r="Y46" i="12"/>
  <c r="W46" i="12"/>
  <c r="N46" i="12"/>
  <c r="Y45" i="12"/>
  <c r="W45" i="12"/>
  <c r="N45" i="12"/>
  <c r="Y42" i="12"/>
  <c r="W42" i="12"/>
  <c r="N42" i="12"/>
  <c r="Y41" i="12"/>
  <c r="W41" i="12"/>
  <c r="N41" i="12"/>
  <c r="Y40" i="12"/>
  <c r="W40" i="12"/>
  <c r="N40" i="12"/>
  <c r="B25" i="12"/>
  <c r="N25" i="12"/>
  <c r="W25" i="12"/>
  <c r="Y25" i="12"/>
  <c r="B26" i="12"/>
  <c r="N26" i="12"/>
  <c r="W26" i="12"/>
  <c r="Y26" i="12"/>
  <c r="B27" i="12"/>
  <c r="N27" i="12"/>
  <c r="W27" i="12"/>
  <c r="Y27" i="12"/>
  <c r="B28" i="12"/>
  <c r="N28" i="12"/>
  <c r="W28" i="12"/>
  <c r="Y28" i="12"/>
  <c r="N43" i="12"/>
  <c r="W43" i="12"/>
  <c r="Y43" i="12"/>
  <c r="N44" i="12"/>
  <c r="W44" i="12"/>
  <c r="Y44" i="12"/>
  <c r="N70" i="12"/>
  <c r="W70" i="12"/>
  <c r="Y70" i="12"/>
  <c r="B87" i="12"/>
  <c r="CV30" i="33"/>
  <c r="CV31" i="33"/>
  <c r="CV32" i="33"/>
  <c r="CV33" i="33"/>
  <c r="CV34" i="33"/>
  <c r="CV35" i="33"/>
  <c r="CV36" i="33"/>
  <c r="CV37" i="33"/>
  <c r="CV38" i="33"/>
  <c r="CV39" i="33"/>
  <c r="CV40" i="33"/>
  <c r="CV41" i="33"/>
  <c r="CV42" i="33"/>
  <c r="CV43" i="33"/>
  <c r="CV44" i="33"/>
  <c r="CV45" i="33"/>
  <c r="CV46" i="33"/>
  <c r="CV47" i="33"/>
  <c r="CV48" i="33"/>
  <c r="CV49" i="33"/>
  <c r="CV50" i="33"/>
  <c r="CV51" i="33"/>
  <c r="CV52" i="33"/>
  <c r="CV53" i="33"/>
  <c r="CV54" i="33"/>
  <c r="CV55" i="33"/>
  <c r="CV56" i="33"/>
  <c r="CV57" i="33"/>
  <c r="CV58" i="33"/>
  <c r="CV59" i="33"/>
  <c r="CV60" i="33"/>
  <c r="CV61" i="33"/>
  <c r="CV62" i="33"/>
  <c r="CV63" i="33"/>
  <c r="CV64" i="33"/>
  <c r="CV65" i="33"/>
  <c r="CV66" i="33"/>
  <c r="CV67" i="33"/>
  <c r="CV68" i="33"/>
  <c r="CV69" i="33"/>
  <c r="CV70" i="33"/>
  <c r="CV71" i="33"/>
  <c r="CV72" i="33"/>
  <c r="CV73" i="33"/>
  <c r="CV74" i="33"/>
  <c r="CV75" i="33"/>
  <c r="CV76" i="33"/>
  <c r="CV77" i="33"/>
  <c r="CV78" i="33"/>
  <c r="CV79" i="33"/>
  <c r="CV80" i="33"/>
  <c r="CV81" i="33"/>
  <c r="CV82" i="33"/>
  <c r="CV83" i="33"/>
  <c r="CV84" i="33"/>
  <c r="CV85" i="33"/>
  <c r="CV86" i="33"/>
  <c r="CV87" i="33"/>
  <c r="CV88" i="33"/>
  <c r="CV89" i="33"/>
  <c r="CV90" i="33"/>
  <c r="CV91" i="33"/>
  <c r="CV92" i="33"/>
  <c r="CV93" i="33"/>
  <c r="CV94" i="33"/>
  <c r="CV95" i="33"/>
  <c r="CV96" i="33"/>
  <c r="CV97" i="33"/>
  <c r="CV98" i="33"/>
  <c r="CV99" i="33"/>
  <c r="CV100" i="33"/>
  <c r="CV101" i="33"/>
  <c r="CV102" i="33"/>
  <c r="CV103" i="33"/>
  <c r="CV104" i="33"/>
  <c r="CV105" i="33"/>
  <c r="CV106" i="33"/>
  <c r="CV107" i="33"/>
  <c r="CV108" i="33"/>
  <c r="CV109" i="33"/>
  <c r="CV110" i="33"/>
  <c r="CV111" i="33"/>
  <c r="CV112" i="33"/>
  <c r="CV113" i="33"/>
  <c r="CV114" i="33"/>
  <c r="CV115" i="33"/>
  <c r="CV116" i="33"/>
  <c r="CV117" i="33"/>
  <c r="CV118" i="33"/>
  <c r="CV119" i="33"/>
  <c r="CV120" i="33"/>
  <c r="CV121" i="33"/>
  <c r="CV122" i="33"/>
  <c r="CV123" i="33"/>
  <c r="CV124" i="33"/>
  <c r="CV125" i="33"/>
  <c r="CV126" i="33"/>
  <c r="CV127" i="33"/>
  <c r="CV128" i="33"/>
  <c r="CV129" i="33"/>
  <c r="CV130" i="33"/>
  <c r="CV131" i="33"/>
  <c r="CV132" i="33"/>
  <c r="CV133" i="33"/>
  <c r="CV134" i="33"/>
  <c r="CV135" i="33"/>
  <c r="CV136" i="33"/>
  <c r="CV137" i="33"/>
  <c r="CV138" i="33"/>
  <c r="CV139" i="33"/>
  <c r="CV140" i="33"/>
  <c r="CV141" i="33"/>
  <c r="CV142" i="33"/>
  <c r="CV143" i="33"/>
  <c r="CV144" i="33"/>
  <c r="CV145" i="33"/>
  <c r="CV146" i="33"/>
  <c r="CV147" i="33"/>
  <c r="CV148" i="33"/>
  <c r="CV149" i="33"/>
  <c r="CV150" i="33"/>
  <c r="CV151" i="33"/>
  <c r="CV152" i="33"/>
  <c r="CV153" i="33"/>
  <c r="CV154" i="33"/>
  <c r="CV155" i="33"/>
  <c r="CV156" i="33"/>
  <c r="CV157" i="33"/>
  <c r="CV158" i="33"/>
  <c r="CV159" i="33"/>
  <c r="CV160" i="33"/>
  <c r="CV161" i="33"/>
  <c r="CV162" i="33"/>
  <c r="CV163" i="33"/>
  <c r="CV164" i="33"/>
  <c r="CV165" i="33"/>
  <c r="CV166" i="33"/>
  <c r="CV167" i="33"/>
  <c r="CV168" i="33"/>
  <c r="CV169" i="33"/>
  <c r="CV170" i="33"/>
  <c r="CV171" i="33"/>
  <c r="CV172" i="33"/>
  <c r="CV173" i="33"/>
  <c r="CV174" i="33"/>
  <c r="CV175" i="33"/>
  <c r="CV176" i="33"/>
  <c r="CV177" i="33"/>
  <c r="CV178" i="33"/>
  <c r="CV179" i="33"/>
  <c r="CV180" i="33"/>
  <c r="CV181" i="33"/>
  <c r="CV182" i="33"/>
  <c r="CV183" i="33"/>
  <c r="CV184" i="33"/>
  <c r="CV185" i="33"/>
  <c r="CV186" i="33"/>
  <c r="CV187" i="33"/>
  <c r="CV188" i="33"/>
  <c r="CV189" i="33"/>
  <c r="CV190" i="33"/>
  <c r="CV191" i="33"/>
  <c r="CV192" i="33"/>
  <c r="CV193" i="33"/>
  <c r="CV194" i="33"/>
  <c r="CV195" i="33"/>
  <c r="CV196" i="33"/>
  <c r="CV197" i="33"/>
  <c r="CV198" i="33"/>
  <c r="CV199" i="33"/>
  <c r="CV200" i="33"/>
  <c r="CV201" i="33"/>
  <c r="CV202" i="33"/>
  <c r="CV203" i="33"/>
  <c r="CV204" i="33"/>
  <c r="CV205" i="33"/>
  <c r="CV206" i="33"/>
  <c r="CV207" i="33"/>
  <c r="CV208" i="33"/>
  <c r="CV209" i="33"/>
  <c r="CV210" i="33"/>
  <c r="CV211" i="33"/>
  <c r="CV212" i="33"/>
  <c r="CV213" i="33"/>
  <c r="CV214" i="33"/>
  <c r="CV215" i="33"/>
  <c r="CV216" i="33"/>
  <c r="CV217" i="33"/>
  <c r="CV218" i="33"/>
  <c r="CV219" i="33"/>
  <c r="CV220" i="33"/>
  <c r="CV221" i="33"/>
  <c r="CV222" i="33"/>
  <c r="CV223" i="33"/>
  <c r="CV224" i="33"/>
  <c r="CV225" i="33"/>
  <c r="CV226" i="33"/>
  <c r="CV227" i="33"/>
  <c r="CV228" i="33"/>
  <c r="CV229" i="33"/>
  <c r="CV230" i="33"/>
  <c r="CV231" i="33"/>
  <c r="CV232" i="33"/>
  <c r="CV233" i="33"/>
  <c r="CV234" i="33"/>
  <c r="CV235" i="33"/>
  <c r="CV236" i="33"/>
  <c r="CV237" i="33"/>
  <c r="CV238" i="33"/>
  <c r="CV239" i="33"/>
  <c r="CV240" i="33"/>
  <c r="CV241" i="33"/>
  <c r="CV242" i="33"/>
  <c r="CV243" i="33"/>
  <c r="CV244" i="33"/>
  <c r="CV245" i="33"/>
  <c r="CV246" i="33"/>
  <c r="CV247" i="33"/>
  <c r="CV248" i="33"/>
  <c r="CV249" i="33"/>
  <c r="CV250" i="33"/>
  <c r="CV251" i="33"/>
  <c r="CV252" i="33"/>
  <c r="CV253" i="33"/>
  <c r="CV254" i="33"/>
  <c r="CV255" i="33"/>
  <c r="CV256" i="33"/>
  <c r="CV257" i="33"/>
  <c r="CV258" i="33"/>
  <c r="CV259" i="33"/>
  <c r="CV260" i="33"/>
  <c r="CV261" i="33"/>
  <c r="CV262" i="33"/>
  <c r="CV263" i="33"/>
  <c r="CV264" i="33"/>
  <c r="CV265" i="33"/>
  <c r="CV266" i="33"/>
  <c r="CV267" i="33"/>
  <c r="CV268" i="33"/>
  <c r="CV269" i="33"/>
  <c r="CV270" i="33"/>
  <c r="CV271" i="33"/>
  <c r="CV272" i="33"/>
  <c r="CV273" i="33"/>
  <c r="CV274" i="33"/>
  <c r="CV275" i="33"/>
  <c r="CV276" i="33"/>
  <c r="CV277" i="33"/>
  <c r="CV278" i="33"/>
  <c r="CV279" i="33"/>
  <c r="CV280" i="33"/>
  <c r="CV281" i="33"/>
  <c r="CV282" i="33"/>
  <c r="CV283" i="33"/>
  <c r="CV284" i="33"/>
  <c r="CV285" i="33"/>
  <c r="CV286" i="33"/>
  <c r="CV287" i="33"/>
  <c r="CV288" i="33"/>
  <c r="CV289" i="33"/>
  <c r="CV290" i="33"/>
  <c r="CV291" i="33"/>
  <c r="CV292" i="33"/>
  <c r="CV293" i="33"/>
  <c r="CV294" i="33"/>
  <c r="CV295" i="33"/>
  <c r="CV296" i="33"/>
  <c r="CV297" i="33"/>
  <c r="CV298" i="33"/>
  <c r="CV299" i="33"/>
  <c r="CV300" i="33"/>
  <c r="CV301" i="33"/>
  <c r="CV302" i="33"/>
  <c r="CV303" i="33"/>
  <c r="CV304" i="33"/>
  <c r="CV305" i="33"/>
  <c r="CV306" i="33"/>
  <c r="CV307" i="33"/>
  <c r="CV308" i="33"/>
  <c r="CV309" i="33"/>
  <c r="CV310" i="33"/>
  <c r="CV311" i="33"/>
  <c r="CV312" i="33"/>
  <c r="CV313" i="33"/>
  <c r="CV314" i="33"/>
  <c r="CV315" i="33"/>
  <c r="CV316" i="33"/>
  <c r="CV317" i="33"/>
  <c r="CV318" i="33"/>
  <c r="CV319" i="33"/>
  <c r="CV320" i="33"/>
  <c r="CV321" i="33"/>
  <c r="CV322" i="33"/>
  <c r="CV323" i="33"/>
  <c r="CV324" i="33"/>
  <c r="CV325" i="33"/>
  <c r="CV326" i="33"/>
  <c r="CV327" i="33"/>
  <c r="CV328" i="33"/>
  <c r="CV329" i="33"/>
  <c r="CV330" i="33"/>
  <c r="CV331" i="33"/>
  <c r="CV332" i="33"/>
  <c r="CV333" i="33"/>
  <c r="CV334" i="33"/>
  <c r="CV335" i="33"/>
  <c r="CV336" i="33"/>
  <c r="CV337" i="33"/>
  <c r="CV338" i="33"/>
  <c r="CV339" i="33"/>
  <c r="CV340" i="33"/>
  <c r="CV341" i="33"/>
  <c r="CV342" i="33"/>
  <c r="CV343" i="33"/>
  <c r="CV344" i="33"/>
  <c r="CV345" i="33"/>
  <c r="CV346" i="33"/>
  <c r="CV347" i="33"/>
  <c r="CV348" i="33"/>
  <c r="CV349" i="33"/>
  <c r="CV350" i="33"/>
  <c r="CV351" i="33"/>
  <c r="CV352" i="33"/>
  <c r="CV353" i="33"/>
  <c r="CV354" i="33"/>
  <c r="CV355" i="33"/>
  <c r="CV356" i="33"/>
  <c r="CV357" i="33"/>
  <c r="CV358" i="33"/>
  <c r="CV359" i="33"/>
  <c r="CV360" i="33"/>
  <c r="CV361" i="33"/>
  <c r="CV362" i="33"/>
  <c r="CV363" i="33"/>
  <c r="CV364" i="33"/>
  <c r="CV365" i="33"/>
  <c r="CV366" i="33"/>
  <c r="CV367" i="33"/>
  <c r="CV368" i="33"/>
  <c r="CV369" i="33"/>
  <c r="CV370" i="33"/>
  <c r="CV371" i="33"/>
  <c r="CV372" i="33"/>
  <c r="CV373" i="33"/>
  <c r="CV374" i="33"/>
  <c r="CV375" i="33"/>
  <c r="CV376" i="33"/>
  <c r="CV377" i="33"/>
  <c r="CV378" i="33"/>
  <c r="CV379" i="33"/>
  <c r="CV380" i="33"/>
  <c r="CV381" i="33"/>
  <c r="CV382" i="33"/>
  <c r="CV383" i="33"/>
  <c r="CV384" i="33"/>
  <c r="CV385" i="33"/>
  <c r="CV386" i="33"/>
  <c r="CV387" i="33"/>
  <c r="CV388" i="33"/>
  <c r="CV389" i="33"/>
  <c r="CV390" i="33"/>
  <c r="CV391" i="33"/>
  <c r="CV392" i="33"/>
  <c r="CV393" i="33"/>
  <c r="CV394" i="33"/>
  <c r="CV395" i="33"/>
  <c r="CV396" i="33"/>
  <c r="CV397" i="33"/>
  <c r="CV398" i="33"/>
  <c r="CV399" i="33"/>
  <c r="CV400" i="33"/>
  <c r="CV401" i="33"/>
  <c r="CV402" i="33"/>
  <c r="CV403" i="33"/>
  <c r="CV404" i="33"/>
  <c r="CV405" i="33"/>
  <c r="CV406" i="33"/>
  <c r="CV407" i="33"/>
  <c r="CV408" i="33"/>
  <c r="CV409" i="33"/>
  <c r="CV410" i="33"/>
  <c r="CV411" i="33"/>
  <c r="CV412" i="33"/>
  <c r="CV413" i="33"/>
  <c r="CV414" i="33"/>
  <c r="CV415" i="33"/>
  <c r="CV416" i="33"/>
  <c r="CV417" i="33"/>
  <c r="CV418" i="33"/>
  <c r="CV419" i="33"/>
  <c r="CV420" i="33"/>
  <c r="CV421" i="33"/>
  <c r="CV422" i="33"/>
  <c r="CV423" i="33"/>
  <c r="CV424" i="33"/>
  <c r="CV425" i="33"/>
  <c r="CV426" i="33"/>
  <c r="CV427" i="33"/>
  <c r="CV428" i="33"/>
  <c r="CV429" i="33"/>
  <c r="CV430" i="33"/>
  <c r="CV431" i="33"/>
  <c r="CV432" i="33"/>
  <c r="CV433" i="33"/>
  <c r="CV434" i="33"/>
  <c r="CV435" i="33"/>
  <c r="CV436" i="33"/>
  <c r="CV437" i="33"/>
  <c r="CV438" i="33"/>
  <c r="CV439" i="33"/>
  <c r="CV440" i="33"/>
  <c r="CV441" i="33"/>
  <c r="CV442" i="33"/>
  <c r="CV443" i="33"/>
  <c r="CV444" i="33"/>
  <c r="CV445" i="33"/>
  <c r="CV446" i="33"/>
  <c r="CV447" i="33"/>
  <c r="CV448" i="33"/>
  <c r="CV449" i="33"/>
  <c r="CV450" i="33"/>
  <c r="CV451" i="33"/>
  <c r="CV452" i="33"/>
  <c r="CV453" i="33"/>
  <c r="CV454" i="33"/>
  <c r="CV455" i="33"/>
  <c r="CV456" i="33"/>
  <c r="CV457" i="33"/>
  <c r="CV458" i="33"/>
  <c r="CV459" i="33"/>
  <c r="CV460" i="33"/>
  <c r="CV461" i="33"/>
  <c r="CV462" i="33"/>
  <c r="CV463" i="33"/>
  <c r="CV464" i="33"/>
  <c r="CV465" i="33"/>
  <c r="CV466" i="33"/>
  <c r="CV467" i="33"/>
  <c r="CV468" i="33"/>
  <c r="CV469" i="33"/>
  <c r="CV470" i="33"/>
  <c r="CV471" i="33"/>
  <c r="CV472" i="33"/>
  <c r="CV473" i="33"/>
  <c r="CV474" i="33"/>
  <c r="CV475" i="33"/>
  <c r="CV476" i="33"/>
  <c r="CV477" i="33"/>
  <c r="CV478" i="33"/>
  <c r="CV479" i="33"/>
  <c r="CV480" i="33"/>
  <c r="CV481" i="33"/>
  <c r="CV482" i="33"/>
  <c r="CV483" i="33"/>
  <c r="CV484" i="33"/>
  <c r="CV485" i="33"/>
  <c r="CV486" i="33"/>
  <c r="CV487" i="33"/>
  <c r="CV488" i="33"/>
  <c r="CV489" i="33"/>
  <c r="CV490" i="33"/>
  <c r="CV491" i="33"/>
  <c r="CV492" i="33"/>
  <c r="CV493" i="33"/>
  <c r="CV494" i="33"/>
  <c r="CV495" i="33"/>
  <c r="CV496" i="33"/>
  <c r="CV497" i="33"/>
  <c r="CV498" i="33"/>
  <c r="CV499" i="33"/>
  <c r="CV500" i="33"/>
  <c r="CV501" i="33"/>
  <c r="CV502" i="33"/>
  <c r="CV503" i="33"/>
  <c r="CV504" i="33"/>
  <c r="CV505" i="33"/>
  <c r="CV506" i="33"/>
  <c r="CV507" i="33"/>
  <c r="CV508" i="33"/>
  <c r="CV509" i="33"/>
  <c r="CV510" i="33"/>
  <c r="CV511" i="33"/>
  <c r="CV512" i="33"/>
  <c r="CV513" i="33"/>
  <c r="CV514" i="33"/>
  <c r="CV515" i="33"/>
  <c r="CV516" i="33"/>
  <c r="CV517" i="33"/>
  <c r="CV518" i="33"/>
  <c r="CV519" i="33"/>
  <c r="CV520" i="33"/>
  <c r="CV521" i="33"/>
  <c r="CV522" i="33"/>
  <c r="CV523" i="33"/>
  <c r="CV524" i="33"/>
  <c r="CV525" i="33"/>
  <c r="CV526" i="33"/>
  <c r="CV527" i="33"/>
  <c r="CV528" i="33"/>
  <c r="CV529" i="33"/>
  <c r="CV530" i="33"/>
  <c r="CV531" i="33"/>
  <c r="CV532" i="33"/>
  <c r="CV533" i="33"/>
  <c r="CV534" i="33"/>
  <c r="CV535" i="33"/>
  <c r="CV536" i="33"/>
  <c r="CV537" i="33"/>
  <c r="CV538" i="33"/>
  <c r="CV539" i="33"/>
  <c r="CV540" i="33"/>
  <c r="CV541" i="33"/>
  <c r="CV542" i="33"/>
  <c r="CV543" i="33"/>
  <c r="CV544" i="33"/>
  <c r="CV545" i="33"/>
  <c r="CV546" i="33"/>
  <c r="CV547" i="33"/>
  <c r="CV548" i="33"/>
  <c r="CV549" i="33"/>
  <c r="CV550" i="33"/>
  <c r="CV551" i="33"/>
  <c r="P63" i="15"/>
  <c r="P60" i="15"/>
  <c r="P58" i="15"/>
  <c r="P56" i="15"/>
  <c r="P54" i="15"/>
  <c r="P52" i="15"/>
  <c r="P50" i="15"/>
  <c r="P49" i="15"/>
  <c r="P48" i="15"/>
  <c r="P46" i="15"/>
  <c r="P44" i="15"/>
  <c r="P42" i="15"/>
  <c r="P40" i="15"/>
  <c r="P38" i="15"/>
  <c r="P36" i="15"/>
  <c r="O35" i="15"/>
  <c r="P35" i="15" s="1"/>
  <c r="O34" i="15"/>
  <c r="P33" i="15"/>
  <c r="P32" i="15"/>
  <c r="P31" i="15"/>
  <c r="P30" i="15"/>
  <c r="O30" i="15"/>
  <c r="P29" i="15"/>
  <c r="P28" i="15"/>
  <c r="P27" i="15"/>
  <c r="P26" i="15"/>
  <c r="P25" i="15"/>
  <c r="P24" i="15"/>
  <c r="P23" i="15"/>
  <c r="P21" i="15"/>
  <c r="P19" i="15"/>
  <c r="Q18" i="15"/>
  <c r="Q16" i="15"/>
  <c r="P15" i="15"/>
  <c r="P14" i="15"/>
  <c r="P13" i="15"/>
  <c r="P12" i="15"/>
  <c r="R11" i="15"/>
  <c r="Q22" i="15" s="1"/>
  <c r="P55" i="15"/>
  <c r="P11" i="15"/>
  <c r="P10" i="15"/>
  <c r="O9" i="15"/>
  <c r="C57" i="13"/>
  <c r="I30" i="12"/>
  <c r="M55" i="16"/>
  <c r="R33" i="15"/>
  <c r="P47" i="15"/>
  <c r="P41" i="15"/>
  <c r="P51" i="15"/>
  <c r="P22" i="15"/>
  <c r="O61" i="15"/>
  <c r="P61" i="15" s="1"/>
  <c r="AO15" i="15"/>
  <c r="B16" i="5"/>
  <c r="O14" i="5"/>
  <c r="B14" i="5"/>
  <c r="A14" i="5"/>
  <c r="O13" i="5"/>
  <c r="L13" i="5"/>
  <c r="G13" i="5"/>
  <c r="D13" i="5"/>
  <c r="B13" i="5"/>
  <c r="A13" i="5"/>
  <c r="L12" i="5"/>
  <c r="J12" i="5"/>
  <c r="H12" i="5"/>
  <c r="G12" i="5"/>
  <c r="E49" i="4"/>
  <c r="F12" i="5"/>
  <c r="D12" i="5"/>
  <c r="B12" i="5"/>
  <c r="A12" i="5"/>
  <c r="O11" i="5"/>
  <c r="N11" i="5"/>
  <c r="M11" i="5"/>
  <c r="L11" i="5"/>
  <c r="K11" i="5"/>
  <c r="J11" i="5"/>
  <c r="I11" i="5"/>
  <c r="H11" i="5"/>
  <c r="G11" i="5"/>
  <c r="F11" i="5"/>
  <c r="E11" i="5"/>
  <c r="D11" i="5"/>
  <c r="C11" i="5"/>
  <c r="B11" i="5"/>
  <c r="AC27" i="33"/>
  <c r="AB27" i="33"/>
  <c r="AA27" i="33"/>
  <c r="Z27" i="33"/>
  <c r="Y27" i="33"/>
  <c r="X27" i="33"/>
  <c r="W27" i="33"/>
  <c r="V27" i="33"/>
  <c r="U27" i="33"/>
  <c r="T27" i="33"/>
  <c r="S27" i="33"/>
  <c r="R27" i="33"/>
  <c r="Q27" i="33"/>
  <c r="P27" i="33"/>
  <c r="O27" i="33"/>
  <c r="N27" i="33"/>
  <c r="M27" i="33"/>
  <c r="L27" i="33"/>
  <c r="K27" i="33"/>
  <c r="J27" i="33"/>
  <c r="AC24" i="33"/>
  <c r="AB24" i="33"/>
  <c r="AA24" i="33"/>
  <c r="Z24" i="33"/>
  <c r="Y24" i="33"/>
  <c r="X24" i="33"/>
  <c r="W24" i="33"/>
  <c r="V24" i="33"/>
  <c r="U24" i="33"/>
  <c r="T24" i="33"/>
  <c r="S24" i="33"/>
  <c r="R24" i="33"/>
  <c r="Q24" i="33"/>
  <c r="P24" i="33"/>
  <c r="O24" i="33"/>
  <c r="N24" i="33"/>
  <c r="M24" i="33"/>
  <c r="L24" i="33"/>
  <c r="K24" i="33"/>
  <c r="J24" i="33"/>
  <c r="AW27" i="33"/>
  <c r="AV27" i="33"/>
  <c r="AU27" i="33"/>
  <c r="AT27" i="33"/>
  <c r="AS27" i="33"/>
  <c r="AR27" i="33"/>
  <c r="AQ27" i="33"/>
  <c r="AP27" i="33"/>
  <c r="AO27" i="33"/>
  <c r="AN27" i="33"/>
  <c r="AM27" i="33"/>
  <c r="AL27" i="33"/>
  <c r="AK27" i="33"/>
  <c r="AJ27" i="33"/>
  <c r="AI27" i="33"/>
  <c r="AH27" i="33"/>
  <c r="AG27" i="33"/>
  <c r="AF27" i="33"/>
  <c r="AE27" i="33"/>
  <c r="AD27" i="33"/>
  <c r="AW24" i="33"/>
  <c r="AV24" i="33"/>
  <c r="AU24" i="33"/>
  <c r="AT24" i="33"/>
  <c r="AS24" i="33"/>
  <c r="AR24" i="33"/>
  <c r="AQ24" i="33"/>
  <c r="AP24" i="33"/>
  <c r="AO24" i="33"/>
  <c r="AN24" i="33"/>
  <c r="AM24" i="33"/>
  <c r="AL24" i="33"/>
  <c r="AK24" i="33"/>
  <c r="AJ24" i="33"/>
  <c r="AI24" i="33"/>
  <c r="AH24" i="33"/>
  <c r="AG24" i="33"/>
  <c r="AF24" i="33"/>
  <c r="AE24" i="33"/>
  <c r="AD24" i="33"/>
  <c r="CK27" i="33"/>
  <c r="CJ27" i="33"/>
  <c r="CI27" i="33"/>
  <c r="CH27" i="33"/>
  <c r="CG27" i="33"/>
  <c r="CF27" i="33"/>
  <c r="CE27" i="33"/>
  <c r="CD27" i="33"/>
  <c r="CC27" i="33"/>
  <c r="CB27" i="33"/>
  <c r="CA27" i="33"/>
  <c r="BZ27" i="33"/>
  <c r="BY27" i="33"/>
  <c r="BX27" i="33"/>
  <c r="BW27" i="33"/>
  <c r="BV27" i="33"/>
  <c r="BU27" i="33"/>
  <c r="BT27" i="33"/>
  <c r="BS27" i="33"/>
  <c r="BR27" i="33"/>
  <c r="CK24" i="33"/>
  <c r="CJ24" i="33"/>
  <c r="CI24" i="33"/>
  <c r="CH24" i="33"/>
  <c r="CG24" i="33"/>
  <c r="CF24" i="33"/>
  <c r="CE24" i="33"/>
  <c r="CD24" i="33"/>
  <c r="CC24" i="33"/>
  <c r="CB24" i="33"/>
  <c r="CA24" i="33"/>
  <c r="BZ24" i="33"/>
  <c r="BY24" i="33"/>
  <c r="BX24" i="33"/>
  <c r="BW24" i="33"/>
  <c r="BV24" i="33"/>
  <c r="BU24" i="33"/>
  <c r="BT24" i="33"/>
  <c r="BS24" i="33"/>
  <c r="BR24" i="33"/>
  <c r="B24" i="3"/>
  <c r="B17" i="3"/>
  <c r="E292" i="22"/>
  <c r="E290" i="22"/>
  <c r="E288" i="22"/>
  <c r="E286" i="22"/>
  <c r="F287" i="22" s="1"/>
  <c r="E284" i="22"/>
  <c r="E282" i="22"/>
  <c r="E280" i="22"/>
  <c r="E278" i="22"/>
  <c r="CD278" i="22" s="1"/>
  <c r="E276" i="22"/>
  <c r="E274" i="22"/>
  <c r="E272" i="22"/>
  <c r="E270" i="22"/>
  <c r="CD270" i="22" s="1"/>
  <c r="E268" i="22"/>
  <c r="E266" i="22"/>
  <c r="E264" i="22"/>
  <c r="E262" i="22"/>
  <c r="E260" i="22"/>
  <c r="E258" i="22"/>
  <c r="E256" i="22"/>
  <c r="E254" i="22"/>
  <c r="E252" i="22"/>
  <c r="E250" i="22"/>
  <c r="E248" i="22"/>
  <c r="E246" i="22"/>
  <c r="CD246" i="22" s="1"/>
  <c r="E244" i="22"/>
  <c r="E242" i="22"/>
  <c r="E240" i="22"/>
  <c r="E238" i="22"/>
  <c r="D292" i="22"/>
  <c r="D290" i="22"/>
  <c r="D288" i="22"/>
  <c r="D286" i="22"/>
  <c r="D284" i="22"/>
  <c r="D282" i="22"/>
  <c r="D280" i="22"/>
  <c r="D278" i="22"/>
  <c r="D276" i="22"/>
  <c r="D274" i="22"/>
  <c r="D272" i="22"/>
  <c r="D270" i="22"/>
  <c r="D268" i="22"/>
  <c r="D266" i="22"/>
  <c r="D264" i="22"/>
  <c r="D262" i="22"/>
  <c r="D260" i="22"/>
  <c r="D258" i="22"/>
  <c r="D256" i="22"/>
  <c r="D254" i="22"/>
  <c r="D252" i="22"/>
  <c r="D250" i="22"/>
  <c r="D248" i="22"/>
  <c r="D246" i="22"/>
  <c r="D244" i="22"/>
  <c r="D242" i="22"/>
  <c r="D240" i="22"/>
  <c r="D238" i="22"/>
  <c r="B292" i="22"/>
  <c r="B290" i="22"/>
  <c r="B288" i="22"/>
  <c r="AL269" i="22"/>
  <c r="H209" i="22"/>
  <c r="G18" i="13"/>
  <c r="D57" i="13"/>
  <c r="Y31" i="13"/>
  <c r="Y30" i="13"/>
  <c r="Y29" i="13"/>
  <c r="Y28" i="13"/>
  <c r="Y27" i="13"/>
  <c r="Y26" i="13"/>
  <c r="Y25" i="13"/>
  <c r="Y24" i="13"/>
  <c r="Y23" i="13"/>
  <c r="Y21" i="13"/>
  <c r="Y20" i="13"/>
  <c r="Y19" i="13"/>
  <c r="Y18" i="13"/>
  <c r="Y17" i="13"/>
  <c r="Y15" i="13"/>
  <c r="Y14" i="13"/>
  <c r="I21" i="13"/>
  <c r="G52" i="16"/>
  <c r="G14" i="16"/>
  <c r="G15" i="16"/>
  <c r="B322" i="22"/>
  <c r="C322" i="22" s="1"/>
  <c r="D322" i="22" s="1"/>
  <c r="AC60" i="21"/>
  <c r="AC59" i="21"/>
  <c r="AC58" i="21"/>
  <c r="AC57" i="21"/>
  <c r="AC56" i="21"/>
  <c r="AC55" i="21"/>
  <c r="AC52" i="21"/>
  <c r="AC51" i="21"/>
  <c r="AC50" i="21"/>
  <c r="AC49" i="21"/>
  <c r="AC48" i="21"/>
  <c r="AC47" i="21"/>
  <c r="AC46" i="21"/>
  <c r="AC45" i="21"/>
  <c r="AC37" i="21"/>
  <c r="AC36" i="21"/>
  <c r="AC35" i="21"/>
  <c r="AC34" i="21"/>
  <c r="AC33" i="21"/>
  <c r="AC10" i="21"/>
  <c r="AC9" i="21"/>
  <c r="AC8" i="21"/>
  <c r="I30" i="15"/>
  <c r="G119" i="22"/>
  <c r="F200" i="22"/>
  <c r="C2" i="19"/>
  <c r="X19" i="22"/>
  <c r="Y18" i="22"/>
  <c r="W18" i="22"/>
  <c r="N18" i="22" s="1"/>
  <c r="T18" i="22" s="1"/>
  <c r="O18" i="22" s="1"/>
  <c r="Y19" i="22"/>
  <c r="W19" i="22"/>
  <c r="N19" i="22" s="1"/>
  <c r="T19" i="22" s="1"/>
  <c r="O19" i="22" s="1"/>
  <c r="Y20" i="22"/>
  <c r="W20" i="22" s="1"/>
  <c r="N20" i="22" s="1"/>
  <c r="T20" i="22" s="1"/>
  <c r="O20" i="22" s="1"/>
  <c r="Y21" i="22"/>
  <c r="W21" i="22" s="1"/>
  <c r="N21" i="22" s="1"/>
  <c r="T21" i="22" s="1"/>
  <c r="O21" i="22" s="1"/>
  <c r="Y22" i="22"/>
  <c r="W22" i="22" s="1"/>
  <c r="N22" i="22" s="1"/>
  <c r="T22" i="22" s="1"/>
  <c r="O22" i="22" s="1"/>
  <c r="Y17" i="22"/>
  <c r="W17" i="22" s="1"/>
  <c r="N17" i="22" s="1"/>
  <c r="T17" i="22" s="1"/>
  <c r="O17" i="22" s="1"/>
  <c r="R584" i="38"/>
  <c r="A173" i="51"/>
  <c r="R75" i="2"/>
  <c r="R74" i="2"/>
  <c r="V75" i="2"/>
  <c r="X24" i="2"/>
  <c r="S24" i="2"/>
  <c r="R24" i="2"/>
  <c r="Q24" i="2"/>
  <c r="P24" i="2"/>
  <c r="M24" i="2"/>
  <c r="B24" i="2"/>
  <c r="X23" i="2"/>
  <c r="S23" i="2"/>
  <c r="R23" i="2"/>
  <c r="Q23" i="2"/>
  <c r="P23" i="2"/>
  <c r="M23" i="2"/>
  <c r="B23" i="2"/>
  <c r="K25" i="2"/>
  <c r="K23" i="2"/>
  <c r="K24" i="2"/>
  <c r="B25" i="2"/>
  <c r="M25" i="2"/>
  <c r="P25" i="2"/>
  <c r="Q25" i="2"/>
  <c r="R25" i="2"/>
  <c r="S25" i="2"/>
  <c r="X25" i="2"/>
  <c r="O19" i="2"/>
  <c r="M21" i="2"/>
  <c r="M22" i="2"/>
  <c r="M20" i="2"/>
  <c r="C8" i="18"/>
  <c r="V18" i="22"/>
  <c r="V19" i="22"/>
  <c r="V20" i="22"/>
  <c r="V21" i="22"/>
  <c r="V22" i="22"/>
  <c r="V17" i="22"/>
  <c r="CF239" i="22"/>
  <c r="CF241" i="22"/>
  <c r="CF243" i="22"/>
  <c r="CF245" i="22"/>
  <c r="CF247" i="22"/>
  <c r="CF249" i="22"/>
  <c r="CF251" i="22"/>
  <c r="CF253" i="22"/>
  <c r="CF255" i="22"/>
  <c r="CF257" i="22"/>
  <c r="CF259" i="22"/>
  <c r="CF261" i="22"/>
  <c r="CF263" i="22"/>
  <c r="CF265" i="22"/>
  <c r="CF267" i="22"/>
  <c r="CF269" i="22"/>
  <c r="CF271" i="22"/>
  <c r="CF273" i="22"/>
  <c r="CF275" i="22"/>
  <c r="CF277" i="22"/>
  <c r="CF279" i="22"/>
  <c r="CF281" i="22"/>
  <c r="CF283" i="22"/>
  <c r="CF285" i="22"/>
  <c r="CF287" i="22"/>
  <c r="CF289" i="22"/>
  <c r="CF291" i="22"/>
  <c r="CF293" i="22"/>
  <c r="CD239" i="22"/>
  <c r="CD241" i="22"/>
  <c r="CD243" i="22"/>
  <c r="CD245" i="22"/>
  <c r="CD247" i="22"/>
  <c r="CD249" i="22"/>
  <c r="CD251" i="22"/>
  <c r="CD253" i="22"/>
  <c r="CD255" i="22"/>
  <c r="CD257" i="22"/>
  <c r="CD259" i="22"/>
  <c r="CD261" i="22"/>
  <c r="CD263" i="22"/>
  <c r="CD265" i="22"/>
  <c r="CD267" i="22"/>
  <c r="CD269" i="22"/>
  <c r="CD271" i="22"/>
  <c r="CD273" i="22"/>
  <c r="CD275" i="22"/>
  <c r="CD277" i="22"/>
  <c r="CD279" i="22"/>
  <c r="CD281" i="22"/>
  <c r="CD283" i="22"/>
  <c r="CD285" i="22"/>
  <c r="CD287" i="22"/>
  <c r="CD289" i="22"/>
  <c r="CD291" i="22"/>
  <c r="CD293" i="22"/>
  <c r="CA239" i="22"/>
  <c r="CA241" i="22"/>
  <c r="CA243" i="22"/>
  <c r="CA245" i="22"/>
  <c r="CA247" i="22"/>
  <c r="CA249" i="22"/>
  <c r="CA251" i="22"/>
  <c r="CA253" i="22"/>
  <c r="CA255" i="22"/>
  <c r="CA257" i="22"/>
  <c r="CA259" i="22"/>
  <c r="CA261" i="22"/>
  <c r="CA263" i="22"/>
  <c r="CA265" i="22"/>
  <c r="CA267" i="22"/>
  <c r="CA269" i="22"/>
  <c r="CA271" i="22"/>
  <c r="CA273" i="22"/>
  <c r="CA275" i="22"/>
  <c r="CA277" i="22"/>
  <c r="CA279" i="22"/>
  <c r="CA281" i="22"/>
  <c r="CA283" i="22"/>
  <c r="CA285" i="22"/>
  <c r="CA287" i="22"/>
  <c r="CA289" i="22"/>
  <c r="CA291" i="22"/>
  <c r="CA293" i="22"/>
  <c r="BY239" i="22"/>
  <c r="BY241" i="22"/>
  <c r="BY243" i="22"/>
  <c r="BY245" i="22"/>
  <c r="BY247" i="22"/>
  <c r="BY249" i="22"/>
  <c r="BY251" i="22"/>
  <c r="BY253" i="22"/>
  <c r="BY255" i="22"/>
  <c r="BY257" i="22"/>
  <c r="BY259" i="22"/>
  <c r="BY261" i="22"/>
  <c r="BY263" i="22"/>
  <c r="BY265" i="22"/>
  <c r="BY267" i="22"/>
  <c r="BY269" i="22"/>
  <c r="BY271" i="22"/>
  <c r="BY273" i="22"/>
  <c r="BY275" i="22"/>
  <c r="BY277" i="22"/>
  <c r="BY279" i="22"/>
  <c r="BY281" i="22"/>
  <c r="BY283" i="22"/>
  <c r="BY285" i="22"/>
  <c r="BY287" i="22"/>
  <c r="BY289" i="22"/>
  <c r="BY291" i="22"/>
  <c r="BY293" i="22"/>
  <c r="BV239" i="22"/>
  <c r="BV241" i="22"/>
  <c r="BV243" i="22"/>
  <c r="BV245" i="22"/>
  <c r="BV247" i="22"/>
  <c r="BV249" i="22"/>
  <c r="BV251" i="22"/>
  <c r="BV253" i="22"/>
  <c r="BV255" i="22"/>
  <c r="BV257" i="22"/>
  <c r="BV259" i="22"/>
  <c r="BV261" i="22"/>
  <c r="BV263" i="22"/>
  <c r="BV265" i="22"/>
  <c r="BV267" i="22"/>
  <c r="BV269" i="22"/>
  <c r="BV271" i="22"/>
  <c r="BV273" i="22"/>
  <c r="BV275" i="22"/>
  <c r="BV277" i="22"/>
  <c r="BV279" i="22"/>
  <c r="BV281" i="22"/>
  <c r="BV283" i="22"/>
  <c r="BV285" i="22"/>
  <c r="BV287" i="22"/>
  <c r="BV289" i="22"/>
  <c r="BV291" i="22"/>
  <c r="BV293" i="22"/>
  <c r="BQ239" i="22"/>
  <c r="BQ241" i="22"/>
  <c r="BQ243" i="22"/>
  <c r="BQ245" i="22"/>
  <c r="BQ247" i="22"/>
  <c r="BQ249" i="22"/>
  <c r="BQ251" i="22"/>
  <c r="BQ253" i="22"/>
  <c r="BQ255" i="22"/>
  <c r="BQ257" i="22"/>
  <c r="BQ259" i="22"/>
  <c r="BQ261" i="22"/>
  <c r="BQ263" i="22"/>
  <c r="BQ265" i="22"/>
  <c r="BQ267" i="22"/>
  <c r="BQ269" i="22"/>
  <c r="BQ271" i="22"/>
  <c r="BQ273" i="22"/>
  <c r="BQ275" i="22"/>
  <c r="BQ277" i="22"/>
  <c r="BQ279" i="22"/>
  <c r="BQ281" i="22"/>
  <c r="BQ283" i="22"/>
  <c r="BQ285" i="22"/>
  <c r="BQ287" i="22"/>
  <c r="BQ289" i="22"/>
  <c r="BQ291" i="22"/>
  <c r="BQ293" i="22"/>
  <c r="AO28" i="15"/>
  <c r="AO30" i="15"/>
  <c r="AO29" i="15"/>
  <c r="AO27" i="15"/>
  <c r="AO26" i="15"/>
  <c r="AO23" i="15"/>
  <c r="J30" i="15"/>
  <c r="J29" i="15"/>
  <c r="J28" i="15"/>
  <c r="J27" i="15"/>
  <c r="J26" i="15"/>
  <c r="J23" i="15"/>
  <c r="P44" i="13"/>
  <c r="X147" i="10"/>
  <c r="X148" i="10"/>
  <c r="X161" i="10"/>
  <c r="X162" i="10"/>
  <c r="X163" i="10"/>
  <c r="X164" i="10"/>
  <c r="X165" i="10"/>
  <c r="X160" i="10"/>
  <c r="T145" i="10"/>
  <c r="T146" i="10"/>
  <c r="T147" i="10"/>
  <c r="T148" i="10"/>
  <c r="T144" i="10"/>
  <c r="N28" i="11"/>
  <c r="N29" i="11"/>
  <c r="N30" i="11"/>
  <c r="N31" i="11"/>
  <c r="N32" i="11"/>
  <c r="N33" i="11"/>
  <c r="N34" i="11"/>
  <c r="N35" i="11"/>
  <c r="N36" i="11"/>
  <c r="N37" i="11"/>
  <c r="N24" i="11"/>
  <c r="F3" i="75"/>
  <c r="I104" i="75"/>
  <c r="I103" i="75"/>
  <c r="I102" i="75"/>
  <c r="I101" i="75"/>
  <c r="I100" i="75"/>
  <c r="I99" i="75"/>
  <c r="I98" i="75"/>
  <c r="I97" i="75"/>
  <c r="I96" i="75"/>
  <c r="I95" i="75"/>
  <c r="I94" i="75"/>
  <c r="I93" i="75"/>
  <c r="I92" i="75"/>
  <c r="I91" i="75"/>
  <c r="I90" i="75"/>
  <c r="I89" i="75"/>
  <c r="I88" i="75"/>
  <c r="I87" i="75"/>
  <c r="I86" i="75"/>
  <c r="I85" i="75"/>
  <c r="I84" i="75"/>
  <c r="I83" i="75"/>
  <c r="I82" i="75"/>
  <c r="I81" i="75"/>
  <c r="I80" i="75"/>
  <c r="I79" i="75"/>
  <c r="I78" i="75"/>
  <c r="I77" i="75"/>
  <c r="I76" i="75"/>
  <c r="I75" i="75"/>
  <c r="I74" i="75"/>
  <c r="I73" i="75"/>
  <c r="I71" i="75"/>
  <c r="I70" i="75"/>
  <c r="I69" i="75"/>
  <c r="I68" i="75"/>
  <c r="L67" i="75"/>
  <c r="I67" i="75"/>
  <c r="L66" i="75"/>
  <c r="I66" i="75"/>
  <c r="L65" i="75"/>
  <c r="I65" i="75"/>
  <c r="L64" i="75"/>
  <c r="I64" i="75"/>
  <c r="L63" i="75"/>
  <c r="I63" i="75"/>
  <c r="L62" i="75"/>
  <c r="I62" i="75"/>
  <c r="L61" i="75"/>
  <c r="I61" i="75"/>
  <c r="L60" i="75"/>
  <c r="L59" i="75"/>
  <c r="I59" i="75"/>
  <c r="L58" i="75"/>
  <c r="I58" i="75"/>
  <c r="L57" i="75"/>
  <c r="I57" i="75"/>
  <c r="L56" i="75"/>
  <c r="I56" i="75"/>
  <c r="L55" i="75"/>
  <c r="I55" i="75"/>
  <c r="L54" i="75"/>
  <c r="I54" i="75"/>
  <c r="I53" i="75"/>
  <c r="W52" i="75"/>
  <c r="U52" i="75"/>
  <c r="S52" i="75"/>
  <c r="I52" i="75"/>
  <c r="I51" i="75"/>
  <c r="I50" i="75"/>
  <c r="W49" i="75"/>
  <c r="U49" i="75"/>
  <c r="S49" i="75"/>
  <c r="Q49" i="75"/>
  <c r="I49" i="75"/>
  <c r="W48" i="75"/>
  <c r="U48" i="75"/>
  <c r="S48" i="75"/>
  <c r="Q48" i="75"/>
  <c r="I48" i="75"/>
  <c r="I47" i="75"/>
  <c r="W46" i="75"/>
  <c r="U46" i="75"/>
  <c r="S46" i="75"/>
  <c r="I46" i="75"/>
  <c r="W45" i="75"/>
  <c r="V45" i="75"/>
  <c r="U45" i="75"/>
  <c r="T45" i="75"/>
  <c r="S45" i="75"/>
  <c r="R45" i="75"/>
  <c r="Q45" i="75"/>
  <c r="P45" i="75"/>
  <c r="O45" i="75"/>
  <c r="N45" i="75"/>
  <c r="I45" i="75"/>
  <c r="I44" i="75"/>
  <c r="I43" i="75"/>
  <c r="I42" i="75"/>
  <c r="I41" i="75"/>
  <c r="I40" i="75"/>
  <c r="I39" i="75"/>
  <c r="I38" i="75"/>
  <c r="I36" i="75"/>
  <c r="I35" i="75"/>
  <c r="I34" i="75"/>
  <c r="F34" i="75"/>
  <c r="I33" i="75"/>
  <c r="F33" i="75"/>
  <c r="I32" i="75"/>
  <c r="F32" i="75"/>
  <c r="I31" i="75"/>
  <c r="F31" i="75"/>
  <c r="I30" i="75"/>
  <c r="F30" i="75"/>
  <c r="I29" i="75"/>
  <c r="F29" i="75"/>
  <c r="I28" i="75"/>
  <c r="F28" i="75"/>
  <c r="I27" i="75"/>
  <c r="F27" i="75"/>
  <c r="I26" i="75"/>
  <c r="F26" i="75"/>
  <c r="I25" i="75"/>
  <c r="F25" i="75"/>
  <c r="I24" i="75"/>
  <c r="F24" i="75"/>
  <c r="I23" i="75"/>
  <c r="F23" i="75"/>
  <c r="I22" i="75"/>
  <c r="F22" i="75"/>
  <c r="I21" i="75"/>
  <c r="F21" i="75"/>
  <c r="I20" i="75"/>
  <c r="F20" i="75"/>
  <c r="I19" i="75"/>
  <c r="F19" i="75"/>
  <c r="I18" i="75"/>
  <c r="F18" i="75"/>
  <c r="I17" i="75"/>
  <c r="F17" i="75"/>
  <c r="I16" i="75"/>
  <c r="F16" i="75"/>
  <c r="I15" i="75"/>
  <c r="F15" i="75"/>
  <c r="W14" i="75"/>
  <c r="U14" i="75"/>
  <c r="S14" i="75"/>
  <c r="F14" i="75"/>
  <c r="W13" i="75"/>
  <c r="U13" i="75"/>
  <c r="S13" i="75"/>
  <c r="Q13" i="75"/>
  <c r="F13" i="75"/>
  <c r="W12" i="75"/>
  <c r="U12" i="75"/>
  <c r="S12" i="75"/>
  <c r="Q12" i="75"/>
  <c r="I12" i="75"/>
  <c r="F12" i="75"/>
  <c r="W11" i="75"/>
  <c r="U11" i="75"/>
  <c r="S11" i="75"/>
  <c r="Q11" i="75"/>
  <c r="I11" i="75"/>
  <c r="F11" i="75"/>
  <c r="W10" i="75"/>
  <c r="U10" i="75"/>
  <c r="S10" i="75"/>
  <c r="Q10" i="75"/>
  <c r="I10" i="75"/>
  <c r="F10" i="75"/>
  <c r="W9" i="75"/>
  <c r="U9" i="75"/>
  <c r="S9" i="75"/>
  <c r="Q9" i="75"/>
  <c r="I9" i="75"/>
  <c r="F9" i="75"/>
  <c r="W8" i="75"/>
  <c r="U8" i="75"/>
  <c r="S8" i="75"/>
  <c r="Q8" i="75"/>
  <c r="I8" i="75"/>
  <c r="F8" i="75"/>
  <c r="W7" i="75"/>
  <c r="U7" i="75"/>
  <c r="S7" i="75"/>
  <c r="Q7" i="75"/>
  <c r="I7" i="75"/>
  <c r="F7" i="75"/>
  <c r="W6" i="75"/>
  <c r="U6" i="75"/>
  <c r="S6" i="75"/>
  <c r="Q6" i="75"/>
  <c r="I6" i="75"/>
  <c r="F6" i="75"/>
  <c r="W5" i="75"/>
  <c r="U5" i="75"/>
  <c r="S5" i="75"/>
  <c r="Q5" i="75"/>
  <c r="I5" i="75"/>
  <c r="F5" i="75"/>
  <c r="W4" i="75"/>
  <c r="U4" i="75"/>
  <c r="S4" i="75"/>
  <c r="Q4" i="75"/>
  <c r="I4" i="75"/>
  <c r="F4" i="75"/>
  <c r="W3" i="75"/>
  <c r="V3" i="75"/>
  <c r="U3" i="75"/>
  <c r="T3" i="75"/>
  <c r="S3" i="75"/>
  <c r="R3" i="75"/>
  <c r="Q3" i="75"/>
  <c r="P3" i="75"/>
  <c r="O3" i="75"/>
  <c r="N3" i="75"/>
  <c r="I3" i="75"/>
  <c r="B3" i="11"/>
  <c r="C3" i="11"/>
  <c r="B4" i="11"/>
  <c r="B5" i="11"/>
  <c r="B6" i="11"/>
  <c r="B7" i="11"/>
  <c r="B8" i="11"/>
  <c r="B9" i="11"/>
  <c r="B10" i="11"/>
  <c r="F3" i="11"/>
  <c r="B476" i="22"/>
  <c r="B475" i="22"/>
  <c r="AG147" i="22"/>
  <c r="AG148" i="22"/>
  <c r="AG149" i="22"/>
  <c r="AG150" i="22"/>
  <c r="AG151" i="22"/>
  <c r="AG152" i="22"/>
  <c r="AG153" i="22"/>
  <c r="AG154" i="22"/>
  <c r="AG155" i="22"/>
  <c r="AG156" i="22"/>
  <c r="AG157" i="22"/>
  <c r="AG158" i="22"/>
  <c r="AG159" i="22"/>
  <c r="AG160" i="22"/>
  <c r="AG161" i="22"/>
  <c r="AG162" i="22"/>
  <c r="AG163" i="22"/>
  <c r="AG164" i="22"/>
  <c r="AG165" i="22"/>
  <c r="AG166" i="22"/>
  <c r="AG167" i="22"/>
  <c r="AG168" i="22"/>
  <c r="AG169" i="22"/>
  <c r="AG170" i="22"/>
  <c r="AG171" i="22"/>
  <c r="AG172" i="22"/>
  <c r="AG173" i="22"/>
  <c r="AG174" i="22"/>
  <c r="AG175" i="22"/>
  <c r="AG176" i="22"/>
  <c r="AG177" i="22"/>
  <c r="AG179" i="22"/>
  <c r="AG181" i="22"/>
  <c r="AG183" i="22"/>
  <c r="AG185" i="22"/>
  <c r="AG187" i="22"/>
  <c r="AG188" i="22"/>
  <c r="AG189" i="22"/>
  <c r="AG191" i="22"/>
  <c r="AG192" i="22"/>
  <c r="AG193" i="22"/>
  <c r="AG194" i="22"/>
  <c r="AG195" i="22"/>
  <c r="AG197" i="22"/>
  <c r="AG198" i="22"/>
  <c r="AG199" i="22"/>
  <c r="AG200" i="22"/>
  <c r="AG201" i="22"/>
  <c r="AG202" i="22"/>
  <c r="AG203" i="22"/>
  <c r="AG146" i="22"/>
  <c r="AG204" i="22"/>
  <c r="AH204" i="22" s="1"/>
  <c r="AF204" i="22"/>
  <c r="M461" i="22"/>
  <c r="G367" i="22"/>
  <c r="FA4" i="19"/>
  <c r="FA3" i="19"/>
  <c r="J12" i="2"/>
  <c r="B419" i="22"/>
  <c r="B420" i="22"/>
  <c r="B421" i="22"/>
  <c r="X421" i="22" s="1"/>
  <c r="B422" i="22"/>
  <c r="C422" i="22" s="1"/>
  <c r="D422" i="22" s="1"/>
  <c r="B423" i="22"/>
  <c r="B418" i="22"/>
  <c r="K22" i="2"/>
  <c r="K21" i="2"/>
  <c r="C423" i="22"/>
  <c r="D423" i="22" s="1"/>
  <c r="T420" i="22"/>
  <c r="C420" i="22"/>
  <c r="D420" i="22" s="1"/>
  <c r="B413" i="22"/>
  <c r="C418" i="22"/>
  <c r="D418" i="22" s="1"/>
  <c r="B367" i="22"/>
  <c r="B379" i="22"/>
  <c r="B45" i="22"/>
  <c r="X45" i="22" s="1"/>
  <c r="E45" i="22"/>
  <c r="B46" i="22"/>
  <c r="B47" i="22"/>
  <c r="B48" i="22"/>
  <c r="B49" i="22"/>
  <c r="X49" i="22" s="1"/>
  <c r="B44" i="22"/>
  <c r="X44" i="22" s="1"/>
  <c r="X50" i="22"/>
  <c r="G42" i="22"/>
  <c r="H41" i="22"/>
  <c r="X39" i="22"/>
  <c r="K39" i="22" s="1"/>
  <c r="T39" i="22"/>
  <c r="S39" i="22"/>
  <c r="J39" i="22"/>
  <c r="I39" i="22"/>
  <c r="G39" i="22"/>
  <c r="X38" i="22"/>
  <c r="K38" i="22" s="1"/>
  <c r="T38" i="22"/>
  <c r="S38" i="22"/>
  <c r="J38" i="22"/>
  <c r="I38" i="22"/>
  <c r="G38" i="22"/>
  <c r="U38" i="22" s="1"/>
  <c r="I37" i="22"/>
  <c r="G37" i="22"/>
  <c r="I36" i="22"/>
  <c r="G36" i="22"/>
  <c r="G63" i="22"/>
  <c r="I63" i="22"/>
  <c r="G64" i="22"/>
  <c r="I64" i="22"/>
  <c r="G65" i="22"/>
  <c r="I65" i="22"/>
  <c r="J65" i="22"/>
  <c r="S65" i="22"/>
  <c r="T65" i="22"/>
  <c r="X65" i="22"/>
  <c r="N65" i="22" s="1"/>
  <c r="G66" i="22"/>
  <c r="I66" i="22"/>
  <c r="U66" i="22" s="1"/>
  <c r="J66" i="22"/>
  <c r="S66" i="22"/>
  <c r="T66" i="22"/>
  <c r="X66" i="22"/>
  <c r="N66" i="22" s="1"/>
  <c r="H68" i="22"/>
  <c r="G69" i="22"/>
  <c r="T95" i="22"/>
  <c r="N95" i="22" s="1"/>
  <c r="X77" i="22"/>
  <c r="E46" i="22"/>
  <c r="E44" i="22"/>
  <c r="F44" i="22"/>
  <c r="E49" i="22"/>
  <c r="F48" i="22"/>
  <c r="E48" i="22"/>
  <c r="S47" i="22"/>
  <c r="G47" i="22" s="1"/>
  <c r="E47" i="22"/>
  <c r="F47" i="22"/>
  <c r="U65" i="22"/>
  <c r="U64" i="22"/>
  <c r="F45" i="22"/>
  <c r="B391" i="22"/>
  <c r="AT147" i="22"/>
  <c r="AV147" i="22"/>
  <c r="AV148" i="22"/>
  <c r="AT149" i="22"/>
  <c r="AV149" i="22"/>
  <c r="AV150" i="22"/>
  <c r="AT151" i="22"/>
  <c r="AV151" i="22"/>
  <c r="AV152" i="22"/>
  <c r="AT153" i="22"/>
  <c r="AV153" i="22"/>
  <c r="AV154" i="22"/>
  <c r="AT155" i="22"/>
  <c r="AV155" i="22"/>
  <c r="AV156" i="22"/>
  <c r="AT157" i="22"/>
  <c r="AV157" i="22"/>
  <c r="AV158" i="22"/>
  <c r="AT159" i="22"/>
  <c r="AV159" i="22"/>
  <c r="AV160" i="22"/>
  <c r="AT161" i="22"/>
  <c r="AV161" i="22"/>
  <c r="AV162" i="22"/>
  <c r="AT163" i="22"/>
  <c r="AV163" i="22"/>
  <c r="AV164" i="22"/>
  <c r="AT165" i="22"/>
  <c r="AV165" i="22"/>
  <c r="AV166" i="22"/>
  <c r="AT167" i="22"/>
  <c r="AV167" i="22"/>
  <c r="AV168" i="22"/>
  <c r="AT169" i="22"/>
  <c r="AV169" i="22"/>
  <c r="AV170" i="22"/>
  <c r="AT171" i="22"/>
  <c r="AV171" i="22"/>
  <c r="AV172" i="22"/>
  <c r="AT173" i="22"/>
  <c r="AV173" i="22"/>
  <c r="AV174" i="22"/>
  <c r="AT175" i="22"/>
  <c r="AV175" i="22"/>
  <c r="AV176" i="22"/>
  <c r="AT177" i="22"/>
  <c r="AU177" i="22" s="1"/>
  <c r="AW177" i="22" s="1"/>
  <c r="AV177" i="22"/>
  <c r="AT179" i="22"/>
  <c r="AV179" i="22"/>
  <c r="AT181" i="22"/>
  <c r="AV181" i="22"/>
  <c r="AT183" i="22"/>
  <c r="AV183" i="22"/>
  <c r="AT185" i="22"/>
  <c r="AV185" i="22"/>
  <c r="AT187" i="22"/>
  <c r="AV187" i="22"/>
  <c r="AV188" i="22"/>
  <c r="AT189" i="22"/>
  <c r="AV189" i="22"/>
  <c r="AT191" i="22"/>
  <c r="AV191" i="22"/>
  <c r="AV192" i="22"/>
  <c r="AT193" i="22"/>
  <c r="AV193" i="22"/>
  <c r="AV194" i="22"/>
  <c r="AT195" i="22"/>
  <c r="AV195" i="22"/>
  <c r="AT197" i="22"/>
  <c r="AV197" i="22"/>
  <c r="AT198" i="22"/>
  <c r="AV198" i="22"/>
  <c r="AT199" i="22"/>
  <c r="AV199" i="22"/>
  <c r="AT200" i="22"/>
  <c r="AV200" i="22"/>
  <c r="AT201" i="22"/>
  <c r="AV201" i="22"/>
  <c r="AT202" i="22"/>
  <c r="AV202" i="22"/>
  <c r="AT203" i="22"/>
  <c r="AV203" i="22"/>
  <c r="AV146" i="22"/>
  <c r="AO147" i="22"/>
  <c r="AQ147" i="22"/>
  <c r="AQ148" i="22"/>
  <c r="AO149" i="22"/>
  <c r="AQ149" i="22"/>
  <c r="AQ150" i="22"/>
  <c r="AO151" i="22"/>
  <c r="AQ151" i="22"/>
  <c r="AQ152" i="22"/>
  <c r="AO153" i="22"/>
  <c r="AQ153" i="22"/>
  <c r="AQ154" i="22"/>
  <c r="AO155" i="22"/>
  <c r="AQ155" i="22"/>
  <c r="AQ156" i="22"/>
  <c r="AO157" i="22"/>
  <c r="AQ157" i="22"/>
  <c r="AQ158" i="22"/>
  <c r="AO159" i="22"/>
  <c r="AQ159" i="22"/>
  <c r="AQ160" i="22"/>
  <c r="AO161" i="22"/>
  <c r="AQ161" i="22"/>
  <c r="AQ162" i="22"/>
  <c r="AO163" i="22"/>
  <c r="AQ163" i="22"/>
  <c r="AQ164" i="22"/>
  <c r="AO165" i="22"/>
  <c r="AQ165" i="22"/>
  <c r="AQ166" i="22"/>
  <c r="AO167" i="22"/>
  <c r="AQ167" i="22"/>
  <c r="AQ168" i="22"/>
  <c r="AO169" i="22"/>
  <c r="AQ169" i="22"/>
  <c r="AQ170" i="22"/>
  <c r="AO171" i="22"/>
  <c r="AQ171" i="22"/>
  <c r="AQ172" i="22"/>
  <c r="AO173" i="22"/>
  <c r="AQ173" i="22"/>
  <c r="AQ174" i="22"/>
  <c r="AO175" i="22"/>
  <c r="AQ175" i="22"/>
  <c r="AQ176" i="22"/>
  <c r="AO177" i="22"/>
  <c r="AP177" i="22" s="1"/>
  <c r="AQ177" i="22"/>
  <c r="AO179" i="22"/>
  <c r="AQ179" i="22"/>
  <c r="AO181" i="22"/>
  <c r="AQ181" i="22"/>
  <c r="AO183" i="22"/>
  <c r="AQ183" i="22"/>
  <c r="AO185" i="22"/>
  <c r="AQ185" i="22"/>
  <c r="AO187" i="22"/>
  <c r="AQ187" i="22"/>
  <c r="AQ188" i="22"/>
  <c r="AO189" i="22"/>
  <c r="AQ189" i="22"/>
  <c r="AO191" i="22"/>
  <c r="AQ191" i="22"/>
  <c r="AQ192" i="22"/>
  <c r="AO193" i="22"/>
  <c r="AQ193" i="22"/>
  <c r="AQ194" i="22"/>
  <c r="AO195" i="22"/>
  <c r="AQ195" i="22"/>
  <c r="AO197" i="22"/>
  <c r="AQ197" i="22"/>
  <c r="AO198" i="22"/>
  <c r="AQ198" i="22"/>
  <c r="AO199" i="22"/>
  <c r="AQ199" i="22"/>
  <c r="AO200" i="22"/>
  <c r="AQ200" i="22"/>
  <c r="AO201" i="22"/>
  <c r="AQ201" i="22"/>
  <c r="AO202" i="22"/>
  <c r="AQ202" i="22"/>
  <c r="AO203" i="22"/>
  <c r="AQ203" i="22"/>
  <c r="AO204" i="22"/>
  <c r="AP204" i="22" s="1"/>
  <c r="AR204" i="22" s="1"/>
  <c r="AQ204" i="22"/>
  <c r="AQ146" i="22"/>
  <c r="AL147" i="22"/>
  <c r="AL148" i="22"/>
  <c r="AL149" i="22"/>
  <c r="AL151" i="22"/>
  <c r="AL152" i="22"/>
  <c r="AL153" i="22"/>
  <c r="AL154" i="22"/>
  <c r="AL155" i="22"/>
  <c r="AL156" i="22"/>
  <c r="AL157" i="22"/>
  <c r="AL158" i="22"/>
  <c r="AL159" i="22"/>
  <c r="AL160" i="22"/>
  <c r="AL161" i="22"/>
  <c r="AL162" i="22"/>
  <c r="AL163" i="22"/>
  <c r="AL164" i="22"/>
  <c r="AL165" i="22"/>
  <c r="AL166" i="22"/>
  <c r="AL167" i="22"/>
  <c r="AL168" i="22"/>
  <c r="AL169" i="22"/>
  <c r="AL170" i="22"/>
  <c r="AL171" i="22"/>
  <c r="AL172" i="22"/>
  <c r="AL173" i="22"/>
  <c r="AL174" i="22"/>
  <c r="AL175" i="22"/>
  <c r="AL176" i="22"/>
  <c r="AL177" i="22"/>
  <c r="AL179" i="22"/>
  <c r="AL181" i="22"/>
  <c r="AL183" i="22"/>
  <c r="AL185" i="22"/>
  <c r="AL187" i="22"/>
  <c r="AL188" i="22"/>
  <c r="AL189" i="22"/>
  <c r="AL191" i="22"/>
  <c r="AL192" i="22"/>
  <c r="AL193" i="22"/>
  <c r="AL194" i="22"/>
  <c r="AL195" i="22"/>
  <c r="AL197" i="22"/>
  <c r="AL198" i="22"/>
  <c r="AL199" i="22"/>
  <c r="AL200" i="22"/>
  <c r="AL201" i="22"/>
  <c r="AL202" i="22"/>
  <c r="AL203" i="22"/>
  <c r="AL204" i="22"/>
  <c r="AL146" i="22"/>
  <c r="O17" i="74"/>
  <c r="P20" i="74"/>
  <c r="O15" i="74"/>
  <c r="P15" i="74"/>
  <c r="Q15" i="74"/>
  <c r="R15" i="74"/>
  <c r="S15" i="74"/>
  <c r="T15" i="74"/>
  <c r="U15" i="74"/>
  <c r="O16" i="74"/>
  <c r="P16" i="74"/>
  <c r="Q16" i="74"/>
  <c r="R16" i="74"/>
  <c r="S16" i="74"/>
  <c r="T16" i="74"/>
  <c r="U16" i="74"/>
  <c r="P17" i="74"/>
  <c r="Q17" i="74"/>
  <c r="R17" i="74"/>
  <c r="S17" i="74"/>
  <c r="T17" i="74"/>
  <c r="U17" i="74"/>
  <c r="O18" i="74"/>
  <c r="P18" i="74"/>
  <c r="Q18" i="74"/>
  <c r="R18" i="74"/>
  <c r="S18" i="74"/>
  <c r="T18" i="74"/>
  <c r="U18" i="74"/>
  <c r="O19" i="74"/>
  <c r="P19" i="74"/>
  <c r="Q19" i="74"/>
  <c r="R19" i="74"/>
  <c r="S19" i="74"/>
  <c r="T19" i="74"/>
  <c r="U19" i="74"/>
  <c r="O20" i="74"/>
  <c r="Q20" i="74"/>
  <c r="R20" i="74"/>
  <c r="S20" i="74"/>
  <c r="T20" i="74"/>
  <c r="U20" i="74"/>
  <c r="P14" i="74"/>
  <c r="Q14" i="74"/>
  <c r="R14" i="74"/>
  <c r="S14" i="74"/>
  <c r="T14" i="74"/>
  <c r="U14" i="74"/>
  <c r="O14" i="74"/>
  <c r="J37" i="22"/>
  <c r="J64" i="22"/>
  <c r="J63" i="22"/>
  <c r="J36" i="22"/>
  <c r="E423" i="22"/>
  <c r="E421" i="22"/>
  <c r="X47" i="22"/>
  <c r="X420" i="22"/>
  <c r="E420" i="22"/>
  <c r="E422" i="22"/>
  <c r="X48" i="22"/>
  <c r="T94" i="22"/>
  <c r="N94" i="22" s="1"/>
  <c r="X418" i="22"/>
  <c r="E418" i="22"/>
  <c r="T93" i="22"/>
  <c r="N93" i="22" s="1"/>
  <c r="T92" i="22"/>
  <c r="N92" i="22" s="1"/>
  <c r="E419" i="22"/>
  <c r="AT146" i="22"/>
  <c r="AT166" i="22"/>
  <c r="AT196" i="22"/>
  <c r="AT170" i="22"/>
  <c r="AT182" i="22"/>
  <c r="X63" i="22"/>
  <c r="N63" i="22" s="1"/>
  <c r="X36" i="22"/>
  <c r="K36" i="22" s="1"/>
  <c r="AT172" i="22"/>
  <c r="AT184" i="22"/>
  <c r="AT194" i="22"/>
  <c r="X37" i="22"/>
  <c r="K37" i="22" s="1"/>
  <c r="X64" i="22"/>
  <c r="N64" i="22"/>
  <c r="AT176" i="22"/>
  <c r="AT190" i="22"/>
  <c r="AT168" i="22"/>
  <c r="AT178" i="22"/>
  <c r="AT148" i="22"/>
  <c r="AT164" i="22"/>
  <c r="AT150" i="22"/>
  <c r="AT152" i="22"/>
  <c r="AT186" i="22"/>
  <c r="AT158" i="22"/>
  <c r="AT156" i="22"/>
  <c r="AT192" i="22"/>
  <c r="AT160" i="22"/>
  <c r="AT162" i="22"/>
  <c r="AT174" i="22"/>
  <c r="AT180" i="22"/>
  <c r="AT154" i="22"/>
  <c r="AT188" i="22"/>
  <c r="K46" i="22"/>
  <c r="K47" i="22"/>
  <c r="K48" i="22"/>
  <c r="K49" i="22"/>
  <c r="K45" i="22"/>
  <c r="K44" i="22"/>
  <c r="N54" i="13"/>
  <c r="G17" i="13"/>
  <c r="B36" i="13"/>
  <c r="P10" i="13"/>
  <c r="T170" i="10"/>
  <c r="T157" i="10"/>
  <c r="T142" i="10"/>
  <c r="Q76" i="8"/>
  <c r="Q67" i="8"/>
  <c r="Q48" i="7"/>
  <c r="N68" i="7"/>
  <c r="S9" i="2"/>
  <c r="AD14" i="13"/>
  <c r="I73" i="12"/>
  <c r="F72" i="12"/>
  <c r="E72" i="12"/>
  <c r="N71" i="12"/>
  <c r="W71" i="12"/>
  <c r="Y71" i="12"/>
  <c r="BG239" i="22"/>
  <c r="BG240" i="22"/>
  <c r="BG241" i="22"/>
  <c r="BG242" i="22"/>
  <c r="BG243" i="22"/>
  <c r="BG244" i="22"/>
  <c r="BG245" i="22"/>
  <c r="BG246" i="22"/>
  <c r="BG247" i="22"/>
  <c r="BG248" i="22"/>
  <c r="BG249" i="22"/>
  <c r="BG250" i="22"/>
  <c r="BG251" i="22"/>
  <c r="BG252" i="22"/>
  <c r="BG253" i="22"/>
  <c r="BG254" i="22"/>
  <c r="BG255" i="22"/>
  <c r="BG256" i="22"/>
  <c r="BG257" i="22"/>
  <c r="BG258" i="22"/>
  <c r="BG259" i="22"/>
  <c r="BG260" i="22"/>
  <c r="BG261" i="22"/>
  <c r="BG262" i="22"/>
  <c r="BG263" i="22"/>
  <c r="BG264" i="22"/>
  <c r="BG265" i="22"/>
  <c r="BG266" i="22"/>
  <c r="BG267" i="22"/>
  <c r="BG268" i="22"/>
  <c r="BG269" i="22"/>
  <c r="BG270" i="22"/>
  <c r="BG271" i="22"/>
  <c r="BG272" i="22"/>
  <c r="BG273" i="22"/>
  <c r="BG274" i="22"/>
  <c r="BG275" i="22"/>
  <c r="BG276" i="22"/>
  <c r="BG277" i="22"/>
  <c r="BG278" i="22"/>
  <c r="BG279" i="22"/>
  <c r="BG280" i="22"/>
  <c r="BG281" i="22"/>
  <c r="BG282" i="22"/>
  <c r="BG283" i="22"/>
  <c r="BG284" i="22"/>
  <c r="BG285" i="22"/>
  <c r="BG286" i="22"/>
  <c r="BG287" i="22"/>
  <c r="BG288" i="22"/>
  <c r="BG289" i="22"/>
  <c r="BG290" i="22"/>
  <c r="BG291" i="22"/>
  <c r="BG292" i="22"/>
  <c r="BG293" i="22"/>
  <c r="R53" i="2"/>
  <c r="Y70" i="8"/>
  <c r="G16" i="71"/>
  <c r="G15" i="71"/>
  <c r="G14" i="71"/>
  <c r="D106" i="4"/>
  <c r="F106" i="4"/>
  <c r="F16" i="71"/>
  <c r="F15" i="71"/>
  <c r="F14" i="71"/>
  <c r="E16" i="71"/>
  <c r="E15" i="71"/>
  <c r="E14" i="71"/>
  <c r="D16" i="71"/>
  <c r="D15" i="71"/>
  <c r="D14" i="71"/>
  <c r="C20" i="71"/>
  <c r="C19" i="71"/>
  <c r="C18" i="71"/>
  <c r="C16" i="71"/>
  <c r="C15" i="71"/>
  <c r="C14" i="71"/>
  <c r="C13" i="71"/>
  <c r="B21" i="2"/>
  <c r="S21" i="2"/>
  <c r="X21" i="2"/>
  <c r="B22" i="2"/>
  <c r="S22" i="2"/>
  <c r="X22" i="2"/>
  <c r="AD154" i="22"/>
  <c r="AA187" i="22"/>
  <c r="AB199" i="22"/>
  <c r="AB151" i="22"/>
  <c r="AA159" i="22"/>
  <c r="AD202" i="22"/>
  <c r="AD182" i="22"/>
  <c r="AB186" i="22"/>
  <c r="AD167" i="22"/>
  <c r="AC163" i="22"/>
  <c r="AD175" i="22"/>
  <c r="AB197" i="22"/>
  <c r="AA173" i="22"/>
  <c r="AA156" i="22"/>
  <c r="AD174" i="22"/>
  <c r="AC198" i="22"/>
  <c r="AB178" i="22"/>
  <c r="AB181" i="22"/>
  <c r="AC151" i="22"/>
  <c r="AB173" i="22"/>
  <c r="AD193" i="22"/>
  <c r="AC155" i="22"/>
  <c r="AC147" i="22"/>
  <c r="AB162" i="22"/>
  <c r="AD187" i="22"/>
  <c r="AA195" i="22"/>
  <c r="AD198" i="22"/>
  <c r="AA163" i="22"/>
  <c r="AC160" i="22"/>
  <c r="AD180" i="22"/>
  <c r="AA193" i="22"/>
  <c r="AD146" i="22"/>
  <c r="AC150" i="22"/>
  <c r="AD176" i="22"/>
  <c r="AA161" i="22"/>
  <c r="AB154" i="22"/>
  <c r="AC194" i="22"/>
  <c r="AC168" i="22"/>
  <c r="AB202" i="22"/>
  <c r="AA176" i="22"/>
  <c r="AA180" i="22"/>
  <c r="AB165" i="22"/>
  <c r="AD170" i="22"/>
  <c r="AD171" i="22"/>
  <c r="AA172" i="22"/>
  <c r="AC183" i="22"/>
  <c r="AD155" i="22"/>
  <c r="AA154" i="22"/>
  <c r="AB172" i="22"/>
  <c r="AD165" i="22"/>
  <c r="AA201" i="22"/>
  <c r="AC186" i="22"/>
  <c r="AA181" i="22"/>
  <c r="AB198" i="22"/>
  <c r="AA191" i="22"/>
  <c r="AD162" i="22"/>
  <c r="AB188" i="22"/>
  <c r="AA174" i="22"/>
  <c r="AC172" i="22"/>
  <c r="AB190" i="22"/>
  <c r="AD178" i="22"/>
  <c r="AA155" i="22"/>
  <c r="AD186" i="22"/>
  <c r="AC182" i="22"/>
  <c r="AB183" i="22"/>
  <c r="AC199" i="22"/>
  <c r="AD152" i="22"/>
  <c r="AD149" i="22"/>
  <c r="AC156" i="22"/>
  <c r="AA200" i="22"/>
  <c r="AB192" i="22"/>
  <c r="AC166" i="22"/>
  <c r="AC190" i="22"/>
  <c r="AC176" i="22"/>
  <c r="AD177" i="22"/>
  <c r="AC187" i="22"/>
  <c r="AD191" i="22"/>
  <c r="AD199" i="22"/>
  <c r="AB175" i="22"/>
  <c r="AA188" i="22"/>
  <c r="AA189" i="22"/>
  <c r="AC175" i="22"/>
  <c r="AB177" i="22"/>
  <c r="AD172" i="22"/>
  <c r="AD184" i="22"/>
  <c r="AA177" i="22"/>
  <c r="AD181" i="22"/>
  <c r="AA146" i="22"/>
  <c r="AD189" i="22"/>
  <c r="AC197" i="22"/>
  <c r="AB191" i="22"/>
  <c r="AB147" i="22"/>
  <c r="AC171" i="22"/>
  <c r="AB184" i="22"/>
  <c r="AD166" i="22"/>
  <c r="AD190" i="22"/>
  <c r="AC148" i="22"/>
  <c r="AB146" i="22"/>
  <c r="AB148" i="22"/>
  <c r="AA157" i="22"/>
  <c r="AD183" i="22"/>
  <c r="AD195" i="22"/>
  <c r="AC179" i="22"/>
  <c r="AA199" i="22"/>
  <c r="AC154" i="22"/>
  <c r="AB157" i="22"/>
  <c r="AC169" i="22"/>
  <c r="AB150" i="22"/>
  <c r="AC201" i="22"/>
  <c r="AA153" i="22"/>
  <c r="AB167" i="22"/>
  <c r="AB180" i="22"/>
  <c r="AB160" i="22"/>
  <c r="AB200" i="22"/>
  <c r="AC192" i="22"/>
  <c r="AA175" i="22"/>
  <c r="AC146" i="22"/>
  <c r="AA192" i="22"/>
  <c r="AD158" i="22"/>
  <c r="AB196" i="22"/>
  <c r="AD201" i="22"/>
  <c r="AC202" i="22"/>
  <c r="AA194" i="22"/>
  <c r="AD192" i="22"/>
  <c r="AC161" i="22"/>
  <c r="AC153" i="22"/>
  <c r="AB169" i="22"/>
  <c r="AA190" i="22"/>
  <c r="AC195" i="22"/>
  <c r="AC181" i="22"/>
  <c r="AB174" i="22"/>
  <c r="AD196" i="22"/>
  <c r="AA164" i="22"/>
  <c r="AA149" i="22"/>
  <c r="AD153" i="22"/>
  <c r="AB170" i="22"/>
  <c r="AB187" i="22"/>
  <c r="AB193" i="22"/>
  <c r="AC174" i="22"/>
  <c r="AD148" i="22"/>
  <c r="AD156" i="22"/>
  <c r="AD179" i="22"/>
  <c r="AA150" i="22"/>
  <c r="AA178" i="22"/>
  <c r="AC191" i="22"/>
  <c r="AC203" i="22"/>
  <c r="AA171" i="22"/>
  <c r="AC184" i="22"/>
  <c r="AA182" i="22"/>
  <c r="AB179" i="22"/>
  <c r="AB189" i="22"/>
  <c r="AB163" i="22"/>
  <c r="AD169" i="22"/>
  <c r="AB176" i="22"/>
  <c r="AC167" i="22"/>
  <c r="AA162" i="22"/>
  <c r="AD161" i="22"/>
  <c r="AA196" i="22"/>
  <c r="AB194" i="22"/>
  <c r="AC159" i="22"/>
  <c r="AA148" i="22"/>
  <c r="AD157" i="22"/>
  <c r="AC180" i="22"/>
  <c r="AD203" i="22"/>
  <c r="AA198" i="22"/>
  <c r="AC170" i="22"/>
  <c r="AA183" i="22"/>
  <c r="AA160" i="22"/>
  <c r="AA168" i="22"/>
  <c r="AC149" i="22"/>
  <c r="AA166" i="22"/>
  <c r="AB195" i="22"/>
  <c r="AC196" i="22"/>
  <c r="AA152" i="22"/>
  <c r="AD200" i="22"/>
  <c r="AC185" i="22"/>
  <c r="AA202" i="22"/>
  <c r="AB164" i="22"/>
  <c r="AB152" i="22"/>
  <c r="AB166" i="22"/>
  <c r="AC157" i="22"/>
  <c r="AC188" i="22"/>
  <c r="AB171" i="22"/>
  <c r="AC152" i="22"/>
  <c r="AA185" i="22"/>
  <c r="AC164" i="22"/>
  <c r="AB149" i="22"/>
  <c r="AC165" i="22"/>
  <c r="AA197" i="22"/>
  <c r="AC178" i="22"/>
  <c r="AD160" i="22"/>
  <c r="AA151" i="22"/>
  <c r="AD197" i="22"/>
  <c r="AD164" i="22"/>
  <c r="AB156" i="22"/>
  <c r="AB182" i="22"/>
  <c r="AD188" i="22"/>
  <c r="AA179" i="22"/>
  <c r="AA169" i="22"/>
  <c r="AC189" i="22"/>
  <c r="AC162" i="22"/>
  <c r="AA165" i="22"/>
  <c r="AB153" i="22"/>
  <c r="AB159" i="22"/>
  <c r="AD168" i="22"/>
  <c r="AB185" i="22"/>
  <c r="AA203" i="22"/>
  <c r="AD159" i="22"/>
  <c r="AB161" i="22"/>
  <c r="AC177" i="22"/>
  <c r="AB168" i="22"/>
  <c r="AD173" i="22"/>
  <c r="AD185" i="22"/>
  <c r="AA147" i="22"/>
  <c r="AD194" i="22"/>
  <c r="AA158" i="22"/>
  <c r="AC200" i="22"/>
  <c r="AD150" i="22"/>
  <c r="AA170" i="22"/>
  <c r="AB203" i="22"/>
  <c r="AB155" i="22"/>
  <c r="AD147" i="22"/>
  <c r="AC173" i="22"/>
  <c r="AA167" i="22"/>
  <c r="AB201" i="22"/>
  <c r="AD163" i="22"/>
  <c r="AB158" i="22"/>
  <c r="AA186" i="22"/>
  <c r="AC193" i="22"/>
  <c r="AC158" i="22"/>
  <c r="AD151" i="22"/>
  <c r="AA184" i="22"/>
  <c r="AB162" i="51"/>
  <c r="AC162" i="51" s="1"/>
  <c r="AB168" i="51"/>
  <c r="AC168" i="51" s="1"/>
  <c r="AB169" i="51"/>
  <c r="AC169" i="51"/>
  <c r="B42" i="8"/>
  <c r="J42" i="8" s="1"/>
  <c r="B43" i="8"/>
  <c r="B44" i="8"/>
  <c r="B41" i="8"/>
  <c r="G37" i="8" s="1"/>
  <c r="E92" i="4"/>
  <c r="D92" i="4"/>
  <c r="B34" i="14"/>
  <c r="B22" i="12"/>
  <c r="B103" i="7"/>
  <c r="B104" i="7"/>
  <c r="U104" i="7"/>
  <c r="F104" i="7" s="1"/>
  <c r="V104" i="7"/>
  <c r="Y104" i="7"/>
  <c r="Z104" i="7"/>
  <c r="AA104" i="7"/>
  <c r="B93" i="7"/>
  <c r="B94" i="7"/>
  <c r="U94" i="7"/>
  <c r="F94" i="7"/>
  <c r="V94" i="7"/>
  <c r="X94" i="7" s="1"/>
  <c r="Y94" i="7"/>
  <c r="Z94" i="7"/>
  <c r="AA94" i="7"/>
  <c r="B83" i="7"/>
  <c r="U84" i="7"/>
  <c r="V84" i="7"/>
  <c r="G84" i="7" s="1"/>
  <c r="Y84" i="7"/>
  <c r="Z84" i="7"/>
  <c r="AA84" i="7"/>
  <c r="B73" i="7"/>
  <c r="U74" i="7"/>
  <c r="F74" i="7"/>
  <c r="V74" i="7"/>
  <c r="X74" i="7" s="1"/>
  <c r="Y74" i="7"/>
  <c r="N74" i="7" s="1"/>
  <c r="Z74" i="7"/>
  <c r="B63" i="7"/>
  <c r="B53" i="7"/>
  <c r="B79" i="8"/>
  <c r="B70" i="8"/>
  <c r="W104" i="7"/>
  <c r="W94" i="7"/>
  <c r="W74" i="7"/>
  <c r="K34" i="8"/>
  <c r="G40" i="8"/>
  <c r="H40" i="8" s="1"/>
  <c r="F36" i="8"/>
  <c r="F37" i="8"/>
  <c r="F38" i="8"/>
  <c r="F35" i="8"/>
  <c r="K38" i="8"/>
  <c r="K40" i="8"/>
  <c r="I42" i="8"/>
  <c r="F42" i="8" s="1"/>
  <c r="J43" i="8"/>
  <c r="E14" i="58" s="1"/>
  <c r="I43" i="8"/>
  <c r="AG241" i="22"/>
  <c r="AJ241" i="22" s="1"/>
  <c r="AG243" i="22"/>
  <c r="AJ243" i="22"/>
  <c r="AG245" i="22"/>
  <c r="AJ245" i="22"/>
  <c r="AG247" i="22"/>
  <c r="AJ247" i="22"/>
  <c r="AG249" i="22"/>
  <c r="AJ249" i="22"/>
  <c r="AG251" i="22"/>
  <c r="AJ251" i="22"/>
  <c r="AG253" i="22"/>
  <c r="AJ253" i="22"/>
  <c r="AG255" i="22"/>
  <c r="AJ255" i="22"/>
  <c r="AG257" i="22"/>
  <c r="AJ257" i="22"/>
  <c r="AG259" i="22"/>
  <c r="AJ259" i="22"/>
  <c r="AG261" i="22"/>
  <c r="AJ261" i="22"/>
  <c r="AG263" i="22"/>
  <c r="AJ263" i="22"/>
  <c r="AG265" i="22"/>
  <c r="AJ265" i="22"/>
  <c r="AG267" i="22"/>
  <c r="AJ267" i="22"/>
  <c r="AG269" i="22"/>
  <c r="AJ269" i="22"/>
  <c r="AG271" i="22"/>
  <c r="AJ271" i="22"/>
  <c r="AG273" i="22"/>
  <c r="AJ273" i="22"/>
  <c r="AG275" i="22"/>
  <c r="AJ275" i="22"/>
  <c r="AG277" i="22"/>
  <c r="AJ277" i="22"/>
  <c r="AG279" i="22"/>
  <c r="AJ279" i="22"/>
  <c r="AG281" i="22"/>
  <c r="AJ281" i="22"/>
  <c r="AG283" i="22"/>
  <c r="AJ283" i="22"/>
  <c r="AG285" i="22"/>
  <c r="AJ285" i="22"/>
  <c r="AG287" i="22"/>
  <c r="AJ287" i="22"/>
  <c r="AG289" i="22"/>
  <c r="AJ289" i="22"/>
  <c r="AG291" i="22"/>
  <c r="AJ291" i="22"/>
  <c r="AG293" i="22"/>
  <c r="AJ293" i="22"/>
  <c r="AG239" i="22"/>
  <c r="AJ239" i="22"/>
  <c r="S177" i="22"/>
  <c r="R177" i="22"/>
  <c r="F177" i="22"/>
  <c r="T177" i="22"/>
  <c r="Y176" i="22"/>
  <c r="W176" i="22"/>
  <c r="V176" i="22"/>
  <c r="F176" i="22"/>
  <c r="T176" i="22" s="1"/>
  <c r="K177" i="22"/>
  <c r="G269" i="22" s="1"/>
  <c r="K176" i="22"/>
  <c r="AF176" i="22" s="1"/>
  <c r="AH176" i="22" s="1"/>
  <c r="AU176" i="22"/>
  <c r="AW176" i="22" s="1"/>
  <c r="L122" i="51"/>
  <c r="L112" i="51"/>
  <c r="J82" i="51"/>
  <c r="S20" i="2"/>
  <c r="B145" i="51"/>
  <c r="AS28" i="70"/>
  <c r="M28" i="70"/>
  <c r="N14" i="15"/>
  <c r="Y81" i="16"/>
  <c r="X81" i="16"/>
  <c r="Y62" i="16"/>
  <c r="X62" i="16"/>
  <c r="Y58" i="16"/>
  <c r="X58" i="16"/>
  <c r="Y42" i="16"/>
  <c r="X42" i="16"/>
  <c r="Y25" i="16"/>
  <c r="Z12" i="16" s="1"/>
  <c r="D158" i="51" s="1"/>
  <c r="X25" i="16"/>
  <c r="Z11" i="16" s="1"/>
  <c r="D157" i="51" s="1"/>
  <c r="B166" i="51" s="1"/>
  <c r="Y21" i="16"/>
  <c r="X21" i="16"/>
  <c r="AB161" i="51"/>
  <c r="AC161" i="51"/>
  <c r="AO35" i="70"/>
  <c r="I35" i="70"/>
  <c r="DH9" i="51"/>
  <c r="DH8" i="51"/>
  <c r="DH7" i="51"/>
  <c r="DH6" i="51"/>
  <c r="DH5" i="51"/>
  <c r="DH4" i="51"/>
  <c r="DH3" i="51"/>
  <c r="DH2" i="51"/>
  <c r="X20" i="2"/>
  <c r="DH1" i="51"/>
  <c r="DH10" i="51" s="1"/>
  <c r="B116" i="22"/>
  <c r="T116" i="22" s="1"/>
  <c r="B117" i="22"/>
  <c r="H117" i="22" s="1"/>
  <c r="B118" i="22"/>
  <c r="H118" i="22" s="1"/>
  <c r="G118" i="22"/>
  <c r="B119" i="22"/>
  <c r="B115" i="22"/>
  <c r="T115" i="22" s="1"/>
  <c r="B107" i="22"/>
  <c r="T107" i="22"/>
  <c r="B114" i="22"/>
  <c r="T114" i="22" s="1"/>
  <c r="B106" i="22"/>
  <c r="T106" i="22" s="1"/>
  <c r="M116" i="22"/>
  <c r="L116" i="22"/>
  <c r="G114" i="22"/>
  <c r="N114" i="22"/>
  <c r="H115" i="22"/>
  <c r="G115" i="22"/>
  <c r="G116" i="22"/>
  <c r="N116" i="22"/>
  <c r="T117" i="22"/>
  <c r="G117" i="22"/>
  <c r="T119" i="22"/>
  <c r="M118" i="22"/>
  <c r="T118" i="22"/>
  <c r="N118" i="22"/>
  <c r="H119" i="22"/>
  <c r="M117" i="22"/>
  <c r="M119" i="22"/>
  <c r="H114" i="22"/>
  <c r="R119" i="22"/>
  <c r="D23" i="70"/>
  <c r="H137" i="51" s="1"/>
  <c r="A152" i="51" s="1"/>
  <c r="D22" i="70"/>
  <c r="G137" i="51" s="1"/>
  <c r="N119" i="22"/>
  <c r="N115" i="22"/>
  <c r="N117" i="22"/>
  <c r="E32" i="70"/>
  <c r="F32" i="70"/>
  <c r="E31" i="70"/>
  <c r="F31" i="70"/>
  <c r="E30" i="70"/>
  <c r="F30" i="70"/>
  <c r="F33" i="15"/>
  <c r="G33" i="15"/>
  <c r="F32" i="15"/>
  <c r="G32" i="15"/>
  <c r="F31" i="15"/>
  <c r="G31" i="15"/>
  <c r="AS29" i="70"/>
  <c r="M29" i="70"/>
  <c r="AO63" i="15"/>
  <c r="AO60" i="15"/>
  <c r="AO58" i="15"/>
  <c r="AO56" i="15"/>
  <c r="AO54" i="15"/>
  <c r="AO52" i="15"/>
  <c r="AO50" i="15"/>
  <c r="AO48" i="15"/>
  <c r="AO46" i="15"/>
  <c r="AO44" i="15"/>
  <c r="AO42" i="15"/>
  <c r="AO40" i="15"/>
  <c r="AO38" i="15"/>
  <c r="AO36" i="15"/>
  <c r="AQ11" i="15"/>
  <c r="AN22" i="15"/>
  <c r="AN55" i="15"/>
  <c r="AO55" i="15" s="1"/>
  <c r="AN30" i="15"/>
  <c r="AO25" i="15"/>
  <c r="AO24" i="15"/>
  <c r="J25" i="15"/>
  <c r="J24" i="15"/>
  <c r="C9" i="70"/>
  <c r="M176" i="51"/>
  <c r="K177" i="51"/>
  <c r="J176" i="51"/>
  <c r="H177" i="51"/>
  <c r="G176" i="51"/>
  <c r="E177" i="51"/>
  <c r="D176" i="51"/>
  <c r="B177" i="51"/>
  <c r="D178" i="51"/>
  <c r="C178" i="51"/>
  <c r="B178" i="51"/>
  <c r="G178" i="51"/>
  <c r="F178" i="51"/>
  <c r="E178" i="51"/>
  <c r="J178" i="51"/>
  <c r="I178" i="51"/>
  <c r="H178" i="51"/>
  <c r="M178" i="51"/>
  <c r="L178" i="51"/>
  <c r="K178" i="51"/>
  <c r="S53" i="2"/>
  <c r="B141" i="51"/>
  <c r="J59" i="4"/>
  <c r="C10" i="59"/>
  <c r="F35" i="70"/>
  <c r="D137" i="51" s="1"/>
  <c r="AO33" i="70"/>
  <c r="AO34" i="70"/>
  <c r="I33" i="70"/>
  <c r="M31" i="70" s="1"/>
  <c r="AS24" i="70"/>
  <c r="M24" i="70"/>
  <c r="M17" i="70"/>
  <c r="I34" i="70"/>
  <c r="F34" i="70" s="1"/>
  <c r="C137" i="51" s="1"/>
  <c r="M32" i="70"/>
  <c r="M30" i="70"/>
  <c r="I20" i="14"/>
  <c r="I21" i="14"/>
  <c r="I22" i="14"/>
  <c r="I23" i="14"/>
  <c r="I19" i="14"/>
  <c r="I24" i="14" s="1"/>
  <c r="AO10" i="15"/>
  <c r="Y64" i="7"/>
  <c r="DE39" i="33"/>
  <c r="DE40" i="33"/>
  <c r="DE41" i="33"/>
  <c r="DE42" i="33"/>
  <c r="DE43" i="33"/>
  <c r="DE44" i="33"/>
  <c r="DE45" i="33"/>
  <c r="DE46" i="33"/>
  <c r="DE47" i="33"/>
  <c r="DE48" i="33"/>
  <c r="DE49" i="33"/>
  <c r="DE50" i="33"/>
  <c r="DE51" i="33"/>
  <c r="DE52" i="33"/>
  <c r="DE53" i="33"/>
  <c r="DE54" i="33"/>
  <c r="DE55" i="33"/>
  <c r="DE56" i="33"/>
  <c r="DE57" i="33"/>
  <c r="DE58" i="33"/>
  <c r="DE59" i="33"/>
  <c r="DE60" i="33"/>
  <c r="DE61" i="33"/>
  <c r="DE62" i="33"/>
  <c r="DE63" i="33"/>
  <c r="DE64" i="33"/>
  <c r="DE65" i="33"/>
  <c r="DE66" i="33"/>
  <c r="DE67" i="33"/>
  <c r="DE68" i="33"/>
  <c r="DE69" i="33"/>
  <c r="DE70" i="33"/>
  <c r="DE71" i="33"/>
  <c r="DE72" i="33"/>
  <c r="DE73" i="33"/>
  <c r="DE74" i="33"/>
  <c r="DE75" i="33"/>
  <c r="DE76" i="33"/>
  <c r="DE77" i="33"/>
  <c r="DE78" i="33"/>
  <c r="DE79" i="33"/>
  <c r="DE80" i="33"/>
  <c r="DE81" i="33"/>
  <c r="DE82" i="33"/>
  <c r="DE83" i="33"/>
  <c r="DE84" i="33"/>
  <c r="DE85" i="33"/>
  <c r="DE86" i="33"/>
  <c r="DE87" i="33"/>
  <c r="DE88" i="33"/>
  <c r="DE89" i="33"/>
  <c r="DE90" i="33"/>
  <c r="DE91" i="33"/>
  <c r="DE92" i="33"/>
  <c r="DE93" i="33"/>
  <c r="DE94" i="33"/>
  <c r="DE95" i="33"/>
  <c r="DE96" i="33"/>
  <c r="DE97" i="33"/>
  <c r="DE98" i="33"/>
  <c r="DE99" i="33"/>
  <c r="DE100" i="33"/>
  <c r="DE101" i="33"/>
  <c r="DE102" i="33"/>
  <c r="DE103" i="33"/>
  <c r="DE104" i="33"/>
  <c r="DE105" i="33"/>
  <c r="DE106" i="33"/>
  <c r="DE107" i="33"/>
  <c r="DE108" i="33"/>
  <c r="DE109" i="33"/>
  <c r="DE110" i="33"/>
  <c r="DE111" i="33"/>
  <c r="DE112" i="33"/>
  <c r="DE113" i="33"/>
  <c r="DE114" i="33"/>
  <c r="DE115" i="33"/>
  <c r="DE116" i="33"/>
  <c r="DE117" i="33"/>
  <c r="DE118" i="33"/>
  <c r="DE119" i="33"/>
  <c r="DE120" i="33"/>
  <c r="DE121" i="33"/>
  <c r="DE122" i="33"/>
  <c r="DE123" i="33"/>
  <c r="DE124" i="33"/>
  <c r="DE125" i="33"/>
  <c r="DE126" i="33"/>
  <c r="DE127" i="33"/>
  <c r="DE128" i="33"/>
  <c r="DE129" i="33"/>
  <c r="DE130" i="33"/>
  <c r="DE131" i="33"/>
  <c r="DE132" i="33"/>
  <c r="DE133" i="33"/>
  <c r="DE134" i="33"/>
  <c r="DE135" i="33"/>
  <c r="DE136" i="33"/>
  <c r="DE137" i="33"/>
  <c r="DE138" i="33"/>
  <c r="DE139" i="33"/>
  <c r="DE140" i="33"/>
  <c r="DE141" i="33"/>
  <c r="DE142" i="33"/>
  <c r="DE143" i="33"/>
  <c r="DE144" i="33"/>
  <c r="DE145" i="33"/>
  <c r="DE146" i="33"/>
  <c r="DE147" i="33"/>
  <c r="DE148" i="33"/>
  <c r="DE149" i="33"/>
  <c r="DE150" i="33"/>
  <c r="DE151" i="33"/>
  <c r="DE152" i="33"/>
  <c r="DE153" i="33"/>
  <c r="DE154" i="33"/>
  <c r="DE155" i="33"/>
  <c r="DE156" i="33"/>
  <c r="DE157" i="33"/>
  <c r="DE158" i="33"/>
  <c r="DE159" i="33"/>
  <c r="DE160" i="33"/>
  <c r="DE161" i="33"/>
  <c r="DE162" i="33"/>
  <c r="DE163" i="33"/>
  <c r="DE164" i="33"/>
  <c r="DE165" i="33"/>
  <c r="DE166" i="33"/>
  <c r="DE167" i="33"/>
  <c r="DE168" i="33"/>
  <c r="DE169" i="33"/>
  <c r="DE170" i="33"/>
  <c r="DE171" i="33"/>
  <c r="DE172" i="33"/>
  <c r="DE173" i="33"/>
  <c r="DE174" i="33"/>
  <c r="DE175" i="33"/>
  <c r="DE176" i="33"/>
  <c r="DE177" i="33"/>
  <c r="DE178" i="33"/>
  <c r="DE179" i="33"/>
  <c r="DE180" i="33"/>
  <c r="DE181" i="33"/>
  <c r="DE182" i="33"/>
  <c r="DE183" i="33"/>
  <c r="DE184" i="33"/>
  <c r="DE185" i="33"/>
  <c r="DE186" i="33"/>
  <c r="DE187" i="33"/>
  <c r="DE188" i="33"/>
  <c r="DE189" i="33"/>
  <c r="DE190" i="33"/>
  <c r="DE191" i="33"/>
  <c r="DE192" i="33"/>
  <c r="DE193" i="33"/>
  <c r="DE194" i="33"/>
  <c r="DE195" i="33"/>
  <c r="DE196" i="33"/>
  <c r="DE197" i="33"/>
  <c r="DE198" i="33"/>
  <c r="DE199" i="33"/>
  <c r="DE200" i="33"/>
  <c r="DE201" i="33"/>
  <c r="DE202" i="33"/>
  <c r="DE203" i="33"/>
  <c r="DE204" i="33"/>
  <c r="DE205" i="33"/>
  <c r="DE206" i="33"/>
  <c r="DE207" i="33"/>
  <c r="DE208" i="33"/>
  <c r="DE209" i="33"/>
  <c r="DE210" i="33"/>
  <c r="DE211" i="33"/>
  <c r="DE212" i="33"/>
  <c r="DE213" i="33"/>
  <c r="DE214" i="33"/>
  <c r="DE215" i="33"/>
  <c r="DE216" i="33"/>
  <c r="DE217" i="33"/>
  <c r="DE218" i="33"/>
  <c r="DE219" i="33"/>
  <c r="DE220" i="33"/>
  <c r="DE221" i="33"/>
  <c r="DE222" i="33"/>
  <c r="DE223" i="33"/>
  <c r="DE224" i="33"/>
  <c r="DE225" i="33"/>
  <c r="DE226" i="33"/>
  <c r="DE227" i="33"/>
  <c r="DE228" i="33"/>
  <c r="DE229" i="33"/>
  <c r="DE230" i="33"/>
  <c r="DE231" i="33"/>
  <c r="DE232" i="33"/>
  <c r="DE233" i="33"/>
  <c r="DE234" i="33"/>
  <c r="DE235" i="33"/>
  <c r="DE236" i="33"/>
  <c r="DE237" i="33"/>
  <c r="DE238" i="33"/>
  <c r="DE239" i="33"/>
  <c r="DE240" i="33"/>
  <c r="DE241" i="33"/>
  <c r="DE242" i="33"/>
  <c r="DE243" i="33"/>
  <c r="DE244" i="33"/>
  <c r="DE245" i="33"/>
  <c r="DE246" i="33"/>
  <c r="DE247" i="33"/>
  <c r="DE248" i="33"/>
  <c r="DE249" i="33"/>
  <c r="DE250" i="33"/>
  <c r="DE251" i="33"/>
  <c r="DE252" i="33"/>
  <c r="DE253" i="33"/>
  <c r="DE254" i="33"/>
  <c r="DE255" i="33"/>
  <c r="DE256" i="33"/>
  <c r="DE257" i="33"/>
  <c r="DE258" i="33"/>
  <c r="DE259" i="33"/>
  <c r="DE260" i="33"/>
  <c r="DE261" i="33"/>
  <c r="DE262" i="33"/>
  <c r="DE263" i="33"/>
  <c r="DE264" i="33"/>
  <c r="DE265" i="33"/>
  <c r="DE266" i="33"/>
  <c r="DE267" i="33"/>
  <c r="DE268" i="33"/>
  <c r="DE269" i="33"/>
  <c r="DE270" i="33"/>
  <c r="DE271" i="33"/>
  <c r="DE272" i="33"/>
  <c r="DE273" i="33"/>
  <c r="DE274" i="33"/>
  <c r="DE275" i="33"/>
  <c r="DE276" i="33"/>
  <c r="DE277" i="33"/>
  <c r="DE278" i="33"/>
  <c r="DE279" i="33"/>
  <c r="DE280" i="33"/>
  <c r="DE281" i="33"/>
  <c r="DE282" i="33"/>
  <c r="DE283" i="33"/>
  <c r="DE284" i="33"/>
  <c r="DE285" i="33"/>
  <c r="DE286" i="33"/>
  <c r="DE287" i="33"/>
  <c r="DE288" i="33"/>
  <c r="DE289" i="33"/>
  <c r="DE290" i="33"/>
  <c r="DE291" i="33"/>
  <c r="DE292" i="33"/>
  <c r="DE293" i="33"/>
  <c r="DE294" i="33"/>
  <c r="DE295" i="33"/>
  <c r="DE296" i="33"/>
  <c r="DE297" i="33"/>
  <c r="DE298" i="33"/>
  <c r="DE299" i="33"/>
  <c r="DE300" i="33"/>
  <c r="DE301" i="33"/>
  <c r="DE302" i="33"/>
  <c r="DE303" i="33"/>
  <c r="DE304" i="33"/>
  <c r="DE305" i="33"/>
  <c r="DE306" i="33"/>
  <c r="DE307" i="33"/>
  <c r="DE308" i="33"/>
  <c r="DE309" i="33"/>
  <c r="DE310" i="33"/>
  <c r="DE311" i="33"/>
  <c r="DE312" i="33"/>
  <c r="DE313" i="33"/>
  <c r="DE314" i="33"/>
  <c r="DE315" i="33"/>
  <c r="DE316" i="33"/>
  <c r="DE317" i="33"/>
  <c r="DE318" i="33"/>
  <c r="DE319" i="33"/>
  <c r="DE320" i="33"/>
  <c r="DE321" i="33"/>
  <c r="DE322" i="33"/>
  <c r="DE323" i="33"/>
  <c r="DE324" i="33"/>
  <c r="DE325" i="33"/>
  <c r="DE326" i="33"/>
  <c r="DE327" i="33"/>
  <c r="DE328" i="33"/>
  <c r="DE329" i="33"/>
  <c r="DE330" i="33"/>
  <c r="DE331" i="33"/>
  <c r="DE332" i="33"/>
  <c r="DE333" i="33"/>
  <c r="DE334" i="33"/>
  <c r="DE335" i="33"/>
  <c r="DE336" i="33"/>
  <c r="DE337" i="33"/>
  <c r="DE338" i="33"/>
  <c r="DE339" i="33"/>
  <c r="DE340" i="33"/>
  <c r="DE341" i="33"/>
  <c r="DE342" i="33"/>
  <c r="DE343" i="33"/>
  <c r="DE344" i="33"/>
  <c r="DE345" i="33"/>
  <c r="DE346" i="33"/>
  <c r="DE347" i="33"/>
  <c r="DE348" i="33"/>
  <c r="DE349" i="33"/>
  <c r="DE350" i="33"/>
  <c r="DE351" i="33"/>
  <c r="DE352" i="33"/>
  <c r="DE353" i="33"/>
  <c r="DE354" i="33"/>
  <c r="DE355" i="33"/>
  <c r="DE356" i="33"/>
  <c r="DE357" i="33"/>
  <c r="DE358" i="33"/>
  <c r="DE359" i="33"/>
  <c r="DE360" i="33"/>
  <c r="DE361" i="33"/>
  <c r="DE362" i="33"/>
  <c r="DE363" i="33"/>
  <c r="DE364" i="33"/>
  <c r="DE365" i="33"/>
  <c r="DE366" i="33"/>
  <c r="DE367" i="33"/>
  <c r="DE368" i="33"/>
  <c r="DE369" i="33"/>
  <c r="DE370" i="33"/>
  <c r="DE371" i="33"/>
  <c r="DE372" i="33"/>
  <c r="DE373" i="33"/>
  <c r="DE374" i="33"/>
  <c r="DE375" i="33"/>
  <c r="DE376" i="33"/>
  <c r="DE377" i="33"/>
  <c r="DE378" i="33"/>
  <c r="DE379" i="33"/>
  <c r="DE380" i="33"/>
  <c r="DE381" i="33"/>
  <c r="DE382" i="33"/>
  <c r="DE383" i="33"/>
  <c r="DE384" i="33"/>
  <c r="DE385" i="33"/>
  <c r="DE386" i="33"/>
  <c r="DE387" i="33"/>
  <c r="DE388" i="33"/>
  <c r="DE389" i="33"/>
  <c r="DE390" i="33"/>
  <c r="DE391" i="33"/>
  <c r="DE392" i="33"/>
  <c r="DE393" i="33"/>
  <c r="DE394" i="33"/>
  <c r="DE395" i="33"/>
  <c r="DE396" i="33"/>
  <c r="DE397" i="33"/>
  <c r="DE398" i="33"/>
  <c r="DE399" i="33"/>
  <c r="DE400" i="33"/>
  <c r="DE401" i="33"/>
  <c r="DE402" i="33"/>
  <c r="DE403" i="33"/>
  <c r="DE404" i="33"/>
  <c r="DE405" i="33"/>
  <c r="DE406" i="33"/>
  <c r="DE407" i="33"/>
  <c r="DE408" i="33"/>
  <c r="DE409" i="33"/>
  <c r="DE410" i="33"/>
  <c r="DE411" i="33"/>
  <c r="DE412" i="33"/>
  <c r="DE413" i="33"/>
  <c r="DE414" i="33"/>
  <c r="DE415" i="33"/>
  <c r="DE416" i="33"/>
  <c r="DE417" i="33"/>
  <c r="DE418" i="33"/>
  <c r="DE419" i="33"/>
  <c r="DE420" i="33"/>
  <c r="DE421" i="33"/>
  <c r="DE422" i="33"/>
  <c r="DE423" i="33"/>
  <c r="DE424" i="33"/>
  <c r="DE425" i="33"/>
  <c r="DE426" i="33"/>
  <c r="DE427" i="33"/>
  <c r="DE428" i="33"/>
  <c r="DE429" i="33"/>
  <c r="DE430" i="33"/>
  <c r="DE431" i="33"/>
  <c r="DE432" i="33"/>
  <c r="DE433" i="33"/>
  <c r="DE434" i="33"/>
  <c r="DE435" i="33"/>
  <c r="DE436" i="33"/>
  <c r="DE437" i="33"/>
  <c r="DE438" i="33"/>
  <c r="DE439" i="33"/>
  <c r="DE440" i="33"/>
  <c r="DE441" i="33"/>
  <c r="DE442" i="33"/>
  <c r="DE443" i="33"/>
  <c r="DE444" i="33"/>
  <c r="DE445" i="33"/>
  <c r="DE446" i="33"/>
  <c r="DE447" i="33"/>
  <c r="DE448" i="33"/>
  <c r="DE449" i="33"/>
  <c r="DE450" i="33"/>
  <c r="DE451" i="33"/>
  <c r="DE452" i="33"/>
  <c r="DE453" i="33"/>
  <c r="DE454" i="33"/>
  <c r="DE455" i="33"/>
  <c r="DE456" i="33"/>
  <c r="DE457" i="33"/>
  <c r="DE458" i="33"/>
  <c r="DE459" i="33"/>
  <c r="DE460" i="33"/>
  <c r="DE461" i="33"/>
  <c r="DE462" i="33"/>
  <c r="DE463" i="33"/>
  <c r="DE464" i="33"/>
  <c r="DE465" i="33"/>
  <c r="DE466" i="33"/>
  <c r="DE467" i="33"/>
  <c r="DE468" i="33"/>
  <c r="DE469" i="33"/>
  <c r="DE470" i="33"/>
  <c r="DE471" i="33"/>
  <c r="DE472" i="33"/>
  <c r="DE473" i="33"/>
  <c r="DE474" i="33"/>
  <c r="DE475" i="33"/>
  <c r="DE476" i="33"/>
  <c r="DE477" i="33"/>
  <c r="DE478" i="33"/>
  <c r="DE479" i="33"/>
  <c r="DE480" i="33"/>
  <c r="DE481" i="33"/>
  <c r="DE482" i="33"/>
  <c r="DE483" i="33"/>
  <c r="DE484" i="33"/>
  <c r="DE485" i="33"/>
  <c r="DE486" i="33"/>
  <c r="DE487" i="33"/>
  <c r="DE488" i="33"/>
  <c r="DE489" i="33"/>
  <c r="DE490" i="33"/>
  <c r="DE491" i="33"/>
  <c r="DE492" i="33"/>
  <c r="DE493" i="33"/>
  <c r="DE494" i="33"/>
  <c r="DE495" i="33"/>
  <c r="DE496" i="33"/>
  <c r="DE497" i="33"/>
  <c r="DE498" i="33"/>
  <c r="DE499" i="33"/>
  <c r="DE500" i="33"/>
  <c r="DE501" i="33"/>
  <c r="DE502" i="33"/>
  <c r="DE503" i="33"/>
  <c r="DE504" i="33"/>
  <c r="DE505" i="33"/>
  <c r="DE506" i="33"/>
  <c r="DE507" i="33"/>
  <c r="DE508" i="33"/>
  <c r="DE509" i="33"/>
  <c r="DE510" i="33"/>
  <c r="DE511" i="33"/>
  <c r="DE512" i="33"/>
  <c r="DE513" i="33"/>
  <c r="DE514" i="33"/>
  <c r="DE515" i="33"/>
  <c r="DE516" i="33"/>
  <c r="DE517" i="33"/>
  <c r="DE518" i="33"/>
  <c r="DE519" i="33"/>
  <c r="DE520" i="33"/>
  <c r="DE521" i="33"/>
  <c r="DE522" i="33"/>
  <c r="DE523" i="33"/>
  <c r="DE524" i="33"/>
  <c r="DE525" i="33"/>
  <c r="DE526" i="33"/>
  <c r="DE527" i="33"/>
  <c r="DE528" i="33"/>
  <c r="DE529" i="33"/>
  <c r="DE530" i="33"/>
  <c r="DE531" i="33"/>
  <c r="DE532" i="33"/>
  <c r="DE533" i="33"/>
  <c r="DE534" i="33"/>
  <c r="DE535" i="33"/>
  <c r="DE536" i="33"/>
  <c r="DE537" i="33"/>
  <c r="DE538" i="33"/>
  <c r="DE539" i="33"/>
  <c r="DE540" i="33"/>
  <c r="DE541" i="33"/>
  <c r="DE542" i="33"/>
  <c r="DE543" i="33"/>
  <c r="DE544" i="33"/>
  <c r="DE545" i="33"/>
  <c r="DE546" i="33"/>
  <c r="DE547" i="33"/>
  <c r="DE548" i="33"/>
  <c r="DE549" i="33"/>
  <c r="DE550" i="33"/>
  <c r="DE551" i="33"/>
  <c r="BA24" i="33"/>
  <c r="BB24" i="33"/>
  <c r="BC24" i="33"/>
  <c r="BD24" i="33"/>
  <c r="BE24" i="33"/>
  <c r="BF24" i="33"/>
  <c r="BG24" i="33"/>
  <c r="BH24" i="33"/>
  <c r="BI24" i="33"/>
  <c r="BJ24" i="33"/>
  <c r="BK24" i="33"/>
  <c r="BL24" i="33"/>
  <c r="BM24" i="33"/>
  <c r="BN24" i="33"/>
  <c r="BO24" i="33"/>
  <c r="BP24" i="33"/>
  <c r="BQ24" i="33"/>
  <c r="CL24" i="33"/>
  <c r="CM24" i="33"/>
  <c r="CN24" i="33"/>
  <c r="CO24" i="33"/>
  <c r="CP24" i="33"/>
  <c r="CQ24" i="33"/>
  <c r="CR24" i="33"/>
  <c r="AX24" i="33"/>
  <c r="AY24" i="33"/>
  <c r="AZ24" i="33"/>
  <c r="I24" i="33"/>
  <c r="DB377" i="33"/>
  <c r="DB253" i="33"/>
  <c r="DB246" i="33"/>
  <c r="DB460" i="33"/>
  <c r="DB104" i="33"/>
  <c r="DB404" i="33"/>
  <c r="DB408" i="33"/>
  <c r="DB261" i="33"/>
  <c r="DB381" i="33"/>
  <c r="DB549" i="33"/>
  <c r="DB443" i="33"/>
  <c r="DB142" i="33"/>
  <c r="DB289" i="33"/>
  <c r="DB43" i="33"/>
  <c r="DE30" i="33"/>
  <c r="DE36" i="33"/>
  <c r="DE31" i="33"/>
  <c r="DE33" i="33"/>
  <c r="DE37" i="33"/>
  <c r="DE32" i="33"/>
  <c r="DE38" i="33"/>
  <c r="DE35" i="33"/>
  <c r="DE34" i="33"/>
  <c r="DE29" i="33"/>
  <c r="DQ27" i="51"/>
  <c r="DR27" i="51"/>
  <c r="DS27" i="51"/>
  <c r="DT27" i="51"/>
  <c r="DU27" i="51"/>
  <c r="DP27" i="51"/>
  <c r="BG16" i="13"/>
  <c r="G16" i="13"/>
  <c r="A63" i="51"/>
  <c r="AL239" i="22"/>
  <c r="AL241" i="22"/>
  <c r="AL243" i="22"/>
  <c r="AL245" i="22"/>
  <c r="AL247" i="22"/>
  <c r="AL249" i="22"/>
  <c r="AL251" i="22"/>
  <c r="AL253" i="22"/>
  <c r="AL255" i="22"/>
  <c r="AL257" i="22"/>
  <c r="AL259" i="22"/>
  <c r="AL261" i="22"/>
  <c r="AL263" i="22"/>
  <c r="AL265" i="22"/>
  <c r="AL267" i="22"/>
  <c r="AL271" i="22"/>
  <c r="AL273" i="22"/>
  <c r="AL275" i="22"/>
  <c r="AL277" i="22"/>
  <c r="AL279" i="22"/>
  <c r="AL281" i="22"/>
  <c r="AL283" i="22"/>
  <c r="AL285" i="22"/>
  <c r="AL287" i="22"/>
  <c r="AL289" i="22"/>
  <c r="AL291" i="22"/>
  <c r="AL293" i="22"/>
  <c r="B119" i="51"/>
  <c r="EE13" i="51"/>
  <c r="ED13" i="51"/>
  <c r="EC13" i="51"/>
  <c r="EB13" i="51"/>
  <c r="EA13" i="51"/>
  <c r="DZ13" i="51"/>
  <c r="DY13" i="51"/>
  <c r="DZ10" i="51"/>
  <c r="EA10" i="51"/>
  <c r="EB10" i="51"/>
  <c r="EC10" i="51"/>
  <c r="ED10" i="51"/>
  <c r="EE10" i="51"/>
  <c r="DY10" i="51"/>
  <c r="B286" i="22"/>
  <c r="B284" i="22"/>
  <c r="B282" i="22"/>
  <c r="BI50" i="51" s="1"/>
  <c r="B280" i="22"/>
  <c r="BI48" i="51" s="1"/>
  <c r="B278" i="22"/>
  <c r="B276" i="22"/>
  <c r="B274" i="22"/>
  <c r="B272" i="22"/>
  <c r="BI40" i="51" s="1"/>
  <c r="B270" i="22"/>
  <c r="B268" i="22"/>
  <c r="B266" i="22"/>
  <c r="B264" i="22"/>
  <c r="BI32" i="51" s="1"/>
  <c r="B262" i="22"/>
  <c r="B260" i="22"/>
  <c r="BI28" i="51" s="1"/>
  <c r="B258" i="22"/>
  <c r="B256" i="22"/>
  <c r="BI24" i="51" s="1"/>
  <c r="B254" i="22"/>
  <c r="B252" i="22"/>
  <c r="B250" i="22"/>
  <c r="BI18" i="51" s="1"/>
  <c r="B248" i="22"/>
  <c r="BI16" i="51" s="1"/>
  <c r="B246" i="22"/>
  <c r="M166" i="10"/>
  <c r="G76" i="51"/>
  <c r="A79" i="51"/>
  <c r="AG268" i="22"/>
  <c r="AJ268" i="22" s="1"/>
  <c r="BQ268" i="22"/>
  <c r="BV268" i="22"/>
  <c r="CA268" i="22"/>
  <c r="CF268" i="22"/>
  <c r="CA284" i="22"/>
  <c r="CF284" i="22"/>
  <c r="BV284" i="22"/>
  <c r="BQ284" i="22"/>
  <c r="CD262" i="22"/>
  <c r="CD248" i="22"/>
  <c r="CD264" i="22"/>
  <c r="CD280" i="22"/>
  <c r="CA286" i="22"/>
  <c r="BV286" i="22"/>
  <c r="BQ256" i="22"/>
  <c r="CA256" i="22"/>
  <c r="CF256" i="22"/>
  <c r="BV256" i="22"/>
  <c r="AG272" i="22"/>
  <c r="AJ272" i="22"/>
  <c r="BV290" i="22"/>
  <c r="BQ290" i="22"/>
  <c r="CF290" i="22"/>
  <c r="CA290" i="22"/>
  <c r="CD250" i="22"/>
  <c r="CD266" i="22"/>
  <c r="CD282" i="22"/>
  <c r="CA254" i="22"/>
  <c r="BV254" i="22"/>
  <c r="BV258" i="22"/>
  <c r="BQ258" i="22"/>
  <c r="CA258" i="22"/>
  <c r="CF258" i="22"/>
  <c r="AG274" i="22"/>
  <c r="AJ274" i="22" s="1"/>
  <c r="CF292" i="22"/>
  <c r="CA292" i="22"/>
  <c r="BQ292" i="22"/>
  <c r="BV292" i="22"/>
  <c r="CD252" i="22"/>
  <c r="CD268" i="22"/>
  <c r="CD284" i="22"/>
  <c r="CF238" i="22"/>
  <c r="BQ238" i="22"/>
  <c r="AG242" i="22"/>
  <c r="AJ242" i="22" s="1"/>
  <c r="BV242" i="22"/>
  <c r="BQ242" i="22"/>
  <c r="CA242" i="22"/>
  <c r="CF242" i="22"/>
  <c r="BQ244" i="22"/>
  <c r="BV244" i="22"/>
  <c r="CA244" i="22"/>
  <c r="CF244" i="22"/>
  <c r="CF260" i="22"/>
  <c r="BV260" i="22"/>
  <c r="BQ260" i="22"/>
  <c r="CA260" i="22"/>
  <c r="AG276" i="22"/>
  <c r="AJ276" i="22"/>
  <c r="CD254" i="22"/>
  <c r="CD286" i="22"/>
  <c r="BV252" i="22"/>
  <c r="BQ252" i="22"/>
  <c r="CA252" i="22"/>
  <c r="CF252" i="22"/>
  <c r="CA262" i="22"/>
  <c r="BQ262" i="22"/>
  <c r="CD240" i="22"/>
  <c r="CD256" i="22"/>
  <c r="CD272" i="22"/>
  <c r="BY288" i="22"/>
  <c r="CD288" i="22"/>
  <c r="AG270" i="22"/>
  <c r="AJ270" i="22" s="1"/>
  <c r="AG278" i="22"/>
  <c r="AJ278" i="22" s="1"/>
  <c r="BQ248" i="22"/>
  <c r="CA248" i="22"/>
  <c r="CF248" i="22"/>
  <c r="BV248" i="22"/>
  <c r="BQ264" i="22"/>
  <c r="BV264" i="22"/>
  <c r="CA264" i="22"/>
  <c r="CF264" i="22"/>
  <c r="AG280" i="22"/>
  <c r="AJ280" i="22"/>
  <c r="BV280" i="22"/>
  <c r="BQ280" i="22"/>
  <c r="CA280" i="22"/>
  <c r="CF280" i="22"/>
  <c r="CD242" i="22"/>
  <c r="CD258" i="22"/>
  <c r="CD274" i="22"/>
  <c r="BY290" i="22"/>
  <c r="CD290" i="22"/>
  <c r="BQ240" i="22"/>
  <c r="BV240" i="22"/>
  <c r="CA240" i="22"/>
  <c r="CF240" i="22"/>
  <c r="CF246" i="22"/>
  <c r="BV246" i="22"/>
  <c r="BV250" i="22"/>
  <c r="BQ250" i="22"/>
  <c r="CA250" i="22"/>
  <c r="CF250" i="22"/>
  <c r="BV266" i="22"/>
  <c r="BQ266" i="22"/>
  <c r="CA266" i="22"/>
  <c r="CF266" i="22"/>
  <c r="AG282" i="22"/>
  <c r="AJ282" i="22" s="1"/>
  <c r="CD244" i="22"/>
  <c r="CD260" i="22"/>
  <c r="CD276" i="22"/>
  <c r="BY292" i="22"/>
  <c r="CD292" i="22"/>
  <c r="AL240" i="22"/>
  <c r="AG240" i="22"/>
  <c r="AJ240" i="22" s="1"/>
  <c r="AL256" i="22"/>
  <c r="AG256" i="22"/>
  <c r="AJ256" i="22" s="1"/>
  <c r="AL238" i="22"/>
  <c r="AG246" i="22"/>
  <c r="AJ246" i="22" s="1"/>
  <c r="AL254" i="22"/>
  <c r="AG262" i="22"/>
  <c r="AJ262" i="22" s="1"/>
  <c r="AG286" i="22"/>
  <c r="AJ286" i="22" s="1"/>
  <c r="AG288" i="22"/>
  <c r="AJ288" i="22" s="1"/>
  <c r="AL250" i="22"/>
  <c r="AG250" i="22"/>
  <c r="AJ250" i="22" s="1"/>
  <c r="AL258" i="22"/>
  <c r="AG258" i="22"/>
  <c r="AJ258" i="22"/>
  <c r="AL290" i="22"/>
  <c r="AG290" i="22"/>
  <c r="AJ290" i="22" s="1"/>
  <c r="AL248" i="22"/>
  <c r="AG248" i="22"/>
  <c r="AJ248" i="22"/>
  <c r="AL264" i="22"/>
  <c r="AG264" i="22"/>
  <c r="AJ264" i="22" s="1"/>
  <c r="AL266" i="22"/>
  <c r="AG266" i="22"/>
  <c r="AJ266" i="22" s="1"/>
  <c r="AL244" i="22"/>
  <c r="AG244" i="22"/>
  <c r="AJ244" i="22"/>
  <c r="AL252" i="22"/>
  <c r="AG252" i="22"/>
  <c r="AJ252" i="22" s="1"/>
  <c r="AL260" i="22"/>
  <c r="AG260" i="22"/>
  <c r="AJ260" i="22" s="1"/>
  <c r="AL284" i="22"/>
  <c r="AG284" i="22"/>
  <c r="AJ284" i="22"/>
  <c r="AL292" i="22"/>
  <c r="AG292" i="22"/>
  <c r="AJ292" i="22" s="1"/>
  <c r="C492" i="22"/>
  <c r="M51" i="51"/>
  <c r="M52" i="51"/>
  <c r="M53" i="51"/>
  <c r="M54" i="51"/>
  <c r="M55" i="51"/>
  <c r="M56" i="51"/>
  <c r="M57" i="51"/>
  <c r="M58" i="51"/>
  <c r="M59" i="51"/>
  <c r="BS59" i="51"/>
  <c r="BR59" i="51"/>
  <c r="BS57" i="51"/>
  <c r="BR57" i="51"/>
  <c r="BS55" i="51"/>
  <c r="BR55" i="51"/>
  <c r="BS53" i="51"/>
  <c r="BR53" i="51"/>
  <c r="BS51" i="51"/>
  <c r="BR51" i="51"/>
  <c r="BS49" i="51"/>
  <c r="BR49" i="51"/>
  <c r="BS47" i="51"/>
  <c r="BR47" i="51"/>
  <c r="BS45" i="51"/>
  <c r="BR45" i="51"/>
  <c r="BS43" i="51"/>
  <c r="BR43" i="51"/>
  <c r="BS41" i="51"/>
  <c r="BR41" i="51"/>
  <c r="BS39" i="51"/>
  <c r="BR39" i="51"/>
  <c r="BS37" i="51"/>
  <c r="BR37" i="51"/>
  <c r="BS35" i="51"/>
  <c r="BR35" i="51"/>
  <c r="BS33" i="51"/>
  <c r="BR33" i="51"/>
  <c r="BS31" i="51"/>
  <c r="BR31" i="51"/>
  <c r="BS29" i="51"/>
  <c r="BR29" i="51"/>
  <c r="BS27" i="51"/>
  <c r="BR27" i="51"/>
  <c r="BS25" i="51"/>
  <c r="BR25" i="51"/>
  <c r="BS23" i="51"/>
  <c r="BR23" i="51"/>
  <c r="BS21" i="51"/>
  <c r="BR21" i="51"/>
  <c r="BS19" i="51"/>
  <c r="BR19" i="51"/>
  <c r="BS17" i="51"/>
  <c r="BR17" i="51"/>
  <c r="BS15" i="51"/>
  <c r="BR15" i="51"/>
  <c r="BS13" i="51"/>
  <c r="BR13" i="51"/>
  <c r="BS11" i="51"/>
  <c r="BR11" i="51"/>
  <c r="BS9" i="51"/>
  <c r="BR9" i="51"/>
  <c r="BS7" i="51"/>
  <c r="BR7" i="51"/>
  <c r="AR6" i="51"/>
  <c r="AK6" i="51"/>
  <c r="CC5" i="51"/>
  <c r="BX5" i="51"/>
  <c r="DD1" i="51"/>
  <c r="V51" i="51"/>
  <c r="V52" i="51"/>
  <c r="V53" i="51"/>
  <c r="V54" i="51"/>
  <c r="V55" i="51"/>
  <c r="V56" i="51"/>
  <c r="V57" i="51"/>
  <c r="V58" i="51"/>
  <c r="V59" i="51"/>
  <c r="B51" i="51"/>
  <c r="B52" i="51"/>
  <c r="B53" i="51"/>
  <c r="B54" i="51"/>
  <c r="B55" i="51"/>
  <c r="B56" i="51"/>
  <c r="B57" i="51"/>
  <c r="B58" i="51"/>
  <c r="B59" i="51"/>
  <c r="CW52" i="51"/>
  <c r="CW34" i="51"/>
  <c r="CN42" i="51"/>
  <c r="CN36" i="51"/>
  <c r="CN24" i="51"/>
  <c r="CW6" i="51"/>
  <c r="CN14" i="51"/>
  <c r="L106" i="10"/>
  <c r="CU30" i="33"/>
  <c r="CU31" i="33"/>
  <c r="CU32" i="33"/>
  <c r="CU33" i="33"/>
  <c r="CU34" i="33"/>
  <c r="CU35" i="33"/>
  <c r="CU36" i="33"/>
  <c r="CU37" i="33"/>
  <c r="CU38" i="33"/>
  <c r="CU39" i="33"/>
  <c r="CU40" i="33"/>
  <c r="CU41" i="33"/>
  <c r="CU42" i="33"/>
  <c r="CU43" i="33"/>
  <c r="CU44" i="33"/>
  <c r="CU45" i="33"/>
  <c r="CU46" i="33"/>
  <c r="CU47" i="33"/>
  <c r="CU48" i="33"/>
  <c r="CU49" i="33"/>
  <c r="CU50" i="33"/>
  <c r="CU51" i="33"/>
  <c r="CU52" i="33"/>
  <c r="CU53" i="33"/>
  <c r="CU54" i="33"/>
  <c r="CU55" i="33"/>
  <c r="CU56" i="33"/>
  <c r="CU57" i="33"/>
  <c r="CU58" i="33"/>
  <c r="CU59" i="33"/>
  <c r="CU60" i="33"/>
  <c r="CU61" i="33"/>
  <c r="CU62" i="33"/>
  <c r="CU63" i="33"/>
  <c r="CU64" i="33"/>
  <c r="CU65" i="33"/>
  <c r="CU66" i="33"/>
  <c r="CU67" i="33"/>
  <c r="CU68" i="33"/>
  <c r="CU69" i="33"/>
  <c r="CU70" i="33"/>
  <c r="CU71" i="33"/>
  <c r="CU72" i="33"/>
  <c r="CU73" i="33"/>
  <c r="CU74" i="33"/>
  <c r="CU75" i="33"/>
  <c r="CU76" i="33"/>
  <c r="CU77" i="33"/>
  <c r="CU78" i="33"/>
  <c r="CU79" i="33"/>
  <c r="CU80" i="33"/>
  <c r="CU81" i="33"/>
  <c r="CU82" i="33"/>
  <c r="CU83" i="33"/>
  <c r="CU84" i="33"/>
  <c r="CU85" i="33"/>
  <c r="CU86" i="33"/>
  <c r="CU87" i="33"/>
  <c r="CU88" i="33"/>
  <c r="CU89" i="33"/>
  <c r="CU90" i="33"/>
  <c r="CU91" i="33"/>
  <c r="CU92" i="33"/>
  <c r="CU93" i="33"/>
  <c r="CU94" i="33"/>
  <c r="CU95" i="33"/>
  <c r="CU96" i="33"/>
  <c r="CU97" i="33"/>
  <c r="CU98" i="33"/>
  <c r="CU99" i="33"/>
  <c r="CU100" i="33"/>
  <c r="CU101" i="33"/>
  <c r="CU102" i="33"/>
  <c r="CU103" i="33"/>
  <c r="CU104" i="33"/>
  <c r="CU105" i="33"/>
  <c r="CU106" i="33"/>
  <c r="CU107" i="33"/>
  <c r="CU108" i="33"/>
  <c r="CU109" i="33"/>
  <c r="CU110" i="33"/>
  <c r="CU111" i="33"/>
  <c r="CU112" i="33"/>
  <c r="CU113" i="33"/>
  <c r="CU114" i="33"/>
  <c r="CU115" i="33"/>
  <c r="CU116" i="33"/>
  <c r="CU117" i="33"/>
  <c r="CU118" i="33"/>
  <c r="CU119" i="33"/>
  <c r="CU120" i="33"/>
  <c r="CU121" i="33"/>
  <c r="CU122" i="33"/>
  <c r="CU123" i="33"/>
  <c r="CU124" i="33"/>
  <c r="CU125" i="33"/>
  <c r="CU126" i="33"/>
  <c r="CU127" i="33"/>
  <c r="CU128" i="33"/>
  <c r="CU129" i="33"/>
  <c r="CU130" i="33"/>
  <c r="CU131" i="33"/>
  <c r="CU132" i="33"/>
  <c r="CU133" i="33"/>
  <c r="CU134" i="33"/>
  <c r="CU135" i="33"/>
  <c r="CU136" i="33"/>
  <c r="CU137" i="33"/>
  <c r="CU138" i="33"/>
  <c r="CU139" i="33"/>
  <c r="CU140" i="33"/>
  <c r="CU141" i="33"/>
  <c r="CU142" i="33"/>
  <c r="CU143" i="33"/>
  <c r="CU144" i="33"/>
  <c r="CU145" i="33"/>
  <c r="CU146" i="33"/>
  <c r="CU147" i="33"/>
  <c r="CU148" i="33"/>
  <c r="CU149" i="33"/>
  <c r="CU150" i="33"/>
  <c r="CU151" i="33"/>
  <c r="CU152" i="33"/>
  <c r="CU153" i="33"/>
  <c r="CU154" i="33"/>
  <c r="CU155" i="33"/>
  <c r="CU156" i="33"/>
  <c r="CU157" i="33"/>
  <c r="CU158" i="33"/>
  <c r="CU159" i="33"/>
  <c r="CU160" i="33"/>
  <c r="CU161" i="33"/>
  <c r="CU162" i="33"/>
  <c r="CU163" i="33"/>
  <c r="CU164" i="33"/>
  <c r="CU165" i="33"/>
  <c r="CU166" i="33"/>
  <c r="CU167" i="33"/>
  <c r="CU168" i="33"/>
  <c r="CU169" i="33"/>
  <c r="CU170" i="33"/>
  <c r="CU171" i="33"/>
  <c r="CU172" i="33"/>
  <c r="CU173" i="33"/>
  <c r="CU174" i="33"/>
  <c r="CU175" i="33"/>
  <c r="CU176" i="33"/>
  <c r="CU177" i="33"/>
  <c r="CU178" i="33"/>
  <c r="CU179" i="33"/>
  <c r="CU180" i="33"/>
  <c r="CU181" i="33"/>
  <c r="CU182" i="33"/>
  <c r="CU183" i="33"/>
  <c r="CU184" i="33"/>
  <c r="CU185" i="33"/>
  <c r="CU186" i="33"/>
  <c r="CU187" i="33"/>
  <c r="CU188" i="33"/>
  <c r="CU189" i="33"/>
  <c r="CU190" i="33"/>
  <c r="CU191" i="33"/>
  <c r="CU192" i="33"/>
  <c r="CU193" i="33"/>
  <c r="CU194" i="33"/>
  <c r="CU195" i="33"/>
  <c r="CU196" i="33"/>
  <c r="CU197" i="33"/>
  <c r="CU198" i="33"/>
  <c r="CU199" i="33"/>
  <c r="CU200" i="33"/>
  <c r="CU201" i="33"/>
  <c r="CU202" i="33"/>
  <c r="CU203" i="33"/>
  <c r="CU204" i="33"/>
  <c r="CU205" i="33"/>
  <c r="CU206" i="33"/>
  <c r="CU207" i="33"/>
  <c r="CU208" i="33"/>
  <c r="CU209" i="33"/>
  <c r="CU210" i="33"/>
  <c r="CU211" i="33"/>
  <c r="CU212" i="33"/>
  <c r="CU213" i="33"/>
  <c r="CU214" i="33"/>
  <c r="CU215" i="33"/>
  <c r="CU216" i="33"/>
  <c r="CU217" i="33"/>
  <c r="CU218" i="33"/>
  <c r="CU219" i="33"/>
  <c r="CU220" i="33"/>
  <c r="CU221" i="33"/>
  <c r="CU222" i="33"/>
  <c r="CU223" i="33"/>
  <c r="CU224" i="33"/>
  <c r="CU225" i="33"/>
  <c r="CU226" i="33"/>
  <c r="CU227" i="33"/>
  <c r="CU228" i="33"/>
  <c r="CU229" i="33"/>
  <c r="CU230" i="33"/>
  <c r="CU231" i="33"/>
  <c r="CU232" i="33"/>
  <c r="CU233" i="33"/>
  <c r="CU234" i="33"/>
  <c r="CU235" i="33"/>
  <c r="CU236" i="33"/>
  <c r="CU237" i="33"/>
  <c r="CU238" i="33"/>
  <c r="CU239" i="33"/>
  <c r="CU240" i="33"/>
  <c r="CU241" i="33"/>
  <c r="CU242" i="33"/>
  <c r="CU243" i="33"/>
  <c r="CU244" i="33"/>
  <c r="CU245" i="33"/>
  <c r="CU246" i="33"/>
  <c r="CU247" i="33"/>
  <c r="CU248" i="33"/>
  <c r="CU249" i="33"/>
  <c r="CU250" i="33"/>
  <c r="CU251" i="33"/>
  <c r="CU252" i="33"/>
  <c r="CU253" i="33"/>
  <c r="CU254" i="33"/>
  <c r="CU255" i="33"/>
  <c r="CU256" i="33"/>
  <c r="CU257" i="33"/>
  <c r="CU258" i="33"/>
  <c r="CU259" i="33"/>
  <c r="CU260" i="33"/>
  <c r="CU261" i="33"/>
  <c r="CU262" i="33"/>
  <c r="CU263" i="33"/>
  <c r="CU264" i="33"/>
  <c r="CU265" i="33"/>
  <c r="CU266" i="33"/>
  <c r="CU267" i="33"/>
  <c r="CU268" i="33"/>
  <c r="CU269" i="33"/>
  <c r="CU270" i="33"/>
  <c r="CU271" i="33"/>
  <c r="CU272" i="33"/>
  <c r="CU273" i="33"/>
  <c r="CU274" i="33"/>
  <c r="CU275" i="33"/>
  <c r="CU276" i="33"/>
  <c r="CU277" i="33"/>
  <c r="CU278" i="33"/>
  <c r="CU279" i="33"/>
  <c r="CU280" i="33"/>
  <c r="CU281" i="33"/>
  <c r="CU282" i="33"/>
  <c r="CU283" i="33"/>
  <c r="CU284" i="33"/>
  <c r="CU285" i="33"/>
  <c r="CU286" i="33"/>
  <c r="CU287" i="33"/>
  <c r="CU288" i="33"/>
  <c r="CU289" i="33"/>
  <c r="CU290" i="33"/>
  <c r="CU291" i="33"/>
  <c r="CU292" i="33"/>
  <c r="CU293" i="33"/>
  <c r="CU294" i="33"/>
  <c r="CU295" i="33"/>
  <c r="CU296" i="33"/>
  <c r="CU297" i="33"/>
  <c r="CU298" i="33"/>
  <c r="CU299" i="33"/>
  <c r="CU300" i="33"/>
  <c r="CU301" i="33"/>
  <c r="CU302" i="33"/>
  <c r="CU303" i="33"/>
  <c r="CU304" i="33"/>
  <c r="CU305" i="33"/>
  <c r="CU306" i="33"/>
  <c r="CU307" i="33"/>
  <c r="CU308" i="33"/>
  <c r="CU309" i="33"/>
  <c r="CU310" i="33"/>
  <c r="CU311" i="33"/>
  <c r="CU312" i="33"/>
  <c r="CU313" i="33"/>
  <c r="CU314" i="33"/>
  <c r="CU315" i="33"/>
  <c r="CU316" i="33"/>
  <c r="CU317" i="33"/>
  <c r="CU318" i="33"/>
  <c r="CU319" i="33"/>
  <c r="CU320" i="33"/>
  <c r="CU321" i="33"/>
  <c r="CU322" i="33"/>
  <c r="CU323" i="33"/>
  <c r="CU324" i="33"/>
  <c r="CU325" i="33"/>
  <c r="CU326" i="33"/>
  <c r="CU327" i="33"/>
  <c r="CU328" i="33"/>
  <c r="CU329" i="33"/>
  <c r="CU330" i="33"/>
  <c r="CU331" i="33"/>
  <c r="CU332" i="33"/>
  <c r="CU333" i="33"/>
  <c r="CU334" i="33"/>
  <c r="CU335" i="33"/>
  <c r="CU336" i="33"/>
  <c r="CU337" i="33"/>
  <c r="CU338" i="33"/>
  <c r="CU339" i="33"/>
  <c r="CU340" i="33"/>
  <c r="CU341" i="33"/>
  <c r="CU342" i="33"/>
  <c r="CU343" i="33"/>
  <c r="CU344" i="33"/>
  <c r="CU345" i="33"/>
  <c r="CU346" i="33"/>
  <c r="CU347" i="33"/>
  <c r="CU348" i="33"/>
  <c r="CU349" i="33"/>
  <c r="CU350" i="33"/>
  <c r="CU351" i="33"/>
  <c r="CU352" i="33"/>
  <c r="CU353" i="33"/>
  <c r="CU354" i="33"/>
  <c r="CU355" i="33"/>
  <c r="CU356" i="33"/>
  <c r="CU357" i="33"/>
  <c r="CU358" i="33"/>
  <c r="CU359" i="33"/>
  <c r="CU360" i="33"/>
  <c r="CU361" i="33"/>
  <c r="CU362" i="33"/>
  <c r="CU363" i="33"/>
  <c r="CU364" i="33"/>
  <c r="CU365" i="33"/>
  <c r="CU366" i="33"/>
  <c r="CU367" i="33"/>
  <c r="CU368" i="33"/>
  <c r="CU369" i="33"/>
  <c r="CU370" i="33"/>
  <c r="CU371" i="33"/>
  <c r="CU372" i="33"/>
  <c r="CU373" i="33"/>
  <c r="CU374" i="33"/>
  <c r="CU375" i="33"/>
  <c r="CU376" i="33"/>
  <c r="CU377" i="33"/>
  <c r="CU378" i="33"/>
  <c r="CU379" i="33"/>
  <c r="CU380" i="33"/>
  <c r="CU381" i="33"/>
  <c r="CU382" i="33"/>
  <c r="CU383" i="33"/>
  <c r="CU384" i="33"/>
  <c r="CU385" i="33"/>
  <c r="CU386" i="33"/>
  <c r="CU387" i="33"/>
  <c r="CU388" i="33"/>
  <c r="CU389" i="33"/>
  <c r="CU390" i="33"/>
  <c r="CU391" i="33"/>
  <c r="CU392" i="33"/>
  <c r="CU393" i="33"/>
  <c r="CU394" i="33"/>
  <c r="CU395" i="33"/>
  <c r="CU396" i="33"/>
  <c r="CU397" i="33"/>
  <c r="CU398" i="33"/>
  <c r="CU399" i="33"/>
  <c r="CU400" i="33"/>
  <c r="CU401" i="33"/>
  <c r="CU402" i="33"/>
  <c r="CU403" i="33"/>
  <c r="CU404" i="33"/>
  <c r="CU405" i="33"/>
  <c r="CU406" i="33"/>
  <c r="CU407" i="33"/>
  <c r="CU408" i="33"/>
  <c r="CU409" i="33"/>
  <c r="CU410" i="33"/>
  <c r="CU411" i="33"/>
  <c r="CU412" i="33"/>
  <c r="CU413" i="33"/>
  <c r="CU414" i="33"/>
  <c r="CU415" i="33"/>
  <c r="CU416" i="33"/>
  <c r="CU417" i="33"/>
  <c r="CU418" i="33"/>
  <c r="CU419" i="33"/>
  <c r="CU420" i="33"/>
  <c r="CU421" i="33"/>
  <c r="CU422" i="33"/>
  <c r="CU423" i="33"/>
  <c r="CU424" i="33"/>
  <c r="CU425" i="33"/>
  <c r="CU426" i="33"/>
  <c r="CU427" i="33"/>
  <c r="CU428" i="33"/>
  <c r="CU429" i="33"/>
  <c r="CU430" i="33"/>
  <c r="CU431" i="33"/>
  <c r="CU432" i="33"/>
  <c r="CU433" i="33"/>
  <c r="CU434" i="33"/>
  <c r="CU435" i="33"/>
  <c r="CU436" i="33"/>
  <c r="CU437" i="33"/>
  <c r="CU438" i="33"/>
  <c r="CU439" i="33"/>
  <c r="CU440" i="33"/>
  <c r="CU441" i="33"/>
  <c r="CU442" i="33"/>
  <c r="CU443" i="33"/>
  <c r="CU444" i="33"/>
  <c r="CU445" i="33"/>
  <c r="CU446" i="33"/>
  <c r="CU447" i="33"/>
  <c r="CU448" i="33"/>
  <c r="CU449" i="33"/>
  <c r="CU450" i="33"/>
  <c r="CU451" i="33"/>
  <c r="CU452" i="33"/>
  <c r="CU453" i="33"/>
  <c r="CU454" i="33"/>
  <c r="CU455" i="33"/>
  <c r="CU456" i="33"/>
  <c r="CU457" i="33"/>
  <c r="CU458" i="33"/>
  <c r="CU459" i="33"/>
  <c r="CU460" i="33"/>
  <c r="CU461" i="33"/>
  <c r="CU462" i="33"/>
  <c r="CU463" i="33"/>
  <c r="CU464" i="33"/>
  <c r="CU465" i="33"/>
  <c r="CU466" i="33"/>
  <c r="CU467" i="33"/>
  <c r="CU468" i="33"/>
  <c r="CU469" i="33"/>
  <c r="CU470" i="33"/>
  <c r="CU471" i="33"/>
  <c r="CU472" i="33"/>
  <c r="CU473" i="33"/>
  <c r="CU474" i="33"/>
  <c r="CU475" i="33"/>
  <c r="CU476" i="33"/>
  <c r="CU477" i="33"/>
  <c r="CU478" i="33"/>
  <c r="CU479" i="33"/>
  <c r="CU480" i="33"/>
  <c r="CU481" i="33"/>
  <c r="CU482" i="33"/>
  <c r="CU483" i="33"/>
  <c r="CU484" i="33"/>
  <c r="CU485" i="33"/>
  <c r="CU486" i="33"/>
  <c r="CU487" i="33"/>
  <c r="CU488" i="33"/>
  <c r="CU489" i="33"/>
  <c r="CU490" i="33"/>
  <c r="CU491" i="33"/>
  <c r="CU492" i="33"/>
  <c r="CU493" i="33"/>
  <c r="CU494" i="33"/>
  <c r="CU495" i="33"/>
  <c r="CU496" i="33"/>
  <c r="CU497" i="33"/>
  <c r="CU498" i="33"/>
  <c r="CU499" i="33"/>
  <c r="CU500" i="33"/>
  <c r="CU501" i="33"/>
  <c r="CU502" i="33"/>
  <c r="CU503" i="33"/>
  <c r="CU504" i="33"/>
  <c r="CU505" i="33"/>
  <c r="CU506" i="33"/>
  <c r="CU507" i="33"/>
  <c r="CU508" i="33"/>
  <c r="CU509" i="33"/>
  <c r="CU510" i="33"/>
  <c r="CU511" i="33"/>
  <c r="CU512" i="33"/>
  <c r="CU513" i="33"/>
  <c r="CU514" i="33"/>
  <c r="CU515" i="33"/>
  <c r="CU516" i="33"/>
  <c r="CU517" i="33"/>
  <c r="CU518" i="33"/>
  <c r="CU519" i="33"/>
  <c r="CU520" i="33"/>
  <c r="CU521" i="33"/>
  <c r="CU522" i="33"/>
  <c r="CU523" i="33"/>
  <c r="CU524" i="33"/>
  <c r="CU525" i="33"/>
  <c r="CU526" i="33"/>
  <c r="CU527" i="33"/>
  <c r="CU528" i="33"/>
  <c r="CU529" i="33"/>
  <c r="CU530" i="33"/>
  <c r="CU531" i="33"/>
  <c r="CU532" i="33"/>
  <c r="CU533" i="33"/>
  <c r="CU534" i="33"/>
  <c r="CU535" i="33"/>
  <c r="CU536" i="33"/>
  <c r="CU537" i="33"/>
  <c r="CU538" i="33"/>
  <c r="CU539" i="33"/>
  <c r="CU540" i="33"/>
  <c r="CU541" i="33"/>
  <c r="CU542" i="33"/>
  <c r="CU543" i="33"/>
  <c r="CU544" i="33"/>
  <c r="CU545" i="33"/>
  <c r="CU546" i="33"/>
  <c r="CU547" i="33"/>
  <c r="CU548" i="33"/>
  <c r="CU549" i="33"/>
  <c r="CU550" i="33"/>
  <c r="CU551" i="33"/>
  <c r="CU29" i="33"/>
  <c r="DF34" i="33"/>
  <c r="DG34" i="33" s="1"/>
  <c r="DF35" i="33"/>
  <c r="DG35" i="33" s="1"/>
  <c r="DF36" i="33"/>
  <c r="DG36" i="33" s="1"/>
  <c r="DF37" i="33"/>
  <c r="DG37" i="33" s="1"/>
  <c r="DF38" i="33"/>
  <c r="DG38" i="33" s="1"/>
  <c r="DF39" i="33"/>
  <c r="DG39" i="33" s="1"/>
  <c r="DF40" i="33"/>
  <c r="DG40" i="33"/>
  <c r="DF41" i="33"/>
  <c r="DG41" i="33" s="1"/>
  <c r="DF42" i="33"/>
  <c r="DG42" i="33" s="1"/>
  <c r="DF43" i="33"/>
  <c r="DG43" i="33" s="1"/>
  <c r="DF44" i="33"/>
  <c r="DG44" i="33" s="1"/>
  <c r="DF45" i="33"/>
  <c r="DG45" i="33" s="1"/>
  <c r="DF46" i="33"/>
  <c r="DG46" i="33"/>
  <c r="DF47" i="33"/>
  <c r="DG47" i="33" s="1"/>
  <c r="DF48" i="33"/>
  <c r="DG48" i="33"/>
  <c r="DF49" i="33"/>
  <c r="DG49" i="33" s="1"/>
  <c r="DF50" i="33"/>
  <c r="DG50" i="33" s="1"/>
  <c r="DF51" i="33"/>
  <c r="DG51" i="33" s="1"/>
  <c r="DF52" i="33"/>
  <c r="DG52" i="33"/>
  <c r="DF53" i="33"/>
  <c r="DG53" i="33" s="1"/>
  <c r="DF54" i="33"/>
  <c r="DG54" i="33"/>
  <c r="DF55" i="33"/>
  <c r="DG55" i="33" s="1"/>
  <c r="DF56" i="33"/>
  <c r="DG56" i="33"/>
  <c r="DF57" i="33"/>
  <c r="DG57" i="33" s="1"/>
  <c r="DF58" i="33"/>
  <c r="DG58" i="33" s="1"/>
  <c r="DF59" i="33"/>
  <c r="DG59" i="33" s="1"/>
  <c r="DF60" i="33"/>
  <c r="DG60" i="33"/>
  <c r="DF61" i="33"/>
  <c r="DG61" i="33" s="1"/>
  <c r="DF62" i="33"/>
  <c r="DG62" i="33" s="1"/>
  <c r="DF63" i="33"/>
  <c r="DG63" i="33" s="1"/>
  <c r="DF64" i="33"/>
  <c r="DG64" i="33"/>
  <c r="DF65" i="33"/>
  <c r="DG65" i="33" s="1"/>
  <c r="DF66" i="33"/>
  <c r="DG66" i="33" s="1"/>
  <c r="DF67" i="33"/>
  <c r="DG67" i="33" s="1"/>
  <c r="DF68" i="33"/>
  <c r="DG68" i="33" s="1"/>
  <c r="DF69" i="33"/>
  <c r="DG69" i="33" s="1"/>
  <c r="DF70" i="33"/>
  <c r="DG70" i="33" s="1"/>
  <c r="DF71" i="33"/>
  <c r="DG71" i="33" s="1"/>
  <c r="DF72" i="33"/>
  <c r="DG72" i="33"/>
  <c r="DF73" i="33"/>
  <c r="DG73" i="33" s="1"/>
  <c r="DF74" i="33"/>
  <c r="DG74" i="33" s="1"/>
  <c r="DF75" i="33"/>
  <c r="DG75" i="33" s="1"/>
  <c r="DF76" i="33"/>
  <c r="DG76" i="33" s="1"/>
  <c r="DF77" i="33"/>
  <c r="DG77" i="33" s="1"/>
  <c r="DF78" i="33"/>
  <c r="DG78" i="33"/>
  <c r="DF79" i="33"/>
  <c r="DG79" i="33" s="1"/>
  <c r="DF80" i="33"/>
  <c r="DG80" i="33"/>
  <c r="DF81" i="33"/>
  <c r="DG81" i="33" s="1"/>
  <c r="DF82" i="33"/>
  <c r="DG82" i="33" s="1"/>
  <c r="DF83" i="33"/>
  <c r="DG83" i="33" s="1"/>
  <c r="DF84" i="33"/>
  <c r="DG84" i="33"/>
  <c r="DF85" i="33"/>
  <c r="DG85" i="33" s="1"/>
  <c r="DF86" i="33"/>
  <c r="DG86" i="33"/>
  <c r="DF87" i="33"/>
  <c r="DG87" i="33" s="1"/>
  <c r="DF88" i="33"/>
  <c r="DG88" i="33"/>
  <c r="DF89" i="33"/>
  <c r="DG89" i="33" s="1"/>
  <c r="DF90" i="33"/>
  <c r="DG90" i="33" s="1"/>
  <c r="DF91" i="33"/>
  <c r="DG91" i="33" s="1"/>
  <c r="DF92" i="33"/>
  <c r="DG92" i="33"/>
  <c r="DF93" i="33"/>
  <c r="DG93" i="33" s="1"/>
  <c r="DF94" i="33"/>
  <c r="DG94" i="33" s="1"/>
  <c r="DF95" i="33"/>
  <c r="DG95" i="33" s="1"/>
  <c r="DF96" i="33"/>
  <c r="DG96" i="33"/>
  <c r="DF97" i="33"/>
  <c r="DG97" i="33" s="1"/>
  <c r="DF98" i="33"/>
  <c r="DG98" i="33" s="1"/>
  <c r="DF99" i="33"/>
  <c r="DG99" i="33" s="1"/>
  <c r="DF100" i="33"/>
  <c r="DG100" i="33"/>
  <c r="DF101" i="33"/>
  <c r="DG101" i="33" s="1"/>
  <c r="DF102" i="33"/>
  <c r="DG102" i="33" s="1"/>
  <c r="DF103" i="33"/>
  <c r="DG103" i="33" s="1"/>
  <c r="DF104" i="33"/>
  <c r="DG104" i="33"/>
  <c r="DF105" i="33"/>
  <c r="DG105" i="33" s="1"/>
  <c r="DF106" i="33"/>
  <c r="DG106" i="33" s="1"/>
  <c r="DF107" i="33"/>
  <c r="DG107" i="33" s="1"/>
  <c r="DF108" i="33"/>
  <c r="DG108" i="33" s="1"/>
  <c r="DF109" i="33"/>
  <c r="DG109" i="33" s="1"/>
  <c r="DF110" i="33"/>
  <c r="DG110" i="33"/>
  <c r="DF111" i="33"/>
  <c r="DG111" i="33" s="1"/>
  <c r="DF112" i="33"/>
  <c r="DG112" i="33"/>
  <c r="DF113" i="33"/>
  <c r="DG113" i="33" s="1"/>
  <c r="DF114" i="33"/>
  <c r="DG114" i="33" s="1"/>
  <c r="DF115" i="33"/>
  <c r="DG115" i="33" s="1"/>
  <c r="DF116" i="33"/>
  <c r="DG116" i="33"/>
  <c r="DF117" i="33"/>
  <c r="DG117" i="33" s="1"/>
  <c r="DF118" i="33"/>
  <c r="DG118" i="33"/>
  <c r="DF119" i="33"/>
  <c r="DG119" i="33" s="1"/>
  <c r="DF120" i="33"/>
  <c r="DG120" i="33"/>
  <c r="DF121" i="33"/>
  <c r="DG121" i="33" s="1"/>
  <c r="DF122" i="33"/>
  <c r="DG122" i="33" s="1"/>
  <c r="DF123" i="33"/>
  <c r="DG123" i="33" s="1"/>
  <c r="DF124" i="33"/>
  <c r="DG124" i="33"/>
  <c r="DF125" i="33"/>
  <c r="DG125" i="33" s="1"/>
  <c r="DF126" i="33"/>
  <c r="DG126" i="33"/>
  <c r="DF127" i="33"/>
  <c r="DG127" i="33" s="1"/>
  <c r="DF128" i="33"/>
  <c r="DG128" i="33"/>
  <c r="DF129" i="33"/>
  <c r="DG129" i="33" s="1"/>
  <c r="DF130" i="33"/>
  <c r="DG130" i="33" s="1"/>
  <c r="DF131" i="33"/>
  <c r="DG131" i="33" s="1"/>
  <c r="DF132" i="33"/>
  <c r="DG132" i="33"/>
  <c r="DF133" i="33"/>
  <c r="DG133" i="33" s="1"/>
  <c r="DF134" i="33"/>
  <c r="DG134" i="33" s="1"/>
  <c r="DF135" i="33"/>
  <c r="DG135" i="33" s="1"/>
  <c r="DF136" i="33"/>
  <c r="DG136" i="33"/>
  <c r="DF137" i="33"/>
  <c r="DG137" i="33" s="1"/>
  <c r="DF138" i="33"/>
  <c r="DG138" i="33" s="1"/>
  <c r="DF139" i="33"/>
  <c r="DG139" i="33" s="1"/>
  <c r="DF140" i="33"/>
  <c r="DG140" i="33" s="1"/>
  <c r="DF141" i="33"/>
  <c r="DG141" i="33" s="1"/>
  <c r="DF142" i="33"/>
  <c r="DG142" i="33"/>
  <c r="DF143" i="33"/>
  <c r="DG143" i="33" s="1"/>
  <c r="DF144" i="33"/>
  <c r="DG144" i="33"/>
  <c r="DF145" i="33"/>
  <c r="DG145" i="33" s="1"/>
  <c r="DF146" i="33"/>
  <c r="DG146" i="33" s="1"/>
  <c r="DF147" i="33"/>
  <c r="DG147" i="33" s="1"/>
  <c r="DF148" i="33"/>
  <c r="DG148" i="33"/>
  <c r="DF149" i="33"/>
  <c r="DG149" i="33" s="1"/>
  <c r="DF150" i="33"/>
  <c r="DG150" i="33"/>
  <c r="DF151" i="33"/>
  <c r="DG151" i="33" s="1"/>
  <c r="DF152" i="33"/>
  <c r="DG152" i="33"/>
  <c r="DF153" i="33"/>
  <c r="DG153" i="33" s="1"/>
  <c r="DF154" i="33"/>
  <c r="DG154" i="33" s="1"/>
  <c r="DF155" i="33"/>
  <c r="DG155" i="33" s="1"/>
  <c r="DF156" i="33"/>
  <c r="DG156" i="33"/>
  <c r="DF157" i="33"/>
  <c r="DG157" i="33" s="1"/>
  <c r="DF158" i="33"/>
  <c r="DG158" i="33"/>
  <c r="DF159" i="33"/>
  <c r="DG159" i="33" s="1"/>
  <c r="DF160" i="33"/>
  <c r="DG160" i="33"/>
  <c r="DF161" i="33"/>
  <c r="DG161" i="33" s="1"/>
  <c r="DF162" i="33"/>
  <c r="DG162" i="33" s="1"/>
  <c r="DF163" i="33"/>
  <c r="DG163" i="33" s="1"/>
  <c r="DF164" i="33"/>
  <c r="DG164" i="33"/>
  <c r="DF165" i="33"/>
  <c r="DG165" i="33" s="1"/>
  <c r="DF166" i="33"/>
  <c r="DG166" i="33" s="1"/>
  <c r="DF167" i="33"/>
  <c r="DG167" i="33" s="1"/>
  <c r="DF168" i="33"/>
  <c r="DG168" i="33"/>
  <c r="DF169" i="33"/>
  <c r="DG169" i="33" s="1"/>
  <c r="DF170" i="33"/>
  <c r="DG170" i="33" s="1"/>
  <c r="DF171" i="33"/>
  <c r="DG171" i="33" s="1"/>
  <c r="DF172" i="33"/>
  <c r="DG172" i="33" s="1"/>
  <c r="DF173" i="33"/>
  <c r="DG173" i="33" s="1"/>
  <c r="DF174" i="33"/>
  <c r="DG174" i="33"/>
  <c r="DF175" i="33"/>
  <c r="DG175" i="33" s="1"/>
  <c r="DF176" i="33"/>
  <c r="DG176" i="33"/>
  <c r="DF177" i="33"/>
  <c r="DG177" i="33" s="1"/>
  <c r="DF178" i="33"/>
  <c r="DG178" i="33" s="1"/>
  <c r="DF179" i="33"/>
  <c r="DG179" i="33" s="1"/>
  <c r="DF180" i="33"/>
  <c r="DG180" i="33"/>
  <c r="DF181" i="33"/>
  <c r="DG181" i="33" s="1"/>
  <c r="DF182" i="33"/>
  <c r="DG182" i="33"/>
  <c r="DF183" i="33"/>
  <c r="DG183" i="33" s="1"/>
  <c r="DF184" i="33"/>
  <c r="DG184" i="33"/>
  <c r="DF185" i="33"/>
  <c r="DG185" i="33" s="1"/>
  <c r="DF186" i="33"/>
  <c r="DG186" i="33" s="1"/>
  <c r="DF187" i="33"/>
  <c r="DG187" i="33" s="1"/>
  <c r="DF188" i="33"/>
  <c r="DG188" i="33"/>
  <c r="DF189" i="33"/>
  <c r="DG189" i="33" s="1"/>
  <c r="DF190" i="33"/>
  <c r="DG190" i="33"/>
  <c r="DF191" i="33"/>
  <c r="DG191" i="33" s="1"/>
  <c r="DF192" i="33"/>
  <c r="DG192" i="33"/>
  <c r="DF193" i="33"/>
  <c r="DG193" i="33" s="1"/>
  <c r="DF194" i="33"/>
  <c r="DG194" i="33" s="1"/>
  <c r="DF195" i="33"/>
  <c r="DG195" i="33" s="1"/>
  <c r="DF196" i="33"/>
  <c r="DG196" i="33"/>
  <c r="DF197" i="33"/>
  <c r="DG197" i="33" s="1"/>
  <c r="DF198" i="33"/>
  <c r="DG198" i="33" s="1"/>
  <c r="DF199" i="33"/>
  <c r="DG199" i="33" s="1"/>
  <c r="DF200" i="33"/>
  <c r="DG200" i="33"/>
  <c r="DF201" i="33"/>
  <c r="DG201" i="33" s="1"/>
  <c r="DF202" i="33"/>
  <c r="DG202" i="33" s="1"/>
  <c r="DF203" i="33"/>
  <c r="DG203" i="33" s="1"/>
  <c r="DF204" i="33"/>
  <c r="DG204" i="33" s="1"/>
  <c r="DF205" i="33"/>
  <c r="DG205" i="33" s="1"/>
  <c r="DF206" i="33"/>
  <c r="DG206" i="33"/>
  <c r="DF207" i="33"/>
  <c r="DG207" i="33" s="1"/>
  <c r="DF208" i="33"/>
  <c r="DG208" i="33"/>
  <c r="DF209" i="33"/>
  <c r="DG209" i="33" s="1"/>
  <c r="DF210" i="33"/>
  <c r="DG210" i="33" s="1"/>
  <c r="DF211" i="33"/>
  <c r="DG211" i="33" s="1"/>
  <c r="DF212" i="33"/>
  <c r="DG212" i="33"/>
  <c r="DF213" i="33"/>
  <c r="DG213" i="33" s="1"/>
  <c r="DF214" i="33"/>
  <c r="DG214" i="33"/>
  <c r="DF215" i="33"/>
  <c r="DG215" i="33" s="1"/>
  <c r="DF216" i="33"/>
  <c r="DG216" i="33"/>
  <c r="DF217" i="33"/>
  <c r="DG217" i="33" s="1"/>
  <c r="DF218" i="33"/>
  <c r="DG218" i="33" s="1"/>
  <c r="DF219" i="33"/>
  <c r="DG219" i="33" s="1"/>
  <c r="DF220" i="33"/>
  <c r="DG220" i="33"/>
  <c r="DF221" i="33"/>
  <c r="DG221" i="33" s="1"/>
  <c r="DF222" i="33"/>
  <c r="DG222" i="33"/>
  <c r="DF223" i="33"/>
  <c r="DG223" i="33" s="1"/>
  <c r="DF224" i="33"/>
  <c r="DG224" i="33"/>
  <c r="DF225" i="33"/>
  <c r="DG225" i="33" s="1"/>
  <c r="DF226" i="33"/>
  <c r="DG226" i="33" s="1"/>
  <c r="DF227" i="33"/>
  <c r="DG227" i="33" s="1"/>
  <c r="DF228" i="33"/>
  <c r="DG228" i="33"/>
  <c r="DF229" i="33"/>
  <c r="DG229" i="33" s="1"/>
  <c r="DF230" i="33"/>
  <c r="DG230" i="33" s="1"/>
  <c r="DF231" i="33"/>
  <c r="DG231" i="33" s="1"/>
  <c r="DF232" i="33"/>
  <c r="DG232" i="33"/>
  <c r="DF233" i="33"/>
  <c r="DG233" i="33" s="1"/>
  <c r="DF234" i="33"/>
  <c r="DG234" i="33" s="1"/>
  <c r="DF235" i="33"/>
  <c r="DG235" i="33" s="1"/>
  <c r="DF236" i="33"/>
  <c r="DG236" i="33" s="1"/>
  <c r="DF237" i="33"/>
  <c r="DG237" i="33" s="1"/>
  <c r="DF238" i="33"/>
  <c r="DG238" i="33"/>
  <c r="DF239" i="33"/>
  <c r="DG239" i="33" s="1"/>
  <c r="DF240" i="33"/>
  <c r="DG240" i="33"/>
  <c r="DF241" i="33"/>
  <c r="DG241" i="33" s="1"/>
  <c r="DF242" i="33"/>
  <c r="DG242" i="33" s="1"/>
  <c r="DF243" i="33"/>
  <c r="DG243" i="33" s="1"/>
  <c r="DF244" i="33"/>
  <c r="DG244" i="33"/>
  <c r="DF245" i="33"/>
  <c r="DG245" i="33" s="1"/>
  <c r="DF246" i="33"/>
  <c r="DG246" i="33"/>
  <c r="DF247" i="33"/>
  <c r="DG247" i="33" s="1"/>
  <c r="DF248" i="33"/>
  <c r="DG248" i="33"/>
  <c r="DF249" i="33"/>
  <c r="DG249" i="33" s="1"/>
  <c r="DF250" i="33"/>
  <c r="DG250" i="33" s="1"/>
  <c r="DF251" i="33"/>
  <c r="DG251" i="33" s="1"/>
  <c r="DF252" i="33"/>
  <c r="DG252" i="33"/>
  <c r="DF253" i="33"/>
  <c r="DG253" i="33" s="1"/>
  <c r="DF254" i="33"/>
  <c r="DG254" i="33"/>
  <c r="DF255" i="33"/>
  <c r="DG255" i="33" s="1"/>
  <c r="DF256" i="33"/>
  <c r="DG256" i="33"/>
  <c r="DF257" i="33"/>
  <c r="DG257" i="33" s="1"/>
  <c r="DF258" i="33"/>
  <c r="DG258" i="33" s="1"/>
  <c r="DF259" i="33"/>
  <c r="DG259" i="33" s="1"/>
  <c r="DF260" i="33"/>
  <c r="DG260" i="33"/>
  <c r="DF261" i="33"/>
  <c r="DG261" i="33" s="1"/>
  <c r="DF262" i="33"/>
  <c r="DG262" i="33" s="1"/>
  <c r="DF263" i="33"/>
  <c r="DG263" i="33" s="1"/>
  <c r="DF264" i="33"/>
  <c r="DG264" i="33"/>
  <c r="DF265" i="33"/>
  <c r="DG265" i="33" s="1"/>
  <c r="DF266" i="33"/>
  <c r="DG266" i="33" s="1"/>
  <c r="DF267" i="33"/>
  <c r="DG267" i="33" s="1"/>
  <c r="DF268" i="33"/>
  <c r="DG268" i="33" s="1"/>
  <c r="DF269" i="33"/>
  <c r="DG269" i="33" s="1"/>
  <c r="DF270" i="33"/>
  <c r="DG270" i="33"/>
  <c r="DF271" i="33"/>
  <c r="DG271" i="33" s="1"/>
  <c r="DF272" i="33"/>
  <c r="DG272" i="33"/>
  <c r="DF273" i="33"/>
  <c r="DG273" i="33" s="1"/>
  <c r="DF274" i="33"/>
  <c r="DG274" i="33" s="1"/>
  <c r="DF275" i="33"/>
  <c r="DG275" i="33" s="1"/>
  <c r="DF276" i="33"/>
  <c r="DG276" i="33"/>
  <c r="DF277" i="33"/>
  <c r="DG277" i="33" s="1"/>
  <c r="DF278" i="33"/>
  <c r="DG278" i="33"/>
  <c r="DF279" i="33"/>
  <c r="DG279" i="33" s="1"/>
  <c r="DF280" i="33"/>
  <c r="DG280" i="33"/>
  <c r="DF281" i="33"/>
  <c r="DG281" i="33" s="1"/>
  <c r="DF282" i="33"/>
  <c r="DG282" i="33" s="1"/>
  <c r="DF283" i="33"/>
  <c r="DG283" i="33" s="1"/>
  <c r="DF284" i="33"/>
  <c r="DG284" i="33"/>
  <c r="DF285" i="33"/>
  <c r="DG285" i="33" s="1"/>
  <c r="DF286" i="33"/>
  <c r="DG286" i="33"/>
  <c r="DF287" i="33"/>
  <c r="DG287" i="33" s="1"/>
  <c r="DF288" i="33"/>
  <c r="DG288" i="33"/>
  <c r="DF289" i="33"/>
  <c r="DG289" i="33" s="1"/>
  <c r="DF290" i="33"/>
  <c r="DG290" i="33" s="1"/>
  <c r="DF291" i="33"/>
  <c r="DG291" i="33" s="1"/>
  <c r="DF292" i="33"/>
  <c r="DG292" i="33"/>
  <c r="DF293" i="33"/>
  <c r="DG293" i="33" s="1"/>
  <c r="DF294" i="33"/>
  <c r="DG294" i="33" s="1"/>
  <c r="DF295" i="33"/>
  <c r="DG295" i="33" s="1"/>
  <c r="DF296" i="33"/>
  <c r="DG296" i="33"/>
  <c r="DF297" i="33"/>
  <c r="DG297" i="33" s="1"/>
  <c r="DF298" i="33"/>
  <c r="DG298" i="33" s="1"/>
  <c r="DF299" i="33"/>
  <c r="DG299" i="33" s="1"/>
  <c r="DF300" i="33"/>
  <c r="DG300" i="33" s="1"/>
  <c r="DF301" i="33"/>
  <c r="DG301" i="33" s="1"/>
  <c r="DF302" i="33"/>
  <c r="DG302" i="33"/>
  <c r="DF303" i="33"/>
  <c r="DG303" i="33" s="1"/>
  <c r="DF304" i="33"/>
  <c r="DG304" i="33"/>
  <c r="DF305" i="33"/>
  <c r="DG305" i="33" s="1"/>
  <c r="DF306" i="33"/>
  <c r="DG306" i="33" s="1"/>
  <c r="DF307" i="33"/>
  <c r="DG307" i="33" s="1"/>
  <c r="DF308" i="33"/>
  <c r="DG308" i="33"/>
  <c r="DF309" i="33"/>
  <c r="DG309" i="33" s="1"/>
  <c r="DF310" i="33"/>
  <c r="DG310" i="33"/>
  <c r="DF311" i="33"/>
  <c r="DG311" i="33" s="1"/>
  <c r="DF312" i="33"/>
  <c r="DG312" i="33"/>
  <c r="DF313" i="33"/>
  <c r="DG313" i="33" s="1"/>
  <c r="DF314" i="33"/>
  <c r="DG314" i="33" s="1"/>
  <c r="DF315" i="33"/>
  <c r="DG315" i="33" s="1"/>
  <c r="DF316" i="33"/>
  <c r="DG316" i="33"/>
  <c r="DF317" i="33"/>
  <c r="DG317" i="33" s="1"/>
  <c r="DF318" i="33"/>
  <c r="DG318" i="33"/>
  <c r="DF319" i="33"/>
  <c r="DG319" i="33" s="1"/>
  <c r="DF320" i="33"/>
  <c r="DG320" i="33"/>
  <c r="DF321" i="33"/>
  <c r="DG321" i="33" s="1"/>
  <c r="DF322" i="33"/>
  <c r="DG322" i="33" s="1"/>
  <c r="DF323" i="33"/>
  <c r="DG323" i="33" s="1"/>
  <c r="DF324" i="33"/>
  <c r="DG324" i="33"/>
  <c r="DF325" i="33"/>
  <c r="DG325" i="33" s="1"/>
  <c r="DF326" i="33"/>
  <c r="DG326" i="33" s="1"/>
  <c r="DF327" i="33"/>
  <c r="DG327" i="33" s="1"/>
  <c r="DF328" i="33"/>
  <c r="DG328" i="33"/>
  <c r="DF329" i="33"/>
  <c r="DG329" i="33" s="1"/>
  <c r="DF330" i="33"/>
  <c r="DG330" i="33" s="1"/>
  <c r="DF331" i="33"/>
  <c r="DG331" i="33" s="1"/>
  <c r="DF332" i="33"/>
  <c r="DG332" i="33" s="1"/>
  <c r="DF333" i="33"/>
  <c r="DG333" i="33" s="1"/>
  <c r="DF334" i="33"/>
  <c r="DG334" i="33"/>
  <c r="DF335" i="33"/>
  <c r="DG335" i="33" s="1"/>
  <c r="DF336" i="33"/>
  <c r="DG336" i="33"/>
  <c r="DF337" i="33"/>
  <c r="DG337" i="33" s="1"/>
  <c r="DF338" i="33"/>
  <c r="DG338" i="33" s="1"/>
  <c r="DF339" i="33"/>
  <c r="DG339" i="33" s="1"/>
  <c r="DF340" i="33"/>
  <c r="DG340" i="33"/>
  <c r="DF341" i="33"/>
  <c r="DG341" i="33" s="1"/>
  <c r="DF342" i="33"/>
  <c r="DG342" i="33"/>
  <c r="DF343" i="33"/>
  <c r="DG343" i="33" s="1"/>
  <c r="DF344" i="33"/>
  <c r="DG344" i="33"/>
  <c r="DF345" i="33"/>
  <c r="DG345" i="33" s="1"/>
  <c r="DF346" i="33"/>
  <c r="DG346" i="33" s="1"/>
  <c r="DF347" i="33"/>
  <c r="DG347" i="33" s="1"/>
  <c r="DF348" i="33"/>
  <c r="DG348" i="33"/>
  <c r="DF349" i="33"/>
  <c r="DG349" i="33" s="1"/>
  <c r="DF350" i="33"/>
  <c r="DG350" i="33"/>
  <c r="DF351" i="33"/>
  <c r="DG351" i="33" s="1"/>
  <c r="DF352" i="33"/>
  <c r="DG352" i="33"/>
  <c r="DF353" i="33"/>
  <c r="DG353" i="33" s="1"/>
  <c r="DF354" i="33"/>
  <c r="DG354" i="33" s="1"/>
  <c r="DF355" i="33"/>
  <c r="DG355" i="33" s="1"/>
  <c r="DF356" i="33"/>
  <c r="DG356" i="33"/>
  <c r="DF357" i="33"/>
  <c r="DG357" i="33" s="1"/>
  <c r="DF358" i="33"/>
  <c r="DG358" i="33" s="1"/>
  <c r="DF359" i="33"/>
  <c r="DG359" i="33" s="1"/>
  <c r="DF360" i="33"/>
  <c r="DG360" i="33"/>
  <c r="DF361" i="33"/>
  <c r="DG361" i="33" s="1"/>
  <c r="DF362" i="33"/>
  <c r="DG362" i="33" s="1"/>
  <c r="DF363" i="33"/>
  <c r="DG363" i="33" s="1"/>
  <c r="DF364" i="33"/>
  <c r="DG364" i="33" s="1"/>
  <c r="DF365" i="33"/>
  <c r="DG365" i="33" s="1"/>
  <c r="DF366" i="33"/>
  <c r="DG366" i="33"/>
  <c r="DF367" i="33"/>
  <c r="DG367" i="33" s="1"/>
  <c r="DF368" i="33"/>
  <c r="DG368" i="33"/>
  <c r="DF369" i="33"/>
  <c r="DG369" i="33" s="1"/>
  <c r="DF370" i="33"/>
  <c r="DG370" i="33" s="1"/>
  <c r="DF371" i="33"/>
  <c r="DG371" i="33" s="1"/>
  <c r="DF372" i="33"/>
  <c r="DG372" i="33"/>
  <c r="DF373" i="33"/>
  <c r="DG373" i="33" s="1"/>
  <c r="DF374" i="33"/>
  <c r="DG374" i="33"/>
  <c r="DF375" i="33"/>
  <c r="DG375" i="33" s="1"/>
  <c r="DF376" i="33"/>
  <c r="DG376" i="33"/>
  <c r="DF377" i="33"/>
  <c r="DG377" i="33" s="1"/>
  <c r="DF378" i="33"/>
  <c r="DG378" i="33" s="1"/>
  <c r="DF379" i="33"/>
  <c r="DG379" i="33" s="1"/>
  <c r="DF380" i="33"/>
  <c r="DG380" i="33"/>
  <c r="DF381" i="33"/>
  <c r="DG381" i="33" s="1"/>
  <c r="DF382" i="33"/>
  <c r="DG382" i="33"/>
  <c r="DF383" i="33"/>
  <c r="DG383" i="33" s="1"/>
  <c r="DF384" i="33"/>
  <c r="DG384" i="33"/>
  <c r="DF385" i="33"/>
  <c r="DG385" i="33" s="1"/>
  <c r="DF386" i="33"/>
  <c r="DG386" i="33" s="1"/>
  <c r="DF387" i="33"/>
  <c r="DG387" i="33" s="1"/>
  <c r="DF388" i="33"/>
  <c r="DG388" i="33"/>
  <c r="DF389" i="33"/>
  <c r="DG389" i="33" s="1"/>
  <c r="DF390" i="33"/>
  <c r="DG390" i="33" s="1"/>
  <c r="DF391" i="33"/>
  <c r="DG391" i="33" s="1"/>
  <c r="DF392" i="33"/>
  <c r="DG392" i="33"/>
  <c r="DF393" i="33"/>
  <c r="DG393" i="33" s="1"/>
  <c r="DF394" i="33"/>
  <c r="DG394" i="33" s="1"/>
  <c r="DF395" i="33"/>
  <c r="DG395" i="33" s="1"/>
  <c r="DF396" i="33"/>
  <c r="DG396" i="33" s="1"/>
  <c r="DF397" i="33"/>
  <c r="DG397" i="33" s="1"/>
  <c r="DF398" i="33"/>
  <c r="DG398" i="33"/>
  <c r="DF399" i="33"/>
  <c r="DG399" i="33" s="1"/>
  <c r="DF400" i="33"/>
  <c r="DG400" i="33"/>
  <c r="DF401" i="33"/>
  <c r="DG401" i="33" s="1"/>
  <c r="DF402" i="33"/>
  <c r="DG402" i="33" s="1"/>
  <c r="DF403" i="33"/>
  <c r="DG403" i="33" s="1"/>
  <c r="DF404" i="33"/>
  <c r="DG404" i="33"/>
  <c r="DF405" i="33"/>
  <c r="DG405" i="33" s="1"/>
  <c r="DF406" i="33"/>
  <c r="DG406" i="33"/>
  <c r="DF407" i="33"/>
  <c r="DG407" i="33" s="1"/>
  <c r="DF408" i="33"/>
  <c r="DG408" i="33"/>
  <c r="DF409" i="33"/>
  <c r="DG409" i="33" s="1"/>
  <c r="DF410" i="33"/>
  <c r="DG410" i="33" s="1"/>
  <c r="DF411" i="33"/>
  <c r="DG411" i="33" s="1"/>
  <c r="DF412" i="33"/>
  <c r="DG412" i="33"/>
  <c r="DF413" i="33"/>
  <c r="DG413" i="33" s="1"/>
  <c r="DF414" i="33"/>
  <c r="DG414" i="33"/>
  <c r="DF415" i="33"/>
  <c r="DG415" i="33" s="1"/>
  <c r="DF416" i="33"/>
  <c r="DG416" i="33"/>
  <c r="DF417" i="33"/>
  <c r="DG417" i="33" s="1"/>
  <c r="DF418" i="33"/>
  <c r="DG418" i="33" s="1"/>
  <c r="DF419" i="33"/>
  <c r="DG419" i="33" s="1"/>
  <c r="DF420" i="33"/>
  <c r="DG420" i="33"/>
  <c r="DF421" i="33"/>
  <c r="DG421" i="33" s="1"/>
  <c r="DF422" i="33"/>
  <c r="DG422" i="33" s="1"/>
  <c r="DF423" i="33"/>
  <c r="DG423" i="33" s="1"/>
  <c r="DF424" i="33"/>
  <c r="DG424" i="33"/>
  <c r="DF425" i="33"/>
  <c r="DG425" i="33" s="1"/>
  <c r="DF426" i="33"/>
  <c r="DG426" i="33" s="1"/>
  <c r="DF427" i="33"/>
  <c r="DG427" i="33" s="1"/>
  <c r="DF428" i="33"/>
  <c r="DG428" i="33" s="1"/>
  <c r="DF429" i="33"/>
  <c r="DG429" i="33" s="1"/>
  <c r="DF430" i="33"/>
  <c r="DG430" i="33"/>
  <c r="DF431" i="33"/>
  <c r="DG431" i="33" s="1"/>
  <c r="DF432" i="33"/>
  <c r="DG432" i="33"/>
  <c r="DF433" i="33"/>
  <c r="DG433" i="33" s="1"/>
  <c r="DF434" i="33"/>
  <c r="DG434" i="33" s="1"/>
  <c r="DF435" i="33"/>
  <c r="DG435" i="33" s="1"/>
  <c r="DF436" i="33"/>
  <c r="DG436" i="33"/>
  <c r="DF437" i="33"/>
  <c r="DG437" i="33" s="1"/>
  <c r="DF438" i="33"/>
  <c r="DG438" i="33"/>
  <c r="DF439" i="33"/>
  <c r="DG439" i="33" s="1"/>
  <c r="DF440" i="33"/>
  <c r="DG440" i="33"/>
  <c r="DF441" i="33"/>
  <c r="DG441" i="33" s="1"/>
  <c r="DF442" i="33"/>
  <c r="DG442" i="33" s="1"/>
  <c r="DF443" i="33"/>
  <c r="DG443" i="33" s="1"/>
  <c r="DF444" i="33"/>
  <c r="DG444" i="33"/>
  <c r="DF445" i="33"/>
  <c r="DG445" i="33" s="1"/>
  <c r="DF446" i="33"/>
  <c r="DG446" i="33"/>
  <c r="DF447" i="33"/>
  <c r="DG447" i="33" s="1"/>
  <c r="DF448" i="33"/>
  <c r="DG448" i="33"/>
  <c r="DF449" i="33"/>
  <c r="DG449" i="33" s="1"/>
  <c r="DF450" i="33"/>
  <c r="DG450" i="33" s="1"/>
  <c r="DF451" i="33"/>
  <c r="DG451" i="33" s="1"/>
  <c r="DF452" i="33"/>
  <c r="DG452" i="33"/>
  <c r="DF453" i="33"/>
  <c r="DG453" i="33" s="1"/>
  <c r="DF454" i="33"/>
  <c r="DG454" i="33" s="1"/>
  <c r="DF455" i="33"/>
  <c r="DG455" i="33" s="1"/>
  <c r="DF456" i="33"/>
  <c r="DG456" i="33"/>
  <c r="DF457" i="33"/>
  <c r="DG457" i="33" s="1"/>
  <c r="DF458" i="33"/>
  <c r="DG458" i="33" s="1"/>
  <c r="DF459" i="33"/>
  <c r="DG459" i="33" s="1"/>
  <c r="DF460" i="33"/>
  <c r="DG460" i="33" s="1"/>
  <c r="DF461" i="33"/>
  <c r="DG461" i="33" s="1"/>
  <c r="DF462" i="33"/>
  <c r="DG462" i="33"/>
  <c r="DF463" i="33"/>
  <c r="DG463" i="33" s="1"/>
  <c r="DF464" i="33"/>
  <c r="DG464" i="33"/>
  <c r="DF465" i="33"/>
  <c r="DG465" i="33" s="1"/>
  <c r="DF466" i="33"/>
  <c r="DG466" i="33" s="1"/>
  <c r="DF467" i="33"/>
  <c r="DG467" i="33" s="1"/>
  <c r="DF468" i="33"/>
  <c r="DG468" i="33"/>
  <c r="DF469" i="33"/>
  <c r="DG469" i="33" s="1"/>
  <c r="DF470" i="33"/>
  <c r="DG470" i="33"/>
  <c r="DF471" i="33"/>
  <c r="DG471" i="33" s="1"/>
  <c r="DF472" i="33"/>
  <c r="DG472" i="33"/>
  <c r="DF473" i="33"/>
  <c r="DG473" i="33" s="1"/>
  <c r="DF474" i="33"/>
  <c r="DG474" i="33" s="1"/>
  <c r="DF475" i="33"/>
  <c r="DG475" i="33" s="1"/>
  <c r="DF476" i="33"/>
  <c r="DG476" i="33"/>
  <c r="DF477" i="33"/>
  <c r="DG477" i="33" s="1"/>
  <c r="DF478" i="33"/>
  <c r="DG478" i="33"/>
  <c r="DF479" i="33"/>
  <c r="DG479" i="33" s="1"/>
  <c r="DF480" i="33"/>
  <c r="DG480" i="33"/>
  <c r="DF481" i="33"/>
  <c r="DG481" i="33" s="1"/>
  <c r="DF482" i="33"/>
  <c r="DG482" i="33" s="1"/>
  <c r="DF483" i="33"/>
  <c r="DG483" i="33" s="1"/>
  <c r="DF484" i="33"/>
  <c r="DG484" i="33"/>
  <c r="DF485" i="33"/>
  <c r="DG485" i="33" s="1"/>
  <c r="DF486" i="33"/>
  <c r="DG486" i="33" s="1"/>
  <c r="DF487" i="33"/>
  <c r="DG487" i="33" s="1"/>
  <c r="DF488" i="33"/>
  <c r="DG488" i="33"/>
  <c r="DF489" i="33"/>
  <c r="DG489" i="33" s="1"/>
  <c r="DF490" i="33"/>
  <c r="DG490" i="33" s="1"/>
  <c r="DF491" i="33"/>
  <c r="DG491" i="33" s="1"/>
  <c r="DF492" i="33"/>
  <c r="DG492" i="33" s="1"/>
  <c r="DF493" i="33"/>
  <c r="DG493" i="33" s="1"/>
  <c r="DF494" i="33"/>
  <c r="DG494" i="33"/>
  <c r="DF495" i="33"/>
  <c r="DG495" i="33" s="1"/>
  <c r="DF496" i="33"/>
  <c r="DG496" i="33"/>
  <c r="DF497" i="33"/>
  <c r="DG497" i="33" s="1"/>
  <c r="DF498" i="33"/>
  <c r="DG498" i="33" s="1"/>
  <c r="DF499" i="33"/>
  <c r="DG499" i="33" s="1"/>
  <c r="DF500" i="33"/>
  <c r="DG500" i="33"/>
  <c r="DF501" i="33"/>
  <c r="DG501" i="33" s="1"/>
  <c r="DF502" i="33"/>
  <c r="DG502" i="33"/>
  <c r="DF503" i="33"/>
  <c r="DG503" i="33" s="1"/>
  <c r="DF504" i="33"/>
  <c r="DG504" i="33"/>
  <c r="DF505" i="33"/>
  <c r="DG505" i="33" s="1"/>
  <c r="DF506" i="33"/>
  <c r="DG506" i="33" s="1"/>
  <c r="DF507" i="33"/>
  <c r="DG507" i="33" s="1"/>
  <c r="DF508" i="33"/>
  <c r="DG508" i="33"/>
  <c r="DF509" i="33"/>
  <c r="DG509" i="33" s="1"/>
  <c r="DF510" i="33"/>
  <c r="DG510" i="33"/>
  <c r="DF511" i="33"/>
  <c r="DG511" i="33" s="1"/>
  <c r="DF512" i="33"/>
  <c r="DG512" i="33"/>
  <c r="DF513" i="33"/>
  <c r="DG513" i="33" s="1"/>
  <c r="DF514" i="33"/>
  <c r="DG514" i="33" s="1"/>
  <c r="DF515" i="33"/>
  <c r="DG515" i="33" s="1"/>
  <c r="DF516" i="33"/>
  <c r="DG516" i="33"/>
  <c r="DF517" i="33"/>
  <c r="DG517" i="33" s="1"/>
  <c r="DF518" i="33"/>
  <c r="DG518" i="33" s="1"/>
  <c r="DF519" i="33"/>
  <c r="DG519" i="33" s="1"/>
  <c r="DF520" i="33"/>
  <c r="DG520" i="33"/>
  <c r="DF521" i="33"/>
  <c r="DG521" i="33" s="1"/>
  <c r="DF522" i="33"/>
  <c r="DG522" i="33" s="1"/>
  <c r="DF523" i="33"/>
  <c r="DG523" i="33" s="1"/>
  <c r="DF524" i="33"/>
  <c r="DG524" i="33" s="1"/>
  <c r="DF525" i="33"/>
  <c r="DG525" i="33" s="1"/>
  <c r="DF526" i="33"/>
  <c r="DG526" i="33"/>
  <c r="DF527" i="33"/>
  <c r="DG527" i="33" s="1"/>
  <c r="DF528" i="33"/>
  <c r="DG528" i="33"/>
  <c r="DF529" i="33"/>
  <c r="DG529" i="33" s="1"/>
  <c r="DF530" i="33"/>
  <c r="DG530" i="33" s="1"/>
  <c r="DF531" i="33"/>
  <c r="DG531" i="33" s="1"/>
  <c r="DF532" i="33"/>
  <c r="DG532" i="33"/>
  <c r="DF533" i="33"/>
  <c r="DG533" i="33" s="1"/>
  <c r="DF534" i="33"/>
  <c r="DG534" i="33"/>
  <c r="DF535" i="33"/>
  <c r="DG535" i="33" s="1"/>
  <c r="DF536" i="33"/>
  <c r="DG536" i="33"/>
  <c r="DF537" i="33"/>
  <c r="DG537" i="33" s="1"/>
  <c r="DF538" i="33"/>
  <c r="DG538" i="33" s="1"/>
  <c r="DF539" i="33"/>
  <c r="DG539" i="33" s="1"/>
  <c r="DF540" i="33"/>
  <c r="DG540" i="33"/>
  <c r="DF541" i="33"/>
  <c r="DG541" i="33" s="1"/>
  <c r="DF542" i="33"/>
  <c r="DG542" i="33"/>
  <c r="DF543" i="33"/>
  <c r="DG543" i="33" s="1"/>
  <c r="DF544" i="33"/>
  <c r="DG544" i="33"/>
  <c r="DF545" i="33"/>
  <c r="DG545" i="33" s="1"/>
  <c r="DF546" i="33"/>
  <c r="DG546" i="33" s="1"/>
  <c r="DF547" i="33"/>
  <c r="DG547" i="33" s="1"/>
  <c r="DF548" i="33"/>
  <c r="DG548" i="33"/>
  <c r="DF549" i="33"/>
  <c r="DG549" i="33" s="1"/>
  <c r="DF550" i="33"/>
  <c r="DG550" i="33" s="1"/>
  <c r="DF551" i="33"/>
  <c r="DG551" i="33" s="1"/>
  <c r="W22" i="19"/>
  <c r="W23" i="19"/>
  <c r="W24" i="19"/>
  <c r="W25" i="19"/>
  <c r="W26" i="19"/>
  <c r="W27" i="19"/>
  <c r="W28" i="19"/>
  <c r="W29" i="19"/>
  <c r="W30" i="19"/>
  <c r="W31" i="19"/>
  <c r="W32" i="19"/>
  <c r="W21" i="19"/>
  <c r="B158" i="51"/>
  <c r="B169" i="51" s="1"/>
  <c r="B157" i="51"/>
  <c r="B159" i="51" s="1"/>
  <c r="B137" i="51"/>
  <c r="B136" i="51"/>
  <c r="B138" i="51"/>
  <c r="Y103" i="7"/>
  <c r="Z103" i="7"/>
  <c r="AA103" i="7"/>
  <c r="BP18" i="44"/>
  <c r="BO18" i="44"/>
  <c r="BN18" i="44"/>
  <c r="BM18" i="44"/>
  <c r="BL18" i="44"/>
  <c r="BK18" i="44"/>
  <c r="BP20" i="44"/>
  <c r="BO20" i="44"/>
  <c r="BN20" i="44"/>
  <c r="BM20" i="44"/>
  <c r="BL20" i="44"/>
  <c r="BK20" i="44"/>
  <c r="BP22" i="44"/>
  <c r="BO22" i="44"/>
  <c r="BN22" i="44"/>
  <c r="BM22" i="44"/>
  <c r="BL22" i="44"/>
  <c r="BK22" i="44"/>
  <c r="BP24" i="44"/>
  <c r="BO24" i="44"/>
  <c r="BN24" i="44"/>
  <c r="BM24" i="44"/>
  <c r="BL24" i="44"/>
  <c r="BK24" i="44"/>
  <c r="BP26" i="44"/>
  <c r="BO26" i="44"/>
  <c r="BN26" i="44"/>
  <c r="BM26" i="44"/>
  <c r="BL26" i="44"/>
  <c r="BK26" i="44"/>
  <c r="BP28" i="44"/>
  <c r="BO28" i="44"/>
  <c r="BN28" i="44"/>
  <c r="BM28" i="44"/>
  <c r="BL28" i="44"/>
  <c r="BK28" i="44"/>
  <c r="BP30" i="44"/>
  <c r="BO30" i="44"/>
  <c r="BN30" i="44"/>
  <c r="BM30" i="44"/>
  <c r="BL30" i="44"/>
  <c r="BK30" i="44"/>
  <c r="BM32" i="44"/>
  <c r="BN32" i="44"/>
  <c r="BO32" i="44"/>
  <c r="BP32" i="44"/>
  <c r="BL32" i="44"/>
  <c r="BK32" i="44"/>
  <c r="Y102" i="7"/>
  <c r="Z102" i="7"/>
  <c r="Y93" i="7"/>
  <c r="Z93" i="7"/>
  <c r="AA93" i="7"/>
  <c r="BJ32" i="44"/>
  <c r="BI32" i="44"/>
  <c r="BH32" i="44"/>
  <c r="BG32" i="44"/>
  <c r="BF32" i="44"/>
  <c r="BE32" i="44"/>
  <c r="BJ30" i="44"/>
  <c r="BI30" i="44"/>
  <c r="BH30" i="44"/>
  <c r="BG30" i="44"/>
  <c r="BF30" i="44"/>
  <c r="BE30" i="44"/>
  <c r="BJ28" i="44"/>
  <c r="BI28" i="44"/>
  <c r="BH28" i="44"/>
  <c r="BG28" i="44"/>
  <c r="BF28" i="44"/>
  <c r="BE28" i="44"/>
  <c r="BJ26" i="44"/>
  <c r="BI26" i="44"/>
  <c r="BH26" i="44"/>
  <c r="BG26" i="44"/>
  <c r="BF26" i="44"/>
  <c r="BE26" i="44"/>
  <c r="BJ24" i="44"/>
  <c r="BI24" i="44"/>
  <c r="BH24" i="44"/>
  <c r="BG24" i="44"/>
  <c r="BF24" i="44"/>
  <c r="BE24" i="44"/>
  <c r="BJ22" i="44"/>
  <c r="BI22" i="44"/>
  <c r="BH22" i="44"/>
  <c r="BG22" i="44"/>
  <c r="BF22" i="44"/>
  <c r="BE22" i="44"/>
  <c r="BJ20" i="44"/>
  <c r="BI20" i="44"/>
  <c r="BH20" i="44"/>
  <c r="BG20" i="44"/>
  <c r="BF20" i="44"/>
  <c r="BE20" i="44"/>
  <c r="BJ18" i="44"/>
  <c r="BI18" i="44"/>
  <c r="BH18" i="44"/>
  <c r="BG18" i="44"/>
  <c r="BF18" i="44"/>
  <c r="BE18" i="44"/>
  <c r="Y92" i="7"/>
  <c r="U83" i="7"/>
  <c r="W83" i="7" s="1"/>
  <c r="V83" i="7"/>
  <c r="X83" i="7"/>
  <c r="Y83" i="7"/>
  <c r="Z83" i="7"/>
  <c r="AA83" i="7"/>
  <c r="BA32" i="44"/>
  <c r="AZ32" i="44"/>
  <c r="AY32" i="44"/>
  <c r="AX32" i="44"/>
  <c r="AW32" i="44"/>
  <c r="AV32" i="44"/>
  <c r="BA30" i="44"/>
  <c r="AZ30" i="44"/>
  <c r="AY30" i="44"/>
  <c r="AX30" i="44"/>
  <c r="AW30" i="44"/>
  <c r="AV30" i="44"/>
  <c r="BA28" i="44"/>
  <c r="AZ28" i="44"/>
  <c r="AY28" i="44"/>
  <c r="AX28" i="44"/>
  <c r="AW28" i="44"/>
  <c r="AV28" i="44"/>
  <c r="BA26" i="44"/>
  <c r="AZ26" i="44"/>
  <c r="AY26" i="44"/>
  <c r="AX26" i="44"/>
  <c r="AW26" i="44"/>
  <c r="AV26" i="44"/>
  <c r="BA24" i="44"/>
  <c r="AZ24" i="44"/>
  <c r="AY24" i="44"/>
  <c r="AX24" i="44"/>
  <c r="AW24" i="44"/>
  <c r="AV24" i="44"/>
  <c r="BA22" i="44"/>
  <c r="AZ22" i="44"/>
  <c r="AY22" i="44"/>
  <c r="AX22" i="44"/>
  <c r="AW22" i="44"/>
  <c r="AV22" i="44"/>
  <c r="BA20" i="44"/>
  <c r="AZ20" i="44"/>
  <c r="AY20" i="44"/>
  <c r="AX20" i="44"/>
  <c r="AW20" i="44"/>
  <c r="AV20" i="44"/>
  <c r="BA18" i="44"/>
  <c r="AZ18" i="44"/>
  <c r="AY18" i="44"/>
  <c r="AX18" i="44"/>
  <c r="AW18" i="44"/>
  <c r="AV18" i="44"/>
  <c r="Z82" i="7"/>
  <c r="N82" i="7" s="1"/>
  <c r="Y82" i="7"/>
  <c r="AA82" i="7"/>
  <c r="Y63" i="7"/>
  <c r="Z63" i="7"/>
  <c r="N63" i="7" s="1"/>
  <c r="AA63" i="7"/>
  <c r="AR32" i="44"/>
  <c r="AQ32" i="44"/>
  <c r="AP32" i="44"/>
  <c r="AO32" i="44"/>
  <c r="AN32" i="44"/>
  <c r="AM32" i="44"/>
  <c r="AL32" i="44"/>
  <c r="AK32" i="44"/>
  <c r="AJ32" i="44"/>
  <c r="AI32" i="44"/>
  <c r="AH32" i="44"/>
  <c r="AG32" i="44"/>
  <c r="AR30" i="44"/>
  <c r="AQ30" i="44"/>
  <c r="AP30" i="44"/>
  <c r="AO30" i="44"/>
  <c r="AN30" i="44"/>
  <c r="AM30" i="44"/>
  <c r="AL30" i="44"/>
  <c r="AK30" i="44"/>
  <c r="AJ30" i="44"/>
  <c r="AI30" i="44"/>
  <c r="AH30" i="44"/>
  <c r="AG30" i="44"/>
  <c r="AR28" i="44"/>
  <c r="AQ28" i="44"/>
  <c r="AP28" i="44"/>
  <c r="AO28" i="44"/>
  <c r="AN28" i="44"/>
  <c r="AM28" i="44"/>
  <c r="AL28" i="44"/>
  <c r="AK28" i="44"/>
  <c r="AJ28" i="44"/>
  <c r="AI28" i="44"/>
  <c r="AH28" i="44"/>
  <c r="AG28" i="44"/>
  <c r="AR26" i="44"/>
  <c r="AQ26" i="44"/>
  <c r="AP26" i="44"/>
  <c r="AO26" i="44"/>
  <c r="AN26" i="44"/>
  <c r="AM26" i="44"/>
  <c r="AL26" i="44"/>
  <c r="AK26" i="44"/>
  <c r="AJ26" i="44"/>
  <c r="AI26" i="44"/>
  <c r="AH26" i="44"/>
  <c r="AG26" i="44"/>
  <c r="AR24" i="44"/>
  <c r="AQ24" i="44"/>
  <c r="AP24" i="44"/>
  <c r="AO24" i="44"/>
  <c r="AN24" i="44"/>
  <c r="AM24" i="44"/>
  <c r="AL24" i="44"/>
  <c r="AK24" i="44"/>
  <c r="AJ24" i="44"/>
  <c r="AI24" i="44"/>
  <c r="AH24" i="44"/>
  <c r="AG24" i="44"/>
  <c r="AR22" i="44"/>
  <c r="AQ22" i="44"/>
  <c r="AP22" i="44"/>
  <c r="AO22" i="44"/>
  <c r="AN22" i="44"/>
  <c r="AM22" i="44"/>
  <c r="AL22" i="44"/>
  <c r="AK22" i="44"/>
  <c r="AJ22" i="44"/>
  <c r="AI22" i="44"/>
  <c r="AH22" i="44"/>
  <c r="AG22" i="44"/>
  <c r="AR20" i="44"/>
  <c r="AQ20" i="44"/>
  <c r="AP20" i="44"/>
  <c r="AO20" i="44"/>
  <c r="AN20" i="44"/>
  <c r="AM20" i="44"/>
  <c r="AL20" i="44"/>
  <c r="AK20" i="44"/>
  <c r="AJ20" i="44"/>
  <c r="AI20" i="44"/>
  <c r="AH20" i="44"/>
  <c r="AG20" i="44"/>
  <c r="AR18" i="44"/>
  <c r="AQ18" i="44"/>
  <c r="AP18" i="44"/>
  <c r="AO18" i="44"/>
  <c r="AN18" i="44"/>
  <c r="AM18" i="44"/>
  <c r="AL18" i="44"/>
  <c r="AK18" i="44"/>
  <c r="AJ18" i="44"/>
  <c r="AI18" i="44"/>
  <c r="AH18" i="44"/>
  <c r="AG18" i="44"/>
  <c r="Y62" i="7"/>
  <c r="Y53" i="7"/>
  <c r="Z53" i="7"/>
  <c r="Q53" i="7" s="1"/>
  <c r="AA53" i="7"/>
  <c r="Y54" i="7"/>
  <c r="Z54" i="7"/>
  <c r="Q54" i="7" s="1"/>
  <c r="AA54" i="7"/>
  <c r="AF32" i="44"/>
  <c r="AE32" i="44"/>
  <c r="AD32" i="44"/>
  <c r="AC32" i="44"/>
  <c r="AB32" i="44"/>
  <c r="AA32" i="44"/>
  <c r="Z32" i="44"/>
  <c r="Y32" i="44"/>
  <c r="X32" i="44"/>
  <c r="AF30" i="44"/>
  <c r="AE30" i="44"/>
  <c r="AD30" i="44"/>
  <c r="AC30" i="44"/>
  <c r="AB30" i="44"/>
  <c r="AA30" i="44"/>
  <c r="Z30" i="44"/>
  <c r="Y30" i="44"/>
  <c r="X30" i="44"/>
  <c r="AF28" i="44"/>
  <c r="AE28" i="44"/>
  <c r="AD28" i="44"/>
  <c r="AC28" i="44"/>
  <c r="AB28" i="44"/>
  <c r="AA28" i="44"/>
  <c r="Z28" i="44"/>
  <c r="Y28" i="44"/>
  <c r="X28" i="44"/>
  <c r="AF26" i="44"/>
  <c r="AE26" i="44"/>
  <c r="AD26" i="44"/>
  <c r="AC26" i="44"/>
  <c r="AB26" i="44"/>
  <c r="AA26" i="44"/>
  <c r="Z26" i="44"/>
  <c r="Y26" i="44"/>
  <c r="X26" i="44"/>
  <c r="AF24" i="44"/>
  <c r="AE24" i="44"/>
  <c r="AD24" i="44"/>
  <c r="AC24" i="44"/>
  <c r="AB24" i="44"/>
  <c r="AA24" i="44"/>
  <c r="Z24" i="44"/>
  <c r="Y24" i="44"/>
  <c r="X24" i="44"/>
  <c r="AF22" i="44"/>
  <c r="AE22" i="44"/>
  <c r="AD22" i="44"/>
  <c r="AC22" i="44"/>
  <c r="AB22" i="44"/>
  <c r="AA22" i="44"/>
  <c r="Z22" i="44"/>
  <c r="Y22" i="44"/>
  <c r="X22" i="44"/>
  <c r="AF20" i="44"/>
  <c r="AE20" i="44"/>
  <c r="AD20" i="44"/>
  <c r="AC20" i="44"/>
  <c r="AB20" i="44"/>
  <c r="AA20" i="44"/>
  <c r="Z20" i="44"/>
  <c r="Y20" i="44"/>
  <c r="X20" i="44"/>
  <c r="AF18" i="44"/>
  <c r="AE18" i="44"/>
  <c r="AD18" i="44"/>
  <c r="AC18" i="44"/>
  <c r="AB18" i="44"/>
  <c r="AA18" i="44"/>
  <c r="Z18" i="44"/>
  <c r="Y18" i="44"/>
  <c r="X18" i="44"/>
  <c r="AC70" i="8"/>
  <c r="Y52" i="7"/>
  <c r="CC32" i="44"/>
  <c r="CB32" i="44"/>
  <c r="CA32" i="44"/>
  <c r="BZ32" i="44"/>
  <c r="BY32" i="44"/>
  <c r="BX32" i="44"/>
  <c r="BW32" i="44"/>
  <c r="BV32" i="44"/>
  <c r="BU32" i="44"/>
  <c r="BT32" i="44"/>
  <c r="BS32" i="44"/>
  <c r="BR32" i="44"/>
  <c r="CC30" i="44"/>
  <c r="CB30" i="44"/>
  <c r="CA30" i="44"/>
  <c r="BZ30" i="44"/>
  <c r="BY30" i="44"/>
  <c r="BX30" i="44"/>
  <c r="BW30" i="44"/>
  <c r="BV30" i="44"/>
  <c r="BU30" i="44"/>
  <c r="BT30" i="44"/>
  <c r="BS30" i="44"/>
  <c r="BR30" i="44"/>
  <c r="CC28" i="44"/>
  <c r="CB28" i="44"/>
  <c r="CA28" i="44"/>
  <c r="BZ28" i="44"/>
  <c r="BY28" i="44"/>
  <c r="BX28" i="44"/>
  <c r="BW28" i="44"/>
  <c r="BV28" i="44"/>
  <c r="BU28" i="44"/>
  <c r="BT28" i="44"/>
  <c r="BS28" i="44"/>
  <c r="BR28" i="44"/>
  <c r="CC26" i="44"/>
  <c r="CB26" i="44"/>
  <c r="CA26" i="44"/>
  <c r="BZ26" i="44"/>
  <c r="BY26" i="44"/>
  <c r="BX26" i="44"/>
  <c r="BW26" i="44"/>
  <c r="BV26" i="44"/>
  <c r="BU26" i="44"/>
  <c r="BT26" i="44"/>
  <c r="BS26" i="44"/>
  <c r="BR26" i="44"/>
  <c r="CC24" i="44"/>
  <c r="CB24" i="44"/>
  <c r="CA24" i="44"/>
  <c r="BZ24" i="44"/>
  <c r="BY24" i="44"/>
  <c r="BX24" i="44"/>
  <c r="BW24" i="44"/>
  <c r="BV24" i="44"/>
  <c r="BU24" i="44"/>
  <c r="BT24" i="44"/>
  <c r="BS24" i="44"/>
  <c r="BR24" i="44"/>
  <c r="CC22" i="44"/>
  <c r="CB22" i="44"/>
  <c r="CA22" i="44"/>
  <c r="BZ22" i="44"/>
  <c r="BY22" i="44"/>
  <c r="BX22" i="44"/>
  <c r="BW22" i="44"/>
  <c r="BV22" i="44"/>
  <c r="BU22" i="44"/>
  <c r="BT22" i="44"/>
  <c r="BS22" i="44"/>
  <c r="BR22" i="44"/>
  <c r="CC20" i="44"/>
  <c r="CB20" i="44"/>
  <c r="CA20" i="44"/>
  <c r="BZ20" i="44"/>
  <c r="BY20" i="44"/>
  <c r="BX20" i="44"/>
  <c r="BW20" i="44"/>
  <c r="BV20" i="44"/>
  <c r="BU20" i="44"/>
  <c r="BT20" i="44"/>
  <c r="BS20" i="44"/>
  <c r="BR20" i="44"/>
  <c r="BR18" i="44"/>
  <c r="CC18" i="44"/>
  <c r="CB18" i="44"/>
  <c r="CA18" i="44"/>
  <c r="BZ18" i="44"/>
  <c r="BY18" i="44"/>
  <c r="BX18" i="44"/>
  <c r="BW18" i="44"/>
  <c r="BV18" i="44"/>
  <c r="BU18" i="44"/>
  <c r="BT18" i="44"/>
  <c r="BS18" i="44"/>
  <c r="CC32" i="41"/>
  <c r="CB32" i="41"/>
  <c r="CA32" i="41"/>
  <c r="BZ32" i="41"/>
  <c r="BY32" i="41"/>
  <c r="BX32" i="41"/>
  <c r="BW32" i="41"/>
  <c r="BV32" i="41"/>
  <c r="BU32" i="41"/>
  <c r="BT32" i="41"/>
  <c r="BS32" i="41"/>
  <c r="BR32" i="41"/>
  <c r="CC30" i="41"/>
  <c r="CB30" i="41"/>
  <c r="CA30" i="41"/>
  <c r="BZ30" i="41"/>
  <c r="BY30" i="41"/>
  <c r="BX30" i="41"/>
  <c r="BW30" i="41"/>
  <c r="BV30" i="41"/>
  <c r="BU30" i="41"/>
  <c r="BT30" i="41"/>
  <c r="BS30" i="41"/>
  <c r="BR30" i="41"/>
  <c r="CC28" i="41"/>
  <c r="CB28" i="41"/>
  <c r="CA28" i="41"/>
  <c r="BZ28" i="41"/>
  <c r="BY28" i="41"/>
  <c r="BX28" i="41"/>
  <c r="BW28" i="41"/>
  <c r="BV28" i="41"/>
  <c r="BU28" i="41"/>
  <c r="BT28" i="41"/>
  <c r="BS28" i="41"/>
  <c r="BR28" i="41"/>
  <c r="CC26" i="41"/>
  <c r="CB26" i="41"/>
  <c r="CA26" i="41"/>
  <c r="BZ26" i="41"/>
  <c r="BY26" i="41"/>
  <c r="BX26" i="41"/>
  <c r="BW26" i="41"/>
  <c r="BV26" i="41"/>
  <c r="BU26" i="41"/>
  <c r="BT26" i="41"/>
  <c r="BS26" i="41"/>
  <c r="BR26" i="41"/>
  <c r="CC24" i="41"/>
  <c r="CB24" i="41"/>
  <c r="CA24" i="41"/>
  <c r="BZ24" i="41"/>
  <c r="BY24" i="41"/>
  <c r="BX24" i="41"/>
  <c r="BW24" i="41"/>
  <c r="BV24" i="41"/>
  <c r="BU24" i="41"/>
  <c r="BT24" i="41"/>
  <c r="BS24" i="41"/>
  <c r="BR24" i="41"/>
  <c r="CC22" i="41"/>
  <c r="CB22" i="41"/>
  <c r="CA22" i="41"/>
  <c r="BZ22" i="41"/>
  <c r="BY22" i="41"/>
  <c r="BX22" i="41"/>
  <c r="BW22" i="41"/>
  <c r="BV22" i="41"/>
  <c r="BU22" i="41"/>
  <c r="BT22" i="41"/>
  <c r="BS22" i="41"/>
  <c r="BR22" i="41"/>
  <c r="BR20" i="41"/>
  <c r="CC20" i="41"/>
  <c r="CB20" i="41"/>
  <c r="CA20" i="41"/>
  <c r="BZ20" i="41"/>
  <c r="BY20" i="41"/>
  <c r="BX20" i="41"/>
  <c r="BW20" i="41"/>
  <c r="BV20" i="41"/>
  <c r="BU20" i="41"/>
  <c r="BT20" i="41"/>
  <c r="BS20" i="41"/>
  <c r="BS18" i="41"/>
  <c r="BT18" i="41"/>
  <c r="BU18" i="41"/>
  <c r="BV18" i="41"/>
  <c r="BW18" i="41"/>
  <c r="BX18" i="41"/>
  <c r="BY18" i="41"/>
  <c r="BZ18" i="41"/>
  <c r="CA18" i="41"/>
  <c r="CB18" i="41"/>
  <c r="CC18" i="41"/>
  <c r="BR18" i="41"/>
  <c r="AC69" i="8"/>
  <c r="S69" i="8"/>
  <c r="AA102" i="7"/>
  <c r="G23" i="13"/>
  <c r="G30" i="13"/>
  <c r="P30" i="13" s="1"/>
  <c r="G29" i="13"/>
  <c r="G27" i="13"/>
  <c r="G26" i="13"/>
  <c r="G25" i="13"/>
  <c r="P20" i="13"/>
  <c r="P18" i="13"/>
  <c r="D124" i="4"/>
  <c r="P19" i="13"/>
  <c r="B38" i="12"/>
  <c r="B12" i="8"/>
  <c r="Y209" i="22"/>
  <c r="Y207" i="22"/>
  <c r="Y205" i="22"/>
  <c r="W202" i="22"/>
  <c r="W200" i="22"/>
  <c r="W198" i="22"/>
  <c r="V209" i="22"/>
  <c r="V207" i="22"/>
  <c r="V205" i="22"/>
  <c r="V202" i="22"/>
  <c r="V200" i="22"/>
  <c r="V198" i="22"/>
  <c r="R285" i="22"/>
  <c r="BT53" i="51" s="1"/>
  <c r="S285" i="22"/>
  <c r="BU53" i="51" s="1"/>
  <c r="R287" i="22"/>
  <c r="BT55" i="51"/>
  <c r="S287" i="22"/>
  <c r="BU55" i="51" s="1"/>
  <c r="R289" i="22"/>
  <c r="BT57" i="51" s="1"/>
  <c r="S289" i="22"/>
  <c r="BU57" i="51" s="1"/>
  <c r="R291" i="22"/>
  <c r="BT59" i="51"/>
  <c r="S291" i="22"/>
  <c r="BU59" i="51" s="1"/>
  <c r="R293" i="22"/>
  <c r="S293" i="22"/>
  <c r="BG238" i="22"/>
  <c r="BL60" i="51"/>
  <c r="BL58" i="51"/>
  <c r="BL56" i="51"/>
  <c r="BL54" i="51"/>
  <c r="BL52" i="51"/>
  <c r="BK60" i="51"/>
  <c r="BG60" i="51" s="1"/>
  <c r="BK58" i="51"/>
  <c r="BG58" i="51" s="1"/>
  <c r="BK56" i="51"/>
  <c r="BG56" i="51" s="1"/>
  <c r="BK52" i="51"/>
  <c r="BG52" i="51"/>
  <c r="BI60" i="51"/>
  <c r="BI58" i="51"/>
  <c r="BI56" i="51"/>
  <c r="BI54" i="51"/>
  <c r="BI52" i="51"/>
  <c r="BI46" i="51"/>
  <c r="BI44" i="51"/>
  <c r="BI42" i="51"/>
  <c r="BI38" i="51"/>
  <c r="BI36" i="51"/>
  <c r="BI34" i="51"/>
  <c r="BI30" i="51"/>
  <c r="BI26" i="51"/>
  <c r="BI22" i="51"/>
  <c r="BI20" i="51"/>
  <c r="BI14" i="51"/>
  <c r="B244" i="22"/>
  <c r="BI12" i="51" s="1"/>
  <c r="B242" i="22"/>
  <c r="BI10" i="51" s="1"/>
  <c r="B240" i="22"/>
  <c r="BI8" i="51" s="1"/>
  <c r="B238" i="22"/>
  <c r="BI6" i="51" s="1"/>
  <c r="S195" i="22"/>
  <c r="R195" i="22"/>
  <c r="F195" i="22"/>
  <c r="T195" i="22" s="1"/>
  <c r="BN194" i="22"/>
  <c r="Y194" i="22"/>
  <c r="W194" i="22"/>
  <c r="F194" i="22"/>
  <c r="T194" i="22" s="1"/>
  <c r="S181" i="22"/>
  <c r="R181" i="22"/>
  <c r="F181" i="22"/>
  <c r="T181" i="22" s="1"/>
  <c r="BN180" i="22"/>
  <c r="Y180" i="22"/>
  <c r="W180" i="22"/>
  <c r="F180" i="22"/>
  <c r="T180" i="22" s="1"/>
  <c r="S189" i="22"/>
  <c r="R189" i="22"/>
  <c r="F189" i="22"/>
  <c r="T189" i="22" s="1"/>
  <c r="BN188" i="22"/>
  <c r="Y188" i="22"/>
  <c r="W188" i="22"/>
  <c r="V188" i="22"/>
  <c r="F188" i="22"/>
  <c r="AM264" i="22"/>
  <c r="H264" i="22" s="1"/>
  <c r="AM241" i="22"/>
  <c r="H241" i="22" s="1"/>
  <c r="AM268" i="22"/>
  <c r="H268" i="22" s="1"/>
  <c r="X268" i="22" s="1"/>
  <c r="AM265" i="22"/>
  <c r="H265" i="22" s="1"/>
  <c r="X265" i="22" s="1"/>
  <c r="AM293" i="22"/>
  <c r="H293" i="22" s="1"/>
  <c r="AM292" i="22"/>
  <c r="H292" i="22" s="1"/>
  <c r="AM258" i="22"/>
  <c r="H258" i="22" s="1"/>
  <c r="X258" i="22" s="1"/>
  <c r="AM254" i="22"/>
  <c r="H254" i="22" s="1"/>
  <c r="AM273" i="22"/>
  <c r="H273" i="22" s="1"/>
  <c r="BO41" i="51" s="1"/>
  <c r="CE41" i="51" s="1"/>
  <c r="CF41" i="51" s="1"/>
  <c r="AM289" i="22"/>
  <c r="H289" i="22" s="1"/>
  <c r="BO57" i="51" s="1"/>
  <c r="AM255" i="22"/>
  <c r="H255" i="22" s="1"/>
  <c r="X255" i="22" s="1"/>
  <c r="AM243" i="22"/>
  <c r="H243" i="22" s="1"/>
  <c r="AM248" i="22"/>
  <c r="H248" i="22" s="1"/>
  <c r="AO247" i="22" s="1"/>
  <c r="AM271" i="22"/>
  <c r="H271" i="22" s="1"/>
  <c r="AM261" i="22"/>
  <c r="H261" i="22" s="1"/>
  <c r="F137" i="51" s="1"/>
  <c r="AM246" i="22"/>
  <c r="H246" i="22" s="1"/>
  <c r="W246" i="22" s="1"/>
  <c r="AM267" i="22"/>
  <c r="H267" i="22" s="1"/>
  <c r="AM272" i="22"/>
  <c r="H272" i="22" s="1"/>
  <c r="X272" i="22" s="1"/>
  <c r="AM245" i="22"/>
  <c r="H245" i="22" s="1"/>
  <c r="E100" i="51" s="1"/>
  <c r="A107" i="51" s="1"/>
  <c r="AM252" i="22"/>
  <c r="H252" i="22" s="1"/>
  <c r="BO20" i="51" s="1"/>
  <c r="AM249" i="22"/>
  <c r="H249" i="22" s="1"/>
  <c r="BO17" i="51" s="1"/>
  <c r="AM282" i="22"/>
  <c r="H282" i="22" s="1"/>
  <c r="AM281" i="22"/>
  <c r="H281" i="22" s="1"/>
  <c r="X281" i="22" s="1"/>
  <c r="AM240" i="22"/>
  <c r="H240" i="22" s="1"/>
  <c r="G85" i="51" s="1"/>
  <c r="AM291" i="22"/>
  <c r="H291" i="22" s="1"/>
  <c r="I291" i="22" s="1"/>
  <c r="BP59" i="51" s="1"/>
  <c r="AM284" i="22"/>
  <c r="H284" i="22" s="1"/>
  <c r="X284" i="22" s="1"/>
  <c r="AM269" i="22"/>
  <c r="H269" i="22" s="1"/>
  <c r="BO37" i="51" s="1"/>
  <c r="AM260" i="22"/>
  <c r="H260" i="22" s="1"/>
  <c r="BO28" i="51" s="1"/>
  <c r="AM251" i="22"/>
  <c r="H251" i="22" s="1"/>
  <c r="I251" i="22" s="1"/>
  <c r="BP19" i="51" s="1"/>
  <c r="AM259" i="22"/>
  <c r="H259" i="22" s="1"/>
  <c r="BO27" i="51" s="1"/>
  <c r="AM275" i="22"/>
  <c r="H275" i="22" s="1"/>
  <c r="BO43" i="51" s="1"/>
  <c r="AM287" i="22"/>
  <c r="H287" i="22" s="1"/>
  <c r="AM270" i="22"/>
  <c r="H270" i="22" s="1"/>
  <c r="X270" i="22" s="1"/>
  <c r="AM262" i="22"/>
  <c r="H262" i="22" s="1"/>
  <c r="AM247" i="22"/>
  <c r="H247" i="22" s="1"/>
  <c r="Z247" i="22" s="1"/>
  <c r="AM286" i="22"/>
  <c r="H286" i="22" s="1"/>
  <c r="AM274" i="22"/>
  <c r="H274" i="22" s="1"/>
  <c r="X274" i="22" s="1"/>
  <c r="AM290" i="22"/>
  <c r="H290" i="22" s="1"/>
  <c r="AM256" i="22"/>
  <c r="H256" i="22" s="1"/>
  <c r="G158" i="51" s="1"/>
  <c r="AM257" i="22"/>
  <c r="H257" i="22" s="1"/>
  <c r="AM279" i="22"/>
  <c r="H279" i="22" s="1"/>
  <c r="X279" i="22" s="1"/>
  <c r="AM242" i="22"/>
  <c r="H242" i="22" s="1"/>
  <c r="I494" i="22" s="1"/>
  <c r="AM263" i="22"/>
  <c r="H263" i="22" s="1"/>
  <c r="BO31" i="51" s="1"/>
  <c r="AM276" i="22"/>
  <c r="H276" i="22" s="1"/>
  <c r="AM285" i="22"/>
  <c r="H285" i="22" s="1"/>
  <c r="AM283" i="22"/>
  <c r="H283" i="22" s="1"/>
  <c r="BO51" i="51" s="1"/>
  <c r="AM288" i="22"/>
  <c r="H288" i="22" s="1"/>
  <c r="BO56" i="51" s="1"/>
  <c r="CE56" i="51" s="1"/>
  <c r="CF56" i="51" s="1"/>
  <c r="AM280" i="22"/>
  <c r="H280" i="22" s="1"/>
  <c r="BO48" i="51" s="1"/>
  <c r="AM244" i="22"/>
  <c r="H244" i="22" s="1"/>
  <c r="X244" i="22" s="1"/>
  <c r="AM253" i="22"/>
  <c r="H253" i="22" s="1"/>
  <c r="AM277" i="22"/>
  <c r="H277" i="22" s="1"/>
  <c r="X277" i="22" s="1"/>
  <c r="AM278" i="22"/>
  <c r="H278" i="22" s="1"/>
  <c r="AM266" i="22"/>
  <c r="H266" i="22" s="1"/>
  <c r="X266" i="22" s="1"/>
  <c r="AM250" i="22"/>
  <c r="H250" i="22" s="1"/>
  <c r="X250" i="22" s="1"/>
  <c r="AM239" i="22"/>
  <c r="H239" i="22" s="1"/>
  <c r="G494" i="22" s="1"/>
  <c r="W286" i="22"/>
  <c r="F239" i="22"/>
  <c r="BM7" i="51" s="1"/>
  <c r="BL6" i="51"/>
  <c r="AF290" i="22"/>
  <c r="AF292" i="22"/>
  <c r="AA290" i="22"/>
  <c r="AF286" i="22"/>
  <c r="AA292" i="22"/>
  <c r="R290" i="22"/>
  <c r="BT58" i="51"/>
  <c r="S290" i="22"/>
  <c r="BU58" i="51" s="1"/>
  <c r="AF288" i="22"/>
  <c r="R292" i="22"/>
  <c r="BT60" i="51" s="1"/>
  <c r="S292" i="22"/>
  <c r="BU60" i="51"/>
  <c r="BM55" i="51"/>
  <c r="F288" i="22"/>
  <c r="F291" i="22"/>
  <c r="F293" i="22"/>
  <c r="F290" i="22"/>
  <c r="U290" i="22" s="1"/>
  <c r="F286" i="22"/>
  <c r="BM54" i="51" s="1"/>
  <c r="F289" i="22"/>
  <c r="BM57" i="51"/>
  <c r="F292" i="22"/>
  <c r="BM60" i="51" s="1"/>
  <c r="K195" i="22"/>
  <c r="AU195" i="22" s="1"/>
  <c r="AW195" i="22" s="1"/>
  <c r="G287" i="22"/>
  <c r="BZ287" i="22" s="1"/>
  <c r="CB287" i="22" s="1"/>
  <c r="K194" i="22"/>
  <c r="G286" i="22" s="1"/>
  <c r="BP286" i="22" s="1"/>
  <c r="K181" i="22"/>
  <c r="G273" i="22"/>
  <c r="BZ273" i="22" s="1"/>
  <c r="K180" i="22"/>
  <c r="G272" i="22" s="1"/>
  <c r="BL50" i="51"/>
  <c r="BL48" i="51"/>
  <c r="BL46" i="51"/>
  <c r="BL44" i="51"/>
  <c r="BL42" i="51"/>
  <c r="BL40" i="51"/>
  <c r="BL38" i="51"/>
  <c r="BL36" i="51"/>
  <c r="BL34" i="51"/>
  <c r="BL32" i="51"/>
  <c r="BL30" i="51"/>
  <c r="BL28" i="51"/>
  <c r="BL26" i="51"/>
  <c r="BL24" i="51"/>
  <c r="BL22" i="51"/>
  <c r="BL20" i="51"/>
  <c r="BL18" i="51"/>
  <c r="BL16" i="51"/>
  <c r="BL14" i="51"/>
  <c r="AM238" i="22"/>
  <c r="AF195" i="22"/>
  <c r="AH195" i="22" s="1"/>
  <c r="AP195" i="22"/>
  <c r="AR195" i="22" s="1"/>
  <c r="AU181" i="22"/>
  <c r="AW181" i="22" s="1"/>
  <c r="V194" i="22"/>
  <c r="T289" i="22"/>
  <c r="U289" i="22"/>
  <c r="U292" i="22"/>
  <c r="T290" i="22"/>
  <c r="T287" i="22"/>
  <c r="U287" i="22"/>
  <c r="K188" i="22"/>
  <c r="G280" i="22" s="1"/>
  <c r="CE280" i="22" s="1"/>
  <c r="CG280" i="22" s="1"/>
  <c r="K189" i="22"/>
  <c r="G281" i="22" s="1"/>
  <c r="BZ281" i="22" s="1"/>
  <c r="CB281" i="22" s="1"/>
  <c r="F40" i="7"/>
  <c r="AF189" i="22"/>
  <c r="AH189" i="22" s="1"/>
  <c r="CB273" i="22"/>
  <c r="AF188" i="22"/>
  <c r="AH188" i="22" s="1"/>
  <c r="T188" i="22"/>
  <c r="F79" i="8"/>
  <c r="S79" i="8" s="1"/>
  <c r="S70" i="8"/>
  <c r="E11" i="58"/>
  <c r="E12" i="58"/>
  <c r="E13" i="58"/>
  <c r="E10" i="58"/>
  <c r="C14" i="58"/>
  <c r="C12" i="58"/>
  <c r="C13" i="58"/>
  <c r="C11" i="58"/>
  <c r="C10" i="58"/>
  <c r="N79" i="69"/>
  <c r="N77" i="69"/>
  <c r="N78" i="69" s="1"/>
  <c r="N76" i="69"/>
  <c r="N74" i="69"/>
  <c r="N73" i="69"/>
  <c r="N71" i="69"/>
  <c r="N70" i="69"/>
  <c r="N72" i="69" s="1"/>
  <c r="N68" i="69"/>
  <c r="N67" i="69"/>
  <c r="N66" i="69"/>
  <c r="N64" i="69"/>
  <c r="N63" i="69"/>
  <c r="N61" i="69"/>
  <c r="N60" i="69"/>
  <c r="N58" i="69"/>
  <c r="N57" i="69"/>
  <c r="N59" i="69" s="1"/>
  <c r="N53" i="69"/>
  <c r="N51" i="69"/>
  <c r="N52" i="69" s="1"/>
  <c r="N50" i="69"/>
  <c r="N48" i="69"/>
  <c r="N47" i="69"/>
  <c r="N45" i="69"/>
  <c r="N44" i="69"/>
  <c r="N42" i="69"/>
  <c r="N41" i="69"/>
  <c r="N40" i="69"/>
  <c r="N38" i="69"/>
  <c r="N37" i="69"/>
  <c r="N35" i="69"/>
  <c r="N34" i="69"/>
  <c r="N36" i="69" s="1"/>
  <c r="N32" i="69"/>
  <c r="N31" i="69"/>
  <c r="N27" i="69"/>
  <c r="CW28" i="51"/>
  <c r="N25" i="69"/>
  <c r="N24" i="69"/>
  <c r="CS28" i="51"/>
  <c r="N22" i="69"/>
  <c r="N21" i="69"/>
  <c r="N19" i="69"/>
  <c r="N18" i="69"/>
  <c r="N16" i="69"/>
  <c r="N15" i="69"/>
  <c r="N14" i="69"/>
  <c r="N12" i="69"/>
  <c r="N11" i="69"/>
  <c r="N9" i="69"/>
  <c r="N8" i="69"/>
  <c r="N6" i="69"/>
  <c r="N5" i="69"/>
  <c r="I79" i="69"/>
  <c r="I77" i="69"/>
  <c r="I76" i="69"/>
  <c r="I74" i="69"/>
  <c r="I73" i="69"/>
  <c r="I71" i="69"/>
  <c r="I70" i="69"/>
  <c r="I68" i="69"/>
  <c r="I67" i="69"/>
  <c r="I66" i="69"/>
  <c r="I64" i="69"/>
  <c r="I63" i="69"/>
  <c r="I61" i="69"/>
  <c r="I60" i="69"/>
  <c r="I58" i="69"/>
  <c r="I57" i="69"/>
  <c r="I53" i="69"/>
  <c r="I51" i="69"/>
  <c r="I50" i="69"/>
  <c r="I48" i="69"/>
  <c r="I47" i="69"/>
  <c r="I45" i="69"/>
  <c r="I44" i="69"/>
  <c r="I46" i="69" s="1"/>
  <c r="I42" i="69"/>
  <c r="I41" i="69"/>
  <c r="I40" i="69"/>
  <c r="I38" i="69"/>
  <c r="I39" i="69" s="1"/>
  <c r="I37" i="69"/>
  <c r="I35" i="69"/>
  <c r="I34" i="69"/>
  <c r="I32" i="69"/>
  <c r="I31" i="69"/>
  <c r="I27" i="69"/>
  <c r="I25" i="69"/>
  <c r="I24" i="69"/>
  <c r="I22" i="69"/>
  <c r="I21" i="69"/>
  <c r="I19" i="69"/>
  <c r="I18" i="69"/>
  <c r="I16" i="69"/>
  <c r="I15" i="69"/>
  <c r="I14" i="69"/>
  <c r="I12" i="69"/>
  <c r="I11" i="69"/>
  <c r="I9" i="69"/>
  <c r="I8" i="69"/>
  <c r="I6" i="69"/>
  <c r="I7" i="69" s="1"/>
  <c r="I5" i="69"/>
  <c r="D43" i="69"/>
  <c r="E43" i="69"/>
  <c r="F43" i="69"/>
  <c r="G43" i="69"/>
  <c r="H43" i="69"/>
  <c r="J43" i="69"/>
  <c r="K43" i="69"/>
  <c r="L43" i="69"/>
  <c r="M43" i="69"/>
  <c r="O43" i="69"/>
  <c r="P43" i="69"/>
  <c r="Q43" i="69"/>
  <c r="R43" i="69"/>
  <c r="S43" i="69"/>
  <c r="T43" i="69"/>
  <c r="U43" i="69"/>
  <c r="V43" i="69"/>
  <c r="W43" i="69"/>
  <c r="N13" i="69"/>
  <c r="CV28" i="51"/>
  <c r="I65" i="69"/>
  <c r="CY28" i="51"/>
  <c r="CR28" i="51"/>
  <c r="I69" i="69"/>
  <c r="CU28" i="51"/>
  <c r="N46" i="69"/>
  <c r="N65" i="69"/>
  <c r="N17" i="69"/>
  <c r="CQ28" i="51"/>
  <c r="I10" i="69"/>
  <c r="W78" i="69"/>
  <c r="V78" i="69"/>
  <c r="U78" i="69"/>
  <c r="T78" i="69"/>
  <c r="S78" i="69"/>
  <c r="R78" i="69"/>
  <c r="Q78" i="69"/>
  <c r="P78" i="69"/>
  <c r="O78" i="69"/>
  <c r="M78" i="69"/>
  <c r="L78" i="69"/>
  <c r="K78" i="69"/>
  <c r="J78" i="69"/>
  <c r="H78" i="69"/>
  <c r="G78" i="69"/>
  <c r="F78" i="69"/>
  <c r="E78" i="69"/>
  <c r="D78" i="69"/>
  <c r="W75" i="69"/>
  <c r="V75" i="69"/>
  <c r="U75" i="69"/>
  <c r="T75" i="69"/>
  <c r="S75" i="69"/>
  <c r="R75" i="69"/>
  <c r="Q75" i="69"/>
  <c r="P75" i="69"/>
  <c r="O75" i="69"/>
  <c r="M75" i="69"/>
  <c r="L75" i="69"/>
  <c r="K75" i="69"/>
  <c r="J75" i="69"/>
  <c r="H75" i="69"/>
  <c r="G75" i="69"/>
  <c r="F75" i="69"/>
  <c r="E75" i="69"/>
  <c r="D75" i="69"/>
  <c r="W72" i="69"/>
  <c r="V72" i="69"/>
  <c r="U72" i="69"/>
  <c r="T72" i="69"/>
  <c r="S72" i="69"/>
  <c r="R72" i="69"/>
  <c r="Q72" i="69"/>
  <c r="P72" i="69"/>
  <c r="O72" i="69"/>
  <c r="M72" i="69"/>
  <c r="L72" i="69"/>
  <c r="K72" i="69"/>
  <c r="J72" i="69"/>
  <c r="H72" i="69"/>
  <c r="G72" i="69"/>
  <c r="F72" i="69"/>
  <c r="E72" i="69"/>
  <c r="D72" i="69"/>
  <c r="W69" i="69"/>
  <c r="V69" i="69"/>
  <c r="U69" i="69"/>
  <c r="T69" i="69"/>
  <c r="S69" i="69"/>
  <c r="R69" i="69"/>
  <c r="Q69" i="69"/>
  <c r="P69" i="69"/>
  <c r="O69" i="69"/>
  <c r="M69" i="69"/>
  <c r="L69" i="69"/>
  <c r="K69" i="69"/>
  <c r="J69" i="69"/>
  <c r="H69" i="69"/>
  <c r="G69" i="69"/>
  <c r="F69" i="69"/>
  <c r="E69" i="69"/>
  <c r="D69" i="69"/>
  <c r="W65" i="69"/>
  <c r="V65" i="69"/>
  <c r="U65" i="69"/>
  <c r="T65" i="69"/>
  <c r="S65" i="69"/>
  <c r="R65" i="69"/>
  <c r="Q65" i="69"/>
  <c r="P65" i="69"/>
  <c r="O65" i="69"/>
  <c r="M65" i="69"/>
  <c r="L65" i="69"/>
  <c r="K65" i="69"/>
  <c r="J65" i="69"/>
  <c r="H65" i="69"/>
  <c r="G65" i="69"/>
  <c r="F65" i="69"/>
  <c r="E65" i="69"/>
  <c r="D65" i="69"/>
  <c r="W62" i="69"/>
  <c r="V62" i="69"/>
  <c r="U62" i="69"/>
  <c r="T62" i="69"/>
  <c r="S62" i="69"/>
  <c r="R62" i="69"/>
  <c r="Q62" i="69"/>
  <c r="P62" i="69"/>
  <c r="O62" i="69"/>
  <c r="M62" i="69"/>
  <c r="L62" i="69"/>
  <c r="K62" i="69"/>
  <c r="J62" i="69"/>
  <c r="H62" i="69"/>
  <c r="G62" i="69"/>
  <c r="F62" i="69"/>
  <c r="E62" i="69"/>
  <c r="D62" i="69"/>
  <c r="W59" i="69"/>
  <c r="V59" i="69"/>
  <c r="U59" i="69"/>
  <c r="T59" i="69"/>
  <c r="S59" i="69"/>
  <c r="R59" i="69"/>
  <c r="Q59" i="69"/>
  <c r="P59" i="69"/>
  <c r="O59" i="69"/>
  <c r="M59" i="69"/>
  <c r="L59" i="69"/>
  <c r="K59" i="69"/>
  <c r="J59" i="69"/>
  <c r="H59" i="69"/>
  <c r="G59" i="69"/>
  <c r="F59" i="69"/>
  <c r="E59" i="69"/>
  <c r="D59" i="69"/>
  <c r="W52" i="69"/>
  <c r="V52" i="69"/>
  <c r="U52" i="69"/>
  <c r="T52" i="69"/>
  <c r="S52" i="69"/>
  <c r="R52" i="69"/>
  <c r="Q52" i="69"/>
  <c r="P52" i="69"/>
  <c r="O52" i="69"/>
  <c r="M52" i="69"/>
  <c r="L52" i="69"/>
  <c r="K52" i="69"/>
  <c r="J52" i="69"/>
  <c r="H52" i="69"/>
  <c r="G52" i="69"/>
  <c r="F52" i="69"/>
  <c r="E52" i="69"/>
  <c r="D52" i="69"/>
  <c r="W49" i="69"/>
  <c r="V49" i="69"/>
  <c r="U49" i="69"/>
  <c r="T49" i="69"/>
  <c r="S49" i="69"/>
  <c r="R49" i="69"/>
  <c r="Q49" i="69"/>
  <c r="P49" i="69"/>
  <c r="O49" i="69"/>
  <c r="M49" i="69"/>
  <c r="L49" i="69"/>
  <c r="K49" i="69"/>
  <c r="J49" i="69"/>
  <c r="H49" i="69"/>
  <c r="G49" i="69"/>
  <c r="F49" i="69"/>
  <c r="E49" i="69"/>
  <c r="D49" i="69"/>
  <c r="W46" i="69"/>
  <c r="V46" i="69"/>
  <c r="U46" i="69"/>
  <c r="T46" i="69"/>
  <c r="S46" i="69"/>
  <c r="R46" i="69"/>
  <c r="Q46" i="69"/>
  <c r="P46" i="69"/>
  <c r="O46" i="69"/>
  <c r="M46" i="69"/>
  <c r="L46" i="69"/>
  <c r="K46" i="69"/>
  <c r="J46" i="69"/>
  <c r="H46" i="69"/>
  <c r="G46" i="69"/>
  <c r="F46" i="69"/>
  <c r="E46" i="69"/>
  <c r="D46" i="69"/>
  <c r="W39" i="69"/>
  <c r="V39" i="69"/>
  <c r="U39" i="69"/>
  <c r="T39" i="69"/>
  <c r="S39" i="69"/>
  <c r="R39" i="69"/>
  <c r="Q39" i="69"/>
  <c r="P39" i="69"/>
  <c r="O39" i="69"/>
  <c r="M39" i="69"/>
  <c r="L39" i="69"/>
  <c r="K39" i="69"/>
  <c r="J39" i="69"/>
  <c r="H39" i="69"/>
  <c r="G39" i="69"/>
  <c r="F39" i="69"/>
  <c r="E39" i="69"/>
  <c r="D39" i="69"/>
  <c r="W36" i="69"/>
  <c r="V36" i="69"/>
  <c r="U36" i="69"/>
  <c r="T36" i="69"/>
  <c r="S36" i="69"/>
  <c r="R36" i="69"/>
  <c r="Q36" i="69"/>
  <c r="P36" i="69"/>
  <c r="O36" i="69"/>
  <c r="M36" i="69"/>
  <c r="L36" i="69"/>
  <c r="K36" i="69"/>
  <c r="J36" i="69"/>
  <c r="H36" i="69"/>
  <c r="G36" i="69"/>
  <c r="F36" i="69"/>
  <c r="E36" i="69"/>
  <c r="D36" i="69"/>
  <c r="W33" i="69"/>
  <c r="V33" i="69"/>
  <c r="U33" i="69"/>
  <c r="T33" i="69"/>
  <c r="S33" i="69"/>
  <c r="R33" i="69"/>
  <c r="Q33" i="69"/>
  <c r="P33" i="69"/>
  <c r="O33" i="69"/>
  <c r="M33" i="69"/>
  <c r="L33" i="69"/>
  <c r="K33" i="69"/>
  <c r="J33" i="69"/>
  <c r="H33" i="69"/>
  <c r="G33" i="69"/>
  <c r="F33" i="69"/>
  <c r="E33" i="69"/>
  <c r="D33" i="69"/>
  <c r="W26" i="69"/>
  <c r="V26" i="69"/>
  <c r="U26" i="69"/>
  <c r="CS36" i="51"/>
  <c r="T26" i="69"/>
  <c r="CS40" i="51"/>
  <c r="S26" i="69"/>
  <c r="CS42" i="51"/>
  <c r="R26" i="69"/>
  <c r="CS52" i="51"/>
  <c r="Q26" i="69"/>
  <c r="CS50" i="51"/>
  <c r="P26" i="69"/>
  <c r="CS46" i="51"/>
  <c r="O26" i="69"/>
  <c r="CS24" i="51"/>
  <c r="M26" i="69"/>
  <c r="L26" i="69"/>
  <c r="K26" i="69"/>
  <c r="CS26" i="51"/>
  <c r="J26" i="69"/>
  <c r="CS20" i="51"/>
  <c r="H26" i="69"/>
  <c r="G26" i="69"/>
  <c r="F26" i="69"/>
  <c r="CS34" i="51"/>
  <c r="E26" i="69"/>
  <c r="D26" i="69"/>
  <c r="CS6" i="51"/>
  <c r="W23" i="69"/>
  <c r="V23" i="69"/>
  <c r="U23" i="69"/>
  <c r="CR36" i="51"/>
  <c r="T23" i="69"/>
  <c r="S23" i="69"/>
  <c r="CR42" i="51"/>
  <c r="R23" i="69"/>
  <c r="Q23" i="69"/>
  <c r="CR50" i="51"/>
  <c r="P23" i="69"/>
  <c r="O23" i="69"/>
  <c r="CR24" i="51"/>
  <c r="M23" i="69"/>
  <c r="L23" i="69"/>
  <c r="K23" i="69"/>
  <c r="CR26" i="51"/>
  <c r="J23" i="69"/>
  <c r="H23" i="69"/>
  <c r="G23" i="69"/>
  <c r="CR14" i="51"/>
  <c r="F23" i="69"/>
  <c r="CR34" i="51"/>
  <c r="E23" i="69"/>
  <c r="CR12" i="51"/>
  <c r="D23" i="69"/>
  <c r="CR6" i="51"/>
  <c r="W20" i="69"/>
  <c r="V20" i="69"/>
  <c r="U20" i="69"/>
  <c r="CU36" i="51"/>
  <c r="T20" i="69"/>
  <c r="CU40" i="51"/>
  <c r="S20" i="69"/>
  <c r="CU42" i="51"/>
  <c r="R20" i="69"/>
  <c r="CU52" i="51"/>
  <c r="Q20" i="69"/>
  <c r="CU50" i="51"/>
  <c r="P20" i="69"/>
  <c r="CU46" i="51"/>
  <c r="O20" i="69"/>
  <c r="CU24" i="51"/>
  <c r="M20" i="69"/>
  <c r="L20" i="69"/>
  <c r="K20" i="69"/>
  <c r="CU26" i="51"/>
  <c r="J20" i="69"/>
  <c r="CU20" i="51"/>
  <c r="H20" i="69"/>
  <c r="G20" i="69"/>
  <c r="CU14" i="51"/>
  <c r="F20" i="69"/>
  <c r="E20" i="69"/>
  <c r="CU12" i="51"/>
  <c r="D20" i="69"/>
  <c r="W17" i="69"/>
  <c r="V17" i="69"/>
  <c r="U17" i="69"/>
  <c r="T17" i="69"/>
  <c r="CQ40" i="51"/>
  <c r="S17" i="69"/>
  <c r="R17" i="69"/>
  <c r="CQ52" i="51"/>
  <c r="Q17" i="69"/>
  <c r="P17" i="69"/>
  <c r="CQ46" i="51"/>
  <c r="O17" i="69"/>
  <c r="M17" i="69"/>
  <c r="L17" i="69"/>
  <c r="K17" i="69"/>
  <c r="J17" i="69"/>
  <c r="CQ20" i="51"/>
  <c r="H17" i="69"/>
  <c r="G17" i="69"/>
  <c r="CQ14" i="51"/>
  <c r="F17" i="69"/>
  <c r="CQ34" i="51"/>
  <c r="E17" i="69"/>
  <c r="CQ12" i="51"/>
  <c r="D17" i="69"/>
  <c r="CQ6" i="51"/>
  <c r="W13" i="69"/>
  <c r="V13" i="69"/>
  <c r="U13" i="69"/>
  <c r="CV36" i="51"/>
  <c r="T13" i="69"/>
  <c r="CV40" i="51"/>
  <c r="S13" i="69"/>
  <c r="CV42" i="51"/>
  <c r="R13" i="69"/>
  <c r="CV52" i="51"/>
  <c r="Q13" i="69"/>
  <c r="CV50" i="51"/>
  <c r="P13" i="69"/>
  <c r="CV46" i="51"/>
  <c r="O13" i="69"/>
  <c r="CV24" i="51"/>
  <c r="M13" i="69"/>
  <c r="L13" i="69"/>
  <c r="K13" i="69"/>
  <c r="CV26" i="51"/>
  <c r="J13" i="69"/>
  <c r="CV20" i="51"/>
  <c r="H13" i="69"/>
  <c r="G13" i="69"/>
  <c r="F13" i="69"/>
  <c r="CV34" i="51"/>
  <c r="E13" i="69"/>
  <c r="D13" i="69"/>
  <c r="CV6" i="51"/>
  <c r="W10" i="69"/>
  <c r="V10" i="69"/>
  <c r="U10" i="69"/>
  <c r="CT36" i="51"/>
  <c r="T10" i="69"/>
  <c r="S10" i="69"/>
  <c r="CT42" i="51"/>
  <c r="R10" i="69"/>
  <c r="Q10" i="69"/>
  <c r="CT50" i="51"/>
  <c r="P10" i="69"/>
  <c r="O10" i="69"/>
  <c r="CT24" i="51"/>
  <c r="M10" i="69"/>
  <c r="L10" i="69"/>
  <c r="K10" i="69"/>
  <c r="CT26" i="51"/>
  <c r="J10" i="69"/>
  <c r="H10" i="69"/>
  <c r="G10" i="69"/>
  <c r="CT14" i="51"/>
  <c r="F10" i="69"/>
  <c r="CT34" i="51"/>
  <c r="E10" i="69"/>
  <c r="CT12" i="51"/>
  <c r="D10" i="69"/>
  <c r="CT6" i="51"/>
  <c r="W7" i="69"/>
  <c r="V7" i="69"/>
  <c r="U7" i="69"/>
  <c r="CY36" i="51"/>
  <c r="T7" i="69"/>
  <c r="CY40" i="51"/>
  <c r="S7" i="69"/>
  <c r="CY42" i="51"/>
  <c r="R7" i="69"/>
  <c r="CY52" i="51"/>
  <c r="Q7" i="69"/>
  <c r="CY50" i="51"/>
  <c r="P7" i="69"/>
  <c r="CY46" i="51"/>
  <c r="O7" i="69"/>
  <c r="CY24" i="51"/>
  <c r="M7" i="69"/>
  <c r="L7" i="69"/>
  <c r="K7" i="69"/>
  <c r="CY26" i="51"/>
  <c r="J7" i="69"/>
  <c r="CY20" i="51"/>
  <c r="H7" i="69"/>
  <c r="G7" i="69"/>
  <c r="CY14" i="51"/>
  <c r="F7" i="69"/>
  <c r="E7" i="69"/>
  <c r="CY12" i="51"/>
  <c r="D7" i="69"/>
  <c r="W69" i="67"/>
  <c r="V69" i="67"/>
  <c r="U69" i="67"/>
  <c r="T69" i="67"/>
  <c r="S69" i="67"/>
  <c r="R69" i="67"/>
  <c r="Q69" i="67"/>
  <c r="P69" i="67"/>
  <c r="O69" i="67"/>
  <c r="M69" i="67"/>
  <c r="L69" i="67"/>
  <c r="K69" i="67"/>
  <c r="J69" i="67"/>
  <c r="H69" i="67"/>
  <c r="G69" i="67"/>
  <c r="F69" i="67"/>
  <c r="E69" i="67"/>
  <c r="D69" i="67"/>
  <c r="W43" i="67"/>
  <c r="V43" i="67"/>
  <c r="U43" i="67"/>
  <c r="T43" i="67"/>
  <c r="S43" i="67"/>
  <c r="R43" i="67"/>
  <c r="Q43" i="67"/>
  <c r="P43" i="67"/>
  <c r="O43" i="67"/>
  <c r="M43" i="67"/>
  <c r="L43" i="67"/>
  <c r="K43" i="67"/>
  <c r="J43" i="67"/>
  <c r="H43" i="67"/>
  <c r="G43" i="67"/>
  <c r="F43" i="67"/>
  <c r="E43" i="67"/>
  <c r="D43" i="67"/>
  <c r="W78" i="67"/>
  <c r="V78" i="67"/>
  <c r="U78" i="67"/>
  <c r="T78" i="67"/>
  <c r="S78" i="67"/>
  <c r="R78" i="67"/>
  <c r="Q78" i="67"/>
  <c r="P78" i="67"/>
  <c r="O78" i="67"/>
  <c r="M78" i="67"/>
  <c r="L78" i="67"/>
  <c r="K78" i="67"/>
  <c r="J78" i="67"/>
  <c r="H78" i="67"/>
  <c r="G78" i="67"/>
  <c r="F78" i="67"/>
  <c r="E78" i="67"/>
  <c r="D78" i="67"/>
  <c r="W75" i="67"/>
  <c r="V75" i="67"/>
  <c r="U75" i="67"/>
  <c r="T75" i="67"/>
  <c r="S75" i="67"/>
  <c r="R75" i="67"/>
  <c r="Q75" i="67"/>
  <c r="P75" i="67"/>
  <c r="O75" i="67"/>
  <c r="M75" i="67"/>
  <c r="L75" i="67"/>
  <c r="K75" i="67"/>
  <c r="J75" i="67"/>
  <c r="H75" i="67"/>
  <c r="G75" i="67"/>
  <c r="F75" i="67"/>
  <c r="E75" i="67"/>
  <c r="D75" i="67"/>
  <c r="W72" i="67"/>
  <c r="V72" i="67"/>
  <c r="U72" i="67"/>
  <c r="T72" i="67"/>
  <c r="S72" i="67"/>
  <c r="R72" i="67"/>
  <c r="Q72" i="67"/>
  <c r="P72" i="67"/>
  <c r="O72" i="67"/>
  <c r="M72" i="67"/>
  <c r="L72" i="67"/>
  <c r="K72" i="67"/>
  <c r="J72" i="67"/>
  <c r="H72" i="67"/>
  <c r="G72" i="67"/>
  <c r="F72" i="67"/>
  <c r="E72" i="67"/>
  <c r="D72" i="67"/>
  <c r="W65" i="67"/>
  <c r="V65" i="67"/>
  <c r="U65" i="67"/>
  <c r="T65" i="67"/>
  <c r="S65" i="67"/>
  <c r="R65" i="67"/>
  <c r="Q65" i="67"/>
  <c r="P65" i="67"/>
  <c r="O65" i="67"/>
  <c r="M65" i="67"/>
  <c r="L65" i="67"/>
  <c r="K65" i="67"/>
  <c r="J65" i="67"/>
  <c r="H65" i="67"/>
  <c r="G65" i="67"/>
  <c r="F65" i="67"/>
  <c r="E65" i="67"/>
  <c r="D65" i="67"/>
  <c r="W62" i="67"/>
  <c r="V62" i="67"/>
  <c r="U62" i="67"/>
  <c r="T62" i="67"/>
  <c r="S62" i="67"/>
  <c r="R62" i="67"/>
  <c r="Q62" i="67"/>
  <c r="P62" i="67"/>
  <c r="O62" i="67"/>
  <c r="M62" i="67"/>
  <c r="L62" i="67"/>
  <c r="K62" i="67"/>
  <c r="J62" i="67"/>
  <c r="H62" i="67"/>
  <c r="G62" i="67"/>
  <c r="F62" i="67"/>
  <c r="E62" i="67"/>
  <c r="D62" i="67"/>
  <c r="W59" i="67"/>
  <c r="V59" i="67"/>
  <c r="U59" i="67"/>
  <c r="T59" i="67"/>
  <c r="S59" i="67"/>
  <c r="R59" i="67"/>
  <c r="Q59" i="67"/>
  <c r="P59" i="67"/>
  <c r="O59" i="67"/>
  <c r="M59" i="67"/>
  <c r="L59" i="67"/>
  <c r="K59" i="67"/>
  <c r="J59" i="67"/>
  <c r="H59" i="67"/>
  <c r="G59" i="67"/>
  <c r="F59" i="67"/>
  <c r="E59" i="67"/>
  <c r="D59" i="67"/>
  <c r="W52" i="67"/>
  <c r="V52" i="67"/>
  <c r="U52" i="67"/>
  <c r="T52" i="67"/>
  <c r="S52" i="67"/>
  <c r="R52" i="67"/>
  <c r="Q52" i="67"/>
  <c r="P52" i="67"/>
  <c r="O52" i="67"/>
  <c r="M52" i="67"/>
  <c r="L52" i="67"/>
  <c r="K52" i="67"/>
  <c r="J52" i="67"/>
  <c r="H52" i="67"/>
  <c r="G52" i="67"/>
  <c r="F52" i="67"/>
  <c r="E52" i="67"/>
  <c r="D52" i="67"/>
  <c r="W49" i="67"/>
  <c r="V49" i="67"/>
  <c r="U49" i="67"/>
  <c r="T49" i="67"/>
  <c r="S49" i="67"/>
  <c r="R49" i="67"/>
  <c r="Q49" i="67"/>
  <c r="P49" i="67"/>
  <c r="O49" i="67"/>
  <c r="M49" i="67"/>
  <c r="L49" i="67"/>
  <c r="K49" i="67"/>
  <c r="J49" i="67"/>
  <c r="H49" i="67"/>
  <c r="G49" i="67"/>
  <c r="F49" i="67"/>
  <c r="E49" i="67"/>
  <c r="D49" i="67"/>
  <c r="W46" i="67"/>
  <c r="V46" i="67"/>
  <c r="U46" i="67"/>
  <c r="T46" i="67"/>
  <c r="S46" i="67"/>
  <c r="R46" i="67"/>
  <c r="Q46" i="67"/>
  <c r="P46" i="67"/>
  <c r="O46" i="67"/>
  <c r="M46" i="67"/>
  <c r="L46" i="67"/>
  <c r="K46" i="67"/>
  <c r="J46" i="67"/>
  <c r="H46" i="67"/>
  <c r="G46" i="67"/>
  <c r="F46" i="67"/>
  <c r="E46" i="67"/>
  <c r="D46" i="67"/>
  <c r="W39" i="67"/>
  <c r="V39" i="67"/>
  <c r="U39" i="67"/>
  <c r="T39" i="67"/>
  <c r="S39" i="67"/>
  <c r="R39" i="67"/>
  <c r="Q39" i="67"/>
  <c r="P39" i="67"/>
  <c r="O39" i="67"/>
  <c r="M39" i="67"/>
  <c r="L39" i="67"/>
  <c r="K39" i="67"/>
  <c r="J39" i="67"/>
  <c r="H39" i="67"/>
  <c r="G39" i="67"/>
  <c r="F39" i="67"/>
  <c r="E39" i="67"/>
  <c r="D39" i="67"/>
  <c r="W36" i="67"/>
  <c r="V36" i="67"/>
  <c r="U36" i="67"/>
  <c r="T36" i="67"/>
  <c r="S36" i="67"/>
  <c r="R36" i="67"/>
  <c r="Q36" i="67"/>
  <c r="P36" i="67"/>
  <c r="O36" i="67"/>
  <c r="M36" i="67"/>
  <c r="L36" i="67"/>
  <c r="K36" i="67"/>
  <c r="J36" i="67"/>
  <c r="H36" i="67"/>
  <c r="G36" i="67"/>
  <c r="F36" i="67"/>
  <c r="E36" i="67"/>
  <c r="D36" i="67"/>
  <c r="W33" i="67"/>
  <c r="V33" i="67"/>
  <c r="U33" i="67"/>
  <c r="T33" i="67"/>
  <c r="S33" i="67"/>
  <c r="R33" i="67"/>
  <c r="Q33" i="67"/>
  <c r="P33" i="67"/>
  <c r="O33" i="67"/>
  <c r="M33" i="67"/>
  <c r="L33" i="67"/>
  <c r="K33" i="67"/>
  <c r="J33" i="67"/>
  <c r="H33" i="67"/>
  <c r="G33" i="67"/>
  <c r="F33" i="67"/>
  <c r="E33" i="67"/>
  <c r="D33" i="67"/>
  <c r="E17" i="67"/>
  <c r="CH12" i="51"/>
  <c r="F17" i="67"/>
  <c r="G17" i="67"/>
  <c r="CH14" i="51"/>
  <c r="H17" i="67"/>
  <c r="J17" i="67"/>
  <c r="CH20" i="51"/>
  <c r="K17" i="67"/>
  <c r="CH26" i="51"/>
  <c r="L17" i="67"/>
  <c r="M17" i="67"/>
  <c r="O17" i="67"/>
  <c r="CH24" i="51"/>
  <c r="P17" i="67"/>
  <c r="CH46" i="51"/>
  <c r="Q17" i="67"/>
  <c r="CH50" i="51"/>
  <c r="R17" i="67"/>
  <c r="CH52" i="51"/>
  <c r="S17" i="67"/>
  <c r="CH42" i="51"/>
  <c r="T17" i="67"/>
  <c r="CH40" i="51"/>
  <c r="U17" i="67"/>
  <c r="CH36" i="51"/>
  <c r="V17" i="67"/>
  <c r="W17" i="67"/>
  <c r="D17" i="67"/>
  <c r="CH6" i="51"/>
  <c r="W13" i="67"/>
  <c r="V13" i="67"/>
  <c r="U13" i="67"/>
  <c r="CM36" i="51"/>
  <c r="T13" i="67"/>
  <c r="CM40" i="51"/>
  <c r="S13" i="67"/>
  <c r="CM42" i="51"/>
  <c r="R13" i="67"/>
  <c r="CM52" i="51"/>
  <c r="Q13" i="67"/>
  <c r="CM50" i="51"/>
  <c r="P13" i="67"/>
  <c r="CM46" i="51"/>
  <c r="O13" i="67"/>
  <c r="CM24" i="51"/>
  <c r="M13" i="67"/>
  <c r="L13" i="67"/>
  <c r="K13" i="67"/>
  <c r="CM26" i="51"/>
  <c r="J13" i="67"/>
  <c r="CM20" i="51"/>
  <c r="H13" i="67"/>
  <c r="G13" i="67"/>
  <c r="F13" i="67"/>
  <c r="CM34" i="51"/>
  <c r="E13" i="67"/>
  <c r="D13" i="67"/>
  <c r="CM6" i="51"/>
  <c r="W26" i="67"/>
  <c r="V26" i="67"/>
  <c r="U26" i="67"/>
  <c r="CJ36" i="51"/>
  <c r="T26" i="67"/>
  <c r="S26" i="67"/>
  <c r="CJ42" i="51"/>
  <c r="R26" i="67"/>
  <c r="Q26" i="67"/>
  <c r="CJ50" i="51"/>
  <c r="P26" i="67"/>
  <c r="O26" i="67"/>
  <c r="CJ24" i="51"/>
  <c r="M26" i="67"/>
  <c r="L26" i="67"/>
  <c r="K26" i="67"/>
  <c r="CJ26" i="51"/>
  <c r="J26" i="67"/>
  <c r="H26" i="67"/>
  <c r="G26" i="67"/>
  <c r="CJ14" i="51"/>
  <c r="F26" i="67"/>
  <c r="CJ34" i="51"/>
  <c r="E26" i="67"/>
  <c r="CJ12" i="51"/>
  <c r="D26" i="67"/>
  <c r="CJ6" i="51"/>
  <c r="W23" i="67"/>
  <c r="V23" i="67"/>
  <c r="U23" i="67"/>
  <c r="CI36" i="51"/>
  <c r="T23" i="67"/>
  <c r="CI40" i="51"/>
  <c r="S23" i="67"/>
  <c r="CI42" i="51"/>
  <c r="R23" i="67"/>
  <c r="CI52" i="51"/>
  <c r="Q23" i="67"/>
  <c r="CI50" i="51"/>
  <c r="P23" i="67"/>
  <c r="CI46" i="51"/>
  <c r="O23" i="67"/>
  <c r="CI24" i="51"/>
  <c r="M23" i="67"/>
  <c r="L23" i="67"/>
  <c r="K23" i="67"/>
  <c r="CI26" i="51"/>
  <c r="J23" i="67"/>
  <c r="CI20" i="51"/>
  <c r="H23" i="67"/>
  <c r="G23" i="67"/>
  <c r="CI14" i="51"/>
  <c r="F23" i="67"/>
  <c r="E23" i="67"/>
  <c r="CI12" i="51"/>
  <c r="D23" i="67"/>
  <c r="W20" i="67"/>
  <c r="V20" i="67"/>
  <c r="U20" i="67"/>
  <c r="T20" i="67"/>
  <c r="CL40" i="51"/>
  <c r="S20" i="67"/>
  <c r="R20" i="67"/>
  <c r="CL52" i="51"/>
  <c r="Q20" i="67"/>
  <c r="P20" i="67"/>
  <c r="CL46" i="51"/>
  <c r="O20" i="67"/>
  <c r="M20" i="67"/>
  <c r="L20" i="67"/>
  <c r="K20" i="67"/>
  <c r="J20" i="67"/>
  <c r="CL20" i="51"/>
  <c r="H20" i="67"/>
  <c r="G20" i="67"/>
  <c r="CL14" i="51"/>
  <c r="F20" i="67"/>
  <c r="CL34" i="51"/>
  <c r="E20" i="67"/>
  <c r="CL12" i="51"/>
  <c r="D20" i="67"/>
  <c r="CL6" i="51"/>
  <c r="W10" i="67"/>
  <c r="V10" i="67"/>
  <c r="U10" i="67"/>
  <c r="CK36" i="51"/>
  <c r="T10" i="67"/>
  <c r="CK40" i="51"/>
  <c r="S10" i="67"/>
  <c r="CK42" i="51"/>
  <c r="R10" i="67"/>
  <c r="CK52" i="51"/>
  <c r="Q10" i="67"/>
  <c r="CK50" i="51"/>
  <c r="P10" i="67"/>
  <c r="CK46" i="51"/>
  <c r="O10" i="67"/>
  <c r="CK24" i="51"/>
  <c r="M10" i="67"/>
  <c r="L10" i="67"/>
  <c r="K10" i="67"/>
  <c r="CK26" i="51"/>
  <c r="J10" i="67"/>
  <c r="CK20" i="51"/>
  <c r="H10" i="67"/>
  <c r="G10" i="67"/>
  <c r="CK14" i="51"/>
  <c r="F10" i="67"/>
  <c r="CK34" i="51"/>
  <c r="E10" i="67"/>
  <c r="CK12" i="51"/>
  <c r="D10" i="67"/>
  <c r="CK6" i="51"/>
  <c r="E7" i="67"/>
  <c r="CP12" i="51"/>
  <c r="F7" i="67"/>
  <c r="CP34" i="51"/>
  <c r="G7" i="67"/>
  <c r="CP14" i="51"/>
  <c r="H7" i="67"/>
  <c r="J7" i="67"/>
  <c r="CP20" i="51"/>
  <c r="K7" i="67"/>
  <c r="CP26" i="51"/>
  <c r="L7" i="67"/>
  <c r="M7" i="67"/>
  <c r="O7" i="67"/>
  <c r="CP24" i="51"/>
  <c r="P7" i="67"/>
  <c r="CP46" i="51"/>
  <c r="Q7" i="67"/>
  <c r="CP50" i="51"/>
  <c r="R7" i="67"/>
  <c r="CP52" i="51"/>
  <c r="S7" i="67"/>
  <c r="CP42" i="51"/>
  <c r="T7" i="67"/>
  <c r="CP40" i="51"/>
  <c r="U7" i="67"/>
  <c r="CP36" i="51"/>
  <c r="V7" i="67"/>
  <c r="W7" i="67"/>
  <c r="D7" i="67"/>
  <c r="CP6" i="51"/>
  <c r="N79" i="67"/>
  <c r="N77" i="67"/>
  <c r="N76" i="67"/>
  <c r="N78" i="67" s="1"/>
  <c r="N74" i="67"/>
  <c r="N73" i="67"/>
  <c r="N71" i="67"/>
  <c r="N70" i="67"/>
  <c r="N72" i="67" s="1"/>
  <c r="N68" i="67"/>
  <c r="N69" i="67" s="1"/>
  <c r="N67" i="67"/>
  <c r="N66" i="67"/>
  <c r="N64" i="67"/>
  <c r="N63" i="67"/>
  <c r="N61" i="67"/>
  <c r="N62" i="67" s="1"/>
  <c r="N60" i="67"/>
  <c r="N58" i="67"/>
  <c r="N57" i="67"/>
  <c r="N59" i="67" s="1"/>
  <c r="N53" i="67"/>
  <c r="N51" i="67"/>
  <c r="N50" i="67"/>
  <c r="N52" i="67" s="1"/>
  <c r="N48" i="67"/>
  <c r="N47" i="67"/>
  <c r="N45" i="67"/>
  <c r="N44" i="67"/>
  <c r="N46" i="67" s="1"/>
  <c r="N42" i="67"/>
  <c r="N41" i="67"/>
  <c r="N40" i="67"/>
  <c r="N38" i="67"/>
  <c r="N37" i="67"/>
  <c r="N35" i="67"/>
  <c r="N34" i="67"/>
  <c r="N32" i="67"/>
  <c r="N31" i="67"/>
  <c r="N27" i="67"/>
  <c r="CN28" i="51"/>
  <c r="N25" i="67"/>
  <c r="N24" i="67"/>
  <c r="N22" i="67"/>
  <c r="N23" i="67" s="1"/>
  <c r="N21" i="67"/>
  <c r="N19" i="67"/>
  <c r="N18" i="67"/>
  <c r="N20" i="67" s="1"/>
  <c r="N16" i="67"/>
  <c r="N15" i="67"/>
  <c r="N14" i="67"/>
  <c r="N17" i="67" s="1"/>
  <c r="N12" i="67"/>
  <c r="N11" i="67"/>
  <c r="N9" i="67"/>
  <c r="N8" i="67"/>
  <c r="N10" i="67" s="1"/>
  <c r="N6" i="67"/>
  <c r="N5" i="67"/>
  <c r="I58" i="67"/>
  <c r="I60" i="67"/>
  <c r="I61" i="67"/>
  <c r="I63" i="67"/>
  <c r="I64" i="67"/>
  <c r="I66" i="67"/>
  <c r="I67" i="67"/>
  <c r="I68" i="67"/>
  <c r="I70" i="67"/>
  <c r="I71" i="67"/>
  <c r="I72" i="67" s="1"/>
  <c r="I73" i="67"/>
  <c r="I74" i="67"/>
  <c r="I76" i="67"/>
  <c r="I77" i="67"/>
  <c r="I78" i="67" s="1"/>
  <c r="I79" i="67"/>
  <c r="I57" i="67"/>
  <c r="I59" i="67" s="1"/>
  <c r="I32" i="67"/>
  <c r="I34" i="67"/>
  <c r="I36" i="67" s="1"/>
  <c r="I35" i="67"/>
  <c r="I37" i="67"/>
  <c r="I39" i="67" s="1"/>
  <c r="I38" i="67"/>
  <c r="I40" i="67"/>
  <c r="I41" i="67"/>
  <c r="I42" i="67"/>
  <c r="I44" i="67"/>
  <c r="I45" i="67"/>
  <c r="I46" i="67" s="1"/>
  <c r="I47" i="67"/>
  <c r="I48" i="67"/>
  <c r="I50" i="67"/>
  <c r="I51" i="67"/>
  <c r="I52" i="67" s="1"/>
  <c r="I53" i="67"/>
  <c r="I31" i="67"/>
  <c r="I33" i="67" s="1"/>
  <c r="I6" i="67"/>
  <c r="I8" i="67"/>
  <c r="I9" i="67"/>
  <c r="I11" i="67"/>
  <c r="I12" i="67"/>
  <c r="I14" i="67"/>
  <c r="I15" i="67"/>
  <c r="I16" i="67"/>
  <c r="I18" i="67"/>
  <c r="I19" i="67"/>
  <c r="I20" i="67" s="1"/>
  <c r="I21" i="67"/>
  <c r="I23" i="67" s="1"/>
  <c r="I22" i="67"/>
  <c r="I24" i="67"/>
  <c r="I25" i="67"/>
  <c r="I26" i="67" s="1"/>
  <c r="I27" i="67"/>
  <c r="I5" i="67"/>
  <c r="CP28" i="51"/>
  <c r="I13" i="67"/>
  <c r="CK28" i="51"/>
  <c r="CH28" i="51"/>
  <c r="N36" i="67"/>
  <c r="CI28" i="51"/>
  <c r="I7" i="67"/>
  <c r="I65" i="67"/>
  <c r="N13" i="67"/>
  <c r="CM28" i="51"/>
  <c r="CL28" i="51"/>
  <c r="CJ28" i="51"/>
  <c r="K15" i="22"/>
  <c r="J24" i="3"/>
  <c r="G10" i="16"/>
  <c r="B92" i="4"/>
  <c r="B76" i="4"/>
  <c r="B108" i="10"/>
  <c r="B22" i="4"/>
  <c r="B75" i="4"/>
  <c r="B12" i="4"/>
  <c r="N104" i="7"/>
  <c r="N84" i="7"/>
  <c r="N94" i="7"/>
  <c r="N53" i="13"/>
  <c r="L101" i="7"/>
  <c r="K101" i="7"/>
  <c r="L91" i="7"/>
  <c r="L81" i="7"/>
  <c r="K81" i="7"/>
  <c r="L71" i="7"/>
  <c r="K71" i="7"/>
  <c r="L61" i="7"/>
  <c r="L51" i="7"/>
  <c r="O77" i="8"/>
  <c r="N77" i="8"/>
  <c r="O68" i="8"/>
  <c r="N68" i="8"/>
  <c r="G48" i="8"/>
  <c r="H48" i="8" s="1"/>
  <c r="K35" i="8"/>
  <c r="K36" i="8"/>
  <c r="K37" i="8"/>
  <c r="F30" i="8"/>
  <c r="F34" i="7"/>
  <c r="P21" i="2"/>
  <c r="P22" i="2"/>
  <c r="Q21" i="2"/>
  <c r="Q22" i="2"/>
  <c r="R21" i="2"/>
  <c r="R22" i="2"/>
  <c r="P20" i="2"/>
  <c r="R20" i="2"/>
  <c r="Q20" i="2"/>
  <c r="G63" i="2"/>
  <c r="I30" i="2"/>
  <c r="J30" i="2"/>
  <c r="H30" i="2"/>
  <c r="B39" i="12"/>
  <c r="B21" i="12"/>
  <c r="B102" i="7"/>
  <c r="B92" i="7"/>
  <c r="B32" i="4"/>
  <c r="M16" i="2"/>
  <c r="H56" i="2"/>
  <c r="I87" i="12"/>
  <c r="N19" i="2"/>
  <c r="O18" i="2" s="1"/>
  <c r="Z395" i="22"/>
  <c r="Z396" i="22"/>
  <c r="Z397" i="22"/>
  <c r="Z398" i="22"/>
  <c r="Z399" i="22"/>
  <c r="Z401" i="22"/>
  <c r="Z402" i="22"/>
  <c r="Z403" i="22"/>
  <c r="Z404" i="22"/>
  <c r="Z394" i="22"/>
  <c r="S17" i="22"/>
  <c r="J17" i="22" s="1"/>
  <c r="S18" i="22"/>
  <c r="J18" i="22" s="1"/>
  <c r="J11" i="27" s="1"/>
  <c r="S19" i="22"/>
  <c r="J19" i="22" s="1"/>
  <c r="S20" i="22"/>
  <c r="J20" i="22" s="1"/>
  <c r="S21" i="22"/>
  <c r="J21" i="22" s="1"/>
  <c r="S22" i="22"/>
  <c r="J22" i="22"/>
  <c r="K22" i="22"/>
  <c r="K21" i="22"/>
  <c r="K20" i="22"/>
  <c r="L180" i="51" s="1"/>
  <c r="R117" i="22"/>
  <c r="K117" i="22" s="1"/>
  <c r="K19" i="22"/>
  <c r="K18" i="22"/>
  <c r="T422" i="22"/>
  <c r="S48" i="22"/>
  <c r="G48" i="22" s="1"/>
  <c r="R118" i="22"/>
  <c r="S45" i="22"/>
  <c r="G45" i="22"/>
  <c r="T419" i="22"/>
  <c r="S64" i="22"/>
  <c r="R116" i="22"/>
  <c r="I116" i="22" s="1"/>
  <c r="R115" i="22"/>
  <c r="I115" i="22" s="1"/>
  <c r="F180" i="51"/>
  <c r="F181" i="51"/>
  <c r="F182" i="51" s="1"/>
  <c r="K17" i="22"/>
  <c r="C181" i="51" s="1"/>
  <c r="S37" i="22"/>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89" i="11"/>
  <c r="B290" i="11"/>
  <c r="B291" i="11"/>
  <c r="B292" i="11"/>
  <c r="B293" i="11"/>
  <c r="B294" i="11"/>
  <c r="B295" i="11"/>
  <c r="B296" i="1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B325" i="11"/>
  <c r="B326" i="11"/>
  <c r="B327" i="11"/>
  <c r="B328" i="11"/>
  <c r="B329" i="11"/>
  <c r="B330" i="11"/>
  <c r="B331" i="11"/>
  <c r="B332" i="11"/>
  <c r="B333" i="11"/>
  <c r="B334" i="11"/>
  <c r="B335" i="11"/>
  <c r="B336" i="11"/>
  <c r="B337" i="11"/>
  <c r="B338" i="11"/>
  <c r="B339" i="11"/>
  <c r="B340" i="11"/>
  <c r="B341" i="11"/>
  <c r="B342" i="11"/>
  <c r="B343" i="11"/>
  <c r="B344" i="11"/>
  <c r="B345" i="11"/>
  <c r="B346" i="11"/>
  <c r="B347" i="11"/>
  <c r="B348" i="11"/>
  <c r="B349" i="11"/>
  <c r="B350" i="11"/>
  <c r="B351" i="11"/>
  <c r="B352" i="11"/>
  <c r="B353" i="11"/>
  <c r="B354" i="11"/>
  <c r="B355" i="11"/>
  <c r="B356" i="11"/>
  <c r="B357" i="11"/>
  <c r="B358" i="11"/>
  <c r="B359" i="11"/>
  <c r="B360" i="11"/>
  <c r="B361" i="11"/>
  <c r="B362" i="11"/>
  <c r="B363" i="11"/>
  <c r="B364" i="11"/>
  <c r="B365" i="11"/>
  <c r="B366" i="11"/>
  <c r="B367" i="11"/>
  <c r="B368" i="11"/>
  <c r="B369" i="11"/>
  <c r="B370" i="11"/>
  <c r="B371" i="11"/>
  <c r="B372" i="11"/>
  <c r="B373" i="11"/>
  <c r="B374" i="11"/>
  <c r="B375" i="11"/>
  <c r="B376" i="11"/>
  <c r="B377" i="11"/>
  <c r="B378" i="11"/>
  <c r="B379" i="11"/>
  <c r="B380" i="11"/>
  <c r="B381" i="11"/>
  <c r="B382" i="11"/>
  <c r="B383" i="11"/>
  <c r="B384" i="11"/>
  <c r="B385" i="11"/>
  <c r="B386" i="11"/>
  <c r="B387" i="11"/>
  <c r="B388" i="11"/>
  <c r="B389" i="11"/>
  <c r="B390" i="11"/>
  <c r="B391" i="11"/>
  <c r="B392" i="11"/>
  <c r="B393" i="11"/>
  <c r="B394" i="11"/>
  <c r="B395" i="11"/>
  <c r="B396" i="11"/>
  <c r="B397" i="11"/>
  <c r="B398" i="11"/>
  <c r="B399" i="11"/>
  <c r="B400" i="11"/>
  <c r="B401" i="11"/>
  <c r="B402" i="11"/>
  <c r="B403" i="11"/>
  <c r="B404" i="11"/>
  <c r="B405" i="11"/>
  <c r="B406" i="11"/>
  <c r="B407" i="11"/>
  <c r="B408" i="11"/>
  <c r="B409" i="11"/>
  <c r="B410" i="11"/>
  <c r="B411" i="11"/>
  <c r="B412" i="11"/>
  <c r="B413" i="11"/>
  <c r="B414" i="11"/>
  <c r="B415" i="11"/>
  <c r="B416" i="11"/>
  <c r="B417" i="11"/>
  <c r="B418" i="11"/>
  <c r="B419" i="11"/>
  <c r="B420" i="11"/>
  <c r="B421" i="11"/>
  <c r="B422" i="11"/>
  <c r="B423" i="11"/>
  <c r="B424" i="11"/>
  <c r="B425" i="11"/>
  <c r="B426" i="11"/>
  <c r="B427" i="11"/>
  <c r="B428" i="11"/>
  <c r="B429" i="11"/>
  <c r="B430" i="11"/>
  <c r="B431" i="11"/>
  <c r="B432" i="11"/>
  <c r="B433" i="11"/>
  <c r="B434" i="11"/>
  <c r="B435" i="11"/>
  <c r="B436" i="11"/>
  <c r="B437" i="11"/>
  <c r="B438" i="11"/>
  <c r="B439" i="11"/>
  <c r="B440" i="11"/>
  <c r="B441" i="11"/>
  <c r="B442" i="11"/>
  <c r="B443" i="11"/>
  <c r="B444" i="11"/>
  <c r="B445" i="11"/>
  <c r="B446" i="11"/>
  <c r="B447" i="11"/>
  <c r="B448" i="11"/>
  <c r="B449" i="11"/>
  <c r="B450" i="11"/>
  <c r="B451" i="11"/>
  <c r="B452" i="11"/>
  <c r="B453" i="11"/>
  <c r="B454" i="11"/>
  <c r="B455" i="11"/>
  <c r="B456" i="11"/>
  <c r="B457" i="11"/>
  <c r="B458" i="11"/>
  <c r="B459" i="11"/>
  <c r="B460" i="11"/>
  <c r="B461" i="11"/>
  <c r="B462" i="11"/>
  <c r="B463" i="11"/>
  <c r="B464" i="11"/>
  <c r="B465" i="11"/>
  <c r="B466" i="11"/>
  <c r="B467" i="11"/>
  <c r="B468" i="11"/>
  <c r="B469" i="11"/>
  <c r="B470" i="11"/>
  <c r="B471" i="11"/>
  <c r="B472" i="11"/>
  <c r="B473" i="11"/>
  <c r="B474" i="11"/>
  <c r="B475" i="11"/>
  <c r="B476" i="11"/>
  <c r="B477" i="11"/>
  <c r="B478" i="11"/>
  <c r="B479" i="11"/>
  <c r="B480" i="11"/>
  <c r="B481" i="11"/>
  <c r="B482" i="11"/>
  <c r="B483" i="11"/>
  <c r="B484" i="11"/>
  <c r="B485" i="11"/>
  <c r="B486" i="11"/>
  <c r="B487" i="11"/>
  <c r="B488" i="11"/>
  <c r="B489" i="11"/>
  <c r="B490" i="11"/>
  <c r="B491" i="11"/>
  <c r="B492" i="11"/>
  <c r="B493" i="11"/>
  <c r="B494" i="11"/>
  <c r="B495" i="11"/>
  <c r="B496" i="11"/>
  <c r="B497" i="11"/>
  <c r="B498" i="11"/>
  <c r="B499" i="11"/>
  <c r="B500" i="11"/>
  <c r="B501" i="11"/>
  <c r="B502" i="11"/>
  <c r="B503" i="11"/>
  <c r="B504" i="11"/>
  <c r="B505" i="11"/>
  <c r="B506" i="11"/>
  <c r="B507" i="11"/>
  <c r="B508" i="11"/>
  <c r="B509" i="11"/>
  <c r="B510" i="11"/>
  <c r="B511" i="11"/>
  <c r="B512" i="11"/>
  <c r="B513" i="11"/>
  <c r="B514" i="11"/>
  <c r="B515" i="11"/>
  <c r="B516" i="11"/>
  <c r="B517" i="11"/>
  <c r="B518" i="11"/>
  <c r="B519" i="11"/>
  <c r="B520" i="11"/>
  <c r="B521" i="11"/>
  <c r="B522" i="11"/>
  <c r="B523" i="11"/>
  <c r="B524" i="11"/>
  <c r="B525" i="11"/>
  <c r="B526" i="11"/>
  <c r="B527" i="11"/>
  <c r="B528" i="11"/>
  <c r="B529" i="11"/>
  <c r="B530" i="11"/>
  <c r="B531" i="11"/>
  <c r="B532" i="11"/>
  <c r="B533" i="11"/>
  <c r="B534" i="11"/>
  <c r="B535" i="11"/>
  <c r="B536" i="11"/>
  <c r="B537" i="11"/>
  <c r="B538" i="11"/>
  <c r="B539" i="11"/>
  <c r="B540" i="11"/>
  <c r="B541" i="11"/>
  <c r="B542" i="11"/>
  <c r="B543" i="11"/>
  <c r="B544" i="11"/>
  <c r="B545" i="11"/>
  <c r="B546" i="11"/>
  <c r="B547" i="11"/>
  <c r="B548" i="11"/>
  <c r="B549" i="11"/>
  <c r="B550" i="11"/>
  <c r="K118" i="22"/>
  <c r="I118" i="22"/>
  <c r="R180" i="22"/>
  <c r="S44" i="22"/>
  <c r="G44" i="22"/>
  <c r="T418" i="22"/>
  <c r="S36" i="22"/>
  <c r="S63" i="22"/>
  <c r="R288" i="22"/>
  <c r="BT56" i="51" s="1"/>
  <c r="R176" i="22"/>
  <c r="R114" i="22"/>
  <c r="I114" i="22"/>
  <c r="R286" i="22"/>
  <c r="BT54" i="51" s="1"/>
  <c r="C180" i="51"/>
  <c r="C182" i="51" s="1"/>
  <c r="R268" i="22"/>
  <c r="R188" i="22"/>
  <c r="R194" i="22"/>
  <c r="H106" i="4"/>
  <c r="J106" i="4"/>
  <c r="L106" i="4"/>
  <c r="N106" i="4"/>
  <c r="P106" i="4"/>
  <c r="R106" i="4"/>
  <c r="T106" i="4"/>
  <c r="K114" i="22"/>
  <c r="E19" i="58"/>
  <c r="U1" i="59"/>
  <c r="U102" i="4"/>
  <c r="T102" i="4"/>
  <c r="S102" i="4"/>
  <c r="R102" i="4"/>
  <c r="Q102" i="4"/>
  <c r="P102" i="4"/>
  <c r="P116" i="4" s="1"/>
  <c r="O102" i="4"/>
  <c r="N102" i="4"/>
  <c r="N116" i="4" s="1"/>
  <c r="M102" i="4"/>
  <c r="L102" i="4"/>
  <c r="K102" i="4"/>
  <c r="J102" i="4"/>
  <c r="I102" i="4"/>
  <c r="H102" i="4"/>
  <c r="H125" i="4" s="1"/>
  <c r="G102" i="4"/>
  <c r="F102" i="4"/>
  <c r="F115" i="4" s="1"/>
  <c r="E102" i="4"/>
  <c r="D102" i="4"/>
  <c r="D115" i="4" s="1"/>
  <c r="F124" i="4"/>
  <c r="F126" i="4" s="1"/>
  <c r="F127" i="4" s="1"/>
  <c r="H109" i="4"/>
  <c r="H117" i="4" s="1"/>
  <c r="H110" i="4"/>
  <c r="H118" i="4"/>
  <c r="H124" i="4"/>
  <c r="H126" i="4" s="1"/>
  <c r="U131" i="4"/>
  <c r="S131" i="4"/>
  <c r="Q131" i="4"/>
  <c r="O131" i="4"/>
  <c r="M131" i="4"/>
  <c r="K131" i="4"/>
  <c r="I131" i="4"/>
  <c r="G131" i="4"/>
  <c r="E131" i="4"/>
  <c r="U130" i="4"/>
  <c r="T130" i="4"/>
  <c r="T128" i="4" s="1"/>
  <c r="S130" i="4"/>
  <c r="R130" i="4"/>
  <c r="Q130" i="4"/>
  <c r="P130" i="4"/>
  <c r="O130" i="4"/>
  <c r="N130" i="4"/>
  <c r="M130" i="4"/>
  <c r="L130" i="4"/>
  <c r="L128" i="4" s="1"/>
  <c r="K130" i="4"/>
  <c r="J130" i="4"/>
  <c r="I130" i="4"/>
  <c r="H130" i="4"/>
  <c r="H128" i="4" s="1"/>
  <c r="G130" i="4"/>
  <c r="F130" i="4"/>
  <c r="E130" i="4"/>
  <c r="D130" i="4"/>
  <c r="T124" i="4"/>
  <c r="T126" i="4" s="1"/>
  <c r="R124" i="4"/>
  <c r="P124" i="4"/>
  <c r="P126" i="4" s="1"/>
  <c r="N124" i="4"/>
  <c r="N131" i="4" s="1"/>
  <c r="L124" i="4"/>
  <c r="J124" i="4"/>
  <c r="D126" i="4"/>
  <c r="R115" i="4"/>
  <c r="J115" i="4"/>
  <c r="T110" i="4"/>
  <c r="T118" i="4"/>
  <c r="R110" i="4"/>
  <c r="R118" i="4" s="1"/>
  <c r="R120" i="4" s="1"/>
  <c r="P110" i="4"/>
  <c r="P118" i="4" s="1"/>
  <c r="N110" i="4"/>
  <c r="N118" i="4"/>
  <c r="N120" i="4" s="1"/>
  <c r="L110" i="4"/>
  <c r="L118" i="4" s="1"/>
  <c r="L120" i="4" s="1"/>
  <c r="J110" i="4"/>
  <c r="J118" i="4" s="1"/>
  <c r="J120" i="4" s="1"/>
  <c r="F110" i="4"/>
  <c r="F118" i="4" s="1"/>
  <c r="F120" i="4" s="1"/>
  <c r="D118" i="4"/>
  <c r="D120" i="4"/>
  <c r="T109" i="4"/>
  <c r="T117" i="4" s="1"/>
  <c r="R109" i="4"/>
  <c r="R117" i="4" s="1"/>
  <c r="R119" i="4" s="1"/>
  <c r="P109" i="4"/>
  <c r="P117" i="4"/>
  <c r="N109" i="4"/>
  <c r="N117" i="4" s="1"/>
  <c r="N119" i="4" s="1"/>
  <c r="L109" i="4"/>
  <c r="L117" i="4" s="1"/>
  <c r="J109" i="4"/>
  <c r="J117" i="4" s="1"/>
  <c r="J119" i="4" s="1"/>
  <c r="F109" i="4"/>
  <c r="F117" i="4"/>
  <c r="F119" i="4"/>
  <c r="D117" i="4"/>
  <c r="B109" i="4"/>
  <c r="R116" i="4"/>
  <c r="J116" i="4"/>
  <c r="H131" i="4"/>
  <c r="R125" i="4"/>
  <c r="R126" i="4"/>
  <c r="R127" i="4" s="1"/>
  <c r="L131" i="4"/>
  <c r="L126" i="4"/>
  <c r="T131" i="4"/>
  <c r="D131" i="4"/>
  <c r="D128" i="4"/>
  <c r="F116" i="4"/>
  <c r="R131" i="4"/>
  <c r="N115" i="4"/>
  <c r="K221" i="22"/>
  <c r="G301" i="22" s="1"/>
  <c r="K222" i="22"/>
  <c r="G302" i="22" s="1"/>
  <c r="K223" i="22"/>
  <c r="G303" i="22" s="1"/>
  <c r="K224" i="22"/>
  <c r="G304" i="22" s="1"/>
  <c r="Y148" i="22"/>
  <c r="H24" i="11"/>
  <c r="U54" i="7"/>
  <c r="F54" i="7" s="1"/>
  <c r="V54" i="7"/>
  <c r="G54" i="7" s="1"/>
  <c r="C29" i="58"/>
  <c r="C30" i="58"/>
  <c r="C31" i="58"/>
  <c r="C32" i="58"/>
  <c r="C33" i="58"/>
  <c r="C34" i="58"/>
  <c r="C35" i="58"/>
  <c r="C36" i="58"/>
  <c r="C37" i="58"/>
  <c r="C38" i="58"/>
  <c r="C39" i="58"/>
  <c r="C40" i="58"/>
  <c r="C41" i="58"/>
  <c r="C42" i="58"/>
  <c r="C43" i="58"/>
  <c r="C44" i="58"/>
  <c r="C45" i="58"/>
  <c r="C46" i="58"/>
  <c r="C47" i="58"/>
  <c r="C48" i="58"/>
  <c r="C49" i="58"/>
  <c r="C50" i="58"/>
  <c r="C51" i="58"/>
  <c r="C52" i="58"/>
  <c r="C53" i="58"/>
  <c r="C54" i="58"/>
  <c r="C55" i="58"/>
  <c r="C56" i="58"/>
  <c r="C57" i="58"/>
  <c r="C58" i="58"/>
  <c r="C59" i="58"/>
  <c r="C60" i="58"/>
  <c r="C61" i="58"/>
  <c r="C28" i="58"/>
  <c r="B61" i="58"/>
  <c r="B62" i="58"/>
  <c r="B63" i="58"/>
  <c r="B64" i="58"/>
  <c r="B65" i="58"/>
  <c r="B66" i="58"/>
  <c r="B67" i="58"/>
  <c r="B68" i="58"/>
  <c r="B69" i="58"/>
  <c r="B70" i="58"/>
  <c r="B71" i="58"/>
  <c r="B72" i="58"/>
  <c r="B73" i="58"/>
  <c r="B74" i="58"/>
  <c r="B75" i="58"/>
  <c r="B76" i="58"/>
  <c r="B77" i="58"/>
  <c r="B78" i="58"/>
  <c r="B79" i="58"/>
  <c r="B80" i="58"/>
  <c r="B81" i="58"/>
  <c r="B82" i="58"/>
  <c r="B83" i="58"/>
  <c r="B84" i="58"/>
  <c r="B85" i="58"/>
  <c r="B86" i="58"/>
  <c r="B87" i="58"/>
  <c r="B88" i="58"/>
  <c r="B89" i="58"/>
  <c r="B90" i="58"/>
  <c r="B91" i="58"/>
  <c r="B92" i="58"/>
  <c r="B93" i="58"/>
  <c r="B94" i="58"/>
  <c r="B95" i="58"/>
  <c r="B96" i="58"/>
  <c r="B97" i="58"/>
  <c r="B98" i="58"/>
  <c r="I105" i="63"/>
  <c r="I104" i="63"/>
  <c r="I103" i="63"/>
  <c r="I102" i="63"/>
  <c r="I101" i="63"/>
  <c r="I100" i="63"/>
  <c r="I99" i="63"/>
  <c r="I98" i="63"/>
  <c r="I97" i="63"/>
  <c r="I96" i="63"/>
  <c r="I95" i="63"/>
  <c r="I94" i="63"/>
  <c r="I93" i="63"/>
  <c r="I92" i="63"/>
  <c r="I91" i="63"/>
  <c r="I90" i="63"/>
  <c r="I89" i="63"/>
  <c r="I88" i="63"/>
  <c r="I87" i="63"/>
  <c r="I86" i="63"/>
  <c r="I85" i="63"/>
  <c r="I84" i="63"/>
  <c r="I83" i="63"/>
  <c r="I82" i="63"/>
  <c r="I81" i="63"/>
  <c r="I80" i="63"/>
  <c r="I79" i="63"/>
  <c r="I78" i="63"/>
  <c r="I77" i="63"/>
  <c r="I76" i="63"/>
  <c r="I75" i="63"/>
  <c r="I74" i="63"/>
  <c r="I73" i="63"/>
  <c r="I72" i="63"/>
  <c r="I71" i="63"/>
  <c r="I70" i="63"/>
  <c r="I69" i="63"/>
  <c r="I68" i="63"/>
  <c r="L67" i="63"/>
  <c r="I67" i="63"/>
  <c r="L66" i="63"/>
  <c r="I66" i="63"/>
  <c r="L65" i="63"/>
  <c r="I65" i="63"/>
  <c r="L64" i="63"/>
  <c r="I64" i="63"/>
  <c r="L63" i="63"/>
  <c r="I63" i="63"/>
  <c r="L62" i="63"/>
  <c r="I62" i="63"/>
  <c r="L61" i="63"/>
  <c r="I61" i="63"/>
  <c r="L60" i="63"/>
  <c r="I60" i="63"/>
  <c r="L59" i="63"/>
  <c r="I59" i="63"/>
  <c r="L58" i="63"/>
  <c r="I58" i="63"/>
  <c r="L57" i="63"/>
  <c r="I57" i="63"/>
  <c r="L56" i="63"/>
  <c r="I56" i="63"/>
  <c r="L55" i="63"/>
  <c r="I55" i="63"/>
  <c r="L54" i="63"/>
  <c r="I54" i="63"/>
  <c r="I53" i="63"/>
  <c r="W52" i="63"/>
  <c r="U52" i="63"/>
  <c r="S52" i="63"/>
  <c r="I52" i="63"/>
  <c r="I51" i="63"/>
  <c r="I50" i="63"/>
  <c r="W49" i="63"/>
  <c r="U49" i="63"/>
  <c r="S49" i="63"/>
  <c r="Q49" i="63"/>
  <c r="I49" i="63"/>
  <c r="W48" i="63"/>
  <c r="U48" i="63"/>
  <c r="S48" i="63"/>
  <c r="Q48" i="63"/>
  <c r="I48" i="63"/>
  <c r="I47" i="63"/>
  <c r="W46" i="63"/>
  <c r="U46" i="63"/>
  <c r="S46" i="63"/>
  <c r="I46" i="63"/>
  <c r="W45" i="63"/>
  <c r="V45" i="63"/>
  <c r="U45" i="63"/>
  <c r="T45" i="63"/>
  <c r="S45" i="63"/>
  <c r="R45" i="63"/>
  <c r="Q45" i="63"/>
  <c r="P45" i="63"/>
  <c r="O45" i="63"/>
  <c r="N45" i="63"/>
  <c r="I45" i="63"/>
  <c r="I44" i="63"/>
  <c r="I43" i="63"/>
  <c r="I42" i="63"/>
  <c r="I41" i="63"/>
  <c r="I40" i="63"/>
  <c r="I39" i="63"/>
  <c r="I38" i="63"/>
  <c r="I37" i="63"/>
  <c r="I36" i="63"/>
  <c r="I35" i="63"/>
  <c r="I34" i="63"/>
  <c r="F34" i="63"/>
  <c r="I33" i="63"/>
  <c r="F33" i="63"/>
  <c r="I32" i="63"/>
  <c r="F32" i="63"/>
  <c r="I31" i="63"/>
  <c r="F31" i="63"/>
  <c r="I30" i="63"/>
  <c r="F30" i="63"/>
  <c r="I29" i="63"/>
  <c r="F29" i="63"/>
  <c r="I28" i="63"/>
  <c r="F28" i="63"/>
  <c r="I27" i="63"/>
  <c r="F27" i="63"/>
  <c r="I26" i="63"/>
  <c r="F26" i="63"/>
  <c r="I25" i="63"/>
  <c r="F25" i="63"/>
  <c r="I24" i="63"/>
  <c r="F24" i="63"/>
  <c r="I23" i="63"/>
  <c r="F23" i="63"/>
  <c r="I22" i="63"/>
  <c r="F22" i="63"/>
  <c r="I21" i="63"/>
  <c r="F21" i="63"/>
  <c r="I20" i="63"/>
  <c r="F20" i="63"/>
  <c r="I19" i="63"/>
  <c r="F19" i="63"/>
  <c r="I18" i="63"/>
  <c r="F18" i="63"/>
  <c r="I17" i="63"/>
  <c r="F17" i="63"/>
  <c r="I16" i="63"/>
  <c r="F16" i="63"/>
  <c r="I15" i="63"/>
  <c r="F15" i="63"/>
  <c r="W14" i="63"/>
  <c r="U14" i="63"/>
  <c r="S14" i="63"/>
  <c r="F14" i="63"/>
  <c r="W13" i="63"/>
  <c r="U13" i="63"/>
  <c r="S13" i="63"/>
  <c r="Q13" i="63"/>
  <c r="F13" i="63"/>
  <c r="W12" i="63"/>
  <c r="U12" i="63"/>
  <c r="S12" i="63"/>
  <c r="Q12" i="63"/>
  <c r="I12" i="63"/>
  <c r="F12" i="63"/>
  <c r="W11" i="63"/>
  <c r="U11" i="63"/>
  <c r="S11" i="63"/>
  <c r="Q11" i="63"/>
  <c r="I11" i="63"/>
  <c r="F11" i="63"/>
  <c r="W10" i="63"/>
  <c r="U10" i="63"/>
  <c r="S10" i="63"/>
  <c r="Q10" i="63"/>
  <c r="I10" i="63"/>
  <c r="F10" i="63"/>
  <c r="W9" i="63"/>
  <c r="U9" i="63"/>
  <c r="S9" i="63"/>
  <c r="Q9" i="63"/>
  <c r="I9" i="63"/>
  <c r="F9" i="63"/>
  <c r="W8" i="63"/>
  <c r="U8" i="63"/>
  <c r="S8" i="63"/>
  <c r="Q8" i="63"/>
  <c r="I8" i="63"/>
  <c r="F8" i="63"/>
  <c r="W7" i="63"/>
  <c r="U7" i="63"/>
  <c r="S7" i="63"/>
  <c r="Q7" i="63"/>
  <c r="I7" i="63"/>
  <c r="F7" i="63"/>
  <c r="W6" i="63"/>
  <c r="U6" i="63"/>
  <c r="S6" i="63"/>
  <c r="Q6" i="63"/>
  <c r="I6" i="63"/>
  <c r="F6" i="63"/>
  <c r="W5" i="63"/>
  <c r="U5" i="63"/>
  <c r="S5" i="63"/>
  <c r="Q5" i="63"/>
  <c r="I5" i="63"/>
  <c r="F5" i="63"/>
  <c r="W4" i="63"/>
  <c r="U4" i="63"/>
  <c r="S4" i="63"/>
  <c r="Q4" i="63"/>
  <c r="I4" i="63"/>
  <c r="F4" i="63"/>
  <c r="W3" i="63"/>
  <c r="V3" i="63"/>
  <c r="U3" i="63"/>
  <c r="T3" i="63"/>
  <c r="S3" i="63"/>
  <c r="R3" i="63"/>
  <c r="Q3" i="63"/>
  <c r="P3" i="63"/>
  <c r="O3" i="63"/>
  <c r="N3" i="63"/>
  <c r="I3" i="63"/>
  <c r="F3" i="63"/>
  <c r="AC58" i="64"/>
  <c r="AC57" i="64"/>
  <c r="AC56" i="64"/>
  <c r="AC55" i="64"/>
  <c r="AC54" i="64"/>
  <c r="AC53" i="64"/>
  <c r="AC52" i="64"/>
  <c r="AC51" i="64"/>
  <c r="AC50" i="64"/>
  <c r="AC49" i="64"/>
  <c r="AC48" i="64"/>
  <c r="AC47" i="64"/>
  <c r="AC46" i="64"/>
  <c r="AC45" i="64"/>
  <c r="AC44" i="64"/>
  <c r="AC43" i="64"/>
  <c r="AC42" i="64"/>
  <c r="AC41" i="64"/>
  <c r="AC40" i="64"/>
  <c r="AC39" i="64"/>
  <c r="AC38" i="64"/>
  <c r="AC37" i="64"/>
  <c r="AC36" i="64"/>
  <c r="AC35" i="64"/>
  <c r="AC34" i="64"/>
  <c r="AC33" i="64"/>
  <c r="F32" i="64"/>
  <c r="B32" i="64"/>
  <c r="F31" i="64"/>
  <c r="B31" i="64"/>
  <c r="F30" i="64"/>
  <c r="B30" i="64"/>
  <c r="AC29" i="64"/>
  <c r="F29" i="64"/>
  <c r="B29" i="64"/>
  <c r="AC28" i="64"/>
  <c r="F28" i="64"/>
  <c r="B28" i="64"/>
  <c r="AC27" i="64"/>
  <c r="F27" i="64"/>
  <c r="B27" i="64"/>
  <c r="AC26" i="64"/>
  <c r="F26" i="64"/>
  <c r="B26" i="64"/>
  <c r="AC25" i="64"/>
  <c r="F25" i="64"/>
  <c r="AC24" i="64"/>
  <c r="F24" i="64"/>
  <c r="AC23" i="64"/>
  <c r="F23" i="64"/>
  <c r="AC22" i="64"/>
  <c r="H22" i="64"/>
  <c r="F22" i="64"/>
  <c r="AC21" i="64"/>
  <c r="H21" i="64"/>
  <c r="F21" i="64"/>
  <c r="AC20" i="64"/>
  <c r="H20" i="64"/>
  <c r="F20" i="64"/>
  <c r="AC19" i="64"/>
  <c r="F19" i="64"/>
  <c r="E19" i="64"/>
  <c r="D19" i="64"/>
  <c r="AC18" i="64"/>
  <c r="F18" i="64"/>
  <c r="AC17" i="64"/>
  <c r="F17" i="64"/>
  <c r="E17" i="64"/>
  <c r="D17" i="64"/>
  <c r="AC16" i="64"/>
  <c r="F16" i="64"/>
  <c r="AC15" i="64"/>
  <c r="F15" i="64"/>
  <c r="E15" i="64"/>
  <c r="D15" i="64"/>
  <c r="AC14" i="64"/>
  <c r="F14" i="64"/>
  <c r="AC13" i="64"/>
  <c r="F13" i="64"/>
  <c r="E13" i="64"/>
  <c r="D13" i="64"/>
  <c r="AC12" i="64"/>
  <c r="F12" i="64"/>
  <c r="AC11" i="64"/>
  <c r="L11" i="64"/>
  <c r="F11" i="64"/>
  <c r="E11" i="64"/>
  <c r="D11" i="64"/>
  <c r="AC10" i="64"/>
  <c r="AC9" i="64"/>
  <c r="AC8" i="64"/>
  <c r="B2" i="64"/>
  <c r="B1" i="64"/>
  <c r="V97" i="16"/>
  <c r="E233" i="58" s="1"/>
  <c r="V96" i="16"/>
  <c r="E232" i="58"/>
  <c r="V95" i="16"/>
  <c r="E231" i="58" s="1"/>
  <c r="V94" i="16"/>
  <c r="E230" i="58" s="1"/>
  <c r="V93" i="16"/>
  <c r="E229" i="58" s="1"/>
  <c r="V92" i="16"/>
  <c r="E228" i="58" s="1"/>
  <c r="V91" i="16"/>
  <c r="E227" i="58" s="1"/>
  <c r="V90" i="16"/>
  <c r="E226" i="58"/>
  <c r="V89" i="16"/>
  <c r="E225" i="58" s="1"/>
  <c r="V88" i="16"/>
  <c r="E224" i="58" s="1"/>
  <c r="B225" i="58"/>
  <c r="D225" i="58"/>
  <c r="B226" i="58"/>
  <c r="D226" i="58"/>
  <c r="B227" i="58"/>
  <c r="D227" i="58"/>
  <c r="B228" i="58"/>
  <c r="D228" i="58"/>
  <c r="B229" i="58"/>
  <c r="D229" i="58"/>
  <c r="B230" i="58"/>
  <c r="D230" i="58"/>
  <c r="B231" i="58"/>
  <c r="D231" i="58"/>
  <c r="B232" i="58"/>
  <c r="D232" i="58"/>
  <c r="B233" i="58"/>
  <c r="D233" i="58"/>
  <c r="D224" i="58"/>
  <c r="B224" i="58"/>
  <c r="T89" i="16"/>
  <c r="C225" i="58" s="1"/>
  <c r="T90" i="16"/>
  <c r="C226" i="58" s="1"/>
  <c r="T91" i="16"/>
  <c r="C227" i="58" s="1"/>
  <c r="T92" i="16"/>
  <c r="C228" i="58"/>
  <c r="T93" i="16"/>
  <c r="C229" i="58" s="1"/>
  <c r="T94" i="16"/>
  <c r="C230" i="58" s="1"/>
  <c r="T95" i="16"/>
  <c r="C231" i="58" s="1"/>
  <c r="T96" i="16"/>
  <c r="C232" i="58" s="1"/>
  <c r="T97" i="16"/>
  <c r="C233" i="58" s="1"/>
  <c r="T88" i="16"/>
  <c r="C224" i="58" s="1"/>
  <c r="B211" i="58"/>
  <c r="D211" i="58"/>
  <c r="B212" i="58"/>
  <c r="D212" i="58"/>
  <c r="B213" i="58"/>
  <c r="D213" i="58"/>
  <c r="B214" i="58"/>
  <c r="D214" i="58"/>
  <c r="B215" i="58"/>
  <c r="D215" i="58"/>
  <c r="B216" i="58"/>
  <c r="D216" i="58"/>
  <c r="B217" i="58"/>
  <c r="D217" i="58"/>
  <c r="B218" i="58"/>
  <c r="D218" i="58"/>
  <c r="B219" i="58"/>
  <c r="D219" i="58"/>
  <c r="B220" i="58"/>
  <c r="D220" i="58"/>
  <c r="B221" i="58"/>
  <c r="D221" i="58"/>
  <c r="B222" i="58"/>
  <c r="D222" i="58"/>
  <c r="B223" i="58"/>
  <c r="D223" i="58"/>
  <c r="D210" i="58"/>
  <c r="B210" i="58"/>
  <c r="V83" i="16"/>
  <c r="E223" i="58" s="1"/>
  <c r="V82" i="16"/>
  <c r="E222" i="58" s="1"/>
  <c r="V81" i="16"/>
  <c r="E221" i="58" s="1"/>
  <c r="V80" i="16"/>
  <c r="E220" i="58"/>
  <c r="V79" i="16"/>
  <c r="E219" i="58" s="1"/>
  <c r="V78" i="16"/>
  <c r="E218" i="58" s="1"/>
  <c r="V77" i="16"/>
  <c r="E217" i="58" s="1"/>
  <c r="V76" i="16"/>
  <c r="E216" i="58" s="1"/>
  <c r="V75" i="16"/>
  <c r="E215" i="58" s="1"/>
  <c r="V74" i="16"/>
  <c r="E214" i="58"/>
  <c r="V73" i="16"/>
  <c r="E213" i="58" s="1"/>
  <c r="V72" i="16"/>
  <c r="E212" i="58"/>
  <c r="V71" i="16"/>
  <c r="E211" i="58" s="1"/>
  <c r="V70" i="16"/>
  <c r="E210" i="58" s="1"/>
  <c r="T71" i="16"/>
  <c r="C211" i="58" s="1"/>
  <c r="T72" i="16"/>
  <c r="C212" i="58" s="1"/>
  <c r="T73" i="16"/>
  <c r="C213" i="58" s="1"/>
  <c r="T74" i="16"/>
  <c r="C214" i="58" s="1"/>
  <c r="T75" i="16"/>
  <c r="C215" i="58" s="1"/>
  <c r="T76" i="16"/>
  <c r="C216" i="58"/>
  <c r="T77" i="16"/>
  <c r="C217" i="58" s="1"/>
  <c r="T78" i="16"/>
  <c r="C218" i="58" s="1"/>
  <c r="T79" i="16"/>
  <c r="C219" i="58" s="1"/>
  <c r="T80" i="16"/>
  <c r="C220" i="58" s="1"/>
  <c r="T81" i="16"/>
  <c r="C221" i="58" s="1"/>
  <c r="T82" i="16"/>
  <c r="C222" i="58"/>
  <c r="T83" i="16"/>
  <c r="C223" i="58" s="1"/>
  <c r="T70" i="16"/>
  <c r="C210" i="58"/>
  <c r="B194" i="58"/>
  <c r="B195" i="58"/>
  <c r="B196" i="58"/>
  <c r="B197" i="58"/>
  <c r="B198" i="58"/>
  <c r="B199" i="58"/>
  <c r="B200" i="58"/>
  <c r="B201" i="58"/>
  <c r="B202" i="58"/>
  <c r="B203" i="58"/>
  <c r="B204" i="58"/>
  <c r="B205" i="58"/>
  <c r="B206" i="58"/>
  <c r="B207" i="58"/>
  <c r="B208" i="58"/>
  <c r="B209" i="58"/>
  <c r="B193" i="58"/>
  <c r="V65" i="16"/>
  <c r="E209" i="58" s="1"/>
  <c r="V64" i="16"/>
  <c r="E208" i="58"/>
  <c r="V63" i="16"/>
  <c r="E207" i="58" s="1"/>
  <c r="V62" i="16"/>
  <c r="E206" i="58"/>
  <c r="V61" i="16"/>
  <c r="E205" i="58" s="1"/>
  <c r="V60" i="16"/>
  <c r="E204" i="58"/>
  <c r="V59" i="16"/>
  <c r="E203" i="58" s="1"/>
  <c r="V58" i="16"/>
  <c r="E202" i="58"/>
  <c r="V57" i="16"/>
  <c r="E201" i="58" s="1"/>
  <c r="V56" i="16"/>
  <c r="E200" i="58"/>
  <c r="V55" i="16"/>
  <c r="E199" i="58" s="1"/>
  <c r="V54" i="16"/>
  <c r="E198" i="58"/>
  <c r="V53" i="16"/>
  <c r="E197" i="58" s="1"/>
  <c r="V52" i="16"/>
  <c r="E196" i="58"/>
  <c r="V51" i="16"/>
  <c r="E195" i="58" s="1"/>
  <c r="V50" i="16"/>
  <c r="E194" i="58"/>
  <c r="V49" i="16"/>
  <c r="E193" i="58" s="1"/>
  <c r="T50" i="16"/>
  <c r="C194" i="58"/>
  <c r="T51" i="16"/>
  <c r="C195" i="58" s="1"/>
  <c r="T52" i="16"/>
  <c r="C196" i="58"/>
  <c r="T53" i="16"/>
  <c r="C197" i="58" s="1"/>
  <c r="T54" i="16"/>
  <c r="C198" i="58"/>
  <c r="T55" i="16"/>
  <c r="C199" i="58" s="1"/>
  <c r="T56" i="16"/>
  <c r="C200" i="58"/>
  <c r="T57" i="16"/>
  <c r="C201" i="58" s="1"/>
  <c r="T58" i="16"/>
  <c r="C202" i="58"/>
  <c r="T59" i="16"/>
  <c r="C203" i="58" s="1"/>
  <c r="T60" i="16"/>
  <c r="C204" i="58"/>
  <c r="T61" i="16"/>
  <c r="C205" i="58" s="1"/>
  <c r="T62" i="16"/>
  <c r="C206" i="58"/>
  <c r="T63" i="16"/>
  <c r="C207" i="58" s="1"/>
  <c r="T64" i="16"/>
  <c r="C208" i="58"/>
  <c r="T65" i="16"/>
  <c r="C209" i="58" s="1"/>
  <c r="T49" i="16"/>
  <c r="C193" i="58"/>
  <c r="B184" i="58"/>
  <c r="B185" i="58"/>
  <c r="B186" i="58"/>
  <c r="B187" i="58"/>
  <c r="B188" i="58"/>
  <c r="B189" i="58"/>
  <c r="B190" i="58"/>
  <c r="B191" i="58"/>
  <c r="B192" i="58"/>
  <c r="B183" i="58"/>
  <c r="V44" i="16"/>
  <c r="E192" i="58"/>
  <c r="V43" i="16"/>
  <c r="E191" i="58" s="1"/>
  <c r="V42" i="16"/>
  <c r="E190" i="58"/>
  <c r="V41" i="16"/>
  <c r="E189" i="58" s="1"/>
  <c r="V40" i="16"/>
  <c r="E188" i="58"/>
  <c r="V39" i="16"/>
  <c r="E187" i="58" s="1"/>
  <c r="V38" i="16"/>
  <c r="E186" i="58"/>
  <c r="V37" i="16"/>
  <c r="E185" i="58" s="1"/>
  <c r="V36" i="16"/>
  <c r="E184" i="58"/>
  <c r="V35" i="16"/>
  <c r="E183" i="58" s="1"/>
  <c r="U44" i="16"/>
  <c r="D192" i="58"/>
  <c r="U43" i="16"/>
  <c r="D191" i="58" s="1"/>
  <c r="U42" i="16"/>
  <c r="D190" i="58"/>
  <c r="U41" i="16"/>
  <c r="D189" i="58" s="1"/>
  <c r="U40" i="16"/>
  <c r="D188" i="58"/>
  <c r="U39" i="16"/>
  <c r="D187" i="58" s="1"/>
  <c r="U38" i="16"/>
  <c r="D186" i="58"/>
  <c r="U37" i="16"/>
  <c r="D185" i="58" s="1"/>
  <c r="U36" i="16"/>
  <c r="D184" i="58"/>
  <c r="U35" i="16"/>
  <c r="D183" i="58" s="1"/>
  <c r="T36" i="16"/>
  <c r="C184" i="58"/>
  <c r="T37" i="16"/>
  <c r="C185" i="58" s="1"/>
  <c r="T38" i="16"/>
  <c r="C186" i="58"/>
  <c r="T39" i="16"/>
  <c r="C187" i="58" s="1"/>
  <c r="T40" i="16"/>
  <c r="C188" i="58"/>
  <c r="T41" i="16"/>
  <c r="C189" i="58" s="1"/>
  <c r="T42" i="16"/>
  <c r="C190" i="58"/>
  <c r="T43" i="16"/>
  <c r="C191" i="58" s="1"/>
  <c r="T44" i="16"/>
  <c r="C192" i="58"/>
  <c r="T35" i="16"/>
  <c r="C183" i="58" s="1"/>
  <c r="B165" i="58"/>
  <c r="B166" i="58"/>
  <c r="B167" i="58"/>
  <c r="B168" i="58"/>
  <c r="B169" i="58"/>
  <c r="B170" i="58"/>
  <c r="B171" i="58"/>
  <c r="B172" i="58"/>
  <c r="B173" i="58"/>
  <c r="B174" i="58"/>
  <c r="B175" i="58"/>
  <c r="B176" i="58"/>
  <c r="B177" i="58"/>
  <c r="B178" i="58"/>
  <c r="B179" i="58"/>
  <c r="B180" i="58"/>
  <c r="B181" i="58"/>
  <c r="B182" i="58"/>
  <c r="B164" i="58"/>
  <c r="T12" i="16"/>
  <c r="C165" i="58"/>
  <c r="T13" i="16"/>
  <c r="C166" i="58" s="1"/>
  <c r="T14" i="16"/>
  <c r="C167" i="58" s="1"/>
  <c r="T15" i="16"/>
  <c r="C168" i="58" s="1"/>
  <c r="T16" i="16"/>
  <c r="C169" i="58" s="1"/>
  <c r="T17" i="16"/>
  <c r="C170" i="58" s="1"/>
  <c r="T18" i="16"/>
  <c r="C171" i="58" s="1"/>
  <c r="T19" i="16"/>
  <c r="C172" i="58" s="1"/>
  <c r="T20" i="16"/>
  <c r="C173" i="58"/>
  <c r="T21" i="16"/>
  <c r="C174" i="58" s="1"/>
  <c r="T22" i="16"/>
  <c r="C175" i="58" s="1"/>
  <c r="T23" i="16"/>
  <c r="C176" i="58" s="1"/>
  <c r="T24" i="16"/>
  <c r="C177" i="58" s="1"/>
  <c r="T25" i="16"/>
  <c r="C178" i="58" s="1"/>
  <c r="T26" i="16"/>
  <c r="C179" i="58"/>
  <c r="T27" i="16"/>
  <c r="C180" i="58" s="1"/>
  <c r="T28" i="16"/>
  <c r="C181" i="58"/>
  <c r="T29" i="16"/>
  <c r="C182" i="58" s="1"/>
  <c r="T11" i="16"/>
  <c r="C164" i="58" s="1"/>
  <c r="B162" i="58"/>
  <c r="B161" i="58"/>
  <c r="C161" i="58"/>
  <c r="D161" i="58"/>
  <c r="E161" i="58"/>
  <c r="B157" i="58"/>
  <c r="B158" i="58"/>
  <c r="B159" i="58"/>
  <c r="B160" i="58"/>
  <c r="C160" i="58"/>
  <c r="D160" i="58"/>
  <c r="E160" i="58"/>
  <c r="B156" i="58"/>
  <c r="B155" i="58"/>
  <c r="C155" i="58"/>
  <c r="D155" i="58"/>
  <c r="E155" i="58"/>
  <c r="B145" i="58"/>
  <c r="C145" i="58"/>
  <c r="D145" i="58"/>
  <c r="E145" i="58"/>
  <c r="B146" i="58"/>
  <c r="C146" i="58"/>
  <c r="D146" i="58"/>
  <c r="E146" i="58"/>
  <c r="B147" i="58"/>
  <c r="C147" i="58"/>
  <c r="D147" i="58"/>
  <c r="E147" i="58"/>
  <c r="B148" i="58"/>
  <c r="C148" i="58"/>
  <c r="D148" i="58"/>
  <c r="E148" i="58"/>
  <c r="B149" i="58"/>
  <c r="C149" i="58"/>
  <c r="D149" i="58"/>
  <c r="E149" i="58"/>
  <c r="B150" i="58"/>
  <c r="C150" i="58"/>
  <c r="D150" i="58"/>
  <c r="E150" i="58"/>
  <c r="B151" i="58"/>
  <c r="C151" i="58"/>
  <c r="D151" i="58"/>
  <c r="E151" i="58"/>
  <c r="B152" i="58"/>
  <c r="C152" i="58"/>
  <c r="D152" i="58"/>
  <c r="E152" i="58"/>
  <c r="B153" i="58"/>
  <c r="C153" i="58"/>
  <c r="D153" i="58"/>
  <c r="E153" i="58"/>
  <c r="B154" i="58"/>
  <c r="C154" i="58"/>
  <c r="D154" i="58"/>
  <c r="E154" i="58"/>
  <c r="B129" i="58"/>
  <c r="B130" i="58"/>
  <c r="B131" i="58"/>
  <c r="B132" i="58"/>
  <c r="B133" i="58"/>
  <c r="B134" i="58"/>
  <c r="B135" i="58"/>
  <c r="B136" i="58"/>
  <c r="B137" i="58"/>
  <c r="B138" i="58"/>
  <c r="B139" i="58"/>
  <c r="B140" i="58"/>
  <c r="B141" i="58"/>
  <c r="B142" i="58"/>
  <c r="C142" i="58"/>
  <c r="D142" i="58"/>
  <c r="E142" i="58"/>
  <c r="B143" i="58"/>
  <c r="C143" i="58"/>
  <c r="D143" i="58"/>
  <c r="E143" i="58"/>
  <c r="B144" i="58"/>
  <c r="C144" i="58"/>
  <c r="D144" i="58"/>
  <c r="E144" i="58"/>
  <c r="B128" i="58"/>
  <c r="C141" i="58"/>
  <c r="C129" i="58"/>
  <c r="C130" i="58"/>
  <c r="C131" i="58"/>
  <c r="C132" i="58"/>
  <c r="C133" i="58"/>
  <c r="C134" i="58"/>
  <c r="C135" i="58"/>
  <c r="C136" i="58"/>
  <c r="C137" i="58"/>
  <c r="C138" i="58"/>
  <c r="C139" i="58"/>
  <c r="C140" i="58"/>
  <c r="C128" i="58"/>
  <c r="Y57" i="13"/>
  <c r="C162" i="58"/>
  <c r="Z48" i="13"/>
  <c r="D157" i="58" s="1"/>
  <c r="AA48" i="13"/>
  <c r="E157" i="58"/>
  <c r="Z49" i="13"/>
  <c r="D158" i="58" s="1"/>
  <c r="AA49" i="13"/>
  <c r="E158" i="58"/>
  <c r="Z50" i="13"/>
  <c r="D159" i="58" s="1"/>
  <c r="AA50" i="13"/>
  <c r="E159" i="58"/>
  <c r="Z47" i="13"/>
  <c r="D156" i="58" s="1"/>
  <c r="AA47" i="13"/>
  <c r="E156" i="58"/>
  <c r="Y48" i="13"/>
  <c r="C157" i="58" s="1"/>
  <c r="Y49" i="13"/>
  <c r="C158" i="58"/>
  <c r="Y50" i="13"/>
  <c r="C159" i="58" s="1"/>
  <c r="Y47" i="13"/>
  <c r="C156" i="58"/>
  <c r="C110" i="58"/>
  <c r="C111" i="58"/>
  <c r="C112" i="58"/>
  <c r="C113" i="58"/>
  <c r="W39" i="12"/>
  <c r="C114" i="58" s="1"/>
  <c r="C115" i="58"/>
  <c r="C116" i="58"/>
  <c r="W38" i="12"/>
  <c r="C109" i="58" s="1"/>
  <c r="W21" i="12"/>
  <c r="C101" i="58"/>
  <c r="C102" i="58"/>
  <c r="C103" i="58"/>
  <c r="C104" i="58"/>
  <c r="C105" i="58"/>
  <c r="W22" i="12"/>
  <c r="C106" i="58" s="1"/>
  <c r="T20" i="59" s="1"/>
  <c r="C100" i="58"/>
  <c r="W93" i="12"/>
  <c r="C118" i="58" s="1"/>
  <c r="C119" i="58"/>
  <c r="C120" i="58"/>
  <c r="C121" i="58"/>
  <c r="C122" i="58"/>
  <c r="W94" i="12"/>
  <c r="C123" i="58" s="1"/>
  <c r="W95" i="12"/>
  <c r="C124" i="58" s="1"/>
  <c r="W92" i="12"/>
  <c r="C117" i="58" s="1"/>
  <c r="B118" i="58"/>
  <c r="D118" i="58"/>
  <c r="B119" i="58"/>
  <c r="D119" i="58"/>
  <c r="B120" i="58"/>
  <c r="D120" i="58"/>
  <c r="B121" i="58"/>
  <c r="D121" i="58"/>
  <c r="B122" i="58"/>
  <c r="D122" i="58"/>
  <c r="B123" i="58"/>
  <c r="D123" i="58"/>
  <c r="B124" i="58"/>
  <c r="D124" i="58"/>
  <c r="B125" i="58"/>
  <c r="C125" i="58"/>
  <c r="D125" i="58"/>
  <c r="E125" i="58"/>
  <c r="B126" i="58"/>
  <c r="C126" i="58"/>
  <c r="D126" i="58"/>
  <c r="E126" i="58"/>
  <c r="D117" i="58"/>
  <c r="B117" i="58"/>
  <c r="B110" i="58"/>
  <c r="D110" i="58"/>
  <c r="B111" i="58"/>
  <c r="D111" i="58"/>
  <c r="B112" i="58"/>
  <c r="D112" i="58"/>
  <c r="B113" i="58"/>
  <c r="D113" i="58"/>
  <c r="B114" i="58"/>
  <c r="D114" i="58"/>
  <c r="B115" i="58"/>
  <c r="D115" i="58"/>
  <c r="B116" i="58"/>
  <c r="D116" i="58"/>
  <c r="D109" i="58"/>
  <c r="B109" i="58"/>
  <c r="D101" i="58"/>
  <c r="D102" i="58"/>
  <c r="D103" i="58"/>
  <c r="D104" i="58"/>
  <c r="D105" i="58"/>
  <c r="D106" i="58"/>
  <c r="C107" i="58"/>
  <c r="D107" i="58"/>
  <c r="E107" i="58"/>
  <c r="C108" i="58"/>
  <c r="D108" i="58"/>
  <c r="E108" i="58"/>
  <c r="D100" i="58"/>
  <c r="B108" i="58"/>
  <c r="B101" i="58"/>
  <c r="B102" i="58"/>
  <c r="B103" i="58"/>
  <c r="B104" i="58"/>
  <c r="B105" i="58"/>
  <c r="B106" i="58"/>
  <c r="B107" i="58"/>
  <c r="B100" i="58"/>
  <c r="Z93" i="12"/>
  <c r="Y93" i="12" s="1"/>
  <c r="E118" i="58" s="1"/>
  <c r="E119" i="58"/>
  <c r="E120" i="58"/>
  <c r="E121" i="58"/>
  <c r="E122" i="58"/>
  <c r="Z94" i="12"/>
  <c r="Y94" i="12"/>
  <c r="E123" i="58" s="1"/>
  <c r="Z95" i="12"/>
  <c r="Y95" i="12" s="1"/>
  <c r="E124" i="58" s="1"/>
  <c r="Z92" i="12"/>
  <c r="Y92" i="12"/>
  <c r="E117" i="58" s="1"/>
  <c r="E110" i="58"/>
  <c r="E111" i="58"/>
  <c r="E112" i="58"/>
  <c r="E113" i="58"/>
  <c r="Y39" i="12"/>
  <c r="E114" i="58" s="1"/>
  <c r="E115" i="58"/>
  <c r="E116" i="58"/>
  <c r="Y38" i="12"/>
  <c r="E109" i="58" s="1"/>
  <c r="Y21" i="12"/>
  <c r="E101" i="58"/>
  <c r="E102" i="58"/>
  <c r="E103" i="58"/>
  <c r="E104" i="58"/>
  <c r="E105" i="58"/>
  <c r="Y22" i="12"/>
  <c r="E106" i="58" s="1"/>
  <c r="E100" i="58"/>
  <c r="C27" i="58"/>
  <c r="C26" i="58"/>
  <c r="E24" i="58"/>
  <c r="E23" i="58"/>
  <c r="E22" i="58"/>
  <c r="E21" i="58"/>
  <c r="E20" i="58"/>
  <c r="DN30" i="33"/>
  <c r="DN31" i="33"/>
  <c r="DN32" i="33"/>
  <c r="DN33" i="33"/>
  <c r="DN34" i="33"/>
  <c r="DN35" i="33"/>
  <c r="DN36" i="33"/>
  <c r="DN37" i="33"/>
  <c r="DN38" i="33"/>
  <c r="DN39" i="33"/>
  <c r="DN40" i="33"/>
  <c r="DN41" i="33"/>
  <c r="DN42" i="33"/>
  <c r="DN43" i="33"/>
  <c r="DN44" i="33"/>
  <c r="DN45" i="33"/>
  <c r="DN46" i="33"/>
  <c r="DN47" i="33"/>
  <c r="DN48" i="33"/>
  <c r="DN49" i="33"/>
  <c r="DN50" i="33"/>
  <c r="DN51" i="33"/>
  <c r="DN52" i="33"/>
  <c r="DN53" i="33"/>
  <c r="DN54" i="33"/>
  <c r="DN55" i="33"/>
  <c r="DN56" i="33"/>
  <c r="DN57" i="33"/>
  <c r="DN58" i="33"/>
  <c r="DN59" i="33"/>
  <c r="DN60" i="33"/>
  <c r="DN61" i="33"/>
  <c r="DN62" i="33"/>
  <c r="DN63" i="33"/>
  <c r="DN64" i="33"/>
  <c r="DN65" i="33"/>
  <c r="DN66" i="33"/>
  <c r="DN67" i="33"/>
  <c r="DN68" i="33"/>
  <c r="DN69" i="33"/>
  <c r="DN70" i="33"/>
  <c r="DN71" i="33"/>
  <c r="DN72" i="33"/>
  <c r="DN73" i="33"/>
  <c r="DN74" i="33"/>
  <c r="DN75" i="33"/>
  <c r="DN76" i="33"/>
  <c r="DN77" i="33"/>
  <c r="DN78" i="33"/>
  <c r="DN79" i="33"/>
  <c r="DN80" i="33"/>
  <c r="DN81" i="33"/>
  <c r="DN82" i="33"/>
  <c r="DN83" i="33"/>
  <c r="DN84" i="33"/>
  <c r="DN85" i="33"/>
  <c r="DN86" i="33"/>
  <c r="DN87" i="33"/>
  <c r="DN88" i="33"/>
  <c r="DN89" i="33"/>
  <c r="DN90" i="33"/>
  <c r="DN91" i="33"/>
  <c r="DN92" i="33"/>
  <c r="DN93" i="33"/>
  <c r="DN94" i="33"/>
  <c r="DN95" i="33"/>
  <c r="DN96" i="33"/>
  <c r="DN97" i="33"/>
  <c r="DN98" i="33"/>
  <c r="DN99" i="33"/>
  <c r="DN100" i="33"/>
  <c r="DN101" i="33"/>
  <c r="DN102" i="33"/>
  <c r="DN103" i="33"/>
  <c r="DN104" i="33"/>
  <c r="DN105" i="33"/>
  <c r="DN106" i="33"/>
  <c r="DN107" i="33"/>
  <c r="DN108" i="33"/>
  <c r="DN109" i="33"/>
  <c r="DN110" i="33"/>
  <c r="DN111" i="33"/>
  <c r="DN112" i="33"/>
  <c r="DN113" i="33"/>
  <c r="DN114" i="33"/>
  <c r="DN115" i="33"/>
  <c r="DN116" i="33"/>
  <c r="DN117" i="33"/>
  <c r="DN118" i="33"/>
  <c r="DN119" i="33"/>
  <c r="DN120" i="33"/>
  <c r="DN121" i="33"/>
  <c r="DN122" i="33"/>
  <c r="DN123" i="33"/>
  <c r="DN124" i="33"/>
  <c r="DN125" i="33"/>
  <c r="DN126" i="33"/>
  <c r="DN127" i="33"/>
  <c r="DN128" i="33"/>
  <c r="DN129" i="33"/>
  <c r="DN130" i="33"/>
  <c r="DN131" i="33"/>
  <c r="DN132" i="33"/>
  <c r="DN133" i="33"/>
  <c r="DN134" i="33"/>
  <c r="DN135" i="33"/>
  <c r="DN136" i="33"/>
  <c r="DN137" i="33"/>
  <c r="DN138" i="33"/>
  <c r="DN139" i="33"/>
  <c r="DN140" i="33"/>
  <c r="DN141" i="33"/>
  <c r="DN142" i="33"/>
  <c r="DN143" i="33"/>
  <c r="DN144" i="33"/>
  <c r="DN145" i="33"/>
  <c r="DN146" i="33"/>
  <c r="DN147" i="33"/>
  <c r="DN148" i="33"/>
  <c r="DN149" i="33"/>
  <c r="DN150" i="33"/>
  <c r="DN151" i="33"/>
  <c r="DN152" i="33"/>
  <c r="DN153" i="33"/>
  <c r="DN154" i="33"/>
  <c r="DN155" i="33"/>
  <c r="DN156" i="33"/>
  <c r="DN157" i="33"/>
  <c r="DN158" i="33"/>
  <c r="DN159" i="33"/>
  <c r="DN160" i="33"/>
  <c r="DN161" i="33"/>
  <c r="DN162" i="33"/>
  <c r="DN163" i="33"/>
  <c r="DN164" i="33"/>
  <c r="DN165" i="33"/>
  <c r="DN166" i="33"/>
  <c r="DN167" i="33"/>
  <c r="DN168" i="33"/>
  <c r="DN169" i="33"/>
  <c r="DN170" i="33"/>
  <c r="DN171" i="33"/>
  <c r="DN172" i="33"/>
  <c r="DN173" i="33"/>
  <c r="DN174" i="33"/>
  <c r="DN175" i="33"/>
  <c r="DN176" i="33"/>
  <c r="DN177" i="33"/>
  <c r="DN178" i="33"/>
  <c r="DN179" i="33"/>
  <c r="DN180" i="33"/>
  <c r="DN181" i="33"/>
  <c r="DN182" i="33"/>
  <c r="DN183" i="33"/>
  <c r="DN184" i="33"/>
  <c r="DN185" i="33"/>
  <c r="DN186" i="33"/>
  <c r="DN187" i="33"/>
  <c r="DN188" i="33"/>
  <c r="DN189" i="33"/>
  <c r="DN190" i="33"/>
  <c r="DN191" i="33"/>
  <c r="DN192" i="33"/>
  <c r="DN193" i="33"/>
  <c r="DN194" i="33"/>
  <c r="DN195" i="33"/>
  <c r="DN196" i="33"/>
  <c r="DN197" i="33"/>
  <c r="DN198" i="33"/>
  <c r="DN199" i="33"/>
  <c r="DN200" i="33"/>
  <c r="DN201" i="33"/>
  <c r="DN202" i="33"/>
  <c r="DN203" i="33"/>
  <c r="DN204" i="33"/>
  <c r="DN205" i="33"/>
  <c r="DN206" i="33"/>
  <c r="DN207" i="33"/>
  <c r="DN208" i="33"/>
  <c r="DN209" i="33"/>
  <c r="DN210" i="33"/>
  <c r="DN211" i="33"/>
  <c r="DN212" i="33"/>
  <c r="DN213" i="33"/>
  <c r="DN214" i="33"/>
  <c r="DN215" i="33"/>
  <c r="DN216" i="33"/>
  <c r="DN217" i="33"/>
  <c r="DN218" i="33"/>
  <c r="DN219" i="33"/>
  <c r="DN220" i="33"/>
  <c r="DN221" i="33"/>
  <c r="DN222" i="33"/>
  <c r="DN223" i="33"/>
  <c r="DN224" i="33"/>
  <c r="DN225" i="33"/>
  <c r="DN226" i="33"/>
  <c r="DN227" i="33"/>
  <c r="DN228" i="33"/>
  <c r="DN229" i="33"/>
  <c r="DN230" i="33"/>
  <c r="DN231" i="33"/>
  <c r="DN232" i="33"/>
  <c r="DN233" i="33"/>
  <c r="DN234" i="33"/>
  <c r="DN235" i="33"/>
  <c r="DN236" i="33"/>
  <c r="DN237" i="33"/>
  <c r="DN238" i="33"/>
  <c r="DN239" i="33"/>
  <c r="DN240" i="33"/>
  <c r="DN241" i="33"/>
  <c r="DN242" i="33"/>
  <c r="DN243" i="33"/>
  <c r="DN244" i="33"/>
  <c r="DN245" i="33"/>
  <c r="DN246" i="33"/>
  <c r="DN247" i="33"/>
  <c r="DN248" i="33"/>
  <c r="DN249" i="33"/>
  <c r="DN250" i="33"/>
  <c r="DN251" i="33"/>
  <c r="DN252" i="33"/>
  <c r="DN253" i="33"/>
  <c r="DN254" i="33"/>
  <c r="DN255" i="33"/>
  <c r="DN256" i="33"/>
  <c r="DN257" i="33"/>
  <c r="DN258" i="33"/>
  <c r="DN259" i="33"/>
  <c r="DN260" i="33"/>
  <c r="DN261" i="33"/>
  <c r="DN262" i="33"/>
  <c r="DN263" i="33"/>
  <c r="DN264" i="33"/>
  <c r="DN265" i="33"/>
  <c r="DN266" i="33"/>
  <c r="DN267" i="33"/>
  <c r="DN268" i="33"/>
  <c r="DN269" i="33"/>
  <c r="DN270" i="33"/>
  <c r="DN271" i="33"/>
  <c r="DN272" i="33"/>
  <c r="DN273" i="33"/>
  <c r="DN274" i="33"/>
  <c r="DN275" i="33"/>
  <c r="DN276" i="33"/>
  <c r="DN277" i="33"/>
  <c r="DN278" i="33"/>
  <c r="DN279" i="33"/>
  <c r="DN280" i="33"/>
  <c r="DN281" i="33"/>
  <c r="DN282" i="33"/>
  <c r="DN283" i="33"/>
  <c r="DN284" i="33"/>
  <c r="DN285" i="33"/>
  <c r="DN286" i="33"/>
  <c r="DN287" i="33"/>
  <c r="DN288" i="33"/>
  <c r="DN289" i="33"/>
  <c r="DN290" i="33"/>
  <c r="DN291" i="33"/>
  <c r="DN292" i="33"/>
  <c r="DN293" i="33"/>
  <c r="DN294" i="33"/>
  <c r="DN295" i="33"/>
  <c r="DN296" i="33"/>
  <c r="DN297" i="33"/>
  <c r="DN298" i="33"/>
  <c r="DN299" i="33"/>
  <c r="DN300" i="33"/>
  <c r="DN301" i="33"/>
  <c r="DN302" i="33"/>
  <c r="DN303" i="33"/>
  <c r="DN304" i="33"/>
  <c r="DN305" i="33"/>
  <c r="DN306" i="33"/>
  <c r="DN307" i="33"/>
  <c r="DN308" i="33"/>
  <c r="DN309" i="33"/>
  <c r="DN310" i="33"/>
  <c r="DN311" i="33"/>
  <c r="DN312" i="33"/>
  <c r="DN313" i="33"/>
  <c r="DN314" i="33"/>
  <c r="DN315" i="33"/>
  <c r="DN316" i="33"/>
  <c r="DN317" i="33"/>
  <c r="DN318" i="33"/>
  <c r="DN319" i="33"/>
  <c r="DN320" i="33"/>
  <c r="DN321" i="33"/>
  <c r="DN322" i="33"/>
  <c r="DN323" i="33"/>
  <c r="DN324" i="33"/>
  <c r="DN325" i="33"/>
  <c r="DN326" i="33"/>
  <c r="DN327" i="33"/>
  <c r="DN328" i="33"/>
  <c r="DN329" i="33"/>
  <c r="DN330" i="33"/>
  <c r="DN331" i="33"/>
  <c r="DN332" i="33"/>
  <c r="DN333" i="33"/>
  <c r="DN334" i="33"/>
  <c r="DN335" i="33"/>
  <c r="DN336" i="33"/>
  <c r="DN337" i="33"/>
  <c r="DN338" i="33"/>
  <c r="DN339" i="33"/>
  <c r="DN340" i="33"/>
  <c r="DN341" i="33"/>
  <c r="DN342" i="33"/>
  <c r="DN343" i="33"/>
  <c r="DN344" i="33"/>
  <c r="DN345" i="33"/>
  <c r="DN346" i="33"/>
  <c r="DN347" i="33"/>
  <c r="DN348" i="33"/>
  <c r="DN349" i="33"/>
  <c r="DN350" i="33"/>
  <c r="DN351" i="33"/>
  <c r="DN352" i="33"/>
  <c r="DN353" i="33"/>
  <c r="DN354" i="33"/>
  <c r="DN355" i="33"/>
  <c r="DN356" i="33"/>
  <c r="DN357" i="33"/>
  <c r="DN358" i="33"/>
  <c r="DN359" i="33"/>
  <c r="DN360" i="33"/>
  <c r="DN361" i="33"/>
  <c r="DN362" i="33"/>
  <c r="DN363" i="33"/>
  <c r="DN364" i="33"/>
  <c r="DN365" i="33"/>
  <c r="DN366" i="33"/>
  <c r="DN367" i="33"/>
  <c r="DN368" i="33"/>
  <c r="DN369" i="33"/>
  <c r="DN370" i="33"/>
  <c r="DN371" i="33"/>
  <c r="DN372" i="33"/>
  <c r="DN373" i="33"/>
  <c r="DN374" i="33"/>
  <c r="DN375" i="33"/>
  <c r="DN376" i="33"/>
  <c r="DN377" i="33"/>
  <c r="DN378" i="33"/>
  <c r="DN379" i="33"/>
  <c r="DN380" i="33"/>
  <c r="DN381" i="33"/>
  <c r="DN382" i="33"/>
  <c r="DN383" i="33"/>
  <c r="DN384" i="33"/>
  <c r="DN385" i="33"/>
  <c r="DN386" i="33"/>
  <c r="DN387" i="33"/>
  <c r="DN388" i="33"/>
  <c r="DN389" i="33"/>
  <c r="DN390" i="33"/>
  <c r="DN391" i="33"/>
  <c r="DN392" i="33"/>
  <c r="DN393" i="33"/>
  <c r="DN394" i="33"/>
  <c r="DN395" i="33"/>
  <c r="DN396" i="33"/>
  <c r="DN397" i="33"/>
  <c r="DN398" i="33"/>
  <c r="DN399" i="33"/>
  <c r="DN400" i="33"/>
  <c r="DN401" i="33"/>
  <c r="DN402" i="33"/>
  <c r="DN403" i="33"/>
  <c r="DN404" i="33"/>
  <c r="DN405" i="33"/>
  <c r="DN406" i="33"/>
  <c r="DN407" i="33"/>
  <c r="DN408" i="33"/>
  <c r="DN409" i="33"/>
  <c r="DN410" i="33"/>
  <c r="DN411" i="33"/>
  <c r="DN412" i="33"/>
  <c r="DN413" i="33"/>
  <c r="DN414" i="33"/>
  <c r="DN415" i="33"/>
  <c r="DN416" i="33"/>
  <c r="DN417" i="33"/>
  <c r="DN418" i="33"/>
  <c r="DN419" i="33"/>
  <c r="DN420" i="33"/>
  <c r="DN421" i="33"/>
  <c r="DN422" i="33"/>
  <c r="DN423" i="33"/>
  <c r="DN424" i="33"/>
  <c r="DN425" i="33"/>
  <c r="DN426" i="33"/>
  <c r="DN427" i="33"/>
  <c r="DN428" i="33"/>
  <c r="DN429" i="33"/>
  <c r="DN430" i="33"/>
  <c r="DN431" i="33"/>
  <c r="DN432" i="33"/>
  <c r="DN433" i="33"/>
  <c r="DN434" i="33"/>
  <c r="DN435" i="33"/>
  <c r="DN436" i="33"/>
  <c r="DN437" i="33"/>
  <c r="DN438" i="33"/>
  <c r="DN439" i="33"/>
  <c r="DN440" i="33"/>
  <c r="DN441" i="33"/>
  <c r="DN442" i="33"/>
  <c r="DN443" i="33"/>
  <c r="DN444" i="33"/>
  <c r="DN445" i="33"/>
  <c r="DN446" i="33"/>
  <c r="DN447" i="33"/>
  <c r="DN448" i="33"/>
  <c r="DN449" i="33"/>
  <c r="DN450" i="33"/>
  <c r="DN451" i="33"/>
  <c r="DN452" i="33"/>
  <c r="DN453" i="33"/>
  <c r="DN454" i="33"/>
  <c r="DN455" i="33"/>
  <c r="DN456" i="33"/>
  <c r="DN457" i="33"/>
  <c r="DN458" i="33"/>
  <c r="DN459" i="33"/>
  <c r="DN460" i="33"/>
  <c r="DN461" i="33"/>
  <c r="DN462" i="33"/>
  <c r="DN463" i="33"/>
  <c r="DN464" i="33"/>
  <c r="DN465" i="33"/>
  <c r="DN466" i="33"/>
  <c r="DN467" i="33"/>
  <c r="DN468" i="33"/>
  <c r="DN469" i="33"/>
  <c r="DN470" i="33"/>
  <c r="DN471" i="33"/>
  <c r="DN472" i="33"/>
  <c r="DN473" i="33"/>
  <c r="DN474" i="33"/>
  <c r="DN475" i="33"/>
  <c r="DN476" i="33"/>
  <c r="DN477" i="33"/>
  <c r="DN478" i="33"/>
  <c r="DN479" i="33"/>
  <c r="DN480" i="33"/>
  <c r="DN481" i="33"/>
  <c r="DN482" i="33"/>
  <c r="DN483" i="33"/>
  <c r="DN484" i="33"/>
  <c r="DN485" i="33"/>
  <c r="DN486" i="33"/>
  <c r="DN487" i="33"/>
  <c r="DN488" i="33"/>
  <c r="DN489" i="33"/>
  <c r="DN490" i="33"/>
  <c r="DN491" i="33"/>
  <c r="DN492" i="33"/>
  <c r="DN493" i="33"/>
  <c r="DN494" i="33"/>
  <c r="DN495" i="33"/>
  <c r="DN496" i="33"/>
  <c r="DN497" i="33"/>
  <c r="DN498" i="33"/>
  <c r="DN499" i="33"/>
  <c r="DN500" i="33"/>
  <c r="DN501" i="33"/>
  <c r="DN502" i="33"/>
  <c r="DN503" i="33"/>
  <c r="DN504" i="33"/>
  <c r="DN505" i="33"/>
  <c r="DN506" i="33"/>
  <c r="DN507" i="33"/>
  <c r="DN508" i="33"/>
  <c r="DN509" i="33"/>
  <c r="DN510" i="33"/>
  <c r="DN511" i="33"/>
  <c r="DN512" i="33"/>
  <c r="DN513" i="33"/>
  <c r="DN514" i="33"/>
  <c r="DN515" i="33"/>
  <c r="DN516" i="33"/>
  <c r="DN517" i="33"/>
  <c r="DN518" i="33"/>
  <c r="DN519" i="33"/>
  <c r="DN520" i="33"/>
  <c r="DN521" i="33"/>
  <c r="DN522" i="33"/>
  <c r="DN523" i="33"/>
  <c r="DN524" i="33"/>
  <c r="DN525" i="33"/>
  <c r="DN526" i="33"/>
  <c r="DN527" i="33"/>
  <c r="DN528" i="33"/>
  <c r="DN529" i="33"/>
  <c r="DN530" i="33"/>
  <c r="DN531" i="33"/>
  <c r="DN532" i="33"/>
  <c r="DN533" i="33"/>
  <c r="DN534" i="33"/>
  <c r="DN535" i="33"/>
  <c r="DN536" i="33"/>
  <c r="DN537" i="33"/>
  <c r="DN538" i="33"/>
  <c r="DN539" i="33"/>
  <c r="DN540" i="33"/>
  <c r="DN541" i="33"/>
  <c r="DN542" i="33"/>
  <c r="DN543" i="33"/>
  <c r="DN544" i="33"/>
  <c r="DN545" i="33"/>
  <c r="DN546" i="33"/>
  <c r="DN547" i="33"/>
  <c r="DN548" i="33"/>
  <c r="DN549" i="33"/>
  <c r="DN550" i="33"/>
  <c r="DN551" i="33"/>
  <c r="DN29" i="33"/>
  <c r="I109" i="11"/>
  <c r="I110" i="11"/>
  <c r="I111" i="11"/>
  <c r="I106" i="11"/>
  <c r="I112" i="11"/>
  <c r="I108" i="11"/>
  <c r="C12" i="59"/>
  <c r="P12" i="59" s="1"/>
  <c r="D12" i="59" s="1"/>
  <c r="C13" i="59"/>
  <c r="P13" i="59" s="1"/>
  <c r="D13" i="59" s="1"/>
  <c r="C14" i="59"/>
  <c r="C15" i="59"/>
  <c r="M15" i="59" s="1"/>
  <c r="C16" i="59"/>
  <c r="M16" i="59" s="1"/>
  <c r="C17" i="59"/>
  <c r="C18" i="59"/>
  <c r="C19" i="59"/>
  <c r="P19" i="59" s="1"/>
  <c r="D19" i="59" s="1"/>
  <c r="C20" i="59"/>
  <c r="Q20" i="59" s="1"/>
  <c r="E20" i="59" s="1"/>
  <c r="C21" i="59"/>
  <c r="P21" i="59" s="1"/>
  <c r="D21" i="59" s="1"/>
  <c r="C22" i="59"/>
  <c r="C23" i="59"/>
  <c r="M23" i="59" s="1"/>
  <c r="C24" i="59"/>
  <c r="M24" i="59" s="1"/>
  <c r="C25" i="59"/>
  <c r="C26" i="59"/>
  <c r="C27" i="59"/>
  <c r="C28" i="59"/>
  <c r="P28" i="59" s="1"/>
  <c r="D28" i="59" s="1"/>
  <c r="C29" i="59"/>
  <c r="C30" i="59"/>
  <c r="C31" i="59"/>
  <c r="M31" i="59" s="1"/>
  <c r="C32" i="59"/>
  <c r="M32" i="59" s="1"/>
  <c r="C33" i="59"/>
  <c r="C34" i="59"/>
  <c r="C35" i="59"/>
  <c r="P35" i="59" s="1"/>
  <c r="D35" i="59" s="1"/>
  <c r="C36" i="59"/>
  <c r="Q36" i="59" s="1"/>
  <c r="C37" i="59"/>
  <c r="C38" i="59"/>
  <c r="C39" i="59"/>
  <c r="M39" i="59" s="1"/>
  <c r="C40" i="59"/>
  <c r="Q40" i="59" s="1"/>
  <c r="C41" i="59"/>
  <c r="K12" i="36"/>
  <c r="L12" i="36"/>
  <c r="M12" i="36"/>
  <c r="N12" i="36"/>
  <c r="O12" i="36"/>
  <c r="P12" i="36"/>
  <c r="Q12" i="36"/>
  <c r="R12" i="36"/>
  <c r="S12" i="36"/>
  <c r="T12" i="36"/>
  <c r="U12" i="36"/>
  <c r="V12" i="36"/>
  <c r="W12" i="36"/>
  <c r="X12" i="36"/>
  <c r="Y12" i="36"/>
  <c r="Z12" i="36"/>
  <c r="AA12" i="36"/>
  <c r="AB12" i="36"/>
  <c r="AC12" i="36"/>
  <c r="AD12" i="36"/>
  <c r="AE12" i="36"/>
  <c r="AF12" i="36"/>
  <c r="AG12" i="36"/>
  <c r="AH12" i="36"/>
  <c r="AI12" i="36"/>
  <c r="AJ12" i="36"/>
  <c r="AK12" i="36"/>
  <c r="AL12" i="36"/>
  <c r="AM12" i="36"/>
  <c r="AN12" i="36"/>
  <c r="AO12" i="36"/>
  <c r="AP12" i="36"/>
  <c r="AQ12" i="36"/>
  <c r="AR12" i="36"/>
  <c r="AS12" i="36"/>
  <c r="AT12" i="36"/>
  <c r="AU12" i="36"/>
  <c r="AV12" i="36"/>
  <c r="AW12" i="36"/>
  <c r="AX12" i="36"/>
  <c r="AY12" i="36"/>
  <c r="AZ12" i="36"/>
  <c r="BA12" i="36"/>
  <c r="BB12" i="36"/>
  <c r="BC12" i="36"/>
  <c r="BD12" i="36"/>
  <c r="BE12" i="36"/>
  <c r="BF12" i="36"/>
  <c r="BG12" i="36"/>
  <c r="BH12" i="36"/>
  <c r="BI12" i="36"/>
  <c r="BJ12" i="36"/>
  <c r="BK12" i="36"/>
  <c r="BL12" i="36"/>
  <c r="BM12" i="36"/>
  <c r="BN12" i="36"/>
  <c r="BO12" i="36"/>
  <c r="BP12" i="36"/>
  <c r="BQ12" i="36"/>
  <c r="BR12" i="36"/>
  <c r="BS12" i="36"/>
  <c r="BT12" i="36"/>
  <c r="BU12" i="36"/>
  <c r="BV12" i="36"/>
  <c r="BW12" i="36"/>
  <c r="BX12" i="36"/>
  <c r="K40" i="59"/>
  <c r="H40" i="59"/>
  <c r="I40" i="59"/>
  <c r="J40" i="59"/>
  <c r="M40" i="59"/>
  <c r="K36" i="59"/>
  <c r="H36" i="59"/>
  <c r="J36" i="59"/>
  <c r="I36" i="59"/>
  <c r="M36" i="59"/>
  <c r="K32" i="59"/>
  <c r="H32" i="59"/>
  <c r="I32" i="59"/>
  <c r="J32" i="59"/>
  <c r="K28" i="59"/>
  <c r="H28" i="59"/>
  <c r="I28" i="59"/>
  <c r="J28" i="59"/>
  <c r="K24" i="59"/>
  <c r="J24" i="59"/>
  <c r="H24" i="59"/>
  <c r="I24" i="59"/>
  <c r="K20" i="59"/>
  <c r="H20" i="59"/>
  <c r="J20" i="59"/>
  <c r="I20" i="59"/>
  <c r="K16" i="59"/>
  <c r="H16" i="59"/>
  <c r="I16" i="59"/>
  <c r="J16" i="59"/>
  <c r="K12" i="59"/>
  <c r="J12" i="59"/>
  <c r="I12" i="59"/>
  <c r="H12" i="59"/>
  <c r="M12" i="59"/>
  <c r="P39" i="59"/>
  <c r="D39" i="59" s="1"/>
  <c r="K39" i="59"/>
  <c r="J39" i="59"/>
  <c r="H39" i="59"/>
  <c r="I39" i="59"/>
  <c r="K35" i="59"/>
  <c r="J35" i="59"/>
  <c r="H35" i="59"/>
  <c r="I35" i="59"/>
  <c r="M35" i="59"/>
  <c r="K31" i="59"/>
  <c r="J31" i="59"/>
  <c r="H31" i="59"/>
  <c r="I31" i="59"/>
  <c r="K27" i="59"/>
  <c r="H27" i="59"/>
  <c r="I27" i="59"/>
  <c r="J27" i="59"/>
  <c r="M27" i="59"/>
  <c r="K23" i="59"/>
  <c r="H23" i="59"/>
  <c r="I23" i="59"/>
  <c r="J23" i="59"/>
  <c r="K19" i="59"/>
  <c r="H19" i="59"/>
  <c r="I19" i="59"/>
  <c r="J19" i="59"/>
  <c r="M19" i="59"/>
  <c r="K15" i="59"/>
  <c r="J15" i="59"/>
  <c r="I15" i="59"/>
  <c r="H15" i="59"/>
  <c r="K38" i="59"/>
  <c r="H38" i="59"/>
  <c r="J38" i="59"/>
  <c r="I38" i="59"/>
  <c r="M38" i="59"/>
  <c r="K34" i="59"/>
  <c r="H34" i="59"/>
  <c r="J34" i="59"/>
  <c r="I34" i="59"/>
  <c r="M34" i="59"/>
  <c r="K30" i="59"/>
  <c r="H30" i="59"/>
  <c r="I30" i="59"/>
  <c r="J30" i="59"/>
  <c r="M30" i="59"/>
  <c r="K26" i="59"/>
  <c r="H26" i="59"/>
  <c r="J26" i="59"/>
  <c r="I26" i="59"/>
  <c r="M26" i="59"/>
  <c r="K22" i="59"/>
  <c r="H22" i="59"/>
  <c r="I22" i="59"/>
  <c r="J22" i="59"/>
  <c r="M22" i="59"/>
  <c r="K18" i="59"/>
  <c r="H18" i="59"/>
  <c r="J18" i="59"/>
  <c r="I18" i="59"/>
  <c r="M18" i="59"/>
  <c r="K14" i="59"/>
  <c r="J14" i="59"/>
  <c r="I14" i="59"/>
  <c r="H14" i="59"/>
  <c r="M14" i="59"/>
  <c r="K41" i="59"/>
  <c r="H41" i="59"/>
  <c r="J41" i="59"/>
  <c r="I41" i="59"/>
  <c r="K37" i="59"/>
  <c r="H37" i="59"/>
  <c r="I37" i="59"/>
  <c r="J37" i="59"/>
  <c r="K33" i="59"/>
  <c r="H33" i="59"/>
  <c r="J33" i="59"/>
  <c r="I33" i="59"/>
  <c r="K29" i="59"/>
  <c r="H29" i="59"/>
  <c r="J29" i="59"/>
  <c r="I29" i="59"/>
  <c r="K25" i="59"/>
  <c r="H25" i="59"/>
  <c r="J25" i="59"/>
  <c r="I25" i="59"/>
  <c r="K21" i="59"/>
  <c r="H21" i="59"/>
  <c r="I21" i="59"/>
  <c r="J21" i="59"/>
  <c r="K17" i="59"/>
  <c r="H17" i="59"/>
  <c r="J17" i="59"/>
  <c r="I17" i="59"/>
  <c r="K13" i="59"/>
  <c r="I13" i="59"/>
  <c r="J13" i="59"/>
  <c r="H13" i="59"/>
  <c r="E40" i="59"/>
  <c r="P36" i="59"/>
  <c r="D36" i="59" s="1"/>
  <c r="Q34" i="59"/>
  <c r="E34" i="59" s="1"/>
  <c r="Q38" i="59"/>
  <c r="E38" i="59" s="1"/>
  <c r="E36" i="59"/>
  <c r="P34" i="59"/>
  <c r="D34" i="59" s="1"/>
  <c r="Q39" i="59"/>
  <c r="E39" i="59" s="1"/>
  <c r="Q35" i="59"/>
  <c r="E35" i="59"/>
  <c r="P38" i="59"/>
  <c r="D38" i="59" s="1"/>
  <c r="E16" i="58"/>
  <c r="E15" i="58"/>
  <c r="C24" i="58"/>
  <c r="C23" i="58"/>
  <c r="C22" i="58"/>
  <c r="C21" i="58"/>
  <c r="C20" i="58"/>
  <c r="C19" i="58"/>
  <c r="C18" i="58"/>
  <c r="C16" i="58"/>
  <c r="C15" i="58"/>
  <c r="C9" i="58"/>
  <c r="C8" i="58"/>
  <c r="T34" i="59" s="1"/>
  <c r="B2" i="58"/>
  <c r="P16" i="59"/>
  <c r="D16" i="59" s="1"/>
  <c r="P18" i="59"/>
  <c r="D18" i="59" s="1"/>
  <c r="P22" i="59"/>
  <c r="D22" i="59" s="1"/>
  <c r="P24" i="59"/>
  <c r="D24" i="59" s="1"/>
  <c r="P26" i="59"/>
  <c r="D26" i="59" s="1"/>
  <c r="P30" i="59"/>
  <c r="D30" i="59"/>
  <c r="P32" i="59"/>
  <c r="D32" i="59" s="1"/>
  <c r="Q26" i="59"/>
  <c r="E26" i="59" s="1"/>
  <c r="Q14" i="59"/>
  <c r="E14" i="59" s="1"/>
  <c r="Q16" i="59"/>
  <c r="E16" i="59" s="1"/>
  <c r="Q18" i="59"/>
  <c r="E18" i="59" s="1"/>
  <c r="Q22" i="59"/>
  <c r="E22" i="59" s="1"/>
  <c r="P15" i="59"/>
  <c r="D15" i="59" s="1"/>
  <c r="P23" i="59"/>
  <c r="D23" i="59" s="1"/>
  <c r="P27" i="59"/>
  <c r="D27" i="59"/>
  <c r="Q32" i="59"/>
  <c r="E32" i="59" s="1"/>
  <c r="Q15" i="59"/>
  <c r="E15" i="59" s="1"/>
  <c r="Q23" i="59"/>
  <c r="E23" i="59" s="1"/>
  <c r="Q27" i="59"/>
  <c r="E27" i="59" s="1"/>
  <c r="Q30" i="59"/>
  <c r="E30" i="59" s="1"/>
  <c r="B56" i="14"/>
  <c r="M60" i="16"/>
  <c r="M58" i="16"/>
  <c r="M54" i="16"/>
  <c r="M57" i="16"/>
  <c r="M53" i="16"/>
  <c r="M56" i="16"/>
  <c r="CQ27" i="33"/>
  <c r="T11" i="55"/>
  <c r="B23" i="7"/>
  <c r="P17" i="13"/>
  <c r="S55" i="2"/>
  <c r="E131" i="58"/>
  <c r="E130" i="58"/>
  <c r="E129" i="58"/>
  <c r="E134" i="58"/>
  <c r="E132" i="58"/>
  <c r="E133" i="58"/>
  <c r="M26" i="10"/>
  <c r="T11" i="21"/>
  <c r="T12" i="21"/>
  <c r="T13" i="21"/>
  <c r="T14" i="21"/>
  <c r="T15" i="21"/>
  <c r="T16" i="21"/>
  <c r="T17" i="21"/>
  <c r="T18" i="21"/>
  <c r="T19" i="21"/>
  <c r="T20" i="21"/>
  <c r="T21" i="21"/>
  <c r="T22" i="21"/>
  <c r="T23" i="21"/>
  <c r="T24" i="21"/>
  <c r="T25" i="21"/>
  <c r="T26" i="21"/>
  <c r="T27" i="21"/>
  <c r="T28" i="21"/>
  <c r="T29" i="21"/>
  <c r="T10" i="21"/>
  <c r="E136" i="58"/>
  <c r="AN35" i="15"/>
  <c r="E137" i="58"/>
  <c r="AD50" i="13"/>
  <c r="AD49" i="13"/>
  <c r="AD48" i="13"/>
  <c r="AD47" i="13"/>
  <c r="E138" i="58"/>
  <c r="E139" i="58"/>
  <c r="I148" i="10"/>
  <c r="E140" i="58"/>
  <c r="E141" i="58"/>
  <c r="Y200" i="22"/>
  <c r="Y202" i="22"/>
  <c r="Y162" i="22"/>
  <c r="Y198" i="22"/>
  <c r="Y196" i="22"/>
  <c r="Y156" i="22"/>
  <c r="Y158" i="22"/>
  <c r="Y192" i="22"/>
  <c r="Y172" i="22"/>
  <c r="Y174" i="22"/>
  <c r="Y170" i="22"/>
  <c r="Y168" i="22"/>
  <c r="Y166" i="22"/>
  <c r="Y164" i="22"/>
  <c r="Y160" i="22"/>
  <c r="Y154" i="22"/>
  <c r="Y152" i="22"/>
  <c r="Y146" i="22"/>
  <c r="M205" i="27"/>
  <c r="K205" i="27"/>
  <c r="M204" i="27"/>
  <c r="K204" i="27"/>
  <c r="M203" i="27"/>
  <c r="K203" i="27"/>
  <c r="M161" i="27"/>
  <c r="K161" i="27"/>
  <c r="M160" i="27"/>
  <c r="K160" i="27"/>
  <c r="M159" i="27"/>
  <c r="K159" i="27"/>
  <c r="M140" i="27"/>
  <c r="K140" i="27"/>
  <c r="M139" i="27"/>
  <c r="K139" i="27"/>
  <c r="M138" i="27"/>
  <c r="K138" i="27"/>
  <c r="M99" i="27"/>
  <c r="K99" i="27"/>
  <c r="M98" i="27"/>
  <c r="K98" i="27"/>
  <c r="M97" i="27"/>
  <c r="K97" i="27"/>
  <c r="J24" i="27"/>
  <c r="I24" i="27"/>
  <c r="H24" i="27"/>
  <c r="G24" i="27"/>
  <c r="F24" i="27"/>
  <c r="E24" i="27"/>
  <c r="D24" i="27"/>
  <c r="C24" i="27"/>
  <c r="B24" i="27"/>
  <c r="B120" i="27"/>
  <c r="J23" i="27"/>
  <c r="I23" i="27"/>
  <c r="H23" i="27"/>
  <c r="G23" i="27"/>
  <c r="F23" i="27"/>
  <c r="E23" i="27"/>
  <c r="D23" i="27"/>
  <c r="C23" i="27"/>
  <c r="B23" i="27"/>
  <c r="B204" i="27" s="1"/>
  <c r="B139" i="27"/>
  <c r="J22" i="27"/>
  <c r="I22" i="27"/>
  <c r="H22" i="27"/>
  <c r="G22" i="27"/>
  <c r="F22" i="27"/>
  <c r="E22" i="27"/>
  <c r="D22" i="27"/>
  <c r="C22" i="27"/>
  <c r="B22" i="27"/>
  <c r="B203" i="27"/>
  <c r="B519" i="38"/>
  <c r="B518" i="38"/>
  <c r="C518" i="38" s="1"/>
  <c r="D518" i="38" s="1"/>
  <c r="B517" i="38"/>
  <c r="B498" i="38"/>
  <c r="C498" i="38" s="1"/>
  <c r="D498" i="38" s="1"/>
  <c r="B497" i="38"/>
  <c r="B496" i="38"/>
  <c r="C496" i="38" s="1"/>
  <c r="D496" i="38" s="1"/>
  <c r="B474" i="38"/>
  <c r="B473" i="38"/>
  <c r="C473" i="38" s="1"/>
  <c r="D473" i="38" s="1"/>
  <c r="B472" i="38"/>
  <c r="B450" i="38"/>
  <c r="C450" i="38" s="1"/>
  <c r="B449" i="38"/>
  <c r="B448" i="38"/>
  <c r="C448" i="38" s="1"/>
  <c r="D448" i="38" s="1"/>
  <c r="B429" i="38"/>
  <c r="B428" i="38"/>
  <c r="C428" i="38" s="1"/>
  <c r="B427" i="38"/>
  <c r="C427" i="38"/>
  <c r="D427" i="38" s="1"/>
  <c r="M408" i="38"/>
  <c r="K408" i="38"/>
  <c r="B408" i="38"/>
  <c r="M407" i="38"/>
  <c r="K407" i="38"/>
  <c r="B407" i="38"/>
  <c r="C407" i="38" s="1"/>
  <c r="D407" i="38" s="1"/>
  <c r="M406" i="38"/>
  <c r="K406" i="38"/>
  <c r="B406" i="38"/>
  <c r="C406" i="38" s="1"/>
  <c r="D406" i="38" s="1"/>
  <c r="B385" i="38"/>
  <c r="C385" i="38" s="1"/>
  <c r="D385" i="38" s="1"/>
  <c r="B384" i="38"/>
  <c r="C384" i="38" s="1"/>
  <c r="D384" i="38" s="1"/>
  <c r="B383" i="38"/>
  <c r="C383" i="38" s="1"/>
  <c r="D383" i="38" s="1"/>
  <c r="B351" i="38"/>
  <c r="C351" i="38"/>
  <c r="D351" i="38"/>
  <c r="B350" i="38"/>
  <c r="C350" i="38" s="1"/>
  <c r="D350" i="38" s="1"/>
  <c r="B349" i="38"/>
  <c r="B331" i="38"/>
  <c r="B330" i="38"/>
  <c r="C330" i="38" s="1"/>
  <c r="D330" i="38" s="1"/>
  <c r="B329" i="38"/>
  <c r="C329" i="38" s="1"/>
  <c r="D329" i="38" s="1"/>
  <c r="B310" i="38"/>
  <c r="B309" i="38"/>
  <c r="C309" i="38" s="1"/>
  <c r="D309" i="38" s="1"/>
  <c r="B308" i="38"/>
  <c r="C308" i="38" s="1"/>
  <c r="D308" i="38" s="1"/>
  <c r="K229" i="38"/>
  <c r="G310" i="38" s="1"/>
  <c r="M310" i="38" s="1"/>
  <c r="B229" i="38"/>
  <c r="K228" i="38"/>
  <c r="G309" i="38" s="1"/>
  <c r="M309" i="38" s="1"/>
  <c r="B228" i="38"/>
  <c r="F228" i="38" s="1"/>
  <c r="K227" i="38"/>
  <c r="G308" i="38" s="1"/>
  <c r="M308" i="38" s="1"/>
  <c r="B227" i="38"/>
  <c r="F227" i="38" s="1"/>
  <c r="E208" i="38"/>
  <c r="I208" i="38" s="1"/>
  <c r="E207" i="38"/>
  <c r="H207" i="38" s="1"/>
  <c r="E206" i="38"/>
  <c r="B118" i="38"/>
  <c r="L118" i="38" s="1"/>
  <c r="H118" i="38"/>
  <c r="B117" i="38"/>
  <c r="B116" i="38"/>
  <c r="H116" i="38"/>
  <c r="B101" i="38"/>
  <c r="H101" i="38" s="1"/>
  <c r="B100" i="38"/>
  <c r="M100" i="38"/>
  <c r="B99" i="38"/>
  <c r="B65" i="38"/>
  <c r="J65" i="38" s="1"/>
  <c r="B64" i="38"/>
  <c r="F64" i="38" s="1"/>
  <c r="B63" i="38"/>
  <c r="J63" i="38" s="1"/>
  <c r="B456" i="22"/>
  <c r="T456" i="22" s="1"/>
  <c r="B455" i="22"/>
  <c r="B454" i="22"/>
  <c r="V454" i="22" s="1"/>
  <c r="B444" i="22"/>
  <c r="R444" i="22" s="1"/>
  <c r="B443" i="22"/>
  <c r="R443" i="22" s="1"/>
  <c r="B442" i="22"/>
  <c r="B412" i="22"/>
  <c r="X412" i="22" s="1"/>
  <c r="B411" i="22"/>
  <c r="X411" i="22" s="1"/>
  <c r="B410" i="22"/>
  <c r="X410" i="22" s="1"/>
  <c r="B390" i="22"/>
  <c r="B389" i="22"/>
  <c r="X389" i="22" s="1"/>
  <c r="B388" i="22"/>
  <c r="X388" i="22" s="1"/>
  <c r="B378" i="22"/>
  <c r="T378" i="22" s="1"/>
  <c r="B377" i="22"/>
  <c r="X377" i="22" s="1"/>
  <c r="B376" i="22"/>
  <c r="T376" i="22" s="1"/>
  <c r="O366" i="22"/>
  <c r="M366" i="22"/>
  <c r="B366" i="22"/>
  <c r="O365" i="22"/>
  <c r="M365" i="22"/>
  <c r="B365" i="22"/>
  <c r="T365" i="22" s="1"/>
  <c r="F365" i="22" s="1"/>
  <c r="O364" i="22"/>
  <c r="M364" i="22"/>
  <c r="B364" i="22"/>
  <c r="T364" i="22" s="1"/>
  <c r="F364" i="22" s="1"/>
  <c r="X364" i="22"/>
  <c r="L364" i="22" s="1"/>
  <c r="P364" i="22" s="1"/>
  <c r="B352" i="22"/>
  <c r="B351" i="22"/>
  <c r="C351" i="22" s="1"/>
  <c r="B350" i="22"/>
  <c r="C350" i="22" s="1"/>
  <c r="D350" i="22" s="1"/>
  <c r="X350" i="22"/>
  <c r="B327" i="22"/>
  <c r="T327" i="22" s="1"/>
  <c r="B326" i="22"/>
  <c r="T326" i="22" s="1"/>
  <c r="B325" i="22"/>
  <c r="X325" i="22"/>
  <c r="B316" i="22"/>
  <c r="C316" i="22" s="1"/>
  <c r="D316" i="22" s="1"/>
  <c r="B315" i="22"/>
  <c r="C315" i="22" s="1"/>
  <c r="B314" i="22"/>
  <c r="R314" i="22" s="1"/>
  <c r="B304" i="22"/>
  <c r="T304" i="22" s="1"/>
  <c r="B303" i="22"/>
  <c r="X303" i="22" s="1"/>
  <c r="B302" i="22"/>
  <c r="C302" i="22" s="1"/>
  <c r="D302" i="22" s="1"/>
  <c r="B224" i="22"/>
  <c r="F224" i="22" s="1"/>
  <c r="B223" i="22"/>
  <c r="F223" i="22" s="1"/>
  <c r="B222" i="22"/>
  <c r="F222" i="22"/>
  <c r="E210" i="22"/>
  <c r="T210" i="22" s="1"/>
  <c r="E209" i="22"/>
  <c r="W209" i="22" s="1"/>
  <c r="E208" i="22"/>
  <c r="R208" i="22" s="1"/>
  <c r="B111" i="22"/>
  <c r="M111" i="22"/>
  <c r="B110" i="22"/>
  <c r="H110" i="22" s="1"/>
  <c r="B109" i="22"/>
  <c r="T109" i="22"/>
  <c r="B103" i="22"/>
  <c r="T103" i="22" s="1"/>
  <c r="B102" i="22"/>
  <c r="T102" i="22" s="1"/>
  <c r="B101" i="22"/>
  <c r="T101" i="22"/>
  <c r="B76" i="22"/>
  <c r="B75" i="22"/>
  <c r="F75" i="22" s="1"/>
  <c r="B74" i="22"/>
  <c r="T351" i="22"/>
  <c r="X351" i="22"/>
  <c r="C365" i="22"/>
  <c r="D365" i="22" s="1"/>
  <c r="H364" i="22"/>
  <c r="T377" i="22"/>
  <c r="M110" i="22"/>
  <c r="T110" i="22"/>
  <c r="M102" i="22"/>
  <c r="N75" i="22"/>
  <c r="E75" i="22"/>
  <c r="X75" i="22" s="1"/>
  <c r="N76" i="22"/>
  <c r="T111" i="22"/>
  <c r="M101" i="22"/>
  <c r="M208" i="22"/>
  <c r="T208" i="22"/>
  <c r="E74" i="22"/>
  <c r="X74" i="22" s="1"/>
  <c r="N74" i="22"/>
  <c r="G102" i="22"/>
  <c r="E76" i="22"/>
  <c r="X76" i="22" s="1"/>
  <c r="X304" i="22"/>
  <c r="X390" i="22"/>
  <c r="T389" i="22"/>
  <c r="T412" i="22"/>
  <c r="T455" i="22"/>
  <c r="V456" i="22"/>
  <c r="M103" i="22"/>
  <c r="G110" i="22"/>
  <c r="L110" i="22"/>
  <c r="M109" i="22"/>
  <c r="L208" i="22"/>
  <c r="R224" i="22"/>
  <c r="F74" i="22"/>
  <c r="R315" i="22"/>
  <c r="T390" i="22"/>
  <c r="S74" i="22"/>
  <c r="L209" i="22"/>
  <c r="C303" i="22"/>
  <c r="D303" i="22" s="1"/>
  <c r="D315" i="22"/>
  <c r="T366" i="22"/>
  <c r="F366" i="22" s="1"/>
  <c r="B205" i="27"/>
  <c r="B182" i="27"/>
  <c r="C182" i="27" s="1"/>
  <c r="D182" i="27" s="1"/>
  <c r="B184" i="27"/>
  <c r="B161" i="27"/>
  <c r="B159" i="27"/>
  <c r="C159" i="27" s="1"/>
  <c r="D159" i="27" s="1"/>
  <c r="B160" i="27"/>
  <c r="B98" i="27"/>
  <c r="B140" i="27"/>
  <c r="B138" i="27"/>
  <c r="C138" i="27" s="1"/>
  <c r="B118" i="27"/>
  <c r="C118" i="27" s="1"/>
  <c r="D118" i="27" s="1"/>
  <c r="B119" i="27"/>
  <c r="B97" i="27"/>
  <c r="B99" i="27"/>
  <c r="C519" i="38"/>
  <c r="D519" i="38" s="1"/>
  <c r="C517" i="38"/>
  <c r="D517" i="38" s="1"/>
  <c r="C497" i="38"/>
  <c r="D497" i="38"/>
  <c r="C472" i="38"/>
  <c r="D472" i="38"/>
  <c r="C474" i="38"/>
  <c r="D474" i="38" s="1"/>
  <c r="D450" i="38"/>
  <c r="C449" i="38"/>
  <c r="D449" i="38"/>
  <c r="C429" i="38"/>
  <c r="D429" i="38" s="1"/>
  <c r="D428" i="38"/>
  <c r="C408" i="38"/>
  <c r="D408" i="38" s="1"/>
  <c r="C349" i="38"/>
  <c r="D349" i="38" s="1"/>
  <c r="C331" i="38"/>
  <c r="D331" i="38" s="1"/>
  <c r="L116" i="38"/>
  <c r="C310" i="38"/>
  <c r="D310" i="38"/>
  <c r="G118" i="38"/>
  <c r="F229" i="38"/>
  <c r="G116" i="38"/>
  <c r="G206" i="38"/>
  <c r="L206" i="38"/>
  <c r="F206" i="38"/>
  <c r="G207" i="38"/>
  <c r="M208" i="38"/>
  <c r="I207" i="38"/>
  <c r="I206" i="38"/>
  <c r="F207" i="38"/>
  <c r="K208" i="38"/>
  <c r="M116" i="38"/>
  <c r="H117" i="38"/>
  <c r="G100" i="38"/>
  <c r="H100" i="38"/>
  <c r="L100" i="38"/>
  <c r="E64" i="38"/>
  <c r="J64" i="38"/>
  <c r="T454" i="22"/>
  <c r="C456" i="22"/>
  <c r="D456" i="22" s="1"/>
  <c r="C454" i="22"/>
  <c r="D454" i="22"/>
  <c r="R442" i="22"/>
  <c r="C442" i="22"/>
  <c r="D442" i="22"/>
  <c r="C443" i="22"/>
  <c r="D443" i="22" s="1"/>
  <c r="C412" i="22"/>
  <c r="D412" i="22" s="1"/>
  <c r="C390" i="22"/>
  <c r="D390" i="22"/>
  <c r="C389" i="22"/>
  <c r="D389" i="22" s="1"/>
  <c r="C376" i="22"/>
  <c r="D376" i="22" s="1"/>
  <c r="C377" i="22"/>
  <c r="D377" i="22" s="1"/>
  <c r="C364" i="22"/>
  <c r="D364" i="22" s="1"/>
  <c r="T350" i="22"/>
  <c r="D351" i="22"/>
  <c r="T325" i="22"/>
  <c r="C325" i="22"/>
  <c r="D325" i="22" s="1"/>
  <c r="R222" i="22"/>
  <c r="F208" i="22"/>
  <c r="F210" i="22"/>
  <c r="H109" i="22"/>
  <c r="L109" i="22"/>
  <c r="L111" i="22"/>
  <c r="R109" i="22"/>
  <c r="G109" i="22"/>
  <c r="I109" i="22" s="1"/>
  <c r="N109" i="22"/>
  <c r="G111" i="22"/>
  <c r="H101" i="22"/>
  <c r="H103" i="22"/>
  <c r="R103" i="22"/>
  <c r="R101" i="22"/>
  <c r="G101" i="22"/>
  <c r="N101" i="22"/>
  <c r="G103" i="22"/>
  <c r="K103" i="22" s="1"/>
  <c r="N110" i="22"/>
  <c r="N111" i="22"/>
  <c r="N102" i="22"/>
  <c r="N103" i="22"/>
  <c r="K109" i="22"/>
  <c r="K101" i="22"/>
  <c r="I101" i="22"/>
  <c r="I103" i="22"/>
  <c r="M202" i="27"/>
  <c r="K202" i="27"/>
  <c r="M158" i="27"/>
  <c r="K158" i="27"/>
  <c r="M137" i="27"/>
  <c r="K137" i="27"/>
  <c r="M96" i="27"/>
  <c r="K96" i="27"/>
  <c r="J21" i="27"/>
  <c r="I21" i="27"/>
  <c r="H21" i="27"/>
  <c r="G21" i="27"/>
  <c r="F21" i="27"/>
  <c r="E21" i="27"/>
  <c r="D21" i="27"/>
  <c r="C21" i="27"/>
  <c r="B21" i="27"/>
  <c r="B202" i="27" s="1"/>
  <c r="B516" i="38"/>
  <c r="C516" i="38"/>
  <c r="D516" i="38"/>
  <c r="B495" i="38"/>
  <c r="C495" i="38"/>
  <c r="D495" i="38"/>
  <c r="B471" i="38"/>
  <c r="C471" i="38" s="1"/>
  <c r="D471" i="38" s="1"/>
  <c r="B447" i="38"/>
  <c r="C447" i="38"/>
  <c r="D447" i="38"/>
  <c r="B426" i="38"/>
  <c r="C426" i="38" s="1"/>
  <c r="D426" i="38" s="1"/>
  <c r="M405" i="38"/>
  <c r="K405" i="38"/>
  <c r="B405" i="38"/>
  <c r="B382" i="38"/>
  <c r="C382" i="38" s="1"/>
  <c r="D382" i="38" s="1"/>
  <c r="B348" i="38"/>
  <c r="C348" i="38"/>
  <c r="D348" i="38"/>
  <c r="B328" i="38"/>
  <c r="B307" i="38"/>
  <c r="K226" i="38"/>
  <c r="G307" i="38"/>
  <c r="M307" i="38" s="1"/>
  <c r="B226" i="38"/>
  <c r="F226" i="38"/>
  <c r="E205" i="38"/>
  <c r="H205" i="38" s="1"/>
  <c r="B115" i="38"/>
  <c r="G115" i="38" s="1"/>
  <c r="B98" i="38"/>
  <c r="H98" i="38" s="1"/>
  <c r="B62" i="38"/>
  <c r="J62" i="38" s="1"/>
  <c r="M201" i="27"/>
  <c r="K201" i="27"/>
  <c r="M157" i="27"/>
  <c r="K157" i="27"/>
  <c r="M136" i="27"/>
  <c r="K136" i="27"/>
  <c r="M95" i="27"/>
  <c r="K95" i="27"/>
  <c r="J20" i="27"/>
  <c r="I20" i="27"/>
  <c r="H20" i="27"/>
  <c r="G20" i="27"/>
  <c r="F20" i="27"/>
  <c r="E20" i="27"/>
  <c r="D20" i="27"/>
  <c r="C20" i="27"/>
  <c r="B20" i="27"/>
  <c r="B201" i="27" s="1"/>
  <c r="B515" i="38"/>
  <c r="B494" i="38"/>
  <c r="C494" i="38"/>
  <c r="D494" i="38" s="1"/>
  <c r="B470" i="38"/>
  <c r="B446" i="38"/>
  <c r="B425" i="38"/>
  <c r="C425" i="38" s="1"/>
  <c r="D425" i="38" s="1"/>
  <c r="M404" i="38"/>
  <c r="K404" i="38"/>
  <c r="B404" i="38"/>
  <c r="C404" i="38" s="1"/>
  <c r="D404" i="38" s="1"/>
  <c r="B381" i="38"/>
  <c r="B347" i="38"/>
  <c r="C347" i="38" s="1"/>
  <c r="D347" i="38" s="1"/>
  <c r="B327" i="38"/>
  <c r="B306" i="38"/>
  <c r="K225" i="38"/>
  <c r="G306" i="38"/>
  <c r="M306" i="38"/>
  <c r="B225" i="38"/>
  <c r="F225" i="38" s="1"/>
  <c r="E204" i="38"/>
  <c r="H204" i="38" s="1"/>
  <c r="B114" i="38"/>
  <c r="G114" i="38"/>
  <c r="B97" i="38"/>
  <c r="H97" i="38" s="1"/>
  <c r="B61" i="38"/>
  <c r="E61" i="38"/>
  <c r="L115" i="38"/>
  <c r="L114" i="38"/>
  <c r="B158" i="27"/>
  <c r="B96" i="27"/>
  <c r="C405" i="38"/>
  <c r="D405" i="38" s="1"/>
  <c r="C328" i="38"/>
  <c r="D328" i="38"/>
  <c r="C307" i="38"/>
  <c r="D307" i="38" s="1"/>
  <c r="G205" i="38"/>
  <c r="E62" i="38"/>
  <c r="B136" i="27"/>
  <c r="C515" i="38"/>
  <c r="D515" i="38" s="1"/>
  <c r="C470" i="38"/>
  <c r="D470" i="38" s="1"/>
  <c r="C446" i="38"/>
  <c r="D446" i="38" s="1"/>
  <c r="C381" i="38"/>
  <c r="D381" i="38" s="1"/>
  <c r="C327" i="38"/>
  <c r="D327" i="38" s="1"/>
  <c r="C306" i="38"/>
  <c r="D306" i="38" s="1"/>
  <c r="L204" i="38"/>
  <c r="M204" i="38"/>
  <c r="F204" i="38"/>
  <c r="I204" i="38"/>
  <c r="G204" i="38"/>
  <c r="K204" i="38"/>
  <c r="J61" i="38"/>
  <c r="F61" i="38"/>
  <c r="M200" i="27"/>
  <c r="K200" i="27"/>
  <c r="M156" i="27"/>
  <c r="K156" i="27"/>
  <c r="M135" i="27"/>
  <c r="K135" i="27"/>
  <c r="M94" i="27"/>
  <c r="K94" i="27"/>
  <c r="J19" i="27"/>
  <c r="I19" i="27"/>
  <c r="H19" i="27"/>
  <c r="G19" i="27"/>
  <c r="F19" i="27"/>
  <c r="E19" i="27"/>
  <c r="D19" i="27"/>
  <c r="C19" i="27"/>
  <c r="B19" i="27"/>
  <c r="B115" i="27" s="1"/>
  <c r="B514" i="38"/>
  <c r="C514" i="38" s="1"/>
  <c r="D514" i="38" s="1"/>
  <c r="B493" i="38"/>
  <c r="C493" i="38" s="1"/>
  <c r="D493" i="38" s="1"/>
  <c r="B469" i="38"/>
  <c r="C469" i="38" s="1"/>
  <c r="D469" i="38" s="1"/>
  <c r="B445" i="38"/>
  <c r="B424" i="38"/>
  <c r="C424" i="38" s="1"/>
  <c r="D424" i="38" s="1"/>
  <c r="M403" i="38"/>
  <c r="K403" i="38"/>
  <c r="B403" i="38"/>
  <c r="C403" i="38"/>
  <c r="D403" i="38"/>
  <c r="B380" i="38"/>
  <c r="C380" i="38" s="1"/>
  <c r="D380" i="38" s="1"/>
  <c r="B346" i="38"/>
  <c r="B326" i="38"/>
  <c r="C326" i="38" s="1"/>
  <c r="D326" i="38" s="1"/>
  <c r="B305" i="38"/>
  <c r="C305" i="38" s="1"/>
  <c r="D305" i="38" s="1"/>
  <c r="K224" i="38"/>
  <c r="G305" i="38" s="1"/>
  <c r="M305" i="38" s="1"/>
  <c r="B224" i="38"/>
  <c r="F224" i="38" s="1"/>
  <c r="E203" i="38"/>
  <c r="L203" i="38" s="1"/>
  <c r="B113" i="38"/>
  <c r="M113" i="38" s="1"/>
  <c r="B96" i="38"/>
  <c r="G96" i="38"/>
  <c r="B60" i="38"/>
  <c r="E60" i="38" s="1"/>
  <c r="H113" i="38"/>
  <c r="H96" i="38"/>
  <c r="B200" i="27"/>
  <c r="B94" i="27"/>
  <c r="C445" i="38"/>
  <c r="D445" i="38" s="1"/>
  <c r="C346" i="38"/>
  <c r="D346" i="38" s="1"/>
  <c r="F203" i="38"/>
  <c r="I203" i="38"/>
  <c r="J60" i="38"/>
  <c r="F60" i="38"/>
  <c r="M199" i="27"/>
  <c r="K199" i="27"/>
  <c r="M155" i="27"/>
  <c r="K155" i="27"/>
  <c r="M134" i="27"/>
  <c r="K134" i="27"/>
  <c r="M93" i="27"/>
  <c r="K93" i="27"/>
  <c r="J18" i="27"/>
  <c r="I18" i="27"/>
  <c r="H18" i="27"/>
  <c r="G18" i="27"/>
  <c r="F18" i="27"/>
  <c r="E18" i="27"/>
  <c r="D18" i="27"/>
  <c r="C18" i="27"/>
  <c r="B18" i="27"/>
  <c r="B513" i="38"/>
  <c r="C513" i="38" s="1"/>
  <c r="B492" i="38"/>
  <c r="C492" i="38" s="1"/>
  <c r="D492" i="38" s="1"/>
  <c r="B468" i="38"/>
  <c r="C468" i="38" s="1"/>
  <c r="D468" i="38" s="1"/>
  <c r="B444" i="38"/>
  <c r="B423" i="38"/>
  <c r="C423" i="38" s="1"/>
  <c r="D423" i="38" s="1"/>
  <c r="M402" i="38"/>
  <c r="K402" i="38"/>
  <c r="B402" i="38"/>
  <c r="B379" i="38"/>
  <c r="C379" i="38" s="1"/>
  <c r="B345" i="38"/>
  <c r="B325" i="38"/>
  <c r="C325" i="38" s="1"/>
  <c r="D325" i="38" s="1"/>
  <c r="B304" i="38"/>
  <c r="K223" i="38"/>
  <c r="G304" i="38" s="1"/>
  <c r="B223" i="38"/>
  <c r="F223" i="38" s="1"/>
  <c r="E202" i="38"/>
  <c r="L202" i="38" s="1"/>
  <c r="B112" i="38"/>
  <c r="H112" i="38" s="1"/>
  <c r="B95" i="38"/>
  <c r="L95" i="38" s="1"/>
  <c r="B59" i="38"/>
  <c r="L112" i="38"/>
  <c r="B134" i="27"/>
  <c r="B93" i="27"/>
  <c r="D513" i="38"/>
  <c r="C444" i="38"/>
  <c r="D444" i="38" s="1"/>
  <c r="C402" i="38"/>
  <c r="D402" i="38" s="1"/>
  <c r="D379" i="38"/>
  <c r="C345" i="38"/>
  <c r="D345" i="38" s="1"/>
  <c r="C304" i="38"/>
  <c r="D304" i="38"/>
  <c r="H202" i="38"/>
  <c r="F202" i="38"/>
  <c r="M112" i="38"/>
  <c r="M198" i="27"/>
  <c r="K198" i="27"/>
  <c r="M197" i="27"/>
  <c r="K197" i="27"/>
  <c r="M154" i="27"/>
  <c r="K154" i="27"/>
  <c r="M153" i="27"/>
  <c r="K153" i="27"/>
  <c r="M133" i="27"/>
  <c r="K133" i="27"/>
  <c r="M132" i="27"/>
  <c r="K132" i="27"/>
  <c r="M92" i="27"/>
  <c r="K92" i="27"/>
  <c r="M91" i="27"/>
  <c r="K91" i="27"/>
  <c r="J17" i="27"/>
  <c r="I17" i="27"/>
  <c r="H17" i="27"/>
  <c r="G17" i="27"/>
  <c r="F17" i="27"/>
  <c r="E17" i="27"/>
  <c r="D17" i="27"/>
  <c r="C17" i="27"/>
  <c r="B17" i="27"/>
  <c r="J16" i="27"/>
  <c r="I16" i="27"/>
  <c r="H16" i="27"/>
  <c r="G16" i="27"/>
  <c r="F16" i="27"/>
  <c r="E16" i="27"/>
  <c r="D16" i="27"/>
  <c r="C16" i="27"/>
  <c r="B16" i="27"/>
  <c r="B132" i="27" s="1"/>
  <c r="B512" i="38"/>
  <c r="C512" i="38" s="1"/>
  <c r="D512" i="38" s="1"/>
  <c r="B511" i="38"/>
  <c r="C511" i="38" s="1"/>
  <c r="D511" i="38" s="1"/>
  <c r="B491" i="38"/>
  <c r="C491" i="38"/>
  <c r="D491" i="38"/>
  <c r="B490" i="38"/>
  <c r="B467" i="38"/>
  <c r="B466" i="38"/>
  <c r="C466" i="38" s="1"/>
  <c r="D466" i="38" s="1"/>
  <c r="B443" i="38"/>
  <c r="C443" i="38" s="1"/>
  <c r="D443" i="38" s="1"/>
  <c r="B442" i="38"/>
  <c r="B422" i="38"/>
  <c r="C422" i="38"/>
  <c r="D422" i="38"/>
  <c r="B421" i="38"/>
  <c r="C421" i="38" s="1"/>
  <c r="D421" i="38" s="1"/>
  <c r="M401" i="38"/>
  <c r="K401" i="38"/>
  <c r="B401" i="38"/>
  <c r="C401" i="38" s="1"/>
  <c r="D401" i="38" s="1"/>
  <c r="M400" i="38"/>
  <c r="K400" i="38"/>
  <c r="B400" i="38"/>
  <c r="B378" i="38"/>
  <c r="C378" i="38" s="1"/>
  <c r="D378" i="38" s="1"/>
  <c r="B377" i="38"/>
  <c r="C377" i="38" s="1"/>
  <c r="D377" i="38"/>
  <c r="B344" i="38"/>
  <c r="B343" i="38"/>
  <c r="C343" i="38" s="1"/>
  <c r="D343" i="38"/>
  <c r="B324" i="38"/>
  <c r="C324" i="38" s="1"/>
  <c r="D324" i="38" s="1"/>
  <c r="B323" i="38"/>
  <c r="B303" i="38"/>
  <c r="C303" i="38" s="1"/>
  <c r="D303" i="38" s="1"/>
  <c r="B302" i="38"/>
  <c r="C302" i="38" s="1"/>
  <c r="D302" i="38" s="1"/>
  <c r="K222" i="38"/>
  <c r="G303" i="38" s="1"/>
  <c r="M303" i="38" s="1"/>
  <c r="B222" i="38"/>
  <c r="K221" i="38"/>
  <c r="G302" i="38" s="1"/>
  <c r="B221" i="38"/>
  <c r="F221" i="38" s="1"/>
  <c r="E201" i="38"/>
  <c r="L201" i="38" s="1"/>
  <c r="E200" i="38"/>
  <c r="H200" i="38" s="1"/>
  <c r="K200" i="38"/>
  <c r="B111" i="38"/>
  <c r="G111" i="38" s="1"/>
  <c r="B110" i="38"/>
  <c r="M110" i="38" s="1"/>
  <c r="L110" i="38"/>
  <c r="B94" i="38"/>
  <c r="G94" i="38" s="1"/>
  <c r="B93" i="38"/>
  <c r="H93" i="38" s="1"/>
  <c r="M93" i="38"/>
  <c r="B58" i="38"/>
  <c r="E58" i="38" s="1"/>
  <c r="B57" i="38"/>
  <c r="M196" i="27"/>
  <c r="K196" i="27"/>
  <c r="M152" i="27"/>
  <c r="K152" i="27"/>
  <c r="M131" i="27"/>
  <c r="K131" i="27"/>
  <c r="M90" i="27"/>
  <c r="K90" i="27"/>
  <c r="J15" i="27"/>
  <c r="I15" i="27"/>
  <c r="H15" i="27"/>
  <c r="G15" i="27"/>
  <c r="F15" i="27"/>
  <c r="E15" i="27"/>
  <c r="D15" i="27"/>
  <c r="C15" i="27"/>
  <c r="B15" i="27"/>
  <c r="B196" i="27" s="1"/>
  <c r="B131" i="27"/>
  <c r="B510" i="38"/>
  <c r="C510" i="38" s="1"/>
  <c r="D510" i="38" s="1"/>
  <c r="B489" i="38"/>
  <c r="B465" i="38"/>
  <c r="B441" i="38"/>
  <c r="C441" i="38" s="1"/>
  <c r="D441" i="38" s="1"/>
  <c r="B420" i="38"/>
  <c r="C420" i="38" s="1"/>
  <c r="D420" i="38" s="1"/>
  <c r="M399" i="38"/>
  <c r="K399" i="38"/>
  <c r="B399" i="38"/>
  <c r="C399" i="38" s="1"/>
  <c r="D399" i="38" s="1"/>
  <c r="B376" i="38"/>
  <c r="C376" i="38" s="1"/>
  <c r="D376" i="38" s="1"/>
  <c r="B342" i="38"/>
  <c r="C342" i="38" s="1"/>
  <c r="D342" i="38" s="1"/>
  <c r="B322" i="38"/>
  <c r="C322" i="38" s="1"/>
  <c r="D322" i="38" s="1"/>
  <c r="B301" i="38"/>
  <c r="C301" i="38" s="1"/>
  <c r="D301" i="38" s="1"/>
  <c r="K220" i="38"/>
  <c r="G301" i="38" s="1"/>
  <c r="M301" i="38" s="1"/>
  <c r="B220" i="38"/>
  <c r="F220" i="38"/>
  <c r="E199" i="38"/>
  <c r="H199" i="38" s="1"/>
  <c r="B109" i="38"/>
  <c r="B92" i="38"/>
  <c r="H92" i="38"/>
  <c r="B56" i="38"/>
  <c r="E56" i="38" s="1"/>
  <c r="C203" i="27"/>
  <c r="D203" i="27" s="1"/>
  <c r="C97" i="27"/>
  <c r="D97" i="27"/>
  <c r="D138" i="27"/>
  <c r="L109" i="38"/>
  <c r="M304" i="38"/>
  <c r="B197" i="27"/>
  <c r="B198" i="27"/>
  <c r="C490" i="38"/>
  <c r="D490" i="38" s="1"/>
  <c r="C467" i="38"/>
  <c r="D467" i="38"/>
  <c r="C442" i="38"/>
  <c r="D442" i="38"/>
  <c r="C400" i="38"/>
  <c r="D400" i="38"/>
  <c r="C344" i="38"/>
  <c r="D344" i="38" s="1"/>
  <c r="C323" i="38"/>
  <c r="D323" i="38" s="1"/>
  <c r="M302" i="38"/>
  <c r="H201" i="38"/>
  <c r="F222" i="38"/>
  <c r="G200" i="38"/>
  <c r="I201" i="38"/>
  <c r="M201" i="38"/>
  <c r="M200" i="38"/>
  <c r="F201" i="38"/>
  <c r="J201" i="38"/>
  <c r="J200" i="38"/>
  <c r="G201" i="38"/>
  <c r="K201" i="38"/>
  <c r="G110" i="38"/>
  <c r="H110" i="38"/>
  <c r="G93" i="38"/>
  <c r="M94" i="38"/>
  <c r="L93" i="38"/>
  <c r="J58" i="38"/>
  <c r="J57" i="38"/>
  <c r="F57" i="38"/>
  <c r="E57" i="38"/>
  <c r="B152" i="27"/>
  <c r="B111" i="27"/>
  <c r="B90" i="27"/>
  <c r="C489" i="38"/>
  <c r="D489" i="38"/>
  <c r="C465" i="38"/>
  <c r="D465" i="38" s="1"/>
  <c r="M199" i="38"/>
  <c r="L199" i="38"/>
  <c r="M109" i="38"/>
  <c r="J56" i="38"/>
  <c r="M182" i="27"/>
  <c r="M195" i="27"/>
  <c r="K195" i="27"/>
  <c r="M151" i="27"/>
  <c r="K151" i="27"/>
  <c r="M130" i="27"/>
  <c r="K130" i="27"/>
  <c r="M89" i="27"/>
  <c r="K89" i="27"/>
  <c r="J14" i="27"/>
  <c r="I14" i="27"/>
  <c r="H14" i="27"/>
  <c r="G14" i="27"/>
  <c r="F14" i="27"/>
  <c r="E14" i="27"/>
  <c r="D14" i="27"/>
  <c r="C14" i="27"/>
  <c r="B14" i="27"/>
  <c r="B195" i="27" s="1"/>
  <c r="B130" i="27"/>
  <c r="B509" i="38"/>
  <c r="C509" i="38" s="1"/>
  <c r="D509" i="38" s="1"/>
  <c r="B488" i="38"/>
  <c r="C488" i="38"/>
  <c r="D488" i="38" s="1"/>
  <c r="B464" i="38"/>
  <c r="C464" i="38" s="1"/>
  <c r="D464" i="38" s="1"/>
  <c r="B440" i="38"/>
  <c r="C440" i="38"/>
  <c r="D440" i="38" s="1"/>
  <c r="B419" i="38"/>
  <c r="C419" i="38"/>
  <c r="D419" i="38" s="1"/>
  <c r="M398" i="38"/>
  <c r="K398" i="38"/>
  <c r="B398" i="38"/>
  <c r="C398" i="38" s="1"/>
  <c r="D398" i="38" s="1"/>
  <c r="B375" i="38"/>
  <c r="C375" i="38" s="1"/>
  <c r="D375" i="38" s="1"/>
  <c r="B341" i="38"/>
  <c r="C341" i="38"/>
  <c r="D341" i="38" s="1"/>
  <c r="B321" i="38"/>
  <c r="C321" i="38" s="1"/>
  <c r="D321" i="38" s="1"/>
  <c r="B300" i="38"/>
  <c r="K219" i="38"/>
  <c r="G300" i="38" s="1"/>
  <c r="M300" i="38" s="1"/>
  <c r="B219" i="38"/>
  <c r="F219" i="38" s="1"/>
  <c r="E198" i="38"/>
  <c r="L198" i="38" s="1"/>
  <c r="H198" i="38"/>
  <c r="B108" i="38"/>
  <c r="B91" i="38"/>
  <c r="G91" i="38"/>
  <c r="B55" i="38"/>
  <c r="E55" i="38" s="1"/>
  <c r="M194" i="27"/>
  <c r="K194" i="27"/>
  <c r="M150" i="27"/>
  <c r="K150" i="27"/>
  <c r="M129" i="27"/>
  <c r="K129" i="27"/>
  <c r="M88" i="27"/>
  <c r="K88" i="27"/>
  <c r="J13" i="27"/>
  <c r="I13" i="27"/>
  <c r="H13" i="27"/>
  <c r="G13" i="27"/>
  <c r="F13" i="27"/>
  <c r="E13" i="27"/>
  <c r="D13" i="27"/>
  <c r="C13" i="27"/>
  <c r="B13" i="27"/>
  <c r="B88" i="27"/>
  <c r="B508" i="38"/>
  <c r="B487" i="38"/>
  <c r="C487" i="38" s="1"/>
  <c r="D487" i="38" s="1"/>
  <c r="B463" i="38"/>
  <c r="C463" i="38" s="1"/>
  <c r="D463" i="38" s="1"/>
  <c r="B439" i="38"/>
  <c r="B418" i="38"/>
  <c r="M397" i="38"/>
  <c r="K397" i="38"/>
  <c r="B397" i="38"/>
  <c r="C397" i="38" s="1"/>
  <c r="D397" i="38" s="1"/>
  <c r="B374" i="38"/>
  <c r="C374" i="38" s="1"/>
  <c r="D374" i="38" s="1"/>
  <c r="B340" i="38"/>
  <c r="B320" i="38"/>
  <c r="C320" i="38" s="1"/>
  <c r="D320" i="38" s="1"/>
  <c r="B299" i="38"/>
  <c r="C299" i="38" s="1"/>
  <c r="D299" i="38" s="1"/>
  <c r="K218" i="38"/>
  <c r="G299" i="38"/>
  <c r="B218" i="38"/>
  <c r="F218" i="38"/>
  <c r="E197" i="38"/>
  <c r="H197" i="38" s="1"/>
  <c r="B107" i="38"/>
  <c r="M107" i="38" s="1"/>
  <c r="B90" i="38"/>
  <c r="G90" i="38" s="1"/>
  <c r="B54" i="38"/>
  <c r="J54" i="38" s="1"/>
  <c r="E54" i="38"/>
  <c r="L91" i="38"/>
  <c r="H91" i="38"/>
  <c r="B174" i="27"/>
  <c r="B110" i="27"/>
  <c r="B89" i="27"/>
  <c r="B194" i="27"/>
  <c r="C300" i="38"/>
  <c r="D300" i="38" s="1"/>
  <c r="I198" i="38"/>
  <c r="J198" i="38"/>
  <c r="G198" i="38"/>
  <c r="M91" i="38"/>
  <c r="B173" i="27"/>
  <c r="B150" i="27"/>
  <c r="B129" i="27"/>
  <c r="B109" i="27"/>
  <c r="C508" i="38"/>
  <c r="D508" i="38" s="1"/>
  <c r="C439" i="38"/>
  <c r="D439" i="38" s="1"/>
  <c r="C418" i="38"/>
  <c r="D418" i="38"/>
  <c r="C340" i="38"/>
  <c r="D340" i="38" s="1"/>
  <c r="I197" i="38"/>
  <c r="M197" i="38"/>
  <c r="G197" i="38"/>
  <c r="K197" i="38"/>
  <c r="K219" i="22"/>
  <c r="G299" i="22" s="1"/>
  <c r="K220" i="22"/>
  <c r="G300" i="22" s="1"/>
  <c r="AA75" i="29"/>
  <c r="AB75" i="29" s="1"/>
  <c r="AA74" i="29"/>
  <c r="AB74" i="29"/>
  <c r="AA73" i="29"/>
  <c r="AB73" i="29" s="1"/>
  <c r="AA84" i="29"/>
  <c r="AB84" i="29"/>
  <c r="AA83" i="29"/>
  <c r="AB83" i="29" s="1"/>
  <c r="AA82" i="29"/>
  <c r="AB82" i="29"/>
  <c r="AA93" i="29"/>
  <c r="AB93" i="29" s="1"/>
  <c r="AA92" i="29"/>
  <c r="AB92" i="29" s="1"/>
  <c r="AA91" i="29"/>
  <c r="AB91" i="29" s="1"/>
  <c r="Y186" i="22"/>
  <c r="Y184" i="22"/>
  <c r="Y190" i="22"/>
  <c r="Y150" i="22"/>
  <c r="Y182" i="22"/>
  <c r="Y178" i="22"/>
  <c r="C87" i="16"/>
  <c r="D9" i="15"/>
  <c r="C34" i="16"/>
  <c r="C48" i="16"/>
  <c r="C69" i="16"/>
  <c r="B299" i="22"/>
  <c r="X299" i="22" s="1"/>
  <c r="BL8" i="51"/>
  <c r="BL10" i="51"/>
  <c r="BL12" i="51"/>
  <c r="B98" i="22"/>
  <c r="W146" i="22"/>
  <c r="W148" i="22"/>
  <c r="W152" i="22"/>
  <c r="W154" i="22"/>
  <c r="W160" i="22"/>
  <c r="W164" i="22"/>
  <c r="W166" i="22"/>
  <c r="W168" i="22"/>
  <c r="W170" i="22"/>
  <c r="W174" i="22"/>
  <c r="W178" i="22"/>
  <c r="W182" i="22"/>
  <c r="W150" i="22"/>
  <c r="W190" i="22"/>
  <c r="W172" i="22"/>
  <c r="W184" i="22"/>
  <c r="W186" i="22"/>
  <c r="W192" i="22"/>
  <c r="W158" i="22"/>
  <c r="W156" i="22"/>
  <c r="W196" i="22"/>
  <c r="W162" i="22"/>
  <c r="V152" i="22"/>
  <c r="V154" i="22"/>
  <c r="V160" i="22"/>
  <c r="V164" i="22"/>
  <c r="V166" i="22"/>
  <c r="V168" i="22"/>
  <c r="V170" i="22"/>
  <c r="V174" i="22"/>
  <c r="V192" i="22"/>
  <c r="V158" i="22"/>
  <c r="V156" i="22"/>
  <c r="Y92" i="22"/>
  <c r="Y93" i="22"/>
  <c r="Y94" i="22"/>
  <c r="Y95" i="22"/>
  <c r="Z92" i="22"/>
  <c r="X92" i="22" s="1"/>
  <c r="Z93" i="22"/>
  <c r="X93" i="22"/>
  <c r="Z94" i="22"/>
  <c r="X94" i="22" s="1"/>
  <c r="Z95" i="22"/>
  <c r="X95" i="22" s="1"/>
  <c r="B311" i="22"/>
  <c r="B300" i="22"/>
  <c r="B323" i="22"/>
  <c r="B99" i="22"/>
  <c r="B312" i="22"/>
  <c r="C312" i="22" s="1"/>
  <c r="D312" i="22" s="1"/>
  <c r="B313" i="22"/>
  <c r="B301" i="22"/>
  <c r="B324" i="22"/>
  <c r="X324" i="22" s="1"/>
  <c r="B100" i="22"/>
  <c r="T100" i="22"/>
  <c r="B451" i="22"/>
  <c r="B385" i="22"/>
  <c r="B373" i="22"/>
  <c r="B347" i="22"/>
  <c r="B452" i="22"/>
  <c r="V452" i="22" s="1"/>
  <c r="B386" i="22"/>
  <c r="B374" i="22"/>
  <c r="X374" i="22"/>
  <c r="B348" i="22"/>
  <c r="B453" i="22"/>
  <c r="B387" i="22"/>
  <c r="B375" i="22"/>
  <c r="B349" i="22"/>
  <c r="G30" i="2"/>
  <c r="B340" i="22"/>
  <c r="C340" i="22"/>
  <c r="D340" i="22" s="1"/>
  <c r="B71" i="22"/>
  <c r="B407" i="22"/>
  <c r="B72" i="22"/>
  <c r="B408" i="22"/>
  <c r="B409" i="22"/>
  <c r="B108" i="22"/>
  <c r="B73" i="22"/>
  <c r="N73" i="22"/>
  <c r="K305" i="22"/>
  <c r="AF240" i="22"/>
  <c r="AF238" i="22"/>
  <c r="BK10" i="51"/>
  <c r="BG10" i="51"/>
  <c r="BK8" i="51"/>
  <c r="BK6" i="51"/>
  <c r="S241" i="22"/>
  <c r="BU9" i="51"/>
  <c r="F154" i="22"/>
  <c r="F155" i="22"/>
  <c r="T155" i="22"/>
  <c r="F152" i="22"/>
  <c r="F153" i="22"/>
  <c r="T153" i="22" s="1"/>
  <c r="F148" i="22"/>
  <c r="F149" i="22"/>
  <c r="T149" i="22" s="1"/>
  <c r="F146" i="22"/>
  <c r="F147" i="22"/>
  <c r="BK50" i="51"/>
  <c r="BG50" i="51" s="1"/>
  <c r="BK18" i="51"/>
  <c r="BK48" i="51"/>
  <c r="BG48" i="51" s="1"/>
  <c r="BK14" i="51"/>
  <c r="BK46" i="51"/>
  <c r="BK44" i="51"/>
  <c r="BG44" i="51" s="1"/>
  <c r="BK42" i="51"/>
  <c r="BG42" i="51" s="1"/>
  <c r="BK40" i="51"/>
  <c r="BG40" i="51"/>
  <c r="BK38" i="51"/>
  <c r="BG38" i="51" s="1"/>
  <c r="BK36" i="51"/>
  <c r="BG36" i="51"/>
  <c r="BK34" i="51"/>
  <c r="BK32" i="51"/>
  <c r="BG32" i="51"/>
  <c r="BK30" i="51"/>
  <c r="BG30" i="51"/>
  <c r="BK28" i="51"/>
  <c r="BK26" i="51"/>
  <c r="BK24" i="51"/>
  <c r="BK22" i="51"/>
  <c r="BK20" i="51"/>
  <c r="BK16" i="51"/>
  <c r="BK12" i="51"/>
  <c r="R241" i="22"/>
  <c r="BT9" i="51" s="1"/>
  <c r="S149" i="22"/>
  <c r="R149" i="22"/>
  <c r="L117" i="10"/>
  <c r="R69" i="2"/>
  <c r="B3" i="64" s="1"/>
  <c r="S69" i="2"/>
  <c r="B4" i="64" s="1"/>
  <c r="T69" i="2"/>
  <c r="U69" i="2"/>
  <c r="B6" i="64" s="1"/>
  <c r="F8" i="64" s="1"/>
  <c r="T75" i="2"/>
  <c r="R9" i="2"/>
  <c r="B20" i="2"/>
  <c r="W49" i="42"/>
  <c r="W48" i="42"/>
  <c r="U49" i="42"/>
  <c r="U48" i="42"/>
  <c r="S49" i="42"/>
  <c r="S48" i="42"/>
  <c r="Q49" i="42"/>
  <c r="Q48" i="42"/>
  <c r="Q4" i="42"/>
  <c r="R7" i="2"/>
  <c r="P9" i="15"/>
  <c r="T5" i="53"/>
  <c r="T6" i="53"/>
  <c r="T7" i="53"/>
  <c r="T8" i="53"/>
  <c r="T9" i="53"/>
  <c r="T10" i="53"/>
  <c r="T11" i="53"/>
  <c r="T12" i="53"/>
  <c r="T4" i="53"/>
  <c r="E23" i="3"/>
  <c r="J17" i="3"/>
  <c r="M100" i="16"/>
  <c r="M86" i="16"/>
  <c r="M68" i="16"/>
  <c r="M47" i="16"/>
  <c r="M33" i="16"/>
  <c r="M9" i="16"/>
  <c r="J9" i="15"/>
  <c r="P42" i="13"/>
  <c r="P8" i="13"/>
  <c r="T169" i="10"/>
  <c r="T155" i="10"/>
  <c r="T139" i="10"/>
  <c r="N98" i="7"/>
  <c r="N88" i="7"/>
  <c r="N78" i="7"/>
  <c r="N58" i="7"/>
  <c r="Q74" i="8"/>
  <c r="Q65" i="8"/>
  <c r="I50" i="13"/>
  <c r="AP16" i="15"/>
  <c r="AP18" i="15"/>
  <c r="L29" i="15"/>
  <c r="L30" i="15"/>
  <c r="AO21" i="15"/>
  <c r="J21" i="15"/>
  <c r="L26" i="15"/>
  <c r="H5" i="38"/>
  <c r="AO33" i="15"/>
  <c r="AO32" i="15"/>
  <c r="AO31" i="15"/>
  <c r="J63" i="15"/>
  <c r="J60" i="15"/>
  <c r="J58" i="15"/>
  <c r="J56" i="15"/>
  <c r="J54" i="15"/>
  <c r="J52" i="15"/>
  <c r="J50" i="15"/>
  <c r="J48" i="15"/>
  <c r="J46" i="15"/>
  <c r="J44" i="15"/>
  <c r="J42" i="15"/>
  <c r="J40" i="15"/>
  <c r="J38" i="15"/>
  <c r="J33" i="15"/>
  <c r="J32" i="15"/>
  <c r="J31" i="15"/>
  <c r="B70" i="51"/>
  <c r="F100" i="16"/>
  <c r="F86" i="16"/>
  <c r="F68" i="16"/>
  <c r="F47" i="16"/>
  <c r="F33" i="16"/>
  <c r="A151" i="51"/>
  <c r="AN9" i="15"/>
  <c r="CP27" i="33"/>
  <c r="K59" i="4"/>
  <c r="O59" i="4"/>
  <c r="P59" i="4"/>
  <c r="R59" i="4"/>
  <c r="T59" i="4" s="1"/>
  <c r="S59" i="4"/>
  <c r="U59" i="4" s="1"/>
  <c r="AA36" i="29"/>
  <c r="AB36" i="29" s="1"/>
  <c r="AA35" i="29"/>
  <c r="AB35" i="29" s="1"/>
  <c r="AA34" i="29"/>
  <c r="AB34" i="29" s="1"/>
  <c r="I9" i="15"/>
  <c r="S92" i="12"/>
  <c r="S93" i="12"/>
  <c r="S94" i="12"/>
  <c r="S95" i="12"/>
  <c r="B114" i="12"/>
  <c r="I37" i="42"/>
  <c r="I11" i="42"/>
  <c r="I72" i="42"/>
  <c r="J30" i="14"/>
  <c r="AB163" i="51" s="1"/>
  <c r="AC163" i="51" s="1"/>
  <c r="J31" i="14"/>
  <c r="O106" i="10"/>
  <c r="AC58" i="46"/>
  <c r="AC57" i="46"/>
  <c r="AC56" i="46"/>
  <c r="AC55" i="46"/>
  <c r="AC54" i="46"/>
  <c r="AC53" i="46"/>
  <c r="AC52" i="46"/>
  <c r="AC51" i="46"/>
  <c r="AC50" i="46"/>
  <c r="AC49" i="46"/>
  <c r="AC48" i="46"/>
  <c r="AC47" i="46"/>
  <c r="AC46" i="46"/>
  <c r="AC45" i="46"/>
  <c r="AC44" i="46"/>
  <c r="AC43" i="46"/>
  <c r="AC42" i="46"/>
  <c r="AC41" i="46"/>
  <c r="AC40" i="46"/>
  <c r="AC39" i="46"/>
  <c r="AC38" i="46"/>
  <c r="AC37" i="46"/>
  <c r="AC36" i="46"/>
  <c r="AC35" i="46"/>
  <c r="AC34" i="46"/>
  <c r="AC33" i="46"/>
  <c r="AC58" i="43"/>
  <c r="AC57" i="43"/>
  <c r="AC56" i="43"/>
  <c r="AC55" i="43"/>
  <c r="AC54" i="43"/>
  <c r="AC53" i="43"/>
  <c r="AC52" i="43"/>
  <c r="AC51" i="43"/>
  <c r="AC50" i="43"/>
  <c r="AC49" i="43"/>
  <c r="AC48" i="43"/>
  <c r="AC47" i="43"/>
  <c r="AC46" i="43"/>
  <c r="AC45" i="43"/>
  <c r="AC44" i="43"/>
  <c r="AC43" i="43"/>
  <c r="AC42" i="43"/>
  <c r="AC41" i="43"/>
  <c r="AC40" i="43"/>
  <c r="AC39" i="43"/>
  <c r="AC38" i="43"/>
  <c r="AC37" i="43"/>
  <c r="AC36" i="43"/>
  <c r="AC35" i="43"/>
  <c r="AC34" i="43"/>
  <c r="AC33" i="43"/>
  <c r="AO11" i="15"/>
  <c r="J14" i="15"/>
  <c r="J32" i="14"/>
  <c r="AO14" i="15"/>
  <c r="F31" i="7"/>
  <c r="F48" i="7"/>
  <c r="G42" i="13"/>
  <c r="C354" i="26"/>
  <c r="F9" i="16"/>
  <c r="G53" i="13"/>
  <c r="G8" i="13"/>
  <c r="J169" i="10"/>
  <c r="I155" i="10"/>
  <c r="I139" i="10"/>
  <c r="F98" i="7"/>
  <c r="F88" i="7"/>
  <c r="F78" i="7"/>
  <c r="F68" i="7"/>
  <c r="F58" i="7"/>
  <c r="F74" i="8"/>
  <c r="F65" i="8"/>
  <c r="B52" i="8"/>
  <c r="I34" i="15"/>
  <c r="J19" i="15"/>
  <c r="J15" i="15"/>
  <c r="I105" i="42"/>
  <c r="I105" i="11"/>
  <c r="S78" i="8"/>
  <c r="U103" i="7"/>
  <c r="F103" i="7"/>
  <c r="V103" i="7"/>
  <c r="G103" i="7" s="1"/>
  <c r="F148" i="10"/>
  <c r="B19" i="7"/>
  <c r="F32" i="46"/>
  <c r="B32" i="46"/>
  <c r="F31" i="46"/>
  <c r="B31" i="46"/>
  <c r="F30" i="46"/>
  <c r="B30" i="46"/>
  <c r="AC29" i="46"/>
  <c r="F29" i="46"/>
  <c r="B29" i="46"/>
  <c r="AC28" i="46"/>
  <c r="F28" i="46"/>
  <c r="B28" i="46"/>
  <c r="AC27" i="46"/>
  <c r="F27" i="46"/>
  <c r="B27" i="46"/>
  <c r="AC26" i="46"/>
  <c r="F26" i="46"/>
  <c r="B26" i="46"/>
  <c r="AC25" i="46"/>
  <c r="F25" i="46"/>
  <c r="AC24" i="46"/>
  <c r="F24" i="46"/>
  <c r="AC23" i="46"/>
  <c r="F23" i="46"/>
  <c r="AC22" i="46"/>
  <c r="H22" i="46"/>
  <c r="F22" i="46"/>
  <c r="AC21" i="46"/>
  <c r="H21" i="46"/>
  <c r="F21" i="46"/>
  <c r="AC20" i="46"/>
  <c r="H20" i="46"/>
  <c r="F20" i="46"/>
  <c r="AC19" i="46"/>
  <c r="F19" i="46"/>
  <c r="E19" i="46"/>
  <c r="D19" i="46"/>
  <c r="AC18" i="46"/>
  <c r="F18" i="46"/>
  <c r="AC17" i="46"/>
  <c r="F17" i="46"/>
  <c r="E17" i="46"/>
  <c r="D17" i="46"/>
  <c r="AC16" i="46"/>
  <c r="F16" i="46"/>
  <c r="AC15" i="46"/>
  <c r="F15" i="46"/>
  <c r="E15" i="46"/>
  <c r="D15" i="46"/>
  <c r="AC14" i="46"/>
  <c r="F14" i="46"/>
  <c r="AC13" i="46"/>
  <c r="F13" i="46"/>
  <c r="E13" i="46"/>
  <c r="D13" i="46"/>
  <c r="AC12" i="46"/>
  <c r="F12" i="46"/>
  <c r="AC11" i="46"/>
  <c r="L11" i="46"/>
  <c r="F11" i="46"/>
  <c r="E11" i="46"/>
  <c r="D11" i="46"/>
  <c r="AC10" i="46"/>
  <c r="AC9" i="46"/>
  <c r="AC8" i="46"/>
  <c r="B2" i="46"/>
  <c r="B1" i="46"/>
  <c r="I104" i="45"/>
  <c r="I103" i="45"/>
  <c r="I102" i="45"/>
  <c r="I101" i="45"/>
  <c r="I100" i="45"/>
  <c r="I99" i="45"/>
  <c r="I98" i="45"/>
  <c r="I97" i="45"/>
  <c r="I96" i="45"/>
  <c r="I95" i="45"/>
  <c r="I94" i="45"/>
  <c r="I93" i="45"/>
  <c r="I92" i="45"/>
  <c r="I91" i="45"/>
  <c r="I90" i="45"/>
  <c r="I89" i="45"/>
  <c r="I88" i="45"/>
  <c r="I87" i="45"/>
  <c r="I86" i="45"/>
  <c r="I85" i="45"/>
  <c r="I84" i="45"/>
  <c r="I83" i="45"/>
  <c r="I82" i="45"/>
  <c r="I81" i="45"/>
  <c r="I80" i="45"/>
  <c r="I79" i="45"/>
  <c r="I78" i="45"/>
  <c r="I77" i="45"/>
  <c r="I76" i="45"/>
  <c r="I75" i="45"/>
  <c r="I74" i="45"/>
  <c r="I73" i="45"/>
  <c r="I71" i="45"/>
  <c r="I70" i="45"/>
  <c r="I69" i="45"/>
  <c r="I68" i="45"/>
  <c r="L67" i="45"/>
  <c r="I67" i="45"/>
  <c r="L66" i="45"/>
  <c r="I66" i="45"/>
  <c r="L65" i="45"/>
  <c r="I65" i="45"/>
  <c r="L64" i="45"/>
  <c r="I64" i="45"/>
  <c r="L63" i="45"/>
  <c r="I63" i="45"/>
  <c r="L62" i="45"/>
  <c r="I62" i="45"/>
  <c r="L61" i="45"/>
  <c r="I61" i="45"/>
  <c r="L60" i="45"/>
  <c r="I60" i="45"/>
  <c r="L59" i="45"/>
  <c r="I59" i="45"/>
  <c r="L58" i="45"/>
  <c r="I58" i="45"/>
  <c r="L57" i="45"/>
  <c r="I57" i="45"/>
  <c r="L56" i="45"/>
  <c r="I56" i="45"/>
  <c r="L55" i="45"/>
  <c r="I55" i="45"/>
  <c r="L54" i="45"/>
  <c r="I54" i="45"/>
  <c r="I53" i="45"/>
  <c r="W52" i="45"/>
  <c r="U52" i="45"/>
  <c r="S52" i="45"/>
  <c r="I52" i="45"/>
  <c r="I51" i="45"/>
  <c r="I50" i="45"/>
  <c r="I49" i="45"/>
  <c r="I48" i="45"/>
  <c r="I47" i="45"/>
  <c r="W46" i="45"/>
  <c r="U46" i="45"/>
  <c r="S46" i="45"/>
  <c r="Q46" i="45"/>
  <c r="I46" i="45"/>
  <c r="W45" i="45"/>
  <c r="V45" i="45"/>
  <c r="U45" i="45"/>
  <c r="T45" i="45"/>
  <c r="S45" i="45"/>
  <c r="R45" i="45"/>
  <c r="Q45" i="45"/>
  <c r="P45" i="45"/>
  <c r="O45" i="45"/>
  <c r="N45" i="45"/>
  <c r="I45" i="45"/>
  <c r="I44" i="45"/>
  <c r="I43" i="45"/>
  <c r="I42" i="45"/>
  <c r="I41" i="45"/>
  <c r="I40" i="45"/>
  <c r="I39" i="45"/>
  <c r="I38" i="45"/>
  <c r="I36" i="45"/>
  <c r="I35" i="45"/>
  <c r="I34" i="45"/>
  <c r="F34" i="45"/>
  <c r="I33" i="45"/>
  <c r="F33" i="45"/>
  <c r="I32" i="45"/>
  <c r="F32" i="45"/>
  <c r="I31" i="45"/>
  <c r="F31" i="45"/>
  <c r="I30" i="45"/>
  <c r="F30" i="45"/>
  <c r="I29" i="45"/>
  <c r="F29" i="45"/>
  <c r="I28" i="45"/>
  <c r="F28" i="45"/>
  <c r="I27" i="45"/>
  <c r="F27" i="45"/>
  <c r="I26" i="45"/>
  <c r="F26" i="45"/>
  <c r="I25" i="45"/>
  <c r="F25" i="45"/>
  <c r="I24" i="45"/>
  <c r="F24" i="45"/>
  <c r="I23" i="45"/>
  <c r="F23" i="45"/>
  <c r="I22" i="45"/>
  <c r="F22" i="45"/>
  <c r="I21" i="45"/>
  <c r="F21" i="45"/>
  <c r="I20" i="45"/>
  <c r="F20" i="45"/>
  <c r="I19" i="45"/>
  <c r="F19" i="45"/>
  <c r="I18" i="45"/>
  <c r="F18" i="45"/>
  <c r="I17" i="45"/>
  <c r="F17" i="45"/>
  <c r="I16" i="45"/>
  <c r="F16" i="45"/>
  <c r="I15" i="45"/>
  <c r="F15" i="45"/>
  <c r="W14" i="45"/>
  <c r="U14" i="45"/>
  <c r="S14" i="45"/>
  <c r="Q14" i="45"/>
  <c r="F14" i="45"/>
  <c r="W13" i="45"/>
  <c r="U13" i="45"/>
  <c r="S13" i="45"/>
  <c r="Q13" i="45"/>
  <c r="F13" i="45"/>
  <c r="W12" i="45"/>
  <c r="U12" i="45"/>
  <c r="S12" i="45"/>
  <c r="Q12" i="45"/>
  <c r="I12" i="45"/>
  <c r="F12" i="45"/>
  <c r="W11" i="45"/>
  <c r="U11" i="45"/>
  <c r="S11" i="45"/>
  <c r="Q11" i="45"/>
  <c r="F11" i="45"/>
  <c r="W10" i="45"/>
  <c r="U10" i="45"/>
  <c r="S10" i="45"/>
  <c r="Q10" i="45"/>
  <c r="I10" i="45"/>
  <c r="F10" i="45"/>
  <c r="W9" i="45"/>
  <c r="U9" i="45"/>
  <c r="S9" i="45"/>
  <c r="Q9" i="45"/>
  <c r="I9" i="45"/>
  <c r="F9" i="45"/>
  <c r="W8" i="45"/>
  <c r="U8" i="45"/>
  <c r="S8" i="45"/>
  <c r="Q8" i="45"/>
  <c r="I8" i="45"/>
  <c r="F8" i="45"/>
  <c r="W7" i="45"/>
  <c r="U7" i="45"/>
  <c r="S7" i="45"/>
  <c r="Q7" i="45"/>
  <c r="I7" i="45"/>
  <c r="F7" i="45"/>
  <c r="W6" i="45"/>
  <c r="U6" i="45"/>
  <c r="S6" i="45"/>
  <c r="Q6" i="45"/>
  <c r="I6" i="45"/>
  <c r="F6" i="45"/>
  <c r="W5" i="45"/>
  <c r="U5" i="45"/>
  <c r="S5" i="45"/>
  <c r="Q5" i="45"/>
  <c r="I5" i="45"/>
  <c r="F5" i="45"/>
  <c r="W4" i="45"/>
  <c r="U4" i="45"/>
  <c r="S4" i="45"/>
  <c r="Q4" i="45"/>
  <c r="I4" i="45"/>
  <c r="F4" i="45"/>
  <c r="W3" i="45"/>
  <c r="V3" i="45"/>
  <c r="U3" i="45"/>
  <c r="T3" i="45"/>
  <c r="S3" i="45"/>
  <c r="R3" i="45"/>
  <c r="Q3" i="45"/>
  <c r="P3" i="45"/>
  <c r="O3" i="45"/>
  <c r="N3" i="45"/>
  <c r="I3" i="45"/>
  <c r="F3" i="45"/>
  <c r="AA159" i="10"/>
  <c r="AB159" i="10" s="1"/>
  <c r="Z73" i="7"/>
  <c r="Y73" i="7"/>
  <c r="N73" i="7" s="1"/>
  <c r="M50" i="16"/>
  <c r="M12" i="16"/>
  <c r="AO19" i="15"/>
  <c r="AO13" i="15"/>
  <c r="AO12" i="15"/>
  <c r="F32" i="43"/>
  <c r="B32" i="43"/>
  <c r="F31" i="43"/>
  <c r="B31" i="43"/>
  <c r="F30" i="43"/>
  <c r="B30" i="43"/>
  <c r="AC29" i="43"/>
  <c r="F29" i="43"/>
  <c r="B29" i="43"/>
  <c r="AC28" i="43"/>
  <c r="F28" i="43"/>
  <c r="B28" i="43"/>
  <c r="AC27" i="43"/>
  <c r="F27" i="43"/>
  <c r="B27" i="43"/>
  <c r="AC26" i="43"/>
  <c r="F26" i="43"/>
  <c r="B26" i="43"/>
  <c r="AC25" i="43"/>
  <c r="F25" i="43"/>
  <c r="AC24" i="43"/>
  <c r="F24" i="43"/>
  <c r="AC23" i="43"/>
  <c r="F23" i="43"/>
  <c r="AC22" i="43"/>
  <c r="H22" i="43"/>
  <c r="F22" i="43"/>
  <c r="AC21" i="43"/>
  <c r="H21" i="43"/>
  <c r="F21" i="43"/>
  <c r="AC20" i="43"/>
  <c r="H20" i="43"/>
  <c r="F20" i="43"/>
  <c r="AC19" i="43"/>
  <c r="F19" i="43"/>
  <c r="E19" i="43"/>
  <c r="D19" i="43"/>
  <c r="AC18" i="43"/>
  <c r="F18" i="43"/>
  <c r="AC17" i="43"/>
  <c r="F17" i="43"/>
  <c r="E17" i="43"/>
  <c r="D17" i="43"/>
  <c r="AC16" i="43"/>
  <c r="F16" i="43"/>
  <c r="AC15" i="43"/>
  <c r="F15" i="43"/>
  <c r="E15" i="43"/>
  <c r="D15" i="43"/>
  <c r="AC14" i="43"/>
  <c r="F14" i="43"/>
  <c r="AC13" i="43"/>
  <c r="F13" i="43"/>
  <c r="E13" i="43"/>
  <c r="D13" i="43"/>
  <c r="AC12" i="43"/>
  <c r="F12" i="43"/>
  <c r="AC11" i="43"/>
  <c r="L11" i="43"/>
  <c r="F11" i="43"/>
  <c r="E11" i="43"/>
  <c r="D11" i="43"/>
  <c r="AC10" i="43"/>
  <c r="AC9" i="43"/>
  <c r="AC8" i="43"/>
  <c r="B2" i="43"/>
  <c r="B1" i="43"/>
  <c r="P46" i="13"/>
  <c r="P12" i="13"/>
  <c r="M51" i="16"/>
  <c r="M52" i="16" s="1"/>
  <c r="M49" i="16"/>
  <c r="G11" i="16"/>
  <c r="M13" i="16"/>
  <c r="J161" i="10"/>
  <c r="AF161" i="10"/>
  <c r="L63" i="42"/>
  <c r="L64" i="42"/>
  <c r="L65" i="42"/>
  <c r="L66" i="42"/>
  <c r="L62" i="42"/>
  <c r="L56" i="42"/>
  <c r="L57" i="42"/>
  <c r="L58" i="42"/>
  <c r="L59" i="42"/>
  <c r="L55" i="42"/>
  <c r="X159" i="10"/>
  <c r="L67" i="42"/>
  <c r="L61" i="42"/>
  <c r="L60" i="42"/>
  <c r="L54" i="42"/>
  <c r="X131" i="10"/>
  <c r="W52" i="42"/>
  <c r="U52" i="42"/>
  <c r="S52" i="42"/>
  <c r="W46" i="42"/>
  <c r="U46" i="42"/>
  <c r="S46" i="42"/>
  <c r="P45" i="42"/>
  <c r="Q45" i="42"/>
  <c r="R45" i="42"/>
  <c r="S45" i="42"/>
  <c r="T45" i="42"/>
  <c r="U45" i="42"/>
  <c r="V45" i="42"/>
  <c r="W45" i="42"/>
  <c r="W14" i="42"/>
  <c r="W11" i="42"/>
  <c r="W10" i="42"/>
  <c r="W5" i="42"/>
  <c r="U14" i="42"/>
  <c r="U11" i="42"/>
  <c r="U10" i="42"/>
  <c r="U5" i="42"/>
  <c r="S14" i="42"/>
  <c r="S11" i="42"/>
  <c r="S10" i="42"/>
  <c r="S5" i="42"/>
  <c r="Q11" i="42"/>
  <c r="Q10" i="42"/>
  <c r="Q5" i="42"/>
  <c r="W6" i="42"/>
  <c r="W7" i="42"/>
  <c r="W8" i="42"/>
  <c r="W9" i="42"/>
  <c r="W12" i="42"/>
  <c r="W13" i="42"/>
  <c r="W4" i="42"/>
  <c r="U6" i="42"/>
  <c r="U7" i="42"/>
  <c r="U8" i="42"/>
  <c r="U9" i="42"/>
  <c r="U12" i="42"/>
  <c r="U13" i="42"/>
  <c r="U4" i="42"/>
  <c r="S6" i="42"/>
  <c r="S7" i="42"/>
  <c r="S8" i="42"/>
  <c r="S9" i="42"/>
  <c r="S12" i="42"/>
  <c r="S13" i="42"/>
  <c r="S4" i="42"/>
  <c r="Q6" i="42"/>
  <c r="Q7" i="42"/>
  <c r="Q8" i="42"/>
  <c r="Q9" i="42"/>
  <c r="Q12" i="42"/>
  <c r="Q13" i="42"/>
  <c r="I3" i="42"/>
  <c r="W3" i="42"/>
  <c r="V3" i="42"/>
  <c r="U3" i="42"/>
  <c r="T3" i="42"/>
  <c r="S3" i="42"/>
  <c r="R3" i="42"/>
  <c r="Q3" i="42"/>
  <c r="P3" i="42"/>
  <c r="F18" i="42"/>
  <c r="I104" i="42"/>
  <c r="I103" i="42"/>
  <c r="I102" i="42"/>
  <c r="I101" i="42"/>
  <c r="I100" i="42"/>
  <c r="I99" i="42"/>
  <c r="I98" i="42"/>
  <c r="I97" i="42"/>
  <c r="I96" i="42"/>
  <c r="I95" i="42"/>
  <c r="I94" i="42"/>
  <c r="I93" i="42"/>
  <c r="I92" i="42"/>
  <c r="I91" i="42"/>
  <c r="I90" i="42"/>
  <c r="I89" i="42"/>
  <c r="I88" i="42"/>
  <c r="I87" i="42"/>
  <c r="I86" i="42"/>
  <c r="I85" i="42"/>
  <c r="I84" i="42"/>
  <c r="I83" i="42"/>
  <c r="I82" i="42"/>
  <c r="I81" i="42"/>
  <c r="I80" i="42"/>
  <c r="I79" i="42"/>
  <c r="I78" i="42"/>
  <c r="I77" i="42"/>
  <c r="I76" i="42"/>
  <c r="I75" i="42"/>
  <c r="I74" i="42"/>
  <c r="I73" i="42"/>
  <c r="I71" i="42"/>
  <c r="I70" i="42"/>
  <c r="I69" i="42"/>
  <c r="I68" i="42"/>
  <c r="I67" i="42"/>
  <c r="I66" i="42"/>
  <c r="I65" i="42"/>
  <c r="I64" i="42"/>
  <c r="I63" i="42"/>
  <c r="I62" i="42"/>
  <c r="I61" i="42"/>
  <c r="I60" i="42"/>
  <c r="I59" i="42"/>
  <c r="I58" i="42"/>
  <c r="I57" i="42"/>
  <c r="I56" i="42"/>
  <c r="I55" i="42"/>
  <c r="I54" i="42"/>
  <c r="I53" i="42"/>
  <c r="I52" i="42"/>
  <c r="I51" i="42"/>
  <c r="I50" i="42"/>
  <c r="I49" i="42"/>
  <c r="I48" i="42"/>
  <c r="I47" i="42"/>
  <c r="I46" i="42"/>
  <c r="O45" i="42"/>
  <c r="N45" i="42"/>
  <c r="I45" i="42"/>
  <c r="I44" i="42"/>
  <c r="I43" i="42"/>
  <c r="I42" i="42"/>
  <c r="I41" i="42"/>
  <c r="I40" i="42"/>
  <c r="I39" i="42"/>
  <c r="I38" i="42"/>
  <c r="I36" i="42"/>
  <c r="I35" i="42"/>
  <c r="I34" i="42"/>
  <c r="F34" i="42"/>
  <c r="I33" i="42"/>
  <c r="F33" i="42"/>
  <c r="I32" i="42"/>
  <c r="F32" i="42"/>
  <c r="I31" i="42"/>
  <c r="F31" i="42"/>
  <c r="I30" i="42"/>
  <c r="F30" i="42"/>
  <c r="I29" i="42"/>
  <c r="F29" i="42"/>
  <c r="I28" i="42"/>
  <c r="F28" i="42"/>
  <c r="I27" i="42"/>
  <c r="F27" i="42"/>
  <c r="I26" i="42"/>
  <c r="F26" i="42"/>
  <c r="I25" i="42"/>
  <c r="F25" i="42"/>
  <c r="I24" i="42"/>
  <c r="F24" i="42"/>
  <c r="I23" i="42"/>
  <c r="F23" i="42"/>
  <c r="I22" i="42"/>
  <c r="F22" i="42"/>
  <c r="I21" i="42"/>
  <c r="F21" i="42"/>
  <c r="I20" i="42"/>
  <c r="F20" i="42"/>
  <c r="I19" i="42"/>
  <c r="F19" i="42"/>
  <c r="I18" i="42"/>
  <c r="I17" i="42"/>
  <c r="F17" i="42"/>
  <c r="I16" i="42"/>
  <c r="F16" i="42"/>
  <c r="I15" i="42"/>
  <c r="F15" i="42"/>
  <c r="F14" i="42"/>
  <c r="F13" i="42"/>
  <c r="I12" i="42"/>
  <c r="F12" i="42"/>
  <c r="F11" i="42"/>
  <c r="I10" i="42"/>
  <c r="F10" i="42"/>
  <c r="I9" i="42"/>
  <c r="F9" i="42"/>
  <c r="I8" i="42"/>
  <c r="F8" i="42"/>
  <c r="I7" i="42"/>
  <c r="F7" i="42"/>
  <c r="I6" i="42"/>
  <c r="F6" i="42"/>
  <c r="I5" i="42"/>
  <c r="F5" i="42"/>
  <c r="I4" i="42"/>
  <c r="F4" i="42"/>
  <c r="O3" i="42"/>
  <c r="N3" i="42"/>
  <c r="F3" i="42"/>
  <c r="V63" i="7"/>
  <c r="G63" i="7" s="1"/>
  <c r="B27" i="10"/>
  <c r="CO27" i="33"/>
  <c r="DO29" i="33"/>
  <c r="DH29" i="33" a="1"/>
  <c r="DH29" i="33" s="1"/>
  <c r="R588" i="38"/>
  <c r="R587" i="38"/>
  <c r="R586" i="38"/>
  <c r="R583" i="38"/>
  <c r="R580" i="38"/>
  <c r="B553" i="38"/>
  <c r="B533" i="38"/>
  <c r="I529" i="38"/>
  <c r="F529" i="38"/>
  <c r="R582" i="38" s="1"/>
  <c r="B507" i="38"/>
  <c r="C507" i="38" s="1"/>
  <c r="D507" i="38" s="1"/>
  <c r="B506" i="38"/>
  <c r="C506" i="38" s="1"/>
  <c r="D506" i="38" s="1"/>
  <c r="B505" i="38"/>
  <c r="C505" i="38" s="1"/>
  <c r="D505" i="38" s="1"/>
  <c r="B486" i="38"/>
  <c r="C486" i="38"/>
  <c r="D486" i="38"/>
  <c r="B485" i="38"/>
  <c r="C485" i="38" s="1"/>
  <c r="D485" i="38" s="1"/>
  <c r="B484" i="38"/>
  <c r="C484" i="38" s="1"/>
  <c r="D484" i="38" s="1"/>
  <c r="D482" i="38"/>
  <c r="B482" i="38"/>
  <c r="B462" i="38"/>
  <c r="B461" i="38"/>
  <c r="C461" i="38"/>
  <c r="D461" i="38" s="1"/>
  <c r="B460" i="38"/>
  <c r="C460" i="38" s="1"/>
  <c r="D460" i="38" s="1"/>
  <c r="B438" i="38"/>
  <c r="C438" i="38" s="1"/>
  <c r="D438" i="38" s="1"/>
  <c r="B437" i="38"/>
  <c r="C437" i="38" s="1"/>
  <c r="D437" i="38" s="1"/>
  <c r="B436" i="38"/>
  <c r="C436" i="38" s="1"/>
  <c r="D436" i="38" s="1"/>
  <c r="B417" i="38"/>
  <c r="C417" i="38" s="1"/>
  <c r="D417" i="38" s="1"/>
  <c r="B416" i="38"/>
  <c r="C416" i="38"/>
  <c r="D416" i="38" s="1"/>
  <c r="B415" i="38"/>
  <c r="C415" i="38" s="1"/>
  <c r="D415" i="38" s="1"/>
  <c r="J409" i="38"/>
  <c r="G409" i="38"/>
  <c r="M396" i="38"/>
  <c r="K396" i="38"/>
  <c r="B396" i="38"/>
  <c r="C396" i="38" s="1"/>
  <c r="D396" i="38" s="1"/>
  <c r="M395" i="38"/>
  <c r="K395" i="38"/>
  <c r="B395" i="38"/>
  <c r="C395" i="38" s="1"/>
  <c r="D395" i="38" s="1"/>
  <c r="M394" i="38"/>
  <c r="K394" i="38"/>
  <c r="B394" i="38"/>
  <c r="C394" i="38"/>
  <c r="D394" i="38" s="1"/>
  <c r="B373" i="38"/>
  <c r="C373" i="38" s="1"/>
  <c r="D373" i="38" s="1"/>
  <c r="B372" i="38"/>
  <c r="C372" i="38" s="1"/>
  <c r="D372" i="38" s="1"/>
  <c r="B371" i="38"/>
  <c r="C371" i="38"/>
  <c r="D371" i="38" s="1"/>
  <c r="B364" i="38"/>
  <c r="C364" i="38"/>
  <c r="D364" i="38" s="1"/>
  <c r="B339" i="38"/>
  <c r="B338" i="38"/>
  <c r="C338" i="38" s="1"/>
  <c r="D338" i="38" s="1"/>
  <c r="B337" i="38"/>
  <c r="C337" i="38" s="1"/>
  <c r="D337" i="38" s="1"/>
  <c r="B319" i="38"/>
  <c r="C319" i="38" s="1"/>
  <c r="D319" i="38" s="1"/>
  <c r="B318" i="38"/>
  <c r="C318" i="38" s="1"/>
  <c r="D318" i="38" s="1"/>
  <c r="B317" i="38"/>
  <c r="J311" i="38"/>
  <c r="B298" i="38"/>
  <c r="C298" i="38" s="1"/>
  <c r="D298" i="38" s="1"/>
  <c r="B297" i="38"/>
  <c r="C297" i="38" s="1"/>
  <c r="D297" i="38" s="1"/>
  <c r="B296" i="38"/>
  <c r="C296" i="38"/>
  <c r="D296" i="38"/>
  <c r="BH290" i="38"/>
  <c r="BG290" i="38"/>
  <c r="BF290" i="38"/>
  <c r="R290" i="38"/>
  <c r="Q290" i="38"/>
  <c r="BH289" i="38"/>
  <c r="BG289" i="38"/>
  <c r="BF289" i="38"/>
  <c r="E289" i="38"/>
  <c r="F290" i="38" s="1"/>
  <c r="D289" i="38"/>
  <c r="Y289" i="38" s="1"/>
  <c r="B289" i="38"/>
  <c r="AD289" i="38" s="1"/>
  <c r="BH288" i="38"/>
  <c r="BG288" i="38"/>
  <c r="BF288" i="38"/>
  <c r="R288" i="38"/>
  <c r="Q288" i="38"/>
  <c r="BH287" i="38"/>
  <c r="BG287" i="38"/>
  <c r="BF287" i="38"/>
  <c r="E287" i="38"/>
  <c r="R287" i="38" s="1"/>
  <c r="D287" i="38"/>
  <c r="Y287" i="38" s="1"/>
  <c r="B287" i="38"/>
  <c r="AD287" i="38" s="1"/>
  <c r="BH286" i="38"/>
  <c r="BG286" i="38"/>
  <c r="BF286" i="38"/>
  <c r="R286" i="38"/>
  <c r="Q286" i="38"/>
  <c r="BH285" i="38"/>
  <c r="BG285" i="38"/>
  <c r="BF285" i="38"/>
  <c r="E285" i="38"/>
  <c r="Q285" i="38" s="1"/>
  <c r="D285" i="38"/>
  <c r="Y285" i="38" s="1"/>
  <c r="B285" i="38"/>
  <c r="AD285" i="38" s="1"/>
  <c r="BH284" i="38"/>
  <c r="BG284" i="38"/>
  <c r="BF284" i="38"/>
  <c r="R284" i="38"/>
  <c r="Q284" i="38"/>
  <c r="BH283" i="38"/>
  <c r="BG283" i="38"/>
  <c r="BF283" i="38"/>
  <c r="E283" i="38"/>
  <c r="F284" i="38" s="1"/>
  <c r="D283" i="38"/>
  <c r="Y283" i="38" s="1"/>
  <c r="B283" i="38"/>
  <c r="AD283" i="38" s="1"/>
  <c r="BH282" i="38"/>
  <c r="BG282" i="38"/>
  <c r="BF282" i="38"/>
  <c r="R282" i="38"/>
  <c r="Q282" i="38"/>
  <c r="BH281" i="38"/>
  <c r="BG281" i="38"/>
  <c r="BF281" i="38"/>
  <c r="E281" i="38"/>
  <c r="F282" i="38" s="1"/>
  <c r="D281" i="38"/>
  <c r="Y281" i="38"/>
  <c r="B281" i="38"/>
  <c r="AD281" i="38" s="1"/>
  <c r="BH280" i="38"/>
  <c r="BG280" i="38"/>
  <c r="BF280" i="38"/>
  <c r="R280" i="38"/>
  <c r="Q280" i="38"/>
  <c r="BH279" i="38"/>
  <c r="BG279" i="38"/>
  <c r="BF279" i="38"/>
  <c r="E279" i="38"/>
  <c r="F279" i="38"/>
  <c r="D279" i="38"/>
  <c r="Y279" i="38" s="1"/>
  <c r="B279" i="38"/>
  <c r="AD279" i="38" s="1"/>
  <c r="BH278" i="38"/>
  <c r="BG278" i="38"/>
  <c r="BF278" i="38"/>
  <c r="R278" i="38"/>
  <c r="Q278" i="38"/>
  <c r="BH277" i="38"/>
  <c r="BG277" i="38"/>
  <c r="BF277" i="38"/>
  <c r="AD277" i="38"/>
  <c r="E277" i="38"/>
  <c r="F277" i="38"/>
  <c r="D277" i="38"/>
  <c r="Y277" i="38" s="1"/>
  <c r="BH276" i="38"/>
  <c r="BG276" i="38"/>
  <c r="BF276" i="38"/>
  <c r="R276" i="38"/>
  <c r="Q276" i="38"/>
  <c r="BH275" i="38"/>
  <c r="BG275" i="38"/>
  <c r="BF275" i="38"/>
  <c r="AD275" i="38"/>
  <c r="E275" i="38"/>
  <c r="F276" i="38" s="1"/>
  <c r="S276" i="38" s="1"/>
  <c r="D275" i="38"/>
  <c r="BH274" i="38"/>
  <c r="BG274" i="38"/>
  <c r="BF274" i="38"/>
  <c r="R274" i="38"/>
  <c r="Q274" i="38"/>
  <c r="BH273" i="38"/>
  <c r="BG273" i="38"/>
  <c r="BF273" i="38"/>
  <c r="AD273" i="38"/>
  <c r="E273" i="38"/>
  <c r="F273" i="38" s="1"/>
  <c r="D273" i="38"/>
  <c r="BH272" i="38"/>
  <c r="BG272" i="38"/>
  <c r="BF272" i="38"/>
  <c r="R272" i="38"/>
  <c r="Q272" i="38"/>
  <c r="BH271" i="38"/>
  <c r="BG271" i="38"/>
  <c r="BF271" i="38"/>
  <c r="AD271" i="38"/>
  <c r="E271" i="38"/>
  <c r="F272" i="38" s="1"/>
  <c r="D271" i="38"/>
  <c r="BH270" i="38"/>
  <c r="BG270" i="38"/>
  <c r="BF270" i="38"/>
  <c r="R270" i="38"/>
  <c r="Q270" i="38"/>
  <c r="BH269" i="38"/>
  <c r="BG269" i="38"/>
  <c r="BF269" i="38"/>
  <c r="AD269" i="38"/>
  <c r="E269" i="38"/>
  <c r="F270" i="38" s="1"/>
  <c r="S270" i="38" s="1"/>
  <c r="D269" i="38"/>
  <c r="BH268" i="38"/>
  <c r="BG268" i="38"/>
  <c r="BF268" i="38"/>
  <c r="R268" i="38"/>
  <c r="Q268" i="38"/>
  <c r="BH267" i="38"/>
  <c r="BG267" i="38"/>
  <c r="BF267" i="38"/>
  <c r="AD267" i="38"/>
  <c r="E267" i="38"/>
  <c r="F267" i="38" s="1"/>
  <c r="D267" i="38"/>
  <c r="BH266" i="38"/>
  <c r="BG266" i="38"/>
  <c r="BF266" i="38"/>
  <c r="R266" i="38"/>
  <c r="Q266" i="38"/>
  <c r="BH265" i="38"/>
  <c r="BG265" i="38"/>
  <c r="BF265" i="38"/>
  <c r="AD265" i="38"/>
  <c r="E265" i="38"/>
  <c r="F265" i="38" s="1"/>
  <c r="D265" i="38"/>
  <c r="BH264" i="38"/>
  <c r="BG264" i="38"/>
  <c r="BF264" i="38"/>
  <c r="R264" i="38"/>
  <c r="Q264" i="38"/>
  <c r="BH263" i="38"/>
  <c r="BG263" i="38"/>
  <c r="BF263" i="38"/>
  <c r="AD263" i="38"/>
  <c r="E263" i="38"/>
  <c r="F263" i="38" s="1"/>
  <c r="D263" i="38"/>
  <c r="BH262" i="38"/>
  <c r="BG262" i="38"/>
  <c r="BF262" i="38"/>
  <c r="R262" i="38"/>
  <c r="Q262" i="38"/>
  <c r="BH261" i="38"/>
  <c r="BG261" i="38"/>
  <c r="BF261" i="38"/>
  <c r="AD261" i="38"/>
  <c r="E261" i="38"/>
  <c r="F262" i="38" s="1"/>
  <c r="T262" i="38" s="1"/>
  <c r="D261" i="38"/>
  <c r="BH260" i="38"/>
  <c r="BG260" i="38"/>
  <c r="BF260" i="38"/>
  <c r="R260" i="38"/>
  <c r="Q260" i="38"/>
  <c r="BH259" i="38"/>
  <c r="BG259" i="38"/>
  <c r="BF259" i="38"/>
  <c r="AD259" i="38"/>
  <c r="E259" i="38"/>
  <c r="F259" i="38" s="1"/>
  <c r="D259" i="38"/>
  <c r="Y259" i="38" s="1"/>
  <c r="BH258" i="38"/>
  <c r="BG258" i="38"/>
  <c r="BF258" i="38"/>
  <c r="R258" i="38"/>
  <c r="Q258" i="38"/>
  <c r="BH257" i="38"/>
  <c r="BG257" i="38"/>
  <c r="BF257" i="38"/>
  <c r="AD257" i="38"/>
  <c r="E257" i="38"/>
  <c r="F257" i="38" s="1"/>
  <c r="D257" i="38"/>
  <c r="BH256" i="38"/>
  <c r="BG256" i="38"/>
  <c r="BF256" i="38"/>
  <c r="R256" i="38"/>
  <c r="Q256" i="38"/>
  <c r="BH255" i="38"/>
  <c r="BG255" i="38"/>
  <c r="BF255" i="38"/>
  <c r="AD255" i="38"/>
  <c r="E255" i="38"/>
  <c r="F256" i="38" s="1"/>
  <c r="T256" i="38" s="1"/>
  <c r="D255" i="38"/>
  <c r="Y255" i="38"/>
  <c r="BH254" i="38"/>
  <c r="BG254" i="38"/>
  <c r="BF254" i="38"/>
  <c r="R254" i="38"/>
  <c r="Q254" i="38"/>
  <c r="BH253" i="38"/>
  <c r="BG253" i="38"/>
  <c r="BF253" i="38"/>
  <c r="AD253" i="38"/>
  <c r="E253" i="38"/>
  <c r="F253" i="38" s="1"/>
  <c r="D253" i="38"/>
  <c r="Y253" i="38" s="1"/>
  <c r="BH252" i="38"/>
  <c r="BG252" i="38"/>
  <c r="BF252" i="38"/>
  <c r="R252" i="38"/>
  <c r="Q252" i="38"/>
  <c r="BH251" i="38"/>
  <c r="BG251" i="38"/>
  <c r="BF251" i="38"/>
  <c r="AD251" i="38"/>
  <c r="E251" i="38"/>
  <c r="F251" i="38" s="1"/>
  <c r="D251" i="38"/>
  <c r="Y251" i="38" s="1"/>
  <c r="BH250" i="38"/>
  <c r="BG250" i="38"/>
  <c r="BF250" i="38"/>
  <c r="R250" i="38"/>
  <c r="Q250" i="38"/>
  <c r="BH249" i="38"/>
  <c r="BG249" i="38"/>
  <c r="BF249" i="38"/>
  <c r="AD249" i="38"/>
  <c r="E249" i="38"/>
  <c r="F249" i="38" s="1"/>
  <c r="D249" i="38"/>
  <c r="Y249" i="38" s="1"/>
  <c r="BH248" i="38"/>
  <c r="BG248" i="38"/>
  <c r="BF248" i="38"/>
  <c r="R248" i="38"/>
  <c r="Q248" i="38"/>
  <c r="BH247" i="38"/>
  <c r="BG247" i="38"/>
  <c r="BF247" i="38"/>
  <c r="AD247" i="38"/>
  <c r="E247" i="38"/>
  <c r="F247" i="38" s="1"/>
  <c r="D247" i="38"/>
  <c r="Y247" i="38"/>
  <c r="BH246" i="38"/>
  <c r="BG246" i="38"/>
  <c r="BF246" i="38"/>
  <c r="R246" i="38"/>
  <c r="Q246" i="38"/>
  <c r="BH245" i="38"/>
  <c r="BG245" i="38"/>
  <c r="BF245" i="38"/>
  <c r="AD245" i="38"/>
  <c r="E245" i="38"/>
  <c r="F246" i="38" s="1"/>
  <c r="D245" i="38"/>
  <c r="Y245" i="38" s="1"/>
  <c r="BH244" i="38"/>
  <c r="BG244" i="38"/>
  <c r="BF244" i="38"/>
  <c r="R244" i="38"/>
  <c r="Q244" i="38"/>
  <c r="BH243" i="38"/>
  <c r="BG243" i="38"/>
  <c r="BF243" i="38"/>
  <c r="AD243" i="38"/>
  <c r="E243" i="38"/>
  <c r="F243" i="38"/>
  <c r="D243" i="38"/>
  <c r="Y243" i="38" s="1"/>
  <c r="M230" i="38"/>
  <c r="L230" i="38"/>
  <c r="J230" i="38"/>
  <c r="I230" i="38"/>
  <c r="H230" i="38"/>
  <c r="G230" i="38"/>
  <c r="K217" i="38"/>
  <c r="G298" i="38" s="1"/>
  <c r="B217" i="38"/>
  <c r="F217" i="38"/>
  <c r="K216" i="38"/>
  <c r="G297" i="38" s="1"/>
  <c r="B216" i="38"/>
  <c r="F216" i="38" s="1"/>
  <c r="K215" i="38"/>
  <c r="G296" i="38" s="1"/>
  <c r="B215" i="38"/>
  <c r="F215" i="38"/>
  <c r="E196" i="38"/>
  <c r="E195" i="38"/>
  <c r="M195" i="38"/>
  <c r="E194" i="38"/>
  <c r="F194" i="38" s="1"/>
  <c r="S193" i="38"/>
  <c r="R192" i="38"/>
  <c r="Q192" i="38"/>
  <c r="F192" i="38"/>
  <c r="S192" i="38" s="1"/>
  <c r="BI191" i="38"/>
  <c r="R191" i="38"/>
  <c r="Q191" i="38"/>
  <c r="F191" i="38"/>
  <c r="S191" i="38" s="1"/>
  <c r="R190" i="38"/>
  <c r="Q190" i="38"/>
  <c r="F190" i="38"/>
  <c r="S190" i="38" s="1"/>
  <c r="BI189" i="38"/>
  <c r="R189" i="38"/>
  <c r="Q189" i="38"/>
  <c r="F189" i="38"/>
  <c r="S189" i="38" s="1"/>
  <c r="R188" i="38"/>
  <c r="Q188" i="38"/>
  <c r="F188" i="38"/>
  <c r="S188" i="38" s="1"/>
  <c r="BI187" i="38"/>
  <c r="R187" i="38"/>
  <c r="Q187" i="38"/>
  <c r="F187" i="38"/>
  <c r="S187" i="38" s="1"/>
  <c r="R186" i="38"/>
  <c r="Q186" i="38"/>
  <c r="F186" i="38"/>
  <c r="S186" i="38" s="1"/>
  <c r="BI185" i="38"/>
  <c r="F185" i="38"/>
  <c r="R184" i="38"/>
  <c r="Q184" i="38"/>
  <c r="F184" i="38"/>
  <c r="S184" i="38" s="1"/>
  <c r="BI183" i="38"/>
  <c r="F183" i="38"/>
  <c r="R182" i="38"/>
  <c r="Q182" i="38"/>
  <c r="F182" i="38"/>
  <c r="S182" i="38" s="1"/>
  <c r="BI181" i="38"/>
  <c r="F181" i="38"/>
  <c r="R180" i="38"/>
  <c r="Q180" i="38"/>
  <c r="F180" i="38"/>
  <c r="S180" i="38"/>
  <c r="BI179" i="38"/>
  <c r="F179" i="38"/>
  <c r="R178" i="38"/>
  <c r="Q178" i="38"/>
  <c r="F178" i="38"/>
  <c r="S178" i="38" s="1"/>
  <c r="BI177" i="38"/>
  <c r="F177" i="38"/>
  <c r="R176" i="38"/>
  <c r="Q176" i="38"/>
  <c r="F176" i="38"/>
  <c r="S176" i="38"/>
  <c r="BI175" i="38"/>
  <c r="F175" i="38"/>
  <c r="R174" i="38"/>
  <c r="Q174" i="38"/>
  <c r="F174" i="38"/>
  <c r="S174" i="38" s="1"/>
  <c r="BI173" i="38"/>
  <c r="F173" i="38"/>
  <c r="R172" i="38"/>
  <c r="Q172" i="38"/>
  <c r="F172" i="38"/>
  <c r="S172" i="38"/>
  <c r="BI171" i="38"/>
  <c r="F171" i="38"/>
  <c r="R170" i="38"/>
  <c r="Q170" i="38"/>
  <c r="F170" i="38"/>
  <c r="S170" i="38" s="1"/>
  <c r="BI169" i="38"/>
  <c r="F169" i="38"/>
  <c r="R168" i="38"/>
  <c r="Q168" i="38"/>
  <c r="F168" i="38"/>
  <c r="S168" i="38" s="1"/>
  <c r="BI167" i="38"/>
  <c r="F167" i="38"/>
  <c r="R166" i="38"/>
  <c r="Q166" i="38"/>
  <c r="F166" i="38"/>
  <c r="S166" i="38" s="1"/>
  <c r="BI165" i="38"/>
  <c r="F165" i="38"/>
  <c r="R164" i="38"/>
  <c r="Q164" i="38"/>
  <c r="F164" i="38"/>
  <c r="S164" i="38"/>
  <c r="F163" i="38"/>
  <c r="R162" i="38"/>
  <c r="Q162" i="38"/>
  <c r="F162" i="38"/>
  <c r="S162" i="38" s="1"/>
  <c r="F161" i="38"/>
  <c r="R160" i="38"/>
  <c r="Q160" i="38"/>
  <c r="F160" i="38"/>
  <c r="S160" i="38" s="1"/>
  <c r="BI159" i="38"/>
  <c r="F159" i="38"/>
  <c r="R158" i="38"/>
  <c r="Q158" i="38"/>
  <c r="F158" i="38"/>
  <c r="S158" i="38"/>
  <c r="F157" i="38"/>
  <c r="R156" i="38"/>
  <c r="Q156" i="38"/>
  <c r="F156" i="38"/>
  <c r="S156" i="38" s="1"/>
  <c r="F155" i="38"/>
  <c r="R154" i="38"/>
  <c r="Q154" i="38"/>
  <c r="F154" i="38"/>
  <c r="S154" i="38" s="1"/>
  <c r="F153" i="38"/>
  <c r="R152" i="38"/>
  <c r="Q152" i="38"/>
  <c r="F152" i="38"/>
  <c r="S152" i="38"/>
  <c r="F151" i="38"/>
  <c r="R150" i="38"/>
  <c r="Q150" i="38"/>
  <c r="F150" i="38"/>
  <c r="S150" i="38" s="1"/>
  <c r="F149" i="38"/>
  <c r="R148" i="38"/>
  <c r="Q148" i="38"/>
  <c r="F148" i="38"/>
  <c r="S148" i="38" s="1"/>
  <c r="F147" i="38"/>
  <c r="R146" i="38"/>
  <c r="Q146" i="38"/>
  <c r="F146" i="38"/>
  <c r="S146" i="38" s="1"/>
  <c r="F145" i="38"/>
  <c r="B106" i="38"/>
  <c r="H106" i="38"/>
  <c r="B105" i="38"/>
  <c r="L105" i="38"/>
  <c r="B104" i="38"/>
  <c r="B89" i="38"/>
  <c r="L89" i="38" s="1"/>
  <c r="B88" i="38"/>
  <c r="G88" i="38"/>
  <c r="B87" i="38"/>
  <c r="L87" i="38" s="1"/>
  <c r="R84" i="38"/>
  <c r="Q84" i="38"/>
  <c r="J84" i="38"/>
  <c r="I84" i="38"/>
  <c r="H84" i="38"/>
  <c r="R83" i="38"/>
  <c r="Q83" i="38"/>
  <c r="J83" i="38"/>
  <c r="I83" i="38"/>
  <c r="H83" i="38"/>
  <c r="R82" i="38"/>
  <c r="Q82" i="38"/>
  <c r="J82" i="38"/>
  <c r="I82" i="38"/>
  <c r="H82" i="38"/>
  <c r="R81" i="38"/>
  <c r="Q81" i="38"/>
  <c r="J81" i="38"/>
  <c r="I81" i="38"/>
  <c r="H81" i="38"/>
  <c r="I66" i="38"/>
  <c r="B53" i="38"/>
  <c r="E53" i="38" s="1"/>
  <c r="B52" i="38"/>
  <c r="B51" i="38"/>
  <c r="E51" i="38"/>
  <c r="I46" i="38"/>
  <c r="G46" i="38"/>
  <c r="I45" i="38"/>
  <c r="G45" i="38"/>
  <c r="H196" i="38"/>
  <c r="J196" i="38"/>
  <c r="C339" i="38"/>
  <c r="D339" i="38" s="1"/>
  <c r="BN202" i="22"/>
  <c r="BN200" i="22"/>
  <c r="BN162" i="22"/>
  <c r="BN198" i="22"/>
  <c r="BN196" i="22"/>
  <c r="BN156" i="22"/>
  <c r="BN158" i="22"/>
  <c r="BN192" i="22"/>
  <c r="BN186" i="22"/>
  <c r="BN184" i="22"/>
  <c r="BN172" i="22"/>
  <c r="BN190" i="22"/>
  <c r="BN150" i="22"/>
  <c r="BN182" i="22"/>
  <c r="BN170" i="22"/>
  <c r="BI285" i="22"/>
  <c r="BH285" i="22"/>
  <c r="BI284" i="22"/>
  <c r="BH284" i="22"/>
  <c r="BI283" i="22"/>
  <c r="BH283" i="22"/>
  <c r="BI282" i="22"/>
  <c r="BH282" i="22"/>
  <c r="BI251" i="22"/>
  <c r="BH251" i="22"/>
  <c r="BI250" i="22"/>
  <c r="BH250" i="22"/>
  <c r="BI281" i="22"/>
  <c r="BH281" i="22"/>
  <c r="BI280" i="22"/>
  <c r="BH280" i="22"/>
  <c r="BI247" i="22"/>
  <c r="BH247" i="22"/>
  <c r="BI246" i="22"/>
  <c r="BH246" i="22"/>
  <c r="BI279" i="22"/>
  <c r="BH279" i="22"/>
  <c r="BI278" i="22"/>
  <c r="BH278" i="22"/>
  <c r="BI277" i="22"/>
  <c r="BH277" i="22"/>
  <c r="BI276" i="22"/>
  <c r="BH276" i="22"/>
  <c r="BI275" i="22"/>
  <c r="BH275" i="22"/>
  <c r="BI274" i="22"/>
  <c r="BH274" i="22"/>
  <c r="BI273" i="22"/>
  <c r="BH273" i="22"/>
  <c r="BI272" i="22"/>
  <c r="BH272" i="22"/>
  <c r="BI271" i="22"/>
  <c r="BH271" i="22"/>
  <c r="BI270" i="22"/>
  <c r="BH270" i="22"/>
  <c r="BI269" i="22"/>
  <c r="BH269" i="22"/>
  <c r="BI268" i="22"/>
  <c r="BH268" i="22"/>
  <c r="BI267" i="22"/>
  <c r="BH267" i="22"/>
  <c r="BI266" i="22"/>
  <c r="BH266" i="22"/>
  <c r="BI265" i="22"/>
  <c r="BH265" i="22"/>
  <c r="BI264" i="22"/>
  <c r="BH264" i="22"/>
  <c r="BI263" i="22"/>
  <c r="BH263" i="22"/>
  <c r="BI262" i="22"/>
  <c r="BH262" i="22"/>
  <c r="BI261" i="22"/>
  <c r="BH261" i="22"/>
  <c r="BI260" i="22"/>
  <c r="BH260" i="22"/>
  <c r="BI259" i="22"/>
  <c r="BH259" i="22"/>
  <c r="BI258" i="22"/>
  <c r="BH258" i="22"/>
  <c r="BI257" i="22"/>
  <c r="BH257" i="22"/>
  <c r="BI256" i="22"/>
  <c r="BH256" i="22"/>
  <c r="BI255" i="22"/>
  <c r="BH255" i="22"/>
  <c r="BI254" i="22"/>
  <c r="BH254" i="22"/>
  <c r="BI253" i="22"/>
  <c r="BH253" i="22"/>
  <c r="BI252" i="22"/>
  <c r="BH252" i="22"/>
  <c r="BI249" i="22"/>
  <c r="BH249" i="22"/>
  <c r="BI248" i="22"/>
  <c r="BH248" i="22"/>
  <c r="BI245" i="22"/>
  <c r="BH245" i="22"/>
  <c r="BI244" i="22"/>
  <c r="BH244" i="22"/>
  <c r="BI243" i="22"/>
  <c r="BH243" i="22"/>
  <c r="BI242" i="22"/>
  <c r="BH242" i="22"/>
  <c r="BI239" i="22"/>
  <c r="BH239" i="22"/>
  <c r="BI238" i="22"/>
  <c r="BH238" i="22"/>
  <c r="A12" i="36"/>
  <c r="G55" i="35"/>
  <c r="G54" i="35"/>
  <c r="G53" i="35"/>
  <c r="G52" i="35"/>
  <c r="G51" i="35"/>
  <c r="G50" i="35"/>
  <c r="G49" i="35"/>
  <c r="G48" i="35"/>
  <c r="G47" i="35"/>
  <c r="G46" i="35"/>
  <c r="G45" i="35"/>
  <c r="G44" i="35"/>
  <c r="G43" i="35"/>
  <c r="G42" i="35"/>
  <c r="G41" i="35"/>
  <c r="G40" i="35"/>
  <c r="G39" i="35"/>
  <c r="G38" i="35"/>
  <c r="G37" i="35"/>
  <c r="G36" i="35"/>
  <c r="G35" i="35"/>
  <c r="G34" i="35"/>
  <c r="G33" i="35"/>
  <c r="G32" i="35"/>
  <c r="G31" i="35"/>
  <c r="G30" i="35"/>
  <c r="G29" i="35"/>
  <c r="G28" i="35"/>
  <c r="G27" i="35"/>
  <c r="G26" i="35"/>
  <c r="G25" i="35"/>
  <c r="G24" i="35"/>
  <c r="G23" i="35"/>
  <c r="G22" i="35"/>
  <c r="L21" i="35"/>
  <c r="G21" i="35"/>
  <c r="L20" i="35"/>
  <c r="G20" i="35"/>
  <c r="L19" i="35"/>
  <c r="G19" i="35"/>
  <c r="L18" i="35"/>
  <c r="G18" i="35"/>
  <c r="L17" i="35"/>
  <c r="G17" i="35"/>
  <c r="L16" i="35"/>
  <c r="G16" i="35"/>
  <c r="L15" i="35"/>
  <c r="G15" i="35"/>
  <c r="L14" i="35"/>
  <c r="G14" i="35"/>
  <c r="L13" i="35"/>
  <c r="G13" i="35"/>
  <c r="L12" i="35"/>
  <c r="G12" i="35"/>
  <c r="L11" i="35"/>
  <c r="G11" i="35"/>
  <c r="L10" i="35"/>
  <c r="G10" i="35"/>
  <c r="L9" i="35"/>
  <c r="G9" i="35"/>
  <c r="L8" i="35"/>
  <c r="G8" i="35"/>
  <c r="L7" i="35"/>
  <c r="G7" i="35"/>
  <c r="H6" i="35"/>
  <c r="G6" i="35"/>
  <c r="F6" i="35"/>
  <c r="E6" i="35"/>
  <c r="D6" i="35"/>
  <c r="C6" i="35"/>
  <c r="AO35" i="15"/>
  <c r="AN34" i="15"/>
  <c r="V93" i="7"/>
  <c r="G93" i="7" s="1"/>
  <c r="U93" i="7"/>
  <c r="F93" i="7" s="1"/>
  <c r="G83" i="7"/>
  <c r="F83" i="7"/>
  <c r="V73" i="7"/>
  <c r="G73" i="7" s="1"/>
  <c r="U73" i="7"/>
  <c r="F73" i="7" s="1"/>
  <c r="U63" i="7"/>
  <c r="F63" i="7" s="1"/>
  <c r="V53" i="7"/>
  <c r="G53" i="7" s="1"/>
  <c r="U53" i="7"/>
  <c r="F53" i="7" s="1"/>
  <c r="DO32" i="33"/>
  <c r="DH32" i="33" a="1"/>
  <c r="DH32" i="33"/>
  <c r="DO34" i="33"/>
  <c r="DH34" i="33" a="1"/>
  <c r="DH34" i="33"/>
  <c r="DO30" i="33"/>
  <c r="DH30" i="33" a="1"/>
  <c r="DH30" i="33" s="1"/>
  <c r="DH31" i="33" a="1"/>
  <c r="DH31" i="33"/>
  <c r="DO31" i="33"/>
  <c r="J34" i="14"/>
  <c r="AB167" i="51" s="1"/>
  <c r="AC167" i="51" s="1"/>
  <c r="J33" i="14"/>
  <c r="AB166" i="51" s="1"/>
  <c r="AC166" i="51" s="1"/>
  <c r="DO33" i="33"/>
  <c r="DP33" i="33" s="1"/>
  <c r="DO35" i="33"/>
  <c r="DO36" i="33"/>
  <c r="DO37" i="33"/>
  <c r="DO38" i="33"/>
  <c r="DP38" i="33" s="1"/>
  <c r="DO39" i="33"/>
  <c r="DO40" i="33"/>
  <c r="DO41" i="33"/>
  <c r="DO42" i="33"/>
  <c r="DO43" i="33"/>
  <c r="DO44" i="33"/>
  <c r="DO45" i="33"/>
  <c r="DO46" i="33"/>
  <c r="DP46" i="33" s="1"/>
  <c r="DO47" i="33"/>
  <c r="DO48" i="33"/>
  <c r="DP48" i="33" s="1"/>
  <c r="DO49" i="33"/>
  <c r="DO50" i="33"/>
  <c r="DP50" i="33" s="1"/>
  <c r="DO51" i="33"/>
  <c r="DO52" i="33"/>
  <c r="DO53" i="33"/>
  <c r="DP53" i="33" s="1"/>
  <c r="DO54" i="33"/>
  <c r="DP54" i="33" s="1"/>
  <c r="DO55" i="33"/>
  <c r="DO56" i="33"/>
  <c r="DP56" i="33" s="1"/>
  <c r="DO57" i="33"/>
  <c r="DO58" i="33"/>
  <c r="DP58" i="33"/>
  <c r="DO59" i="33"/>
  <c r="DP59" i="33" s="1"/>
  <c r="DO60" i="33"/>
  <c r="DO61" i="33"/>
  <c r="DO62" i="33"/>
  <c r="DP62" i="33" s="1"/>
  <c r="DO63" i="33"/>
  <c r="DO64" i="33"/>
  <c r="DP64" i="33" s="1"/>
  <c r="DO65" i="33"/>
  <c r="DO66" i="33"/>
  <c r="DP66" i="33" s="1"/>
  <c r="DO67" i="33"/>
  <c r="DO68" i="33"/>
  <c r="DO69" i="33"/>
  <c r="DO70" i="33"/>
  <c r="DO71" i="33"/>
  <c r="DO72" i="33"/>
  <c r="DO73" i="33"/>
  <c r="DO74" i="33"/>
  <c r="DO75" i="33"/>
  <c r="DP75" i="33" s="1"/>
  <c r="DO76" i="33"/>
  <c r="DO77" i="33"/>
  <c r="DP77" i="33" s="1"/>
  <c r="DO78" i="33"/>
  <c r="DO79" i="33"/>
  <c r="DO80" i="33"/>
  <c r="DO81" i="33"/>
  <c r="DO82" i="33"/>
  <c r="DO83" i="33"/>
  <c r="DO84" i="33"/>
  <c r="DO85" i="33"/>
  <c r="DO86" i="33"/>
  <c r="DP86" i="33" s="1"/>
  <c r="DO87" i="33"/>
  <c r="DP87" i="33" s="1"/>
  <c r="DO88" i="33"/>
  <c r="DO89" i="33"/>
  <c r="DO90" i="33"/>
  <c r="DO91" i="33"/>
  <c r="DO92" i="33"/>
  <c r="DO93" i="33"/>
  <c r="DO94" i="33"/>
  <c r="DO95" i="33"/>
  <c r="DP95" i="33"/>
  <c r="DO96" i="33"/>
  <c r="DO97" i="33"/>
  <c r="DO98" i="33"/>
  <c r="DO99" i="33"/>
  <c r="DO100" i="33"/>
  <c r="DO101" i="33"/>
  <c r="DO102" i="33"/>
  <c r="DP102" i="33"/>
  <c r="DO103" i="33"/>
  <c r="DO104" i="33"/>
  <c r="DO105" i="33"/>
  <c r="DO106" i="33"/>
  <c r="DO107" i="33"/>
  <c r="DO108" i="33"/>
  <c r="DO109" i="33"/>
  <c r="DO110" i="33"/>
  <c r="DP110" i="33"/>
  <c r="DO111" i="33"/>
  <c r="DO112" i="33"/>
  <c r="DP112" i="33" s="1"/>
  <c r="DO113" i="33"/>
  <c r="DO114" i="33"/>
  <c r="DO115" i="33"/>
  <c r="DO116" i="33"/>
  <c r="DO117" i="33"/>
  <c r="DO118" i="33"/>
  <c r="DO119" i="33"/>
  <c r="DP119" i="33" s="1"/>
  <c r="DO120" i="33"/>
  <c r="DO121" i="33"/>
  <c r="DO122" i="33"/>
  <c r="DP122" i="33" s="1"/>
  <c r="DO123" i="33"/>
  <c r="DP123" i="33"/>
  <c r="DO124" i="33"/>
  <c r="DO125" i="33"/>
  <c r="DP125" i="33" s="1"/>
  <c r="DO126" i="33"/>
  <c r="DP126" i="33" s="1"/>
  <c r="DO127" i="33"/>
  <c r="DO128" i="33"/>
  <c r="DO129" i="33"/>
  <c r="DO130" i="33"/>
  <c r="DO131" i="33"/>
  <c r="DO132" i="33"/>
  <c r="DO133" i="33"/>
  <c r="DO134" i="33"/>
  <c r="DP134" i="33" s="1"/>
  <c r="DO135" i="33"/>
  <c r="DP135" i="33" s="1"/>
  <c r="DO136" i="33"/>
  <c r="DP136" i="33" s="1"/>
  <c r="DO137" i="33"/>
  <c r="DO138" i="33"/>
  <c r="DP138" i="33" s="1"/>
  <c r="DO139" i="33"/>
  <c r="DO140" i="33"/>
  <c r="DO141" i="33"/>
  <c r="DO142" i="33"/>
  <c r="DO143" i="33"/>
  <c r="DP143" i="33"/>
  <c r="DO144" i="33"/>
  <c r="DO145" i="33"/>
  <c r="DO146" i="33"/>
  <c r="DP146" i="33"/>
  <c r="DO147" i="33"/>
  <c r="DO148" i="33"/>
  <c r="DO149" i="33"/>
  <c r="DO150" i="33"/>
  <c r="DO151" i="33"/>
  <c r="DO152" i="33"/>
  <c r="DO153" i="33"/>
  <c r="DO154" i="33"/>
  <c r="DP154" i="33" s="1"/>
  <c r="DO155" i="33"/>
  <c r="DP155" i="33" s="1"/>
  <c r="DO156" i="33"/>
  <c r="DO157" i="33"/>
  <c r="DO158" i="33"/>
  <c r="DP158" i="33" s="1"/>
  <c r="DO159" i="33"/>
  <c r="DP159" i="33" s="1"/>
  <c r="DO160" i="33"/>
  <c r="DO161" i="33"/>
  <c r="DO162" i="33"/>
  <c r="DP162" i="33" s="1"/>
  <c r="DO163" i="33"/>
  <c r="DO164" i="33"/>
  <c r="DO165" i="33"/>
  <c r="DO166" i="33"/>
  <c r="DP166" i="33" s="1"/>
  <c r="DO167" i="33"/>
  <c r="DP167" i="33"/>
  <c r="DO168" i="33"/>
  <c r="DO169" i="33"/>
  <c r="DP169" i="33" s="1"/>
  <c r="DO170" i="33"/>
  <c r="DP170" i="33"/>
  <c r="DO171" i="33"/>
  <c r="DO172" i="33"/>
  <c r="DO173" i="33"/>
  <c r="DP173" i="33"/>
  <c r="DO174" i="33"/>
  <c r="DO175" i="33"/>
  <c r="DP175" i="33"/>
  <c r="DO176" i="33"/>
  <c r="DO177" i="33"/>
  <c r="DO178" i="33"/>
  <c r="DO179" i="33"/>
  <c r="DP179" i="33"/>
  <c r="DO180" i="33"/>
  <c r="DO181" i="33"/>
  <c r="DO182" i="33"/>
  <c r="DO183" i="33"/>
  <c r="DO184" i="33"/>
  <c r="DP184" i="33" s="1"/>
  <c r="DO185" i="33"/>
  <c r="DO186" i="33"/>
  <c r="DP186" i="33" s="1"/>
  <c r="DO187" i="33"/>
  <c r="DO188" i="33"/>
  <c r="DO189" i="33"/>
  <c r="DO190" i="33"/>
  <c r="DP190" i="33" s="1"/>
  <c r="DO191" i="33"/>
  <c r="DO192" i="33"/>
  <c r="DO193" i="33"/>
  <c r="DO194" i="33"/>
  <c r="DO195" i="33"/>
  <c r="DO196" i="33"/>
  <c r="DO197" i="33"/>
  <c r="DO198" i="33"/>
  <c r="DO199" i="33"/>
  <c r="DO200" i="33"/>
  <c r="DO201" i="33"/>
  <c r="DO202" i="33"/>
  <c r="DO203" i="33"/>
  <c r="DO204" i="33"/>
  <c r="DO205" i="33"/>
  <c r="DP205" i="33" s="1"/>
  <c r="DO206" i="33"/>
  <c r="DP206" i="33"/>
  <c r="DO207" i="33"/>
  <c r="DO208" i="33"/>
  <c r="DP208" i="33"/>
  <c r="DO209" i="33"/>
  <c r="DO210" i="33"/>
  <c r="DP210" i="33" s="1"/>
  <c r="DO211" i="33"/>
  <c r="DP211" i="33"/>
  <c r="DO212" i="33"/>
  <c r="DP212" i="33" s="1"/>
  <c r="DO213" i="33"/>
  <c r="DO214" i="33"/>
  <c r="DP214" i="33" s="1"/>
  <c r="DO215" i="33"/>
  <c r="DO216" i="33"/>
  <c r="DO217" i="33"/>
  <c r="DO218" i="33"/>
  <c r="DP218" i="33" s="1"/>
  <c r="DO219" i="33"/>
  <c r="DP219" i="33"/>
  <c r="DO220" i="33"/>
  <c r="DO221" i="33"/>
  <c r="DO222" i="33"/>
  <c r="DP222" i="33"/>
  <c r="DO223" i="33"/>
  <c r="DP223" i="33" s="1"/>
  <c r="DO224" i="33"/>
  <c r="DO225" i="33"/>
  <c r="DO226" i="33"/>
  <c r="DP226" i="33" s="1"/>
  <c r="DO227" i="33"/>
  <c r="DO228" i="33"/>
  <c r="DO229" i="33"/>
  <c r="DO230" i="33"/>
  <c r="DP230" i="33"/>
  <c r="DO231" i="33"/>
  <c r="DO232" i="33"/>
  <c r="DP232" i="33" s="1"/>
  <c r="DO233" i="33"/>
  <c r="DO234" i="33"/>
  <c r="DO235" i="33"/>
  <c r="DO236" i="33"/>
  <c r="DO237" i="33"/>
  <c r="DO238" i="33"/>
  <c r="DP238" i="33" s="1"/>
  <c r="DO239" i="33"/>
  <c r="DO240" i="33"/>
  <c r="DP240" i="33"/>
  <c r="DO241" i="33"/>
  <c r="DO242" i="33"/>
  <c r="DO243" i="33"/>
  <c r="DO244" i="33"/>
  <c r="DO245" i="33"/>
  <c r="DO246" i="33"/>
  <c r="DP246" i="33"/>
  <c r="DO247" i="33"/>
  <c r="DO248" i="33"/>
  <c r="DO249" i="33"/>
  <c r="DO250" i="33"/>
  <c r="DP250" i="33"/>
  <c r="DO251" i="33"/>
  <c r="DP251" i="33" s="1"/>
  <c r="DO252" i="33"/>
  <c r="DO253" i="33"/>
  <c r="DO254" i="33"/>
  <c r="DP254" i="33" s="1"/>
  <c r="DO255" i="33"/>
  <c r="DO256" i="33"/>
  <c r="DO257" i="33"/>
  <c r="DO258" i="33"/>
  <c r="DO259" i="33"/>
  <c r="DO260" i="33"/>
  <c r="DO261" i="33"/>
  <c r="DP261" i="33" s="1"/>
  <c r="DO262" i="33"/>
  <c r="DP262" i="33" s="1"/>
  <c r="DO263" i="33"/>
  <c r="DO264" i="33"/>
  <c r="DO265" i="33"/>
  <c r="DO266" i="33"/>
  <c r="DO267" i="33"/>
  <c r="DO268" i="33"/>
  <c r="DO269" i="33"/>
  <c r="DO270" i="33"/>
  <c r="DO271" i="33"/>
  <c r="DO272" i="33"/>
  <c r="DO273" i="33"/>
  <c r="DO274" i="33"/>
  <c r="DO275" i="33"/>
  <c r="DO276" i="33"/>
  <c r="DO277" i="33"/>
  <c r="DO278" i="33"/>
  <c r="DP278" i="33" s="1"/>
  <c r="DO279" i="33"/>
  <c r="DO280" i="33"/>
  <c r="DO281" i="33"/>
  <c r="DO282" i="33"/>
  <c r="DP282" i="33" s="1"/>
  <c r="DO283" i="33"/>
  <c r="DO284" i="33"/>
  <c r="DO285" i="33"/>
  <c r="DO286" i="33"/>
  <c r="DP286" i="33"/>
  <c r="DO287" i="33"/>
  <c r="DP287" i="33" s="1"/>
  <c r="DO288" i="33"/>
  <c r="DO289" i="33"/>
  <c r="DO290" i="33"/>
  <c r="DO291" i="33"/>
  <c r="DO292" i="33"/>
  <c r="DO293" i="33"/>
  <c r="DO294" i="33"/>
  <c r="DP294" i="33" s="1"/>
  <c r="DO295" i="33"/>
  <c r="DP295" i="33"/>
  <c r="DO296" i="33"/>
  <c r="DO297" i="33"/>
  <c r="DO298" i="33"/>
  <c r="DP298" i="33"/>
  <c r="DO299" i="33"/>
  <c r="DO300" i="33"/>
  <c r="DO301" i="33"/>
  <c r="DO302" i="33"/>
  <c r="DO303" i="33"/>
  <c r="DP303" i="33" s="1"/>
  <c r="DO304" i="33"/>
  <c r="DO305" i="33"/>
  <c r="DO306" i="33"/>
  <c r="DP306" i="33" s="1"/>
  <c r="DO307" i="33"/>
  <c r="DO308" i="33"/>
  <c r="DO309" i="33"/>
  <c r="DP309" i="33" s="1"/>
  <c r="DO310" i="33"/>
  <c r="DO311" i="33"/>
  <c r="DP311" i="33" s="1"/>
  <c r="DO312" i="33"/>
  <c r="DO313" i="33"/>
  <c r="DO314" i="33"/>
  <c r="DP314" i="33" s="1"/>
  <c r="DO315" i="33"/>
  <c r="DP315" i="33" s="1"/>
  <c r="DO316" i="33"/>
  <c r="DO317" i="33"/>
  <c r="DO318" i="33"/>
  <c r="DP318" i="33" s="1"/>
  <c r="DO319" i="33"/>
  <c r="DP319" i="33"/>
  <c r="DO320" i="33"/>
  <c r="DO321" i="33"/>
  <c r="DO322" i="33"/>
  <c r="DP322" i="33"/>
  <c r="DO323" i="33"/>
  <c r="DO324" i="33"/>
  <c r="DO325" i="33"/>
  <c r="DO326" i="33"/>
  <c r="DO327" i="33"/>
  <c r="DP327" i="33" s="1"/>
  <c r="DO328" i="33"/>
  <c r="DO329" i="33"/>
  <c r="DO330" i="33"/>
  <c r="DP330" i="33" s="1"/>
  <c r="DO331" i="33"/>
  <c r="DO332" i="33"/>
  <c r="DO333" i="33"/>
  <c r="DO334" i="33"/>
  <c r="DP334" i="33" s="1"/>
  <c r="DO335" i="33"/>
  <c r="DP335" i="33" s="1"/>
  <c r="DO336" i="33"/>
  <c r="DO337" i="33"/>
  <c r="DO338" i="33"/>
  <c r="DO339" i="33"/>
  <c r="DO340" i="33"/>
  <c r="DO341" i="33"/>
  <c r="DO342" i="33"/>
  <c r="DP342" i="33" s="1"/>
  <c r="DO343" i="33"/>
  <c r="DO344" i="33"/>
  <c r="DO345" i="33"/>
  <c r="DO346" i="33"/>
  <c r="DP346" i="33" s="1"/>
  <c r="DO347" i="33"/>
  <c r="DO348" i="33"/>
  <c r="DO349" i="33"/>
  <c r="DP349" i="33" s="1"/>
  <c r="DO350" i="33"/>
  <c r="DO351" i="33"/>
  <c r="DO352" i="33"/>
  <c r="DO353" i="33"/>
  <c r="DP353" i="33" s="1"/>
  <c r="DO354" i="33"/>
  <c r="DO355" i="33"/>
  <c r="DO356" i="33"/>
  <c r="DO357" i="33"/>
  <c r="DO358" i="33"/>
  <c r="DP358" i="33" s="1"/>
  <c r="DO359" i="33"/>
  <c r="DP359" i="33"/>
  <c r="DO360" i="33"/>
  <c r="DO361" i="33"/>
  <c r="DO362" i="33"/>
  <c r="DP362" i="33"/>
  <c r="DO363" i="33"/>
  <c r="DO364" i="33"/>
  <c r="DO365" i="33"/>
  <c r="DP365" i="33"/>
  <c r="DO366" i="33"/>
  <c r="DP366" i="33" s="1"/>
  <c r="DO367" i="33"/>
  <c r="DO368" i="33"/>
  <c r="DO369" i="33"/>
  <c r="DO370" i="33"/>
  <c r="DP370" i="33" s="1"/>
  <c r="DO371" i="33"/>
  <c r="DO372" i="33"/>
  <c r="DO373" i="33"/>
  <c r="DP373" i="33" s="1"/>
  <c r="DO374" i="33"/>
  <c r="DP374" i="33" s="1"/>
  <c r="DO375" i="33"/>
  <c r="DP375" i="33" s="1"/>
  <c r="DO376" i="33"/>
  <c r="DO377" i="33"/>
  <c r="DP377" i="33" s="1"/>
  <c r="DO378" i="33"/>
  <c r="DP378" i="33"/>
  <c r="DO379" i="33"/>
  <c r="DO380" i="33"/>
  <c r="DO381" i="33"/>
  <c r="DO382" i="33"/>
  <c r="DP382" i="33"/>
  <c r="DO383" i="33"/>
  <c r="DO384" i="33"/>
  <c r="DO385" i="33"/>
  <c r="DP385" i="33"/>
  <c r="DO386" i="33"/>
  <c r="DO387" i="33"/>
  <c r="DO388" i="33"/>
  <c r="DO389" i="33"/>
  <c r="DO390" i="33"/>
  <c r="DO391" i="33"/>
  <c r="DP391" i="33"/>
  <c r="DO392" i="33"/>
  <c r="DO393" i="33"/>
  <c r="DO394" i="33"/>
  <c r="DO395" i="33"/>
  <c r="DO396" i="33"/>
  <c r="DO397" i="33"/>
  <c r="DO398" i="33"/>
  <c r="DP398" i="33"/>
  <c r="DO399" i="33"/>
  <c r="DO400" i="33"/>
  <c r="DP400" i="33" s="1"/>
  <c r="DO401" i="33"/>
  <c r="DP401" i="33"/>
  <c r="DO402" i="33"/>
  <c r="DO403" i="33"/>
  <c r="DO404" i="33"/>
  <c r="DO405" i="33"/>
  <c r="DP405" i="33" s="1"/>
  <c r="DO406" i="33"/>
  <c r="DO407" i="33"/>
  <c r="DO408" i="33"/>
  <c r="DO409" i="33"/>
  <c r="DO410" i="33"/>
  <c r="DO411" i="33"/>
  <c r="DP411" i="33" s="1"/>
  <c r="DO412" i="33"/>
  <c r="DO413" i="33"/>
  <c r="DO414" i="33"/>
  <c r="DO415" i="33"/>
  <c r="DP415" i="33" s="1"/>
  <c r="DO416" i="33"/>
  <c r="DO417" i="33"/>
  <c r="DO418" i="33"/>
  <c r="DO419" i="33"/>
  <c r="DO420" i="33"/>
  <c r="DO421" i="33"/>
  <c r="DO422" i="33"/>
  <c r="DO423" i="33"/>
  <c r="DO424" i="33"/>
  <c r="DO425" i="33"/>
  <c r="DO426" i="33"/>
  <c r="DP426" i="33" s="1"/>
  <c r="DO427" i="33"/>
  <c r="DO428" i="33"/>
  <c r="DO429" i="33"/>
  <c r="DO430" i="33"/>
  <c r="DP430" i="33" s="1"/>
  <c r="DO431" i="33"/>
  <c r="DO432" i="33"/>
  <c r="DO433" i="33"/>
  <c r="DO434" i="33"/>
  <c r="DO435" i="33"/>
  <c r="DO436" i="33"/>
  <c r="DO437" i="33"/>
  <c r="DO438" i="33"/>
  <c r="DO439" i="33"/>
  <c r="DP439" i="33" s="1"/>
  <c r="DO440" i="33"/>
  <c r="DO441" i="33"/>
  <c r="DO442" i="33"/>
  <c r="DO443" i="33"/>
  <c r="DO444" i="33"/>
  <c r="DO445" i="33"/>
  <c r="DP445" i="33"/>
  <c r="DO446" i="33"/>
  <c r="DO447" i="33"/>
  <c r="DP447" i="33" s="1"/>
  <c r="DO448" i="33"/>
  <c r="DO449" i="33"/>
  <c r="DO450" i="33"/>
  <c r="DO451" i="33"/>
  <c r="DO452" i="33"/>
  <c r="DO453" i="33"/>
  <c r="DO454" i="33"/>
  <c r="DO455" i="33"/>
  <c r="DO456" i="33"/>
  <c r="DO457" i="33"/>
  <c r="DO458" i="33"/>
  <c r="DO459" i="33"/>
  <c r="DO460" i="33"/>
  <c r="DO461" i="33"/>
  <c r="DP461" i="33" s="1"/>
  <c r="DO462" i="33"/>
  <c r="DO463" i="33"/>
  <c r="DO464" i="33"/>
  <c r="DO465" i="33"/>
  <c r="DO466" i="33"/>
  <c r="DO467" i="33"/>
  <c r="DO468" i="33"/>
  <c r="DO469" i="33"/>
  <c r="DO470" i="33"/>
  <c r="DP470" i="33" s="1"/>
  <c r="DO471" i="33"/>
  <c r="DP471" i="33" s="1"/>
  <c r="DO472" i="33"/>
  <c r="DO473" i="33"/>
  <c r="DO474" i="33"/>
  <c r="DO475" i="33"/>
  <c r="DO476" i="33"/>
  <c r="DO477" i="33"/>
  <c r="DO478" i="33"/>
  <c r="DO479" i="33"/>
  <c r="DP479" i="33" s="1"/>
  <c r="DO480" i="33"/>
  <c r="DO481" i="33"/>
  <c r="DO482" i="33"/>
  <c r="DP482" i="33" s="1"/>
  <c r="DO483" i="33"/>
  <c r="DO484" i="33"/>
  <c r="DO485" i="33"/>
  <c r="DO486" i="33"/>
  <c r="DO487" i="33"/>
  <c r="DO488" i="33"/>
  <c r="DO489" i="33"/>
  <c r="DO490" i="33"/>
  <c r="DP490" i="33"/>
  <c r="DO491" i="33"/>
  <c r="DP491" i="33" s="1"/>
  <c r="DO492" i="33"/>
  <c r="DO493" i="33"/>
  <c r="DP493" i="33" s="1"/>
  <c r="DO494" i="33"/>
  <c r="DO495" i="33"/>
  <c r="DO496" i="33"/>
  <c r="DO497" i="33"/>
  <c r="DO498" i="33"/>
  <c r="DP498" i="33" s="1"/>
  <c r="DO499" i="33"/>
  <c r="DO500" i="33"/>
  <c r="DO501" i="33"/>
  <c r="DP501" i="33" s="1"/>
  <c r="DO502" i="33"/>
  <c r="DP502" i="33" s="1"/>
  <c r="DO503" i="33"/>
  <c r="DO504" i="33"/>
  <c r="DO505" i="33"/>
  <c r="DP505" i="33" s="1"/>
  <c r="DO506" i="33"/>
  <c r="DO507" i="33"/>
  <c r="DO508" i="33"/>
  <c r="DO509" i="33"/>
  <c r="DP509" i="33" s="1"/>
  <c r="DO510" i="33"/>
  <c r="DP510" i="33"/>
  <c r="DO511" i="33"/>
  <c r="DO512" i="33"/>
  <c r="DO513" i="33"/>
  <c r="DO514" i="33"/>
  <c r="DP514" i="33" s="1"/>
  <c r="DO515" i="33"/>
  <c r="DO516" i="33"/>
  <c r="DO517" i="33"/>
  <c r="DP517" i="33" s="1"/>
  <c r="DO518" i="33"/>
  <c r="DP518" i="33" s="1"/>
  <c r="DO519" i="33"/>
  <c r="DP519" i="33" s="1"/>
  <c r="DO520" i="33"/>
  <c r="DO521" i="33"/>
  <c r="DO522" i="33"/>
  <c r="DO523" i="33"/>
  <c r="DO524" i="33"/>
  <c r="DO525" i="33"/>
  <c r="DP525" i="33"/>
  <c r="DO526" i="33"/>
  <c r="DO527" i="33"/>
  <c r="DO528" i="33"/>
  <c r="DO529" i="33"/>
  <c r="DP529" i="33" s="1"/>
  <c r="DO530" i="33"/>
  <c r="DO531" i="33"/>
  <c r="DO532" i="33"/>
  <c r="DO533" i="33"/>
  <c r="DO534" i="33"/>
  <c r="DP534" i="33" s="1"/>
  <c r="DO535" i="33"/>
  <c r="DO536" i="33"/>
  <c r="DO537" i="33"/>
  <c r="DO538" i="33"/>
  <c r="DP538" i="33" s="1"/>
  <c r="DO539" i="33"/>
  <c r="DO540" i="33"/>
  <c r="DO541" i="33"/>
  <c r="DP541" i="33" s="1"/>
  <c r="DO542" i="33"/>
  <c r="DO543" i="33"/>
  <c r="DO544" i="33"/>
  <c r="DO545" i="33"/>
  <c r="DO546" i="33"/>
  <c r="DO547" i="33"/>
  <c r="DO548" i="33"/>
  <c r="DO549" i="33"/>
  <c r="DP549" i="33"/>
  <c r="DO550" i="33"/>
  <c r="DP550" i="33" s="1"/>
  <c r="DO551" i="33"/>
  <c r="DH551" i="33" a="1"/>
  <c r="DH551" i="33" s="1"/>
  <c r="DH550" i="33" a="1"/>
  <c r="DH550" i="33"/>
  <c r="DH549" i="33" a="1"/>
  <c r="DH549" i="33" s="1"/>
  <c r="DH548" i="33" a="1"/>
  <c r="DH548" i="33"/>
  <c r="DH547" i="33" a="1"/>
  <c r="DH547" i="33" s="1"/>
  <c r="DH546" i="33" a="1"/>
  <c r="DH546" i="33" s="1"/>
  <c r="DH545" i="33" a="1"/>
  <c r="DH545" i="33" s="1"/>
  <c r="DH544" i="33" a="1"/>
  <c r="DH544" i="33"/>
  <c r="DH543" i="33" a="1"/>
  <c r="DH543" i="33" s="1"/>
  <c r="DH542" i="33" a="1"/>
  <c r="DH542" i="33"/>
  <c r="DH541" i="33" a="1"/>
  <c r="DH541" i="33" s="1"/>
  <c r="DH540" i="33" a="1"/>
  <c r="DH540" i="33"/>
  <c r="DH539" i="33" a="1"/>
  <c r="DH539" i="33" s="1"/>
  <c r="DH538" i="33" a="1"/>
  <c r="DH538" i="33" s="1"/>
  <c r="DH537" i="33" a="1"/>
  <c r="DH537" i="33" s="1"/>
  <c r="DH536" i="33" a="1"/>
  <c r="DH536" i="33" s="1"/>
  <c r="DH535" i="33" a="1"/>
  <c r="DH535" i="33" s="1"/>
  <c r="DH534" i="33" a="1"/>
  <c r="DH534" i="33" s="1"/>
  <c r="DH533" i="33" a="1"/>
  <c r="DH533" i="33" s="1"/>
  <c r="DH532" i="33" a="1"/>
  <c r="DH532" i="33"/>
  <c r="DH531" i="33" a="1"/>
  <c r="DH531" i="33" s="1"/>
  <c r="DH530" i="33" a="1"/>
  <c r="DH530" i="33" s="1"/>
  <c r="DH529" i="33" a="1"/>
  <c r="DH529" i="33" s="1"/>
  <c r="DH528" i="33" a="1"/>
  <c r="DH528" i="33" s="1"/>
  <c r="DH527" i="33" a="1"/>
  <c r="DH527" i="33" s="1"/>
  <c r="DH526" i="33" a="1"/>
  <c r="DH526" i="33" s="1"/>
  <c r="DH525" i="33" a="1"/>
  <c r="DH525" i="33" s="1"/>
  <c r="DH524" i="33" a="1"/>
  <c r="DH524" i="33" s="1"/>
  <c r="DH523" i="33" a="1"/>
  <c r="DH523" i="33" s="1"/>
  <c r="DH522" i="33" a="1"/>
  <c r="DH522" i="33"/>
  <c r="DH521" i="33" a="1"/>
  <c r="DH521" i="33" s="1"/>
  <c r="DH520" i="33" a="1"/>
  <c r="DH520" i="33" s="1"/>
  <c r="DH519" i="33" a="1"/>
  <c r="DH519" i="33" s="1"/>
  <c r="DH518" i="33" a="1"/>
  <c r="DH518" i="33" s="1"/>
  <c r="DH517" i="33" a="1"/>
  <c r="DH517" i="33" s="1"/>
  <c r="DH516" i="33" a="1"/>
  <c r="DH516" i="33"/>
  <c r="DH515" i="33" a="1"/>
  <c r="DH515" i="33" s="1"/>
  <c r="DH514" i="33" a="1"/>
  <c r="DH514" i="33"/>
  <c r="DH513" i="33" a="1"/>
  <c r="DH513" i="33" s="1"/>
  <c r="DH512" i="33" a="1"/>
  <c r="DH512" i="33" s="1"/>
  <c r="DH511" i="33" a="1"/>
  <c r="DH511" i="33" s="1"/>
  <c r="DH510" i="33" a="1"/>
  <c r="DH510" i="33" s="1"/>
  <c r="DH509" i="33" a="1"/>
  <c r="DH509" i="33" s="1"/>
  <c r="DH508" i="33" a="1"/>
  <c r="DH508" i="33" s="1"/>
  <c r="DH507" i="33" a="1"/>
  <c r="DH507" i="33" s="1"/>
  <c r="DH506" i="33" a="1"/>
  <c r="DH506" i="33" s="1"/>
  <c r="DH505" i="33" a="1"/>
  <c r="DH505" i="33" s="1"/>
  <c r="DH504" i="33" a="1"/>
  <c r="DH504" i="33" s="1"/>
  <c r="DH503" i="33" a="1"/>
  <c r="DH503" i="33" s="1"/>
  <c r="DH502" i="33" a="1"/>
  <c r="DH502" i="33" s="1"/>
  <c r="DH501" i="33" a="1"/>
  <c r="DH501" i="33" s="1"/>
  <c r="DH500" i="33" a="1"/>
  <c r="DH500" i="33"/>
  <c r="DH499" i="33" a="1"/>
  <c r="DH499" i="33" s="1"/>
  <c r="DH498" i="33" a="1"/>
  <c r="DH498" i="33" s="1"/>
  <c r="DH497" i="33" a="1"/>
  <c r="DH497" i="33" s="1"/>
  <c r="DH496" i="33" a="1"/>
  <c r="DH496" i="33" s="1"/>
  <c r="DH495" i="33" a="1"/>
  <c r="DH495" i="33" s="1"/>
  <c r="DH494" i="33" a="1"/>
  <c r="DH494" i="33" s="1"/>
  <c r="DH493" i="33" a="1"/>
  <c r="DH493" i="33" s="1"/>
  <c r="DH492" i="33" a="1"/>
  <c r="DH492" i="33"/>
  <c r="DH491" i="33" a="1"/>
  <c r="DH491" i="33" s="1"/>
  <c r="DH490" i="33" a="1"/>
  <c r="DH490" i="33"/>
  <c r="DH489" i="33" a="1"/>
  <c r="DH489" i="33" s="1"/>
  <c r="DH488" i="33" a="1"/>
  <c r="DH488" i="33" s="1"/>
  <c r="DH487" i="33" a="1"/>
  <c r="DH487" i="33" s="1"/>
  <c r="DH486" i="33" a="1"/>
  <c r="DH486" i="33" s="1"/>
  <c r="DH485" i="33" a="1"/>
  <c r="DH485" i="33" s="1"/>
  <c r="DH484" i="33" a="1"/>
  <c r="DH484" i="33" s="1"/>
  <c r="DH483" i="33" a="1"/>
  <c r="DH483" i="33" s="1"/>
  <c r="DH482" i="33" a="1"/>
  <c r="DH482" i="33"/>
  <c r="DH481" i="33" a="1"/>
  <c r="DH481" i="33" s="1"/>
  <c r="DH480" i="33" a="1"/>
  <c r="DH480" i="33" s="1"/>
  <c r="DH479" i="33" a="1"/>
  <c r="DH479" i="33" s="1"/>
  <c r="DH478" i="33" a="1"/>
  <c r="DH478" i="33" s="1"/>
  <c r="DH477" i="33" a="1"/>
  <c r="DH477" i="33" s="1"/>
  <c r="DH476" i="33" a="1"/>
  <c r="DH476" i="33"/>
  <c r="DH475" i="33" a="1"/>
  <c r="DH475" i="33" s="1"/>
  <c r="DH474" i="33" a="1"/>
  <c r="DH474" i="33"/>
  <c r="DH473" i="33" a="1"/>
  <c r="DH473" i="33" s="1"/>
  <c r="DH472" i="33" a="1"/>
  <c r="DH472" i="33" s="1"/>
  <c r="DH471" i="33" a="1"/>
  <c r="DH471" i="33" s="1"/>
  <c r="DH470" i="33" a="1"/>
  <c r="DH470" i="33" s="1"/>
  <c r="DH469" i="33" a="1"/>
  <c r="DH469" i="33" s="1"/>
  <c r="DH468" i="33" a="1"/>
  <c r="DH468" i="33" s="1"/>
  <c r="DH467" i="33" a="1"/>
  <c r="DH467" i="33" s="1"/>
  <c r="DH466" i="33" a="1"/>
  <c r="DH466" i="33" s="1"/>
  <c r="DH465" i="33" a="1"/>
  <c r="DH465" i="33" s="1"/>
  <c r="DH464" i="33" a="1"/>
  <c r="DH464" i="33" s="1"/>
  <c r="DH463" i="33" a="1"/>
  <c r="DH463" i="33" s="1"/>
  <c r="DH462" i="33" a="1"/>
  <c r="DH462" i="33" s="1"/>
  <c r="DH461" i="33" a="1"/>
  <c r="DH461" i="33" s="1"/>
  <c r="DH460" i="33" a="1"/>
  <c r="DH460" i="33"/>
  <c r="DH459" i="33" a="1"/>
  <c r="DH459" i="33" s="1"/>
  <c r="DH458" i="33" a="1"/>
  <c r="DH458" i="33" s="1"/>
  <c r="DH457" i="33" a="1"/>
  <c r="DH457" i="33" s="1"/>
  <c r="DH456" i="33" a="1"/>
  <c r="DH456" i="33" s="1"/>
  <c r="DH455" i="33" a="1"/>
  <c r="DH455" i="33" s="1"/>
  <c r="DH454" i="33" a="1"/>
  <c r="DH454" i="33" s="1"/>
  <c r="DH453" i="33" a="1"/>
  <c r="DH453" i="33" s="1"/>
  <c r="DH452" i="33" a="1"/>
  <c r="DH452" i="33"/>
  <c r="DH451" i="33" a="1"/>
  <c r="DH451" i="33" s="1"/>
  <c r="DH450" i="33" a="1"/>
  <c r="DH450" i="33"/>
  <c r="DH449" i="33" a="1"/>
  <c r="DH449" i="33" s="1"/>
  <c r="DH448" i="33" a="1"/>
  <c r="DH448" i="33" s="1"/>
  <c r="DH447" i="33" a="1"/>
  <c r="DH447" i="33" s="1"/>
  <c r="DH446" i="33" a="1"/>
  <c r="DH446" i="33" s="1"/>
  <c r="DH445" i="33" a="1"/>
  <c r="DH445" i="33" s="1"/>
  <c r="DH444" i="33" a="1"/>
  <c r="DH444" i="33" s="1"/>
  <c r="DH443" i="33" a="1"/>
  <c r="DH443" i="33" s="1"/>
  <c r="DH442" i="33" a="1"/>
  <c r="DH442" i="33"/>
  <c r="DH441" i="33" a="1"/>
  <c r="DH441" i="33" s="1"/>
  <c r="DH440" i="33" a="1"/>
  <c r="DH440" i="33" s="1"/>
  <c r="DH439" i="33" a="1"/>
  <c r="DH439" i="33" s="1"/>
  <c r="DH438" i="33" a="1"/>
  <c r="DH438" i="33" s="1"/>
  <c r="DH437" i="33" a="1"/>
  <c r="DH437" i="33" s="1"/>
  <c r="DH436" i="33" a="1"/>
  <c r="DH436" i="33"/>
  <c r="DH435" i="33" a="1"/>
  <c r="DH435" i="33" s="1"/>
  <c r="DH434" i="33" a="1"/>
  <c r="DH434" i="33"/>
  <c r="DH433" i="33" a="1"/>
  <c r="DH433" i="33" s="1"/>
  <c r="DH432" i="33" a="1"/>
  <c r="DH432" i="33" s="1"/>
  <c r="DH431" i="33" a="1"/>
  <c r="DH431" i="33" s="1"/>
  <c r="DH430" i="33" a="1"/>
  <c r="DH430" i="33" s="1"/>
  <c r="DH429" i="33" a="1"/>
  <c r="DH429" i="33" s="1"/>
  <c r="DH428" i="33" a="1"/>
  <c r="DH428" i="33" s="1"/>
  <c r="DH427" i="33" a="1"/>
  <c r="DH427" i="33" s="1"/>
  <c r="DH426" i="33" a="1"/>
  <c r="DH426" i="33"/>
  <c r="DH425" i="33" a="1"/>
  <c r="DH425" i="33" s="1"/>
  <c r="DH424" i="33" a="1"/>
  <c r="DH424" i="33" s="1"/>
  <c r="DH423" i="33" a="1"/>
  <c r="DH423" i="33" s="1"/>
  <c r="DH422" i="33" a="1"/>
  <c r="DH422" i="33" s="1"/>
  <c r="DH421" i="33" a="1"/>
  <c r="DH421" i="33" s="1"/>
  <c r="DH420" i="33" a="1"/>
  <c r="DH420" i="33"/>
  <c r="DH419" i="33" a="1"/>
  <c r="DH419" i="33" s="1"/>
  <c r="DH418" i="33" a="1"/>
  <c r="DH418" i="33"/>
  <c r="DH417" i="33" a="1"/>
  <c r="DH417" i="33" s="1"/>
  <c r="DH416" i="33" a="1"/>
  <c r="DH416" i="33" s="1"/>
  <c r="DH415" i="33" a="1"/>
  <c r="DH415" i="33" s="1"/>
  <c r="DH414" i="33" a="1"/>
  <c r="DH414" i="33" s="1"/>
  <c r="DH413" i="33" a="1"/>
  <c r="DH413" i="33" s="1"/>
  <c r="DH412" i="33" a="1"/>
  <c r="DH412" i="33" s="1"/>
  <c r="DH411" i="33" a="1"/>
  <c r="DH411" i="33" s="1"/>
  <c r="DH410" i="33" a="1"/>
  <c r="DH410" i="33"/>
  <c r="DH409" i="33" a="1"/>
  <c r="DH409" i="33" s="1"/>
  <c r="DH408" i="33" a="1"/>
  <c r="DH408" i="33" s="1"/>
  <c r="DH407" i="33" a="1"/>
  <c r="DH407" i="33" s="1"/>
  <c r="DH406" i="33" a="1"/>
  <c r="DH406" i="33" s="1"/>
  <c r="DH405" i="33" a="1"/>
  <c r="DH405" i="33" s="1"/>
  <c r="DH404" i="33" a="1"/>
  <c r="DH404" i="33"/>
  <c r="DH403" i="33" a="1"/>
  <c r="DH403" i="33" s="1"/>
  <c r="DH402" i="33" a="1"/>
  <c r="DH402" i="33"/>
  <c r="DH401" i="33" a="1"/>
  <c r="DH401" i="33" s="1"/>
  <c r="DH400" i="33" a="1"/>
  <c r="DH400" i="33" s="1"/>
  <c r="DH399" i="33" a="1"/>
  <c r="DH399" i="33" s="1"/>
  <c r="DH398" i="33" a="1"/>
  <c r="DH398" i="33" s="1"/>
  <c r="DH397" i="33" a="1"/>
  <c r="DH397" i="33" s="1"/>
  <c r="DH396" i="33" a="1"/>
  <c r="DH396" i="33" s="1"/>
  <c r="DH395" i="33" a="1"/>
  <c r="DH395" i="33" s="1"/>
  <c r="DH394" i="33" a="1"/>
  <c r="DH394" i="33"/>
  <c r="DH393" i="33" a="1"/>
  <c r="DH393" i="33" s="1"/>
  <c r="DH392" i="33" a="1"/>
  <c r="DH392" i="33" s="1"/>
  <c r="DH391" i="33" a="1"/>
  <c r="DH391" i="33" s="1"/>
  <c r="DH390" i="33" a="1"/>
  <c r="DH390" i="33" s="1"/>
  <c r="DH389" i="33" a="1"/>
  <c r="DH389" i="33" s="1"/>
  <c r="DH388" i="33" a="1"/>
  <c r="DH388" i="33"/>
  <c r="DH387" i="33" a="1"/>
  <c r="DH387" i="33" s="1"/>
  <c r="DH386" i="33" a="1"/>
  <c r="DH386" i="33"/>
  <c r="DH385" i="33" a="1"/>
  <c r="DH385" i="33" s="1"/>
  <c r="DH384" i="33" a="1"/>
  <c r="DH384" i="33" s="1"/>
  <c r="DH383" i="33" a="1"/>
  <c r="DH383" i="33" s="1"/>
  <c r="DH382" i="33" a="1"/>
  <c r="DH382" i="33" s="1"/>
  <c r="DH381" i="33" a="1"/>
  <c r="DH381" i="33" s="1"/>
  <c r="DH380" i="33" a="1"/>
  <c r="DH380" i="33" s="1"/>
  <c r="DH379" i="33" a="1"/>
  <c r="DH379" i="33" s="1"/>
  <c r="DH378" i="33" a="1"/>
  <c r="DH378" i="33"/>
  <c r="DH377" i="33" a="1"/>
  <c r="DH377" i="33" s="1"/>
  <c r="DH376" i="33" a="1"/>
  <c r="DH376" i="33" s="1"/>
  <c r="DH375" i="33" a="1"/>
  <c r="DH375" i="33" s="1"/>
  <c r="DH374" i="33" a="1"/>
  <c r="DH374" i="33" s="1"/>
  <c r="DH373" i="33" a="1"/>
  <c r="DH373" i="33" s="1"/>
  <c r="DH372" i="33" a="1"/>
  <c r="DH372" i="33"/>
  <c r="DH371" i="33" a="1"/>
  <c r="DH371" i="33" s="1"/>
  <c r="DH370" i="33" a="1"/>
  <c r="DH370" i="33"/>
  <c r="DH369" i="33" a="1"/>
  <c r="DH369" i="33" s="1"/>
  <c r="DH368" i="33" a="1"/>
  <c r="DH368" i="33" s="1"/>
  <c r="DH367" i="33" a="1"/>
  <c r="DH367" i="33" s="1"/>
  <c r="DH366" i="33" a="1"/>
  <c r="DH366" i="33" s="1"/>
  <c r="DH365" i="33" a="1"/>
  <c r="DH365" i="33" s="1"/>
  <c r="DH364" i="33" a="1"/>
  <c r="DH364" i="33" s="1"/>
  <c r="DH363" i="33" a="1"/>
  <c r="DH363" i="33" s="1"/>
  <c r="DH362" i="33" a="1"/>
  <c r="DH362" i="33"/>
  <c r="DH361" i="33" a="1"/>
  <c r="DH361" i="33" s="1"/>
  <c r="DH360" i="33" a="1"/>
  <c r="DH360" i="33" s="1"/>
  <c r="DH359" i="33" a="1"/>
  <c r="DH359" i="33" s="1"/>
  <c r="DH358" i="33" a="1"/>
  <c r="DH358" i="33" s="1"/>
  <c r="DH357" i="33" a="1"/>
  <c r="DH357" i="33" s="1"/>
  <c r="DH356" i="33" a="1"/>
  <c r="DH356" i="33"/>
  <c r="DH355" i="33" a="1"/>
  <c r="DH355" i="33" s="1"/>
  <c r="DH354" i="33" a="1"/>
  <c r="DH354" i="33"/>
  <c r="DH353" i="33" a="1"/>
  <c r="DH353" i="33" s="1"/>
  <c r="DH352" i="33" a="1"/>
  <c r="DH352" i="33" s="1"/>
  <c r="DH351" i="33" a="1"/>
  <c r="DH351" i="33" s="1"/>
  <c r="DH350" i="33" a="1"/>
  <c r="DH350" i="33" s="1"/>
  <c r="DH349" i="33" a="1"/>
  <c r="DH349" i="33" s="1"/>
  <c r="DH348" i="33" a="1"/>
  <c r="DH348" i="33" s="1"/>
  <c r="DH347" i="33" a="1"/>
  <c r="DH347" i="33" s="1"/>
  <c r="DH346" i="33" a="1"/>
  <c r="DH346" i="33"/>
  <c r="DH345" i="33" a="1"/>
  <c r="DH345" i="33" s="1"/>
  <c r="DH344" i="33" a="1"/>
  <c r="DH344" i="33" s="1"/>
  <c r="DH343" i="33" a="1"/>
  <c r="DH343" i="33" s="1"/>
  <c r="DH342" i="33" a="1"/>
  <c r="DH342" i="33" s="1"/>
  <c r="DH341" i="33" a="1"/>
  <c r="DH341" i="33" s="1"/>
  <c r="DH340" i="33" a="1"/>
  <c r="DH340" i="33"/>
  <c r="DH339" i="33" a="1"/>
  <c r="DH339" i="33" s="1"/>
  <c r="DH338" i="33" a="1"/>
  <c r="DH338" i="33"/>
  <c r="DH337" i="33" a="1"/>
  <c r="DH337" i="33" s="1"/>
  <c r="DH336" i="33" a="1"/>
  <c r="DH336" i="33" s="1"/>
  <c r="DH335" i="33" a="1"/>
  <c r="DH335" i="33" s="1"/>
  <c r="DH334" i="33" a="1"/>
  <c r="DH334" i="33" s="1"/>
  <c r="DH333" i="33" a="1"/>
  <c r="DH333" i="33" s="1"/>
  <c r="DH332" i="33" a="1"/>
  <c r="DH332" i="33" s="1"/>
  <c r="DH331" i="33" a="1"/>
  <c r="DH331" i="33" s="1"/>
  <c r="DH330" i="33" a="1"/>
  <c r="DH330" i="33"/>
  <c r="DH329" i="33" a="1"/>
  <c r="DH329" i="33" s="1"/>
  <c r="DH328" i="33" a="1"/>
  <c r="DH328" i="33" s="1"/>
  <c r="DH327" i="33" a="1"/>
  <c r="DH327" i="33" s="1"/>
  <c r="DH326" i="33" a="1"/>
  <c r="DH326" i="33" s="1"/>
  <c r="DH325" i="33" a="1"/>
  <c r="DH325" i="33" s="1"/>
  <c r="DH324" i="33" a="1"/>
  <c r="DH324" i="33"/>
  <c r="DH323" i="33" a="1"/>
  <c r="DH323" i="33" s="1"/>
  <c r="DH322" i="33" a="1"/>
  <c r="DH322" i="33"/>
  <c r="DH321" i="33" a="1"/>
  <c r="DH321" i="33" s="1"/>
  <c r="DH320" i="33" a="1"/>
  <c r="DH320" i="33" s="1"/>
  <c r="DH319" i="33" a="1"/>
  <c r="DH319" i="33" s="1"/>
  <c r="DH318" i="33" a="1"/>
  <c r="DH318" i="33" s="1"/>
  <c r="DH317" i="33" a="1"/>
  <c r="DH317" i="33" s="1"/>
  <c r="DH316" i="33" a="1"/>
  <c r="DH316" i="33" s="1"/>
  <c r="DH315" i="33" a="1"/>
  <c r="DH315" i="33" s="1"/>
  <c r="DH314" i="33" a="1"/>
  <c r="DH314" i="33"/>
  <c r="DH313" i="33" a="1"/>
  <c r="DH313" i="33" s="1"/>
  <c r="DH312" i="33" a="1"/>
  <c r="DH312" i="33" s="1"/>
  <c r="DH311" i="33" a="1"/>
  <c r="DH311" i="33" s="1"/>
  <c r="DH310" i="33" a="1"/>
  <c r="DH310" i="33" s="1"/>
  <c r="DH309" i="33" a="1"/>
  <c r="DH309" i="33" s="1"/>
  <c r="DH308" i="33" a="1"/>
  <c r="DH308" i="33"/>
  <c r="DH307" i="33" a="1"/>
  <c r="DH307" i="33" s="1"/>
  <c r="DH306" i="33" a="1"/>
  <c r="DH306" i="33"/>
  <c r="DH305" i="33" a="1"/>
  <c r="DH305" i="33" s="1"/>
  <c r="DH304" i="33" a="1"/>
  <c r="DH304" i="33" s="1"/>
  <c r="DH303" i="33" a="1"/>
  <c r="DH303" i="33" s="1"/>
  <c r="DH302" i="33" a="1"/>
  <c r="DH302" i="33" s="1"/>
  <c r="DH301" i="33" a="1"/>
  <c r="DH301" i="33" s="1"/>
  <c r="DH300" i="33" a="1"/>
  <c r="DH300" i="33" s="1"/>
  <c r="DH299" i="33" a="1"/>
  <c r="DH299" i="33" s="1"/>
  <c r="DH298" i="33" a="1"/>
  <c r="DH298" i="33"/>
  <c r="DH297" i="33" a="1"/>
  <c r="DH297" i="33" s="1"/>
  <c r="DH296" i="33" a="1"/>
  <c r="DH296" i="33" s="1"/>
  <c r="DH295" i="33" a="1"/>
  <c r="DH295" i="33" s="1"/>
  <c r="DH294" i="33" a="1"/>
  <c r="DH294" i="33" s="1"/>
  <c r="DH293" i="33" a="1"/>
  <c r="DH293" i="33" s="1"/>
  <c r="DH292" i="33" a="1"/>
  <c r="DH292" i="33"/>
  <c r="DH291" i="33" a="1"/>
  <c r="DH291" i="33" s="1"/>
  <c r="DH290" i="33" a="1"/>
  <c r="DH290" i="33"/>
  <c r="DH289" i="33" a="1"/>
  <c r="DH289" i="33" s="1"/>
  <c r="DH288" i="33" a="1"/>
  <c r="DH288" i="33" s="1"/>
  <c r="DH287" i="33" a="1"/>
  <c r="DH287" i="33" s="1"/>
  <c r="DH286" i="33" a="1"/>
  <c r="DH286" i="33" s="1"/>
  <c r="DH285" i="33" a="1"/>
  <c r="DH285" i="33" s="1"/>
  <c r="DH284" i="33" a="1"/>
  <c r="DH284" i="33" s="1"/>
  <c r="DH283" i="33" a="1"/>
  <c r="DH283" i="33" s="1"/>
  <c r="DH282" i="33" a="1"/>
  <c r="DH282" i="33"/>
  <c r="DH281" i="33" a="1"/>
  <c r="DH281" i="33" s="1"/>
  <c r="DH280" i="33" a="1"/>
  <c r="DH280" i="33" s="1"/>
  <c r="DH279" i="33" a="1"/>
  <c r="DH279" i="33" s="1"/>
  <c r="DH278" i="33" a="1"/>
  <c r="DH278" i="33" s="1"/>
  <c r="DH277" i="33" a="1"/>
  <c r="DH277" i="33" s="1"/>
  <c r="DH276" i="33" a="1"/>
  <c r="DH276" i="33"/>
  <c r="DH275" i="33" a="1"/>
  <c r="DH275" i="33" s="1"/>
  <c r="DH274" i="33" a="1"/>
  <c r="DH274" i="33"/>
  <c r="DH273" i="33" a="1"/>
  <c r="DH273" i="33" s="1"/>
  <c r="DH272" i="33" a="1"/>
  <c r="DH272" i="33" s="1"/>
  <c r="DH271" i="33" a="1"/>
  <c r="DH271" i="33" s="1"/>
  <c r="DH270" i="33" a="1"/>
  <c r="DH270" i="33" s="1"/>
  <c r="DH269" i="33" a="1"/>
  <c r="DH269" i="33" s="1"/>
  <c r="DH268" i="33" a="1"/>
  <c r="DH268" i="33" s="1"/>
  <c r="DH267" i="33" a="1"/>
  <c r="DH267" i="33" s="1"/>
  <c r="DH266" i="33" a="1"/>
  <c r="DH266" i="33"/>
  <c r="DH265" i="33" a="1"/>
  <c r="DH265" i="33" s="1"/>
  <c r="DH264" i="33" a="1"/>
  <c r="DH264" i="33" s="1"/>
  <c r="DH263" i="33" a="1"/>
  <c r="DH263" i="33" s="1"/>
  <c r="DH262" i="33" a="1"/>
  <c r="DH262" i="33" s="1"/>
  <c r="DH261" i="33" a="1"/>
  <c r="DH261" i="33" s="1"/>
  <c r="DH260" i="33" a="1"/>
  <c r="DH260" i="33"/>
  <c r="DH259" i="33" a="1"/>
  <c r="DH259" i="33" s="1"/>
  <c r="DH258" i="33" a="1"/>
  <c r="DH258" i="33" s="1"/>
  <c r="DH257" i="33" a="1"/>
  <c r="DH257" i="33" s="1"/>
  <c r="DH256" i="33" a="1"/>
  <c r="DH256" i="33" s="1"/>
  <c r="DH255" i="33" a="1"/>
  <c r="DH255" i="33" s="1"/>
  <c r="DH254" i="33" a="1"/>
  <c r="DH254" i="33" s="1"/>
  <c r="DH253" i="33" a="1"/>
  <c r="DH253" i="33" s="1"/>
  <c r="DH252" i="33" a="1"/>
  <c r="DH252" i="33"/>
  <c r="DH251" i="33" a="1"/>
  <c r="DH251" i="33" s="1"/>
  <c r="DH250" i="33" a="1"/>
  <c r="DH250" i="33" s="1"/>
  <c r="DH249" i="33" a="1"/>
  <c r="DH249" i="33" s="1"/>
  <c r="DH248" i="33" a="1"/>
  <c r="DH248" i="33" s="1"/>
  <c r="DH247" i="33" a="1"/>
  <c r="DH247" i="33" s="1"/>
  <c r="DH246" i="33" a="1"/>
  <c r="DH246" i="33" s="1"/>
  <c r="DH245" i="33" a="1"/>
  <c r="DH245" i="33" s="1"/>
  <c r="DH244" i="33" a="1"/>
  <c r="DH244" i="33" s="1"/>
  <c r="DH243" i="33" a="1"/>
  <c r="DH243" i="33" s="1"/>
  <c r="DH242" i="33" a="1"/>
  <c r="DH242" i="33" s="1"/>
  <c r="DH241" i="33" a="1"/>
  <c r="DH241" i="33" s="1"/>
  <c r="DH240" i="33" a="1"/>
  <c r="DH240" i="33" s="1"/>
  <c r="DH239" i="33" a="1"/>
  <c r="DH239" i="33" s="1"/>
  <c r="DH238" i="33" a="1"/>
  <c r="DH238" i="33" s="1"/>
  <c r="DH237" i="33" a="1"/>
  <c r="DH237" i="33" s="1"/>
  <c r="DH236" i="33" a="1"/>
  <c r="DH236" i="33"/>
  <c r="DH235" i="33" a="1"/>
  <c r="DH235" i="33" s="1"/>
  <c r="DH234" i="33" a="1"/>
  <c r="DH234" i="33" s="1"/>
  <c r="DH233" i="33" a="1"/>
  <c r="DH233" i="33" s="1"/>
  <c r="DH232" i="33" a="1"/>
  <c r="DH232" i="33" s="1"/>
  <c r="DH231" i="33" a="1"/>
  <c r="DH231" i="33" s="1"/>
  <c r="DH230" i="33" a="1"/>
  <c r="DH230" i="33" s="1"/>
  <c r="DH229" i="33" a="1"/>
  <c r="DH229" i="33" s="1"/>
  <c r="DH228" i="33" a="1"/>
  <c r="DH228" i="33"/>
  <c r="DH227" i="33" a="1"/>
  <c r="DH227" i="33" s="1"/>
  <c r="DH226" i="33" a="1"/>
  <c r="DH226" i="33"/>
  <c r="DH225" i="33" a="1"/>
  <c r="DH225" i="33" s="1"/>
  <c r="DH224" i="33" a="1"/>
  <c r="DH224" i="33" s="1"/>
  <c r="DH223" i="33" a="1"/>
  <c r="DH223" i="33" s="1"/>
  <c r="DH222" i="33" a="1"/>
  <c r="DH222" i="33" s="1"/>
  <c r="DH221" i="33" a="1"/>
  <c r="DH221" i="33" s="1"/>
  <c r="DH220" i="33" a="1"/>
  <c r="DH220" i="33" s="1"/>
  <c r="DH219" i="33" a="1"/>
  <c r="DH219" i="33" s="1"/>
  <c r="DH218" i="33" a="1"/>
  <c r="DH218" i="33"/>
  <c r="DH217" i="33" a="1"/>
  <c r="DH217" i="33" s="1"/>
  <c r="DH216" i="33" a="1"/>
  <c r="DH216" i="33" s="1"/>
  <c r="DH215" i="33" a="1"/>
  <c r="DH215" i="33" s="1"/>
  <c r="DH214" i="33" a="1"/>
  <c r="DH214" i="33" s="1"/>
  <c r="DH213" i="33" a="1"/>
  <c r="DH213" i="33"/>
  <c r="DH212" i="33" a="1"/>
  <c r="DH212" i="33" s="1"/>
  <c r="DH211" i="33" a="1"/>
  <c r="DH211" i="33" s="1"/>
  <c r="DH210" i="33" a="1"/>
  <c r="DH210" i="33" s="1"/>
  <c r="DH209" i="33" a="1"/>
  <c r="DH209" i="33" s="1"/>
  <c r="DH208" i="33" a="1"/>
  <c r="DH208" i="33" s="1"/>
  <c r="DH207" i="33" a="1"/>
  <c r="DH207" i="33" s="1"/>
  <c r="DH206" i="33" a="1"/>
  <c r="DH206" i="33" s="1"/>
  <c r="DH205" i="33" a="1"/>
  <c r="DH205" i="33" s="1"/>
  <c r="DH204" i="33" a="1"/>
  <c r="DH204" i="33" s="1"/>
  <c r="DH203" i="33" a="1"/>
  <c r="DH203" i="33" s="1"/>
  <c r="DH202" i="33" a="1"/>
  <c r="DH202" i="33" s="1"/>
  <c r="DH201" i="33" a="1"/>
  <c r="DH201" i="33" s="1"/>
  <c r="DH200" i="33" a="1"/>
  <c r="DH200" i="33" s="1"/>
  <c r="DH199" i="33" a="1"/>
  <c r="DH199" i="33" s="1"/>
  <c r="DH198" i="33" a="1"/>
  <c r="DH198" i="33" s="1"/>
  <c r="DH197" i="33" a="1"/>
  <c r="DH197" i="33" s="1"/>
  <c r="DH196" i="33" a="1"/>
  <c r="DH196" i="33" s="1"/>
  <c r="DH195" i="33" a="1"/>
  <c r="DH195" i="33" s="1"/>
  <c r="DH194" i="33" a="1"/>
  <c r="DH194" i="33" s="1"/>
  <c r="DH193" i="33" a="1"/>
  <c r="DH193" i="33" s="1"/>
  <c r="DH192" i="33" a="1"/>
  <c r="DH192" i="33" s="1"/>
  <c r="DH191" i="33" a="1"/>
  <c r="DH191" i="33" s="1"/>
  <c r="DH190" i="33" a="1"/>
  <c r="DH190" i="33" s="1"/>
  <c r="DH189" i="33" a="1"/>
  <c r="DH189" i="33" s="1"/>
  <c r="DH188" i="33" a="1"/>
  <c r="DH188" i="33" s="1"/>
  <c r="DH187" i="33" a="1"/>
  <c r="DH187" i="33" s="1"/>
  <c r="DH186" i="33" a="1"/>
  <c r="DH186" i="33" s="1"/>
  <c r="DH185" i="33" a="1"/>
  <c r="DH185" i="33" s="1"/>
  <c r="DH184" i="33" a="1"/>
  <c r="DH184" i="33" s="1"/>
  <c r="DH183" i="33" a="1"/>
  <c r="DH183" i="33" s="1"/>
  <c r="DH182" i="33" a="1"/>
  <c r="DH182" i="33" s="1"/>
  <c r="DH181" i="33" a="1"/>
  <c r="DH181" i="33" s="1"/>
  <c r="DH180" i="33" a="1"/>
  <c r="DH180" i="33" s="1"/>
  <c r="DH179" i="33" a="1"/>
  <c r="DH179" i="33" s="1"/>
  <c r="DH178" i="33" a="1"/>
  <c r="DH178" i="33" s="1"/>
  <c r="DH177" i="33" a="1"/>
  <c r="DH177" i="33" s="1"/>
  <c r="DH176" i="33" a="1"/>
  <c r="DH176" i="33" s="1"/>
  <c r="DH175" i="33" a="1"/>
  <c r="DH175" i="33" s="1"/>
  <c r="DH174" i="33" a="1"/>
  <c r="DH174" i="33" s="1"/>
  <c r="DH173" i="33" a="1"/>
  <c r="DH173" i="33" s="1"/>
  <c r="DH172" i="33" a="1"/>
  <c r="DH172" i="33" s="1"/>
  <c r="DH171" i="33" a="1"/>
  <c r="DH171" i="33" s="1"/>
  <c r="DH170" i="33" a="1"/>
  <c r="DH170" i="33" s="1"/>
  <c r="DH169" i="33" a="1"/>
  <c r="DH169" i="33" s="1"/>
  <c r="DH168" i="33" a="1"/>
  <c r="DH168" i="33" s="1"/>
  <c r="DH167" i="33" a="1"/>
  <c r="DH167" i="33" s="1"/>
  <c r="DH166" i="33" a="1"/>
  <c r="DH166" i="33" s="1"/>
  <c r="DH165" i="33" a="1"/>
  <c r="DH165" i="33" s="1"/>
  <c r="DH164" i="33" a="1"/>
  <c r="DH164" i="33" s="1"/>
  <c r="DH163" i="33" a="1"/>
  <c r="DH163" i="33" s="1"/>
  <c r="DH162" i="33" a="1"/>
  <c r="DH162" i="33" s="1"/>
  <c r="DH161" i="33" a="1"/>
  <c r="DH161" i="33" s="1"/>
  <c r="DH160" i="33" a="1"/>
  <c r="DH160" i="33" s="1"/>
  <c r="DH159" i="33" a="1"/>
  <c r="DH159" i="33" s="1"/>
  <c r="DH158" i="33" a="1"/>
  <c r="DH158" i="33" s="1"/>
  <c r="DH157" i="33" a="1"/>
  <c r="DH157" i="33" s="1"/>
  <c r="DH156" i="33" a="1"/>
  <c r="DH156" i="33" s="1"/>
  <c r="DH155" i="33" a="1"/>
  <c r="DH155" i="33" s="1"/>
  <c r="DH154" i="33" a="1"/>
  <c r="DH154" i="33" s="1"/>
  <c r="DH153" i="33" a="1"/>
  <c r="DH153" i="33" s="1"/>
  <c r="DH152" i="33" a="1"/>
  <c r="DH152" i="33" s="1"/>
  <c r="DH151" i="33" a="1"/>
  <c r="DH151" i="33" s="1"/>
  <c r="DH150" i="33" a="1"/>
  <c r="DH150" i="33" s="1"/>
  <c r="DH149" i="33" a="1"/>
  <c r="DH149" i="33" s="1"/>
  <c r="DH148" i="33" a="1"/>
  <c r="DH148" i="33" s="1"/>
  <c r="DH147" i="33" a="1"/>
  <c r="DH147" i="33" s="1"/>
  <c r="DH146" i="33" a="1"/>
  <c r="DH146" i="33" s="1"/>
  <c r="DH145" i="33" a="1"/>
  <c r="DH145" i="33" s="1"/>
  <c r="DH144" i="33" a="1"/>
  <c r="DH144" i="33" s="1"/>
  <c r="DH143" i="33" a="1"/>
  <c r="DH143" i="33" s="1"/>
  <c r="DH142" i="33" a="1"/>
  <c r="DH142" i="33" s="1"/>
  <c r="DH141" i="33" a="1"/>
  <c r="DH141" i="33" s="1"/>
  <c r="DH140" i="33" a="1"/>
  <c r="DH140" i="33" s="1"/>
  <c r="DH139" i="33" a="1"/>
  <c r="DH139" i="33" s="1"/>
  <c r="DH138" i="33" a="1"/>
  <c r="DH138" i="33" s="1"/>
  <c r="DH137" i="33" a="1"/>
  <c r="DH137" i="33" s="1"/>
  <c r="DH136" i="33" a="1"/>
  <c r="DH136" i="33" s="1"/>
  <c r="DH135" i="33" a="1"/>
  <c r="DH135" i="33" s="1"/>
  <c r="DH134" i="33" a="1"/>
  <c r="DH134" i="33" s="1"/>
  <c r="DH133" i="33" a="1"/>
  <c r="DH133" i="33" s="1"/>
  <c r="DH132" i="33" a="1"/>
  <c r="DH132" i="33" s="1"/>
  <c r="DH131" i="33" a="1"/>
  <c r="DH131" i="33" s="1"/>
  <c r="DH130" i="33" a="1"/>
  <c r="DH130" i="33" s="1"/>
  <c r="DH129" i="33" a="1"/>
  <c r="DH129" i="33" s="1"/>
  <c r="DH128" i="33" a="1"/>
  <c r="DH128" i="33" s="1"/>
  <c r="DH127" i="33" a="1"/>
  <c r="DH127" i="33" s="1"/>
  <c r="DH126" i="33" a="1"/>
  <c r="DH126" i="33" s="1"/>
  <c r="DH125" i="33" a="1"/>
  <c r="DH125" i="33" s="1"/>
  <c r="DH124" i="33" a="1"/>
  <c r="DH124" i="33" s="1"/>
  <c r="DH123" i="33" a="1"/>
  <c r="DH123" i="33" s="1"/>
  <c r="DH122" i="33" a="1"/>
  <c r="DH122" i="33" s="1"/>
  <c r="DH121" i="33" a="1"/>
  <c r="DH121" i="33" s="1"/>
  <c r="DH120" i="33" a="1"/>
  <c r="DH120" i="33" s="1"/>
  <c r="DH119" i="33" a="1"/>
  <c r="DH119" i="33" s="1"/>
  <c r="DH118" i="33" a="1"/>
  <c r="DH118" i="33" s="1"/>
  <c r="DH117" i="33" a="1"/>
  <c r="DH117" i="33" s="1"/>
  <c r="DH116" i="33" a="1"/>
  <c r="DH116" i="33" s="1"/>
  <c r="DH115" i="33" a="1"/>
  <c r="DH115" i="33" s="1"/>
  <c r="DH114" i="33" a="1"/>
  <c r="DH114" i="33" s="1"/>
  <c r="DH113" i="33" a="1"/>
  <c r="DH113" i="33" s="1"/>
  <c r="DH112" i="33" a="1"/>
  <c r="DH112" i="33" s="1"/>
  <c r="DH111" i="33" a="1"/>
  <c r="DH111" i="33" s="1"/>
  <c r="DH110" i="33" a="1"/>
  <c r="DH110" i="33" s="1"/>
  <c r="DH109" i="33" a="1"/>
  <c r="DH109" i="33" s="1"/>
  <c r="DH108" i="33" a="1"/>
  <c r="DH108" i="33" s="1"/>
  <c r="DH107" i="33" a="1"/>
  <c r="DH107" i="33" s="1"/>
  <c r="DH106" i="33" a="1"/>
  <c r="DH106" i="33" s="1"/>
  <c r="DH105" i="33" a="1"/>
  <c r="DH105" i="33" s="1"/>
  <c r="DH104" i="33" a="1"/>
  <c r="DH104" i="33" s="1"/>
  <c r="DH103" i="33" a="1"/>
  <c r="DH103" i="33" s="1"/>
  <c r="DH102" i="33" a="1"/>
  <c r="DH102" i="33" s="1"/>
  <c r="DH101" i="33" a="1"/>
  <c r="DH101" i="33" s="1"/>
  <c r="DH100" i="33" a="1"/>
  <c r="DH100" i="33" s="1"/>
  <c r="DH99" i="33" a="1"/>
  <c r="DH99" i="33" s="1"/>
  <c r="DH98" i="33" a="1"/>
  <c r="DH98" i="33" s="1"/>
  <c r="DH97" i="33" a="1"/>
  <c r="DH97" i="33" s="1"/>
  <c r="DH96" i="33" a="1"/>
  <c r="DH96" i="33" s="1"/>
  <c r="DH95" i="33" a="1"/>
  <c r="DH95" i="33" s="1"/>
  <c r="DH94" i="33" a="1"/>
  <c r="DH94" i="33" s="1"/>
  <c r="DH93" i="33" a="1"/>
  <c r="DH93" i="33" s="1"/>
  <c r="DH92" i="33" a="1"/>
  <c r="DH92" i="33" s="1"/>
  <c r="DH91" i="33" a="1"/>
  <c r="DH91" i="33" s="1"/>
  <c r="DH90" i="33" a="1"/>
  <c r="DH90" i="33" s="1"/>
  <c r="DH89" i="33" a="1"/>
  <c r="DH89" i="33" s="1"/>
  <c r="DH88" i="33" a="1"/>
  <c r="DH88" i="33" s="1"/>
  <c r="DH87" i="33" a="1"/>
  <c r="DH87" i="33" s="1"/>
  <c r="DH86" i="33" a="1"/>
  <c r="DH86" i="33" s="1"/>
  <c r="DH85" i="33" a="1"/>
  <c r="DH85" i="33" s="1"/>
  <c r="DH84" i="33" a="1"/>
  <c r="DH84" i="33" s="1"/>
  <c r="DH83" i="33" a="1"/>
  <c r="DH83" i="33" s="1"/>
  <c r="DH82" i="33" a="1"/>
  <c r="DH82" i="33" s="1"/>
  <c r="DH81" i="33" a="1"/>
  <c r="DH81" i="33" s="1"/>
  <c r="DH80" i="33" a="1"/>
  <c r="DH80" i="33" s="1"/>
  <c r="DH79" i="33" a="1"/>
  <c r="DH79" i="33" s="1"/>
  <c r="DH78" i="33" a="1"/>
  <c r="DH78" i="33" s="1"/>
  <c r="DH77" i="33" a="1"/>
  <c r="DH77" i="33" s="1"/>
  <c r="DH76" i="33" a="1"/>
  <c r="DH76" i="33" s="1"/>
  <c r="DH75" i="33" a="1"/>
  <c r="DH75" i="33" s="1"/>
  <c r="DH74" i="33" a="1"/>
  <c r="DH74" i="33" s="1"/>
  <c r="DH73" i="33" a="1"/>
  <c r="DH73" i="33" s="1"/>
  <c r="DH72" i="33" a="1"/>
  <c r="DH72" i="33" s="1"/>
  <c r="DH71" i="33" a="1"/>
  <c r="DH71" i="33" s="1"/>
  <c r="DH70" i="33" a="1"/>
  <c r="DH70" i="33" s="1"/>
  <c r="DH69" i="33" a="1"/>
  <c r="DH69" i="33" s="1"/>
  <c r="DH68" i="33" a="1"/>
  <c r="DH68" i="33" s="1"/>
  <c r="DH67" i="33" a="1"/>
  <c r="DH67" i="33" s="1"/>
  <c r="DH66" i="33" a="1"/>
  <c r="DH66" i="33" s="1"/>
  <c r="DH65" i="33" a="1"/>
  <c r="DH65" i="33" s="1"/>
  <c r="DH64" i="33" a="1"/>
  <c r="DH64" i="33" s="1"/>
  <c r="DH63" i="33" a="1"/>
  <c r="DH63" i="33" s="1"/>
  <c r="DH62" i="33" a="1"/>
  <c r="DH62" i="33" s="1"/>
  <c r="DH61" i="33" a="1"/>
  <c r="DH61" i="33" s="1"/>
  <c r="DH60" i="33" a="1"/>
  <c r="DH60" i="33" s="1"/>
  <c r="DH59" i="33" a="1"/>
  <c r="DH59" i="33" s="1"/>
  <c r="DH58" i="33" a="1"/>
  <c r="DH58" i="33" s="1"/>
  <c r="DH57" i="33" a="1"/>
  <c r="DH57" i="33" s="1"/>
  <c r="DH56" i="33" a="1"/>
  <c r="DH56" i="33" s="1"/>
  <c r="DH55" i="33" a="1"/>
  <c r="DH55" i="33" s="1"/>
  <c r="DH54" i="33" a="1"/>
  <c r="DH54" i="33" s="1"/>
  <c r="DH53" i="33" a="1"/>
  <c r="DH53" i="33" s="1"/>
  <c r="DH52" i="33" a="1"/>
  <c r="DH52" i="33" s="1"/>
  <c r="DH51" i="33" a="1"/>
  <c r="DH51" i="33" s="1"/>
  <c r="DH50" i="33" a="1"/>
  <c r="DH50" i="33" s="1"/>
  <c r="DH49" i="33" a="1"/>
  <c r="DH49" i="33" s="1"/>
  <c r="DH48" i="33" a="1"/>
  <c r="DH48" i="33" s="1"/>
  <c r="DH47" i="33" a="1"/>
  <c r="DH47" i="33" s="1"/>
  <c r="DH46" i="33" a="1"/>
  <c r="DH46" i="33" s="1"/>
  <c r="DH45" i="33" a="1"/>
  <c r="DH45" i="33" s="1"/>
  <c r="DH44" i="33" a="1"/>
  <c r="DH44" i="33" s="1"/>
  <c r="DH43" i="33" a="1"/>
  <c r="DH43" i="33" s="1"/>
  <c r="DH42" i="33" a="1"/>
  <c r="DH42" i="33" s="1"/>
  <c r="DH41" i="33" a="1"/>
  <c r="DH41" i="33" s="1"/>
  <c r="DH40" i="33" a="1"/>
  <c r="DH40" i="33" s="1"/>
  <c r="DH39" i="33" a="1"/>
  <c r="DH39" i="33" s="1"/>
  <c r="DH38" i="33" a="1"/>
  <c r="DH38" i="33" s="1"/>
  <c r="DH37" i="33" a="1"/>
  <c r="DH37" i="33" s="1"/>
  <c r="DH36" i="33" a="1"/>
  <c r="DH36" i="33" s="1"/>
  <c r="DH35" i="33" a="1"/>
  <c r="DH35" i="33" s="1"/>
  <c r="DH33" i="33" a="1"/>
  <c r="DH33" i="33" s="1"/>
  <c r="CR27" i="33"/>
  <c r="W27" i="10"/>
  <c r="W28" i="10"/>
  <c r="W29" i="10" s="1"/>
  <c r="F551" i="33"/>
  <c r="F550" i="33"/>
  <c r="F549" i="33"/>
  <c r="F548" i="33"/>
  <c r="F547" i="33"/>
  <c r="F546" i="33"/>
  <c r="F545" i="33"/>
  <c r="F544" i="33"/>
  <c r="F543" i="33"/>
  <c r="F542" i="33"/>
  <c r="F541" i="33"/>
  <c r="F540" i="33"/>
  <c r="F539" i="33"/>
  <c r="F538" i="33"/>
  <c r="F537" i="33"/>
  <c r="F536" i="33"/>
  <c r="F535" i="33"/>
  <c r="F534" i="33"/>
  <c r="F533" i="33"/>
  <c r="F532" i="33"/>
  <c r="F531" i="33"/>
  <c r="F530" i="33"/>
  <c r="F529" i="33"/>
  <c r="F528" i="33"/>
  <c r="F527" i="33"/>
  <c r="F526" i="33"/>
  <c r="F525" i="33"/>
  <c r="F524" i="33"/>
  <c r="F523" i="33"/>
  <c r="F522" i="33"/>
  <c r="F521" i="33"/>
  <c r="F520" i="33"/>
  <c r="F519" i="33"/>
  <c r="F518" i="33"/>
  <c r="F517" i="33"/>
  <c r="F516" i="33"/>
  <c r="F515" i="33"/>
  <c r="F514" i="33"/>
  <c r="F513" i="33"/>
  <c r="F512" i="33"/>
  <c r="F511" i="33"/>
  <c r="F510" i="33"/>
  <c r="F509" i="33"/>
  <c r="F508" i="33"/>
  <c r="F507" i="33"/>
  <c r="F506" i="33"/>
  <c r="F505" i="33"/>
  <c r="F504" i="33"/>
  <c r="F503" i="33"/>
  <c r="F502" i="33"/>
  <c r="F501" i="33"/>
  <c r="F500" i="33"/>
  <c r="F499" i="33"/>
  <c r="F498" i="33"/>
  <c r="F497" i="33"/>
  <c r="F496" i="33"/>
  <c r="F495" i="33"/>
  <c r="F494" i="33"/>
  <c r="F493" i="33"/>
  <c r="F492" i="33"/>
  <c r="F491" i="33"/>
  <c r="F490" i="33"/>
  <c r="F489" i="33"/>
  <c r="F488" i="33"/>
  <c r="F487" i="33"/>
  <c r="F486" i="33"/>
  <c r="F485" i="33"/>
  <c r="F484" i="33"/>
  <c r="F483" i="33"/>
  <c r="F482" i="33"/>
  <c r="F481" i="33"/>
  <c r="F480" i="33"/>
  <c r="F479" i="33"/>
  <c r="F478" i="33"/>
  <c r="F477" i="33"/>
  <c r="F476" i="33"/>
  <c r="F475" i="33"/>
  <c r="F474" i="33"/>
  <c r="F473" i="33"/>
  <c r="F472" i="33"/>
  <c r="F471" i="33"/>
  <c r="F470" i="33"/>
  <c r="F469" i="33"/>
  <c r="F468" i="33"/>
  <c r="F467" i="33"/>
  <c r="F466" i="33"/>
  <c r="F465" i="33"/>
  <c r="F464" i="33"/>
  <c r="F463" i="33"/>
  <c r="F462" i="33"/>
  <c r="F461" i="33"/>
  <c r="F460" i="33"/>
  <c r="F459" i="33"/>
  <c r="F458" i="33"/>
  <c r="F457" i="33"/>
  <c r="F456" i="33"/>
  <c r="F455" i="33"/>
  <c r="F454" i="33"/>
  <c r="F453" i="33"/>
  <c r="F452" i="33"/>
  <c r="F451" i="33"/>
  <c r="F450" i="33"/>
  <c r="F449" i="33"/>
  <c r="F448" i="33"/>
  <c r="F447" i="33"/>
  <c r="F446" i="33"/>
  <c r="F445" i="33"/>
  <c r="F444" i="33"/>
  <c r="F443" i="33"/>
  <c r="F442" i="33"/>
  <c r="F441" i="33"/>
  <c r="F440" i="33"/>
  <c r="F439" i="33"/>
  <c r="F438" i="33"/>
  <c r="F437" i="33"/>
  <c r="F436" i="33"/>
  <c r="F435" i="33"/>
  <c r="F434" i="33"/>
  <c r="F433" i="33"/>
  <c r="F432" i="33"/>
  <c r="F431" i="33"/>
  <c r="F430" i="33"/>
  <c r="F429" i="33"/>
  <c r="F428" i="33"/>
  <c r="F427" i="33"/>
  <c r="F426" i="33"/>
  <c r="F425" i="33"/>
  <c r="F424" i="33"/>
  <c r="F423" i="33"/>
  <c r="F422" i="33"/>
  <c r="F421" i="33"/>
  <c r="F420" i="33"/>
  <c r="F419" i="33"/>
  <c r="F418" i="33"/>
  <c r="F417" i="33"/>
  <c r="F416" i="33"/>
  <c r="F415" i="33"/>
  <c r="F414" i="33"/>
  <c r="F413" i="33"/>
  <c r="F412" i="33"/>
  <c r="F411" i="33"/>
  <c r="F410" i="33"/>
  <c r="F409" i="33"/>
  <c r="F408" i="33"/>
  <c r="F407" i="33"/>
  <c r="F406" i="33"/>
  <c r="F405" i="33"/>
  <c r="F404" i="33"/>
  <c r="F403" i="33"/>
  <c r="F402" i="33"/>
  <c r="F401" i="33"/>
  <c r="F400" i="33"/>
  <c r="F399" i="33"/>
  <c r="F398" i="33"/>
  <c r="F397" i="33"/>
  <c r="F396" i="33"/>
  <c r="F395" i="33"/>
  <c r="F394" i="33"/>
  <c r="F393" i="33"/>
  <c r="F392" i="33"/>
  <c r="F391" i="33"/>
  <c r="F390" i="33"/>
  <c r="F389" i="33"/>
  <c r="F388" i="33"/>
  <c r="F387" i="33"/>
  <c r="F386" i="33"/>
  <c r="F385" i="33"/>
  <c r="F384" i="33"/>
  <c r="F383" i="33"/>
  <c r="F382" i="33"/>
  <c r="F381" i="33"/>
  <c r="F380" i="33"/>
  <c r="F379" i="33"/>
  <c r="F378" i="33"/>
  <c r="F377" i="33"/>
  <c r="F376" i="33"/>
  <c r="F375" i="33"/>
  <c r="F374" i="33"/>
  <c r="F373" i="33"/>
  <c r="F372" i="33"/>
  <c r="F371" i="33"/>
  <c r="F370" i="33"/>
  <c r="F369" i="33"/>
  <c r="F368" i="33"/>
  <c r="F367" i="33"/>
  <c r="F366" i="33"/>
  <c r="F365" i="33"/>
  <c r="F364" i="33"/>
  <c r="F363" i="33"/>
  <c r="F362" i="33"/>
  <c r="F361" i="33"/>
  <c r="F360" i="33"/>
  <c r="F359" i="33"/>
  <c r="F358" i="33"/>
  <c r="F357" i="33"/>
  <c r="F356" i="33"/>
  <c r="F355" i="33"/>
  <c r="F354" i="33"/>
  <c r="F353" i="33"/>
  <c r="F352" i="33"/>
  <c r="F351" i="33"/>
  <c r="F350" i="33"/>
  <c r="F349" i="33"/>
  <c r="F348" i="33"/>
  <c r="F347" i="33"/>
  <c r="F346" i="33"/>
  <c r="F345" i="33"/>
  <c r="F344" i="33"/>
  <c r="F343" i="33"/>
  <c r="F342" i="33"/>
  <c r="F341" i="33"/>
  <c r="F340" i="33"/>
  <c r="F339" i="33"/>
  <c r="F338" i="33"/>
  <c r="F337" i="33"/>
  <c r="F336" i="33"/>
  <c r="F335" i="33"/>
  <c r="F334" i="33"/>
  <c r="F333" i="33"/>
  <c r="F332" i="33"/>
  <c r="F331" i="33"/>
  <c r="F330" i="33"/>
  <c r="F329" i="33"/>
  <c r="F328" i="33"/>
  <c r="F327" i="33"/>
  <c r="F326" i="33"/>
  <c r="F325" i="33"/>
  <c r="F324" i="33"/>
  <c r="F323" i="33"/>
  <c r="F322" i="33"/>
  <c r="F321" i="33"/>
  <c r="F320" i="33"/>
  <c r="F319" i="33"/>
  <c r="F318" i="33"/>
  <c r="F317" i="33"/>
  <c r="F316" i="33"/>
  <c r="F315" i="33"/>
  <c r="F314" i="33"/>
  <c r="F313" i="33"/>
  <c r="F312" i="33"/>
  <c r="F311" i="33"/>
  <c r="F310" i="33"/>
  <c r="F309" i="33"/>
  <c r="F308" i="33"/>
  <c r="F307" i="33"/>
  <c r="F306" i="33"/>
  <c r="F305" i="33"/>
  <c r="F304" i="33"/>
  <c r="F303" i="33"/>
  <c r="F302" i="33"/>
  <c r="F301" i="33"/>
  <c r="F300" i="33"/>
  <c r="F299" i="33"/>
  <c r="F298" i="33"/>
  <c r="F297" i="33"/>
  <c r="F296" i="33"/>
  <c r="F295" i="33"/>
  <c r="F294" i="33"/>
  <c r="F293" i="33"/>
  <c r="F292" i="33"/>
  <c r="F291" i="33"/>
  <c r="F290" i="33"/>
  <c r="F289" i="33"/>
  <c r="F288" i="33"/>
  <c r="F287" i="33"/>
  <c r="F286" i="33"/>
  <c r="F285" i="33"/>
  <c r="F284" i="33"/>
  <c r="F283" i="33"/>
  <c r="F282" i="33"/>
  <c r="F281" i="33"/>
  <c r="F280" i="33"/>
  <c r="F279" i="33"/>
  <c r="F278" i="33"/>
  <c r="F277" i="33"/>
  <c r="F276" i="33"/>
  <c r="F275" i="33"/>
  <c r="F274" i="33"/>
  <c r="F273" i="33"/>
  <c r="F272" i="33"/>
  <c r="F271" i="33"/>
  <c r="F270" i="33"/>
  <c r="F269" i="33"/>
  <c r="F268" i="33"/>
  <c r="F267" i="33"/>
  <c r="F266" i="33"/>
  <c r="F265" i="33"/>
  <c r="F264" i="33"/>
  <c r="F263" i="33"/>
  <c r="F262" i="33"/>
  <c r="F261" i="33"/>
  <c r="F260" i="33"/>
  <c r="F259" i="33"/>
  <c r="F258" i="33"/>
  <c r="F257" i="33"/>
  <c r="F256" i="33"/>
  <c r="F255" i="33"/>
  <c r="F254" i="33"/>
  <c r="F253" i="33"/>
  <c r="F252" i="33"/>
  <c r="F251" i="33"/>
  <c r="F250" i="33"/>
  <c r="F249" i="33"/>
  <c r="F248" i="33"/>
  <c r="F247" i="33"/>
  <c r="F246" i="33"/>
  <c r="F245" i="33"/>
  <c r="F244" i="33"/>
  <c r="F243" i="33"/>
  <c r="F242" i="33"/>
  <c r="F241" i="33"/>
  <c r="F240" i="33"/>
  <c r="F239" i="33"/>
  <c r="F238" i="33"/>
  <c r="F237" i="33"/>
  <c r="F236" i="33"/>
  <c r="F235" i="33"/>
  <c r="F234" i="33"/>
  <c r="F233" i="33"/>
  <c r="F232" i="33"/>
  <c r="F231" i="33"/>
  <c r="F230" i="33"/>
  <c r="F229" i="33"/>
  <c r="F228" i="33"/>
  <c r="F227" i="33"/>
  <c r="F226" i="33"/>
  <c r="F225" i="33"/>
  <c r="F224" i="33"/>
  <c r="F223" i="33"/>
  <c r="F222" i="33"/>
  <c r="F221" i="33"/>
  <c r="F220" i="33"/>
  <c r="F219" i="33"/>
  <c r="F218" i="33"/>
  <c r="F217" i="33"/>
  <c r="F216" i="33"/>
  <c r="F215" i="33"/>
  <c r="F214" i="33"/>
  <c r="F213" i="33"/>
  <c r="F212" i="33"/>
  <c r="F211" i="33"/>
  <c r="F210" i="33"/>
  <c r="F209" i="33"/>
  <c r="F208" i="33"/>
  <c r="F207" i="33"/>
  <c r="F206" i="33"/>
  <c r="F205" i="33"/>
  <c r="F204" i="33"/>
  <c r="F203" i="33"/>
  <c r="F202" i="33"/>
  <c r="F201" i="33"/>
  <c r="F200" i="33"/>
  <c r="F199" i="33"/>
  <c r="F198" i="33"/>
  <c r="F197" i="33"/>
  <c r="F196" i="33"/>
  <c r="F195" i="33"/>
  <c r="F194" i="33"/>
  <c r="F193" i="33"/>
  <c r="F192" i="33"/>
  <c r="F191" i="33"/>
  <c r="F190" i="33"/>
  <c r="F189" i="33"/>
  <c r="F188" i="33"/>
  <c r="F187" i="33"/>
  <c r="F186" i="33"/>
  <c r="F185" i="33"/>
  <c r="F184" i="33"/>
  <c r="F183" i="33"/>
  <c r="F182" i="33"/>
  <c r="F181" i="33"/>
  <c r="F180" i="33"/>
  <c r="F179" i="33"/>
  <c r="F178" i="33"/>
  <c r="F177" i="33"/>
  <c r="F176" i="33"/>
  <c r="F175" i="33"/>
  <c r="F174" i="33"/>
  <c r="F173" i="33"/>
  <c r="F172" i="33"/>
  <c r="F171" i="33"/>
  <c r="F170" i="33"/>
  <c r="F169" i="33"/>
  <c r="F168" i="33"/>
  <c r="F167" i="33"/>
  <c r="F166" i="33"/>
  <c r="F165" i="33"/>
  <c r="F164" i="33"/>
  <c r="F163" i="33"/>
  <c r="F162" i="33"/>
  <c r="F161" i="33"/>
  <c r="F160" i="33"/>
  <c r="F159" i="33"/>
  <c r="F158" i="33"/>
  <c r="F157" i="33"/>
  <c r="F156" i="33"/>
  <c r="F155" i="33"/>
  <c r="F154" i="33"/>
  <c r="F153" i="33"/>
  <c r="F152" i="33"/>
  <c r="F151" i="33"/>
  <c r="F150" i="33"/>
  <c r="F149" i="33"/>
  <c r="F148" i="33"/>
  <c r="F147" i="33"/>
  <c r="F146" i="33"/>
  <c r="F145" i="33"/>
  <c r="F144" i="33"/>
  <c r="F143" i="33"/>
  <c r="F142" i="33"/>
  <c r="F141" i="33"/>
  <c r="F140" i="33"/>
  <c r="F139" i="33"/>
  <c r="F138" i="33"/>
  <c r="F137" i="33"/>
  <c r="F136" i="33"/>
  <c r="F135" i="33"/>
  <c r="F134" i="33"/>
  <c r="F133" i="33"/>
  <c r="F132" i="33"/>
  <c r="F131" i="33"/>
  <c r="F130" i="33"/>
  <c r="F129" i="33"/>
  <c r="F128" i="33"/>
  <c r="F127" i="33"/>
  <c r="F126" i="33"/>
  <c r="F125" i="33"/>
  <c r="F124" i="33"/>
  <c r="F123" i="33"/>
  <c r="F122" i="33"/>
  <c r="F121" i="33"/>
  <c r="F120" i="33"/>
  <c r="F119" i="33"/>
  <c r="F118" i="33"/>
  <c r="F117" i="33"/>
  <c r="F116" i="33"/>
  <c r="F115" i="33"/>
  <c r="F114" i="33"/>
  <c r="F113" i="33"/>
  <c r="F112" i="33"/>
  <c r="F111" i="33"/>
  <c r="F110" i="33"/>
  <c r="F109" i="33"/>
  <c r="F108" i="33"/>
  <c r="F107" i="33"/>
  <c r="F106" i="33"/>
  <c r="F105" i="33"/>
  <c r="F104" i="33"/>
  <c r="F103" i="33"/>
  <c r="F102" i="33"/>
  <c r="F101" i="33"/>
  <c r="F100" i="33"/>
  <c r="F99" i="33"/>
  <c r="F98" i="33"/>
  <c r="F97" i="33"/>
  <c r="F96" i="33"/>
  <c r="F95" i="33"/>
  <c r="F94" i="33"/>
  <c r="F93" i="33"/>
  <c r="F92" i="33"/>
  <c r="F91" i="33"/>
  <c r="F90" i="33"/>
  <c r="F89" i="33"/>
  <c r="F88" i="33"/>
  <c r="F87" i="33"/>
  <c r="F86" i="33"/>
  <c r="F85" i="33"/>
  <c r="F84" i="33"/>
  <c r="F83" i="33"/>
  <c r="F82" i="33"/>
  <c r="F81" i="33"/>
  <c r="F80" i="33"/>
  <c r="F79" i="33"/>
  <c r="F78" i="33"/>
  <c r="F77" i="33"/>
  <c r="F76" i="33"/>
  <c r="F75" i="33"/>
  <c r="F74" i="33"/>
  <c r="F73" i="33"/>
  <c r="F72" i="33"/>
  <c r="F71" i="33"/>
  <c r="F70" i="33"/>
  <c r="F69" i="33"/>
  <c r="F68" i="33"/>
  <c r="F67" i="33"/>
  <c r="F66" i="33"/>
  <c r="F65" i="33"/>
  <c r="F64" i="33"/>
  <c r="F63" i="33"/>
  <c r="F62" i="33"/>
  <c r="F61" i="33"/>
  <c r="F60" i="33"/>
  <c r="F59" i="33"/>
  <c r="F58" i="33"/>
  <c r="F57" i="33"/>
  <c r="F56" i="33"/>
  <c r="F55" i="33"/>
  <c r="F54" i="33"/>
  <c r="F53" i="33"/>
  <c r="F52" i="33"/>
  <c r="F51" i="33"/>
  <c r="F50" i="33"/>
  <c r="F49" i="33"/>
  <c r="F48" i="33"/>
  <c r="F47" i="33"/>
  <c r="F46" i="33"/>
  <c r="F45" i="33"/>
  <c r="F44" i="33"/>
  <c r="F43" i="33"/>
  <c r="F42" i="33"/>
  <c r="F41" i="33"/>
  <c r="F40" i="33"/>
  <c r="F39" i="33"/>
  <c r="CN27" i="33"/>
  <c r="CM27" i="33"/>
  <c r="CL27" i="33"/>
  <c r="BQ27" i="33"/>
  <c r="BP27" i="33"/>
  <c r="BO27" i="33"/>
  <c r="BN27" i="33"/>
  <c r="BM27" i="33"/>
  <c r="BL27" i="33"/>
  <c r="BK27" i="33"/>
  <c r="BJ27" i="33"/>
  <c r="BI27" i="33"/>
  <c r="BH27" i="33"/>
  <c r="BG27" i="33"/>
  <c r="BF27" i="33"/>
  <c r="BE27" i="33"/>
  <c r="BD27" i="33"/>
  <c r="BC27" i="33"/>
  <c r="BB27" i="33"/>
  <c r="BA27" i="33"/>
  <c r="AZ27" i="33"/>
  <c r="AY27" i="33"/>
  <c r="AX27" i="33"/>
  <c r="I27" i="33"/>
  <c r="F32" i="21"/>
  <c r="B32" i="21"/>
  <c r="F31" i="21"/>
  <c r="B31" i="21"/>
  <c r="F30" i="21"/>
  <c r="B30" i="21"/>
  <c r="F29" i="21"/>
  <c r="B29" i="21"/>
  <c r="F28" i="21"/>
  <c r="B28" i="21"/>
  <c r="F27" i="21"/>
  <c r="B27" i="21"/>
  <c r="F26" i="21"/>
  <c r="B26" i="21"/>
  <c r="F25" i="21"/>
  <c r="F24" i="21"/>
  <c r="F23" i="21"/>
  <c r="H22" i="21"/>
  <c r="F22" i="21"/>
  <c r="H21" i="21"/>
  <c r="F21" i="21"/>
  <c r="H20" i="21"/>
  <c r="F20" i="21"/>
  <c r="F19" i="21"/>
  <c r="E19" i="21"/>
  <c r="D19" i="21"/>
  <c r="F18" i="21"/>
  <c r="F17" i="21"/>
  <c r="E17" i="21"/>
  <c r="D17" i="21"/>
  <c r="F16" i="21"/>
  <c r="F15" i="21"/>
  <c r="E15" i="21"/>
  <c r="D15" i="21"/>
  <c r="F14" i="21"/>
  <c r="F13" i="21"/>
  <c r="E13" i="21"/>
  <c r="D13" i="21"/>
  <c r="F12" i="21"/>
  <c r="F11" i="21"/>
  <c r="E11" i="21"/>
  <c r="D11" i="21"/>
  <c r="L20" i="21"/>
  <c r="L11" i="21"/>
  <c r="O45" i="11"/>
  <c r="N45" i="11"/>
  <c r="N27" i="11"/>
  <c r="N26" i="11"/>
  <c r="N25" i="11"/>
  <c r="N23" i="11"/>
  <c r="N22" i="11"/>
  <c r="N21" i="11"/>
  <c r="N20" i="11"/>
  <c r="N19" i="11"/>
  <c r="N18" i="11"/>
  <c r="N17" i="11"/>
  <c r="N16" i="11"/>
  <c r="O3" i="11"/>
  <c r="N3" i="11"/>
  <c r="I104" i="11"/>
  <c r="I103" i="11"/>
  <c r="I102" i="11"/>
  <c r="I101" i="11"/>
  <c r="I100" i="11"/>
  <c r="I99" i="11"/>
  <c r="I98" i="11"/>
  <c r="I97" i="11"/>
  <c r="I96" i="11"/>
  <c r="I95" i="11"/>
  <c r="I94" i="11"/>
  <c r="I93" i="11"/>
  <c r="I92" i="11"/>
  <c r="I91" i="11"/>
  <c r="I90" i="11"/>
  <c r="I89" i="11"/>
  <c r="I88" i="11"/>
  <c r="I87" i="11"/>
  <c r="I86" i="11"/>
  <c r="I85" i="11"/>
  <c r="I84" i="11"/>
  <c r="I83" i="11"/>
  <c r="I82" i="11"/>
  <c r="I81" i="11"/>
  <c r="I80" i="11"/>
  <c r="I79" i="11"/>
  <c r="I78" i="11"/>
  <c r="I77" i="11"/>
  <c r="I76" i="11"/>
  <c r="I75" i="11"/>
  <c r="I74" i="11"/>
  <c r="I73" i="11"/>
  <c r="I72" i="11"/>
  <c r="I71" i="11"/>
  <c r="I70" i="11"/>
  <c r="I69" i="11"/>
  <c r="I68" i="11"/>
  <c r="I67" i="11"/>
  <c r="I66" i="11"/>
  <c r="I65" i="11"/>
  <c r="I64" i="11"/>
  <c r="I63" i="11"/>
  <c r="I62" i="11"/>
  <c r="I61" i="11"/>
  <c r="I60" i="11"/>
  <c r="I59" i="11"/>
  <c r="I58" i="11"/>
  <c r="I57" i="11"/>
  <c r="I56" i="11"/>
  <c r="I55" i="11"/>
  <c r="I54" i="11"/>
  <c r="I53" i="11"/>
  <c r="I52" i="11"/>
  <c r="I51" i="11"/>
  <c r="I50" i="11"/>
  <c r="I49" i="11"/>
  <c r="I48" i="11"/>
  <c r="I47" i="11"/>
  <c r="I46" i="11"/>
  <c r="I45" i="11"/>
  <c r="I44" i="11"/>
  <c r="I43" i="11"/>
  <c r="I42" i="11"/>
  <c r="I41" i="11"/>
  <c r="I40" i="11"/>
  <c r="I39" i="11"/>
  <c r="I38" i="11"/>
  <c r="I37" i="11"/>
  <c r="I36" i="11"/>
  <c r="I35" i="11"/>
  <c r="I34" i="11"/>
  <c r="F34" i="11"/>
  <c r="I33" i="11"/>
  <c r="F33" i="11"/>
  <c r="I32" i="11"/>
  <c r="F32" i="11"/>
  <c r="I31" i="11"/>
  <c r="F31" i="11"/>
  <c r="I30" i="11"/>
  <c r="F30" i="11"/>
  <c r="I29" i="11"/>
  <c r="F29" i="11"/>
  <c r="I28" i="11"/>
  <c r="F28" i="11"/>
  <c r="I27" i="11"/>
  <c r="F27" i="11"/>
  <c r="I26" i="11"/>
  <c r="F26" i="11"/>
  <c r="I25" i="11"/>
  <c r="F25" i="11"/>
  <c r="I24" i="11"/>
  <c r="F24" i="11"/>
  <c r="I23" i="11"/>
  <c r="F23" i="11"/>
  <c r="I22" i="11"/>
  <c r="F22" i="11"/>
  <c r="I21" i="11"/>
  <c r="F21" i="11"/>
  <c r="I20" i="11"/>
  <c r="F20" i="11"/>
  <c r="I19" i="11"/>
  <c r="F19" i="11"/>
  <c r="I18" i="11"/>
  <c r="F18" i="11"/>
  <c r="I17" i="11"/>
  <c r="F17" i="11"/>
  <c r="I16" i="11"/>
  <c r="F16" i="11"/>
  <c r="I15" i="11"/>
  <c r="F15" i="11"/>
  <c r="F14" i="11"/>
  <c r="F13" i="11"/>
  <c r="I12" i="11"/>
  <c r="F12" i="11"/>
  <c r="I11" i="11"/>
  <c r="F11" i="11"/>
  <c r="I10" i="11"/>
  <c r="F10" i="11"/>
  <c r="I9" i="11"/>
  <c r="F9" i="11"/>
  <c r="I8" i="11"/>
  <c r="F8" i="11"/>
  <c r="I7" i="11"/>
  <c r="F7" i="11"/>
  <c r="I6" i="11"/>
  <c r="F6" i="11"/>
  <c r="I5" i="11"/>
  <c r="F5" i="11"/>
  <c r="I4" i="11"/>
  <c r="F4" i="11"/>
  <c r="I3" i="11"/>
  <c r="M193" i="27"/>
  <c r="K193" i="27"/>
  <c r="M149" i="27"/>
  <c r="K149" i="27"/>
  <c r="M128" i="27"/>
  <c r="K128" i="27"/>
  <c r="M87" i="27"/>
  <c r="K87" i="27"/>
  <c r="J12" i="27"/>
  <c r="I12" i="27"/>
  <c r="H12" i="27"/>
  <c r="G12" i="27"/>
  <c r="F12" i="27"/>
  <c r="E12" i="27"/>
  <c r="D12" i="27"/>
  <c r="C12" i="27"/>
  <c r="B12" i="27"/>
  <c r="B149" i="27" s="1"/>
  <c r="M276" i="26"/>
  <c r="K276" i="26"/>
  <c r="K157" i="26"/>
  <c r="H19" i="26"/>
  <c r="F19" i="26"/>
  <c r="E19" i="26"/>
  <c r="C19" i="26"/>
  <c r="B19" i="26"/>
  <c r="B326" i="26" s="1"/>
  <c r="B441" i="22"/>
  <c r="C441" i="22" s="1"/>
  <c r="D441" i="22" s="1"/>
  <c r="O363" i="22"/>
  <c r="M363" i="22"/>
  <c r="B363" i="22"/>
  <c r="B221" i="22"/>
  <c r="F221" i="22" s="1"/>
  <c r="E207" i="22"/>
  <c r="B487" i="22"/>
  <c r="D356" i="26"/>
  <c r="K354" i="26"/>
  <c r="I354" i="26"/>
  <c r="G354" i="26"/>
  <c r="D354" i="26"/>
  <c r="F350" i="26"/>
  <c r="D348" i="26"/>
  <c r="I346" i="26"/>
  <c r="G346" i="26"/>
  <c r="H58" i="26"/>
  <c r="Q58" i="26"/>
  <c r="R58" i="26"/>
  <c r="H93" i="22"/>
  <c r="T50" i="8" a="1"/>
  <c r="T50" i="8" s="1"/>
  <c r="R390" i="26"/>
  <c r="H212" i="27"/>
  <c r="R220" i="27" s="1"/>
  <c r="E217" i="26"/>
  <c r="E215" i="26"/>
  <c r="E213" i="26"/>
  <c r="E211" i="26"/>
  <c r="E209" i="26"/>
  <c r="E207" i="26"/>
  <c r="E205" i="26"/>
  <c r="E203" i="26"/>
  <c r="E201" i="26"/>
  <c r="E199" i="26"/>
  <c r="E197" i="26"/>
  <c r="E195" i="26"/>
  <c r="E193" i="26"/>
  <c r="E191" i="26"/>
  <c r="E189" i="26"/>
  <c r="E187" i="26"/>
  <c r="E185" i="26"/>
  <c r="E183" i="26"/>
  <c r="E181" i="26"/>
  <c r="E179" i="26"/>
  <c r="E177" i="26"/>
  <c r="E175" i="26"/>
  <c r="E173" i="26"/>
  <c r="E171" i="26"/>
  <c r="D217" i="26"/>
  <c r="Y217" i="26" s="1"/>
  <c r="D215" i="26"/>
  <c r="Y215" i="26" s="1"/>
  <c r="D213" i="26"/>
  <c r="Y213" i="26" s="1"/>
  <c r="D211" i="26"/>
  <c r="Y211" i="26" s="1"/>
  <c r="D209" i="26"/>
  <c r="Y209" i="26" s="1"/>
  <c r="D207" i="26"/>
  <c r="Y207" i="26" s="1"/>
  <c r="D205" i="26"/>
  <c r="Y205" i="26" s="1"/>
  <c r="D203" i="26"/>
  <c r="D201" i="26"/>
  <c r="D199" i="26"/>
  <c r="D197" i="26"/>
  <c r="D195" i="26"/>
  <c r="D193" i="26"/>
  <c r="D191" i="26"/>
  <c r="D189" i="26"/>
  <c r="D187" i="26"/>
  <c r="Y187" i="26" s="1"/>
  <c r="D185" i="26"/>
  <c r="D183" i="26"/>
  <c r="Y183" i="26" s="1"/>
  <c r="D181" i="26"/>
  <c r="Y181" i="26"/>
  <c r="D179" i="26"/>
  <c r="Y179" i="26" s="1"/>
  <c r="D177" i="26"/>
  <c r="Y177" i="26"/>
  <c r="D175" i="26"/>
  <c r="Y175" i="26" s="1"/>
  <c r="D173" i="26"/>
  <c r="Y173" i="26" s="1"/>
  <c r="D171" i="26"/>
  <c r="Y171" i="26" s="1"/>
  <c r="B217" i="26"/>
  <c r="AD217" i="26" s="1"/>
  <c r="B215" i="26"/>
  <c r="AD215" i="26" s="1"/>
  <c r="B213" i="26"/>
  <c r="AD213" i="26"/>
  <c r="B211" i="26"/>
  <c r="AD211" i="26" s="1"/>
  <c r="B209" i="26"/>
  <c r="AD209" i="26"/>
  <c r="B207" i="26"/>
  <c r="AD207" i="26" s="1"/>
  <c r="B10" i="27"/>
  <c r="B126" i="27" s="1"/>
  <c r="B11" i="27"/>
  <c r="K156" i="26"/>
  <c r="G225" i="26" s="1"/>
  <c r="M225" i="26" s="1"/>
  <c r="K155" i="26"/>
  <c r="G224" i="26" s="1"/>
  <c r="M224" i="26" s="1"/>
  <c r="B17" i="26"/>
  <c r="B263" i="26" s="1"/>
  <c r="C17" i="26"/>
  <c r="E17" i="26"/>
  <c r="K97" i="26"/>
  <c r="G171" i="26" s="1"/>
  <c r="AF171" i="26" s="1"/>
  <c r="K98" i="26"/>
  <c r="G172" i="26"/>
  <c r="F346" i="26" s="1"/>
  <c r="K99" i="26"/>
  <c r="G173" i="26" s="1"/>
  <c r="H346" i="26" s="1"/>
  <c r="K100" i="26"/>
  <c r="G174" i="26" s="1"/>
  <c r="C348" i="26" s="1"/>
  <c r="K101" i="26"/>
  <c r="G175" i="26" s="1"/>
  <c r="I175" i="26" s="1"/>
  <c r="K102" i="26"/>
  <c r="G176" i="26" s="1"/>
  <c r="I176" i="26" s="1"/>
  <c r="K103" i="26"/>
  <c r="G177" i="26" s="1"/>
  <c r="I177" i="26" s="1"/>
  <c r="K104" i="26"/>
  <c r="G178" i="26" s="1"/>
  <c r="I178" i="26" s="1"/>
  <c r="K105" i="26"/>
  <c r="G179" i="26" s="1"/>
  <c r="I179" i="26" s="1"/>
  <c r="K106" i="26"/>
  <c r="G180" i="26" s="1"/>
  <c r="I180" i="26" s="1"/>
  <c r="K107" i="26"/>
  <c r="G181" i="26" s="1"/>
  <c r="I181" i="26" s="1"/>
  <c r="K108" i="26"/>
  <c r="G182" i="26" s="1"/>
  <c r="I182" i="26" s="1"/>
  <c r="K109" i="26"/>
  <c r="G183" i="26" s="1"/>
  <c r="I183" i="26" s="1"/>
  <c r="K110" i="26"/>
  <c r="G184" i="26"/>
  <c r="I184" i="26" s="1"/>
  <c r="K111" i="26"/>
  <c r="G185" i="26" s="1"/>
  <c r="K112" i="26"/>
  <c r="G186" i="26" s="1"/>
  <c r="I186" i="26" s="1"/>
  <c r="K113" i="26"/>
  <c r="G187" i="26"/>
  <c r="I187" i="26" s="1"/>
  <c r="K114" i="26"/>
  <c r="G188" i="26" s="1"/>
  <c r="I188" i="26" s="1"/>
  <c r="K115" i="26"/>
  <c r="G189" i="26" s="1"/>
  <c r="K116" i="26"/>
  <c r="G190" i="26" s="1"/>
  <c r="I190" i="26" s="1"/>
  <c r="K117" i="26"/>
  <c r="G191" i="26"/>
  <c r="I191" i="26" s="1"/>
  <c r="K118" i="26"/>
  <c r="G192" i="26" s="1"/>
  <c r="K119" i="26"/>
  <c r="G193" i="26" s="1"/>
  <c r="I193" i="26" s="1"/>
  <c r="K120" i="26"/>
  <c r="G194" i="26" s="1"/>
  <c r="I194" i="26" s="1"/>
  <c r="K121" i="26"/>
  <c r="G195" i="26" s="1"/>
  <c r="I195" i="26" s="1"/>
  <c r="K122" i="26"/>
  <c r="G196" i="26" s="1"/>
  <c r="I196" i="26" s="1"/>
  <c r="K123" i="26"/>
  <c r="G197" i="26" s="1"/>
  <c r="K124" i="26"/>
  <c r="G198" i="26" s="1"/>
  <c r="I198" i="26" s="1"/>
  <c r="K125" i="26"/>
  <c r="G199" i="26" s="1"/>
  <c r="K126" i="26"/>
  <c r="G200" i="26" s="1"/>
  <c r="I200" i="26" s="1"/>
  <c r="K127" i="26"/>
  <c r="G201" i="26" s="1"/>
  <c r="I201" i="26" s="1"/>
  <c r="K128" i="26"/>
  <c r="G202" i="26" s="1"/>
  <c r="K129" i="26"/>
  <c r="G203" i="26" s="1"/>
  <c r="K130" i="26"/>
  <c r="G204" i="26" s="1"/>
  <c r="I204" i="26" s="1"/>
  <c r="K131" i="26"/>
  <c r="G205" i="26" s="1"/>
  <c r="I205" i="26" s="1"/>
  <c r="K132" i="26"/>
  <c r="G206" i="26" s="1"/>
  <c r="I206" i="26" s="1"/>
  <c r="K133" i="26"/>
  <c r="G207" i="26" s="1"/>
  <c r="I207" i="26" s="1"/>
  <c r="K134" i="26"/>
  <c r="G208" i="26" s="1"/>
  <c r="I208" i="26" s="1"/>
  <c r="K135" i="26"/>
  <c r="G209" i="26"/>
  <c r="I209" i="26" s="1"/>
  <c r="K136" i="26"/>
  <c r="G210" i="26" s="1"/>
  <c r="I210" i="26" s="1"/>
  <c r="K137" i="26"/>
  <c r="G211" i="26" s="1"/>
  <c r="K138" i="26"/>
  <c r="G212" i="26" s="1"/>
  <c r="I212" i="26" s="1"/>
  <c r="K139" i="26"/>
  <c r="G213" i="26"/>
  <c r="I213" i="26" s="1"/>
  <c r="K140" i="26"/>
  <c r="G214" i="26" s="1"/>
  <c r="I214" i="26" s="1"/>
  <c r="K141" i="26"/>
  <c r="G215" i="26" s="1"/>
  <c r="I215" i="26" s="1"/>
  <c r="K142" i="26"/>
  <c r="G216" i="26" s="1"/>
  <c r="K143" i="26"/>
  <c r="G217" i="26" s="1"/>
  <c r="I217" i="26" s="1"/>
  <c r="K144" i="26"/>
  <c r="G218" i="26" s="1"/>
  <c r="I218" i="26" s="1"/>
  <c r="B18" i="26"/>
  <c r="C18" i="26"/>
  <c r="E18" i="26"/>
  <c r="F133" i="26"/>
  <c r="S133" i="26" s="1"/>
  <c r="F134" i="26"/>
  <c r="S134" i="26" s="1"/>
  <c r="F135" i="26"/>
  <c r="S135" i="26" s="1"/>
  <c r="F136" i="26"/>
  <c r="S136" i="26" s="1"/>
  <c r="F137" i="26"/>
  <c r="S137" i="26" s="1"/>
  <c r="F138" i="26"/>
  <c r="S138" i="26" s="1"/>
  <c r="F139" i="26"/>
  <c r="S139" i="26" s="1"/>
  <c r="F140" i="26"/>
  <c r="S140" i="26" s="1"/>
  <c r="F141" i="26"/>
  <c r="S141" i="26" s="1"/>
  <c r="F142" i="26"/>
  <c r="S142" i="26" s="1"/>
  <c r="F143" i="26"/>
  <c r="S143" i="26" s="1"/>
  <c r="F144" i="26"/>
  <c r="S144" i="26" s="1"/>
  <c r="F72" i="22"/>
  <c r="F161" i="22"/>
  <c r="T161" i="22" s="1"/>
  <c r="F160" i="22"/>
  <c r="F164" i="22"/>
  <c r="F165" i="22"/>
  <c r="T165" i="22" s="1"/>
  <c r="F166" i="22"/>
  <c r="F167" i="22"/>
  <c r="T167" i="22" s="1"/>
  <c r="F168" i="22"/>
  <c r="F169" i="22"/>
  <c r="T169" i="22" s="1"/>
  <c r="F170" i="22"/>
  <c r="F171" i="22"/>
  <c r="T171" i="22" s="1"/>
  <c r="F174" i="22"/>
  <c r="F175" i="22"/>
  <c r="T175" i="22" s="1"/>
  <c r="F178" i="22"/>
  <c r="F179" i="22"/>
  <c r="T179" i="22" s="1"/>
  <c r="F182" i="22"/>
  <c r="F183" i="22"/>
  <c r="T183" i="22"/>
  <c r="F150" i="22"/>
  <c r="F151" i="22"/>
  <c r="T151" i="22" s="1"/>
  <c r="F190" i="22"/>
  <c r="F191" i="22"/>
  <c r="T191" i="22" s="1"/>
  <c r="F172" i="22"/>
  <c r="F173" i="22"/>
  <c r="T173" i="22" s="1"/>
  <c r="F184" i="22"/>
  <c r="F185" i="22"/>
  <c r="T185" i="22"/>
  <c r="F186" i="22"/>
  <c r="F187" i="22"/>
  <c r="T187" i="22" s="1"/>
  <c r="F192" i="22"/>
  <c r="F193" i="22"/>
  <c r="T193" i="22" s="1"/>
  <c r="F158" i="22"/>
  <c r="F159" i="22"/>
  <c r="T159" i="22" s="1"/>
  <c r="F156" i="22"/>
  <c r="F157" i="22"/>
  <c r="T157" i="22" s="1"/>
  <c r="F196" i="22"/>
  <c r="F197" i="22"/>
  <c r="T197" i="22" s="1"/>
  <c r="F198" i="22"/>
  <c r="F199" i="22"/>
  <c r="T199" i="22" s="1"/>
  <c r="F162" i="22"/>
  <c r="F163" i="22"/>
  <c r="F201" i="22"/>
  <c r="T201" i="22" s="1"/>
  <c r="F202" i="22"/>
  <c r="F203" i="22"/>
  <c r="T203" i="22" s="1"/>
  <c r="F29" i="12"/>
  <c r="M159" i="10"/>
  <c r="F159" i="10"/>
  <c r="H159" i="10"/>
  <c r="I159" i="10"/>
  <c r="J159" i="10"/>
  <c r="M150" i="10"/>
  <c r="E27" i="58" s="1"/>
  <c r="AD161" i="10"/>
  <c r="P62" i="4"/>
  <c r="P60" i="4"/>
  <c r="P61" i="4"/>
  <c r="O62" i="4"/>
  <c r="O60" i="4"/>
  <c r="O61" i="4"/>
  <c r="K62" i="4"/>
  <c r="K60" i="4"/>
  <c r="K61" i="4"/>
  <c r="J62" i="4"/>
  <c r="J60" i="4"/>
  <c r="J61" i="4"/>
  <c r="B107" i="10"/>
  <c r="H18" i="26"/>
  <c r="F18" i="26"/>
  <c r="H17" i="26"/>
  <c r="F17" i="26"/>
  <c r="R389" i="26"/>
  <c r="F335" i="26"/>
  <c r="I335" i="26"/>
  <c r="R388" i="26"/>
  <c r="R386" i="26"/>
  <c r="B359" i="26"/>
  <c r="B339" i="26"/>
  <c r="B313" i="26"/>
  <c r="I313" i="26" s="1"/>
  <c r="D313" i="26"/>
  <c r="J277" i="26"/>
  <c r="G277" i="26"/>
  <c r="M275" i="26"/>
  <c r="K275" i="26"/>
  <c r="M274" i="26"/>
  <c r="K274" i="26"/>
  <c r="J227" i="26"/>
  <c r="V218" i="26"/>
  <c r="R218" i="26"/>
  <c r="Q218" i="26"/>
  <c r="V217" i="26"/>
  <c r="V216" i="26"/>
  <c r="R216" i="26"/>
  <c r="Q216" i="26"/>
  <c r="V215" i="26"/>
  <c r="V214" i="26"/>
  <c r="R214" i="26"/>
  <c r="Q214" i="26"/>
  <c r="V213" i="26"/>
  <c r="V212" i="26"/>
  <c r="R212" i="26"/>
  <c r="Q212" i="26"/>
  <c r="V211" i="26"/>
  <c r="V210" i="26"/>
  <c r="R210" i="26"/>
  <c r="Q210" i="26"/>
  <c r="V209" i="26"/>
  <c r="V208" i="26"/>
  <c r="R208" i="26"/>
  <c r="Q208" i="26"/>
  <c r="V207" i="26"/>
  <c r="V206" i="26"/>
  <c r="R206" i="26"/>
  <c r="Q206" i="26"/>
  <c r="AD205" i="26"/>
  <c r="V205" i="26"/>
  <c r="V204" i="26"/>
  <c r="R204" i="26"/>
  <c r="Q204" i="26"/>
  <c r="AD203" i="26"/>
  <c r="V203" i="26"/>
  <c r="V202" i="26"/>
  <c r="R202" i="26"/>
  <c r="Q202" i="26"/>
  <c r="AD201" i="26"/>
  <c r="V201" i="26"/>
  <c r="V200" i="26"/>
  <c r="R200" i="26"/>
  <c r="Q200" i="26"/>
  <c r="AD199" i="26"/>
  <c r="V199" i="26"/>
  <c r="V198" i="26"/>
  <c r="R198" i="26"/>
  <c r="Q198" i="26"/>
  <c r="AD197" i="26"/>
  <c r="V197" i="26"/>
  <c r="V196" i="26"/>
  <c r="R196" i="26"/>
  <c r="Q196" i="26"/>
  <c r="AD195" i="26"/>
  <c r="V195" i="26"/>
  <c r="V194" i="26"/>
  <c r="R194" i="26"/>
  <c r="Q194" i="26"/>
  <c r="AD193" i="26"/>
  <c r="V193" i="26"/>
  <c r="V192" i="26"/>
  <c r="R192" i="26"/>
  <c r="Q192" i="26"/>
  <c r="AD191" i="26"/>
  <c r="V191" i="26"/>
  <c r="V190" i="26"/>
  <c r="R190" i="26"/>
  <c r="Q190" i="26"/>
  <c r="AD189" i="26"/>
  <c r="V189" i="26"/>
  <c r="V188" i="26"/>
  <c r="R188" i="26"/>
  <c r="Q188" i="26"/>
  <c r="AD187" i="26"/>
  <c r="V187" i="26"/>
  <c r="V186" i="26"/>
  <c r="R186" i="26"/>
  <c r="Q186" i="26"/>
  <c r="AD185" i="26"/>
  <c r="V185" i="26"/>
  <c r="V184" i="26"/>
  <c r="R184" i="26"/>
  <c r="Q184" i="26"/>
  <c r="AD183" i="26"/>
  <c r="V183" i="26"/>
  <c r="V182" i="26"/>
  <c r="R182" i="26"/>
  <c r="Q182" i="26"/>
  <c r="AD181" i="26"/>
  <c r="V181" i="26"/>
  <c r="V180" i="26"/>
  <c r="R180" i="26"/>
  <c r="Q180" i="26"/>
  <c r="AD179" i="26"/>
  <c r="V179" i="26"/>
  <c r="V178" i="26"/>
  <c r="R178" i="26"/>
  <c r="Q178" i="26"/>
  <c r="AD177" i="26"/>
  <c r="V177" i="26"/>
  <c r="V176" i="26"/>
  <c r="R176" i="26"/>
  <c r="Q176" i="26"/>
  <c r="AD175" i="26"/>
  <c r="V175" i="26"/>
  <c r="V174" i="26"/>
  <c r="R174" i="26"/>
  <c r="Q174" i="26"/>
  <c r="AD173" i="26"/>
  <c r="V173" i="26"/>
  <c r="V172" i="26"/>
  <c r="R172" i="26"/>
  <c r="Q172" i="26"/>
  <c r="AD171" i="26"/>
  <c r="V171" i="26"/>
  <c r="M158" i="26"/>
  <c r="L158" i="26"/>
  <c r="J158" i="26"/>
  <c r="I158" i="26"/>
  <c r="H158" i="26"/>
  <c r="G158" i="26"/>
  <c r="S145" i="26"/>
  <c r="R144" i="26"/>
  <c r="Q144" i="26"/>
  <c r="R143" i="26"/>
  <c r="Q143" i="26"/>
  <c r="R142" i="26"/>
  <c r="Q142" i="26"/>
  <c r="R141" i="26"/>
  <c r="Q141" i="26"/>
  <c r="R140" i="26"/>
  <c r="Q140" i="26"/>
  <c r="R139" i="26"/>
  <c r="Q139" i="26"/>
  <c r="R138" i="26"/>
  <c r="Q138" i="26"/>
  <c r="R137" i="26"/>
  <c r="Q137" i="26"/>
  <c r="R136" i="26"/>
  <c r="Q136" i="26"/>
  <c r="R135" i="26"/>
  <c r="Q135" i="26"/>
  <c r="R134" i="26"/>
  <c r="Q134" i="26"/>
  <c r="R133" i="26"/>
  <c r="Q133" i="26"/>
  <c r="R132" i="26"/>
  <c r="Q132" i="26"/>
  <c r="R130" i="26"/>
  <c r="Q130" i="26"/>
  <c r="R128" i="26"/>
  <c r="Q128" i="26"/>
  <c r="R126" i="26"/>
  <c r="Q126" i="26"/>
  <c r="R124" i="26"/>
  <c r="Q124" i="26"/>
  <c r="R122" i="26"/>
  <c r="Q122" i="26"/>
  <c r="R120" i="26"/>
  <c r="Q120" i="26"/>
  <c r="R118" i="26"/>
  <c r="Q118" i="26"/>
  <c r="R116" i="26"/>
  <c r="Q116" i="26"/>
  <c r="R114" i="26"/>
  <c r="Q114" i="26"/>
  <c r="R112" i="26"/>
  <c r="Q112" i="26"/>
  <c r="R110" i="26"/>
  <c r="Q110" i="26"/>
  <c r="R108" i="26"/>
  <c r="Q108" i="26"/>
  <c r="R106" i="26"/>
  <c r="Q106" i="26"/>
  <c r="R104" i="26"/>
  <c r="Q104" i="26"/>
  <c r="R102" i="26"/>
  <c r="Q102" i="26"/>
  <c r="R100" i="26"/>
  <c r="Q100" i="26"/>
  <c r="R98" i="26"/>
  <c r="Q98" i="26"/>
  <c r="R60" i="26"/>
  <c r="Q60" i="26"/>
  <c r="H60" i="26"/>
  <c r="R59" i="26"/>
  <c r="Q59" i="26"/>
  <c r="H59" i="26"/>
  <c r="R57" i="26"/>
  <c r="Q57" i="26"/>
  <c r="H57" i="26"/>
  <c r="I42" i="26"/>
  <c r="I33" i="3"/>
  <c r="J33" i="3" s="1"/>
  <c r="S239" i="22"/>
  <c r="BU7" i="51" s="1"/>
  <c r="S243" i="22"/>
  <c r="BU11" i="51" s="1"/>
  <c r="S245" i="22"/>
  <c r="BU13" i="51"/>
  <c r="S249" i="22"/>
  <c r="BU17" i="51" s="1"/>
  <c r="S253" i="22"/>
  <c r="BU21" i="51"/>
  <c r="S255" i="22"/>
  <c r="BU23" i="51" s="1"/>
  <c r="S257" i="22"/>
  <c r="BU25" i="51" s="1"/>
  <c r="S259" i="22"/>
  <c r="BU27" i="51" s="1"/>
  <c r="S261" i="22"/>
  <c r="BU29" i="51" s="1"/>
  <c r="S263" i="22"/>
  <c r="BU31" i="51" s="1"/>
  <c r="S265" i="22"/>
  <c r="BU33" i="51"/>
  <c r="S267" i="22"/>
  <c r="BU35" i="51" s="1"/>
  <c r="S269" i="22"/>
  <c r="BU37" i="51"/>
  <c r="S271" i="22"/>
  <c r="BU39" i="51" s="1"/>
  <c r="S273" i="22"/>
  <c r="BU41" i="51" s="1"/>
  <c r="S275" i="22"/>
  <c r="BU43" i="51" s="1"/>
  <c r="S277" i="22"/>
  <c r="BU45" i="51" s="1"/>
  <c r="S279" i="22"/>
  <c r="BU47" i="51" s="1"/>
  <c r="S247" i="22"/>
  <c r="BU15" i="51"/>
  <c r="S281" i="22"/>
  <c r="BU49" i="51" s="1"/>
  <c r="S251" i="22"/>
  <c r="BU19" i="51"/>
  <c r="S283" i="22"/>
  <c r="BU51" i="51" s="1"/>
  <c r="C98" i="19"/>
  <c r="G33" i="3"/>
  <c r="B19" i="2"/>
  <c r="AA528" i="29"/>
  <c r="AB528" i="29" s="1"/>
  <c r="AA529" i="29"/>
  <c r="AB529" i="29" s="1"/>
  <c r="AA530" i="29"/>
  <c r="AB530" i="29" s="1"/>
  <c r="AA531" i="29"/>
  <c r="AB531" i="29" s="1"/>
  <c r="AA519" i="29"/>
  <c r="AB519" i="29" s="1"/>
  <c r="AA520" i="29"/>
  <c r="AB520" i="29" s="1"/>
  <c r="AA521" i="29"/>
  <c r="AB521" i="29" s="1"/>
  <c r="AA522" i="29"/>
  <c r="AB522" i="29" s="1"/>
  <c r="AA510" i="29"/>
  <c r="AB510" i="29" s="1"/>
  <c r="AA511" i="29"/>
  <c r="AB511" i="29" s="1"/>
  <c r="AA512" i="29"/>
  <c r="AB512" i="29" s="1"/>
  <c r="AA513" i="29"/>
  <c r="AB513" i="29" s="1"/>
  <c r="AA501" i="29"/>
  <c r="AB501" i="29" s="1"/>
  <c r="AA502" i="29"/>
  <c r="AB502" i="29" s="1"/>
  <c r="AA503" i="29"/>
  <c r="AB503" i="29" s="1"/>
  <c r="AA504" i="29"/>
  <c r="AB504" i="29" s="1"/>
  <c r="AA492" i="29"/>
  <c r="AB492" i="29" s="1"/>
  <c r="AA493" i="29"/>
  <c r="AB493" i="29" s="1"/>
  <c r="AA494" i="29"/>
  <c r="AB494" i="29" s="1"/>
  <c r="AA495" i="29"/>
  <c r="AB495" i="29" s="1"/>
  <c r="AA481" i="29"/>
  <c r="AB481" i="29" s="1"/>
  <c r="AA482" i="29"/>
  <c r="AB482" i="29" s="1"/>
  <c r="AA483" i="29"/>
  <c r="AB483" i="29" s="1"/>
  <c r="AA484" i="29"/>
  <c r="AB484" i="29" s="1"/>
  <c r="AA472" i="29"/>
  <c r="AB472" i="29" s="1"/>
  <c r="AA473" i="29"/>
  <c r="AB473" i="29" s="1"/>
  <c r="AA474" i="29"/>
  <c r="AB474" i="29" s="1"/>
  <c r="AA475" i="29"/>
  <c r="AB475" i="29" s="1"/>
  <c r="AA463" i="29"/>
  <c r="AB463" i="29" s="1"/>
  <c r="AA464" i="29"/>
  <c r="AB464" i="29" s="1"/>
  <c r="AA465" i="29"/>
  <c r="AB465" i="29" s="1"/>
  <c r="AA466" i="29"/>
  <c r="AB466" i="29" s="1"/>
  <c r="AA454" i="29"/>
  <c r="AB454" i="29" s="1"/>
  <c r="AA455" i="29"/>
  <c r="AB455" i="29" s="1"/>
  <c r="AA456" i="29"/>
  <c r="AB456" i="29" s="1"/>
  <c r="AA457" i="29"/>
  <c r="AB457" i="29" s="1"/>
  <c r="AA445" i="29"/>
  <c r="AB445" i="29" s="1"/>
  <c r="AA446" i="29"/>
  <c r="AB446" i="29" s="1"/>
  <c r="AA447" i="29"/>
  <c r="AB447" i="29" s="1"/>
  <c r="AA448" i="29"/>
  <c r="AB448" i="29" s="1"/>
  <c r="AA436" i="29"/>
  <c r="AB436" i="29" s="1"/>
  <c r="AA437" i="29"/>
  <c r="AB437" i="29" s="1"/>
  <c r="AA438" i="29"/>
  <c r="AB438" i="29" s="1"/>
  <c r="AA439" i="29"/>
  <c r="AB439" i="29" s="1"/>
  <c r="AA425" i="29"/>
  <c r="AB425" i="29" s="1"/>
  <c r="AA426" i="29"/>
  <c r="AB426" i="29" s="1"/>
  <c r="AA427" i="29"/>
  <c r="AB427" i="29" s="1"/>
  <c r="AA428" i="29"/>
  <c r="AB428" i="29" s="1"/>
  <c r="AA416" i="29"/>
  <c r="AB416" i="29" s="1"/>
  <c r="AA417" i="29"/>
  <c r="AB417" i="29" s="1"/>
  <c r="AA418" i="29"/>
  <c r="AB418" i="29" s="1"/>
  <c r="AA419" i="29"/>
  <c r="AB419" i="29" s="1"/>
  <c r="AA407" i="29"/>
  <c r="AB407" i="29" s="1"/>
  <c r="AA408" i="29"/>
  <c r="AB408" i="29" s="1"/>
  <c r="AA409" i="29"/>
  <c r="AB409" i="29" s="1"/>
  <c r="AA410" i="29"/>
  <c r="AB410" i="29" s="1"/>
  <c r="AA398" i="29"/>
  <c r="AB398" i="29" s="1"/>
  <c r="AA399" i="29"/>
  <c r="AB399" i="29" s="1"/>
  <c r="AA400" i="29"/>
  <c r="AB400" i="29" s="1"/>
  <c r="AA401" i="29"/>
  <c r="AB401" i="29" s="1"/>
  <c r="AA389" i="29"/>
  <c r="AB389" i="29" s="1"/>
  <c r="AA390" i="29"/>
  <c r="AB390" i="29" s="1"/>
  <c r="AA391" i="29"/>
  <c r="AB391" i="29" s="1"/>
  <c r="AA392" i="29"/>
  <c r="AB392" i="29" s="1"/>
  <c r="AA378" i="29"/>
  <c r="AB378" i="29" s="1"/>
  <c r="AA379" i="29"/>
  <c r="AB379" i="29" s="1"/>
  <c r="AA380" i="29"/>
  <c r="AB380" i="29" s="1"/>
  <c r="AA381" i="29"/>
  <c r="AB381" i="29" s="1"/>
  <c r="AA369" i="29"/>
  <c r="AB369" i="29" s="1"/>
  <c r="AA370" i="29"/>
  <c r="AB370" i="29" s="1"/>
  <c r="AA371" i="29"/>
  <c r="AB371" i="29" s="1"/>
  <c r="AA372" i="29"/>
  <c r="AB372" i="29" s="1"/>
  <c r="AA360" i="29"/>
  <c r="AB360" i="29" s="1"/>
  <c r="AA361" i="29"/>
  <c r="AB361" i="29" s="1"/>
  <c r="AA362" i="29"/>
  <c r="AB362" i="29" s="1"/>
  <c r="AA363" i="29"/>
  <c r="AB363" i="29" s="1"/>
  <c r="AA351" i="29"/>
  <c r="AB351" i="29" s="1"/>
  <c r="AA352" i="29"/>
  <c r="AB352" i="29" s="1"/>
  <c r="AA353" i="29"/>
  <c r="AB353" i="29" s="1"/>
  <c r="AA354" i="29"/>
  <c r="AB354" i="29" s="1"/>
  <c r="AA342" i="29"/>
  <c r="AB342" i="29" s="1"/>
  <c r="AA343" i="29"/>
  <c r="AB343" i="29" s="1"/>
  <c r="AA344" i="29"/>
  <c r="AB344" i="29" s="1"/>
  <c r="AA345" i="29"/>
  <c r="AB345" i="29" s="1"/>
  <c r="AA333" i="29"/>
  <c r="AB333" i="29" s="1"/>
  <c r="AA334" i="29"/>
  <c r="AB334" i="29" s="1"/>
  <c r="AA335" i="29"/>
  <c r="AB335" i="29" s="1"/>
  <c r="AA336" i="29"/>
  <c r="AB336" i="29" s="1"/>
  <c r="AA322" i="29"/>
  <c r="AB322" i="29" s="1"/>
  <c r="AA323" i="29"/>
  <c r="AB323" i="29" s="1"/>
  <c r="AA324" i="29"/>
  <c r="AB324" i="29" s="1"/>
  <c r="AA325" i="29"/>
  <c r="AB325" i="29" s="1"/>
  <c r="AA313" i="29"/>
  <c r="AB313" i="29" s="1"/>
  <c r="AA314" i="29"/>
  <c r="AB314" i="29" s="1"/>
  <c r="AA315" i="29"/>
  <c r="AB315" i="29" s="1"/>
  <c r="AA316" i="29"/>
  <c r="AB316" i="29" s="1"/>
  <c r="AA304" i="29"/>
  <c r="AB304" i="29" s="1"/>
  <c r="AA305" i="29"/>
  <c r="AB305" i="29" s="1"/>
  <c r="AA306" i="29"/>
  <c r="AB306" i="29" s="1"/>
  <c r="AA307" i="29"/>
  <c r="AB307" i="29" s="1"/>
  <c r="AA295" i="29"/>
  <c r="AB295" i="29" s="1"/>
  <c r="AA296" i="29"/>
  <c r="AB296" i="29" s="1"/>
  <c r="AA297" i="29"/>
  <c r="AB297" i="29" s="1"/>
  <c r="AA298" i="29"/>
  <c r="AB298" i="29" s="1"/>
  <c r="AA286" i="29"/>
  <c r="AB286" i="29" s="1"/>
  <c r="AA287" i="29"/>
  <c r="AB287" i="29" s="1"/>
  <c r="AA288" i="29"/>
  <c r="AB288" i="29" s="1"/>
  <c r="AA289" i="29"/>
  <c r="AB289" i="29" s="1"/>
  <c r="AA277" i="29"/>
  <c r="AB277" i="29" s="1"/>
  <c r="AA278" i="29"/>
  <c r="AB278" i="29" s="1"/>
  <c r="AA279" i="29"/>
  <c r="AB279" i="29" s="1"/>
  <c r="AA280" i="29"/>
  <c r="AB280" i="29" s="1"/>
  <c r="AA266" i="29"/>
  <c r="AB266" i="29" s="1"/>
  <c r="AA267" i="29"/>
  <c r="AB267" i="29" s="1"/>
  <c r="AA268" i="29"/>
  <c r="AB268" i="29" s="1"/>
  <c r="AA269" i="29"/>
  <c r="AB269" i="29" s="1"/>
  <c r="AA257" i="29"/>
  <c r="AB257" i="29" s="1"/>
  <c r="AA258" i="29"/>
  <c r="AB258" i="29" s="1"/>
  <c r="AA259" i="29"/>
  <c r="AB259" i="29" s="1"/>
  <c r="AA260" i="29"/>
  <c r="AB260" i="29" s="1"/>
  <c r="AA248" i="29"/>
  <c r="AB248" i="29" s="1"/>
  <c r="AA249" i="29"/>
  <c r="AB249" i="29" s="1"/>
  <c r="AA250" i="29"/>
  <c r="AB250" i="29" s="1"/>
  <c r="AA251" i="29"/>
  <c r="AB251" i="29" s="1"/>
  <c r="AA239" i="29"/>
  <c r="AB239" i="29" s="1"/>
  <c r="AA240" i="29"/>
  <c r="AB240" i="29" s="1"/>
  <c r="AA241" i="29"/>
  <c r="AB241" i="29" s="1"/>
  <c r="AA242" i="29"/>
  <c r="AB242" i="29" s="1"/>
  <c r="AA230" i="29"/>
  <c r="AB230" i="29" s="1"/>
  <c r="AA231" i="29"/>
  <c r="AB231" i="29" s="1"/>
  <c r="AA232" i="29"/>
  <c r="AB232" i="29" s="1"/>
  <c r="AA233" i="29"/>
  <c r="AB233" i="29" s="1"/>
  <c r="AA221" i="29"/>
  <c r="AB221" i="29" s="1"/>
  <c r="AA222" i="29"/>
  <c r="AB222" i="29" s="1"/>
  <c r="AA223" i="29"/>
  <c r="AB223" i="29" s="1"/>
  <c r="AA224" i="29"/>
  <c r="AB224" i="29" s="1"/>
  <c r="AA210" i="29"/>
  <c r="AB210" i="29" s="1"/>
  <c r="AA211" i="29"/>
  <c r="AB211" i="29" s="1"/>
  <c r="AA212" i="29"/>
  <c r="AB212" i="29" s="1"/>
  <c r="AA213" i="29"/>
  <c r="AB213" i="29" s="1"/>
  <c r="AA201" i="29"/>
  <c r="AB201" i="29" s="1"/>
  <c r="AA202" i="29"/>
  <c r="AB202" i="29" s="1"/>
  <c r="AA203" i="29"/>
  <c r="AB203" i="29" s="1"/>
  <c r="AA204" i="29"/>
  <c r="AB204" i="29" s="1"/>
  <c r="AA192" i="29"/>
  <c r="AB192" i="29" s="1"/>
  <c r="AA193" i="29"/>
  <c r="AB193" i="29" s="1"/>
  <c r="AA194" i="29"/>
  <c r="AB194" i="29" s="1"/>
  <c r="AA195" i="29"/>
  <c r="AB195" i="29" s="1"/>
  <c r="AA183" i="29"/>
  <c r="AB183" i="29" s="1"/>
  <c r="AA184" i="29"/>
  <c r="AB184" i="29" s="1"/>
  <c r="AA185" i="29"/>
  <c r="AB185" i="29" s="1"/>
  <c r="AA186" i="29"/>
  <c r="AB186" i="29" s="1"/>
  <c r="AA174" i="29"/>
  <c r="AB174" i="29" s="1"/>
  <c r="AA175" i="29"/>
  <c r="AB175" i="29" s="1"/>
  <c r="AA176" i="29"/>
  <c r="AB176" i="29" s="1"/>
  <c r="AA177" i="29"/>
  <c r="AB177" i="29" s="1"/>
  <c r="AA165" i="29"/>
  <c r="AB165" i="29" s="1"/>
  <c r="AA166" i="29"/>
  <c r="AB166" i="29" s="1"/>
  <c r="AA167" i="29"/>
  <c r="AB167" i="29" s="1"/>
  <c r="AA168" i="29"/>
  <c r="AB168" i="29" s="1"/>
  <c r="AA151" i="29"/>
  <c r="AB151" i="29" s="1"/>
  <c r="AA152" i="29"/>
  <c r="AB152" i="29" s="1"/>
  <c r="AA153" i="29"/>
  <c r="AB153" i="29" s="1"/>
  <c r="AA143" i="29"/>
  <c r="AB143" i="29" s="1"/>
  <c r="AA144" i="29"/>
  <c r="AB144" i="29" s="1"/>
  <c r="AA145" i="29"/>
  <c r="AB145" i="29" s="1"/>
  <c r="AA135" i="29"/>
  <c r="AB135" i="29" s="1"/>
  <c r="AA136" i="29"/>
  <c r="AB136" i="29" s="1"/>
  <c r="AA137" i="29"/>
  <c r="AB137" i="29" s="1"/>
  <c r="AA127" i="29"/>
  <c r="AB127" i="29" s="1"/>
  <c r="AA128" i="29"/>
  <c r="AB128" i="29" s="1"/>
  <c r="AA129" i="29"/>
  <c r="AB129" i="29" s="1"/>
  <c r="AB130" i="29" s="1"/>
  <c r="AA101" i="29"/>
  <c r="AB101" i="29" s="1"/>
  <c r="AA102" i="29"/>
  <c r="AB102" i="29" s="1"/>
  <c r="AA103" i="29"/>
  <c r="AB103" i="29" s="1"/>
  <c r="AA104" i="29"/>
  <c r="AB104" i="29" s="1"/>
  <c r="AA105" i="29"/>
  <c r="AB105" i="29" s="1"/>
  <c r="AA106" i="29"/>
  <c r="AB106" i="29" s="1"/>
  <c r="AA107" i="29"/>
  <c r="AB107" i="29" s="1"/>
  <c r="AA108" i="29"/>
  <c r="AB108" i="29" s="1"/>
  <c r="AA63" i="29"/>
  <c r="AB63" i="29" s="1"/>
  <c r="AA64" i="29"/>
  <c r="AB64" i="29" s="1"/>
  <c r="AA65" i="29"/>
  <c r="AB65" i="29" s="1"/>
  <c r="AA44" i="29"/>
  <c r="AB44" i="29" s="1"/>
  <c r="AA45" i="29"/>
  <c r="AB45" i="29" s="1"/>
  <c r="AA46" i="29"/>
  <c r="AB46" i="29" s="1"/>
  <c r="AA47" i="29"/>
  <c r="AB47" i="29" s="1"/>
  <c r="AA48" i="29"/>
  <c r="AB48" i="29" s="1"/>
  <c r="AA49" i="29"/>
  <c r="AB49" i="29" s="1"/>
  <c r="AA50" i="29"/>
  <c r="AB50" i="29" s="1"/>
  <c r="AA51" i="29"/>
  <c r="AB51" i="29" s="1"/>
  <c r="AA24" i="29"/>
  <c r="AB24" i="29" s="1"/>
  <c r="AA25" i="29"/>
  <c r="AB25" i="29" s="1"/>
  <c r="AA26" i="29"/>
  <c r="AB26" i="29" s="1"/>
  <c r="C16" i="29"/>
  <c r="B37" i="13"/>
  <c r="D29" i="14"/>
  <c r="B29" i="14"/>
  <c r="C29" i="14"/>
  <c r="DR2" i="19"/>
  <c r="T204" i="22"/>
  <c r="F29" i="14"/>
  <c r="E29" i="14"/>
  <c r="J100" i="27"/>
  <c r="G100" i="27"/>
  <c r="M86" i="27"/>
  <c r="M85" i="27"/>
  <c r="V79" i="27"/>
  <c r="R79" i="27"/>
  <c r="Q79" i="27"/>
  <c r="I79" i="27"/>
  <c r="AD78" i="27"/>
  <c r="Y78" i="27"/>
  <c r="V78" i="27"/>
  <c r="I78" i="27"/>
  <c r="V77" i="27"/>
  <c r="R77" i="27"/>
  <c r="Q77" i="27"/>
  <c r="I77" i="27"/>
  <c r="AD76" i="27"/>
  <c r="Y76" i="27"/>
  <c r="V76" i="27"/>
  <c r="I76" i="27"/>
  <c r="V75" i="27"/>
  <c r="R75" i="27"/>
  <c r="Q75" i="27"/>
  <c r="I75" i="27"/>
  <c r="AD74" i="27"/>
  <c r="Y74" i="27"/>
  <c r="V74" i="27"/>
  <c r="I74" i="27"/>
  <c r="V73" i="27"/>
  <c r="R73" i="27"/>
  <c r="Q73" i="27"/>
  <c r="I73" i="27"/>
  <c r="AD72" i="27"/>
  <c r="Y72" i="27"/>
  <c r="V72" i="27"/>
  <c r="I72" i="27"/>
  <c r="V71" i="27"/>
  <c r="R71" i="27"/>
  <c r="Q71" i="27"/>
  <c r="I71" i="27"/>
  <c r="AD70" i="27"/>
  <c r="Y70" i="27"/>
  <c r="V70" i="27"/>
  <c r="I70" i="27"/>
  <c r="V69" i="27"/>
  <c r="R69" i="27"/>
  <c r="Q69" i="27"/>
  <c r="I69" i="27"/>
  <c r="AD68" i="27"/>
  <c r="Y68" i="27"/>
  <c r="V68" i="27"/>
  <c r="I68" i="27"/>
  <c r="V67" i="27"/>
  <c r="R67" i="27"/>
  <c r="Q67" i="27"/>
  <c r="I67" i="27"/>
  <c r="AD66" i="27"/>
  <c r="Y66" i="27"/>
  <c r="V66" i="27"/>
  <c r="I66" i="27"/>
  <c r="V65" i="27"/>
  <c r="R65" i="27"/>
  <c r="Q65" i="27"/>
  <c r="I65" i="27"/>
  <c r="AD64" i="27"/>
  <c r="Y64" i="27"/>
  <c r="V64" i="27"/>
  <c r="I64" i="27"/>
  <c r="V63" i="27"/>
  <c r="R63" i="27"/>
  <c r="Q63" i="27"/>
  <c r="I63" i="27"/>
  <c r="AD62" i="27"/>
  <c r="Y62" i="27"/>
  <c r="V62" i="27"/>
  <c r="I62" i="27"/>
  <c r="V61" i="27"/>
  <c r="R61" i="27"/>
  <c r="Q61" i="27"/>
  <c r="I61" i="27"/>
  <c r="AD60" i="27"/>
  <c r="Y60" i="27"/>
  <c r="V60" i="27"/>
  <c r="I60" i="27"/>
  <c r="V59" i="27"/>
  <c r="R59" i="27"/>
  <c r="Q59" i="27"/>
  <c r="I59" i="27"/>
  <c r="AD58" i="27"/>
  <c r="Y58" i="27"/>
  <c r="V58" i="27"/>
  <c r="I58" i="27"/>
  <c r="V57" i="27"/>
  <c r="R57" i="27"/>
  <c r="Q57" i="27"/>
  <c r="I57" i="27"/>
  <c r="AD56" i="27"/>
  <c r="Y56" i="27"/>
  <c r="V56" i="27"/>
  <c r="I56" i="27"/>
  <c r="V55" i="27"/>
  <c r="R55" i="27"/>
  <c r="Q55" i="27"/>
  <c r="I55" i="27"/>
  <c r="AD54" i="27"/>
  <c r="Y54" i="27"/>
  <c r="V54" i="27"/>
  <c r="I54" i="27"/>
  <c r="V53" i="27"/>
  <c r="R53" i="27"/>
  <c r="Q53" i="27"/>
  <c r="I53" i="27"/>
  <c r="AD52" i="27"/>
  <c r="Y52" i="27"/>
  <c r="V52" i="27"/>
  <c r="I52" i="27"/>
  <c r="V51" i="27"/>
  <c r="R51" i="27"/>
  <c r="Q51" i="27"/>
  <c r="I51" i="27"/>
  <c r="AD50" i="27"/>
  <c r="Y50" i="27"/>
  <c r="V50" i="27"/>
  <c r="I50" i="27"/>
  <c r="V49" i="27"/>
  <c r="R49" i="27"/>
  <c r="Q49" i="27"/>
  <c r="I49" i="27"/>
  <c r="AD48" i="27"/>
  <c r="Y48" i="27"/>
  <c r="V48" i="27"/>
  <c r="I48" i="27"/>
  <c r="V47" i="27"/>
  <c r="R47" i="27"/>
  <c r="Q47" i="27"/>
  <c r="I47" i="27"/>
  <c r="AD46" i="27"/>
  <c r="Y46" i="27"/>
  <c r="V46" i="27"/>
  <c r="I46" i="27"/>
  <c r="V45" i="27"/>
  <c r="R45" i="27"/>
  <c r="Q45" i="27"/>
  <c r="I45" i="27"/>
  <c r="AD44" i="27"/>
  <c r="Y44" i="27"/>
  <c r="V44" i="27"/>
  <c r="I44" i="27"/>
  <c r="V43" i="27"/>
  <c r="R43" i="27"/>
  <c r="Q43" i="27"/>
  <c r="I43" i="27"/>
  <c r="AD42" i="27"/>
  <c r="Y42" i="27"/>
  <c r="V42" i="27"/>
  <c r="I42" i="27"/>
  <c r="V41" i="27"/>
  <c r="R41" i="27"/>
  <c r="Q41" i="27"/>
  <c r="I41" i="27"/>
  <c r="AD40" i="27"/>
  <c r="Y40" i="27"/>
  <c r="V40" i="27"/>
  <c r="I40" i="27"/>
  <c r="V39" i="27"/>
  <c r="R39" i="27"/>
  <c r="Q39" i="27"/>
  <c r="I39" i="27"/>
  <c r="AD38" i="27"/>
  <c r="Y38" i="27"/>
  <c r="V38" i="27"/>
  <c r="I38" i="27"/>
  <c r="V37" i="27"/>
  <c r="R37" i="27"/>
  <c r="Q37" i="27"/>
  <c r="I37" i="27"/>
  <c r="AD36" i="27"/>
  <c r="Y36" i="27"/>
  <c r="V36" i="27"/>
  <c r="I36" i="27"/>
  <c r="V35" i="27"/>
  <c r="R35" i="27"/>
  <c r="Q35" i="27"/>
  <c r="I35" i="27"/>
  <c r="AD34" i="27"/>
  <c r="Y34" i="27"/>
  <c r="V34" i="27"/>
  <c r="I34" i="27"/>
  <c r="V33" i="27"/>
  <c r="R33" i="27"/>
  <c r="Q33" i="27"/>
  <c r="I33" i="27"/>
  <c r="AD32" i="27"/>
  <c r="Y32" i="27"/>
  <c r="V32" i="27"/>
  <c r="I32" i="27"/>
  <c r="M26" i="27"/>
  <c r="M25" i="27"/>
  <c r="I11" i="27"/>
  <c r="H11" i="27"/>
  <c r="G11" i="27"/>
  <c r="F11" i="27"/>
  <c r="E11" i="27"/>
  <c r="D11" i="27"/>
  <c r="C11" i="27"/>
  <c r="J10" i="27"/>
  <c r="I10" i="27"/>
  <c r="H10" i="27"/>
  <c r="G10" i="27"/>
  <c r="F10" i="27"/>
  <c r="E10" i="27"/>
  <c r="D10" i="27"/>
  <c r="C10" i="27"/>
  <c r="O113" i="10"/>
  <c r="L113" i="10"/>
  <c r="G113" i="10"/>
  <c r="C113" i="10"/>
  <c r="B113" i="10"/>
  <c r="M77" i="8"/>
  <c r="L77" i="8"/>
  <c r="K77" i="8"/>
  <c r="D77" i="8"/>
  <c r="C77" i="8"/>
  <c r="B77" i="8"/>
  <c r="M68" i="8"/>
  <c r="L68" i="8"/>
  <c r="K68" i="8"/>
  <c r="J68" i="8"/>
  <c r="F68" i="8"/>
  <c r="D68" i="8"/>
  <c r="C68" i="8"/>
  <c r="B68" i="8"/>
  <c r="J101" i="7"/>
  <c r="G101" i="7"/>
  <c r="D101" i="7"/>
  <c r="C101" i="7"/>
  <c r="B101" i="7"/>
  <c r="J91" i="7"/>
  <c r="G91" i="7"/>
  <c r="D91" i="7"/>
  <c r="C91" i="7"/>
  <c r="B91" i="7"/>
  <c r="J81" i="7"/>
  <c r="G81" i="7"/>
  <c r="D81" i="7"/>
  <c r="C81" i="7"/>
  <c r="B81" i="7"/>
  <c r="J71" i="7"/>
  <c r="G71" i="7"/>
  <c r="D71" i="7"/>
  <c r="C71" i="7"/>
  <c r="B71" i="7"/>
  <c r="J61" i="7"/>
  <c r="G61" i="7"/>
  <c r="D61" i="7"/>
  <c r="C61" i="7"/>
  <c r="B61" i="7"/>
  <c r="O51" i="7"/>
  <c r="N51" i="7"/>
  <c r="J51" i="7"/>
  <c r="G51" i="7"/>
  <c r="C51" i="7"/>
  <c r="D51" i="7"/>
  <c r="B51" i="7"/>
  <c r="K86" i="27"/>
  <c r="G185" i="27"/>
  <c r="K85" i="27"/>
  <c r="M126" i="27"/>
  <c r="J141" i="27"/>
  <c r="K126" i="27"/>
  <c r="G141" i="27"/>
  <c r="K127" i="27"/>
  <c r="M127" i="27"/>
  <c r="J95" i="22"/>
  <c r="I94" i="22"/>
  <c r="I95" i="22"/>
  <c r="K148" i="27"/>
  <c r="B440" i="22"/>
  <c r="B439" i="22"/>
  <c r="C439" i="22" s="1"/>
  <c r="D439" i="22"/>
  <c r="B362" i="22"/>
  <c r="B361" i="22"/>
  <c r="G206" i="27"/>
  <c r="G162" i="27"/>
  <c r="M162" i="27" s="1"/>
  <c r="K164" i="27" s="1"/>
  <c r="M148" i="27"/>
  <c r="K147" i="27"/>
  <c r="J162" i="27"/>
  <c r="M147" i="27"/>
  <c r="M192" i="27"/>
  <c r="J185" i="27"/>
  <c r="K192" i="27"/>
  <c r="K191" i="27"/>
  <c r="J206" i="27"/>
  <c r="M191" i="27"/>
  <c r="H118" i="23"/>
  <c r="G118" i="23"/>
  <c r="B118" i="23"/>
  <c r="H117" i="23"/>
  <c r="G117" i="23"/>
  <c r="B117" i="23"/>
  <c r="H116" i="23"/>
  <c r="G116" i="23"/>
  <c r="F105" i="23"/>
  <c r="C106" i="23"/>
  <c r="G65" i="23"/>
  <c r="C65" i="23"/>
  <c r="B65" i="23"/>
  <c r="G64" i="23"/>
  <c r="C64" i="23"/>
  <c r="B64" i="23"/>
  <c r="G63" i="23"/>
  <c r="C63" i="23"/>
  <c r="B63" i="23"/>
  <c r="G62" i="23"/>
  <c r="C62" i="23"/>
  <c r="B62" i="23"/>
  <c r="G61" i="23"/>
  <c r="C61" i="23"/>
  <c r="B61" i="23"/>
  <c r="G60" i="23"/>
  <c r="P56" i="23"/>
  <c r="F51" i="23"/>
  <c r="C52" i="23" s="1"/>
  <c r="F45" i="23"/>
  <c r="C46" i="23" s="1"/>
  <c r="F39" i="23"/>
  <c r="C40" i="23" s="1"/>
  <c r="Q32" i="23"/>
  <c r="M32" i="23"/>
  <c r="C30" i="23"/>
  <c r="F32" i="23" s="1"/>
  <c r="I29" i="23"/>
  <c r="K23" i="23"/>
  <c r="M23" i="23" s="1"/>
  <c r="J23" i="23"/>
  <c r="G23" i="23"/>
  <c r="I23" i="23" s="1"/>
  <c r="D23" i="23"/>
  <c r="F23" i="23" s="1"/>
  <c r="K22" i="23"/>
  <c r="L23" i="23" s="1"/>
  <c r="J22" i="23"/>
  <c r="G22" i="23"/>
  <c r="H23" i="23" s="1"/>
  <c r="D22" i="23"/>
  <c r="E23" i="23" s="1"/>
  <c r="K21" i="23"/>
  <c r="J21" i="23"/>
  <c r="G21" i="23"/>
  <c r="H22" i="23"/>
  <c r="D21" i="23"/>
  <c r="E22" i="23" s="1"/>
  <c r="I483" i="22"/>
  <c r="H68" i="51" s="1"/>
  <c r="F483" i="22"/>
  <c r="F68" i="51" s="1"/>
  <c r="D437" i="22"/>
  <c r="B437" i="22"/>
  <c r="K367" i="22"/>
  <c r="O362" i="22"/>
  <c r="M362" i="22"/>
  <c r="O361" i="22"/>
  <c r="M361" i="22"/>
  <c r="R283" i="22"/>
  <c r="BT51" i="51" s="1"/>
  <c r="R251" i="22"/>
  <c r="BT19" i="51" s="1"/>
  <c r="R281" i="22"/>
  <c r="BT49" i="51" s="1"/>
  <c r="R247" i="22"/>
  <c r="BT15" i="51" s="1"/>
  <c r="R279" i="22"/>
  <c r="BT47" i="51" s="1"/>
  <c r="AF278" i="22"/>
  <c r="R277" i="22"/>
  <c r="BT45" i="51" s="1"/>
  <c r="AF276" i="22"/>
  <c r="R275" i="22"/>
  <c r="BT43" i="51" s="1"/>
  <c r="AF274" i="22"/>
  <c r="R273" i="22"/>
  <c r="BT41" i="51" s="1"/>
  <c r="AF272" i="22"/>
  <c r="R271" i="22"/>
  <c r="BT39" i="51" s="1"/>
  <c r="AF270" i="22"/>
  <c r="R269" i="22"/>
  <c r="BT37" i="51" s="1"/>
  <c r="AF268" i="22"/>
  <c r="R267" i="22"/>
  <c r="BT35" i="51" s="1"/>
  <c r="AF266" i="22"/>
  <c r="R265" i="22"/>
  <c r="BT33" i="51"/>
  <c r="AF264" i="22"/>
  <c r="R263" i="22"/>
  <c r="BT31" i="51" s="1"/>
  <c r="AF262" i="22"/>
  <c r="R261" i="22"/>
  <c r="BT29" i="51" s="1"/>
  <c r="AF260" i="22"/>
  <c r="R259" i="22"/>
  <c r="BT27" i="51" s="1"/>
  <c r="AF258" i="22"/>
  <c r="R257" i="22"/>
  <c r="BT25" i="51" s="1"/>
  <c r="AF256" i="22"/>
  <c r="R255" i="22"/>
  <c r="BT23" i="51" s="1"/>
  <c r="AF254" i="22"/>
  <c r="R253" i="22"/>
  <c r="BT21" i="51" s="1"/>
  <c r="AF252" i="22"/>
  <c r="R249" i="22"/>
  <c r="BT17" i="51" s="1"/>
  <c r="AF248" i="22"/>
  <c r="R245" i="22"/>
  <c r="BT13" i="51"/>
  <c r="AF244" i="22"/>
  <c r="R243" i="22"/>
  <c r="BT11" i="51" s="1"/>
  <c r="AF242" i="22"/>
  <c r="R239" i="22"/>
  <c r="BT7" i="51" s="1"/>
  <c r="M225" i="22"/>
  <c r="L225" i="22"/>
  <c r="J225" i="22"/>
  <c r="I225" i="22"/>
  <c r="H225" i="22"/>
  <c r="G225" i="22"/>
  <c r="B220" i="22"/>
  <c r="F220" i="22" s="1"/>
  <c r="B219" i="22"/>
  <c r="F219" i="22"/>
  <c r="E206" i="22"/>
  <c r="E205" i="22"/>
  <c r="T205" i="22" s="1"/>
  <c r="S203" i="22"/>
  <c r="R203" i="22"/>
  <c r="S201" i="22"/>
  <c r="R201" i="22"/>
  <c r="S163" i="22"/>
  <c r="R163" i="22"/>
  <c r="S199" i="22"/>
  <c r="R199" i="22"/>
  <c r="S197" i="22"/>
  <c r="R197" i="22"/>
  <c r="S157" i="22"/>
  <c r="R157" i="22"/>
  <c r="S159" i="22"/>
  <c r="R159" i="22"/>
  <c r="S193" i="22"/>
  <c r="R193" i="22"/>
  <c r="S187" i="22"/>
  <c r="R187" i="22"/>
  <c r="S185" i="22"/>
  <c r="R185" i="22"/>
  <c r="S173" i="22"/>
  <c r="R173" i="22"/>
  <c r="S191" i="22"/>
  <c r="R191" i="22"/>
  <c r="S151" i="22"/>
  <c r="R151" i="22"/>
  <c r="S183" i="22"/>
  <c r="R183" i="22"/>
  <c r="S179" i="22"/>
  <c r="R179" i="22"/>
  <c r="S175" i="22"/>
  <c r="R175" i="22"/>
  <c r="S171" i="22"/>
  <c r="R171" i="22"/>
  <c r="S169" i="22"/>
  <c r="R169" i="22"/>
  <c r="S167" i="22"/>
  <c r="R167" i="22"/>
  <c r="S165" i="22"/>
  <c r="R165" i="22"/>
  <c r="S161" i="22"/>
  <c r="R161" i="22"/>
  <c r="S155" i="22"/>
  <c r="R155" i="22"/>
  <c r="S153" i="22"/>
  <c r="R153" i="22"/>
  <c r="S147" i="22"/>
  <c r="R147" i="22"/>
  <c r="S95" i="22"/>
  <c r="R95" i="22"/>
  <c r="H95" i="22"/>
  <c r="H94" i="22"/>
  <c r="H92" i="22"/>
  <c r="B58" i="8"/>
  <c r="E29" i="12"/>
  <c r="J23" i="3"/>
  <c r="R60" i="4"/>
  <c r="T60" i="4" s="1"/>
  <c r="S60" i="4"/>
  <c r="U60" i="4" s="1"/>
  <c r="S61" i="4"/>
  <c r="U61" i="4" s="1"/>
  <c r="R61" i="4"/>
  <c r="T61" i="4" s="1"/>
  <c r="B104" i="10"/>
  <c r="C87" i="12"/>
  <c r="H33" i="3"/>
  <c r="F33" i="3"/>
  <c r="S62" i="4"/>
  <c r="U62" i="4" s="1"/>
  <c r="R62" i="4"/>
  <c r="T62" i="4" s="1"/>
  <c r="B47" i="4"/>
  <c r="B32" i="12"/>
  <c r="B75" i="12"/>
  <c r="F145" i="10"/>
  <c r="F144" i="10"/>
  <c r="N92" i="12"/>
  <c r="N93" i="12"/>
  <c r="N94" i="12"/>
  <c r="N95" i="12"/>
  <c r="N39" i="12"/>
  <c r="N22" i="12"/>
  <c r="R49" i="2"/>
  <c r="AE161" i="10"/>
  <c r="AE162" i="10"/>
  <c r="AE163" i="10"/>
  <c r="AE164" i="10"/>
  <c r="AE165" i="10"/>
  <c r="AE160" i="10"/>
  <c r="C96" i="19"/>
  <c r="H8" i="19"/>
  <c r="H7" i="19"/>
  <c r="H6" i="19"/>
  <c r="H5" i="19"/>
  <c r="H4" i="19"/>
  <c r="H3" i="19"/>
  <c r="H2" i="19"/>
  <c r="K217" i="19"/>
  <c r="F217" i="19"/>
  <c r="I214" i="19"/>
  <c r="H214" i="19"/>
  <c r="K214" i="19" s="1"/>
  <c r="K213" i="19"/>
  <c r="F213" i="19"/>
  <c r="K212" i="19"/>
  <c r="F212" i="19"/>
  <c r="K211" i="19"/>
  <c r="F211" i="19"/>
  <c r="K210" i="19"/>
  <c r="F210" i="19"/>
  <c r="AY19" i="19"/>
  <c r="AY18" i="19"/>
  <c r="CE10" i="19"/>
  <c r="CF10" i="19" s="1"/>
  <c r="CE9" i="19"/>
  <c r="CG9" i="19"/>
  <c r="CE8" i="19"/>
  <c r="CF8" i="19" s="1"/>
  <c r="CG7" i="19"/>
  <c r="CF7" i="19"/>
  <c r="CE6" i="19"/>
  <c r="CG6" i="19" s="1"/>
  <c r="CG5" i="19"/>
  <c r="CH5" i="19" s="1"/>
  <c r="CH6" i="19" s="1"/>
  <c r="CH7" i="19" s="1"/>
  <c r="CH8" i="19" s="1"/>
  <c r="CF5" i="19"/>
  <c r="F146" i="10"/>
  <c r="F147" i="10"/>
  <c r="R70" i="2"/>
  <c r="S70" i="2"/>
  <c r="B2" i="21"/>
  <c r="B1" i="21"/>
  <c r="R94" i="22"/>
  <c r="F100" i="27"/>
  <c r="I100" i="27"/>
  <c r="I141" i="27"/>
  <c r="I162" i="27"/>
  <c r="F162" i="27"/>
  <c r="I206" i="27"/>
  <c r="I185" i="27"/>
  <c r="F206" i="27"/>
  <c r="F185" i="27"/>
  <c r="F141" i="27"/>
  <c r="W148" i="10"/>
  <c r="Z148" i="10"/>
  <c r="AA148" i="10" s="1"/>
  <c r="U14" i="46"/>
  <c r="U25" i="46"/>
  <c r="U21" i="46"/>
  <c r="W163" i="10"/>
  <c r="W160" i="10"/>
  <c r="O10" i="4"/>
  <c r="CU10" i="19"/>
  <c r="P121" i="29"/>
  <c r="CW16" i="19"/>
  <c r="E121" i="29"/>
  <c r="C121" i="29"/>
  <c r="F31" i="3"/>
  <c r="T82" i="4"/>
  <c r="D44" i="4"/>
  <c r="F90" i="12"/>
  <c r="I46" i="4"/>
  <c r="C489" i="22"/>
  <c r="L21" i="26"/>
  <c r="M15" i="26"/>
  <c r="X121" i="29"/>
  <c r="T71" i="4"/>
  <c r="DA1" i="19"/>
  <c r="E20" i="12"/>
  <c r="E37" i="12"/>
  <c r="F46" i="4"/>
  <c r="F21" i="3"/>
  <c r="S122" i="29"/>
  <c r="W121" i="29"/>
  <c r="H29" i="4"/>
  <c r="L55" i="13"/>
  <c r="U121" i="29"/>
  <c r="C341" i="26"/>
  <c r="O121" i="29"/>
  <c r="CU11" i="19"/>
  <c r="E10" i="4"/>
  <c r="F121" i="29"/>
  <c r="I121" i="29"/>
  <c r="E53" i="16"/>
  <c r="CW1" i="19"/>
  <c r="W145" i="10"/>
  <c r="C342" i="26"/>
  <c r="U72" i="7"/>
  <c r="Y72" i="7"/>
  <c r="N72" i="7" s="1"/>
  <c r="Z72" i="7"/>
  <c r="V72" i="7"/>
  <c r="G72" i="7" s="1"/>
  <c r="J164" i="10"/>
  <c r="AF164" i="10" s="1"/>
  <c r="AD164" i="10"/>
  <c r="J165" i="10"/>
  <c r="AF165" i="10" s="1"/>
  <c r="AD165" i="10"/>
  <c r="J163" i="10"/>
  <c r="AF163" i="10" s="1"/>
  <c r="AD163" i="10"/>
  <c r="J162" i="10"/>
  <c r="AF162" i="10" s="1"/>
  <c r="AD162" i="10"/>
  <c r="V82" i="7"/>
  <c r="G82" i="7" s="1"/>
  <c r="U82" i="7"/>
  <c r="AF32" i="27"/>
  <c r="I93" i="22"/>
  <c r="R93" i="22"/>
  <c r="Y165" i="10"/>
  <c r="Y163" i="10"/>
  <c r="AA161" i="10"/>
  <c r="AB161" i="10"/>
  <c r="AC161" i="10"/>
  <c r="DP435" i="33"/>
  <c r="DP199" i="33"/>
  <c r="DP183" i="33"/>
  <c r="DP164" i="33"/>
  <c r="DP111" i="33"/>
  <c r="DP270" i="33"/>
  <c r="DP307" i="33"/>
  <c r="DP283" i="33"/>
  <c r="DP244" i="33"/>
  <c r="DP547" i="33"/>
  <c r="DP343" i="33"/>
  <c r="DP35" i="33"/>
  <c r="DP131" i="33"/>
  <c r="DP79" i="33"/>
  <c r="DP71" i="33"/>
  <c r="DP39" i="33"/>
  <c r="DP215" i="33"/>
  <c r="DP522" i="33"/>
  <c r="DP507" i="33"/>
  <c r="DP379" i="33"/>
  <c r="DP371" i="33"/>
  <c r="DP281" i="33"/>
  <c r="DP264" i="33"/>
  <c r="K56" i="15"/>
  <c r="K42" i="15"/>
  <c r="K60" i="15"/>
  <c r="K38" i="15"/>
  <c r="K52" i="15"/>
  <c r="K57" i="15"/>
  <c r="K41" i="15"/>
  <c r="K54" i="15"/>
  <c r="K44" i="15"/>
  <c r="K51" i="15"/>
  <c r="AP46" i="15"/>
  <c r="AP38" i="15"/>
  <c r="AP37" i="15"/>
  <c r="AP44" i="15"/>
  <c r="AP63" i="15"/>
  <c r="AP64" i="15" s="1"/>
  <c r="AP49" i="15"/>
  <c r="AP60" i="15"/>
  <c r="AP58" i="15"/>
  <c r="AP42" i="15"/>
  <c r="Y162" i="10"/>
  <c r="Z162" i="10" s="1"/>
  <c r="AA165" i="10"/>
  <c r="AB165" i="10"/>
  <c r="AC165" i="10" s="1"/>
  <c r="AA164" i="10"/>
  <c r="AB164" i="10"/>
  <c r="AC164" i="10"/>
  <c r="Y164" i="10"/>
  <c r="AA162" i="10"/>
  <c r="AB162" i="10"/>
  <c r="AC162" i="10" s="1"/>
  <c r="AA163" i="10"/>
  <c r="AB163" i="10"/>
  <c r="AC163" i="10" s="1"/>
  <c r="U13" i="4"/>
  <c r="U16" i="4" s="1"/>
  <c r="U18" i="4" s="1"/>
  <c r="U19" i="4" s="1"/>
  <c r="DR3" i="19" a="1"/>
  <c r="G69" i="16"/>
  <c r="U92" i="7"/>
  <c r="DP483" i="33"/>
  <c r="T81" i="38"/>
  <c r="L83" i="38"/>
  <c r="L81" i="38"/>
  <c r="DP419" i="33"/>
  <c r="F52" i="38"/>
  <c r="E52" i="38"/>
  <c r="DP332" i="33"/>
  <c r="B6" i="46"/>
  <c r="F8" i="46"/>
  <c r="B6" i="43"/>
  <c r="F8" i="43" s="1"/>
  <c r="B6" i="21"/>
  <c r="F8" i="21"/>
  <c r="DP487" i="33"/>
  <c r="DP384" i="33"/>
  <c r="DP260" i="33"/>
  <c r="B218" i="19"/>
  <c r="DP276" i="33"/>
  <c r="M100" i="22"/>
  <c r="DP451" i="33"/>
  <c r="DP537" i="33"/>
  <c r="DP520" i="33"/>
  <c r="DP455" i="33"/>
  <c r="DP515" i="33"/>
  <c r="DP187" i="33"/>
  <c r="DP424" i="33"/>
  <c r="DP363" i="33"/>
  <c r="DP291" i="33"/>
  <c r="DP228" i="33"/>
  <c r="DP151" i="33"/>
  <c r="DP163" i="33"/>
  <c r="DP156" i="33"/>
  <c r="BI277" i="38"/>
  <c r="BN154" i="22"/>
  <c r="DP361" i="33"/>
  <c r="DP284" i="33"/>
  <c r="BI149" i="38"/>
  <c r="DP99" i="33"/>
  <c r="DP92" i="33"/>
  <c r="DP43" i="33"/>
  <c r="DP203" i="33"/>
  <c r="DP192" i="33"/>
  <c r="DP227" i="33"/>
  <c r="DP196" i="33"/>
  <c r="DP104" i="33"/>
  <c r="DP83" i="33"/>
  <c r="DP76" i="33"/>
  <c r="DP40" i="33"/>
  <c r="DP545" i="33"/>
  <c r="DP463" i="33"/>
  <c r="DP252" i="33"/>
  <c r="DP495" i="33"/>
  <c r="DP431" i="33"/>
  <c r="DP236" i="33"/>
  <c r="DP220" i="33"/>
  <c r="DP511" i="33"/>
  <c r="DP256" i="33"/>
  <c r="DP527" i="33"/>
  <c r="DP324" i="33"/>
  <c r="DP188" i="33"/>
  <c r="DP172" i="33"/>
  <c r="DP72" i="33"/>
  <c r="DP51" i="33"/>
  <c r="DP67" i="33"/>
  <c r="DP195" i="33"/>
  <c r="DP355" i="33"/>
  <c r="DP387" i="33"/>
  <c r="DP60" i="33"/>
  <c r="M106" i="38"/>
  <c r="G106" i="38"/>
  <c r="L106" i="38"/>
  <c r="C462" i="38"/>
  <c r="D462" i="38"/>
  <c r="DP331" i="33"/>
  <c r="DP100" i="33"/>
  <c r="DP388" i="33"/>
  <c r="DP393" i="33"/>
  <c r="BI283" i="38"/>
  <c r="DP115" i="33"/>
  <c r="DP108" i="33"/>
  <c r="DP204" i="33"/>
  <c r="DP268" i="33"/>
  <c r="BN152" i="22"/>
  <c r="H88" i="38"/>
  <c r="L88" i="38"/>
  <c r="M88" i="38"/>
  <c r="BN146" i="22"/>
  <c r="BN160" i="22"/>
  <c r="BI145" i="38"/>
  <c r="BI249" i="38"/>
  <c r="M104" i="38"/>
  <c r="H104" i="38"/>
  <c r="BI269" i="38"/>
  <c r="G104" i="38"/>
  <c r="BI247" i="38"/>
  <c r="BI263" i="38"/>
  <c r="U102" i="7"/>
  <c r="V102" i="7"/>
  <c r="G102" i="7" s="1"/>
  <c r="U23" i="46"/>
  <c r="U28" i="46"/>
  <c r="M29" i="4"/>
  <c r="R122" i="29"/>
  <c r="C339" i="26"/>
  <c r="J92" i="4"/>
  <c r="L121" i="29"/>
  <c r="T83" i="4"/>
  <c r="S121" i="29"/>
  <c r="C122" i="29"/>
  <c r="I164" i="10"/>
  <c r="S82" i="4"/>
  <c r="C533" i="38"/>
  <c r="DB1" i="19"/>
  <c r="G122" i="29"/>
  <c r="E76" i="16"/>
  <c r="K43" i="13"/>
  <c r="T44" i="4"/>
  <c r="E54" i="16"/>
  <c r="W162" i="10"/>
  <c r="H122" i="29"/>
  <c r="B17" i="4"/>
  <c r="G43" i="13"/>
  <c r="D43" i="13"/>
  <c r="I55" i="13"/>
  <c r="D71" i="4"/>
  <c r="Y161" i="10"/>
  <c r="M49" i="13"/>
  <c r="I49" i="13"/>
  <c r="M50" i="13"/>
  <c r="M48" i="13"/>
  <c r="M47" i="13"/>
  <c r="I47" i="13"/>
  <c r="I48" i="13"/>
  <c r="F23" i="70"/>
  <c r="F22" i="70"/>
  <c r="G25" i="15"/>
  <c r="G24" i="15"/>
  <c r="DU28" i="33"/>
  <c r="DV28" i="33"/>
  <c r="DT28" i="33"/>
  <c r="DW28" i="33"/>
  <c r="DU29" i="33"/>
  <c r="DW29" i="33"/>
  <c r="CZ29" i="33"/>
  <c r="DV29" i="33"/>
  <c r="A67" i="51"/>
  <c r="D67" i="51"/>
  <c r="P8" i="5"/>
  <c r="B5" i="5"/>
  <c r="B3" i="21"/>
  <c r="H28" i="33"/>
  <c r="DE28" i="33"/>
  <c r="H26" i="10"/>
  <c r="D26" i="10"/>
  <c r="CX28" i="33"/>
  <c r="K26" i="10"/>
  <c r="DF28" i="33"/>
  <c r="DD28" i="33"/>
  <c r="DC28" i="33"/>
  <c r="J26" i="10"/>
  <c r="I26" i="10"/>
  <c r="M27" i="10"/>
  <c r="C120" i="4"/>
  <c r="C114" i="4"/>
  <c r="C119" i="4"/>
  <c r="C118" i="4"/>
  <c r="C117" i="4"/>
  <c r="C116" i="4"/>
  <c r="C115" i="4"/>
  <c r="C113" i="4"/>
  <c r="B105" i="4"/>
  <c r="H21" i="4"/>
  <c r="B104" i="4"/>
  <c r="B3" i="46"/>
  <c r="B3" i="43"/>
  <c r="W149" i="10"/>
  <c r="Q59" i="15"/>
  <c r="Q54" i="15"/>
  <c r="Q45" i="15"/>
  <c r="Q40" i="15"/>
  <c r="Q14" i="15"/>
  <c r="Q25" i="15"/>
  <c r="O64" i="15"/>
  <c r="P59" i="15"/>
  <c r="Q49" i="15"/>
  <c r="Q44" i="15"/>
  <c r="Q63" i="15"/>
  <c r="Q64" i="15"/>
  <c r="Q58" i="15"/>
  <c r="Q53" i="15"/>
  <c r="Q39" i="15"/>
  <c r="Q55" i="15"/>
  <c r="Q27" i="15"/>
  <c r="P53" i="15"/>
  <c r="Q48" i="15"/>
  <c r="Q43" i="15"/>
  <c r="Q38" i="15"/>
  <c r="Q41" i="15"/>
  <c r="Q62" i="15"/>
  <c r="Q57" i="15"/>
  <c r="Q52" i="15"/>
  <c r="P43" i="15"/>
  <c r="Q24" i="15"/>
  <c r="Q36" i="15"/>
  <c r="Q61" i="15"/>
  <c r="Q56" i="15"/>
  <c r="Q47" i="15"/>
  <c r="Q42" i="15"/>
  <c r="Q37" i="15"/>
  <c r="Q60" i="15"/>
  <c r="Q51" i="15"/>
  <c r="Q46" i="15"/>
  <c r="Q50" i="15"/>
  <c r="P45" i="15"/>
  <c r="P57" i="15"/>
  <c r="J17" i="70"/>
  <c r="K14" i="15"/>
  <c r="Q9" i="5"/>
  <c r="Q11" i="5" s="1"/>
  <c r="R9" i="5"/>
  <c r="R11" i="5" s="1"/>
  <c r="S9" i="5"/>
  <c r="S11" i="5" s="1"/>
  <c r="P9" i="5"/>
  <c r="P11" i="5" s="1"/>
  <c r="AK26" i="33"/>
  <c r="AA26" i="33"/>
  <c r="AF26" i="33"/>
  <c r="AN26" i="33"/>
  <c r="P26" i="33"/>
  <c r="AE26" i="33"/>
  <c r="AL26" i="33"/>
  <c r="CD26" i="33"/>
  <c r="AM26" i="33"/>
  <c r="U26" i="33"/>
  <c r="AS26" i="33"/>
  <c r="L26" i="33"/>
  <c r="BX26" i="33"/>
  <c r="CI26" i="33"/>
  <c r="Z26" i="33"/>
  <c r="BZ26" i="33"/>
  <c r="BY26" i="33"/>
  <c r="CC26" i="33"/>
  <c r="BW26" i="33"/>
  <c r="BT26" i="33"/>
  <c r="AO26" i="33"/>
  <c r="V26" i="33"/>
  <c r="AD26" i="33"/>
  <c r="L196" i="38"/>
  <c r="E460" i="38"/>
  <c r="M66" i="22"/>
  <c r="L66" i="22"/>
  <c r="K65" i="22"/>
  <c r="M63" i="22"/>
  <c r="L65" i="22"/>
  <c r="K66" i="22"/>
  <c r="M64" i="22"/>
  <c r="L63" i="22"/>
  <c r="K64" i="22"/>
  <c r="M65" i="22"/>
  <c r="L64" i="22"/>
  <c r="K63" i="22"/>
  <c r="M196" i="38"/>
  <c r="G89" i="38"/>
  <c r="M19" i="13"/>
  <c r="W18" i="13"/>
  <c r="W17" i="13"/>
  <c r="G21" i="13"/>
  <c r="G124" i="51" s="1"/>
  <c r="W15" i="13"/>
  <c r="B20" i="13"/>
  <c r="I19" i="13"/>
  <c r="BA16" i="13" s="1"/>
  <c r="BE15" i="13" s="1"/>
  <c r="S14" i="2"/>
  <c r="Z52" i="7" s="1"/>
  <c r="Q52" i="7" s="1"/>
  <c r="E13" i="16"/>
  <c r="E17" i="16"/>
  <c r="E16" i="16"/>
  <c r="E15" i="16"/>
  <c r="E14" i="16"/>
  <c r="J15" i="70"/>
  <c r="AP17" i="70"/>
  <c r="AP14" i="70"/>
  <c r="J14" i="70"/>
  <c r="F14" i="70"/>
  <c r="AP15" i="70"/>
  <c r="B24" i="13"/>
  <c r="AS27" i="15"/>
  <c r="AF60" i="21"/>
  <c r="AF56" i="21"/>
  <c r="AA53" i="21"/>
  <c r="AC53" i="21" s="1"/>
  <c r="AF46" i="21"/>
  <c r="AA44" i="21"/>
  <c r="AC44" i="21" s="1"/>
  <c r="AF35" i="21"/>
  <c r="AI29" i="21"/>
  <c r="AI27" i="21"/>
  <c r="AI25" i="21"/>
  <c r="AI23" i="21"/>
  <c r="AI21" i="21"/>
  <c r="AI19" i="21"/>
  <c r="AI17" i="21"/>
  <c r="AI15" i="21"/>
  <c r="AI13" i="21"/>
  <c r="AI11" i="21"/>
  <c r="AE29" i="21"/>
  <c r="AE27" i="21"/>
  <c r="AE25" i="21"/>
  <c r="AG23" i="21"/>
  <c r="AE21" i="21"/>
  <c r="AG19" i="21"/>
  <c r="AE17" i="21"/>
  <c r="AG15" i="21"/>
  <c r="AD14" i="21"/>
  <c r="AG11" i="21"/>
  <c r="AI16" i="21"/>
  <c r="AD26" i="21"/>
  <c r="AF16" i="21"/>
  <c r="AF44" i="21"/>
  <c r="AH26" i="21"/>
  <c r="AH18" i="21"/>
  <c r="AH8" i="21"/>
  <c r="AE16" i="21"/>
  <c r="AF47" i="21"/>
  <c r="AK29" i="21"/>
  <c r="AK19" i="21"/>
  <c r="AD28" i="21"/>
  <c r="AD16" i="21"/>
  <c r="AJ27" i="21"/>
  <c r="AJ19" i="21"/>
  <c r="AF29" i="21"/>
  <c r="AA24" i="21"/>
  <c r="AC24" i="21"/>
  <c r="AA16" i="21"/>
  <c r="AC16" i="21" s="1"/>
  <c r="AG43" i="21"/>
  <c r="AA42" i="21"/>
  <c r="AC42" i="21" s="1"/>
  <c r="AA40" i="21"/>
  <c r="AC40" i="21"/>
  <c r="AH29" i="21"/>
  <c r="AH27" i="21"/>
  <c r="AH25" i="21"/>
  <c r="AH23" i="21"/>
  <c r="AH21" i="21"/>
  <c r="AH19" i="21"/>
  <c r="AH17" i="21"/>
  <c r="AH15" i="21"/>
  <c r="AH13" i="21"/>
  <c r="AH11" i="21"/>
  <c r="AD29" i="21"/>
  <c r="AD27" i="21"/>
  <c r="AD25" i="21"/>
  <c r="AF23" i="21"/>
  <c r="AD21" i="21"/>
  <c r="AF19" i="21"/>
  <c r="AD17" i="21"/>
  <c r="AF15" i="21"/>
  <c r="AA14" i="21"/>
  <c r="AC14" i="21"/>
  <c r="AF11" i="21"/>
  <c r="AE8" i="21"/>
  <c r="AE13" i="21"/>
  <c r="AD8" i="21"/>
  <c r="AF28" i="21"/>
  <c r="AF20" i="21"/>
  <c r="AA15" i="21"/>
  <c r="AC15" i="21"/>
  <c r="AA54" i="21"/>
  <c r="AC54" i="21" s="1"/>
  <c r="AH28" i="21"/>
  <c r="AH16" i="21"/>
  <c r="AA26" i="21"/>
  <c r="AC26" i="21" s="1"/>
  <c r="AE12" i="21"/>
  <c r="AF42" i="21"/>
  <c r="AK25" i="21"/>
  <c r="AK15" i="21"/>
  <c r="AG25" i="21"/>
  <c r="AD20" i="21"/>
  <c r="AD12" i="21"/>
  <c r="AF40" i="21"/>
  <c r="AJ21" i="21"/>
  <c r="AJ11" i="21"/>
  <c r="AA22" i="21"/>
  <c r="AC22" i="21" s="1"/>
  <c r="AD9" i="21"/>
  <c r="AD10" i="21" s="1"/>
  <c r="AF59" i="21"/>
  <c r="AF55" i="21"/>
  <c r="AF45" i="21"/>
  <c r="AF43" i="21"/>
  <c r="AG41" i="21"/>
  <c r="AF39" i="21"/>
  <c r="AF34" i="21"/>
  <c r="AK28" i="21"/>
  <c r="AK26" i="21"/>
  <c r="AK24" i="21"/>
  <c r="AK22" i="21"/>
  <c r="AK20" i="21"/>
  <c r="AK18" i="21"/>
  <c r="AK16" i="21"/>
  <c r="AK14" i="21"/>
  <c r="AK12" i="21"/>
  <c r="AI9" i="21"/>
  <c r="AA29" i="21"/>
  <c r="AC29" i="21" s="1"/>
  <c r="AA27" i="21"/>
  <c r="AC27" i="21" s="1"/>
  <c r="AA25" i="21"/>
  <c r="AC25" i="21" s="1"/>
  <c r="AE23" i="21"/>
  <c r="AA21" i="21"/>
  <c r="AC21" i="21" s="1"/>
  <c r="AE19" i="21"/>
  <c r="AA17" i="21"/>
  <c r="AC17" i="21" s="1"/>
  <c r="AE15" i="21"/>
  <c r="AE11" i="21"/>
  <c r="AI14" i="21"/>
  <c r="AA23" i="21"/>
  <c r="AC23" i="21" s="1"/>
  <c r="AA13" i="21"/>
  <c r="AC13" i="21"/>
  <c r="AH22" i="21"/>
  <c r="AH12" i="21"/>
  <c r="AE22" i="21"/>
  <c r="AG14" i="21"/>
  <c r="AD44" i="21"/>
  <c r="AK27" i="21"/>
  <c r="AK17" i="21"/>
  <c r="AG29" i="21"/>
  <c r="AD18" i="21"/>
  <c r="AJ25" i="21"/>
  <c r="AJ15" i="21"/>
  <c r="AF25" i="21"/>
  <c r="AA18" i="21"/>
  <c r="AC18" i="21" s="1"/>
  <c r="AD43" i="21"/>
  <c r="AF41" i="21"/>
  <c r="AA39" i="21"/>
  <c r="AC39" i="21" s="1"/>
  <c r="AJ28" i="21"/>
  <c r="AJ26" i="21"/>
  <c r="AJ24" i="21"/>
  <c r="AJ22" i="21"/>
  <c r="AJ20" i="21"/>
  <c r="AJ18" i="21"/>
  <c r="AJ16" i="21"/>
  <c r="AJ14" i="21"/>
  <c r="AJ12" i="21"/>
  <c r="AH9" i="21"/>
  <c r="AG28" i="21"/>
  <c r="AE26" i="21"/>
  <c r="AG24" i="21"/>
  <c r="AD23" i="21"/>
  <c r="AG20" i="21"/>
  <c r="AD19" i="21"/>
  <c r="AG16" i="21"/>
  <c r="AD15" i="21"/>
  <c r="AD13" i="21"/>
  <c r="AD11" i="21"/>
  <c r="AI26" i="21"/>
  <c r="AI22" i="21"/>
  <c r="AI18" i="21"/>
  <c r="AI8" i="21"/>
  <c r="AA19" i="21"/>
  <c r="AC19" i="21" s="1"/>
  <c r="AA11" i="21"/>
  <c r="AC11" i="21" s="1"/>
  <c r="AG42" i="21"/>
  <c r="AH24" i="21"/>
  <c r="AH14" i="21"/>
  <c r="AE24" i="21"/>
  <c r="AE20" i="21"/>
  <c r="AF57" i="21"/>
  <c r="AA41" i="21"/>
  <c r="AC41" i="21" s="1"/>
  <c r="AK21" i="21"/>
  <c r="AK11" i="21"/>
  <c r="AD22" i="21"/>
  <c r="AE9" i="21"/>
  <c r="AJ29" i="21"/>
  <c r="AJ23" i="21"/>
  <c r="AJ13" i="21"/>
  <c r="AA20" i="21"/>
  <c r="AC20" i="21" s="1"/>
  <c r="AA12" i="21"/>
  <c r="AC12" i="21" s="1"/>
  <c r="AF58" i="21"/>
  <c r="AF54" i="21"/>
  <c r="AG44" i="21"/>
  <c r="AA43" i="21"/>
  <c r="AC43" i="21" s="1"/>
  <c r="AD41" i="21"/>
  <c r="AF38" i="21"/>
  <c r="AF33" i="21"/>
  <c r="AI28" i="21"/>
  <c r="AI24" i="21"/>
  <c r="AI20" i="21"/>
  <c r="AI12" i="21"/>
  <c r="AF24" i="21"/>
  <c r="AA38" i="21"/>
  <c r="AC38" i="21" s="1"/>
  <c r="AH20" i="21"/>
  <c r="AE28" i="21"/>
  <c r="AE18" i="21"/>
  <c r="AF53" i="21"/>
  <c r="AK23" i="21"/>
  <c r="AK13" i="21"/>
  <c r="AD24" i="21"/>
  <c r="AF14" i="21"/>
  <c r="AD42" i="21"/>
  <c r="AJ17" i="21"/>
  <c r="AA28" i="21"/>
  <c r="AC28" i="21" s="1"/>
  <c r="AE14" i="21"/>
  <c r="AP27" i="15"/>
  <c r="D26" i="15"/>
  <c r="K27" i="15"/>
  <c r="AP14" i="15"/>
  <c r="AQ14" i="15" s="1"/>
  <c r="AQ15" i="15" s="1"/>
  <c r="AB165" i="51"/>
  <c r="AC165" i="51" s="1"/>
  <c r="F248" i="38"/>
  <c r="T248" i="38" s="1"/>
  <c r="Q289" i="38"/>
  <c r="O23" i="2"/>
  <c r="T23" i="2"/>
  <c r="O24" i="2"/>
  <c r="O25" i="2"/>
  <c r="J27" i="2"/>
  <c r="O22" i="2"/>
  <c r="O20" i="2"/>
  <c r="O21" i="2"/>
  <c r="AB164" i="51"/>
  <c r="AC164" i="51"/>
  <c r="B164" i="51" s="1"/>
  <c r="BN178" i="22"/>
  <c r="N18" i="45"/>
  <c r="N66" i="75"/>
  <c r="N62" i="75"/>
  <c r="N59" i="75"/>
  <c r="N55" i="75"/>
  <c r="N31" i="75"/>
  <c r="N27" i="75"/>
  <c r="N23" i="75"/>
  <c r="N19" i="75"/>
  <c r="N54" i="75"/>
  <c r="N36" i="75"/>
  <c r="N26" i="75"/>
  <c r="N67" i="75"/>
  <c r="N63" i="75"/>
  <c r="N56" i="75"/>
  <c r="N35" i="75"/>
  <c r="N32" i="75"/>
  <c r="N28" i="75"/>
  <c r="N24" i="75"/>
  <c r="N20" i="75"/>
  <c r="N16" i="75"/>
  <c r="N34" i="75"/>
  <c r="N22" i="75"/>
  <c r="N18" i="75"/>
  <c r="N64" i="75"/>
  <c r="N60" i="75"/>
  <c r="N57" i="75"/>
  <c r="N37" i="75"/>
  <c r="N33" i="75"/>
  <c r="N29" i="75"/>
  <c r="N25" i="75"/>
  <c r="N21" i="75"/>
  <c r="N17" i="75"/>
  <c r="N65" i="75"/>
  <c r="N61" i="75"/>
  <c r="N58" i="75"/>
  <c r="N30" i="75"/>
  <c r="I145" i="10"/>
  <c r="J145" i="10"/>
  <c r="X145" i="10"/>
  <c r="BT243" i="22"/>
  <c r="BT259" i="22"/>
  <c r="BT275" i="22"/>
  <c r="BT291" i="22"/>
  <c r="BT245" i="22"/>
  <c r="BT261" i="22"/>
  <c r="BT277" i="22"/>
  <c r="BT293" i="22"/>
  <c r="BT289" i="22"/>
  <c r="BT247" i="22"/>
  <c r="BT263" i="22"/>
  <c r="BT279" i="22"/>
  <c r="BT273" i="22"/>
  <c r="BU273" i="22"/>
  <c r="BW273" i="22"/>
  <c r="BT249" i="22"/>
  <c r="BT265" i="22"/>
  <c r="BT281" i="22"/>
  <c r="BU281" i="22"/>
  <c r="BW281" i="22" s="1"/>
  <c r="BT257" i="22"/>
  <c r="BT251" i="22"/>
  <c r="BT267" i="22"/>
  <c r="BT283" i="22"/>
  <c r="BT241" i="22"/>
  <c r="BT253" i="22"/>
  <c r="BT269" i="22"/>
  <c r="BU269" i="22" s="1"/>
  <c r="BW269" i="22"/>
  <c r="BT285" i="22"/>
  <c r="BT239" i="22"/>
  <c r="BT255" i="22"/>
  <c r="BT271" i="22"/>
  <c r="BT287" i="22"/>
  <c r="BU287" i="22" s="1"/>
  <c r="BW287" i="22" s="1"/>
  <c r="BT290" i="22"/>
  <c r="BT288" i="22"/>
  <c r="BT292" i="22"/>
  <c r="AJ149" i="22"/>
  <c r="AJ165" i="22"/>
  <c r="AJ181" i="22"/>
  <c r="AK181" i="22" s="1"/>
  <c r="AM181" i="22" s="1"/>
  <c r="AJ197" i="22"/>
  <c r="AJ151" i="22"/>
  <c r="AJ167" i="22"/>
  <c r="AJ183" i="22"/>
  <c r="AJ198" i="22"/>
  <c r="AJ199" i="22"/>
  <c r="AJ187" i="22"/>
  <c r="AJ200" i="22"/>
  <c r="AJ205" i="22"/>
  <c r="AJ153" i="22"/>
  <c r="AJ169" i="22"/>
  <c r="AJ185" i="22"/>
  <c r="AJ171" i="22"/>
  <c r="AJ193" i="22"/>
  <c r="AJ155" i="22"/>
  <c r="AJ157" i="22"/>
  <c r="AJ173" i="22"/>
  <c r="AJ189" i="22"/>
  <c r="AK189" i="22"/>
  <c r="AM189" i="22" s="1"/>
  <c r="AJ201" i="22"/>
  <c r="AJ175" i="22"/>
  <c r="AJ191" i="22"/>
  <c r="AJ177" i="22"/>
  <c r="AK177" i="22"/>
  <c r="AM177" i="22" s="1"/>
  <c r="AJ203" i="22"/>
  <c r="AJ159" i="22"/>
  <c r="AJ202" i="22"/>
  <c r="AJ161" i="22"/>
  <c r="AJ147" i="22"/>
  <c r="AJ163" i="22"/>
  <c r="AJ179" i="22"/>
  <c r="AJ195" i="22"/>
  <c r="AK195" i="22" s="1"/>
  <c r="AM195" i="22" s="1"/>
  <c r="AJ204" i="22"/>
  <c r="AK204" i="22" s="1"/>
  <c r="AM204" i="22" s="1"/>
  <c r="T162" i="10"/>
  <c r="Z161" i="10"/>
  <c r="T161" i="10"/>
  <c r="Z164" i="10"/>
  <c r="T164" i="10"/>
  <c r="Z165" i="10"/>
  <c r="T165" i="10"/>
  <c r="D27" i="10"/>
  <c r="U52" i="7"/>
  <c r="C349" i="22"/>
  <c r="D349" i="22"/>
  <c r="X349" i="22"/>
  <c r="C347" i="22"/>
  <c r="D347" i="22"/>
  <c r="X347" i="22"/>
  <c r="C348" i="22"/>
  <c r="D348" i="22" s="1"/>
  <c r="X348" i="22"/>
  <c r="C362" i="22"/>
  <c r="D362" i="22" s="1"/>
  <c r="X362" i="22"/>
  <c r="L362" i="22" s="1"/>
  <c r="C363" i="22"/>
  <c r="D363" i="22"/>
  <c r="X363" i="22"/>
  <c r="C361" i="22"/>
  <c r="D361" i="22" s="1"/>
  <c r="X361" i="22"/>
  <c r="C375" i="22"/>
  <c r="D375" i="22"/>
  <c r="X375" i="22"/>
  <c r="C373" i="22"/>
  <c r="D373" i="22" s="1"/>
  <c r="X373" i="22"/>
  <c r="V39" i="22"/>
  <c r="W39" i="22" s="1"/>
  <c r="V66" i="22"/>
  <c r="V65" i="22"/>
  <c r="V38" i="22"/>
  <c r="W38" i="22" s="1"/>
  <c r="L108" i="22"/>
  <c r="T108" i="22"/>
  <c r="G99" i="22"/>
  <c r="T99" i="22"/>
  <c r="E72" i="22"/>
  <c r="X72" i="22" s="1"/>
  <c r="N72" i="22"/>
  <c r="F71" i="22"/>
  <c r="N71" i="22"/>
  <c r="T98" i="22"/>
  <c r="G98" i="22"/>
  <c r="L206" i="22"/>
  <c r="T206" i="22"/>
  <c r="M207" i="22"/>
  <c r="T207" i="22"/>
  <c r="C300" i="22"/>
  <c r="D300" i="22" s="1"/>
  <c r="X300" i="22"/>
  <c r="C301" i="22"/>
  <c r="D301" i="22" s="1"/>
  <c r="X301" i="22"/>
  <c r="X322" i="22"/>
  <c r="C323" i="22"/>
  <c r="D323" i="22" s="1"/>
  <c r="X323" i="22"/>
  <c r="B284" i="26"/>
  <c r="C387" i="22"/>
  <c r="D387" i="22"/>
  <c r="X387" i="22"/>
  <c r="C385" i="22"/>
  <c r="D385" i="22" s="1"/>
  <c r="X385" i="22"/>
  <c r="C386" i="22"/>
  <c r="D386" i="22" s="1"/>
  <c r="X386" i="22"/>
  <c r="B294" i="26"/>
  <c r="C294" i="26"/>
  <c r="D294" i="26" s="1"/>
  <c r="B317" i="26"/>
  <c r="C317" i="26"/>
  <c r="D317" i="26"/>
  <c r="B226" i="26"/>
  <c r="C226" i="26" s="1"/>
  <c r="D226" i="26" s="1"/>
  <c r="B157" i="26"/>
  <c r="B108" i="27"/>
  <c r="C108" i="27" s="1"/>
  <c r="D108" i="27" s="1"/>
  <c r="C409" i="22"/>
  <c r="D409" i="22" s="1"/>
  <c r="X409" i="22"/>
  <c r="C408" i="22"/>
  <c r="D408" i="22" s="1"/>
  <c r="X408" i="22"/>
  <c r="B243" i="26"/>
  <c r="C243" i="26"/>
  <c r="D243" i="26" s="1"/>
  <c r="B41" i="26"/>
  <c r="B65" i="26"/>
  <c r="M65" i="26"/>
  <c r="C453" i="22"/>
  <c r="D453" i="22" s="1"/>
  <c r="V453" i="22"/>
  <c r="B285" i="26"/>
  <c r="C285" i="26"/>
  <c r="D285" i="26" s="1"/>
  <c r="B276" i="26"/>
  <c r="C276" i="26" s="1"/>
  <c r="D276" i="26" s="1"/>
  <c r="C407" i="22"/>
  <c r="D407" i="22" s="1"/>
  <c r="X407" i="22"/>
  <c r="B265" i="26"/>
  <c r="C265" i="26"/>
  <c r="D265" i="26" s="1"/>
  <c r="B304" i="26"/>
  <c r="C304" i="26" s="1"/>
  <c r="D304" i="26" s="1"/>
  <c r="C452" i="22"/>
  <c r="D452" i="22" s="1"/>
  <c r="C451" i="22"/>
  <c r="D451" i="22" s="1"/>
  <c r="V451" i="22"/>
  <c r="AT205" i="22"/>
  <c r="AF212" i="22"/>
  <c r="N462" i="22"/>
  <c r="R10" i="18" s="1"/>
  <c r="BI267" i="38"/>
  <c r="I63" i="23"/>
  <c r="DG17" i="19"/>
  <c r="DH17" i="19"/>
  <c r="BN168" i="22"/>
  <c r="BI161" i="38"/>
  <c r="BJ266" i="22"/>
  <c r="BJ242" i="22"/>
  <c r="BI287" i="38"/>
  <c r="BI253" i="38"/>
  <c r="BI155" i="38"/>
  <c r="BI279" i="38"/>
  <c r="BI255" i="38"/>
  <c r="BI271" i="38"/>
  <c r="K230" i="38"/>
  <c r="BN166" i="22"/>
  <c r="BI157" i="38"/>
  <c r="BI163" i="38"/>
  <c r="K62" i="23"/>
  <c r="BI285" i="38"/>
  <c r="BI261" i="38"/>
  <c r="BN174" i="22"/>
  <c r="L65" i="23"/>
  <c r="BI147" i="38"/>
  <c r="H19" i="2"/>
  <c r="J29" i="2"/>
  <c r="I19" i="2"/>
  <c r="BJ264" i="22"/>
  <c r="L194" i="38"/>
  <c r="BI281" i="38"/>
  <c r="BI151" i="38"/>
  <c r="CG8" i="19"/>
  <c r="BI153" i="38"/>
  <c r="BN164" i="22"/>
  <c r="C17" i="71"/>
  <c r="BI257" i="38"/>
  <c r="BI289" i="38"/>
  <c r="H62" i="23"/>
  <c r="BI243" i="38"/>
  <c r="BI265" i="38"/>
  <c r="K61" i="23"/>
  <c r="B5" i="64"/>
  <c r="D8" i="64"/>
  <c r="B5" i="46"/>
  <c r="D8" i="46" s="1"/>
  <c r="B5" i="21"/>
  <c r="C8" i="21"/>
  <c r="V121" i="29"/>
  <c r="H140" i="10"/>
  <c r="D122" i="29"/>
  <c r="G55" i="13"/>
  <c r="DA16" i="19"/>
  <c r="I43" i="13"/>
  <c r="V122" i="29"/>
  <c r="I64" i="15"/>
  <c r="AP40" i="15"/>
  <c r="AP48" i="15"/>
  <c r="AP45" i="15"/>
  <c r="K46" i="15"/>
  <c r="D55" i="13"/>
  <c r="J122" i="29"/>
  <c r="S84" i="4"/>
  <c r="F37" i="12"/>
  <c r="Q121" i="29"/>
  <c r="E59" i="16"/>
  <c r="G121" i="29"/>
  <c r="E122" i="29"/>
  <c r="W165" i="10"/>
  <c r="U11" i="46"/>
  <c r="U26" i="46"/>
  <c r="G226" i="26"/>
  <c r="M226" i="26"/>
  <c r="K158" i="26"/>
  <c r="B70" i="26"/>
  <c r="L70" i="26"/>
  <c r="B235" i="26"/>
  <c r="E148" i="26"/>
  <c r="F148" i="26" s="1"/>
  <c r="B305" i="26"/>
  <c r="C305" i="26"/>
  <c r="D305" i="26" s="1"/>
  <c r="B128" i="27"/>
  <c r="C128" i="27" s="1"/>
  <c r="D128" i="27"/>
  <c r="B193" i="27"/>
  <c r="C193" i="27" s="1"/>
  <c r="D193" i="27" s="1"/>
  <c r="M105" i="38"/>
  <c r="G105" i="38"/>
  <c r="T82" i="38"/>
  <c r="U82" i="38" s="1"/>
  <c r="L84" i="38"/>
  <c r="U16" i="46"/>
  <c r="U29" i="46"/>
  <c r="U20" i="46"/>
  <c r="W164" i="10"/>
  <c r="L20" i="26"/>
  <c r="B227" i="26"/>
  <c r="AN64" i="15"/>
  <c r="M73" i="4"/>
  <c r="T84" i="4"/>
  <c r="M55" i="13"/>
  <c r="H56" i="4"/>
  <c r="E73" i="16"/>
  <c r="M56" i="4"/>
  <c r="B39" i="13"/>
  <c r="S10" i="4"/>
  <c r="R121" i="29"/>
  <c r="P122" i="29"/>
  <c r="R55" i="4"/>
  <c r="B18" i="4"/>
  <c r="E26" i="16"/>
  <c r="L43" i="13"/>
  <c r="I10" i="4"/>
  <c r="M122" i="29"/>
  <c r="U122" i="29"/>
  <c r="D88" i="4"/>
  <c r="E74" i="16"/>
  <c r="B23" i="13"/>
  <c r="G10" i="4"/>
  <c r="N121" i="29"/>
  <c r="I122" i="29"/>
  <c r="L122" i="29"/>
  <c r="E22" i="16"/>
  <c r="W122" i="29"/>
  <c r="W146" i="10"/>
  <c r="I163" i="10"/>
  <c r="K62" i="15"/>
  <c r="K39" i="15"/>
  <c r="K53" i="15"/>
  <c r="K36" i="15"/>
  <c r="K55" i="15"/>
  <c r="CU9" i="19"/>
  <c r="U10" i="46"/>
  <c r="U19" i="46"/>
  <c r="Y122" i="29"/>
  <c r="W161" i="10"/>
  <c r="L32" i="38"/>
  <c r="H88" i="4"/>
  <c r="E39" i="16"/>
  <c r="DH3" i="19"/>
  <c r="Q10" i="4"/>
  <c r="O122" i="29"/>
  <c r="DB16" i="19"/>
  <c r="F20" i="12"/>
  <c r="CV16" i="19"/>
  <c r="C487" i="22"/>
  <c r="T122" i="29"/>
  <c r="DG4" i="19"/>
  <c r="E109" i="12"/>
  <c r="P46" i="4"/>
  <c r="B42" i="4"/>
  <c r="T121" i="29"/>
  <c r="S88" i="4"/>
  <c r="J121" i="29"/>
  <c r="I162" i="10"/>
  <c r="K50" i="15"/>
  <c r="K47" i="15"/>
  <c r="K45" i="15"/>
  <c r="K43" i="15"/>
  <c r="L19" i="15"/>
  <c r="K58" i="15"/>
  <c r="AP47" i="15"/>
  <c r="AP59" i="15"/>
  <c r="AP52" i="15"/>
  <c r="AP50" i="15"/>
  <c r="AP62" i="15"/>
  <c r="AP36" i="15"/>
  <c r="AP55" i="15"/>
  <c r="U17" i="46"/>
  <c r="Y121" i="29"/>
  <c r="E72" i="16"/>
  <c r="E38" i="16"/>
  <c r="D121" i="29"/>
  <c r="I165" i="10"/>
  <c r="U27" i="46"/>
  <c r="S37" i="15"/>
  <c r="S39" i="15" s="1"/>
  <c r="H55" i="13"/>
  <c r="K88" i="4"/>
  <c r="K122" i="29"/>
  <c r="G109" i="12"/>
  <c r="X122" i="29"/>
  <c r="O88" i="4"/>
  <c r="N122" i="29"/>
  <c r="CV1" i="19"/>
  <c r="N21" i="4"/>
  <c r="M121" i="29"/>
  <c r="Q21" i="4"/>
  <c r="U22" i="46"/>
  <c r="H121" i="29"/>
  <c r="U15" i="46"/>
  <c r="I73" i="4"/>
  <c r="M43" i="13"/>
  <c r="H105" i="38"/>
  <c r="M194" i="38"/>
  <c r="T83" i="38"/>
  <c r="U83" i="38" s="1"/>
  <c r="C317" i="38"/>
  <c r="D317" i="38"/>
  <c r="B5" i="43"/>
  <c r="AP56" i="15"/>
  <c r="AP43" i="15"/>
  <c r="AP39" i="15"/>
  <c r="K49" i="15"/>
  <c r="K37" i="15"/>
  <c r="K61" i="15"/>
  <c r="W147" i="10"/>
  <c r="E43" i="16"/>
  <c r="F73" i="4"/>
  <c r="Q88" i="4"/>
  <c r="Q122" i="29"/>
  <c r="B15" i="4"/>
  <c r="M46" i="4"/>
  <c r="H141" i="10"/>
  <c r="M10" i="4"/>
  <c r="U10" i="4"/>
  <c r="V88" i="4"/>
  <c r="U12" i="46"/>
  <c r="DG3" i="19"/>
  <c r="Z121" i="29"/>
  <c r="DH4" i="19"/>
  <c r="U18" i="46"/>
  <c r="Z122" i="29"/>
  <c r="K55" i="13"/>
  <c r="E75" i="16"/>
  <c r="R28" i="4"/>
  <c r="L33" i="38"/>
  <c r="F434" i="38" s="1"/>
  <c r="F51" i="38"/>
  <c r="L82" i="38"/>
  <c r="T84" i="38"/>
  <c r="U84" i="38" s="1"/>
  <c r="W144" i="10"/>
  <c r="AP54" i="15"/>
  <c r="AP51" i="15"/>
  <c r="AP41" i="15"/>
  <c r="AP57" i="15"/>
  <c r="AP53" i="15"/>
  <c r="AP61" i="15"/>
  <c r="K40" i="15"/>
  <c r="K63" i="15"/>
  <c r="K64" i="15" s="1"/>
  <c r="K59" i="15"/>
  <c r="K48" i="15"/>
  <c r="I161" i="10"/>
  <c r="P73" i="4"/>
  <c r="S83" i="4"/>
  <c r="K121" i="29"/>
  <c r="B69" i="4"/>
  <c r="F109" i="12"/>
  <c r="K10" i="4"/>
  <c r="M88" i="4"/>
  <c r="B30" i="2"/>
  <c r="H43" i="13"/>
  <c r="F122" i="29"/>
  <c r="C535" i="38"/>
  <c r="I160" i="10"/>
  <c r="J160" i="10"/>
  <c r="AF160" i="10"/>
  <c r="U13" i="46"/>
  <c r="U24" i="46"/>
  <c r="L22" i="23"/>
  <c r="E461" i="38"/>
  <c r="AB505" i="29"/>
  <c r="BN176" i="22"/>
  <c r="C33" i="23"/>
  <c r="O64" i="23" s="1"/>
  <c r="O62" i="23"/>
  <c r="AB496" i="29"/>
  <c r="AB532" i="29"/>
  <c r="F530" i="38"/>
  <c r="L195" i="38"/>
  <c r="AB261" i="29"/>
  <c r="AB420" i="29"/>
  <c r="AE166" i="10"/>
  <c r="F214" i="19"/>
  <c r="L64" i="23"/>
  <c r="CG10" i="19"/>
  <c r="X93" i="7"/>
  <c r="F250" i="38"/>
  <c r="T250" i="38" s="1"/>
  <c r="F274" i="38"/>
  <c r="S274" i="38"/>
  <c r="B4" i="46"/>
  <c r="B4" i="21"/>
  <c r="F266" i="38"/>
  <c r="S266" i="38"/>
  <c r="B4" i="43"/>
  <c r="H60" i="23"/>
  <c r="H61" i="23"/>
  <c r="H65" i="23"/>
  <c r="I64" i="23"/>
  <c r="AB382" i="29"/>
  <c r="H63" i="23"/>
  <c r="K64" i="23"/>
  <c r="K65" i="23"/>
  <c r="K60" i="23"/>
  <c r="K63" i="23"/>
  <c r="C352" i="26"/>
  <c r="D352" i="26"/>
  <c r="AB169" i="29"/>
  <c r="AB308" i="29"/>
  <c r="AB523" i="29"/>
  <c r="AB37" i="29"/>
  <c r="O65" i="23"/>
  <c r="H64" i="23"/>
  <c r="M64" i="23"/>
  <c r="L63" i="23"/>
  <c r="AB154" i="29"/>
  <c r="AB299" i="29"/>
  <c r="F336" i="26"/>
  <c r="C337" i="26"/>
  <c r="R31" i="14"/>
  <c r="Q31" i="14"/>
  <c r="L31" i="14"/>
  <c r="N31" i="14"/>
  <c r="M95" i="22"/>
  <c r="L95" i="22"/>
  <c r="Q33" i="14"/>
  <c r="R33" i="14"/>
  <c r="L33" i="14"/>
  <c r="N33" i="14"/>
  <c r="F195" i="38"/>
  <c r="R34" i="14"/>
  <c r="Q34" i="14"/>
  <c r="L34" i="14"/>
  <c r="N34" i="14"/>
  <c r="M89" i="38"/>
  <c r="BI275" i="38"/>
  <c r="Q32" i="14"/>
  <c r="R32" i="14"/>
  <c r="N32" i="14"/>
  <c r="L32" i="14"/>
  <c r="J68" i="51"/>
  <c r="A71" i="51"/>
  <c r="C531" i="38"/>
  <c r="F196" i="38"/>
  <c r="H89" i="38"/>
  <c r="G196" i="38"/>
  <c r="G34" i="15"/>
  <c r="F34" i="15"/>
  <c r="AN53" i="15"/>
  <c r="AO53" i="15"/>
  <c r="AN59" i="15"/>
  <c r="AO59" i="15" s="1"/>
  <c r="AP24" i="15"/>
  <c r="AN45" i="15"/>
  <c r="AO45" i="15"/>
  <c r="AN57" i="15"/>
  <c r="AO57" i="15" s="1"/>
  <c r="K24" i="15"/>
  <c r="AN39" i="15"/>
  <c r="AN43" i="15"/>
  <c r="AO43" i="15" s="1"/>
  <c r="AP25" i="15"/>
  <c r="K25" i="15"/>
  <c r="AP22" i="70"/>
  <c r="AP23" i="70"/>
  <c r="J23" i="70"/>
  <c r="J22" i="70"/>
  <c r="AO9" i="15"/>
  <c r="V62" i="7"/>
  <c r="X62" i="7" s="1"/>
  <c r="U62" i="7"/>
  <c r="F62" i="7" s="1"/>
  <c r="D20" i="58" s="1"/>
  <c r="V64" i="7"/>
  <c r="U64" i="7"/>
  <c r="Z64" i="7"/>
  <c r="N64" i="7"/>
  <c r="AA64" i="7"/>
  <c r="AA62" i="7"/>
  <c r="AA52" i="7"/>
  <c r="Z92" i="7"/>
  <c r="Z62" i="7"/>
  <c r="N62" i="7" s="1"/>
  <c r="AA92" i="7"/>
  <c r="F264" i="38"/>
  <c r="S264" i="38"/>
  <c r="V92" i="7"/>
  <c r="G92" i="7" s="1"/>
  <c r="V52" i="7"/>
  <c r="G52" i="7"/>
  <c r="A72" i="51"/>
  <c r="C299" i="22"/>
  <c r="D299" i="22" s="1"/>
  <c r="AO34" i="15"/>
  <c r="AQ33" i="15"/>
  <c r="AQ32" i="15"/>
  <c r="AQ31" i="15"/>
  <c r="L33" i="15"/>
  <c r="L32" i="15"/>
  <c r="L31" i="15"/>
  <c r="J34" i="15"/>
  <c r="A142" i="51"/>
  <c r="G138" i="51"/>
  <c r="H138" i="51"/>
  <c r="C311" i="22"/>
  <c r="D311" i="22"/>
  <c r="BW41" i="51"/>
  <c r="BW29" i="51"/>
  <c r="BW23" i="51"/>
  <c r="BW17" i="51"/>
  <c r="BW13" i="51"/>
  <c r="BW45" i="51"/>
  <c r="BW33" i="51"/>
  <c r="BW27" i="51"/>
  <c r="BW21" i="51"/>
  <c r="BW15" i="51"/>
  <c r="BW9" i="51"/>
  <c r="BV25" i="51"/>
  <c r="BV21" i="51"/>
  <c r="BV15" i="51"/>
  <c r="BV9" i="51"/>
  <c r="BW59" i="51"/>
  <c r="BW57" i="51"/>
  <c r="BW55" i="51"/>
  <c r="BW53" i="51"/>
  <c r="BW51" i="51"/>
  <c r="BW49" i="51"/>
  <c r="BW47" i="51"/>
  <c r="BW43" i="51"/>
  <c r="BW39" i="51"/>
  <c r="BW37" i="51"/>
  <c r="BW35" i="51"/>
  <c r="BW31" i="51"/>
  <c r="BW25" i="51"/>
  <c r="BW19" i="51"/>
  <c r="BW11" i="51"/>
  <c r="BW7" i="51"/>
  <c r="BV19" i="51"/>
  <c r="BV11" i="51"/>
  <c r="BV7" i="51"/>
  <c r="BV59" i="51"/>
  <c r="BV57" i="51"/>
  <c r="BV55" i="51"/>
  <c r="BV53" i="51"/>
  <c r="BV51" i="51"/>
  <c r="BV49" i="51"/>
  <c r="BV47" i="51"/>
  <c r="BV45" i="51"/>
  <c r="BV43" i="51"/>
  <c r="BV41" i="51"/>
  <c r="BV39" i="51"/>
  <c r="BV37" i="51"/>
  <c r="BV35" i="51"/>
  <c r="BV33" i="51"/>
  <c r="BV31" i="51"/>
  <c r="BV29" i="51"/>
  <c r="BV27" i="51"/>
  <c r="BV23" i="51"/>
  <c r="BV17" i="51"/>
  <c r="BV13" i="51"/>
  <c r="BV60" i="51"/>
  <c r="BW60" i="51"/>
  <c r="BV58" i="51"/>
  <c r="BW58" i="51"/>
  <c r="F207" i="22"/>
  <c r="W207" i="22"/>
  <c r="M205" i="22"/>
  <c r="W205" i="22"/>
  <c r="B85" i="27"/>
  <c r="C85" i="27"/>
  <c r="D85" i="27" s="1"/>
  <c r="F222" i="26"/>
  <c r="A68" i="51"/>
  <c r="BJ244" i="22"/>
  <c r="BJ248" i="22"/>
  <c r="BJ262" i="22"/>
  <c r="BJ250" i="22"/>
  <c r="X69" i="8"/>
  <c r="Y69" i="8"/>
  <c r="Q69" i="8" s="1"/>
  <c r="X70" i="8"/>
  <c r="J106" i="10"/>
  <c r="G106" i="10"/>
  <c r="I46" i="8"/>
  <c r="I32" i="8"/>
  <c r="G47" i="8"/>
  <c r="G33" i="8"/>
  <c r="F46" i="8"/>
  <c r="F32" i="8"/>
  <c r="J47" i="8"/>
  <c r="J33" i="8"/>
  <c r="DD2" i="51"/>
  <c r="AE70" i="8"/>
  <c r="W63" i="7"/>
  <c r="DF32" i="33"/>
  <c r="DG32" i="33" s="1"/>
  <c r="DF31" i="33"/>
  <c r="DG31" i="33"/>
  <c r="DF33" i="33"/>
  <c r="DG33" i="33" s="1"/>
  <c r="BO6" i="51"/>
  <c r="DP542" i="33"/>
  <c r="DP494" i="33"/>
  <c r="DP486" i="33"/>
  <c r="DP474" i="33"/>
  <c r="DP458" i="33"/>
  <c r="DP406" i="33"/>
  <c r="DP350" i="33"/>
  <c r="DP198" i="33"/>
  <c r="DP118" i="33"/>
  <c r="DP106" i="33"/>
  <c r="DP70" i="33"/>
  <c r="DP42" i="33"/>
  <c r="DP513" i="33"/>
  <c r="DP477" i="33"/>
  <c r="DP465" i="33"/>
  <c r="DP433" i="33"/>
  <c r="DP413" i="33"/>
  <c r="DP409" i="33"/>
  <c r="DP381" i="33"/>
  <c r="DP337" i="33"/>
  <c r="DP333" i="33"/>
  <c r="DP329" i="33"/>
  <c r="DP317" i="33"/>
  <c r="DP313" i="33"/>
  <c r="DP289" i="33"/>
  <c r="DP285" i="33"/>
  <c r="DP277" i="33"/>
  <c r="DP273" i="33"/>
  <c r="DP265" i="33"/>
  <c r="DP257" i="33"/>
  <c r="DP253" i="33"/>
  <c r="DP249" i="33"/>
  <c r="DP241" i="33"/>
  <c r="DP233" i="33"/>
  <c r="DP229" i="33"/>
  <c r="DP225" i="33"/>
  <c r="DP201" i="33"/>
  <c r="DP197" i="33"/>
  <c r="DP193" i="33"/>
  <c r="DP189" i="33"/>
  <c r="DP181" i="33"/>
  <c r="DP177" i="33"/>
  <c r="DP165" i="33"/>
  <c r="DP161" i="33"/>
  <c r="DP157" i="33"/>
  <c r="DP141" i="33"/>
  <c r="DP137" i="33"/>
  <c r="DP129" i="33"/>
  <c r="DP121" i="33"/>
  <c r="DP117" i="33"/>
  <c r="DP97" i="33"/>
  <c r="DP93" i="33"/>
  <c r="DP89" i="33"/>
  <c r="DP85" i="33"/>
  <c r="DP81" i="33"/>
  <c r="DP73" i="33"/>
  <c r="DP69" i="33"/>
  <c r="DP61" i="33"/>
  <c r="DP57" i="33"/>
  <c r="DP49" i="33"/>
  <c r="DP45" i="33"/>
  <c r="DP41" i="33"/>
  <c r="DP31" i="33"/>
  <c r="DP30" i="33"/>
  <c r="DP32" i="33"/>
  <c r="DP523" i="33"/>
  <c r="DP548" i="33"/>
  <c r="DP544" i="33"/>
  <c r="DP540" i="33"/>
  <c r="DP528" i="33"/>
  <c r="DP524" i="33"/>
  <c r="DP512" i="33"/>
  <c r="DP504" i="33"/>
  <c r="DP496" i="33"/>
  <c r="DP492" i="33"/>
  <c r="DP488" i="33"/>
  <c r="DP484" i="33"/>
  <c r="DP480" i="33"/>
  <c r="DP464" i="33"/>
  <c r="DP460" i="33"/>
  <c r="DP456" i="33"/>
  <c r="DP452" i="33"/>
  <c r="DP448" i="33"/>
  <c r="DP444" i="33"/>
  <c r="DP440" i="33"/>
  <c r="DP436" i="33"/>
  <c r="DP428" i="33"/>
  <c r="DP420" i="33"/>
  <c r="DP408" i="33"/>
  <c r="DP396" i="33"/>
  <c r="DP392" i="33"/>
  <c r="DP376" i="33"/>
  <c r="DP368" i="33"/>
  <c r="DP356" i="33"/>
  <c r="DP352" i="33"/>
  <c r="DP340" i="33"/>
  <c r="DP320" i="33"/>
  <c r="DP304" i="33"/>
  <c r="DP300" i="33"/>
  <c r="DP296" i="33"/>
  <c r="DP292" i="33"/>
  <c r="DP288" i="33"/>
  <c r="DP132" i="33"/>
  <c r="DP52" i="33"/>
  <c r="DP44" i="33"/>
  <c r="DP34" i="33"/>
  <c r="CW26" i="33"/>
  <c r="DP531" i="33"/>
  <c r="DP503" i="33"/>
  <c r="DP475" i="33"/>
  <c r="DP467" i="33"/>
  <c r="DP443" i="33"/>
  <c r="DP395" i="33"/>
  <c r="DP367" i="33"/>
  <c r="DP347" i="33"/>
  <c r="DP339" i="33"/>
  <c r="DP299" i="33"/>
  <c r="DP267" i="33"/>
  <c r="DP235" i="33"/>
  <c r="DP147" i="33"/>
  <c r="DP139" i="33"/>
  <c r="DP103" i="33"/>
  <c r="DP421" i="33"/>
  <c r="DP209" i="33"/>
  <c r="DP259" i="33"/>
  <c r="DP417" i="33"/>
  <c r="DP536" i="33"/>
  <c r="DP551" i="33"/>
  <c r="DP348" i="33"/>
  <c r="DP213" i="33"/>
  <c r="DP160" i="33"/>
  <c r="DP425" i="33"/>
  <c r="DP90" i="33"/>
  <c r="DP394" i="33"/>
  <c r="DP55" i="33"/>
  <c r="DP171" i="33"/>
  <c r="DP247" i="33"/>
  <c r="DP383" i="33"/>
  <c r="DP124" i="33"/>
  <c r="DP37" i="33"/>
  <c r="DP341" i="33"/>
  <c r="DP453" i="33"/>
  <c r="DP489" i="33"/>
  <c r="DP345" i="33"/>
  <c r="DP473" i="33"/>
  <c r="DP275" i="33"/>
  <c r="DP532" i="33"/>
  <c r="DP360" i="33"/>
  <c r="DP78" i="33"/>
  <c r="DP239" i="33"/>
  <c r="DP255" i="33"/>
  <c r="DP116" i="33"/>
  <c r="DP148" i="33"/>
  <c r="DP372" i="33"/>
  <c r="DP105" i="33"/>
  <c r="DP301" i="33"/>
  <c r="DP481" i="33"/>
  <c r="DP364" i="33"/>
  <c r="DP140" i="33"/>
  <c r="DP297" i="33"/>
  <c r="DP74" i="33"/>
  <c r="DP82" i="33"/>
  <c r="DP174" i="33"/>
  <c r="DP390" i="33"/>
  <c r="DP243" i="33"/>
  <c r="DP271" i="33"/>
  <c r="DP120" i="33"/>
  <c r="DP152" i="33"/>
  <c r="DP109" i="33"/>
  <c r="DP305" i="33"/>
  <c r="DP485" i="33"/>
  <c r="F285" i="38"/>
  <c r="T285" i="38"/>
  <c r="F244" i="38"/>
  <c r="F268" i="38"/>
  <c r="T268" i="38"/>
  <c r="F286" i="38"/>
  <c r="F275" i="38"/>
  <c r="U75" i="2"/>
  <c r="E442" i="22"/>
  <c r="E444" i="22"/>
  <c r="E443" i="22"/>
  <c r="E440" i="22"/>
  <c r="E439" i="22"/>
  <c r="E441" i="22"/>
  <c r="F102" i="7"/>
  <c r="D24" i="58"/>
  <c r="F72" i="7"/>
  <c r="D21" i="58" s="1"/>
  <c r="F82" i="7"/>
  <c r="D22" i="58"/>
  <c r="W92" i="7"/>
  <c r="F92" i="7"/>
  <c r="D23" i="58" s="1"/>
  <c r="S45" i="38"/>
  <c r="D136" i="58"/>
  <c r="D132" i="58"/>
  <c r="D137" i="58"/>
  <c r="D131" i="58"/>
  <c r="D139" i="58"/>
  <c r="D138" i="58"/>
  <c r="D129" i="58"/>
  <c r="D130" i="58"/>
  <c r="D134" i="58"/>
  <c r="D140" i="58"/>
  <c r="D135" i="58"/>
  <c r="D133" i="58"/>
  <c r="D141" i="58"/>
  <c r="F33" i="7"/>
  <c r="N27" i="42"/>
  <c r="N64" i="63"/>
  <c r="N60" i="63"/>
  <c r="N56" i="63"/>
  <c r="N31" i="63"/>
  <c r="N27" i="63"/>
  <c r="N23" i="63"/>
  <c r="N19" i="63"/>
  <c r="N65" i="63"/>
  <c r="N61" i="63"/>
  <c r="N57" i="63"/>
  <c r="N37" i="63"/>
  <c r="N35" i="63"/>
  <c r="N32" i="63"/>
  <c r="N28" i="63"/>
  <c r="N24" i="63"/>
  <c r="N20" i="63"/>
  <c r="N16" i="63"/>
  <c r="N66" i="63"/>
  <c r="N62" i="63"/>
  <c r="N58" i="63"/>
  <c r="N54" i="63"/>
  <c r="N33" i="63"/>
  <c r="N29" i="63"/>
  <c r="N25" i="63"/>
  <c r="N21" i="63"/>
  <c r="N17" i="63"/>
  <c r="N67" i="63"/>
  <c r="N63" i="63"/>
  <c r="N59" i="63"/>
  <c r="N55" i="63"/>
  <c r="N36" i="63"/>
  <c r="N34" i="63"/>
  <c r="N30" i="63"/>
  <c r="N26" i="63"/>
  <c r="N22" i="63"/>
  <c r="N18" i="63"/>
  <c r="AD160" i="10"/>
  <c r="DP242" i="33"/>
  <c r="DP422" i="33"/>
  <c r="DP466" i="33"/>
  <c r="DP231" i="33"/>
  <c r="DP128" i="33"/>
  <c r="DP168" i="33"/>
  <c r="DP336" i="33"/>
  <c r="DP114" i="33"/>
  <c r="DP442" i="33"/>
  <c r="DP107" i="33"/>
  <c r="DP84" i="33"/>
  <c r="DP308" i="33"/>
  <c r="DP344" i="33"/>
  <c r="DP145" i="33"/>
  <c r="DP369" i="33"/>
  <c r="DP418" i="33"/>
  <c r="DP462" i="33"/>
  <c r="DP279" i="33"/>
  <c r="DP88" i="33"/>
  <c r="DP312" i="33"/>
  <c r="DP149" i="33"/>
  <c r="DP468" i="33"/>
  <c r="DP521" i="33"/>
  <c r="CS26" i="33"/>
  <c r="DP410" i="33"/>
  <c r="DP434" i="33"/>
  <c r="DP530" i="33"/>
  <c r="DP535" i="33"/>
  <c r="DP476" i="33"/>
  <c r="DP438" i="33"/>
  <c r="DP427" i="33"/>
  <c r="DP321" i="33"/>
  <c r="DP127" i="33"/>
  <c r="DP91" i="33"/>
  <c r="DP207" i="33"/>
  <c r="DP497" i="33"/>
  <c r="DP399" i="33"/>
  <c r="DP354" i="33"/>
  <c r="DP326" i="33"/>
  <c r="DP280" i="33"/>
  <c r="DP263" i="33"/>
  <c r="DP237" i="33"/>
  <c r="DP224" i="33"/>
  <c r="DP202" i="33"/>
  <c r="DP182" i="33"/>
  <c r="DP144" i="33"/>
  <c r="DP98" i="33"/>
  <c r="DP65" i="33"/>
  <c r="DP500" i="33"/>
  <c r="DP429" i="33"/>
  <c r="DP416" i="33"/>
  <c r="DP402" i="33"/>
  <c r="DP386" i="33"/>
  <c r="DP266" i="33"/>
  <c r="DP185" i="33"/>
  <c r="DP36" i="33"/>
  <c r="DP68" i="33"/>
  <c r="DP437" i="33"/>
  <c r="DP310" i="33"/>
  <c r="DP47" i="33"/>
  <c r="DP508" i="33"/>
  <c r="DP526" i="33"/>
  <c r="DP432" i="33"/>
  <c r="DP389" i="33"/>
  <c r="DP328" i="33"/>
  <c r="DP293" i="33"/>
  <c r="DP269" i="33"/>
  <c r="DP258" i="33"/>
  <c r="DP245" i="33"/>
  <c r="DP191" i="33"/>
  <c r="DP178" i="33"/>
  <c r="DP133" i="33"/>
  <c r="DP94" i="33"/>
  <c r="DP357" i="33"/>
  <c r="DP290" i="33"/>
  <c r="DP216" i="33"/>
  <c r="DP176" i="33"/>
  <c r="DP543" i="33"/>
  <c r="DP450" i="33"/>
  <c r="DP404" i="33"/>
  <c r="DP323" i="33"/>
  <c r="DP274" i="33"/>
  <c r="DP248" i="33"/>
  <c r="DP234" i="33"/>
  <c r="DP221" i="33"/>
  <c r="DP194" i="33"/>
  <c r="DP180" i="33"/>
  <c r="DP113" i="33"/>
  <c r="DP96" i="33"/>
  <c r="DP80" i="33"/>
  <c r="DP403" i="33"/>
  <c r="BJ282" i="22"/>
  <c r="B191" i="27"/>
  <c r="C191" i="27" s="1"/>
  <c r="D191" i="27" s="1"/>
  <c r="H207" i="22"/>
  <c r="L207" i="22"/>
  <c r="B147" i="27"/>
  <c r="G207" i="22"/>
  <c r="H99" i="22"/>
  <c r="B106" i="27"/>
  <c r="C106" i="27" s="1"/>
  <c r="D106" i="27" s="1"/>
  <c r="F55" i="27"/>
  <c r="BJ252" i="22"/>
  <c r="BJ254" i="22"/>
  <c r="BJ256" i="22"/>
  <c r="BJ258" i="22"/>
  <c r="BJ260" i="22"/>
  <c r="F240" i="22"/>
  <c r="BJ268" i="22"/>
  <c r="BJ270" i="22"/>
  <c r="BJ272" i="22"/>
  <c r="BJ274" i="22"/>
  <c r="BJ278" i="22"/>
  <c r="BJ246" i="22"/>
  <c r="BJ280" i="22"/>
  <c r="BJ284" i="22"/>
  <c r="F119" i="26"/>
  <c r="F258" i="38"/>
  <c r="S258" i="38"/>
  <c r="F283" i="38"/>
  <c r="R285" i="38"/>
  <c r="AF280" i="22"/>
  <c r="AA248" i="22"/>
  <c r="AA258" i="22"/>
  <c r="F284" i="22"/>
  <c r="BM52" i="51" s="1"/>
  <c r="F246" i="22"/>
  <c r="F264" i="22"/>
  <c r="BM32" i="51" s="1"/>
  <c r="F256" i="22"/>
  <c r="BM24" i="51" s="1"/>
  <c r="F244" i="22"/>
  <c r="BM12" i="51"/>
  <c r="AF246" i="22"/>
  <c r="F252" i="38"/>
  <c r="T252" i="38"/>
  <c r="AF250" i="22"/>
  <c r="AA252" i="22"/>
  <c r="AA260" i="22"/>
  <c r="F282" i="22"/>
  <c r="BM50" i="51"/>
  <c r="F271" i="22"/>
  <c r="BM39" i="51" s="1"/>
  <c r="F263" i="22"/>
  <c r="BM31" i="51"/>
  <c r="F254" i="22"/>
  <c r="BM22" i="51" s="1"/>
  <c r="F242" i="22"/>
  <c r="BM10" i="51" s="1"/>
  <c r="F260" i="38"/>
  <c r="AF282" i="22"/>
  <c r="AA254" i="22"/>
  <c r="AF284" i="22"/>
  <c r="AA244" i="22"/>
  <c r="AA256" i="22"/>
  <c r="F274" i="22"/>
  <c r="BM42" i="51" s="1"/>
  <c r="F266" i="22"/>
  <c r="BM34" i="51"/>
  <c r="F258" i="22"/>
  <c r="BM26" i="51" s="1"/>
  <c r="F248" i="22"/>
  <c r="BM16" i="51"/>
  <c r="I172" i="26"/>
  <c r="O92" i="4"/>
  <c r="T76" i="4"/>
  <c r="X73" i="7"/>
  <c r="F19" i="2"/>
  <c r="H29" i="2" s="1"/>
  <c r="G19" i="2"/>
  <c r="I29" i="2"/>
  <c r="N83" i="7"/>
  <c r="F311" i="26"/>
  <c r="I272" i="26"/>
  <c r="N102" i="7"/>
  <c r="I322" i="26"/>
  <c r="B150" i="26"/>
  <c r="P92" i="4"/>
  <c r="I290" i="26"/>
  <c r="N93" i="7"/>
  <c r="U101" i="4"/>
  <c r="M101" i="4"/>
  <c r="E101" i="4"/>
  <c r="S101" i="4"/>
  <c r="Q101" i="4"/>
  <c r="O101" i="4"/>
  <c r="G101" i="4"/>
  <c r="K101" i="4"/>
  <c r="I101" i="4"/>
  <c r="B86" i="4"/>
  <c r="U23" i="64"/>
  <c r="U18" i="64"/>
  <c r="U16" i="64"/>
  <c r="U14" i="64"/>
  <c r="U12" i="64"/>
  <c r="U24" i="64"/>
  <c r="U10" i="64"/>
  <c r="U27" i="64"/>
  <c r="U26" i="64"/>
  <c r="U29" i="64"/>
  <c r="U22" i="64"/>
  <c r="U21" i="64"/>
  <c r="U20" i="64"/>
  <c r="U19" i="64"/>
  <c r="U17" i="64"/>
  <c r="U15" i="64"/>
  <c r="U13" i="64"/>
  <c r="U11" i="64"/>
  <c r="U28" i="64"/>
  <c r="U25" i="64"/>
  <c r="U29" i="43"/>
  <c r="U25" i="43"/>
  <c r="U21" i="43"/>
  <c r="U17" i="43"/>
  <c r="U13" i="43"/>
  <c r="U10" i="21"/>
  <c r="U15" i="21"/>
  <c r="U20" i="21"/>
  <c r="U26" i="21"/>
  <c r="U28" i="43"/>
  <c r="U24" i="43"/>
  <c r="U20" i="43"/>
  <c r="U16" i="43"/>
  <c r="U12" i="43"/>
  <c r="U11" i="21"/>
  <c r="U16" i="21"/>
  <c r="U22" i="21"/>
  <c r="U27" i="21"/>
  <c r="U27" i="43"/>
  <c r="U19" i="43"/>
  <c r="U11" i="43"/>
  <c r="U18" i="21"/>
  <c r="U28" i="21"/>
  <c r="U26" i="43"/>
  <c r="U22" i="43"/>
  <c r="U18" i="43"/>
  <c r="U14" i="43"/>
  <c r="U10" i="43"/>
  <c r="U14" i="21"/>
  <c r="U19" i="21"/>
  <c r="U24" i="21"/>
  <c r="U23" i="43"/>
  <c r="U15" i="43"/>
  <c r="U12" i="21"/>
  <c r="U23" i="21"/>
  <c r="U29" i="21"/>
  <c r="U25" i="21"/>
  <c r="U21" i="21"/>
  <c r="U17" i="21"/>
  <c r="U13" i="21"/>
  <c r="C90" i="19"/>
  <c r="N103" i="7"/>
  <c r="M15" i="16"/>
  <c r="M14" i="16"/>
  <c r="M11" i="16"/>
  <c r="F176" i="26"/>
  <c r="T176" i="26" s="1"/>
  <c r="B64" i="26"/>
  <c r="H64" i="26"/>
  <c r="E147" i="26"/>
  <c r="M147" i="26" s="1"/>
  <c r="B264" i="26"/>
  <c r="C264" i="26"/>
  <c r="D264" i="26" s="1"/>
  <c r="B325" i="26"/>
  <c r="B234" i="26"/>
  <c r="C234" i="26"/>
  <c r="D234" i="26" s="1"/>
  <c r="B225" i="26"/>
  <c r="C225" i="26" s="1"/>
  <c r="D225" i="26" s="1"/>
  <c r="B316" i="26"/>
  <c r="B69" i="26"/>
  <c r="H69" i="26" s="1"/>
  <c r="CF9" i="19"/>
  <c r="CF6" i="19"/>
  <c r="C205" i="27"/>
  <c r="D205" i="27"/>
  <c r="C204" i="27"/>
  <c r="D204" i="27" s="1"/>
  <c r="DP457" i="33"/>
  <c r="DP316" i="33"/>
  <c r="DP449" i="33"/>
  <c r="DP150" i="33"/>
  <c r="DP469" i="33"/>
  <c r="DP472" i="33"/>
  <c r="DP454" i="33"/>
  <c r="DP516" i="33"/>
  <c r="DP539" i="33"/>
  <c r="DP302" i="33"/>
  <c r="DP546" i="33"/>
  <c r="DP407" i="33"/>
  <c r="DP200" i="33"/>
  <c r="DP101" i="33"/>
  <c r="DP153" i="33"/>
  <c r="DP441" i="33"/>
  <c r="DP533" i="33"/>
  <c r="DP499" i="33"/>
  <c r="DP412" i="33"/>
  <c r="DP325" i="33"/>
  <c r="DP130" i="33"/>
  <c r="DP272" i="33"/>
  <c r="DP414" i="33"/>
  <c r="DP446" i="33"/>
  <c r="DP478" i="33"/>
  <c r="DP63" i="33"/>
  <c r="DP380" i="33"/>
  <c r="DP397" i="33"/>
  <c r="DP506" i="33"/>
  <c r="DP217" i="33"/>
  <c r="DP142" i="33"/>
  <c r="DP338" i="33"/>
  <c r="DP351" i="33"/>
  <c r="DP423" i="33"/>
  <c r="DP459" i="33"/>
  <c r="W103" i="7"/>
  <c r="AZ26" i="33"/>
  <c r="BP26" i="33"/>
  <c r="BN26" i="33"/>
  <c r="BI26" i="33"/>
  <c r="AX26" i="33"/>
  <c r="BC26" i="33"/>
  <c r="CM26" i="33"/>
  <c r="BD26" i="33"/>
  <c r="CN26" i="33"/>
  <c r="CR26" i="33"/>
  <c r="BM26" i="33"/>
  <c r="BJ26" i="33"/>
  <c r="BG26" i="33"/>
  <c r="CQ26" i="33"/>
  <c r="BH26" i="33"/>
  <c r="I26" i="33"/>
  <c r="BA26" i="33"/>
  <c r="BQ26" i="33"/>
  <c r="CP26" i="33"/>
  <c r="BK26" i="33"/>
  <c r="BF26" i="33"/>
  <c r="BL26" i="33"/>
  <c r="BB26" i="33"/>
  <c r="BE26" i="33"/>
  <c r="CO26" i="33"/>
  <c r="AY26" i="33"/>
  <c r="BO26" i="33"/>
  <c r="CL26" i="33"/>
  <c r="B28" i="58"/>
  <c r="I301" i="26"/>
  <c r="F301" i="26"/>
  <c r="H36" i="26"/>
  <c r="F281" i="26"/>
  <c r="F290" i="26"/>
  <c r="J55" i="26"/>
  <c r="I239" i="26"/>
  <c r="I281" i="26"/>
  <c r="I261" i="26"/>
  <c r="F272" i="26"/>
  <c r="K348" i="26"/>
  <c r="F239" i="26"/>
  <c r="F261" i="26"/>
  <c r="F322" i="26"/>
  <c r="J311" i="26"/>
  <c r="I222" i="26"/>
  <c r="F22" i="4"/>
  <c r="U64" i="16"/>
  <c r="D208" i="58" s="1"/>
  <c r="U60" i="16"/>
  <c r="D204" i="58"/>
  <c r="U56" i="16"/>
  <c r="D200" i="58" s="1"/>
  <c r="U52" i="16"/>
  <c r="D196" i="58"/>
  <c r="U62" i="16"/>
  <c r="D206" i="58" s="1"/>
  <c r="U50" i="16"/>
  <c r="D194" i="58"/>
  <c r="U61" i="16"/>
  <c r="D205" i="58" s="1"/>
  <c r="U53" i="16"/>
  <c r="D197" i="58"/>
  <c r="U63" i="16"/>
  <c r="D207" i="58" s="1"/>
  <c r="U59" i="16"/>
  <c r="D203" i="58"/>
  <c r="U55" i="16"/>
  <c r="D199" i="58" s="1"/>
  <c r="U51" i="16"/>
  <c r="D195" i="58"/>
  <c r="U58" i="16"/>
  <c r="D202" i="58" s="1"/>
  <c r="U54" i="16"/>
  <c r="D198" i="58"/>
  <c r="U65" i="16"/>
  <c r="D209" i="58" s="1"/>
  <c r="U57" i="16"/>
  <c r="D201" i="58"/>
  <c r="U49" i="16"/>
  <c r="D193" i="58" s="1"/>
  <c r="E135" i="58"/>
  <c r="F269" i="38"/>
  <c r="F278" i="38"/>
  <c r="T278" i="38" s="1"/>
  <c r="F261" i="38"/>
  <c r="L57" i="13"/>
  <c r="H57" i="13"/>
  <c r="E498" i="38"/>
  <c r="E496" i="38"/>
  <c r="E497" i="38"/>
  <c r="E494" i="38"/>
  <c r="E495" i="38"/>
  <c r="E493" i="38"/>
  <c r="E492" i="38"/>
  <c r="E491" i="38"/>
  <c r="E489" i="38"/>
  <c r="E490" i="38"/>
  <c r="E488" i="38"/>
  <c r="E487" i="38"/>
  <c r="Q287" i="38"/>
  <c r="F287" i="38"/>
  <c r="T287" i="38"/>
  <c r="F254" i="38"/>
  <c r="S254" i="38" s="1"/>
  <c r="F280" i="38"/>
  <c r="T280" i="38"/>
  <c r="I49" i="4"/>
  <c r="F49" i="4"/>
  <c r="I57" i="13"/>
  <c r="G57" i="13" s="1"/>
  <c r="M57" i="13"/>
  <c r="K57" i="13" s="1"/>
  <c r="W102" i="7"/>
  <c r="X103" i="7"/>
  <c r="X82" i="7"/>
  <c r="W73" i="7"/>
  <c r="J536" i="38"/>
  <c r="N26" i="42"/>
  <c r="G212" i="27"/>
  <c r="N67" i="42"/>
  <c r="J490" i="22"/>
  <c r="Y159" i="10"/>
  <c r="I147" i="10"/>
  <c r="J147" i="10"/>
  <c r="X53" i="7"/>
  <c r="U76" i="4"/>
  <c r="G34" i="16"/>
  <c r="D22" i="4"/>
  <c r="H39" i="7"/>
  <c r="H44" i="7"/>
  <c r="H26" i="33"/>
  <c r="A4" i="11"/>
  <c r="C184" i="27"/>
  <c r="D184" i="27"/>
  <c r="C160" i="27"/>
  <c r="D160" i="27" s="1"/>
  <c r="C161" i="27"/>
  <c r="D161" i="27"/>
  <c r="C139" i="27"/>
  <c r="D139" i="27" s="1"/>
  <c r="C140" i="27"/>
  <c r="D140" i="27"/>
  <c r="C120" i="27"/>
  <c r="D120" i="27" s="1"/>
  <c r="C119" i="27"/>
  <c r="D119" i="27"/>
  <c r="C98" i="27"/>
  <c r="D98" i="27" s="1"/>
  <c r="C99" i="27"/>
  <c r="D99" i="27"/>
  <c r="E471" i="38"/>
  <c r="J350" i="38"/>
  <c r="J349" i="38"/>
  <c r="J351" i="38"/>
  <c r="G351" i="38"/>
  <c r="G349" i="38"/>
  <c r="G350" i="38"/>
  <c r="J348" i="38"/>
  <c r="O304" i="22"/>
  <c r="O303" i="22"/>
  <c r="I209" i="22"/>
  <c r="J209" i="22"/>
  <c r="B155" i="26"/>
  <c r="F155" i="26" s="1"/>
  <c r="C202" i="27"/>
  <c r="D202" i="27"/>
  <c r="C158" i="27"/>
  <c r="D158" i="27" s="1"/>
  <c r="C96" i="27"/>
  <c r="D96" i="27"/>
  <c r="G347" i="38"/>
  <c r="G348" i="38"/>
  <c r="J347" i="38"/>
  <c r="M347" i="38" s="1"/>
  <c r="C201" i="27"/>
  <c r="D201" i="27" s="1"/>
  <c r="C136" i="27"/>
  <c r="D136" i="27"/>
  <c r="J346" i="38"/>
  <c r="G87" i="38"/>
  <c r="O299" i="22"/>
  <c r="C200" i="27"/>
  <c r="D200" i="27" s="1"/>
  <c r="C115" i="27"/>
  <c r="D115" i="27" s="1"/>
  <c r="C94" i="27"/>
  <c r="D94" i="27"/>
  <c r="G345" i="38"/>
  <c r="G346" i="38"/>
  <c r="J345" i="38"/>
  <c r="M345" i="38" s="1"/>
  <c r="BI245" i="38"/>
  <c r="F53" i="38"/>
  <c r="O301" i="22"/>
  <c r="T147" i="22"/>
  <c r="Y195" i="26"/>
  <c r="B172" i="27"/>
  <c r="C172" i="27" s="1"/>
  <c r="D172" i="27" s="1"/>
  <c r="B87" i="27"/>
  <c r="C87" i="27"/>
  <c r="D87" i="27" s="1"/>
  <c r="C134" i="27"/>
  <c r="D134" i="27" s="1"/>
  <c r="C93" i="27"/>
  <c r="D93" i="27"/>
  <c r="F53" i="27"/>
  <c r="F69" i="27"/>
  <c r="F63" i="27"/>
  <c r="F57" i="27"/>
  <c r="F47" i="27"/>
  <c r="BI273" i="38"/>
  <c r="F288" i="38"/>
  <c r="S288" i="38"/>
  <c r="J53" i="38"/>
  <c r="G473" i="38" s="1"/>
  <c r="M87" i="38"/>
  <c r="J338" i="38"/>
  <c r="H87" i="38"/>
  <c r="U95" i="22"/>
  <c r="V95" i="22" s="1"/>
  <c r="F217" i="26"/>
  <c r="T217" i="26" s="1"/>
  <c r="J59" i="26"/>
  <c r="B63" i="26"/>
  <c r="I60" i="26"/>
  <c r="F121" i="26"/>
  <c r="B68" i="26"/>
  <c r="F184" i="26"/>
  <c r="T184" i="26"/>
  <c r="Y193" i="26"/>
  <c r="Q209" i="26"/>
  <c r="D350" i="26"/>
  <c r="F75" i="27"/>
  <c r="F71" i="27"/>
  <c r="F484" i="22"/>
  <c r="F172" i="26"/>
  <c r="S172" i="26"/>
  <c r="F180" i="26"/>
  <c r="T180" i="26" s="1"/>
  <c r="F212" i="26"/>
  <c r="T212" i="26"/>
  <c r="Y201" i="26"/>
  <c r="M108" i="22"/>
  <c r="H108" i="22"/>
  <c r="R213" i="26"/>
  <c r="I174" i="26"/>
  <c r="B242" i="26"/>
  <c r="C242" i="26" s="1"/>
  <c r="D242" i="26" s="1"/>
  <c r="B40" i="26"/>
  <c r="B156" i="26"/>
  <c r="F156" i="26" s="1"/>
  <c r="F102" i="26"/>
  <c r="S102" i="26"/>
  <c r="F35" i="27"/>
  <c r="H98" i="22"/>
  <c r="F128" i="26"/>
  <c r="S128" i="26"/>
  <c r="Y191" i="26"/>
  <c r="F200" i="26"/>
  <c r="T200" i="26"/>
  <c r="R215" i="26"/>
  <c r="M19" i="26"/>
  <c r="F106" i="26"/>
  <c r="S106" i="26"/>
  <c r="B86" i="27"/>
  <c r="C149" i="27"/>
  <c r="D149" i="27" s="1"/>
  <c r="B171" i="27"/>
  <c r="F39" i="27"/>
  <c r="F77" i="27"/>
  <c r="F73" i="27"/>
  <c r="C198" i="27"/>
  <c r="D198" i="27"/>
  <c r="C197" i="27"/>
  <c r="D197" i="27" s="1"/>
  <c r="F196" i="26"/>
  <c r="F51" i="27"/>
  <c r="F49" i="27"/>
  <c r="B148" i="27"/>
  <c r="F78" i="27"/>
  <c r="C196" i="27"/>
  <c r="D196" i="27" s="1"/>
  <c r="E465" i="38"/>
  <c r="M409" i="38"/>
  <c r="J343" i="38"/>
  <c r="J344" i="38"/>
  <c r="G342" i="38"/>
  <c r="M342" i="38" s="1"/>
  <c r="G343" i="38"/>
  <c r="G344" i="38"/>
  <c r="J342" i="38"/>
  <c r="C152" i="27"/>
  <c r="D152" i="27" s="1"/>
  <c r="C131" i="27"/>
  <c r="D131" i="27" s="1"/>
  <c r="C111" i="27"/>
  <c r="D111" i="27" s="1"/>
  <c r="C90" i="27"/>
  <c r="D90" i="27" s="1"/>
  <c r="T276" i="38"/>
  <c r="J341" i="38"/>
  <c r="M341" i="38" s="1"/>
  <c r="R289" i="38"/>
  <c r="F289" i="38"/>
  <c r="S289" i="38"/>
  <c r="F255" i="38"/>
  <c r="F281" i="38"/>
  <c r="F271" i="38"/>
  <c r="BI251" i="38"/>
  <c r="BI259" i="38"/>
  <c r="S262" i="38"/>
  <c r="F59" i="27"/>
  <c r="F33" i="27"/>
  <c r="F61" i="27"/>
  <c r="F45" i="27"/>
  <c r="F100" i="26"/>
  <c r="S100" i="26"/>
  <c r="F116" i="26"/>
  <c r="F79" i="27"/>
  <c r="F74" i="27"/>
  <c r="F43" i="27"/>
  <c r="F76" i="27"/>
  <c r="B127" i="27"/>
  <c r="C127" i="27" s="1"/>
  <c r="D127" i="27" s="1"/>
  <c r="F65" i="27"/>
  <c r="O367" i="22"/>
  <c r="F187" i="26"/>
  <c r="F124" i="26"/>
  <c r="F41" i="27"/>
  <c r="F67" i="27"/>
  <c r="B192" i="27"/>
  <c r="C192" i="27"/>
  <c r="D192" i="27"/>
  <c r="F37" i="27"/>
  <c r="F205" i="22"/>
  <c r="F188" i="26"/>
  <c r="F204" i="26"/>
  <c r="F211" i="26"/>
  <c r="T211" i="26" s="1"/>
  <c r="F66" i="27"/>
  <c r="F62" i="27"/>
  <c r="F40" i="27"/>
  <c r="F58" i="27"/>
  <c r="L65" i="26"/>
  <c r="G65" i="26"/>
  <c r="H65" i="26"/>
  <c r="F171" i="26"/>
  <c r="F215" i="26"/>
  <c r="M18" i="26"/>
  <c r="Q207" i="26"/>
  <c r="C326" i="26"/>
  <c r="D326" i="26"/>
  <c r="F192" i="26"/>
  <c r="I59" i="26"/>
  <c r="F122" i="26"/>
  <c r="S122" i="26"/>
  <c r="I57" i="26"/>
  <c r="F191" i="26"/>
  <c r="F126" i="26"/>
  <c r="S126" i="26"/>
  <c r="R217" i="26"/>
  <c r="B303" i="26"/>
  <c r="C303" i="26" s="1"/>
  <c r="D303" i="26" s="1"/>
  <c r="F175" i="26"/>
  <c r="S175" i="26" s="1"/>
  <c r="B233" i="26"/>
  <c r="Q211" i="26"/>
  <c r="B39" i="26"/>
  <c r="F120" i="26"/>
  <c r="S120" i="26" s="1"/>
  <c r="F113" i="26"/>
  <c r="B292" i="26"/>
  <c r="C292" i="26"/>
  <c r="D292" i="26" s="1"/>
  <c r="B283" i="26"/>
  <c r="C283" i="26" s="1"/>
  <c r="D283" i="26" s="1"/>
  <c r="F112" i="26"/>
  <c r="S112" i="26"/>
  <c r="J60" i="26"/>
  <c r="F98" i="26"/>
  <c r="S98" i="26"/>
  <c r="F132" i="26"/>
  <c r="S132" i="26" s="1"/>
  <c r="B274" i="26"/>
  <c r="C274" i="26" s="1"/>
  <c r="D274" i="26" s="1"/>
  <c r="F207" i="26"/>
  <c r="F110" i="26"/>
  <c r="S110" i="26" s="1"/>
  <c r="I34" i="26"/>
  <c r="F108" i="26"/>
  <c r="S108" i="26" s="1"/>
  <c r="G33" i="26"/>
  <c r="B241" i="26"/>
  <c r="C241" i="26"/>
  <c r="D241" i="26" s="1"/>
  <c r="F118" i="26"/>
  <c r="S118" i="26"/>
  <c r="J57" i="26"/>
  <c r="B224" i="26"/>
  <c r="F105" i="26"/>
  <c r="I173" i="26"/>
  <c r="F101" i="26"/>
  <c r="Q215" i="26"/>
  <c r="I171" i="26"/>
  <c r="F173" i="26"/>
  <c r="F216" i="26"/>
  <c r="T216" i="26" s="1"/>
  <c r="F115" i="26"/>
  <c r="F194" i="26"/>
  <c r="G34" i="26"/>
  <c r="B324" i="26"/>
  <c r="C324" i="26" s="1"/>
  <c r="D324" i="26" s="1"/>
  <c r="R211" i="26"/>
  <c r="J58" i="26"/>
  <c r="F208" i="26"/>
  <c r="T208" i="26" s="1"/>
  <c r="F104" i="26"/>
  <c r="S104" i="26"/>
  <c r="F114" i="26"/>
  <c r="S114" i="26" s="1"/>
  <c r="B256" i="26"/>
  <c r="C256" i="26"/>
  <c r="D256" i="26"/>
  <c r="R207" i="26"/>
  <c r="I58" i="26"/>
  <c r="B315" i="26"/>
  <c r="C315" i="26"/>
  <c r="D315" i="26" s="1"/>
  <c r="F157" i="26"/>
  <c r="L205" i="22"/>
  <c r="BJ276" i="22"/>
  <c r="G108" i="22"/>
  <c r="F36" i="27"/>
  <c r="F174" i="26"/>
  <c r="B107" i="27"/>
  <c r="C195" i="27"/>
  <c r="D195" i="27" s="1"/>
  <c r="C174" i="27"/>
  <c r="D174" i="27"/>
  <c r="C130" i="27"/>
  <c r="D130" i="27" s="1"/>
  <c r="C110" i="27"/>
  <c r="D110" i="27" s="1"/>
  <c r="C89" i="27"/>
  <c r="D89" i="27" s="1"/>
  <c r="C194" i="27"/>
  <c r="D194" i="27" s="1"/>
  <c r="S46" i="38"/>
  <c r="J340" i="38"/>
  <c r="M340" i="38" s="1"/>
  <c r="M296" i="38"/>
  <c r="M299" i="38"/>
  <c r="G341" i="38"/>
  <c r="M297" i="38"/>
  <c r="C173" i="27"/>
  <c r="D173" i="27" s="1"/>
  <c r="C150" i="27"/>
  <c r="D150" i="27"/>
  <c r="C129" i="27"/>
  <c r="D129" i="27" s="1"/>
  <c r="C109" i="27"/>
  <c r="D109" i="27"/>
  <c r="C88" i="27"/>
  <c r="D88" i="27" s="1"/>
  <c r="B170" i="27"/>
  <c r="S256" i="38"/>
  <c r="J339" i="38"/>
  <c r="G340" i="38"/>
  <c r="T246" i="38"/>
  <c r="S246" i="38"/>
  <c r="U81" i="38"/>
  <c r="T270" i="38"/>
  <c r="F245" i="38"/>
  <c r="T272" i="38"/>
  <c r="S272" i="38"/>
  <c r="G338" i="38"/>
  <c r="S282" i="38"/>
  <c r="T282" i="38"/>
  <c r="G311" i="38"/>
  <c r="M311" i="38" s="1"/>
  <c r="M298" i="38"/>
  <c r="T284" i="38"/>
  <c r="S284" i="38"/>
  <c r="T290" i="38"/>
  <c r="S290" i="38"/>
  <c r="G339" i="38"/>
  <c r="C485" i="22"/>
  <c r="M277" i="26"/>
  <c r="AB66" i="29"/>
  <c r="H22" i="4"/>
  <c r="D48" i="4" s="1"/>
  <c r="U14" i="4" a="1"/>
  <c r="U14" i="4" s="1"/>
  <c r="G101" i="16"/>
  <c r="R373" i="26"/>
  <c r="C340" i="26"/>
  <c r="U75" i="4"/>
  <c r="T75" i="4"/>
  <c r="H5" i="22"/>
  <c r="C488" i="22"/>
  <c r="C356" i="26"/>
  <c r="R379" i="26" s="1"/>
  <c r="J354" i="26"/>
  <c r="H354" i="26"/>
  <c r="N62" i="42"/>
  <c r="N21" i="45"/>
  <c r="N23" i="45"/>
  <c r="Z146" i="10"/>
  <c r="AA146" i="10" s="1"/>
  <c r="N29" i="45"/>
  <c r="N61" i="45"/>
  <c r="N20" i="42"/>
  <c r="N54" i="45"/>
  <c r="AA160" i="10"/>
  <c r="AB160" i="10"/>
  <c r="AC160" i="10" s="1"/>
  <c r="T166" i="10" s="1"/>
  <c r="N35" i="42"/>
  <c r="N66" i="42"/>
  <c r="N34" i="42"/>
  <c r="N22" i="42"/>
  <c r="N28" i="42"/>
  <c r="N59" i="42"/>
  <c r="J342" i="26"/>
  <c r="M173" i="10"/>
  <c r="N33" i="42"/>
  <c r="N62" i="45"/>
  <c r="N24" i="42"/>
  <c r="N54" i="42"/>
  <c r="Y160" i="10"/>
  <c r="N67" i="45"/>
  <c r="N37" i="45"/>
  <c r="N33" i="45"/>
  <c r="N36" i="45"/>
  <c r="N21" i="42"/>
  <c r="N58" i="42"/>
  <c r="N28" i="45"/>
  <c r="N58" i="45"/>
  <c r="N59" i="45"/>
  <c r="N20" i="45"/>
  <c r="N55" i="45"/>
  <c r="N18" i="42"/>
  <c r="N26" i="45"/>
  <c r="N19" i="45"/>
  <c r="N37" i="42"/>
  <c r="N63" i="42"/>
  <c r="N31" i="45"/>
  <c r="N27" i="45"/>
  <c r="N63" i="45"/>
  <c r="N25" i="42"/>
  <c r="N19" i="42"/>
  <c r="N32" i="45"/>
  <c r="N32" i="42"/>
  <c r="N56" i="45"/>
  <c r="N16" i="45"/>
  <c r="N64" i="42"/>
  <c r="N29" i="42"/>
  <c r="N16" i="42"/>
  <c r="N56" i="42"/>
  <c r="N24" i="45"/>
  <c r="N30" i="42"/>
  <c r="N60" i="45"/>
  <c r="N65" i="42"/>
  <c r="N23" i="42"/>
  <c r="N61" i="42"/>
  <c r="N35" i="45"/>
  <c r="N57" i="45"/>
  <c r="N34" i="45"/>
  <c r="N60" i="42"/>
  <c r="N30" i="45"/>
  <c r="N65" i="45"/>
  <c r="N66" i="45"/>
  <c r="N17" i="45"/>
  <c r="N55" i="42"/>
  <c r="N31" i="42"/>
  <c r="N64" i="45"/>
  <c r="N25" i="45"/>
  <c r="N36" i="42"/>
  <c r="N22" i="45"/>
  <c r="N17" i="42"/>
  <c r="N57" i="42"/>
  <c r="W93" i="7"/>
  <c r="F285" i="22"/>
  <c r="BM53" i="51" s="1"/>
  <c r="F270" i="22"/>
  <c r="BM38" i="51"/>
  <c r="F265" i="22"/>
  <c r="BM33" i="51" s="1"/>
  <c r="F243" i="22"/>
  <c r="BM11" i="51"/>
  <c r="F262" i="22"/>
  <c r="BM30" i="51" s="1"/>
  <c r="F257" i="22"/>
  <c r="BM25" i="51"/>
  <c r="X72" i="7"/>
  <c r="W53" i="7"/>
  <c r="X63" i="7"/>
  <c r="G87" i="16"/>
  <c r="G48" i="16"/>
  <c r="M185" i="27"/>
  <c r="M141" i="27"/>
  <c r="M100" i="27"/>
  <c r="R73" i="2"/>
  <c r="B10" i="3"/>
  <c r="B5" i="29"/>
  <c r="J148" i="10"/>
  <c r="W30" i="10"/>
  <c r="E316" i="26"/>
  <c r="E315" i="26"/>
  <c r="E317" i="26"/>
  <c r="F317" i="26" s="1"/>
  <c r="B478" i="38"/>
  <c r="B309" i="26"/>
  <c r="E484" i="38"/>
  <c r="B433" i="22"/>
  <c r="E485" i="38"/>
  <c r="E486" i="38"/>
  <c r="D548" i="38"/>
  <c r="C548" i="38"/>
  <c r="R567" i="38" s="1"/>
  <c r="G548" i="38"/>
  <c r="J548" i="38"/>
  <c r="Q5" i="38"/>
  <c r="D550" i="38"/>
  <c r="R573" i="38" s="1"/>
  <c r="C550" i="38"/>
  <c r="H548" i="38"/>
  <c r="I548" i="38"/>
  <c r="C534" i="38"/>
  <c r="R553" i="38" s="1"/>
  <c r="W82" i="7"/>
  <c r="W72" i="7"/>
  <c r="X102" i="7"/>
  <c r="I216" i="26"/>
  <c r="I185" i="26"/>
  <c r="Y185" i="26"/>
  <c r="F97" i="26"/>
  <c r="I33" i="26"/>
  <c r="S33" i="26" s="1"/>
  <c r="F123" i="26"/>
  <c r="F183" i="26"/>
  <c r="F103" i="26"/>
  <c r="F107" i="26"/>
  <c r="S107" i="26" s="1"/>
  <c r="F109" i="26"/>
  <c r="F99" i="26"/>
  <c r="S99" i="26" s="1"/>
  <c r="F127" i="26"/>
  <c r="F111" i="26"/>
  <c r="F125" i="26"/>
  <c r="F129" i="26"/>
  <c r="S129" i="26" s="1"/>
  <c r="F131" i="26"/>
  <c r="F117" i="26"/>
  <c r="S117" i="26" s="1"/>
  <c r="F203" i="26"/>
  <c r="T203" i="26" s="1"/>
  <c r="F179" i="26"/>
  <c r="M17" i="26"/>
  <c r="R285" i="26" s="1"/>
  <c r="F199" i="26"/>
  <c r="T199" i="26" s="1"/>
  <c r="F195" i="26"/>
  <c r="T195" i="26" s="1"/>
  <c r="F272" i="22"/>
  <c r="BM40" i="51"/>
  <c r="F273" i="22"/>
  <c r="I202" i="26"/>
  <c r="F278" i="22"/>
  <c r="BM46" i="51"/>
  <c r="F279" i="22"/>
  <c r="BM47" i="51" s="1"/>
  <c r="F54" i="27"/>
  <c r="F182" i="26"/>
  <c r="T182" i="26" s="1"/>
  <c r="F181" i="26"/>
  <c r="F189" i="26"/>
  <c r="F190" i="26"/>
  <c r="F197" i="26"/>
  <c r="F198" i="26"/>
  <c r="F205" i="26"/>
  <c r="T205" i="26" s="1"/>
  <c r="F206" i="26"/>
  <c r="F214" i="26"/>
  <c r="S214" i="26" s="1"/>
  <c r="F213" i="26"/>
  <c r="Q213" i="26"/>
  <c r="C440" i="22"/>
  <c r="D440" i="22"/>
  <c r="F46" i="27"/>
  <c r="F44" i="27"/>
  <c r="F50" i="27"/>
  <c r="F52" i="27"/>
  <c r="F68" i="27"/>
  <c r="F60" i="27"/>
  <c r="F64" i="27"/>
  <c r="F34" i="27"/>
  <c r="F32" i="27"/>
  <c r="F42" i="27"/>
  <c r="F38" i="27"/>
  <c r="F56" i="27"/>
  <c r="F72" i="27"/>
  <c r="F48" i="27"/>
  <c r="F70" i="27"/>
  <c r="E73" i="22"/>
  <c r="X73" i="22" s="1"/>
  <c r="F73" i="22"/>
  <c r="G106" i="22"/>
  <c r="H106" i="22"/>
  <c r="C374" i="22"/>
  <c r="D374" i="22" s="1"/>
  <c r="K225" i="22"/>
  <c r="F280" i="22"/>
  <c r="BM48" i="51"/>
  <c r="M206" i="27"/>
  <c r="M207" i="27" s="1"/>
  <c r="C263" i="26"/>
  <c r="D263" i="26"/>
  <c r="C126" i="27"/>
  <c r="D126" i="27" s="1"/>
  <c r="BJ238" i="22"/>
  <c r="G337" i="38"/>
  <c r="F283" i="22"/>
  <c r="BM51" i="51" s="1"/>
  <c r="F255" i="22"/>
  <c r="BM23" i="51"/>
  <c r="F247" i="22"/>
  <c r="BM15" i="51" s="1"/>
  <c r="F245" i="22"/>
  <c r="BM13" i="51"/>
  <c r="G100" i="22"/>
  <c r="N100" i="22"/>
  <c r="H100" i="22"/>
  <c r="L100" i="22"/>
  <c r="F250" i="22"/>
  <c r="BM18" i="51" s="1"/>
  <c r="F251" i="22"/>
  <c r="BM19" i="51"/>
  <c r="F252" i="22"/>
  <c r="BM20" i="51" s="1"/>
  <c r="F253" i="22"/>
  <c r="BM21" i="51"/>
  <c r="M206" i="22"/>
  <c r="G107" i="22"/>
  <c r="N107" i="22"/>
  <c r="H107" i="22"/>
  <c r="E71" i="22"/>
  <c r="X71" i="22" s="1"/>
  <c r="T399" i="22"/>
  <c r="Y399" i="22" s="1"/>
  <c r="F260" i="22"/>
  <c r="BM28" i="51"/>
  <c r="F261" i="22"/>
  <c r="F206" i="22"/>
  <c r="R92" i="22"/>
  <c r="C313" i="22"/>
  <c r="D313" i="22" s="1"/>
  <c r="F268" i="22"/>
  <c r="BM36" i="51" s="1"/>
  <c r="F269" i="22"/>
  <c r="I199" i="26"/>
  <c r="Y199" i="26"/>
  <c r="E146" i="26"/>
  <c r="F130" i="26"/>
  <c r="F276" i="22"/>
  <c r="BM44" i="51" s="1"/>
  <c r="F277" i="22"/>
  <c r="BM45" i="51" s="1"/>
  <c r="F241" i="22"/>
  <c r="BM9" i="51"/>
  <c r="F281" i="22"/>
  <c r="F275" i="22"/>
  <c r="BM43" i="51"/>
  <c r="F267" i="22"/>
  <c r="F259" i="22"/>
  <c r="BM27" i="51" s="1"/>
  <c r="F249" i="22"/>
  <c r="C324" i="22"/>
  <c r="D324" i="22" s="1"/>
  <c r="U17" i="4"/>
  <c r="DS29" i="33"/>
  <c r="DT29" i="33"/>
  <c r="T78" i="8"/>
  <c r="G78" i="8" s="1"/>
  <c r="AB78" i="8"/>
  <c r="T69" i="8"/>
  <c r="G69" i="8"/>
  <c r="Z78" i="8"/>
  <c r="AA78" i="8"/>
  <c r="Y78" i="8"/>
  <c r="AB79" i="8"/>
  <c r="AD69" i="8"/>
  <c r="D8" i="21"/>
  <c r="M18" i="70"/>
  <c r="AP18" i="70"/>
  <c r="AS18" i="70" s="1"/>
  <c r="K548" i="38"/>
  <c r="R35" i="4"/>
  <c r="T35" i="4"/>
  <c r="K33" i="4"/>
  <c r="O33" i="4"/>
  <c r="P33" i="4"/>
  <c r="R33" i="4"/>
  <c r="T33" i="4" s="1"/>
  <c r="J33" i="4"/>
  <c r="S33" i="4"/>
  <c r="U33" i="4"/>
  <c r="AD70" i="8"/>
  <c r="Y79" i="8"/>
  <c r="T79" i="8"/>
  <c r="V79" i="8"/>
  <c r="U78" i="8"/>
  <c r="W78" i="8" s="1"/>
  <c r="E8" i="21"/>
  <c r="A17" i="21"/>
  <c r="T70" i="8"/>
  <c r="V70" i="8" s="1"/>
  <c r="AA79" i="8"/>
  <c r="Z79" i="8"/>
  <c r="U69" i="8"/>
  <c r="AE69" i="8"/>
  <c r="U70" i="8"/>
  <c r="E33" i="15"/>
  <c r="E31" i="15"/>
  <c r="E32" i="15"/>
  <c r="E8" i="64"/>
  <c r="R14" i="15"/>
  <c r="R15" i="15" s="1"/>
  <c r="R13" i="15"/>
  <c r="P39" i="15"/>
  <c r="U18" i="16"/>
  <c r="D171" i="58" s="1"/>
  <c r="U14" i="16"/>
  <c r="D167" i="58"/>
  <c r="U28" i="16"/>
  <c r="D181" i="58" s="1"/>
  <c r="U22" i="16"/>
  <c r="D175" i="58" s="1"/>
  <c r="U24" i="16"/>
  <c r="D177" i="58" s="1"/>
  <c r="U13" i="16"/>
  <c r="D166" i="58" s="1"/>
  <c r="U11" i="16"/>
  <c r="D164" i="58" s="1"/>
  <c r="U17" i="16"/>
  <c r="D170" i="58"/>
  <c r="U15" i="16"/>
  <c r="D168" i="58" s="1"/>
  <c r="U21" i="16"/>
  <c r="D174" i="58"/>
  <c r="U19" i="16"/>
  <c r="D172" i="58" s="1"/>
  <c r="U25" i="16"/>
  <c r="D178" i="58" s="1"/>
  <c r="U12" i="16"/>
  <c r="D165" i="58" s="1"/>
  <c r="U23" i="16"/>
  <c r="D176" i="58" s="1"/>
  <c r="U16" i="16"/>
  <c r="D169" i="58" s="1"/>
  <c r="U27" i="16"/>
  <c r="D180" i="58"/>
  <c r="U20" i="16"/>
  <c r="D173" i="58" s="1"/>
  <c r="U26" i="16"/>
  <c r="D179" i="58"/>
  <c r="O35" i="4"/>
  <c r="U29" i="16"/>
  <c r="D182" i="58" s="1"/>
  <c r="I294" i="38"/>
  <c r="S248" i="38"/>
  <c r="G126" i="51"/>
  <c r="Z14" i="13"/>
  <c r="D128" i="58"/>
  <c r="BF16" i="13"/>
  <c r="AA14" i="13"/>
  <c r="E128" i="58" s="1"/>
  <c r="BB16" i="13"/>
  <c r="P470" i="22"/>
  <c r="O470" i="22"/>
  <c r="N470" i="22"/>
  <c r="M470" i="22"/>
  <c r="M14" i="70"/>
  <c r="M15" i="70" s="1"/>
  <c r="M13" i="70"/>
  <c r="AS13" i="70"/>
  <c r="AS14" i="70"/>
  <c r="AS15" i="70" s="1"/>
  <c r="V27" i="16"/>
  <c r="E180" i="58" s="1"/>
  <c r="V19" i="16"/>
  <c r="E172" i="58"/>
  <c r="V11" i="16"/>
  <c r="E164" i="58" s="1"/>
  <c r="V17" i="16"/>
  <c r="E170" i="58"/>
  <c r="V28" i="16"/>
  <c r="E181" i="58" s="1"/>
  <c r="V26" i="16"/>
  <c r="E179" i="58" s="1"/>
  <c r="V18" i="16"/>
  <c r="E171" i="58" s="1"/>
  <c r="V14" i="16"/>
  <c r="E167" i="58" s="1"/>
  <c r="V25" i="16"/>
  <c r="E178" i="58" s="1"/>
  <c r="V20" i="16"/>
  <c r="E173" i="58"/>
  <c r="V24" i="16"/>
  <c r="E177" i="58" s="1"/>
  <c r="V16" i="16"/>
  <c r="E169" i="58"/>
  <c r="V15" i="16"/>
  <c r="E168" i="58" s="1"/>
  <c r="V12" i="16"/>
  <c r="E165" i="58" s="1"/>
  <c r="V23" i="16"/>
  <c r="E176" i="58" s="1"/>
  <c r="V22" i="16"/>
  <c r="E175" i="58" s="1"/>
  <c r="V29" i="16"/>
  <c r="E182" i="58" s="1"/>
  <c r="V21" i="16"/>
  <c r="E174" i="58"/>
  <c r="V13" i="16"/>
  <c r="E166" i="58" s="1"/>
  <c r="N106" i="22"/>
  <c r="K18" i="15"/>
  <c r="K16" i="15"/>
  <c r="G14" i="15"/>
  <c r="L14" i="15"/>
  <c r="L15" i="15"/>
  <c r="M14" i="15"/>
  <c r="L13" i="15"/>
  <c r="AQ13" i="15"/>
  <c r="V23" i="2"/>
  <c r="U23" i="2"/>
  <c r="W23" i="2"/>
  <c r="K17" i="26"/>
  <c r="Q265" i="26"/>
  <c r="W24" i="2"/>
  <c r="V24" i="2"/>
  <c r="U24" i="2"/>
  <c r="T24" i="2"/>
  <c r="G62" i="7"/>
  <c r="M29" i="38"/>
  <c r="S38" i="15"/>
  <c r="T25" i="2"/>
  <c r="U25" i="2"/>
  <c r="K24" i="38"/>
  <c r="K15" i="38"/>
  <c r="K18" i="26"/>
  <c r="K35" i="4"/>
  <c r="J35" i="4"/>
  <c r="P32" i="4"/>
  <c r="B277" i="26"/>
  <c r="B295" i="26"/>
  <c r="K15" i="26"/>
  <c r="B306" i="26"/>
  <c r="T274" i="38"/>
  <c r="B244" i="26"/>
  <c r="B318" i="26"/>
  <c r="I146" i="10"/>
  <c r="J146" i="10"/>
  <c r="X146" i="10"/>
  <c r="Y146" i="10" s="1"/>
  <c r="B266" i="26"/>
  <c r="B286" i="26"/>
  <c r="I144" i="10"/>
  <c r="J144" i="10" s="1"/>
  <c r="X144" i="10"/>
  <c r="Y144" i="10" s="1"/>
  <c r="I55" i="26"/>
  <c r="K19" i="26"/>
  <c r="G37" i="26"/>
  <c r="B149" i="26"/>
  <c r="B499" i="38"/>
  <c r="H27" i="10"/>
  <c r="J27" i="10"/>
  <c r="I27" i="10"/>
  <c r="D28" i="58" s="1"/>
  <c r="T264" i="38"/>
  <c r="C8" i="46"/>
  <c r="E8" i="46"/>
  <c r="N92" i="7"/>
  <c r="P34" i="4"/>
  <c r="E407" i="22"/>
  <c r="E408" i="22"/>
  <c r="H408" i="22" s="1"/>
  <c r="V420" i="22"/>
  <c r="H361" i="22"/>
  <c r="L361" i="22"/>
  <c r="H362" i="22"/>
  <c r="N99" i="22"/>
  <c r="N108" i="22"/>
  <c r="W66" i="22"/>
  <c r="W65" i="22"/>
  <c r="N98" i="22"/>
  <c r="H70" i="26"/>
  <c r="E41" i="26"/>
  <c r="F41" i="26"/>
  <c r="G227" i="26"/>
  <c r="M227" i="26" s="1"/>
  <c r="G70" i="26"/>
  <c r="M70" i="26"/>
  <c r="E409" i="22"/>
  <c r="H409" i="22" s="1"/>
  <c r="E411" i="22"/>
  <c r="E410" i="22"/>
  <c r="E412" i="22"/>
  <c r="S32" i="4"/>
  <c r="U32" i="4"/>
  <c r="K34" i="4"/>
  <c r="T266" i="38"/>
  <c r="O32" i="4"/>
  <c r="C8" i="64"/>
  <c r="M148" i="26"/>
  <c r="O60" i="23"/>
  <c r="O34" i="4"/>
  <c r="L148" i="26"/>
  <c r="P35" i="4"/>
  <c r="O48" i="4" s="1"/>
  <c r="S34" i="4"/>
  <c r="U34" i="4"/>
  <c r="J32" i="4"/>
  <c r="R34" i="4"/>
  <c r="T34" i="4" s="1"/>
  <c r="R32" i="4"/>
  <c r="T32" i="4"/>
  <c r="T49" i="4" s="1"/>
  <c r="K32" i="4"/>
  <c r="S35" i="4"/>
  <c r="U35" i="4" s="1"/>
  <c r="J34" i="4"/>
  <c r="S250" i="38"/>
  <c r="Z144" i="10"/>
  <c r="AA144" i="10" s="1"/>
  <c r="W22" i="2"/>
  <c r="T21" i="2"/>
  <c r="U21" i="2"/>
  <c r="X92" i="7"/>
  <c r="W62" i="7"/>
  <c r="X52" i="7"/>
  <c r="C490" i="22"/>
  <c r="D68" i="51"/>
  <c r="A70" i="51" s="1"/>
  <c r="B165" i="51"/>
  <c r="M31" i="14" a="1"/>
  <c r="M31" i="14" s="1"/>
  <c r="A164" i="51" s="1"/>
  <c r="Q27" i="14"/>
  <c r="A161" i="51" s="1"/>
  <c r="F64" i="7"/>
  <c r="W64" i="7"/>
  <c r="L101" i="22"/>
  <c r="L103" i="22"/>
  <c r="L102" i="22"/>
  <c r="L119" i="22"/>
  <c r="L118" i="22"/>
  <c r="L117" i="22"/>
  <c r="G498" i="22"/>
  <c r="A172" i="51"/>
  <c r="M170" i="27"/>
  <c r="AA70" i="8"/>
  <c r="Q70" i="8"/>
  <c r="AA69" i="8"/>
  <c r="W20" i="2"/>
  <c r="F124" i="51" s="1"/>
  <c r="V20" i="2"/>
  <c r="L114" i="51" s="1"/>
  <c r="T20" i="2"/>
  <c r="U20" i="2"/>
  <c r="M68" i="26"/>
  <c r="C147" i="27"/>
  <c r="R225" i="26"/>
  <c r="H536" i="38"/>
  <c r="B100" i="51"/>
  <c r="AM6" i="51"/>
  <c r="BZ5" i="51"/>
  <c r="CE5" i="51"/>
  <c r="AT6" i="51"/>
  <c r="H106" i="27"/>
  <c r="C337" i="22"/>
  <c r="D337" i="22" s="1"/>
  <c r="DP29" i="33"/>
  <c r="G544" i="38"/>
  <c r="R574" i="38" s="1"/>
  <c r="T258" i="38"/>
  <c r="S268" i="38"/>
  <c r="S285" i="38"/>
  <c r="T171" i="26"/>
  <c r="D346" i="26" s="1"/>
  <c r="T254" i="38"/>
  <c r="T285" i="22"/>
  <c r="U285" i="22"/>
  <c r="U271" i="22"/>
  <c r="G64" i="26"/>
  <c r="J64" i="26" s="1"/>
  <c r="U263" i="22"/>
  <c r="T263" i="22"/>
  <c r="A5" i="11"/>
  <c r="A6" i="11" s="1"/>
  <c r="S252" i="38"/>
  <c r="U257" i="22"/>
  <c r="J320" i="22"/>
  <c r="T271" i="22"/>
  <c r="U245" i="22"/>
  <c r="M17" i="22"/>
  <c r="C148" i="27"/>
  <c r="D148" i="27"/>
  <c r="D49" i="4"/>
  <c r="E118" i="27"/>
  <c r="F320" i="22"/>
  <c r="B212" i="22"/>
  <c r="F405" i="22"/>
  <c r="S187" i="26"/>
  <c r="F147" i="26"/>
  <c r="M19" i="22"/>
  <c r="J449" i="22"/>
  <c r="F359" i="22"/>
  <c r="M21" i="22"/>
  <c r="J371" i="22"/>
  <c r="J345" i="22"/>
  <c r="F449" i="22"/>
  <c r="F383" i="22"/>
  <c r="J383" i="22"/>
  <c r="M20" i="22"/>
  <c r="M18" i="22"/>
  <c r="F297" i="22"/>
  <c r="J405" i="22"/>
  <c r="M22" i="22"/>
  <c r="F435" i="22"/>
  <c r="M15" i="22"/>
  <c r="J297" i="22"/>
  <c r="O461" i="22"/>
  <c r="F345" i="22"/>
  <c r="F371" i="22"/>
  <c r="J435" i="22"/>
  <c r="J359" i="22"/>
  <c r="L26" i="27"/>
  <c r="J90" i="22"/>
  <c r="F360" i="38"/>
  <c r="B106" i="19"/>
  <c r="I257" i="26"/>
  <c r="I336" i="22"/>
  <c r="I337" i="22"/>
  <c r="B105" i="19"/>
  <c r="B361" i="38"/>
  <c r="I253" i="26"/>
  <c r="B360" i="38"/>
  <c r="I256" i="26"/>
  <c r="F336" i="22"/>
  <c r="S123" i="26"/>
  <c r="S176" i="26"/>
  <c r="M64" i="26"/>
  <c r="L64" i="26"/>
  <c r="S184" i="26"/>
  <c r="R226" i="26"/>
  <c r="S200" i="26"/>
  <c r="S280" i="38"/>
  <c r="H119" i="27"/>
  <c r="T187" i="26"/>
  <c r="S105" i="26"/>
  <c r="S287" i="38"/>
  <c r="S97" i="26"/>
  <c r="S127" i="26"/>
  <c r="S202" i="22"/>
  <c r="S200" i="22"/>
  <c r="B353" i="22"/>
  <c r="B305" i="22"/>
  <c r="I90" i="22"/>
  <c r="B211" i="22"/>
  <c r="B328" i="22"/>
  <c r="B445" i="22"/>
  <c r="L25" i="27"/>
  <c r="H42" i="7"/>
  <c r="E18" i="58" s="1"/>
  <c r="H43" i="7"/>
  <c r="Z147" i="10"/>
  <c r="AA147" i="10"/>
  <c r="Z145" i="10"/>
  <c r="AA145" i="10" s="1"/>
  <c r="C536" i="38"/>
  <c r="S103" i="26"/>
  <c r="M350" i="38"/>
  <c r="M348" i="38"/>
  <c r="M349" i="38"/>
  <c r="O302" i="22"/>
  <c r="S198" i="22"/>
  <c r="W217" i="26"/>
  <c r="W202" i="26"/>
  <c r="S125" i="26"/>
  <c r="S109" i="26"/>
  <c r="W191" i="26"/>
  <c r="S131" i="26"/>
  <c r="S212" i="26"/>
  <c r="H307" i="38"/>
  <c r="T288" i="38"/>
  <c r="S115" i="26"/>
  <c r="K173" i="27"/>
  <c r="M346" i="38"/>
  <c r="S217" i="26"/>
  <c r="S180" i="26"/>
  <c r="T289" i="38"/>
  <c r="M173" i="27"/>
  <c r="M172" i="27"/>
  <c r="K171" i="27"/>
  <c r="K172" i="27"/>
  <c r="G466" i="38"/>
  <c r="C107" i="27"/>
  <c r="D107" i="27" s="1"/>
  <c r="E111" i="27"/>
  <c r="S111" i="26"/>
  <c r="H109" i="27"/>
  <c r="E109" i="27"/>
  <c r="H108" i="27"/>
  <c r="H111" i="27"/>
  <c r="E110" i="27"/>
  <c r="C86" i="27"/>
  <c r="D86" i="27" s="1"/>
  <c r="H110" i="27"/>
  <c r="K110" i="27" s="1"/>
  <c r="S171" i="26"/>
  <c r="C346" i="26" s="1"/>
  <c r="T172" i="26"/>
  <c r="R294" i="26"/>
  <c r="T257" i="22"/>
  <c r="S211" i="26"/>
  <c r="R65" i="26"/>
  <c r="R276" i="26"/>
  <c r="R252" i="22"/>
  <c r="BT20" i="51" s="1"/>
  <c r="T196" i="26"/>
  <c r="S196" i="26"/>
  <c r="R146" i="22"/>
  <c r="T347" i="22"/>
  <c r="R106" i="22"/>
  <c r="R172" i="22"/>
  <c r="R311" i="22"/>
  <c r="R270" i="22"/>
  <c r="BT38" i="51" s="1"/>
  <c r="R186" i="22"/>
  <c r="R192" i="22"/>
  <c r="R158" i="22"/>
  <c r="R437" i="22"/>
  <c r="T451" i="22"/>
  <c r="R340" i="22"/>
  <c r="T373" i="22"/>
  <c r="I92" i="22"/>
  <c r="R178" i="22"/>
  <c r="R219" i="22"/>
  <c r="R248" i="22"/>
  <c r="BT16" i="51" s="1"/>
  <c r="T385" i="22"/>
  <c r="R258" i="22"/>
  <c r="BT26" i="51" s="1"/>
  <c r="R278" i="22"/>
  <c r="BT46" i="51" s="1"/>
  <c r="R274" i="22"/>
  <c r="BT42" i="51" s="1"/>
  <c r="R190" i="22"/>
  <c r="T299" i="22"/>
  <c r="R98" i="22"/>
  <c r="R439" i="22"/>
  <c r="E445" i="22" s="1"/>
  <c r="R170" i="22"/>
  <c r="R150" i="22"/>
  <c r="R184" i="22"/>
  <c r="R166" i="22"/>
  <c r="R160" i="22"/>
  <c r="R156" i="22"/>
  <c r="R164" i="22"/>
  <c r="T361" i="22"/>
  <c r="F361" i="22" s="1"/>
  <c r="S71" i="22"/>
  <c r="G71" i="22"/>
  <c r="R182" i="22"/>
  <c r="R272" i="22"/>
  <c r="BT40" i="51" s="1"/>
  <c r="R168" i="22"/>
  <c r="T322" i="22"/>
  <c r="R205" i="22"/>
  <c r="T407" i="22"/>
  <c r="R305" i="26"/>
  <c r="R326" i="26"/>
  <c r="R243" i="26"/>
  <c r="R265" i="26"/>
  <c r="R148" i="26"/>
  <c r="R235" i="26"/>
  <c r="R41" i="26"/>
  <c r="R317" i="26"/>
  <c r="R70" i="26"/>
  <c r="R157" i="26"/>
  <c r="M343" i="38"/>
  <c r="M344" i="38"/>
  <c r="H303" i="38"/>
  <c r="R577" i="38"/>
  <c r="S188" i="26"/>
  <c r="T188" i="26"/>
  <c r="C170" i="27"/>
  <c r="D170" i="27" s="1"/>
  <c r="S207" i="26"/>
  <c r="T207" i="26"/>
  <c r="T175" i="26"/>
  <c r="T191" i="26"/>
  <c r="S191" i="26"/>
  <c r="Q187" i="26"/>
  <c r="S34" i="26"/>
  <c r="E39" i="26"/>
  <c r="E303" i="26" s="1"/>
  <c r="F39" i="26"/>
  <c r="S119" i="26"/>
  <c r="S101" i="26"/>
  <c r="R147" i="26"/>
  <c r="R34" i="26"/>
  <c r="R264" i="26"/>
  <c r="R113" i="26"/>
  <c r="R242" i="26"/>
  <c r="R175" i="26"/>
  <c r="R101" i="26"/>
  <c r="R156" i="26"/>
  <c r="R64" i="26"/>
  <c r="R234" i="26"/>
  <c r="R187" i="26"/>
  <c r="R304" i="26"/>
  <c r="K170" i="27"/>
  <c r="S208" i="26"/>
  <c r="S216" i="26"/>
  <c r="S113" i="26"/>
  <c r="W175" i="26"/>
  <c r="W193" i="26"/>
  <c r="W200" i="26"/>
  <c r="X174" i="26"/>
  <c r="X189" i="26"/>
  <c r="W174" i="26"/>
  <c r="X177" i="26"/>
  <c r="X212" i="26"/>
  <c r="X187" i="26"/>
  <c r="X172" i="26"/>
  <c r="W173" i="26"/>
  <c r="W194" i="26"/>
  <c r="W176" i="26"/>
  <c r="X173" i="26"/>
  <c r="W188" i="26"/>
  <c r="W207" i="26"/>
  <c r="W182" i="26"/>
  <c r="X193" i="26"/>
  <c r="W189" i="26"/>
  <c r="X204" i="26"/>
  <c r="X183" i="26"/>
  <c r="W213" i="26"/>
  <c r="W181" i="26"/>
  <c r="X198" i="26"/>
  <c r="X203" i="26"/>
  <c r="W190" i="26"/>
  <c r="W183" i="26"/>
  <c r="X190" i="26"/>
  <c r="X207" i="26"/>
  <c r="W218" i="26"/>
  <c r="W209" i="26"/>
  <c r="X196" i="26"/>
  <c r="W214" i="26"/>
  <c r="W171" i="26"/>
  <c r="C233" i="26"/>
  <c r="D233" i="26" s="1"/>
  <c r="X185" i="26"/>
  <c r="W206" i="26"/>
  <c r="X184" i="26"/>
  <c r="X215" i="26"/>
  <c r="W210" i="26"/>
  <c r="S215" i="26"/>
  <c r="T215" i="26"/>
  <c r="W201" i="26"/>
  <c r="S121" i="26"/>
  <c r="S173" i="26"/>
  <c r="J346" i="26" s="1"/>
  <c r="T174" i="26"/>
  <c r="T173" i="26"/>
  <c r="K346" i="26"/>
  <c r="S174" i="26"/>
  <c r="M339" i="38"/>
  <c r="H299" i="38"/>
  <c r="T189" i="26"/>
  <c r="Q5" i="26"/>
  <c r="C504" i="22"/>
  <c r="C502" i="22"/>
  <c r="H342" i="26"/>
  <c r="H490" i="22"/>
  <c r="D212" i="27"/>
  <c r="Y148" i="10"/>
  <c r="U243" i="22"/>
  <c r="T243" i="22"/>
  <c r="T265" i="22"/>
  <c r="U265" i="22"/>
  <c r="V69" i="8"/>
  <c r="W31" i="10"/>
  <c r="W32" i="10" s="1"/>
  <c r="S213" i="26"/>
  <c r="T213" i="26"/>
  <c r="S198" i="26"/>
  <c r="T198" i="26"/>
  <c r="T181" i="26"/>
  <c r="S181" i="26"/>
  <c r="T279" i="22"/>
  <c r="U279" i="22"/>
  <c r="S199" i="26"/>
  <c r="T214" i="26"/>
  <c r="T197" i="26"/>
  <c r="S197" i="26"/>
  <c r="S182" i="26"/>
  <c r="Q197" i="26"/>
  <c r="Q189" i="26"/>
  <c r="Q129" i="26"/>
  <c r="Q171" i="26"/>
  <c r="Q115" i="26"/>
  <c r="Q33" i="26"/>
  <c r="Q121" i="26"/>
  <c r="Q185" i="26"/>
  <c r="Q195" i="26"/>
  <c r="Q205" i="26"/>
  <c r="Q183" i="26"/>
  <c r="Q99" i="26"/>
  <c r="Q199" i="26"/>
  <c r="Q105" i="26"/>
  <c r="Q313" i="26"/>
  <c r="Q123" i="26"/>
  <c r="Q117" i="26"/>
  <c r="Q119" i="26"/>
  <c r="Q179" i="26"/>
  <c r="Q191" i="26"/>
  <c r="Q127" i="26"/>
  <c r="Q131" i="26"/>
  <c r="Q203" i="26"/>
  <c r="Q173" i="26"/>
  <c r="Q111" i="26"/>
  <c r="Q107" i="26"/>
  <c r="Q125" i="26"/>
  <c r="Q103" i="26"/>
  <c r="Q109" i="26"/>
  <c r="Q97" i="26"/>
  <c r="Q181" i="26"/>
  <c r="R183" i="26"/>
  <c r="R283" i="26"/>
  <c r="R111" i="26"/>
  <c r="R109" i="26"/>
  <c r="R117" i="26"/>
  <c r="R201" i="26"/>
  <c r="R68" i="26"/>
  <c r="R205" i="26"/>
  <c r="R127" i="26"/>
  <c r="R303" i="26"/>
  <c r="R179" i="26"/>
  <c r="R103" i="26"/>
  <c r="R33" i="26"/>
  <c r="R263" i="26"/>
  <c r="R99" i="26"/>
  <c r="R39" i="26"/>
  <c r="R195" i="26"/>
  <c r="R191" i="26"/>
  <c r="R129" i="26"/>
  <c r="R123" i="26"/>
  <c r="R241" i="26"/>
  <c r="R155" i="26"/>
  <c r="R324" i="26"/>
  <c r="R181" i="26"/>
  <c r="R197" i="26"/>
  <c r="R185" i="26"/>
  <c r="R313" i="26"/>
  <c r="R315" i="26"/>
  <c r="F315" i="26"/>
  <c r="R256" i="26"/>
  <c r="R119" i="26"/>
  <c r="R193" i="26"/>
  <c r="R107" i="26"/>
  <c r="R233" i="26"/>
  <c r="R203" i="26"/>
  <c r="R115" i="26"/>
  <c r="R173" i="26"/>
  <c r="R189" i="26"/>
  <c r="R125" i="26"/>
  <c r="R177" i="26"/>
  <c r="R105" i="26"/>
  <c r="R121" i="26"/>
  <c r="R131" i="26"/>
  <c r="R97" i="26"/>
  <c r="R224" i="26"/>
  <c r="R274" i="26"/>
  <c r="R292" i="26"/>
  <c r="R171" i="26"/>
  <c r="R199" i="26"/>
  <c r="T245" i="22"/>
  <c r="O300" i="22"/>
  <c r="G305" i="22"/>
  <c r="O305" i="22" s="1"/>
  <c r="S206" i="26"/>
  <c r="T206" i="26"/>
  <c r="S189" i="26"/>
  <c r="T190" i="26"/>
  <c r="S190" i="26"/>
  <c r="S179" i="26"/>
  <c r="T179" i="26"/>
  <c r="S205" i="26"/>
  <c r="S195" i="26"/>
  <c r="S203" i="26"/>
  <c r="U247" i="22"/>
  <c r="T247" i="22"/>
  <c r="T255" i="22"/>
  <c r="U255" i="22"/>
  <c r="U283" i="22"/>
  <c r="T283" i="22"/>
  <c r="T249" i="22"/>
  <c r="T241" i="22"/>
  <c r="U241" i="22"/>
  <c r="T259" i="22"/>
  <c r="U259" i="22"/>
  <c r="T251" i="22"/>
  <c r="U251" i="22"/>
  <c r="T277" i="22"/>
  <c r="U277" i="22"/>
  <c r="S130" i="26"/>
  <c r="T239" i="22"/>
  <c r="U239" i="22"/>
  <c r="U275" i="22"/>
  <c r="T275" i="22"/>
  <c r="L146" i="26"/>
  <c r="R146" i="26"/>
  <c r="T269" i="22"/>
  <c r="U253" i="22"/>
  <c r="T253" i="22"/>
  <c r="V172" i="22"/>
  <c r="DD29" i="33"/>
  <c r="DA29" i="33" s="1"/>
  <c r="Q79" i="8"/>
  <c r="A14" i="21"/>
  <c r="A11" i="21"/>
  <c r="A19" i="21"/>
  <c r="A32" i="21"/>
  <c r="A10" i="21"/>
  <c r="A18" i="21"/>
  <c r="A16" i="21"/>
  <c r="B8" i="21"/>
  <c r="A13" i="21"/>
  <c r="A15" i="21"/>
  <c r="A31" i="21"/>
  <c r="A26" i="21"/>
  <c r="A30" i="21"/>
  <c r="A27" i="21"/>
  <c r="A29" i="21"/>
  <c r="A12" i="21"/>
  <c r="A28" i="21"/>
  <c r="G70" i="8"/>
  <c r="Q315" i="26"/>
  <c r="Q263" i="26"/>
  <c r="Q39" i="26"/>
  <c r="Q224" i="26"/>
  <c r="G79" i="8"/>
  <c r="E14" i="15"/>
  <c r="M136" i="51" s="1"/>
  <c r="Q63" i="26"/>
  <c r="Q292" i="26"/>
  <c r="A17" i="46"/>
  <c r="Q294" i="26"/>
  <c r="Q156" i="26"/>
  <c r="Q316" i="26"/>
  <c r="Q326" i="26"/>
  <c r="Q317" i="26"/>
  <c r="Q65" i="26"/>
  <c r="I65" i="26" s="1"/>
  <c r="Q243" i="26"/>
  <c r="Q226" i="26"/>
  <c r="Q157" i="26"/>
  <c r="Q70" i="26"/>
  <c r="K70" i="26" s="1"/>
  <c r="U423" i="22"/>
  <c r="U420" i="22"/>
  <c r="T49" i="22"/>
  <c r="H49" i="22" s="1"/>
  <c r="T46" i="22"/>
  <c r="H46" i="22" s="1"/>
  <c r="S119" i="22"/>
  <c r="J119" i="22"/>
  <c r="S316" i="22"/>
  <c r="S224" i="22"/>
  <c r="U366" i="22"/>
  <c r="T76" i="22"/>
  <c r="H76" i="22" s="1"/>
  <c r="S444" i="22"/>
  <c r="F444" i="22" s="1"/>
  <c r="S111" i="22"/>
  <c r="J111" i="22"/>
  <c r="S210" i="22"/>
  <c r="U327" i="22"/>
  <c r="U352" i="22"/>
  <c r="U390" i="22"/>
  <c r="S103" i="22"/>
  <c r="J103" i="22" s="1"/>
  <c r="U412" i="22"/>
  <c r="F412" i="22"/>
  <c r="U378" i="22"/>
  <c r="U304" i="22"/>
  <c r="U456" i="22"/>
  <c r="U421" i="22"/>
  <c r="T47" i="22"/>
  <c r="H47" i="22" s="1"/>
  <c r="A30" i="64"/>
  <c r="A14" i="46"/>
  <c r="A31" i="46"/>
  <c r="A12" i="46"/>
  <c r="A32" i="46"/>
  <c r="H112" i="51"/>
  <c r="A12" i="64"/>
  <c r="A11" i="64"/>
  <c r="A28" i="64"/>
  <c r="A10" i="64"/>
  <c r="B8" i="64"/>
  <c r="A18" i="64"/>
  <c r="A14" i="64"/>
  <c r="A17" i="64"/>
  <c r="A32" i="64"/>
  <c r="A15" i="64"/>
  <c r="A19" i="64"/>
  <c r="Q284" i="26"/>
  <c r="Q64" i="26"/>
  <c r="Q34" i="26"/>
  <c r="Q234" i="26"/>
  <c r="Q325" i="26"/>
  <c r="Q175" i="26"/>
  <c r="Q147" i="26"/>
  <c r="Q101" i="26"/>
  <c r="Q113" i="26"/>
  <c r="U422" i="22"/>
  <c r="T48" i="22"/>
  <c r="H48" i="22" s="1"/>
  <c r="S118" i="22"/>
  <c r="J118" i="22" s="1"/>
  <c r="S315" i="22"/>
  <c r="U377" i="22"/>
  <c r="U351" i="22"/>
  <c r="U365" i="22"/>
  <c r="S110" i="22"/>
  <c r="J110" i="22" s="1"/>
  <c r="S209" i="22"/>
  <c r="U411" i="22"/>
  <c r="F411" i="22" s="1"/>
  <c r="S102" i="22"/>
  <c r="J102" i="22"/>
  <c r="S443" i="22"/>
  <c r="F443" i="22" s="1"/>
  <c r="U389" i="22"/>
  <c r="T75" i="22"/>
  <c r="H75" i="22" s="1"/>
  <c r="U455" i="22"/>
  <c r="U326" i="22"/>
  <c r="S223" i="22"/>
  <c r="U303" i="22"/>
  <c r="BY264" i="22"/>
  <c r="BY284" i="22"/>
  <c r="BY274" i="22"/>
  <c r="BY276" i="22"/>
  <c r="BY250" i="22"/>
  <c r="BY270" i="22"/>
  <c r="BY280" i="22"/>
  <c r="BZ280" i="22" s="1"/>
  <c r="CB280" i="22" s="1"/>
  <c r="BY262" i="22"/>
  <c r="BY286" i="22"/>
  <c r="BZ286" i="22" s="1"/>
  <c r="CB286" i="22" s="1"/>
  <c r="BY244" i="22"/>
  <c r="BY278" i="22"/>
  <c r="BY282" i="22"/>
  <c r="BY252" i="22"/>
  <c r="BY240" i="22"/>
  <c r="BY242" i="22"/>
  <c r="BY248" i="22"/>
  <c r="BY268" i="22"/>
  <c r="BY238" i="22"/>
  <c r="BZ238" i="22" s="1"/>
  <c r="BY256" i="22"/>
  <c r="BY258" i="22"/>
  <c r="BY260" i="22"/>
  <c r="BY254" i="22"/>
  <c r="BY246" i="22"/>
  <c r="BY266" i="22"/>
  <c r="BY272" i="22"/>
  <c r="BZ272" i="22" s="1"/>
  <c r="CA272" i="22" s="1"/>
  <c r="N120" i="22"/>
  <c r="U419" i="22"/>
  <c r="J94" i="22"/>
  <c r="S94" i="22"/>
  <c r="H114" i="51"/>
  <c r="J92" i="22"/>
  <c r="T44" i="22"/>
  <c r="H44" i="22" s="1"/>
  <c r="U418" i="22"/>
  <c r="J93" i="22"/>
  <c r="S93" i="22"/>
  <c r="V422" i="22"/>
  <c r="V423" i="22"/>
  <c r="V421" i="22"/>
  <c r="P361" i="22"/>
  <c r="T45" i="22"/>
  <c r="H45" i="22" s="1"/>
  <c r="T64" i="22"/>
  <c r="T37" i="22"/>
  <c r="T36" i="22"/>
  <c r="T63" i="22"/>
  <c r="J70" i="26"/>
  <c r="H411" i="22"/>
  <c r="H412" i="22"/>
  <c r="AO146" i="22"/>
  <c r="AO180" i="22"/>
  <c r="AP180" i="22"/>
  <c r="AQ180" i="22" s="1"/>
  <c r="AR180" i="22" s="1"/>
  <c r="AO154" i="22"/>
  <c r="AO162" i="22"/>
  <c r="AO174" i="22"/>
  <c r="AO194" i="22"/>
  <c r="AP194" i="22" s="1"/>
  <c r="AR194" i="22" s="1"/>
  <c r="AO190" i="22"/>
  <c r="AO148" i="22"/>
  <c r="AO152" i="22"/>
  <c r="AO156" i="22"/>
  <c r="AO160" i="22"/>
  <c r="AO164" i="22"/>
  <c r="AO168" i="22"/>
  <c r="AO172" i="22"/>
  <c r="AO176" i="22"/>
  <c r="AP176" i="22" s="1"/>
  <c r="AR176" i="22" s="1"/>
  <c r="AO186" i="22"/>
  <c r="AO196" i="22"/>
  <c r="AO182" i="22"/>
  <c r="AO192" i="22"/>
  <c r="AO188" i="22"/>
  <c r="AP188" i="22" s="1"/>
  <c r="AR188" i="22" s="1"/>
  <c r="AO150" i="22"/>
  <c r="AO158" i="22"/>
  <c r="AO166" i="22"/>
  <c r="AO170" i="22"/>
  <c r="AO178" i="22"/>
  <c r="AO184" i="22"/>
  <c r="S286" i="22"/>
  <c r="BU54" i="51" s="1"/>
  <c r="S288" i="22"/>
  <c r="BU56" i="51" s="1"/>
  <c r="S117" i="22"/>
  <c r="J117" i="22"/>
  <c r="S109" i="22"/>
  <c r="J109" i="22" s="1"/>
  <c r="S222" i="22"/>
  <c r="U388" i="22"/>
  <c r="U376" i="22"/>
  <c r="S442" i="22"/>
  <c r="F442" i="22" s="1"/>
  <c r="T74" i="22"/>
  <c r="H74" i="22" s="1"/>
  <c r="U350" i="22"/>
  <c r="U302" i="22"/>
  <c r="S101" i="22"/>
  <c r="J101" i="22" s="1"/>
  <c r="U410" i="22"/>
  <c r="S314" i="22"/>
  <c r="S208" i="22"/>
  <c r="U454" i="22"/>
  <c r="U364" i="22"/>
  <c r="U325" i="22"/>
  <c r="T48" i="4"/>
  <c r="M92" i="4"/>
  <c r="U49" i="4"/>
  <c r="G373" i="38"/>
  <c r="G427" i="38" s="1"/>
  <c r="S176" i="22"/>
  <c r="E305" i="26"/>
  <c r="F305" i="26" s="1"/>
  <c r="S116" i="22"/>
  <c r="J116" i="22" s="1"/>
  <c r="S238" i="22"/>
  <c r="BU6" i="51"/>
  <c r="CE6" i="51" s="1"/>
  <c r="CF6" i="51" s="1"/>
  <c r="S114" i="22"/>
  <c r="J114" i="22" s="1"/>
  <c r="U348" i="22"/>
  <c r="S115" i="22"/>
  <c r="J115" i="22" s="1"/>
  <c r="S92" i="22"/>
  <c r="X27" i="10"/>
  <c r="J84" i="51"/>
  <c r="S337" i="22"/>
  <c r="B341" i="22"/>
  <c r="R341" i="22" s="1"/>
  <c r="R337" i="22"/>
  <c r="A76" i="51"/>
  <c r="F492" i="22"/>
  <c r="S205" i="22"/>
  <c r="G377" i="38"/>
  <c r="S266" i="22"/>
  <c r="BU34" i="51"/>
  <c r="S254" i="22"/>
  <c r="BU22" i="51"/>
  <c r="U374" i="22"/>
  <c r="U408" i="22"/>
  <c r="F408" i="22" s="1"/>
  <c r="S246" i="22"/>
  <c r="BU14" i="51" s="1"/>
  <c r="S311" i="22"/>
  <c r="G384" i="38"/>
  <c r="G378" i="38"/>
  <c r="S262" i="22"/>
  <c r="BU30" i="51" s="1"/>
  <c r="G381" i="38"/>
  <c r="G382" i="38"/>
  <c r="G375" i="38"/>
  <c r="S278" i="22"/>
  <c r="BU46" i="51"/>
  <c r="S437" i="22"/>
  <c r="F437" i="22" s="1"/>
  <c r="G380" i="38"/>
  <c r="S206" i="22"/>
  <c r="G385" i="38"/>
  <c r="G376" i="38"/>
  <c r="U322" i="22"/>
  <c r="S186" i="22"/>
  <c r="S152" i="22"/>
  <c r="G374" i="38"/>
  <c r="S258" i="22"/>
  <c r="BU26" i="51" s="1"/>
  <c r="U361" i="22"/>
  <c r="U373" i="22"/>
  <c r="S248" i="22"/>
  <c r="BU16" i="51" s="1"/>
  <c r="S284" i="22"/>
  <c r="BU52" i="51" s="1"/>
  <c r="Y147" i="10"/>
  <c r="Y145" i="10"/>
  <c r="S166" i="22"/>
  <c r="S272" i="22"/>
  <c r="BU40" i="51" s="1"/>
  <c r="S150" i="22"/>
  <c r="S170" i="22"/>
  <c r="S242" i="22"/>
  <c r="BU10" i="51" s="1"/>
  <c r="S219" i="22"/>
  <c r="S160" i="22"/>
  <c r="S106" i="22"/>
  <c r="J106" i="22" s="1"/>
  <c r="S184" i="22"/>
  <c r="U347" i="22"/>
  <c r="S164" i="22"/>
  <c r="S256" i="22"/>
  <c r="BU24" i="51" s="1"/>
  <c r="S274" i="22"/>
  <c r="BU42" i="51" s="1"/>
  <c r="S340" i="22"/>
  <c r="S182" i="22"/>
  <c r="S190" i="22"/>
  <c r="U385" i="22"/>
  <c r="S172" i="22"/>
  <c r="S240" i="22"/>
  <c r="BU8" i="51" s="1"/>
  <c r="U299" i="22"/>
  <c r="S148" i="22"/>
  <c r="S158" i="22"/>
  <c r="S252" i="22"/>
  <c r="BU20" i="51" s="1"/>
  <c r="U407" i="22"/>
  <c r="S178" i="22"/>
  <c r="T71" i="22"/>
  <c r="H71" i="22" s="1"/>
  <c r="S270" i="22"/>
  <c r="BU38" i="51" s="1"/>
  <c r="S156" i="22"/>
  <c r="S168" i="22"/>
  <c r="S268" i="22"/>
  <c r="BU36" i="51" s="1"/>
  <c r="U451" i="22"/>
  <c r="S98" i="22"/>
  <c r="S439" i="22"/>
  <c r="F439" i="22" s="1"/>
  <c r="S192" i="22"/>
  <c r="U323" i="22"/>
  <c r="S276" i="22"/>
  <c r="BU44" i="51" s="1"/>
  <c r="S146" i="22"/>
  <c r="S188" i="22"/>
  <c r="S194" i="22"/>
  <c r="S312" i="22"/>
  <c r="S180" i="22"/>
  <c r="S440" i="22"/>
  <c r="F440" i="22"/>
  <c r="S264" i="22"/>
  <c r="BU32" i="51" s="1"/>
  <c r="P14" i="59"/>
  <c r="D14" i="59" s="1"/>
  <c r="S280" i="22"/>
  <c r="BU48" i="51" s="1"/>
  <c r="BZ48" i="51" s="1"/>
  <c r="CA48" i="51" s="1"/>
  <c r="S196" i="22"/>
  <c r="S244" i="22"/>
  <c r="BU12" i="51" s="1"/>
  <c r="U386" i="22"/>
  <c r="S154" i="22"/>
  <c r="S107" i="22"/>
  <c r="J107" i="22" s="1"/>
  <c r="S174" i="22"/>
  <c r="U362" i="22"/>
  <c r="S282" i="22"/>
  <c r="BU50" i="51" s="1"/>
  <c r="S260" i="22"/>
  <c r="BU28" i="51" s="1"/>
  <c r="T72" i="22"/>
  <c r="H72" i="22" s="1"/>
  <c r="S99" i="22"/>
  <c r="J99" i="22" s="1"/>
  <c r="S250" i="22"/>
  <c r="BU18" i="51" s="1"/>
  <c r="U300" i="22"/>
  <c r="U452" i="22"/>
  <c r="S220" i="22"/>
  <c r="S162" i="22"/>
  <c r="S441" i="22"/>
  <c r="F441" i="22" s="1"/>
  <c r="S221" i="22"/>
  <c r="U453" i="22"/>
  <c r="U375" i="22"/>
  <c r="T73" i="22"/>
  <c r="H73" i="22"/>
  <c r="S313" i="22"/>
  <c r="U363" i="22"/>
  <c r="S108" i="22"/>
  <c r="J108" i="22"/>
  <c r="U324" i="22"/>
  <c r="S100" i="22"/>
  <c r="J100" i="22" s="1"/>
  <c r="U349" i="22"/>
  <c r="S207" i="22"/>
  <c r="U409" i="22"/>
  <c r="F409" i="22" s="1"/>
  <c r="U301" i="22"/>
  <c r="U387" i="22"/>
  <c r="G372" i="38"/>
  <c r="G416" i="38" s="1"/>
  <c r="G437" i="38" s="1"/>
  <c r="G506" i="38" s="1"/>
  <c r="Q360" i="38"/>
  <c r="C360" i="38"/>
  <c r="D360" i="38"/>
  <c r="E360" i="38"/>
  <c r="H360" i="38"/>
  <c r="R360" i="38"/>
  <c r="H361" i="38"/>
  <c r="R361" i="38"/>
  <c r="Q361" i="38"/>
  <c r="C361" i="38"/>
  <c r="D361" i="38"/>
  <c r="B365" i="38"/>
  <c r="G360" i="38"/>
  <c r="M23" i="27"/>
  <c r="M20" i="27"/>
  <c r="M16" i="27"/>
  <c r="M10" i="27"/>
  <c r="R172" i="27" s="1"/>
  <c r="F83" i="27"/>
  <c r="I189" i="27"/>
  <c r="M8" i="27"/>
  <c r="M13" i="27"/>
  <c r="R173" i="27" s="1"/>
  <c r="I124" i="27"/>
  <c r="M24" i="27"/>
  <c r="M17" i="27"/>
  <c r="R198" i="27" s="1"/>
  <c r="I145" i="27"/>
  <c r="F168" i="27"/>
  <c r="F145" i="27"/>
  <c r="F189" i="27"/>
  <c r="M21" i="27"/>
  <c r="R202" i="27" s="1"/>
  <c r="M19" i="27"/>
  <c r="I168" i="27"/>
  <c r="F124" i="27"/>
  <c r="M22" i="27"/>
  <c r="M18" i="27"/>
  <c r="M15" i="27"/>
  <c r="M14" i="27"/>
  <c r="M11" i="27"/>
  <c r="I83" i="27"/>
  <c r="M12" i="27"/>
  <c r="F538" i="38"/>
  <c r="Y27" i="10"/>
  <c r="G350" i="26"/>
  <c r="R380" i="26" s="1"/>
  <c r="K111" i="27"/>
  <c r="K106" i="22"/>
  <c r="T324" i="22"/>
  <c r="T375" i="22"/>
  <c r="T409" i="22"/>
  <c r="T453" i="22"/>
  <c r="S73" i="22"/>
  <c r="G73" i="22"/>
  <c r="R221" i="22"/>
  <c r="T349" i="22"/>
  <c r="R100" i="22"/>
  <c r="R441" i="22"/>
  <c r="R108" i="22"/>
  <c r="T301" i="22"/>
  <c r="T363" i="22"/>
  <c r="R313" i="22"/>
  <c r="R207" i="22"/>
  <c r="T387" i="22"/>
  <c r="BT36" i="51"/>
  <c r="R202" i="22"/>
  <c r="R200" i="22"/>
  <c r="R256" i="22"/>
  <c r="BT24" i="51" s="1"/>
  <c r="R238" i="22"/>
  <c r="R264" i="22"/>
  <c r="BT32" i="51" s="1"/>
  <c r="R276" i="22"/>
  <c r="BT44" i="51" s="1"/>
  <c r="R266" i="22"/>
  <c r="BT34" i="51" s="1"/>
  <c r="R246" i="22"/>
  <c r="R148" i="22"/>
  <c r="R284" i="22"/>
  <c r="BT52" i="51" s="1"/>
  <c r="R242" i="22"/>
  <c r="BT10" i="51" s="1"/>
  <c r="R254" i="22"/>
  <c r="BT22" i="51" s="1"/>
  <c r="R262" i="22"/>
  <c r="BT30" i="51" s="1"/>
  <c r="R152" i="22"/>
  <c r="R240" i="22"/>
  <c r="BT8" i="51" s="1"/>
  <c r="K12" i="27"/>
  <c r="K13" i="27"/>
  <c r="K22" i="27"/>
  <c r="K19" i="27"/>
  <c r="Q200" i="27" s="1"/>
  <c r="K17" i="27"/>
  <c r="Q198" i="27" s="1"/>
  <c r="K15" i="27"/>
  <c r="K14" i="27"/>
  <c r="K24" i="27"/>
  <c r="Q184" i="27" s="1"/>
  <c r="K20" i="27"/>
  <c r="K16" i="27"/>
  <c r="B100" i="27"/>
  <c r="K23" i="27"/>
  <c r="K21" i="27"/>
  <c r="Q158" i="27" s="1"/>
  <c r="K11" i="27"/>
  <c r="K18" i="27"/>
  <c r="K8" i="27"/>
  <c r="B185" i="27"/>
  <c r="B162" i="27"/>
  <c r="B141" i="27"/>
  <c r="K10" i="27"/>
  <c r="Q193" i="27" s="1"/>
  <c r="R440" i="22"/>
  <c r="R198" i="22"/>
  <c r="S72" i="22"/>
  <c r="G72" i="22"/>
  <c r="T362" i="22"/>
  <c r="T300" i="22"/>
  <c r="T386" i="22"/>
  <c r="T348" i="22"/>
  <c r="T323" i="22"/>
  <c r="R162" i="22"/>
  <c r="T374" i="22"/>
  <c r="R282" i="22"/>
  <c r="BT50" i="51" s="1"/>
  <c r="R196" i="22"/>
  <c r="R107" i="22"/>
  <c r="R206" i="22"/>
  <c r="R154" i="22"/>
  <c r="R244" i="22"/>
  <c r="BT12" i="51"/>
  <c r="R260" i="22"/>
  <c r="BT28" i="51" s="1"/>
  <c r="T452" i="22"/>
  <c r="R99" i="22"/>
  <c r="R312" i="22"/>
  <c r="T408" i="22"/>
  <c r="R250" i="22"/>
  <c r="BT18" i="51" s="1"/>
  <c r="R174" i="22"/>
  <c r="R280" i="22"/>
  <c r="BT48" i="51" s="1"/>
  <c r="R220" i="22"/>
  <c r="K109" i="27"/>
  <c r="H39" i="26"/>
  <c r="G39" i="26"/>
  <c r="E304" i="26"/>
  <c r="F304" i="26" s="1"/>
  <c r="M211" i="22"/>
  <c r="L211" i="22"/>
  <c r="I98" i="22"/>
  <c r="K98" i="22"/>
  <c r="F313" i="26"/>
  <c r="J313" i="26"/>
  <c r="B140" i="51"/>
  <c r="A140" i="51"/>
  <c r="E318" i="26"/>
  <c r="CB272" i="22"/>
  <c r="T150" i="10"/>
  <c r="T173" i="10" s="1"/>
  <c r="R118" i="27"/>
  <c r="R203" i="27"/>
  <c r="R138" i="27"/>
  <c r="R97" i="27"/>
  <c r="R159" i="27"/>
  <c r="R182" i="27"/>
  <c r="Q203" i="27"/>
  <c r="Q182" i="27"/>
  <c r="Q138" i="27"/>
  <c r="Q97" i="27"/>
  <c r="Q159" i="27"/>
  <c r="Q118" i="27"/>
  <c r="G426" i="38"/>
  <c r="M426" i="38" s="1"/>
  <c r="G421" i="38"/>
  <c r="G418" i="38"/>
  <c r="G420" i="38"/>
  <c r="G419" i="38"/>
  <c r="G422" i="38"/>
  <c r="G423" i="38"/>
  <c r="G425" i="38"/>
  <c r="G424" i="38"/>
  <c r="G429" i="38"/>
  <c r="G428" i="38"/>
  <c r="G417" i="38"/>
  <c r="G449" i="38"/>
  <c r="BT14" i="51"/>
  <c r="BT6" i="51"/>
  <c r="CC6" i="51"/>
  <c r="W238" i="22"/>
  <c r="H37" i="8"/>
  <c r="D13" i="58"/>
  <c r="S341" i="22"/>
  <c r="C341" i="22"/>
  <c r="D341" i="22" s="1"/>
  <c r="L212" i="22"/>
  <c r="M212" i="22"/>
  <c r="F445" i="22"/>
  <c r="G445" i="22" s="1"/>
  <c r="R89" i="27"/>
  <c r="R110" i="27"/>
  <c r="W361" i="38"/>
  <c r="W360" i="38"/>
  <c r="R128" i="27"/>
  <c r="R108" i="27"/>
  <c r="R160" i="27"/>
  <c r="R136" i="27"/>
  <c r="R132" i="27"/>
  <c r="R152" i="27"/>
  <c r="R139" i="27"/>
  <c r="R120" i="27"/>
  <c r="R205" i="27"/>
  <c r="R184" i="27"/>
  <c r="R140" i="27"/>
  <c r="R99" i="27"/>
  <c r="R161" i="27"/>
  <c r="V361" i="38"/>
  <c r="V360" i="38"/>
  <c r="R200" i="27"/>
  <c r="R115" i="27"/>
  <c r="R94" i="27"/>
  <c r="J385" i="38"/>
  <c r="M385" i="38" s="1"/>
  <c r="J382" i="38"/>
  <c r="M382" i="38" s="1"/>
  <c r="R365" i="38"/>
  <c r="C365" i="38"/>
  <c r="J380" i="38"/>
  <c r="M380" i="38" s="1"/>
  <c r="J379" i="38"/>
  <c r="J377" i="38"/>
  <c r="M377" i="38" s="1"/>
  <c r="J376" i="38"/>
  <c r="M376" i="38" s="1"/>
  <c r="J378" i="38"/>
  <c r="J381" i="38"/>
  <c r="M381" i="38" s="1"/>
  <c r="J384" i="38"/>
  <c r="M384" i="38" s="1"/>
  <c r="J373" i="38"/>
  <c r="J372" i="38"/>
  <c r="M372" i="38" s="1"/>
  <c r="J374" i="38"/>
  <c r="M374" i="38" s="1"/>
  <c r="Q365" i="38"/>
  <c r="J375" i="38"/>
  <c r="J383" i="38"/>
  <c r="R50" i="27"/>
  <c r="R76" i="27"/>
  <c r="R192" i="27"/>
  <c r="R74" i="27"/>
  <c r="R72" i="27"/>
  <c r="R38" i="27"/>
  <c r="R96" i="27"/>
  <c r="R129" i="27"/>
  <c r="R88" i="27"/>
  <c r="R48" i="27"/>
  <c r="R62" i="27"/>
  <c r="R40" i="27"/>
  <c r="R68" i="27"/>
  <c r="R42" i="27"/>
  <c r="R46" i="27"/>
  <c r="R191" i="27"/>
  <c r="R36" i="27"/>
  <c r="R70" i="27"/>
  <c r="R64" i="27"/>
  <c r="R126" i="27"/>
  <c r="R60" i="27"/>
  <c r="R78" i="27"/>
  <c r="R34" i="27"/>
  <c r="R56" i="27"/>
  <c r="R58" i="27"/>
  <c r="R66" i="27"/>
  <c r="R44" i="27"/>
  <c r="R54" i="27"/>
  <c r="R52" i="27"/>
  <c r="R32" i="27"/>
  <c r="Q70" i="27"/>
  <c r="Q78" i="27"/>
  <c r="Q48" i="27"/>
  <c r="Q36" i="27"/>
  <c r="Q74" i="27"/>
  <c r="Q38" i="27"/>
  <c r="Q50" i="27"/>
  <c r="Q76" i="27"/>
  <c r="U57" i="8"/>
  <c r="T57" i="8"/>
  <c r="Q96" i="27"/>
  <c r="Q202" i="27"/>
  <c r="Q172" i="27"/>
  <c r="K107" i="22"/>
  <c r="I107" i="22"/>
  <c r="Q46" i="27"/>
  <c r="Q60" i="27"/>
  <c r="Q64" i="27"/>
  <c r="Q68" i="27"/>
  <c r="Q32" i="27"/>
  <c r="Q56" i="27"/>
  <c r="Q147" i="27"/>
  <c r="Q66" i="27"/>
  <c r="Q40" i="27"/>
  <c r="Q54" i="27"/>
  <c r="Q170" i="27"/>
  <c r="Q58" i="27"/>
  <c r="Q42" i="27"/>
  <c r="Q44" i="27"/>
  <c r="Q34" i="27"/>
  <c r="Q62" i="27"/>
  <c r="Q52" i="27"/>
  <c r="Q85" i="27"/>
  <c r="K108" i="22"/>
  <c r="I108" i="22"/>
  <c r="Q110" i="27"/>
  <c r="Q174" i="27"/>
  <c r="Q195" i="27"/>
  <c r="Q89" i="27"/>
  <c r="Q130" i="27"/>
  <c r="I99" i="22"/>
  <c r="K99" i="22"/>
  <c r="F362" i="22"/>
  <c r="J362" i="22"/>
  <c r="N362" i="22" s="1"/>
  <c r="Q86" i="27"/>
  <c r="Q72" i="27"/>
  <c r="Q139" i="27"/>
  <c r="Q98" i="27"/>
  <c r="Q201" i="27"/>
  <c r="Q194" i="27"/>
  <c r="Q129" i="27"/>
  <c r="Q88" i="27"/>
  <c r="Q150" i="27"/>
  <c r="Q173" i="27"/>
  <c r="Q109" i="27"/>
  <c r="F363" i="22"/>
  <c r="N363" i="22" s="1"/>
  <c r="J363" i="22"/>
  <c r="K100" i="22"/>
  <c r="I100" i="22"/>
  <c r="K33" i="26"/>
  <c r="M33" i="26"/>
  <c r="T33" i="26"/>
  <c r="L33" i="26"/>
  <c r="I350" i="26"/>
  <c r="R384" i="26" s="1"/>
  <c r="J33" i="26"/>
  <c r="J41" i="26"/>
  <c r="K34" i="26"/>
  <c r="J350" i="26"/>
  <c r="R385" i="26" s="1"/>
  <c r="M34" i="26"/>
  <c r="J34" i="26"/>
  <c r="T34" i="26"/>
  <c r="L34" i="26"/>
  <c r="C126" i="23"/>
  <c r="P465" i="22"/>
  <c r="G450" i="38"/>
  <c r="G438" i="38"/>
  <c r="G518" i="38" s="1"/>
  <c r="G445" i="38"/>
  <c r="G442" i="38"/>
  <c r="G446" i="38"/>
  <c r="G443" i="38"/>
  <c r="G447" i="38"/>
  <c r="G439" i="38"/>
  <c r="G444" i="38"/>
  <c r="G440" i="38"/>
  <c r="G448" i="38"/>
  <c r="G441" i="38"/>
  <c r="F75" i="4"/>
  <c r="M75" i="4"/>
  <c r="CD6" i="51"/>
  <c r="I75" i="4"/>
  <c r="M76" i="4"/>
  <c r="P76" i="4"/>
  <c r="F76" i="4"/>
  <c r="I76" i="4"/>
  <c r="P75" i="4"/>
  <c r="W359" i="38"/>
  <c r="D365" i="38"/>
  <c r="F365" i="38"/>
  <c r="G365" i="38"/>
  <c r="AL365" i="38" s="1"/>
  <c r="V365" i="38"/>
  <c r="W365" i="38"/>
  <c r="J429" i="38"/>
  <c r="M429" i="38" s="1"/>
  <c r="J423" i="38"/>
  <c r="M423" i="38" s="1"/>
  <c r="M373" i="38"/>
  <c r="J424" i="38"/>
  <c r="M424" i="38" s="1"/>
  <c r="J422" i="38"/>
  <c r="M422" i="38" s="1"/>
  <c r="J426" i="38"/>
  <c r="J428" i="38"/>
  <c r="M428" i="38" s="1"/>
  <c r="V359" i="38"/>
  <c r="J40" i="26"/>
  <c r="U33" i="26"/>
  <c r="J39" i="26"/>
  <c r="G303" i="26" s="1"/>
  <c r="G508" i="38"/>
  <c r="G513" i="38"/>
  <c r="G517" i="38"/>
  <c r="G516" i="38"/>
  <c r="G515" i="38"/>
  <c r="G511" i="38"/>
  <c r="G304" i="26"/>
  <c r="D490" i="22"/>
  <c r="D342" i="26"/>
  <c r="D536" i="38"/>
  <c r="F536" i="38"/>
  <c r="F342" i="26"/>
  <c r="F490" i="22"/>
  <c r="V146" i="22"/>
  <c r="AA238" i="22"/>
  <c r="V162" i="22"/>
  <c r="X238" i="22"/>
  <c r="J36" i="15"/>
  <c r="V148" i="22"/>
  <c r="AA240" i="22"/>
  <c r="U240" i="22"/>
  <c r="Z256" i="22"/>
  <c r="T198" i="22"/>
  <c r="T202" i="22"/>
  <c r="T200" i="22"/>
  <c r="AA266" i="22"/>
  <c r="AA264" i="22"/>
  <c r="AA262" i="22"/>
  <c r="AA284" i="22"/>
  <c r="AA246" i="22"/>
  <c r="AA250" i="22"/>
  <c r="BD15" i="13"/>
  <c r="D124" i="51"/>
  <c r="D125" i="51"/>
  <c r="M11" i="15"/>
  <c r="I35" i="15"/>
  <c r="J35" i="15" s="1"/>
  <c r="F354" i="26"/>
  <c r="L114" i="22"/>
  <c r="V280" i="22"/>
  <c r="BN37" i="51"/>
  <c r="BZ37" i="51" s="1"/>
  <c r="CA37" i="51" s="1"/>
  <c r="Y269" i="22"/>
  <c r="Y272" i="22"/>
  <c r="BN40" i="51"/>
  <c r="BX40" i="51" s="1"/>
  <c r="AA280" i="22"/>
  <c r="BN48" i="51"/>
  <c r="BX48" i="51" s="1"/>
  <c r="AL280" i="22"/>
  <c r="Y280" i="22"/>
  <c r="AL268" i="22"/>
  <c r="T268" i="22"/>
  <c r="AA268" i="22"/>
  <c r="BY48" i="51"/>
  <c r="BY40" i="51"/>
  <c r="BZ40" i="51"/>
  <c r="CA40" i="51" s="1"/>
  <c r="K146" i="22"/>
  <c r="AF146" i="22" s="1"/>
  <c r="G238" i="22"/>
  <c r="Y287" i="22"/>
  <c r="BN55" i="51"/>
  <c r="BX55" i="51" s="1"/>
  <c r="BY55" i="51" s="1"/>
  <c r="Y281" i="22"/>
  <c r="BN49" i="51"/>
  <c r="BZ49" i="51" s="1"/>
  <c r="T280" i="22"/>
  <c r="BN41" i="51"/>
  <c r="BZ41" i="51" s="1"/>
  <c r="Y273" i="22"/>
  <c r="T272" i="22"/>
  <c r="V286" i="22"/>
  <c r="T286" i="22"/>
  <c r="BN54" i="51"/>
  <c r="BX54" i="51" s="1"/>
  <c r="BY54" i="51" s="1"/>
  <c r="Y286" i="22"/>
  <c r="AU146" i="22"/>
  <c r="AW146" i="22" s="1"/>
  <c r="AP146" i="22"/>
  <c r="AR146" i="22" s="1"/>
  <c r="N11" i="15"/>
  <c r="CA41" i="51"/>
  <c r="CA49" i="51"/>
  <c r="CG298" i="22"/>
  <c r="H257" i="38"/>
  <c r="X257" i="38" s="1"/>
  <c r="G146" i="38"/>
  <c r="J166" i="38"/>
  <c r="I171" i="38"/>
  <c r="I155" i="38"/>
  <c r="J150" i="38"/>
  <c r="I145" i="38"/>
  <c r="H160" i="38"/>
  <c r="G145" i="38"/>
  <c r="H252" i="38"/>
  <c r="V252" i="38" s="1"/>
  <c r="H155" i="38"/>
  <c r="J173" i="38"/>
  <c r="G174" i="38"/>
  <c r="H175" i="38"/>
  <c r="I148" i="38"/>
  <c r="I186" i="38"/>
  <c r="H273" i="38"/>
  <c r="G180" i="38"/>
  <c r="H259" i="38"/>
  <c r="H169" i="38"/>
  <c r="J152" i="38"/>
  <c r="H158" i="38"/>
  <c r="I192" i="38"/>
  <c r="J156" i="38"/>
  <c r="H275" i="38"/>
  <c r="X275" i="38" s="1"/>
  <c r="G185" i="38"/>
  <c r="I146" i="38"/>
  <c r="I166" i="38"/>
  <c r="I190" i="38"/>
  <c r="J186" i="38"/>
  <c r="J154" i="38"/>
  <c r="J170" i="38"/>
  <c r="H150" i="38"/>
  <c r="J163" i="38"/>
  <c r="H174" i="38"/>
  <c r="G160" i="38"/>
  <c r="J149" i="38"/>
  <c r="H286" i="38"/>
  <c r="V286" i="38" s="1"/>
  <c r="H253" i="38"/>
  <c r="V253" i="38" s="1"/>
  <c r="J181" i="38"/>
  <c r="J145" i="38"/>
  <c r="J182" i="38"/>
  <c r="J183" i="38"/>
  <c r="I157" i="38"/>
  <c r="H151" i="38"/>
  <c r="J146" i="38"/>
  <c r="J155" i="38"/>
  <c r="J177" i="38"/>
  <c r="H190" i="38"/>
  <c r="H146" i="38"/>
  <c r="I176" i="38"/>
  <c r="J147" i="38"/>
  <c r="J165" i="38"/>
  <c r="H280" i="38"/>
  <c r="V280" i="38" s="1"/>
  <c r="I174" i="38"/>
  <c r="H244" i="38"/>
  <c r="V244" i="38" s="1"/>
  <c r="J172" i="38"/>
  <c r="H186" i="38"/>
  <c r="H290" i="38"/>
  <c r="X290" i="38" s="1"/>
  <c r="G190" i="38"/>
  <c r="H247" i="38"/>
  <c r="J184" i="38"/>
  <c r="H270" i="38"/>
  <c r="V270" i="38" s="1"/>
  <c r="J160" i="38"/>
  <c r="I170" i="38"/>
  <c r="J158" i="38"/>
  <c r="H278" i="38"/>
  <c r="J157" i="38"/>
  <c r="G157" i="38"/>
  <c r="H188" i="38"/>
  <c r="H148" i="38"/>
  <c r="H179" i="38"/>
  <c r="I147" i="38"/>
  <c r="I150" i="38"/>
  <c r="I172" i="38"/>
  <c r="I184" i="38"/>
  <c r="H269" i="38"/>
  <c r="X269" i="38" s="1"/>
  <c r="G182" i="38"/>
  <c r="H279" i="38"/>
  <c r="H181" i="38"/>
  <c r="H289" i="38"/>
  <c r="G161" i="38"/>
  <c r="I168" i="38"/>
  <c r="I181" i="38"/>
  <c r="I187" i="38"/>
  <c r="G149" i="38"/>
  <c r="G147" i="38"/>
  <c r="H266" i="38"/>
  <c r="X266" i="38" s="1"/>
  <c r="J180" i="38"/>
  <c r="I159" i="38"/>
  <c r="H284" i="38"/>
  <c r="I167" i="38"/>
  <c r="H250" i="38"/>
  <c r="G155" i="38"/>
  <c r="I182" i="38"/>
  <c r="H154" i="38"/>
  <c r="I164" i="38"/>
  <c r="G167" i="38"/>
  <c r="H265" i="38"/>
  <c r="X265" i="38" s="1"/>
  <c r="H176" i="38"/>
  <c r="G152" i="38"/>
  <c r="G153" i="38"/>
  <c r="H288" i="38"/>
  <c r="H170" i="38"/>
  <c r="J167" i="38"/>
  <c r="I175" i="38"/>
  <c r="G166" i="38"/>
  <c r="G150" i="38"/>
  <c r="H165" i="38"/>
  <c r="G178" i="38"/>
  <c r="G175" i="38"/>
  <c r="H287" i="38"/>
  <c r="X287" i="38" s="1"/>
  <c r="H276" i="38"/>
  <c r="G172" i="38"/>
  <c r="J190" i="38"/>
  <c r="I161" i="38"/>
  <c r="H168" i="38"/>
  <c r="H182" i="38"/>
  <c r="G171" i="38"/>
  <c r="G192" i="38"/>
  <c r="I156" i="38"/>
  <c r="H258" i="38"/>
  <c r="X258" i="38" s="1"/>
  <c r="J192" i="38"/>
  <c r="H285" i="38"/>
  <c r="X285" i="38" s="1"/>
  <c r="G179" i="38"/>
  <c r="H282" i="38"/>
  <c r="V282" i="38" s="1"/>
  <c r="J174" i="38"/>
  <c r="J185" i="38"/>
  <c r="H171" i="38"/>
  <c r="H272" i="38"/>
  <c r="X272" i="38" s="1"/>
  <c r="J161" i="38"/>
  <c r="I149" i="38"/>
  <c r="H261" i="38"/>
  <c r="V261" i="38" s="1"/>
  <c r="H172" i="38"/>
  <c r="H178" i="38"/>
  <c r="I173" i="38"/>
  <c r="I169" i="38"/>
  <c r="G169" i="38"/>
  <c r="G173" i="38"/>
  <c r="G183" i="38"/>
  <c r="I179" i="38"/>
  <c r="G158" i="38"/>
  <c r="I189" i="38"/>
  <c r="H260" i="38"/>
  <c r="V260" i="38" s="1"/>
  <c r="H153" i="38"/>
  <c r="I188" i="38"/>
  <c r="J191" i="38"/>
  <c r="J178" i="38"/>
  <c r="I191" i="38"/>
  <c r="H264" i="38"/>
  <c r="J153" i="38"/>
  <c r="I154" i="38"/>
  <c r="G154" i="38"/>
  <c r="I151" i="38"/>
  <c r="H183" i="38"/>
  <c r="H187" i="38"/>
  <c r="H249" i="38"/>
  <c r="X249" i="38" s="1"/>
  <c r="G170" i="38"/>
  <c r="H283" i="38"/>
  <c r="H245" i="38"/>
  <c r="H166" i="38"/>
  <c r="H177" i="38"/>
  <c r="J176" i="38"/>
  <c r="H157" i="38"/>
  <c r="J189" i="38"/>
  <c r="J179" i="38"/>
  <c r="J162" i="38"/>
  <c r="H147" i="38"/>
  <c r="J169" i="38"/>
  <c r="G159" i="38"/>
  <c r="I163" i="38"/>
  <c r="I158" i="38"/>
  <c r="H263" i="38"/>
  <c r="G177" i="38"/>
  <c r="H173" i="38"/>
  <c r="G176" i="38"/>
  <c r="J159" i="38"/>
  <c r="H162" i="38"/>
  <c r="G148" i="38"/>
  <c r="I153" i="38"/>
  <c r="J175" i="38"/>
  <c r="H164" i="38"/>
  <c r="H192" i="38"/>
  <c r="H246" i="38"/>
  <c r="J164" i="38"/>
  <c r="G188" i="38"/>
  <c r="H277" i="38"/>
  <c r="G163" i="38"/>
  <c r="H152" i="38"/>
  <c r="I178" i="38"/>
  <c r="H271" i="38"/>
  <c r="V271" i="38" s="1"/>
  <c r="I165" i="38"/>
  <c r="H189" i="38"/>
  <c r="G156" i="38"/>
  <c r="H191" i="38"/>
  <c r="H184" i="38"/>
  <c r="I177" i="38"/>
  <c r="G165" i="38"/>
  <c r="J168" i="38"/>
  <c r="I180" i="38"/>
  <c r="H281" i="38"/>
  <c r="X281" i="38" s="1"/>
  <c r="H255" i="38"/>
  <c r="X255" i="38" s="1"/>
  <c r="G151" i="38"/>
  <c r="H256" i="38"/>
  <c r="V256" i="38" s="1"/>
  <c r="G189" i="38"/>
  <c r="G181" i="38"/>
  <c r="J151" i="38"/>
  <c r="H159" i="38"/>
  <c r="H156" i="38"/>
  <c r="I183" i="38"/>
  <c r="H161" i="38"/>
  <c r="G191" i="38"/>
  <c r="G187" i="38"/>
  <c r="G168" i="38"/>
  <c r="H262" i="38"/>
  <c r="V262" i="38" s="1"/>
  <c r="I152" i="38"/>
  <c r="H268" i="38"/>
  <c r="I185" i="38"/>
  <c r="H145" i="38"/>
  <c r="J148" i="38"/>
  <c r="J171" i="38"/>
  <c r="H254" i="38"/>
  <c r="G186" i="38"/>
  <c r="G162" i="38"/>
  <c r="H248" i="38"/>
  <c r="H163" i="38"/>
  <c r="G184" i="38"/>
  <c r="J188" i="38"/>
  <c r="H267" i="38"/>
  <c r="V267" i="38" s="1"/>
  <c r="H149" i="38"/>
  <c r="J187" i="38"/>
  <c r="H180" i="38"/>
  <c r="H251" i="38"/>
  <c r="H167" i="38"/>
  <c r="H274" i="38"/>
  <c r="H243" i="38"/>
  <c r="V243" i="38" s="1"/>
  <c r="H185" i="38"/>
  <c r="G164" i="38"/>
  <c r="I162" i="38"/>
  <c r="I160" i="38"/>
  <c r="G208" i="22"/>
  <c r="I208" i="22"/>
  <c r="H208" i="22"/>
  <c r="J208" i="22"/>
  <c r="H206" i="22"/>
  <c r="I206" i="22"/>
  <c r="U272" i="22"/>
  <c r="J206" i="22"/>
  <c r="U266" i="22"/>
  <c r="G206" i="22"/>
  <c r="U254" i="22"/>
  <c r="U246" i="22"/>
  <c r="U276" i="22"/>
  <c r="U248" i="22"/>
  <c r="U282" i="22"/>
  <c r="U264" i="22"/>
  <c r="U280" i="22"/>
  <c r="G205" i="22"/>
  <c r="U262" i="22"/>
  <c r="U252" i="22"/>
  <c r="U268" i="22"/>
  <c r="U278" i="22"/>
  <c r="U258" i="22"/>
  <c r="U260" i="22"/>
  <c r="U256" i="22"/>
  <c r="C498" i="22" s="1"/>
  <c r="U284" i="22"/>
  <c r="H205" i="22"/>
  <c r="U250" i="22"/>
  <c r="U270" i="22"/>
  <c r="U274" i="22"/>
  <c r="U244" i="22"/>
  <c r="J205" i="22"/>
  <c r="U242" i="22"/>
  <c r="K494" i="22" s="1"/>
  <c r="K198" i="22"/>
  <c r="BO32" i="51"/>
  <c r="K203" i="22"/>
  <c r="K170" i="22"/>
  <c r="G262" i="22"/>
  <c r="K183" i="22"/>
  <c r="K171" i="22"/>
  <c r="G263" i="22" s="1"/>
  <c r="BO29" i="51"/>
  <c r="CE29" i="51" s="1"/>
  <c r="CF29" i="51" s="1"/>
  <c r="K159" i="22"/>
  <c r="G251" i="22"/>
  <c r="K164" i="22"/>
  <c r="G256" i="22" s="1"/>
  <c r="K186" i="22"/>
  <c r="G278" i="22" s="1"/>
  <c r="K173" i="22"/>
  <c r="K157" i="22"/>
  <c r="G249" i="22" s="1"/>
  <c r="K190" i="22"/>
  <c r="G282" i="22" s="1"/>
  <c r="W258" i="22"/>
  <c r="K156" i="22"/>
  <c r="G248" i="22" s="1"/>
  <c r="K166" i="22"/>
  <c r="G258" i="22"/>
  <c r="K147" i="22"/>
  <c r="G239" i="22"/>
  <c r="K162" i="22"/>
  <c r="G254" i="22"/>
  <c r="Z280" i="22"/>
  <c r="K191" i="22"/>
  <c r="K200" i="22"/>
  <c r="G292" i="22" s="1"/>
  <c r="K192" i="22"/>
  <c r="AU192" i="22" s="1"/>
  <c r="AW192" i="22" s="1"/>
  <c r="G284" i="22"/>
  <c r="BP284" i="22" s="1"/>
  <c r="BR284" i="22" s="1"/>
  <c r="K168" i="22"/>
  <c r="G260" i="22" s="1"/>
  <c r="K154" i="22"/>
  <c r="K155" i="22"/>
  <c r="G247" i="22"/>
  <c r="K178" i="22"/>
  <c r="BO45" i="51"/>
  <c r="K163" i="22"/>
  <c r="G255" i="22" s="1"/>
  <c r="K199" i="22"/>
  <c r="G291" i="22" s="1"/>
  <c r="K152" i="22"/>
  <c r="X247" i="38"/>
  <c r="K151" i="22"/>
  <c r="G243" i="22" s="1"/>
  <c r="K197" i="22"/>
  <c r="AP197" i="22" s="1"/>
  <c r="AR197" i="22" s="1"/>
  <c r="K201" i="22"/>
  <c r="G293" i="22"/>
  <c r="K160" i="22"/>
  <c r="K148" i="22"/>
  <c r="G240" i="22"/>
  <c r="BO53" i="51"/>
  <c r="K169" i="22"/>
  <c r="AF169" i="22" s="1"/>
  <c r="AH169" i="22" s="1"/>
  <c r="K161" i="22"/>
  <c r="AU161" i="22" s="1"/>
  <c r="AW161" i="22" s="1"/>
  <c r="G253" i="22"/>
  <c r="K184" i="22"/>
  <c r="AF184" i="22" s="1"/>
  <c r="G276" i="22"/>
  <c r="BN44" i="51" s="1"/>
  <c r="Z255" i="22"/>
  <c r="W268" i="22"/>
  <c r="K158" i="22"/>
  <c r="G250" i="22" s="1"/>
  <c r="K187" i="22"/>
  <c r="G279" i="22" s="1"/>
  <c r="Z269" i="22"/>
  <c r="K149" i="22"/>
  <c r="K174" i="22"/>
  <c r="K175" i="22"/>
  <c r="K153" i="22"/>
  <c r="G245" i="22" s="1"/>
  <c r="K165" i="22"/>
  <c r="G257" i="22"/>
  <c r="I257" i="22" s="1"/>
  <c r="BP25" i="51" s="1"/>
  <c r="BO49" i="51"/>
  <c r="CC49" i="51" s="1"/>
  <c r="CD49" i="51" s="1"/>
  <c r="K172" i="22"/>
  <c r="AF172" i="22" s="1"/>
  <c r="AH172" i="22" s="1"/>
  <c r="K150" i="22"/>
  <c r="K167" i="22"/>
  <c r="G259" i="22"/>
  <c r="K196" i="22"/>
  <c r="G288" i="22" s="1"/>
  <c r="K193" i="22"/>
  <c r="G285" i="22"/>
  <c r="K185" i="22"/>
  <c r="K179" i="22"/>
  <c r="G271" i="22"/>
  <c r="K182" i="22"/>
  <c r="G274" i="22"/>
  <c r="BP274" i="22" s="1"/>
  <c r="BQ274" i="22" s="1"/>
  <c r="K202" i="22"/>
  <c r="F548" i="38"/>
  <c r="F502" i="22"/>
  <c r="L11" i="15"/>
  <c r="AF164" i="22"/>
  <c r="AH164" i="22" s="1"/>
  <c r="V256" i="22"/>
  <c r="AF167" i="22"/>
  <c r="AH167" i="22" s="1"/>
  <c r="AF193" i="22"/>
  <c r="AH193" i="22" s="1"/>
  <c r="AF155" i="22"/>
  <c r="AH155" i="22"/>
  <c r="AF192" i="22"/>
  <c r="AH192" i="22" s="1"/>
  <c r="AF171" i="22"/>
  <c r="AH171" i="22" s="1"/>
  <c r="AF187" i="22"/>
  <c r="AH187" i="22" s="1"/>
  <c r="AF168" i="22"/>
  <c r="AH168" i="22" s="1"/>
  <c r="AF161" i="22"/>
  <c r="AH161" i="22" s="1"/>
  <c r="AF182" i="22"/>
  <c r="AG182" i="22" s="1"/>
  <c r="AH182" i="22" s="1"/>
  <c r="AF147" i="22"/>
  <c r="AH147" i="22"/>
  <c r="AF153" i="22"/>
  <c r="AH153" i="22" s="1"/>
  <c r="AF179" i="22"/>
  <c r="AH179" i="22" s="1"/>
  <c r="AF165" i="22"/>
  <c r="AH165" i="22" s="1"/>
  <c r="AF166" i="22"/>
  <c r="AH166" i="22" s="1"/>
  <c r="AF170" i="22"/>
  <c r="AH170" i="22"/>
  <c r="AF186" i="22"/>
  <c r="AG186" i="22" s="1"/>
  <c r="AH186" i="22" s="1"/>
  <c r="AF196" i="22"/>
  <c r="AG196" i="22"/>
  <c r="AL288" i="22"/>
  <c r="AF154" i="22"/>
  <c r="AH154" i="22" s="1"/>
  <c r="AF162" i="22"/>
  <c r="AH162" i="22"/>
  <c r="AF156" i="22"/>
  <c r="AH156" i="22"/>
  <c r="AF159" i="22"/>
  <c r="AH159" i="22" s="1"/>
  <c r="AF148" i="22"/>
  <c r="AH148" i="22" s="1"/>
  <c r="AF163" i="22"/>
  <c r="AH163" i="22"/>
  <c r="AF190" i="22"/>
  <c r="AH190" i="22" s="1"/>
  <c r="AG190" i="22"/>
  <c r="AF158" i="22"/>
  <c r="AH158" i="22" s="1"/>
  <c r="AF151" i="22"/>
  <c r="AH151" i="22" s="1"/>
  <c r="AF157" i="22"/>
  <c r="AH157" i="22" s="1"/>
  <c r="AF199" i="22"/>
  <c r="AH199" i="22"/>
  <c r="AF200" i="22"/>
  <c r="AH200" i="22" s="1"/>
  <c r="AF201" i="22"/>
  <c r="AH201" i="22" s="1"/>
  <c r="AP187" i="22"/>
  <c r="AR187" i="22"/>
  <c r="AU187" i="22"/>
  <c r="AW187" i="22"/>
  <c r="AK187" i="22"/>
  <c r="AM187" i="22"/>
  <c r="AU168" i="22"/>
  <c r="AW168" i="22"/>
  <c r="AP168" i="22"/>
  <c r="AR168" i="22"/>
  <c r="AU147" i="22"/>
  <c r="AW147" i="22"/>
  <c r="AP147" i="22"/>
  <c r="AR147" i="22"/>
  <c r="AK147" i="22"/>
  <c r="AM147" i="22"/>
  <c r="AU186" i="22"/>
  <c r="AV186" i="22"/>
  <c r="AP186" i="22"/>
  <c r="AQ186" i="22"/>
  <c r="AR186" i="22" s="1"/>
  <c r="AP159" i="22"/>
  <c r="AR159" i="22" s="1"/>
  <c r="AU159" i="22"/>
  <c r="AW159" i="22" s="1"/>
  <c r="AK159" i="22"/>
  <c r="AM159" i="22" s="1"/>
  <c r="AP191" i="22"/>
  <c r="AR191" i="22" s="1"/>
  <c r="AK191" i="22"/>
  <c r="AM191" i="22" s="1"/>
  <c r="AU162" i="22"/>
  <c r="AW162" i="22" s="1"/>
  <c r="AP162" i="22"/>
  <c r="AR162" i="22" s="1"/>
  <c r="AU156" i="22"/>
  <c r="AW156" i="22" s="1"/>
  <c r="AP156" i="22"/>
  <c r="AR156" i="22"/>
  <c r="AU164" i="22"/>
  <c r="AW164" i="22" s="1"/>
  <c r="AP164" i="22"/>
  <c r="AR164" i="22" s="1"/>
  <c r="AU148" i="22"/>
  <c r="AW148" i="22" s="1"/>
  <c r="AP148" i="22"/>
  <c r="AR148" i="22"/>
  <c r="AP160" i="22"/>
  <c r="AR160" i="22" s="1"/>
  <c r="AU155" i="22"/>
  <c r="AW155" i="22" s="1"/>
  <c r="AP155" i="22"/>
  <c r="AR155" i="22"/>
  <c r="AK155" i="22"/>
  <c r="AM155" i="22" s="1"/>
  <c r="AP192" i="22"/>
  <c r="AR192" i="22" s="1"/>
  <c r="AU171" i="22"/>
  <c r="AW171" i="22"/>
  <c r="AP171" i="22"/>
  <c r="AR171" i="22" s="1"/>
  <c r="AK171" i="22"/>
  <c r="AM171" i="22" s="1"/>
  <c r="AP161" i="22"/>
  <c r="AR161" i="22" s="1"/>
  <c r="AK161" i="22"/>
  <c r="AM161" i="22" s="1"/>
  <c r="AU163" i="22"/>
  <c r="AW163" i="22" s="1"/>
  <c r="AP163" i="22"/>
  <c r="AR163" i="22" s="1"/>
  <c r="AK163" i="22"/>
  <c r="AM163" i="22" s="1"/>
  <c r="AU190" i="22"/>
  <c r="AV190" i="22"/>
  <c r="AW190" i="22" s="1"/>
  <c r="AP190" i="22"/>
  <c r="AQ190" i="22" s="1"/>
  <c r="AR190" i="22" s="1"/>
  <c r="AU184" i="22"/>
  <c r="AP184" i="22"/>
  <c r="AU196" i="22"/>
  <c r="V196" i="22"/>
  <c r="AP196" i="22"/>
  <c r="AR196" i="22" s="1"/>
  <c r="AQ196" i="22"/>
  <c r="T196" i="22"/>
  <c r="T182" i="22"/>
  <c r="AU182" i="22"/>
  <c r="AV182" i="22" s="1"/>
  <c r="AW182" i="22" s="1"/>
  <c r="AP182" i="22"/>
  <c r="AP169" i="22"/>
  <c r="AR169" i="22" s="1"/>
  <c r="AP151" i="22"/>
  <c r="AR151" i="22" s="1"/>
  <c r="AU151" i="22"/>
  <c r="AW151" i="22" s="1"/>
  <c r="AK151" i="22"/>
  <c r="AM151" i="22" s="1"/>
  <c r="AP157" i="22"/>
  <c r="AR157" i="22"/>
  <c r="AU157" i="22"/>
  <c r="AW157" i="22" s="1"/>
  <c r="AK157" i="22"/>
  <c r="AM157" i="22" s="1"/>
  <c r="AP153" i="22"/>
  <c r="AR153" i="22" s="1"/>
  <c r="AU153" i="22"/>
  <c r="AW153" i="22"/>
  <c r="AK153" i="22"/>
  <c r="AM153" i="22" s="1"/>
  <c r="AU158" i="22"/>
  <c r="AW158" i="22" s="1"/>
  <c r="AP158" i="22"/>
  <c r="AR158" i="22" s="1"/>
  <c r="AU193" i="22"/>
  <c r="AW193" i="22"/>
  <c r="AP193" i="22"/>
  <c r="AR193" i="22" s="1"/>
  <c r="AK193" i="22"/>
  <c r="AM193" i="22" s="1"/>
  <c r="AP179" i="22"/>
  <c r="AR179" i="22" s="1"/>
  <c r="AU179" i="22"/>
  <c r="AW179" i="22"/>
  <c r="AK179" i="22"/>
  <c r="AM179" i="22" s="1"/>
  <c r="AP185" i="22"/>
  <c r="AR185" i="22" s="1"/>
  <c r="AU165" i="22"/>
  <c r="AW165" i="22" s="1"/>
  <c r="AP165" i="22"/>
  <c r="AR165" i="22"/>
  <c r="AK165" i="22"/>
  <c r="AM165" i="22" s="1"/>
  <c r="AU166" i="22"/>
  <c r="AW166" i="22" s="1"/>
  <c r="AP166" i="22"/>
  <c r="AR166" i="22" s="1"/>
  <c r="AU170" i="22"/>
  <c r="AW170" i="22"/>
  <c r="AP170" i="22"/>
  <c r="AR170" i="22" s="1"/>
  <c r="AU167" i="22"/>
  <c r="AW167" i="22" s="1"/>
  <c r="AP167" i="22"/>
  <c r="AR167" i="22" s="1"/>
  <c r="AK167" i="22"/>
  <c r="AM167" i="22"/>
  <c r="AP199" i="22"/>
  <c r="AR199" i="22"/>
  <c r="AU199" i="22"/>
  <c r="AW199" i="22" s="1"/>
  <c r="AP198" i="22"/>
  <c r="AR198" i="22" s="1"/>
  <c r="AP200" i="22"/>
  <c r="AR200" i="22"/>
  <c r="AU200" i="22"/>
  <c r="AW200" i="22" s="1"/>
  <c r="AP201" i="22"/>
  <c r="AR201" i="22" s="1"/>
  <c r="AU201" i="22"/>
  <c r="AW201" i="22" s="1"/>
  <c r="AP202" i="22"/>
  <c r="AR202" i="22" s="1"/>
  <c r="AK199" i="22"/>
  <c r="AM199" i="22"/>
  <c r="AK198" i="22"/>
  <c r="AM198" i="22" s="1"/>
  <c r="AK200" i="22"/>
  <c r="AM200" i="22"/>
  <c r="AK201" i="22"/>
  <c r="AM201" i="22" s="1"/>
  <c r="K208" i="22"/>
  <c r="T174" i="22"/>
  <c r="T154" i="22"/>
  <c r="K206" i="22"/>
  <c r="T162" i="22"/>
  <c r="T160" i="22"/>
  <c r="T166" i="22"/>
  <c r="T190" i="22"/>
  <c r="T152" i="22"/>
  <c r="T178" i="22"/>
  <c r="T146" i="22"/>
  <c r="T192" i="22"/>
  <c r="T158" i="22"/>
  <c r="T156" i="22"/>
  <c r="T170" i="22"/>
  <c r="T172" i="22"/>
  <c r="T186" i="22"/>
  <c r="T184" i="22"/>
  <c r="T164" i="22"/>
  <c r="T150" i="22"/>
  <c r="K205" i="22"/>
  <c r="T148" i="22"/>
  <c r="T168" i="22"/>
  <c r="V190" i="22"/>
  <c r="CC48" i="51"/>
  <c r="CD48" i="51" s="1"/>
  <c r="V150" i="22"/>
  <c r="V184" i="22"/>
  <c r="V182" i="22"/>
  <c r="V186" i="22"/>
  <c r="G35" i="15"/>
  <c r="Z288" i="22"/>
  <c r="I61" i="15"/>
  <c r="J61" i="15" s="1"/>
  <c r="J43" i="15"/>
  <c r="J59" i="15"/>
  <c r="J45" i="15"/>
  <c r="J57" i="15"/>
  <c r="J53" i="15"/>
  <c r="J41" i="15"/>
  <c r="J39" i="15"/>
  <c r="D498" i="22"/>
  <c r="Y257" i="22"/>
  <c r="BN53" i="51"/>
  <c r="BZ271" i="22"/>
  <c r="CB271" i="22" s="1"/>
  <c r="BR274" i="22"/>
  <c r="CE274" i="22"/>
  <c r="BZ274" i="22"/>
  <c r="CA274" i="22" s="1"/>
  <c r="BZ279" i="22"/>
  <c r="CB279" i="22" s="1"/>
  <c r="BU279" i="22"/>
  <c r="BW279" i="22" s="1"/>
  <c r="BP288" i="22"/>
  <c r="BQ288" i="22"/>
  <c r="BZ288" i="22"/>
  <c r="CA288" i="22"/>
  <c r="CF288" i="22"/>
  <c r="BV288" i="22"/>
  <c r="BP258" i="22"/>
  <c r="BR258" i="22"/>
  <c r="CE258" i="22"/>
  <c r="CG258" i="22" s="1"/>
  <c r="BZ258" i="22"/>
  <c r="CB258" i="22" s="1"/>
  <c r="CE245" i="22"/>
  <c r="CG245" i="22" s="1"/>
  <c r="BP263" i="22"/>
  <c r="BR263" i="22" s="1"/>
  <c r="BZ263" i="22"/>
  <c r="CB263" i="22"/>
  <c r="CE263" i="22"/>
  <c r="CG263" i="22" s="1"/>
  <c r="BU263" i="22"/>
  <c r="BW263" i="22" s="1"/>
  <c r="CE285" i="22"/>
  <c r="CG285" i="22" s="1"/>
  <c r="BU285" i="22"/>
  <c r="BW285" i="22" s="1"/>
  <c r="V258" i="22"/>
  <c r="Y263" i="22"/>
  <c r="BP257" i="22"/>
  <c r="BR257" i="22" s="1"/>
  <c r="BZ257" i="22"/>
  <c r="CB257" i="22"/>
  <c r="CE257" i="22"/>
  <c r="CG257" i="22" s="1"/>
  <c r="BU257" i="22"/>
  <c r="BW257" i="22" s="1"/>
  <c r="BP253" i="22"/>
  <c r="BR253" i="22" s="1"/>
  <c r="BZ253" i="22"/>
  <c r="CB253" i="22" s="1"/>
  <c r="BZ284" i="22"/>
  <c r="CB284" i="22" s="1"/>
  <c r="BU259" i="22"/>
  <c r="BW259" i="22" s="1"/>
  <c r="CE260" i="22"/>
  <c r="CG260" i="22" s="1"/>
  <c r="BP247" i="22"/>
  <c r="BR247" i="22" s="1"/>
  <c r="BU247" i="22"/>
  <c r="BW247" i="22" s="1"/>
  <c r="BP256" i="22"/>
  <c r="BR256" i="22" s="1"/>
  <c r="CE256" i="22"/>
  <c r="CG256" i="22" s="1"/>
  <c r="BZ256" i="22"/>
  <c r="CB256" i="22"/>
  <c r="BP282" i="22"/>
  <c r="BQ282" i="22" s="1"/>
  <c r="CE282" i="22"/>
  <c r="CF282" i="22"/>
  <c r="CG282" i="22" s="1"/>
  <c r="BZ282" i="22"/>
  <c r="CA282" i="22" s="1"/>
  <c r="BZ243" i="22"/>
  <c r="CB243" i="22" s="1"/>
  <c r="BZ255" i="22"/>
  <c r="CB255" i="22" s="1"/>
  <c r="CE248" i="22"/>
  <c r="CG248" i="22" s="1"/>
  <c r="BP249" i="22"/>
  <c r="BR249" i="22" s="1"/>
  <c r="CE251" i="22"/>
  <c r="CG251" i="22" s="1"/>
  <c r="BZ250" i="22"/>
  <c r="CB250" i="22"/>
  <c r="BP240" i="22"/>
  <c r="BR240" i="22"/>
  <c r="BZ240" i="22"/>
  <c r="CB240" i="22"/>
  <c r="CE240" i="22"/>
  <c r="CG240" i="22"/>
  <c r="CE254" i="22"/>
  <c r="CE293" i="22"/>
  <c r="CG293" i="22"/>
  <c r="BZ293" i="22"/>
  <c r="CB293" i="22"/>
  <c r="BU292" i="22"/>
  <c r="BW292" i="22" s="1"/>
  <c r="BU293" i="22"/>
  <c r="BW293" i="22" s="1"/>
  <c r="BP293" i="22"/>
  <c r="BR293" i="22" s="1"/>
  <c r="Y293" i="22"/>
  <c r="Y291" i="22"/>
  <c r="Y243" i="22"/>
  <c r="T242" i="22"/>
  <c r="J494" i="22" s="1"/>
  <c r="BN31" i="51"/>
  <c r="BZ31" i="51" s="1"/>
  <c r="CA31" i="51" s="1"/>
  <c r="T276" i="22"/>
  <c r="Y245" i="22"/>
  <c r="V63" i="22"/>
  <c r="V36" i="22"/>
  <c r="V64" i="22"/>
  <c r="W64" i="22" s="1"/>
  <c r="V37" i="22"/>
  <c r="BW56" i="51"/>
  <c r="Y285" i="22"/>
  <c r="T274" i="22"/>
  <c r="Y262" i="22"/>
  <c r="T266" i="22"/>
  <c r="T270" i="22"/>
  <c r="E157" i="51"/>
  <c r="BN27" i="51"/>
  <c r="BN21" i="51"/>
  <c r="BN39" i="51"/>
  <c r="V288" i="22"/>
  <c r="AA288" i="22"/>
  <c r="BN47" i="51"/>
  <c r="T278" i="22"/>
  <c r="T288" i="22"/>
  <c r="T264" i="22"/>
  <c r="AV196" i="22"/>
  <c r="AW196" i="22" s="1"/>
  <c r="I293" i="22"/>
  <c r="V240" i="22"/>
  <c r="V284" i="22"/>
  <c r="J136" i="51"/>
  <c r="V262" i="22"/>
  <c r="Y260" i="22"/>
  <c r="BN28" i="51"/>
  <c r="A141" i="51"/>
  <c r="F494" i="22"/>
  <c r="V250" i="22"/>
  <c r="T246" i="22"/>
  <c r="BW34" i="51"/>
  <c r="J498" i="22"/>
  <c r="A185" i="51" a="1"/>
  <c r="A185" i="51" s="1"/>
  <c r="BW14" i="51"/>
  <c r="BW22" i="51"/>
  <c r="BW40" i="51"/>
  <c r="I254" i="22"/>
  <c r="BP22" i="51" s="1"/>
  <c r="T254" i="22"/>
  <c r="BN24" i="51"/>
  <c r="BX24" i="51"/>
  <c r="BY24" i="51" s="1"/>
  <c r="Y258" i="22"/>
  <c r="K157" i="51"/>
  <c r="AA242" i="22"/>
  <c r="AL242" i="22"/>
  <c r="V282" i="22"/>
  <c r="BN50" i="51"/>
  <c r="T282" i="22"/>
  <c r="Y282" i="22"/>
  <c r="BN8" i="51"/>
  <c r="BX8" i="51" s="1"/>
  <c r="Y276" i="22"/>
  <c r="Y240" i="22"/>
  <c r="T244" i="22"/>
  <c r="T250" i="22"/>
  <c r="G157" i="51"/>
  <c r="T256" i="22"/>
  <c r="M496" i="22" s="1"/>
  <c r="Y256" i="22"/>
  <c r="T260" i="22"/>
  <c r="BN26" i="51"/>
  <c r="BZ26" i="51" s="1"/>
  <c r="CA26" i="51" s="1"/>
  <c r="T258" i="22"/>
  <c r="K212" i="22"/>
  <c r="AG212" i="22" s="1"/>
  <c r="T262" i="22"/>
  <c r="T240" i="22"/>
  <c r="T284" i="22"/>
  <c r="T248" i="22"/>
  <c r="BW50" i="51"/>
  <c r="BW54" i="51"/>
  <c r="BW16" i="51"/>
  <c r="BW18" i="51"/>
  <c r="V418" i="22"/>
  <c r="BW10" i="51"/>
  <c r="BW26" i="51"/>
  <c r="BW38" i="51"/>
  <c r="BW6" i="51"/>
  <c r="CG6" i="51" s="1"/>
  <c r="BW24" i="51"/>
  <c r="BW28" i="51"/>
  <c r="BW52" i="51"/>
  <c r="I498" i="22"/>
  <c r="A184" i="51" s="1"/>
  <c r="BW46" i="51"/>
  <c r="BW36" i="51"/>
  <c r="BW20" i="51"/>
  <c r="BW48" i="51"/>
  <c r="BW8" i="51"/>
  <c r="BW30" i="51"/>
  <c r="BW12" i="51"/>
  <c r="BW32" i="51"/>
  <c r="BW42" i="51"/>
  <c r="BW44" i="51"/>
  <c r="T252" i="22"/>
  <c r="BN42" i="51"/>
  <c r="Y274" i="22"/>
  <c r="V274" i="22"/>
  <c r="V278" i="22"/>
  <c r="K71" i="22"/>
  <c r="G407" i="22"/>
  <c r="K76" i="22"/>
  <c r="K75" i="22"/>
  <c r="K73" i="22"/>
  <c r="K74" i="22"/>
  <c r="K72" i="22"/>
  <c r="K77" i="22"/>
  <c r="BR282" i="22"/>
  <c r="BZ39" i="51"/>
  <c r="CA39" i="51" s="1"/>
  <c r="A166" i="51"/>
  <c r="V419" i="22"/>
  <c r="BZ24" i="51"/>
  <c r="CA24" i="51" s="1"/>
  <c r="W37" i="22"/>
  <c r="W36" i="22"/>
  <c r="W63" i="22"/>
  <c r="BZ21" i="51"/>
  <c r="CA21" i="51" s="1"/>
  <c r="BZ8" i="51"/>
  <c r="BX26" i="51"/>
  <c r="BY26" i="51" s="1"/>
  <c r="BX42" i="51"/>
  <c r="BY42" i="51" s="1"/>
  <c r="BZ42" i="51"/>
  <c r="CA42" i="51" s="1"/>
  <c r="BY8" i="51"/>
  <c r="BT280" i="22"/>
  <c r="BU280" i="22" s="1"/>
  <c r="BW280" i="22" s="1"/>
  <c r="BT284" i="22"/>
  <c r="BU284" i="22"/>
  <c r="BT262" i="22"/>
  <c r="BU262" i="22" s="1"/>
  <c r="BT252" i="22"/>
  <c r="BT260" i="22"/>
  <c r="BU260" i="22" s="1"/>
  <c r="BW260" i="22" s="1"/>
  <c r="BT264" i="22"/>
  <c r="BT282" i="22"/>
  <c r="BU282" i="22" s="1"/>
  <c r="BT240" i="22"/>
  <c r="BU240" i="22" s="1"/>
  <c r="BW240" i="22" s="1"/>
  <c r="BT268" i="22"/>
  <c r="BT238" i="22"/>
  <c r="BU238" i="22" s="1"/>
  <c r="BT258" i="22"/>
  <c r="BU258" i="22"/>
  <c r="BW258" i="22" s="1"/>
  <c r="BT270" i="22"/>
  <c r="BT242" i="22"/>
  <c r="BT278" i="22"/>
  <c r="BT250" i="22"/>
  <c r="BU250" i="22" s="1"/>
  <c r="BW250" i="22" s="1"/>
  <c r="BT256" i="22"/>
  <c r="BU256" i="22" s="1"/>
  <c r="BW256" i="22" s="1"/>
  <c r="BT274" i="22"/>
  <c r="BU274" i="22" s="1"/>
  <c r="BT286" i="22"/>
  <c r="BU286" i="22" s="1"/>
  <c r="BW286" i="22" s="1"/>
  <c r="BT276" i="22"/>
  <c r="BU276" i="22"/>
  <c r="BV276" i="22"/>
  <c r="BW276" i="22" s="1"/>
  <c r="BT244" i="22"/>
  <c r="BT248" i="22"/>
  <c r="BU248" i="22"/>
  <c r="BT246" i="22"/>
  <c r="BT254" i="22"/>
  <c r="BU254" i="22" s="1"/>
  <c r="BW254" i="22" s="1"/>
  <c r="BT272" i="22"/>
  <c r="BU272" i="22" s="1"/>
  <c r="BT266" i="22"/>
  <c r="CB298" i="22"/>
  <c r="G412" i="22"/>
  <c r="V412" i="22" s="1"/>
  <c r="G410" i="22"/>
  <c r="V410" i="22" s="1"/>
  <c r="G411" i="22"/>
  <c r="V411" i="22" s="1"/>
  <c r="G409" i="22"/>
  <c r="V409" i="22" s="1"/>
  <c r="AJ186" i="22"/>
  <c r="AK186" i="22" s="1"/>
  <c r="AJ194" i="22"/>
  <c r="AK194" i="22" s="1"/>
  <c r="AM194" i="22" s="1"/>
  <c r="AJ152" i="22"/>
  <c r="AK152" i="22" s="1"/>
  <c r="AM152" i="22" s="1"/>
  <c r="AJ160" i="22"/>
  <c r="AK160" i="22"/>
  <c r="AM160" i="22"/>
  <c r="AJ168" i="22"/>
  <c r="AK168" i="22" s="1"/>
  <c r="AM168" i="22" s="1"/>
  <c r="AJ176" i="22"/>
  <c r="AK176" i="22" s="1"/>
  <c r="AM176" i="22" s="1"/>
  <c r="AJ184" i="22"/>
  <c r="AK184" i="22" s="1"/>
  <c r="AL184" i="22" s="1"/>
  <c r="AJ192" i="22"/>
  <c r="AK192" i="22"/>
  <c r="AM192" i="22" s="1"/>
  <c r="AJ178" i="22"/>
  <c r="AJ146" i="22"/>
  <c r="AK146" i="22"/>
  <c r="AJ170" i="22"/>
  <c r="AK170" i="22" s="1"/>
  <c r="AM170" i="22" s="1"/>
  <c r="AJ148" i="22"/>
  <c r="AK148" i="22" s="1"/>
  <c r="AM148" i="22" s="1"/>
  <c r="AJ156" i="22"/>
  <c r="AK156" i="22"/>
  <c r="AM156" i="22" s="1"/>
  <c r="AJ164" i="22"/>
  <c r="AK164" i="22"/>
  <c r="AM164" i="22"/>
  <c r="AJ172" i="22"/>
  <c r="AK172" i="22" s="1"/>
  <c r="AM172" i="22" s="1"/>
  <c r="AJ188" i="22"/>
  <c r="AK188" i="22"/>
  <c r="AM188" i="22" s="1"/>
  <c r="AJ196" i="22"/>
  <c r="AK196" i="22" s="1"/>
  <c r="AM196" i="22" s="1"/>
  <c r="AL196" i="22"/>
  <c r="AJ150" i="22"/>
  <c r="AK150" i="22"/>
  <c r="AJ166" i="22"/>
  <c r="AK166" i="22" s="1"/>
  <c r="AM166" i="22" s="1"/>
  <c r="AJ182" i="22"/>
  <c r="AK182" i="22"/>
  <c r="AL182" i="22" s="1"/>
  <c r="AJ158" i="22"/>
  <c r="AK158" i="22" s="1"/>
  <c r="AM158" i="22" s="1"/>
  <c r="AJ190" i="22"/>
  <c r="AK190" i="22" s="1"/>
  <c r="AJ162" i="22"/>
  <c r="AK162" i="22" s="1"/>
  <c r="AM162" i="22" s="1"/>
  <c r="AJ154" i="22"/>
  <c r="AK154" i="22"/>
  <c r="AM154" i="22" s="1"/>
  <c r="AJ180" i="22"/>
  <c r="AK180" i="22" s="1"/>
  <c r="AJ174" i="22"/>
  <c r="AK174" i="22" s="1"/>
  <c r="AM174" i="22" s="1"/>
  <c r="M94" i="22"/>
  <c r="U94" i="22"/>
  <c r="V94" i="22" s="1"/>
  <c r="L94" i="22"/>
  <c r="L99" i="22"/>
  <c r="L120" i="22" s="1"/>
  <c r="N465" i="22" s="1"/>
  <c r="J337" i="22"/>
  <c r="G408" i="22"/>
  <c r="V408" i="22"/>
  <c r="L93" i="22"/>
  <c r="L106" i="22"/>
  <c r="K322" i="22"/>
  <c r="U93" i="22"/>
  <c r="V93" i="22" s="1"/>
  <c r="M93" i="22"/>
  <c r="V407" i="22"/>
  <c r="A186" i="51"/>
  <c r="U92" i="22"/>
  <c r="V92" i="22"/>
  <c r="M92" i="22"/>
  <c r="L92" i="22"/>
  <c r="L98" i="22"/>
  <c r="G322" i="22"/>
  <c r="O322" i="22" s="1"/>
  <c r="BV56" i="51"/>
  <c r="CA8" i="51"/>
  <c r="BV40" i="51"/>
  <c r="CB40" i="51" s="1"/>
  <c r="BV22" i="51"/>
  <c r="BV34" i="51"/>
  <c r="C8" i="59"/>
  <c r="BV14" i="51"/>
  <c r="BV10" i="51"/>
  <c r="BV50" i="51"/>
  <c r="CB50" i="51" s="1"/>
  <c r="BV28" i="51"/>
  <c r="CB28" i="51" s="1"/>
  <c r="C7" i="59"/>
  <c r="BV54" i="51"/>
  <c r="CB54" i="51" s="1"/>
  <c r="BV24" i="51"/>
  <c r="CB24" i="51" s="1"/>
  <c r="BV16" i="51"/>
  <c r="BV48" i="51"/>
  <c r="CB48" i="51" s="1"/>
  <c r="BV20" i="51"/>
  <c r="BV46" i="51"/>
  <c r="BV38" i="51"/>
  <c r="BV42" i="51"/>
  <c r="CB42" i="51" s="1"/>
  <c r="BV12" i="51"/>
  <c r="BV36" i="51"/>
  <c r="BV32" i="51"/>
  <c r="BV18" i="51"/>
  <c r="BV30" i="51"/>
  <c r="BV52" i="51"/>
  <c r="BV6" i="51"/>
  <c r="BV26" i="51"/>
  <c r="CB26" i="51" s="1"/>
  <c r="BV44" i="51"/>
  <c r="BV8" i="51"/>
  <c r="CB8" i="51" s="1"/>
  <c r="G324" i="22"/>
  <c r="G326" i="22"/>
  <c r="G325" i="22"/>
  <c r="G327" i="22"/>
  <c r="G323" i="22"/>
  <c r="M115" i="22"/>
  <c r="M99" i="22"/>
  <c r="M107" i="22"/>
  <c r="L107" i="22"/>
  <c r="L115" i="22"/>
  <c r="A188" i="51"/>
  <c r="M114" i="22"/>
  <c r="M98" i="22"/>
  <c r="M106" i="22"/>
  <c r="AL150" i="22"/>
  <c r="AM146" i="22"/>
  <c r="K324" i="22"/>
  <c r="K326" i="22"/>
  <c r="K325" i="22"/>
  <c r="O325" i="22" s="1"/>
  <c r="K327" i="22"/>
  <c r="O327" i="22" s="1"/>
  <c r="K323" i="22"/>
  <c r="AM150" i="22"/>
  <c r="A190" i="51"/>
  <c r="BW284" i="22"/>
  <c r="BW248" i="22"/>
  <c r="Z274" i="22"/>
  <c r="X278" i="22"/>
  <c r="W276" i="22"/>
  <c r="Z270" i="22"/>
  <c r="BO38" i="51"/>
  <c r="CE38" i="51" s="1"/>
  <c r="CF38" i="51" s="1"/>
  <c r="K27" i="10"/>
  <c r="E28" i="58"/>
  <c r="DF29" i="33"/>
  <c r="DG29" i="33"/>
  <c r="DC29" i="33"/>
  <c r="CZ26" i="33"/>
  <c r="DC26" i="33" s="1"/>
  <c r="E27" i="10"/>
  <c r="DF30" i="33"/>
  <c r="DG30" i="33" s="1"/>
  <c r="DG26" i="33" s="1"/>
  <c r="DF26" i="33" s="1"/>
  <c r="DR148" i="33"/>
  <c r="DQ291" i="33"/>
  <c r="DR352" i="33"/>
  <c r="DR118" i="33"/>
  <c r="DR351" i="33"/>
  <c r="DR454" i="33"/>
  <c r="DQ124" i="33"/>
  <c r="DR269" i="33"/>
  <c r="DR189" i="33"/>
  <c r="DQ375" i="33"/>
  <c r="DQ494" i="33"/>
  <c r="DR479" i="33"/>
  <c r="DQ436" i="33"/>
  <c r="DQ434" i="33"/>
  <c r="DR427" i="33"/>
  <c r="DQ146" i="33"/>
  <c r="DR327" i="33"/>
  <c r="DR68" i="33"/>
  <c r="DR277" i="33"/>
  <c r="DR232" i="33"/>
  <c r="DQ114" i="33"/>
  <c r="DR116" i="33"/>
  <c r="DQ97" i="33"/>
  <c r="DR97" i="33"/>
  <c r="DR485" i="33"/>
  <c r="DQ515" i="33"/>
  <c r="DQ69" i="33"/>
  <c r="DQ256" i="33"/>
  <c r="DR302" i="33"/>
  <c r="DQ525" i="33"/>
  <c r="DR254" i="33"/>
  <c r="DQ480" i="33"/>
  <c r="DQ178" i="33"/>
  <c r="DQ387" i="33"/>
  <c r="DQ34" i="33"/>
  <c r="DR265" i="33"/>
  <c r="DR379" i="33"/>
  <c r="DR542" i="33"/>
  <c r="DR101" i="33"/>
  <c r="DR510" i="33"/>
  <c r="DQ451" i="33"/>
  <c r="DQ478" i="33"/>
  <c r="DR156" i="33"/>
  <c r="DR263" i="33"/>
  <c r="DQ149" i="33"/>
  <c r="DR250" i="33"/>
  <c r="DQ196" i="33"/>
  <c r="DR115" i="33"/>
  <c r="DR169" i="33"/>
  <c r="DR268" i="33"/>
  <c r="DR283" i="33"/>
  <c r="DR500" i="33"/>
  <c r="DQ182" i="33"/>
  <c r="DQ548" i="33"/>
  <c r="DR298" i="33"/>
  <c r="DR204" i="33"/>
  <c r="DQ186" i="33"/>
  <c r="DR96" i="33"/>
  <c r="DQ235" i="33"/>
  <c r="DR262" i="33"/>
  <c r="DQ213" i="33"/>
  <c r="DQ294" i="33"/>
  <c r="DR384" i="33"/>
  <c r="DR222" i="33"/>
  <c r="DQ338" i="33"/>
  <c r="DQ509" i="33"/>
  <c r="DQ300" i="33"/>
  <c r="DR98" i="33"/>
  <c r="DR521" i="33"/>
  <c r="DR141" i="33"/>
  <c r="DR480" i="33"/>
  <c r="DQ218" i="33"/>
  <c r="DQ368" i="33"/>
  <c r="DQ296" i="33"/>
  <c r="DR35" i="33"/>
  <c r="DR119" i="33"/>
  <c r="DQ389" i="33"/>
  <c r="DQ388" i="33"/>
  <c r="DQ329" i="33"/>
  <c r="DR375" i="33"/>
  <c r="DQ106" i="33"/>
  <c r="DR303" i="33"/>
  <c r="DQ401" i="33"/>
  <c r="DQ158" i="33"/>
  <c r="DR218" i="33"/>
  <c r="DR177" i="33"/>
  <c r="DQ502" i="33"/>
  <c r="DQ165" i="33"/>
  <c r="DR214" i="33"/>
  <c r="DQ144" i="33"/>
  <c r="DR527" i="33"/>
  <c r="DQ303" i="33"/>
  <c r="DQ212" i="33"/>
  <c r="DQ151" i="33"/>
  <c r="DQ492" i="33"/>
  <c r="DR409" i="33"/>
  <c r="DR172" i="33"/>
  <c r="DR444" i="33"/>
  <c r="DR168" i="33"/>
  <c r="DR332" i="33"/>
  <c r="DR300" i="33"/>
  <c r="DQ352" i="33"/>
  <c r="DQ299" i="33"/>
  <c r="DR470" i="33"/>
  <c r="DR314" i="33"/>
  <c r="DR163" i="33"/>
  <c r="DR315" i="33"/>
  <c r="DR140" i="33"/>
  <c r="DR212" i="33"/>
  <c r="DQ119" i="33"/>
  <c r="DR122" i="33"/>
  <c r="DR363" i="33"/>
  <c r="DR55" i="33"/>
  <c r="DR100" i="33"/>
  <c r="DR200" i="33"/>
  <c r="DR94" i="33"/>
  <c r="DR396" i="33"/>
  <c r="DQ75" i="33"/>
  <c r="DR123" i="33"/>
  <c r="DR482" i="33"/>
  <c r="DR513" i="33"/>
  <c r="DR533" i="33"/>
  <c r="DQ276" i="33"/>
  <c r="DR64" i="33"/>
  <c r="DR424" i="33"/>
  <c r="DQ33" i="33"/>
  <c r="DQ46" i="33"/>
  <c r="DQ54" i="33"/>
  <c r="DR310" i="33"/>
  <c r="DR47" i="33"/>
  <c r="DR152" i="33"/>
  <c r="DR113" i="33"/>
  <c r="DR475" i="33"/>
  <c r="DQ400" i="33"/>
  <c r="DR441" i="33"/>
  <c r="DQ326" i="33"/>
  <c r="DQ385" i="33"/>
  <c r="DQ230" i="33"/>
  <c r="DR220" i="33"/>
  <c r="DQ120" i="33"/>
  <c r="DR104" i="33"/>
  <c r="DQ171" i="33"/>
  <c r="DR31" i="33"/>
  <c r="DR369" i="33"/>
  <c r="DR548" i="33"/>
  <c r="DR366" i="33"/>
  <c r="DQ518" i="33"/>
  <c r="DQ334" i="33"/>
  <c r="DR359" i="33"/>
  <c r="DQ373" i="33"/>
  <c r="DQ474" i="33"/>
  <c r="DQ336" i="33"/>
  <c r="DR306" i="33"/>
  <c r="DQ411" i="33"/>
  <c r="DQ68" i="33"/>
  <c r="DR367" i="33"/>
  <c r="DQ440" i="33"/>
  <c r="DQ339" i="33"/>
  <c r="DQ550" i="33"/>
  <c r="DQ290" i="33"/>
  <c r="DQ377" i="33"/>
  <c r="DQ67" i="33"/>
  <c r="DQ351" i="33"/>
  <c r="DQ323" i="33"/>
  <c r="DQ425" i="33"/>
  <c r="DQ305" i="33"/>
  <c r="DQ470" i="33"/>
  <c r="DQ396" i="33"/>
  <c r="DQ319" i="33"/>
  <c r="DQ73" i="33"/>
  <c r="DQ315" i="33"/>
  <c r="DQ531" i="33"/>
  <c r="DR380" i="33"/>
  <c r="DR266" i="33"/>
  <c r="DR135" i="33"/>
  <c r="DQ539" i="33"/>
  <c r="DQ341" i="33"/>
  <c r="DR257" i="33"/>
  <c r="DR241" i="33"/>
  <c r="DR419" i="33"/>
  <c r="DQ407" i="33"/>
  <c r="DQ131" i="33"/>
  <c r="DQ423" i="33"/>
  <c r="DR474" i="33"/>
  <c r="DQ193" i="33"/>
  <c r="DR328" i="33"/>
  <c r="DR372" i="33"/>
  <c r="DR167" i="33"/>
  <c r="DR30" i="33"/>
  <c r="DR57" i="33"/>
  <c r="DQ442" i="33"/>
  <c r="DR256" i="33"/>
  <c r="DR59" i="33"/>
  <c r="DQ277" i="33"/>
  <c r="DQ330" i="33"/>
  <c r="DR368" i="33"/>
  <c r="DR486" i="33"/>
  <c r="DQ48" i="33"/>
  <c r="DQ524" i="33"/>
  <c r="DR496" i="33"/>
  <c r="DR248" i="33"/>
  <c r="K350" i="26"/>
  <c r="DQ284" i="33"/>
  <c r="DR153" i="33"/>
  <c r="DQ281" i="33"/>
  <c r="DQ504" i="33"/>
  <c r="DR80" i="33"/>
  <c r="DR230" i="33"/>
  <c r="DQ249" i="33"/>
  <c r="DR296" i="33"/>
  <c r="DQ413" i="33"/>
  <c r="DR29" i="33"/>
  <c r="DQ398" i="33"/>
  <c r="DQ404" i="33"/>
  <c r="DQ476" i="33"/>
  <c r="DR464" i="33"/>
  <c r="DR364" i="33"/>
  <c r="DQ78" i="33"/>
  <c r="DQ511" i="33"/>
  <c r="DQ295" i="33"/>
  <c r="DR251" i="33"/>
  <c r="DQ174" i="33"/>
  <c r="DQ35" i="33"/>
  <c r="DR272" i="33"/>
  <c r="DQ406" i="33"/>
  <c r="DQ83" i="33"/>
  <c r="DQ240" i="33"/>
  <c r="DQ468" i="33"/>
  <c r="DQ211" i="33"/>
  <c r="DQ253" i="33"/>
  <c r="DQ192" i="33"/>
  <c r="DR81" i="33"/>
  <c r="DR322" i="33"/>
  <c r="DR48" i="33"/>
  <c r="DQ283" i="33"/>
  <c r="DQ337" i="33"/>
  <c r="DR503" i="33"/>
  <c r="DR159" i="33"/>
  <c r="DR378" i="33"/>
  <c r="DR385" i="33"/>
  <c r="DQ443" i="33"/>
  <c r="DR331" i="33"/>
  <c r="DR394" i="33"/>
  <c r="DQ422" i="33"/>
  <c r="DR330" i="33"/>
  <c r="DQ324" i="33"/>
  <c r="DR453" i="33"/>
  <c r="DQ225" i="33"/>
  <c r="DR201" i="33"/>
  <c r="DR207" i="33"/>
  <c r="DR319" i="33"/>
  <c r="DR125" i="33"/>
  <c r="DR166" i="33"/>
  <c r="DR155" i="33"/>
  <c r="DQ467" i="33"/>
  <c r="DR519" i="33"/>
  <c r="DR274" i="33"/>
  <c r="DQ72" i="33"/>
  <c r="DR284" i="33"/>
  <c r="DR531" i="33"/>
  <c r="DR451" i="33"/>
  <c r="DQ546" i="33"/>
  <c r="DR505" i="33"/>
  <c r="DQ220" i="33"/>
  <c r="DR388" i="33"/>
  <c r="DR524" i="33"/>
  <c r="DQ487" i="33"/>
  <c r="DR307" i="33"/>
  <c r="DQ197" i="33"/>
  <c r="DQ536" i="33"/>
  <c r="DQ127" i="33"/>
  <c r="DQ126" i="33"/>
  <c r="DQ147" i="33"/>
  <c r="DR468" i="33"/>
  <c r="DR438" i="33"/>
  <c r="DQ477" i="33"/>
  <c r="DQ362" i="33"/>
  <c r="DR425" i="33"/>
  <c r="DR344" i="33"/>
  <c r="DR137" i="33"/>
  <c r="DQ176" i="33"/>
  <c r="DQ113" i="33"/>
  <c r="DR87" i="33"/>
  <c r="DR516" i="33"/>
  <c r="DR82" i="33"/>
  <c r="DQ143" i="33"/>
  <c r="C214" i="27"/>
  <c r="DR525" i="33"/>
  <c r="DR408" i="33"/>
  <c r="DR129" i="33"/>
  <c r="DR459" i="33"/>
  <c r="DQ486" i="33"/>
  <c r="DQ169" i="33"/>
  <c r="DQ459" i="33"/>
  <c r="DR350" i="33"/>
  <c r="DR397" i="33"/>
  <c r="DQ234" i="33"/>
  <c r="DR455" i="33"/>
  <c r="DR138" i="33"/>
  <c r="DQ394" i="33"/>
  <c r="DQ108" i="33"/>
  <c r="DR178" i="33"/>
  <c r="DR386" i="33"/>
  <c r="DQ343" i="33"/>
  <c r="DQ412" i="33"/>
  <c r="DQ275" i="33"/>
  <c r="DQ366" i="33"/>
  <c r="DR487" i="33"/>
  <c r="DR288" i="33"/>
  <c r="DR233" i="33"/>
  <c r="DQ101" i="33"/>
  <c r="DQ347" i="33"/>
  <c r="DR93" i="33"/>
  <c r="DR512" i="33"/>
  <c r="DR249" i="33"/>
  <c r="DQ311" i="33"/>
  <c r="DR410" i="33"/>
  <c r="DR127" i="33"/>
  <c r="DR170" i="33"/>
  <c r="DR225" i="33"/>
  <c r="DR78" i="33"/>
  <c r="DQ82" i="33"/>
  <c r="DQ208" i="33"/>
  <c r="DR180" i="33"/>
  <c r="DQ271" i="33"/>
  <c r="DQ264" i="33"/>
  <c r="DR66" i="33"/>
  <c r="DR38" i="33"/>
  <c r="DR246" i="33"/>
  <c r="DQ544" i="33"/>
  <c r="DR526" i="33"/>
  <c r="DR406" i="33"/>
  <c r="DQ117" i="33"/>
  <c r="DQ310" i="33"/>
  <c r="DQ247" i="33"/>
  <c r="DR41" i="33"/>
  <c r="DQ85" i="33"/>
  <c r="DR217" i="33"/>
  <c r="DQ331" i="33"/>
  <c r="M350" i="26"/>
  <c r="DQ522" i="33"/>
  <c r="DQ252" i="33"/>
  <c r="DR176" i="33"/>
  <c r="DQ367" i="33"/>
  <c r="DR435" i="33"/>
  <c r="DR128" i="33"/>
  <c r="DQ274" i="33"/>
  <c r="DR476" i="33"/>
  <c r="DQ129" i="33"/>
  <c r="DR291" i="33"/>
  <c r="DQ204" i="33"/>
  <c r="DQ293" i="33"/>
  <c r="DQ452" i="33"/>
  <c r="DQ358" i="33"/>
  <c r="DQ350" i="33"/>
  <c r="DQ226" i="33"/>
  <c r="DR69" i="33"/>
  <c r="DR312" i="33"/>
  <c r="DR32" i="33"/>
  <c r="DR416" i="33"/>
  <c r="DQ112" i="33"/>
  <c r="DR442" i="33"/>
  <c r="DR337" i="33"/>
  <c r="DQ189" i="33"/>
  <c r="DR311" i="33"/>
  <c r="DR547" i="33"/>
  <c r="DQ86" i="33"/>
  <c r="DR490" i="33"/>
  <c r="DQ121" i="33"/>
  <c r="M498" i="22"/>
  <c r="DQ287" i="33"/>
  <c r="DR83" i="33"/>
  <c r="DQ39" i="33"/>
  <c r="DQ265" i="33"/>
  <c r="DR518" i="33"/>
  <c r="DQ201" i="33"/>
  <c r="DQ116" i="33"/>
  <c r="DR194" i="33"/>
  <c r="DR103" i="33"/>
  <c r="DR261" i="33"/>
  <c r="D214" i="27"/>
  <c r="DQ254" i="33"/>
  <c r="DQ199" i="33"/>
  <c r="DQ47" i="33"/>
  <c r="DR313" i="33"/>
  <c r="DR483" i="33"/>
  <c r="DR205" i="33"/>
  <c r="DR198" i="33"/>
  <c r="DQ493" i="33"/>
  <c r="DQ224" i="33"/>
  <c r="DQ81" i="33"/>
  <c r="DR196" i="33"/>
  <c r="DQ205" i="33"/>
  <c r="DR264" i="33"/>
  <c r="DQ346" i="33"/>
  <c r="DR387" i="33"/>
  <c r="DR395" i="33"/>
  <c r="DR40" i="33"/>
  <c r="DR502" i="33"/>
  <c r="DQ408" i="33"/>
  <c r="DQ479" i="33"/>
  <c r="DQ530" i="33"/>
  <c r="DR39" i="33"/>
  <c r="DR471" i="33"/>
  <c r="DR514" i="33"/>
  <c r="DR202" i="33"/>
  <c r="DQ168" i="33"/>
  <c r="DR244" i="33"/>
  <c r="DQ510" i="33"/>
  <c r="DQ399" i="33"/>
  <c r="DQ441" i="33"/>
  <c r="DQ123" i="33"/>
  <c r="DR517" i="33"/>
  <c r="DQ461" i="33"/>
  <c r="DQ194" i="33"/>
  <c r="DQ427" i="33"/>
  <c r="DR160" i="33"/>
  <c r="DQ523" i="33"/>
  <c r="DR497" i="33"/>
  <c r="DQ62" i="33"/>
  <c r="DQ545" i="33"/>
  <c r="DQ449" i="33"/>
  <c r="DR33" i="33"/>
  <c r="DR477" i="33"/>
  <c r="DR345" i="33"/>
  <c r="DR235" i="33"/>
  <c r="DR289" i="33"/>
  <c r="DR538" i="33"/>
  <c r="DQ84" i="33"/>
  <c r="DQ130" i="33"/>
  <c r="DR506" i="33"/>
  <c r="DQ214" i="33"/>
  <c r="DQ533" i="33"/>
  <c r="DQ306" i="33"/>
  <c r="DQ136" i="33"/>
  <c r="DQ64" i="33"/>
  <c r="DR478" i="33"/>
  <c r="DR499" i="33"/>
  <c r="DR353" i="33"/>
  <c r="DQ270" i="33"/>
  <c r="DR428" i="33"/>
  <c r="DQ288" i="33"/>
  <c r="DQ448" i="33"/>
  <c r="DR320" i="33"/>
  <c r="DQ210" i="33"/>
  <c r="DQ503" i="33"/>
  <c r="DR275" i="33"/>
  <c r="DR221" i="33"/>
  <c r="DR467" i="33"/>
  <c r="DQ184" i="33"/>
  <c r="DR146" i="33"/>
  <c r="DQ348" i="33"/>
  <c r="DQ489" i="33"/>
  <c r="DQ496" i="33"/>
  <c r="DQ195" i="33"/>
  <c r="DQ359" i="33"/>
  <c r="DQ453" i="33"/>
  <c r="DR208" i="33"/>
  <c r="DQ232" i="33"/>
  <c r="DR226" i="33"/>
  <c r="DR336" i="33"/>
  <c r="DQ36" i="33"/>
  <c r="DQ50" i="33"/>
  <c r="DQ223" i="33"/>
  <c r="DR144" i="33"/>
  <c r="DR308" i="33"/>
  <c r="DR203" i="33"/>
  <c r="DR316" i="33"/>
  <c r="DR507" i="33"/>
  <c r="DQ200" i="33"/>
  <c r="DR432" i="33"/>
  <c r="DR488" i="33"/>
  <c r="DR238" i="33"/>
  <c r="DR523" i="33"/>
  <c r="DQ238" i="33"/>
  <c r="DQ231" i="33"/>
  <c r="DQ56" i="33"/>
  <c r="DR446" i="33"/>
  <c r="DQ248" i="33"/>
  <c r="DR84" i="33"/>
  <c r="DQ454" i="33"/>
  <c r="DR99" i="33"/>
  <c r="DQ316" i="33"/>
  <c r="DR508" i="33"/>
  <c r="DR63" i="33"/>
  <c r="DR165" i="33"/>
  <c r="DR292" i="33"/>
  <c r="DR356" i="33"/>
  <c r="DR522" i="33"/>
  <c r="DQ318" i="33"/>
  <c r="DQ216" i="33"/>
  <c r="DR439" i="33"/>
  <c r="DQ134" i="33"/>
  <c r="DQ88" i="33"/>
  <c r="DQ167" i="33"/>
  <c r="DR111" i="33"/>
  <c r="DQ416" i="33"/>
  <c r="DR404" i="33"/>
  <c r="DR415" i="33"/>
  <c r="DR190" i="33"/>
  <c r="DR105" i="33"/>
  <c r="DQ490" i="33"/>
  <c r="DR495" i="33"/>
  <c r="DQ110" i="33"/>
  <c r="DQ421" i="33"/>
  <c r="DQ345" i="33"/>
  <c r="DQ364" i="33"/>
  <c r="DQ344" i="33"/>
  <c r="DQ298" i="33"/>
  <c r="DQ161" i="33"/>
  <c r="DR75" i="33"/>
  <c r="DR354" i="33"/>
  <c r="DQ304" i="33"/>
  <c r="DQ181" i="33"/>
  <c r="DR54" i="33"/>
  <c r="DQ190" i="33"/>
  <c r="DQ395" i="33"/>
  <c r="DR112" i="33"/>
  <c r="DQ432" i="33"/>
  <c r="DR342" i="33"/>
  <c r="DR420" i="33"/>
  <c r="DR491" i="33"/>
  <c r="DR53" i="33"/>
  <c r="DQ239" i="33"/>
  <c r="DQ128" i="33"/>
  <c r="DQ472" i="33"/>
  <c r="DR445" i="33"/>
  <c r="DQ77" i="33"/>
  <c r="DQ365" i="33"/>
  <c r="DQ259" i="33"/>
  <c r="DR114" i="33"/>
  <c r="DR58" i="33"/>
  <c r="DR326" i="33"/>
  <c r="DQ501" i="33"/>
  <c r="DR460" i="33"/>
  <c r="DR197" i="33"/>
  <c r="DR329" i="33"/>
  <c r="DR175" i="33"/>
  <c r="DQ55" i="33"/>
  <c r="DQ286" i="33"/>
  <c r="DR436" i="33"/>
  <c r="DQ262" i="33"/>
  <c r="DQ164" i="33"/>
  <c r="DQ115" i="33"/>
  <c r="DR229" i="33"/>
  <c r="DQ458" i="33"/>
  <c r="DR546" i="33"/>
  <c r="DQ236" i="33"/>
  <c r="DQ497" i="33"/>
  <c r="DQ378" i="33"/>
  <c r="DQ537" i="33"/>
  <c r="DR280" i="33"/>
  <c r="DQ405" i="33"/>
  <c r="DR188" i="33"/>
  <c r="DR278" i="33"/>
  <c r="DR498" i="33"/>
  <c r="DR361" i="33"/>
  <c r="DR72" i="33"/>
  <c r="DR423" i="33"/>
  <c r="DQ202" i="33"/>
  <c r="DQ179" i="33"/>
  <c r="DR46" i="33"/>
  <c r="DQ430" i="33"/>
  <c r="DQ105" i="33"/>
  <c r="DQ80" i="33"/>
  <c r="DR528" i="33"/>
  <c r="DR195" i="33"/>
  <c r="DQ495" i="33"/>
  <c r="DQ418" i="33"/>
  <c r="DQ379" i="33"/>
  <c r="DR142" i="33"/>
  <c r="DR231" i="33"/>
  <c r="DR206" i="33"/>
  <c r="DR324" i="33"/>
  <c r="DR443" i="33"/>
  <c r="DQ402" i="33"/>
  <c r="DR260" i="33"/>
  <c r="DQ535" i="33"/>
  <c r="DR223" i="33"/>
  <c r="DQ95" i="33"/>
  <c r="DQ353" i="33"/>
  <c r="DQ446" i="33"/>
  <c r="DR193" i="33"/>
  <c r="DR285" i="33"/>
  <c r="DR187" i="33"/>
  <c r="DR161" i="33"/>
  <c r="DR390" i="33"/>
  <c r="DR349" i="33"/>
  <c r="DQ153" i="33"/>
  <c r="DR449" i="33"/>
  <c r="DR465" i="33"/>
  <c r="DQ415" i="33"/>
  <c r="DQ91" i="33"/>
  <c r="DQ526" i="33"/>
  <c r="DR430" i="33"/>
  <c r="DQ307" i="33"/>
  <c r="DQ392" i="33"/>
  <c r="DQ241" i="33"/>
  <c r="DR124" i="33"/>
  <c r="DQ444" i="33"/>
  <c r="DQ457" i="33"/>
  <c r="DR407" i="33"/>
  <c r="DQ325" i="33"/>
  <c r="DQ357" i="33"/>
  <c r="DR321" i="33"/>
  <c r="DR305" i="33"/>
  <c r="DR399" i="33"/>
  <c r="DR431" i="33"/>
  <c r="DR317" i="33"/>
  <c r="DR245" i="33"/>
  <c r="DR398" i="33"/>
  <c r="DQ382" i="33"/>
  <c r="DQ162" i="33"/>
  <c r="DR401" i="33"/>
  <c r="DR418" i="33"/>
  <c r="DQ279" i="33"/>
  <c r="DR102" i="33"/>
  <c r="DR355" i="33"/>
  <c r="DR297" i="33"/>
  <c r="DQ332" i="33"/>
  <c r="DR271" i="33"/>
  <c r="DQ145" i="33"/>
  <c r="DR132" i="33"/>
  <c r="DR179" i="33"/>
  <c r="DQ356" i="33"/>
  <c r="DR136" i="33"/>
  <c r="DQ159" i="33"/>
  <c r="DR377" i="33"/>
  <c r="DR270" i="33"/>
  <c r="DR304" i="33"/>
  <c r="DR164" i="33"/>
  <c r="DQ89" i="33"/>
  <c r="DQ206" i="33"/>
  <c r="DQ70" i="33"/>
  <c r="DQ469" i="33"/>
  <c r="DR149" i="33"/>
  <c r="DR242" i="33"/>
  <c r="DR294" i="33"/>
  <c r="DR334" i="33"/>
  <c r="DR89" i="33"/>
  <c r="DR213" i="33"/>
  <c r="DR346" i="33"/>
  <c r="DR281" i="33"/>
  <c r="DQ170" i="33"/>
  <c r="DQ207" i="33"/>
  <c r="DQ429" i="33"/>
  <c r="DQ541" i="33"/>
  <c r="DQ516" i="33"/>
  <c r="DQ109" i="33"/>
  <c r="DR143" i="33"/>
  <c r="DQ439" i="33"/>
  <c r="DQ96" i="33"/>
  <c r="DQ66" i="33"/>
  <c r="DR382" i="33"/>
  <c r="DR252" i="33"/>
  <c r="DQ92" i="33"/>
  <c r="DR532" i="33"/>
  <c r="DR341" i="33"/>
  <c r="DQ481" i="33"/>
  <c r="DQ292" i="33"/>
  <c r="DQ60" i="33"/>
  <c r="DQ414" i="33"/>
  <c r="DR318" i="33"/>
  <c r="DQ508" i="33"/>
  <c r="DR60" i="33"/>
  <c r="DQ93" i="33"/>
  <c r="DR365" i="33"/>
  <c r="DR243" i="33"/>
  <c r="DR452" i="33"/>
  <c r="DQ317" i="33"/>
  <c r="DR357" i="33"/>
  <c r="DQ52" i="33"/>
  <c r="DR108" i="33"/>
  <c r="DQ185" i="33"/>
  <c r="DQ57" i="33"/>
  <c r="DR88" i="33"/>
  <c r="DR371" i="33"/>
  <c r="DQ488" i="33"/>
  <c r="DQ463" i="33"/>
  <c r="DR43" i="33"/>
  <c r="DR340" i="33"/>
  <c r="M544" i="38"/>
  <c r="DQ340" i="33"/>
  <c r="DQ426" i="33"/>
  <c r="J64" i="14"/>
  <c r="K51" i="14"/>
  <c r="K71" i="14"/>
  <c r="J51" i="14"/>
  <c r="J78" i="14"/>
  <c r="K73" i="14"/>
  <c r="C500" i="22"/>
  <c r="J63" i="14"/>
  <c r="D546" i="38"/>
  <c r="DR224" i="33"/>
  <c r="DQ102" i="33"/>
  <c r="DR34" i="33"/>
  <c r="DR429" i="33"/>
  <c r="DQ150" i="33"/>
  <c r="DR56" i="33"/>
  <c r="DQ431" i="33"/>
  <c r="DQ237" i="33"/>
  <c r="DR338" i="33"/>
  <c r="DQ520" i="33"/>
  <c r="DQ363" i="33"/>
  <c r="DR184" i="33"/>
  <c r="DQ260" i="33"/>
  <c r="DQ188" i="33"/>
  <c r="DQ219" i="33"/>
  <c r="DR36" i="33"/>
  <c r="DR51" i="33"/>
  <c r="DQ94" i="33"/>
  <c r="DQ450" i="33"/>
  <c r="DQ313" i="33"/>
  <c r="DQ322" i="33"/>
  <c r="DR216" i="33"/>
  <c r="DR71" i="33"/>
  <c r="DR489" i="33"/>
  <c r="DQ417" i="33"/>
  <c r="DR92" i="33"/>
  <c r="DR421" i="33"/>
  <c r="DQ519" i="33"/>
  <c r="DR227" i="33"/>
  <c r="DR85" i="33"/>
  <c r="J66" i="14"/>
  <c r="J60" i="14"/>
  <c r="J61" i="14"/>
  <c r="J73" i="14"/>
  <c r="C546" i="38"/>
  <c r="J58" i="14"/>
  <c r="DR109" i="33"/>
  <c r="DR219" i="33"/>
  <c r="DR181" i="33"/>
  <c r="DQ132" i="33"/>
  <c r="DQ51" i="33"/>
  <c r="DR79" i="33"/>
  <c r="J48" i="14"/>
  <c r="J81" i="14"/>
  <c r="J84" i="14"/>
  <c r="J71" i="14"/>
  <c r="J80" i="14"/>
  <c r="DR492" i="33"/>
  <c r="DR422" i="33"/>
  <c r="DQ505" i="33"/>
  <c r="DQ285" i="33"/>
  <c r="DR150" i="33"/>
  <c r="DQ100" i="33"/>
  <c r="DQ122" i="33"/>
  <c r="DR461" i="33"/>
  <c r="DR131" i="33"/>
  <c r="DQ435" i="33"/>
  <c r="DQ549" i="33"/>
  <c r="DR456" i="33"/>
  <c r="DQ327" i="33"/>
  <c r="DR543" i="33"/>
  <c r="DQ42" i="33"/>
  <c r="DQ180" i="33"/>
  <c r="DQ65" i="33"/>
  <c r="DQ391" i="33"/>
  <c r="DR126" i="33"/>
  <c r="DR182" i="33"/>
  <c r="DR374" i="33"/>
  <c r="DR67" i="33"/>
  <c r="DQ133" i="33"/>
  <c r="DQ215" i="33"/>
  <c r="DR239" i="33"/>
  <c r="DQ198" i="33"/>
  <c r="DQ393" i="33"/>
  <c r="DR234" i="33"/>
  <c r="DQ76" i="33"/>
  <c r="DR343" i="33"/>
  <c r="DR426" i="33"/>
  <c r="DR299" i="33"/>
  <c r="DQ381" i="33"/>
  <c r="DQ507" i="33"/>
  <c r="DQ175" i="33"/>
  <c r="DQ135" i="33"/>
  <c r="DQ309" i="33"/>
  <c r="DQ360" i="33"/>
  <c r="DR466" i="33"/>
  <c r="DR120" i="33"/>
  <c r="DR348" i="33"/>
  <c r="DQ297" i="33"/>
  <c r="K544" i="38"/>
  <c r="DR199" i="33"/>
  <c r="DR293" i="33"/>
  <c r="DQ30" i="33"/>
  <c r="DR52" i="33"/>
  <c r="DR210" i="33"/>
  <c r="DQ44" i="33"/>
  <c r="DQ460" i="33"/>
  <c r="DQ447" i="33"/>
  <c r="DR154" i="33"/>
  <c r="DQ342" i="33"/>
  <c r="K498" i="22"/>
  <c r="DR191" i="33"/>
  <c r="DQ118" i="33"/>
  <c r="DQ437" i="33"/>
  <c r="DQ419" i="33"/>
  <c r="DQ272" i="33"/>
  <c r="DQ152" i="33"/>
  <c r="DQ551" i="33"/>
  <c r="DQ349" i="33"/>
  <c r="DR473" i="33"/>
  <c r="DR481" i="33"/>
  <c r="DQ140" i="33"/>
  <c r="DQ228" i="33"/>
  <c r="DR267" i="33"/>
  <c r="DR339" i="33"/>
  <c r="DR391" i="33"/>
  <c r="DQ506" i="33"/>
  <c r="DQ312" i="33"/>
  <c r="DR95" i="33"/>
  <c r="DQ456" i="33"/>
  <c r="DR134" i="33"/>
  <c r="DR147" i="33"/>
  <c r="DQ499" i="33"/>
  <c r="DQ280" i="33"/>
  <c r="DR504" i="33"/>
  <c r="DR529" i="33"/>
  <c r="DQ242" i="33"/>
  <c r="DQ455" i="33"/>
  <c r="DQ245" i="33"/>
  <c r="DR158" i="33"/>
  <c r="DQ328" i="33"/>
  <c r="DR550" i="33"/>
  <c r="DR545" i="33"/>
  <c r="DR392" i="33"/>
  <c r="DQ471" i="33"/>
  <c r="DQ314" i="33"/>
  <c r="DR209" i="33"/>
  <c r="DQ263" i="33"/>
  <c r="DR462" i="33"/>
  <c r="DR535" i="33"/>
  <c r="DQ462" i="33"/>
  <c r="DR117" i="33"/>
  <c r="DR295" i="33"/>
  <c r="DR347" i="33"/>
  <c r="DR484" i="33"/>
  <c r="DQ320" i="33"/>
  <c r="J67" i="14"/>
  <c r="J79" i="14"/>
  <c r="J65" i="14"/>
  <c r="DR551" i="33"/>
  <c r="DQ500" i="33"/>
  <c r="DQ433" i="33"/>
  <c r="J82" i="14"/>
  <c r="J85" i="14"/>
  <c r="J62" i="14"/>
  <c r="DQ142" i="33"/>
  <c r="DQ380" i="33"/>
  <c r="DR121" i="33"/>
  <c r="DR414" i="33"/>
  <c r="DR301" i="33"/>
  <c r="DR171" i="33"/>
  <c r="DQ267" i="33"/>
  <c r="DR49" i="33"/>
  <c r="DR276" i="33"/>
  <c r="DQ473" i="33"/>
  <c r="DR360" i="33"/>
  <c r="DR447" i="33"/>
  <c r="DQ302" i="33"/>
  <c r="DQ156" i="33"/>
  <c r="DQ376" i="33"/>
  <c r="DR186" i="33"/>
  <c r="DQ370" i="33"/>
  <c r="DQ369" i="33"/>
  <c r="DR290" i="33"/>
  <c r="DQ465" i="33"/>
  <c r="DR255" i="33"/>
  <c r="DR287" i="33"/>
  <c r="DR44" i="33"/>
  <c r="DQ361" i="33"/>
  <c r="DR62" i="33"/>
  <c r="DQ137" i="33"/>
  <c r="DQ29" i="33"/>
  <c r="DQ409" i="33"/>
  <c r="DQ390" i="33"/>
  <c r="DQ40" i="33"/>
  <c r="DQ372" i="33"/>
  <c r="DR393" i="33"/>
  <c r="DR440" i="33"/>
  <c r="DR437" i="33"/>
  <c r="DQ244" i="33"/>
  <c r="DR362" i="33"/>
  <c r="DR501" i="33"/>
  <c r="DQ183" i="33"/>
  <c r="DR162" i="33"/>
  <c r="DR309" i="33"/>
  <c r="DR192" i="33"/>
  <c r="DR457" i="33"/>
  <c r="DQ371" i="33"/>
  <c r="DR37" i="33"/>
  <c r="DQ540" i="33"/>
  <c r="DR157" i="33"/>
  <c r="DQ191" i="33"/>
  <c r="DQ32" i="33"/>
  <c r="DR544" i="33"/>
  <c r="DR91" i="33"/>
  <c r="DQ141" i="33"/>
  <c r="DR240" i="33"/>
  <c r="DR76" i="33"/>
  <c r="DQ90" i="33"/>
  <c r="DR549" i="33"/>
  <c r="DQ257" i="33"/>
  <c r="DQ282" i="33"/>
  <c r="DQ125" i="33"/>
  <c r="DQ59" i="33"/>
  <c r="DR174" i="33"/>
  <c r="DQ484" i="33"/>
  <c r="DR133" i="33"/>
  <c r="DR450" i="33"/>
  <c r="DQ374" i="33"/>
  <c r="DQ139" i="33"/>
  <c r="DQ498" i="33"/>
  <c r="DR405" i="33"/>
  <c r="DR403" i="33"/>
  <c r="DR74" i="33"/>
  <c r="DQ266" i="33"/>
  <c r="DQ41" i="33"/>
  <c r="DR541" i="33"/>
  <c r="DQ513" i="33"/>
  <c r="DR237" i="33"/>
  <c r="DR145" i="33"/>
  <c r="DR540" i="33"/>
  <c r="DQ103" i="33"/>
  <c r="DQ255" i="33"/>
  <c r="DQ38" i="33"/>
  <c r="DR358" i="33"/>
  <c r="DQ99" i="33"/>
  <c r="DR323" i="33"/>
  <c r="DR539" i="33"/>
  <c r="DQ273" i="33"/>
  <c r="DQ261" i="33"/>
  <c r="DQ428" i="33"/>
  <c r="DR183" i="33"/>
  <c r="DR61" i="33"/>
  <c r="DQ278" i="33"/>
  <c r="DQ410" i="33"/>
  <c r="DQ58" i="33"/>
  <c r="DR534" i="33"/>
  <c r="DQ79" i="33"/>
  <c r="DQ534" i="33"/>
  <c r="DQ354" i="33"/>
  <c r="DQ227" i="33"/>
  <c r="DR173" i="33"/>
  <c r="DQ438" i="33"/>
  <c r="DR381" i="33"/>
  <c r="DQ289" i="33"/>
  <c r="DR259" i="33"/>
  <c r="DR472" i="33"/>
  <c r="DQ187" i="33"/>
  <c r="DR236" i="33"/>
  <c r="DR110" i="33"/>
  <c r="DR530" i="33"/>
  <c r="DQ301" i="33"/>
  <c r="DR417" i="33"/>
  <c r="DR139" i="33"/>
  <c r="DR282" i="33"/>
  <c r="DQ53" i="33"/>
  <c r="DR433" i="33"/>
  <c r="DQ246" i="33"/>
  <c r="DQ221" i="33"/>
  <c r="DQ49" i="33"/>
  <c r="DQ138" i="33"/>
  <c r="DQ420" i="33"/>
  <c r="DR211" i="33"/>
  <c r="DR107" i="33"/>
  <c r="DR335" i="33"/>
  <c r="DQ517" i="33"/>
  <c r="DQ229" i="33"/>
  <c r="DQ397" i="33"/>
  <c r="DQ233" i="33"/>
  <c r="DQ491" i="33"/>
  <c r="DQ532" i="33"/>
  <c r="DR253" i="33"/>
  <c r="J83" i="14"/>
  <c r="J72" i="14"/>
  <c r="DQ61" i="33"/>
  <c r="DR434" i="33"/>
  <c r="DR463" i="33"/>
  <c r="DQ71" i="33"/>
  <c r="DQ251" i="33"/>
  <c r="DR412" i="33"/>
  <c r="DR258" i="33"/>
  <c r="DR45" i="33"/>
  <c r="DR411" i="33"/>
  <c r="DQ355" i="33"/>
  <c r="DQ31" i="33"/>
  <c r="DQ538" i="33"/>
  <c r="DQ111" i="33"/>
  <c r="DQ222" i="33"/>
  <c r="DQ403" i="33"/>
  <c r="DR515" i="33"/>
  <c r="DQ483" i="33"/>
  <c r="DQ258" i="33"/>
  <c r="DR400" i="33"/>
  <c r="DQ209" i="33"/>
  <c r="DR215" i="33"/>
  <c r="DQ543" i="33"/>
  <c r="DQ157" i="33"/>
  <c r="DR228" i="33"/>
  <c r="DQ482" i="33"/>
  <c r="DR536" i="33"/>
  <c r="DQ521" i="33"/>
  <c r="DQ45" i="33"/>
  <c r="DR86" i="33"/>
  <c r="DR279" i="33"/>
  <c r="DR106" i="33"/>
  <c r="DQ166" i="33"/>
  <c r="DQ512" i="33"/>
  <c r="DR325" i="33"/>
  <c r="DR370" i="33"/>
  <c r="J55" i="14"/>
  <c r="J49" i="14"/>
  <c r="DQ172" i="33"/>
  <c r="DQ514" i="33"/>
  <c r="DQ384" i="33"/>
  <c r="DQ104" i="33"/>
  <c r="DR185" i="33"/>
  <c r="DR286" i="33"/>
  <c r="J75" i="14"/>
  <c r="DQ243" i="33"/>
  <c r="DQ335" i="33"/>
  <c r="DQ466" i="33"/>
  <c r="DQ424" i="33"/>
  <c r="DQ547" i="33"/>
  <c r="DQ321" i="33"/>
  <c r="DR458" i="33"/>
  <c r="DQ177" i="33"/>
  <c r="D500" i="22"/>
  <c r="DQ63" i="33"/>
  <c r="DQ333" i="33"/>
  <c r="DR42" i="33"/>
  <c r="DR73" i="33"/>
  <c r="DR247" i="33"/>
  <c r="DQ74" i="33"/>
  <c r="DQ383" i="33"/>
  <c r="DR413" i="33"/>
  <c r="DQ160" i="33"/>
  <c r="DR65" i="33"/>
  <c r="DQ107" i="33"/>
  <c r="DQ529" i="33"/>
  <c r="DQ217" i="33"/>
  <c r="DQ87" i="33"/>
  <c r="DQ269" i="33"/>
  <c r="DQ475" i="33"/>
  <c r="DR537" i="33"/>
  <c r="DQ250" i="33"/>
  <c r="DQ268" i="33"/>
  <c r="DR493" i="33"/>
  <c r="DR389" i="33"/>
  <c r="DR373" i="33"/>
  <c r="DR151" i="33"/>
  <c r="DR511" i="33"/>
  <c r="DQ527" i="33"/>
  <c r="DQ203" i="33"/>
  <c r="J74" i="14"/>
  <c r="DQ542" i="33"/>
  <c r="DR130" i="33"/>
  <c r="DQ154" i="33"/>
  <c r="DQ445" i="33"/>
  <c r="DR448" i="33"/>
  <c r="DR90" i="33"/>
  <c r="DR494" i="33"/>
  <c r="DQ464" i="33"/>
  <c r="DR50" i="33"/>
  <c r="DR70" i="33"/>
  <c r="DR273" i="33"/>
  <c r="DQ148" i="33"/>
  <c r="DR402" i="33"/>
  <c r="DQ173" i="33"/>
  <c r="DQ485" i="33"/>
  <c r="DQ37" i="33"/>
  <c r="DQ386" i="33"/>
  <c r="DQ98" i="33"/>
  <c r="DR77" i="33"/>
  <c r="DQ308" i="33"/>
  <c r="DR383" i="33"/>
  <c r="DR333" i="33"/>
  <c r="DQ163" i="33"/>
  <c r="K74" i="14"/>
  <c r="J59" i="14"/>
  <c r="K72" i="14"/>
  <c r="J76" i="14"/>
  <c r="DQ155" i="33"/>
  <c r="DR520" i="33"/>
  <c r="DR376" i="33"/>
  <c r="DQ528" i="33"/>
  <c r="DR509" i="33"/>
  <c r="DR469" i="33"/>
  <c r="DQ43" i="33"/>
  <c r="J77" i="14"/>
  <c r="I10" i="21" a="1"/>
  <c r="I22" i="21" a="1"/>
  <c r="H30" i="21" a="1"/>
  <c r="H28" i="21" a="1"/>
  <c r="H15" i="21" a="1"/>
  <c r="H13" i="21" a="1"/>
  <c r="I15" i="21" a="1"/>
  <c r="I26" i="21" a="1"/>
  <c r="I13" i="21" a="1"/>
  <c r="H19" i="21" a="1"/>
  <c r="I16" i="21" a="1"/>
  <c r="H31" i="21" a="1"/>
  <c r="I29" i="21" a="1"/>
  <c r="I27" i="21" a="1"/>
  <c r="H32" i="21" a="1"/>
  <c r="H16" i="21" a="1"/>
  <c r="H26" i="21" a="1"/>
  <c r="H12" i="21" a="1"/>
  <c r="I11" i="21" a="1"/>
  <c r="H14" i="21" a="1"/>
  <c r="H11" i="21" a="1"/>
  <c r="H10" i="21" a="1"/>
  <c r="I21" i="21" a="1"/>
  <c r="H17" i="21" a="1"/>
  <c r="I18" i="21" a="1"/>
  <c r="I31" i="21" a="1"/>
  <c r="I28" i="21" a="1"/>
  <c r="H29" i="21" a="1"/>
  <c r="I19" i="21" a="1"/>
  <c r="H27" i="21" a="1"/>
  <c r="I32" i="21" a="1"/>
  <c r="I30" i="21" a="1"/>
  <c r="I12" i="21" a="1"/>
  <c r="I20" i="21" a="1"/>
  <c r="H18" i="21" a="1"/>
  <c r="I17" i="21" a="1"/>
  <c r="I14" i="21" a="1"/>
  <c r="X263" i="22" l="1"/>
  <c r="CG56" i="51"/>
  <c r="W288" i="22"/>
  <c r="X275" i="22"/>
  <c r="Z239" i="22"/>
  <c r="I288" i="22"/>
  <c r="BP56" i="51" s="1"/>
  <c r="I263" i="22"/>
  <c r="BP31" i="51" s="1"/>
  <c r="X288" i="22"/>
  <c r="Z245" i="22"/>
  <c r="Z281" i="22"/>
  <c r="Z268" i="22"/>
  <c r="F544" i="38"/>
  <c r="K158" i="51"/>
  <c r="X261" i="22"/>
  <c r="BO15" i="51"/>
  <c r="CC15" i="51" s="1"/>
  <c r="CD15" i="51" s="1"/>
  <c r="X244" i="38"/>
  <c r="K181" i="38"/>
  <c r="BO13" i="51"/>
  <c r="V266" i="38"/>
  <c r="X269" i="22"/>
  <c r="BO36" i="51"/>
  <c r="CC36" i="51" s="1"/>
  <c r="CD36" i="51" s="1"/>
  <c r="Z277" i="22"/>
  <c r="Z258" i="22"/>
  <c r="X245" i="22"/>
  <c r="I269" i="22"/>
  <c r="BP37" i="51" s="1"/>
  <c r="X270" i="38"/>
  <c r="X256" i="22"/>
  <c r="CG49" i="51"/>
  <c r="CE15" i="51"/>
  <c r="CF15" i="51" s="1"/>
  <c r="W274" i="22"/>
  <c r="I274" i="22"/>
  <c r="BP42" i="51" s="1"/>
  <c r="I249" i="22"/>
  <c r="BP17" i="51" s="1"/>
  <c r="Z248" i="22"/>
  <c r="BO19" i="51"/>
  <c r="BO42" i="51"/>
  <c r="CC42" i="51" s="1"/>
  <c r="CD42" i="51" s="1"/>
  <c r="AA274" i="22"/>
  <c r="W248" i="22"/>
  <c r="Z249" i="22"/>
  <c r="AL274" i="22"/>
  <c r="W244" i="22"/>
  <c r="X282" i="38"/>
  <c r="J195" i="38"/>
  <c r="AL186" i="22"/>
  <c r="AM186" i="22"/>
  <c r="BV282" i="22"/>
  <c r="BW282" i="22" s="1"/>
  <c r="BZ44" i="51"/>
  <c r="CA44" i="51" s="1"/>
  <c r="BX44" i="51"/>
  <c r="BY44" i="51" s="1"/>
  <c r="AQ184" i="22"/>
  <c r="AR184" i="22" s="1"/>
  <c r="BP271" i="22"/>
  <c r="BR271" i="22" s="1"/>
  <c r="BU271" i="22"/>
  <c r="BW271" i="22" s="1"/>
  <c r="Y271" i="22"/>
  <c r="BP243" i="22"/>
  <c r="BR243" i="22" s="1"/>
  <c r="BU243" i="22"/>
  <c r="BW243" i="22" s="1"/>
  <c r="BN11" i="51"/>
  <c r="BX11" i="51" s="1"/>
  <c r="BY11" i="51" s="1"/>
  <c r="CE243" i="22"/>
  <c r="CG243" i="22" s="1"/>
  <c r="C496" i="22"/>
  <c r="AP154" i="22"/>
  <c r="AR154" i="22" s="1"/>
  <c r="AU154" i="22"/>
  <c r="AW154" i="22" s="1"/>
  <c r="G246" i="22"/>
  <c r="G283" i="22"/>
  <c r="BP283" i="22" s="1"/>
  <c r="BR283" i="22" s="1"/>
  <c r="AU191" i="22"/>
  <c r="AW191" i="22" s="1"/>
  <c r="AF191" i="22"/>
  <c r="AH191" i="22" s="1"/>
  <c r="BP239" i="22"/>
  <c r="BR239" i="22" s="1"/>
  <c r="CE239" i="22"/>
  <c r="CG239" i="22" s="1"/>
  <c r="Y239" i="22"/>
  <c r="O323" i="22"/>
  <c r="O326" i="22"/>
  <c r="Y259" i="22"/>
  <c r="BZ259" i="22"/>
  <c r="CB259" i="22" s="1"/>
  <c r="I157" i="51"/>
  <c r="BZ245" i="22"/>
  <c r="CB245" i="22" s="1"/>
  <c r="BN13" i="51"/>
  <c r="BP245" i="22"/>
  <c r="BR245" i="22" s="1"/>
  <c r="BU245" i="22"/>
  <c r="BW245" i="22" s="1"/>
  <c r="I245" i="22"/>
  <c r="BP13" i="51" s="1"/>
  <c r="E99" i="51"/>
  <c r="BN59" i="51"/>
  <c r="CE291" i="22"/>
  <c r="CG291" i="22" s="1"/>
  <c r="BZ291" i="22"/>
  <c r="CB291" i="22" s="1"/>
  <c r="BU291" i="22"/>
  <c r="BW291" i="22" s="1"/>
  <c r="BP291" i="22"/>
  <c r="BR291" i="22" s="1"/>
  <c r="BN16" i="51"/>
  <c r="BZ248" i="22"/>
  <c r="CB248" i="22" s="1"/>
  <c r="V248" i="22"/>
  <c r="BP248" i="22"/>
  <c r="BR248" i="22" s="1"/>
  <c r="Y248" i="22"/>
  <c r="I248" i="22"/>
  <c r="BP16" i="51" s="1"/>
  <c r="BZ251" i="22"/>
  <c r="CB251" i="22" s="1"/>
  <c r="BP251" i="22"/>
  <c r="BR251" i="22" s="1"/>
  <c r="BU251" i="22"/>
  <c r="BW251" i="22" s="1"/>
  <c r="Y251" i="22"/>
  <c r="BN19" i="51"/>
  <c r="BZ262" i="22"/>
  <c r="CB262" i="22" s="1"/>
  <c r="BN30" i="51"/>
  <c r="BP262" i="22"/>
  <c r="BR262" i="22" s="1"/>
  <c r="CE262" i="22"/>
  <c r="AF203" i="22"/>
  <c r="AH203" i="22" s="1"/>
  <c r="AP203" i="22"/>
  <c r="AR203" i="22" s="1"/>
  <c r="AU203" i="22"/>
  <c r="AW203" i="22" s="1"/>
  <c r="AK203" i="22"/>
  <c r="AM203" i="22" s="1"/>
  <c r="G290" i="22"/>
  <c r="AU198" i="22"/>
  <c r="AW198" i="22" s="1"/>
  <c r="AF198" i="22"/>
  <c r="AH198" i="22" s="1"/>
  <c r="F303" i="26"/>
  <c r="S303" i="26"/>
  <c r="G242" i="26"/>
  <c r="O324" i="22"/>
  <c r="G413" i="22"/>
  <c r="N463" i="22" s="1"/>
  <c r="CB44" i="51"/>
  <c r="CB30" i="51"/>
  <c r="BX31" i="51"/>
  <c r="BY31" i="51" s="1"/>
  <c r="I47" i="15"/>
  <c r="J47" i="15" s="1"/>
  <c r="I55" i="15"/>
  <c r="J55" i="15" s="1"/>
  <c r="AF185" i="22"/>
  <c r="AH185" i="22" s="1"/>
  <c r="AK185" i="22"/>
  <c r="AM185" i="22" s="1"/>
  <c r="G277" i="22"/>
  <c r="AP175" i="22"/>
  <c r="AR175" i="22" s="1"/>
  <c r="AK175" i="22"/>
  <c r="AM175" i="22" s="1"/>
  <c r="G267" i="22"/>
  <c r="AF175" i="22"/>
  <c r="AH175" i="22" s="1"/>
  <c r="AU175" i="22"/>
  <c r="AW175" i="22" s="1"/>
  <c r="BN15" i="51"/>
  <c r="CB15" i="51" s="1"/>
  <c r="BZ247" i="22"/>
  <c r="CB247" i="22" s="1"/>
  <c r="Y247" i="22"/>
  <c r="CE247" i="22"/>
  <c r="CG247" i="22" s="1"/>
  <c r="S304" i="26"/>
  <c r="M120" i="22"/>
  <c r="BU246" i="22"/>
  <c r="BW246" i="22" s="1"/>
  <c r="BP276" i="22"/>
  <c r="CE276" i="22"/>
  <c r="BZ276" i="22"/>
  <c r="CA276" i="22" s="1"/>
  <c r="V276" i="22"/>
  <c r="G261" i="22"/>
  <c r="AU169" i="22"/>
  <c r="AW169" i="22" s="1"/>
  <c r="AK169" i="22"/>
  <c r="AM169" i="22" s="1"/>
  <c r="G252" i="22"/>
  <c r="AF160" i="22"/>
  <c r="AH160" i="22" s="1"/>
  <c r="AU160" i="22"/>
  <c r="AW160" i="22" s="1"/>
  <c r="V274" i="38"/>
  <c r="X274" i="38"/>
  <c r="T277" i="38"/>
  <c r="X277" i="38"/>
  <c r="T283" i="38"/>
  <c r="V283" i="38"/>
  <c r="K173" i="38"/>
  <c r="G271" i="38" s="1"/>
  <c r="X288" i="38"/>
  <c r="V288" i="38"/>
  <c r="X284" i="38"/>
  <c r="V284" i="38"/>
  <c r="X279" i="38"/>
  <c r="V279" i="38"/>
  <c r="V278" i="38"/>
  <c r="X278" i="38"/>
  <c r="V259" i="38"/>
  <c r="X259" i="38"/>
  <c r="J42" i="26"/>
  <c r="U34" i="26"/>
  <c r="R382" i="26" s="1"/>
  <c r="CB288" i="22"/>
  <c r="AW186" i="22"/>
  <c r="AH196" i="22"/>
  <c r="AK178" i="22"/>
  <c r="B125" i="51"/>
  <c r="BX49" i="51"/>
  <c r="BY49" i="51" s="1"/>
  <c r="D126" i="51"/>
  <c r="G512" i="38"/>
  <c r="G514" i="38"/>
  <c r="G510" i="38"/>
  <c r="J416" i="38"/>
  <c r="J437" i="38" s="1"/>
  <c r="M437" i="38" s="1"/>
  <c r="Q205" i="27"/>
  <c r="Q87" i="27"/>
  <c r="R147" i="27"/>
  <c r="R109" i="27"/>
  <c r="R158" i="27"/>
  <c r="R86" i="27"/>
  <c r="R107" i="27"/>
  <c r="R119" i="27"/>
  <c r="R196" i="27"/>
  <c r="R93" i="27"/>
  <c r="R201" i="27"/>
  <c r="R87" i="27"/>
  <c r="R149" i="27"/>
  <c r="C123" i="23"/>
  <c r="J361" i="22"/>
  <c r="N361" i="22" s="1"/>
  <c r="E367" i="22"/>
  <c r="AA57" i="13"/>
  <c r="E162" i="58" s="1"/>
  <c r="E106" i="27"/>
  <c r="K106" i="27" s="1"/>
  <c r="B336" i="22"/>
  <c r="I360" i="38"/>
  <c r="J360" i="38" s="1"/>
  <c r="I252" i="26"/>
  <c r="I365" i="38"/>
  <c r="J365" i="38" s="1"/>
  <c r="AM365" i="38" s="1"/>
  <c r="B389" i="38"/>
  <c r="B356" i="22"/>
  <c r="B252" i="26"/>
  <c r="E108" i="27"/>
  <c r="K108" i="27" s="1"/>
  <c r="H107" i="27"/>
  <c r="K107" i="27" s="1"/>
  <c r="E107" i="27"/>
  <c r="I340" i="22"/>
  <c r="H118" i="27"/>
  <c r="K118" i="27" s="1"/>
  <c r="B253" i="26"/>
  <c r="I341" i="22"/>
  <c r="I361" i="38"/>
  <c r="J361" i="38" s="1"/>
  <c r="F252" i="26"/>
  <c r="I364" i="38"/>
  <c r="B269" i="26"/>
  <c r="E119" i="27"/>
  <c r="K119" i="27" s="1"/>
  <c r="S286" i="38"/>
  <c r="T286" i="38"/>
  <c r="CB19" i="51"/>
  <c r="F52" i="7"/>
  <c r="D19" i="58" s="1"/>
  <c r="W52" i="7"/>
  <c r="CH9" i="19"/>
  <c r="CH10" i="19" s="1"/>
  <c r="W69" i="8"/>
  <c r="H69" i="8"/>
  <c r="D15" i="58" s="1"/>
  <c r="U273" i="22"/>
  <c r="BM41" i="51"/>
  <c r="S192" i="26"/>
  <c r="T192" i="26"/>
  <c r="G63" i="26"/>
  <c r="L63" i="26"/>
  <c r="H63" i="26"/>
  <c r="R316" i="26"/>
  <c r="C316" i="26"/>
  <c r="D316" i="26" s="1"/>
  <c r="U22" i="2"/>
  <c r="V22" i="2"/>
  <c r="T22" i="2"/>
  <c r="K159" i="51"/>
  <c r="BR288" i="22"/>
  <c r="T253" i="38"/>
  <c r="K183" i="38"/>
  <c r="G281" i="38" s="1"/>
  <c r="K177" i="38"/>
  <c r="G275" i="38" s="1"/>
  <c r="T263" i="38"/>
  <c r="K155" i="38"/>
  <c r="G253" i="38" s="1"/>
  <c r="I253" i="38" s="1"/>
  <c r="G195" i="38"/>
  <c r="K150" i="38"/>
  <c r="G248" i="38" s="1"/>
  <c r="CB49" i="51"/>
  <c r="G305" i="26"/>
  <c r="S305" i="26" s="1"/>
  <c r="G519" i="38"/>
  <c r="G507" i="38"/>
  <c r="G509" i="38"/>
  <c r="Q152" i="27"/>
  <c r="Q90" i="27"/>
  <c r="Q204" i="27"/>
  <c r="Q127" i="27"/>
  <c r="Q106" i="27"/>
  <c r="Q128" i="27"/>
  <c r="R170" i="27"/>
  <c r="R150" i="27"/>
  <c r="R194" i="27"/>
  <c r="R148" i="27"/>
  <c r="R127" i="27"/>
  <c r="M375" i="38"/>
  <c r="M378" i="38"/>
  <c r="R111" i="27"/>
  <c r="R197" i="27"/>
  <c r="R131" i="27"/>
  <c r="R193" i="27"/>
  <c r="I64" i="26"/>
  <c r="K64" i="26"/>
  <c r="T273" i="22"/>
  <c r="M63" i="26"/>
  <c r="H78" i="8"/>
  <c r="T160" i="10"/>
  <c r="Z160" i="10"/>
  <c r="L68" i="26"/>
  <c r="G68" i="26"/>
  <c r="H68" i="26"/>
  <c r="G64" i="7"/>
  <c r="X64" i="7"/>
  <c r="C8" i="43"/>
  <c r="D8" i="43"/>
  <c r="E8" i="43"/>
  <c r="R284" i="26"/>
  <c r="C284" i="26"/>
  <c r="D284" i="26" s="1"/>
  <c r="Q131" i="27"/>
  <c r="Q134" i="27"/>
  <c r="Q192" i="27"/>
  <c r="R85" i="27"/>
  <c r="R106" i="27"/>
  <c r="R171" i="27"/>
  <c r="R98" i="27"/>
  <c r="R134" i="27"/>
  <c r="R90" i="27"/>
  <c r="R204" i="27"/>
  <c r="C70" i="23"/>
  <c r="H50" i="22"/>
  <c r="R63" i="26"/>
  <c r="V78" i="8"/>
  <c r="J65" i="26"/>
  <c r="T244" i="38"/>
  <c r="E301" i="38"/>
  <c r="S244" i="38"/>
  <c r="O31" i="14" a="1"/>
  <c r="O31" i="14" s="1"/>
  <c r="A165" i="51" s="1"/>
  <c r="W198" i="26"/>
  <c r="L59" i="26"/>
  <c r="X211" i="26"/>
  <c r="W178" i="26"/>
  <c r="X201" i="26"/>
  <c r="X191" i="26"/>
  <c r="W205" i="26"/>
  <c r="W196" i="26"/>
  <c r="L57" i="26"/>
  <c r="X188" i="26"/>
  <c r="T57" i="26"/>
  <c r="U57" i="26" s="1"/>
  <c r="T58" i="26"/>
  <c r="U58" i="26" s="1"/>
  <c r="W216" i="26"/>
  <c r="W186" i="26"/>
  <c r="H363" i="22"/>
  <c r="L363" i="22"/>
  <c r="P363" i="22" s="1"/>
  <c r="Q78" i="8"/>
  <c r="M351" i="38"/>
  <c r="I65" i="23"/>
  <c r="J65" i="23"/>
  <c r="I70" i="26"/>
  <c r="H41" i="26"/>
  <c r="D18" i="70"/>
  <c r="R378" i="26"/>
  <c r="CB59" i="51"/>
  <c r="CE272" i="22"/>
  <c r="CF272" i="22" s="1"/>
  <c r="V272" i="22"/>
  <c r="BP272" i="22"/>
  <c r="BQ272" i="22" s="1"/>
  <c r="D14" i="70"/>
  <c r="R572" i="38"/>
  <c r="F316" i="26"/>
  <c r="F318" i="26" s="1"/>
  <c r="G318" i="26" s="1"/>
  <c r="M338" i="38"/>
  <c r="S278" i="38"/>
  <c r="L147" i="26"/>
  <c r="L150" i="26" s="1"/>
  <c r="CB13" i="51"/>
  <c r="U79" i="8"/>
  <c r="S25" i="59"/>
  <c r="J42" i="59"/>
  <c r="S13" i="59"/>
  <c r="Z253" i="22"/>
  <c r="CE51" i="51"/>
  <c r="CF51" i="51" s="1"/>
  <c r="Z262" i="22"/>
  <c r="CC27" i="51"/>
  <c r="CD27" i="51" s="1"/>
  <c r="Z282" i="22"/>
  <c r="Z271" i="22"/>
  <c r="I292" i="22"/>
  <c r="BP60" i="51" s="1"/>
  <c r="Z241" i="22"/>
  <c r="DB140" i="33"/>
  <c r="DB350" i="33"/>
  <c r="DB521" i="33"/>
  <c r="DB198" i="33"/>
  <c r="DB459" i="33"/>
  <c r="DB175" i="33"/>
  <c r="DB392" i="33"/>
  <c r="DB506" i="33"/>
  <c r="DB39" i="33"/>
  <c r="DB125" i="33"/>
  <c r="DB165" i="33"/>
  <c r="DB226" i="33"/>
  <c r="DB283" i="33"/>
  <c r="DB325" i="33"/>
  <c r="DB375" i="33"/>
  <c r="DB430" i="33"/>
  <c r="DB486" i="33"/>
  <c r="DB470" i="33"/>
  <c r="DB304" i="33"/>
  <c r="DB74" i="33"/>
  <c r="DB136" i="33"/>
  <c r="DB199" i="33"/>
  <c r="DB312" i="33"/>
  <c r="DB378" i="33"/>
  <c r="DB451" i="33"/>
  <c r="DB519" i="33"/>
  <c r="DB399" i="33"/>
  <c r="DB121" i="33"/>
  <c r="DB37" i="33"/>
  <c r="DB112" i="33"/>
  <c r="DB189" i="33"/>
  <c r="DB244" i="33"/>
  <c r="DB264" i="33"/>
  <c r="DB281" i="33"/>
  <c r="DB334" i="33"/>
  <c r="DB352" i="33"/>
  <c r="DB393" i="33"/>
  <c r="DB428" i="33"/>
  <c r="DB478" i="33"/>
  <c r="DB504" i="33"/>
  <c r="DB346" i="33"/>
  <c r="DB449" i="33"/>
  <c r="DB83" i="33"/>
  <c r="DB279" i="33"/>
  <c r="DB31" i="33"/>
  <c r="DB58" i="33"/>
  <c r="DB107" i="33"/>
  <c r="DB131" i="33"/>
  <c r="DB155" i="33"/>
  <c r="DB202" i="33"/>
  <c r="DB216" i="33"/>
  <c r="DB239" i="33"/>
  <c r="DB298" i="33"/>
  <c r="DB323" i="33"/>
  <c r="DB373" i="33"/>
  <c r="DB458" i="33"/>
  <c r="DB86" i="33"/>
  <c r="DB256" i="33"/>
  <c r="DB476" i="33"/>
  <c r="DB517" i="33"/>
  <c r="DB164" i="33"/>
  <c r="DB394" i="33"/>
  <c r="DB75" i="33"/>
  <c r="DB217" i="33"/>
  <c r="DB494" i="33"/>
  <c r="DB220" i="33"/>
  <c r="DB436" i="33"/>
  <c r="DB419" i="33"/>
  <c r="DB52" i="33"/>
  <c r="DB130" i="33"/>
  <c r="DB191" i="33"/>
  <c r="DB229" i="33"/>
  <c r="DB288" i="33"/>
  <c r="DB336" i="33"/>
  <c r="DB395" i="33"/>
  <c r="DB433" i="33"/>
  <c r="DB492" i="33"/>
  <c r="DB523" i="33"/>
  <c r="DB335" i="33"/>
  <c r="DB79" i="33"/>
  <c r="DB144" i="33"/>
  <c r="DB207" i="33"/>
  <c r="DB317" i="33"/>
  <c r="DB384" i="33"/>
  <c r="DB454" i="33"/>
  <c r="DB522" i="33"/>
  <c r="DB416" i="33"/>
  <c r="DB171" i="33"/>
  <c r="DB50" i="33"/>
  <c r="DB123" i="33"/>
  <c r="DB194" i="33"/>
  <c r="DB247" i="33"/>
  <c r="DB272" i="33"/>
  <c r="DB292" i="33"/>
  <c r="DB340" i="33"/>
  <c r="DB355" i="33"/>
  <c r="DB407" i="33"/>
  <c r="DB434" i="33"/>
  <c r="DB481" i="33"/>
  <c r="DB510" i="33"/>
  <c r="DB388" i="33"/>
  <c r="DB467" i="33"/>
  <c r="DB105" i="33"/>
  <c r="DB310" i="33"/>
  <c r="DB40" i="33"/>
  <c r="DB61" i="33"/>
  <c r="DB115" i="33"/>
  <c r="DB134" i="33"/>
  <c r="DB163" i="33"/>
  <c r="DB205" i="33"/>
  <c r="DB230" i="33"/>
  <c r="DB267" i="33"/>
  <c r="DB301" i="33"/>
  <c r="DB326" i="33"/>
  <c r="DB391" i="33"/>
  <c r="DB507" i="33"/>
  <c r="DB110" i="33"/>
  <c r="DB313" i="33"/>
  <c r="DB520" i="33"/>
  <c r="DB526" i="33"/>
  <c r="DB231" i="33"/>
  <c r="DB468" i="33"/>
  <c r="DB62" i="33"/>
  <c r="DB338" i="33"/>
  <c r="DB33" i="33"/>
  <c r="DB319" i="33"/>
  <c r="DB509" i="33"/>
  <c r="DB540" i="33"/>
  <c r="DB98" i="33"/>
  <c r="DB141" i="33"/>
  <c r="DB204" i="33"/>
  <c r="DB243" i="33"/>
  <c r="DB297" i="33"/>
  <c r="DB345" i="33"/>
  <c r="DB415" i="33"/>
  <c r="DB457" i="33"/>
  <c r="DB539" i="33"/>
  <c r="DB94" i="33"/>
  <c r="DB45" i="33"/>
  <c r="DB93" i="33"/>
  <c r="DB173" i="33"/>
  <c r="DB255" i="33"/>
  <c r="DB331" i="33"/>
  <c r="DB398" i="33"/>
  <c r="DB495" i="33"/>
  <c r="DB513" i="33"/>
  <c r="DB493" i="33"/>
  <c r="DB364" i="33"/>
  <c r="DB82" i="33"/>
  <c r="DB152" i="33"/>
  <c r="DB224" i="33"/>
  <c r="DB258" i="33"/>
  <c r="DB275" i="33"/>
  <c r="DB295" i="33"/>
  <c r="DB343" i="33"/>
  <c r="DB366" i="33"/>
  <c r="DB410" i="33"/>
  <c r="DB437" i="33"/>
  <c r="DB484" i="33"/>
  <c r="DB528" i="33"/>
  <c r="DB402" i="33"/>
  <c r="DB496" i="33"/>
  <c r="DB150" i="33"/>
  <c r="DB370" i="33"/>
  <c r="DB48" i="33"/>
  <c r="DB72" i="33"/>
  <c r="DB118" i="33"/>
  <c r="DB139" i="33"/>
  <c r="DB176" i="33"/>
  <c r="DB210" i="33"/>
  <c r="DB233" i="33"/>
  <c r="DB284" i="33"/>
  <c r="DB315" i="33"/>
  <c r="DB337" i="33"/>
  <c r="DB413" i="33"/>
  <c r="DB534" i="33"/>
  <c r="DB158" i="33"/>
  <c r="DB367" i="33"/>
  <c r="DB499" i="33"/>
  <c r="F33" i="70"/>
  <c r="AS30" i="70"/>
  <c r="DD148" i="33"/>
  <c r="DA148" i="33" s="1"/>
  <c r="DT148" i="33"/>
  <c r="DT392" i="33"/>
  <c r="DD392" i="33"/>
  <c r="DA392" i="33" s="1"/>
  <c r="DD91" i="33"/>
  <c r="DA91" i="33" s="1"/>
  <c r="DT91" i="33"/>
  <c r="DD211" i="33"/>
  <c r="DA211" i="33" s="1"/>
  <c r="DT211" i="33"/>
  <c r="DT477" i="33"/>
  <c r="DD477" i="33"/>
  <c r="DA477" i="33" s="1"/>
  <c r="DT89" i="33"/>
  <c r="DD89" i="33"/>
  <c r="DA89" i="33" s="1"/>
  <c r="DT413" i="33"/>
  <c r="DD413" i="33"/>
  <c r="DA413" i="33" s="1"/>
  <c r="DT409" i="33"/>
  <c r="DD409" i="33"/>
  <c r="DA409" i="33" s="1"/>
  <c r="DT405" i="33"/>
  <c r="DD405" i="33"/>
  <c r="DA405" i="33" s="1"/>
  <c r="AB27" i="29"/>
  <c r="AB138" i="29"/>
  <c r="AB146" i="29"/>
  <c r="AB178" i="29"/>
  <c r="AB187" i="29"/>
  <c r="AB196" i="29"/>
  <c r="AB205" i="29"/>
  <c r="AB214" i="29"/>
  <c r="AB225" i="29"/>
  <c r="AB234" i="29"/>
  <c r="AB243" i="29"/>
  <c r="AB252" i="29"/>
  <c r="AB270" i="29"/>
  <c r="AB281" i="29"/>
  <c r="AB290" i="29"/>
  <c r="AB317" i="29"/>
  <c r="AB326" i="29"/>
  <c r="AB337" i="29"/>
  <c r="AB346" i="29"/>
  <c r="AB355" i="29"/>
  <c r="AB364" i="29"/>
  <c r="AB373" i="29"/>
  <c r="AB393" i="29"/>
  <c r="AB411" i="29"/>
  <c r="AB440" i="29"/>
  <c r="AB449" i="29"/>
  <c r="AB458" i="29"/>
  <c r="AB467" i="29"/>
  <c r="AB476" i="29"/>
  <c r="AB485" i="29"/>
  <c r="G107" i="38"/>
  <c r="J199" i="38"/>
  <c r="I199" i="38"/>
  <c r="F58" i="38"/>
  <c r="M111" i="38"/>
  <c r="H111" i="38"/>
  <c r="K202" i="38"/>
  <c r="M202" i="38"/>
  <c r="B135" i="27"/>
  <c r="G113" i="38"/>
  <c r="B180" i="27"/>
  <c r="L97" i="38"/>
  <c r="R110" i="22"/>
  <c r="M209" i="22"/>
  <c r="E65" i="38"/>
  <c r="L207" i="38"/>
  <c r="S75" i="22"/>
  <c r="G75" i="22" s="1"/>
  <c r="H102" i="22"/>
  <c r="W54" i="7"/>
  <c r="F131" i="4"/>
  <c r="F128" i="4" s="1"/>
  <c r="N125" i="4"/>
  <c r="T127" i="4"/>
  <c r="I117" i="22"/>
  <c r="I17" i="67"/>
  <c r="I10" i="67"/>
  <c r="I43" i="67"/>
  <c r="I69" i="67"/>
  <c r="I62" i="67"/>
  <c r="N26" i="67"/>
  <c r="N33" i="67"/>
  <c r="N39" i="67"/>
  <c r="N65" i="67"/>
  <c r="AU188" i="22"/>
  <c r="AW188" i="22" s="1"/>
  <c r="V180" i="22"/>
  <c r="T398" i="22" s="1"/>
  <c r="Y398" i="22" s="1"/>
  <c r="T292" i="22"/>
  <c r="AF194" i="22"/>
  <c r="AH194" i="22" s="1"/>
  <c r="AF180" i="22"/>
  <c r="U291" i="22"/>
  <c r="BM59" i="51"/>
  <c r="T291" i="22"/>
  <c r="Z285" i="22"/>
  <c r="Z251" i="22"/>
  <c r="CC17" i="51"/>
  <c r="CD17" i="51" s="1"/>
  <c r="Z267" i="22"/>
  <c r="Z273" i="22"/>
  <c r="Z264" i="22"/>
  <c r="CE286" i="22"/>
  <c r="DB473" i="33"/>
  <c r="DB446" i="33"/>
  <c r="DB236" i="33"/>
  <c r="DB126" i="33"/>
  <c r="DB187" i="33"/>
  <c r="DB487" i="33"/>
  <c r="DB349" i="33"/>
  <c r="DB227" i="33"/>
  <c r="DB537" i="33"/>
  <c r="DB363" i="33"/>
  <c r="DB55" i="33"/>
  <c r="DB418" i="33"/>
  <c r="DB209" i="33"/>
  <c r="DB551" i="33"/>
  <c r="DB84" i="33"/>
  <c r="I119" i="22"/>
  <c r="K119" i="22"/>
  <c r="G22" i="13"/>
  <c r="I22" i="13"/>
  <c r="CA238" i="22"/>
  <c r="BV238" i="22"/>
  <c r="AG238" i="22"/>
  <c r="BQ246" i="22"/>
  <c r="AL246" i="22"/>
  <c r="CA246" i="22"/>
  <c r="BQ254" i="22"/>
  <c r="AG254" i="22"/>
  <c r="AJ254" i="22" s="1"/>
  <c r="CF254" i="22"/>
  <c r="CG254" i="22" s="1"/>
  <c r="BV262" i="22"/>
  <c r="BW262" i="22" s="1"/>
  <c r="CF262" i="22"/>
  <c r="AL262" i="22"/>
  <c r="BQ286" i="22"/>
  <c r="BR286" i="22" s="1"/>
  <c r="AL286" i="22"/>
  <c r="BK54" i="51"/>
  <c r="BG54" i="51" s="1"/>
  <c r="AN13" i="51" s="1"/>
  <c r="AA286" i="22"/>
  <c r="CF286" i="22"/>
  <c r="F238" i="22"/>
  <c r="CD238" i="22"/>
  <c r="DT444" i="33"/>
  <c r="DD444" i="33"/>
  <c r="DA444" i="33" s="1"/>
  <c r="AB94" i="29"/>
  <c r="AB85" i="29"/>
  <c r="F54" i="38"/>
  <c r="J197" i="38"/>
  <c r="L197" i="38"/>
  <c r="F198" i="38"/>
  <c r="B151" i="27"/>
  <c r="L107" i="38"/>
  <c r="K199" i="38"/>
  <c r="F199" i="38"/>
  <c r="L94" i="38"/>
  <c r="C132" i="27"/>
  <c r="D132" i="27" s="1"/>
  <c r="G202" i="38"/>
  <c r="I202" i="38"/>
  <c r="K203" i="38"/>
  <c r="M203" i="38"/>
  <c r="B179" i="27"/>
  <c r="F62" i="38"/>
  <c r="J205" i="38"/>
  <c r="G97" i="38"/>
  <c r="J365" i="22"/>
  <c r="N365" i="22" s="1"/>
  <c r="R102" i="22"/>
  <c r="C314" i="22"/>
  <c r="D314" i="22" s="1"/>
  <c r="F65" i="38"/>
  <c r="G208" i="38"/>
  <c r="J208" i="38"/>
  <c r="H208" i="38"/>
  <c r="B183" i="27"/>
  <c r="C304" i="22"/>
  <c r="D304" i="22" s="1"/>
  <c r="K110" i="22"/>
  <c r="X378" i="22"/>
  <c r="X365" i="22"/>
  <c r="Q12" i="59"/>
  <c r="E12" i="59" s="1"/>
  <c r="Q24" i="59"/>
  <c r="E24" i="59" s="1"/>
  <c r="S12" i="59"/>
  <c r="M21" i="59"/>
  <c r="M20" i="59"/>
  <c r="N126" i="4"/>
  <c r="N127" i="4" s="1"/>
  <c r="N128" i="4"/>
  <c r="H119" i="4"/>
  <c r="K115" i="22"/>
  <c r="I23" i="69"/>
  <c r="I49" i="69"/>
  <c r="I75" i="69"/>
  <c r="N23" i="69"/>
  <c r="N75" i="69"/>
  <c r="BP280" i="22"/>
  <c r="BR280" i="22" s="1"/>
  <c r="U286" i="22"/>
  <c r="AU194" i="22"/>
  <c r="AW194" i="22" s="1"/>
  <c r="BM58" i="51"/>
  <c r="CW36" i="51"/>
  <c r="CX36" i="51" s="1"/>
  <c r="CW46" i="51"/>
  <c r="CW42" i="51"/>
  <c r="CW20" i="51"/>
  <c r="CN6" i="51"/>
  <c r="CW12" i="51"/>
  <c r="CT28" i="51"/>
  <c r="CX28" i="51" s="1"/>
  <c r="CS14" i="51"/>
  <c r="CS12" i="51"/>
  <c r="CX12" i="51" s="1"/>
  <c r="CR40" i="51"/>
  <c r="CR52" i="51"/>
  <c r="CR46" i="51"/>
  <c r="CR20" i="51"/>
  <c r="CX20" i="51" s="1"/>
  <c r="CU34" i="51"/>
  <c r="CU6" i="51"/>
  <c r="CX6" i="51" s="1"/>
  <c r="CQ36" i="51"/>
  <c r="CQ42" i="51"/>
  <c r="CX42" i="51" s="1"/>
  <c r="CQ50" i="51"/>
  <c r="CQ24" i="51"/>
  <c r="CX24" i="51" s="1"/>
  <c r="CQ26" i="51"/>
  <c r="CV14" i="51"/>
  <c r="CV12" i="51"/>
  <c r="CT40" i="51"/>
  <c r="CT52" i="51"/>
  <c r="CT46" i="51"/>
  <c r="CT20" i="51"/>
  <c r="CY34" i="51"/>
  <c r="CX34" i="51" s="1"/>
  <c r="CY6" i="51"/>
  <c r="CH34" i="51"/>
  <c r="CM14" i="51"/>
  <c r="CO14" i="51" s="1"/>
  <c r="CM12" i="51"/>
  <c r="CJ40" i="51"/>
  <c r="CJ52" i="51"/>
  <c r="CO52" i="51" s="1"/>
  <c r="CJ46" i="51"/>
  <c r="CJ20" i="51"/>
  <c r="CI34" i="51"/>
  <c r="CI6" i="51"/>
  <c r="CO6" i="51" s="1"/>
  <c r="CL36" i="51"/>
  <c r="CO36" i="51" s="1"/>
  <c r="CL42" i="51"/>
  <c r="CO42" i="51" s="1"/>
  <c r="CL50" i="51"/>
  <c r="CO50" i="51" s="1"/>
  <c r="CL24" i="51"/>
  <c r="CO24" i="51" s="1"/>
  <c r="CL26" i="51"/>
  <c r="CW50" i="51"/>
  <c r="CN52" i="51"/>
  <c r="CN40" i="51"/>
  <c r="CW24" i="51"/>
  <c r="CN20" i="51"/>
  <c r="CW14" i="51"/>
  <c r="DB502" i="33"/>
  <c r="DB361" i="33"/>
  <c r="DB213" i="33"/>
  <c r="DB102" i="33"/>
  <c r="DB543" i="33"/>
  <c r="DB475" i="33"/>
  <c r="DB306" i="33"/>
  <c r="DB160" i="33"/>
  <c r="DB531" i="33"/>
  <c r="DB269" i="33"/>
  <c r="DB145" i="33"/>
  <c r="DB354" i="33"/>
  <c r="DB149" i="33"/>
  <c r="DB351" i="33"/>
  <c r="DB488" i="33"/>
  <c r="E137" i="51"/>
  <c r="B149" i="51"/>
  <c r="W84" i="7"/>
  <c r="F84" i="7"/>
  <c r="X423" i="22"/>
  <c r="T423" i="22"/>
  <c r="C419" i="22"/>
  <c r="D419" i="22" s="1"/>
  <c r="X419" i="22"/>
  <c r="M26" i="33"/>
  <c r="E472" i="38"/>
  <c r="AB76" i="29"/>
  <c r="F197" i="38"/>
  <c r="K198" i="38"/>
  <c r="M198" i="38"/>
  <c r="H107" i="38"/>
  <c r="F56" i="38"/>
  <c r="G199" i="38"/>
  <c r="B175" i="27"/>
  <c r="H94" i="38"/>
  <c r="F200" i="38"/>
  <c r="I200" i="38"/>
  <c r="L200" i="38"/>
  <c r="L111" i="38"/>
  <c r="J202" i="38"/>
  <c r="G203" i="38"/>
  <c r="B156" i="27"/>
  <c r="L113" i="38"/>
  <c r="M97" i="38"/>
  <c r="B116" i="27"/>
  <c r="E116" i="27" s="1"/>
  <c r="H115" i="38"/>
  <c r="M115" i="38"/>
  <c r="B157" i="27"/>
  <c r="C378" i="22"/>
  <c r="D378" i="22" s="1"/>
  <c r="C444" i="22"/>
  <c r="D444" i="22" s="1"/>
  <c r="M101" i="38"/>
  <c r="M118" i="38"/>
  <c r="J207" i="38"/>
  <c r="M207" i="38"/>
  <c r="K207" i="38"/>
  <c r="Q31" i="59"/>
  <c r="E31" i="59" s="1"/>
  <c r="Q19" i="59"/>
  <c r="E19" i="59" s="1"/>
  <c r="P31" i="59"/>
  <c r="D31" i="59" s="1"/>
  <c r="P20" i="59"/>
  <c r="D20" i="59" s="1"/>
  <c r="M28" i="59"/>
  <c r="P131" i="4"/>
  <c r="P128" i="4" s="1"/>
  <c r="P120" i="4"/>
  <c r="F125" i="4"/>
  <c r="L181" i="51"/>
  <c r="L182" i="51" s="1"/>
  <c r="I49" i="67"/>
  <c r="N7" i="67"/>
  <c r="N43" i="67"/>
  <c r="N49" i="67"/>
  <c r="N75" i="67"/>
  <c r="I13" i="69"/>
  <c r="I33" i="69"/>
  <c r="I59" i="69"/>
  <c r="N7" i="69"/>
  <c r="AP189" i="22"/>
  <c r="AR189" i="22" s="1"/>
  <c r="AU189" i="22"/>
  <c r="AW189" i="22" s="1"/>
  <c r="AU180" i="22"/>
  <c r="CC56" i="51"/>
  <c r="CD56" i="51" s="1"/>
  <c r="Z263" i="22"/>
  <c r="I247" i="22"/>
  <c r="BP15" i="51" s="1"/>
  <c r="Z275" i="22"/>
  <c r="CE37" i="51"/>
  <c r="CF37" i="51" s="1"/>
  <c r="I281" i="22"/>
  <c r="BP49" i="51" s="1"/>
  <c r="Z261" i="22"/>
  <c r="B167" i="51"/>
  <c r="CN12" i="51"/>
  <c r="CN26" i="51"/>
  <c r="CN50" i="51"/>
  <c r="DB29" i="33"/>
  <c r="DB192" i="33"/>
  <c r="DB320" i="33"/>
  <c r="DB197" i="33"/>
  <c r="DB53" i="33"/>
  <c r="DB422" i="33"/>
  <c r="DB425" i="33"/>
  <c r="DB278" i="33"/>
  <c r="DB88" i="33"/>
  <c r="DB498" i="33"/>
  <c r="DB178" i="33"/>
  <c r="DB396" i="33"/>
  <c r="DB300" i="33"/>
  <c r="DB106" i="33"/>
  <c r="DB71" i="33"/>
  <c r="DB262" i="33"/>
  <c r="AN28" i="15"/>
  <c r="AN23" i="15"/>
  <c r="AN61" i="15"/>
  <c r="AO61" i="15" s="1"/>
  <c r="AP22" i="15"/>
  <c r="AN37" i="15"/>
  <c r="AO37" i="15" s="1"/>
  <c r="AN49" i="15"/>
  <c r="AO49" i="15" s="1"/>
  <c r="AN51" i="15"/>
  <c r="AO51" i="15" s="1"/>
  <c r="AO22" i="15"/>
  <c r="AN47" i="15"/>
  <c r="AO47" i="15" s="1"/>
  <c r="AN41" i="15"/>
  <c r="AO41" i="15" s="1"/>
  <c r="E424" i="22"/>
  <c r="P464" i="22" s="1"/>
  <c r="DT156" i="33"/>
  <c r="DT147" i="33"/>
  <c r="DD122" i="33"/>
  <c r="DA122" i="33" s="1"/>
  <c r="DT122" i="33"/>
  <c r="DD160" i="33"/>
  <c r="DA160" i="33" s="1"/>
  <c r="DT160" i="33"/>
  <c r="DD202" i="33"/>
  <c r="DA202" i="33" s="1"/>
  <c r="DT202" i="33"/>
  <c r="DD266" i="33"/>
  <c r="DA266" i="33" s="1"/>
  <c r="DT266" i="33"/>
  <c r="DT313" i="33"/>
  <c r="DD313" i="33"/>
  <c r="DA313" i="33" s="1"/>
  <c r="G268" i="22"/>
  <c r="BZ268" i="22" s="1"/>
  <c r="CB268" i="22" s="1"/>
  <c r="X104" i="7"/>
  <c r="G104" i="7"/>
  <c r="AR177" i="22"/>
  <c r="F46" i="22"/>
  <c r="X46" i="22"/>
  <c r="V23" i="22"/>
  <c r="DD212" i="33"/>
  <c r="DA212" i="33" s="1"/>
  <c r="DT212" i="33"/>
  <c r="DD124" i="33"/>
  <c r="DA124" i="33" s="1"/>
  <c r="DT124" i="33"/>
  <c r="DT465" i="33"/>
  <c r="DD465" i="33"/>
  <c r="DA465" i="33" s="1"/>
  <c r="DD263" i="33"/>
  <c r="DA263" i="33" s="1"/>
  <c r="DT263" i="33"/>
  <c r="C421" i="22"/>
  <c r="D421" i="22" s="1"/>
  <c r="T421" i="22"/>
  <c r="DT397" i="33"/>
  <c r="DD397" i="33"/>
  <c r="DA397" i="33" s="1"/>
  <c r="DD287" i="33"/>
  <c r="DA287" i="33" s="1"/>
  <c r="DT287" i="33"/>
  <c r="DD243" i="33"/>
  <c r="DA243" i="33" s="1"/>
  <c r="DT243" i="33"/>
  <c r="DT267" i="33"/>
  <c r="DD267" i="33"/>
  <c r="DA267" i="33" s="1"/>
  <c r="DT386" i="33"/>
  <c r="DD386" i="33"/>
  <c r="DA386" i="33" s="1"/>
  <c r="DD394" i="33"/>
  <c r="DA394" i="33" s="1"/>
  <c r="DT394" i="33"/>
  <c r="DD100" i="33"/>
  <c r="DA100" i="33" s="1"/>
  <c r="DT100" i="33"/>
  <c r="DT33" i="33"/>
  <c r="DD33" i="33"/>
  <c r="DA33" i="33" s="1"/>
  <c r="DD146" i="33"/>
  <c r="DA146" i="33" s="1"/>
  <c r="DT146" i="33"/>
  <c r="DT508" i="33"/>
  <c r="DD508" i="33"/>
  <c r="DA508" i="33" s="1"/>
  <c r="DT494" i="33"/>
  <c r="DD494" i="33"/>
  <c r="DA494" i="33" s="1"/>
  <c r="DT453" i="33"/>
  <c r="DD453" i="33"/>
  <c r="DA453" i="33" s="1"/>
  <c r="DT450" i="33"/>
  <c r="DD450" i="33"/>
  <c r="DA450" i="33" s="1"/>
  <c r="DD428" i="33"/>
  <c r="DA428" i="33" s="1"/>
  <c r="DT428" i="33"/>
  <c r="I20" i="69"/>
  <c r="I26" i="69"/>
  <c r="I43" i="69"/>
  <c r="I52" i="69"/>
  <c r="I62" i="69"/>
  <c r="I72" i="69"/>
  <c r="I78" i="69"/>
  <c r="N10" i="69"/>
  <c r="N20" i="69"/>
  <c r="N26" i="69"/>
  <c r="N33" i="69"/>
  <c r="N39" i="69"/>
  <c r="N62" i="69"/>
  <c r="I278" i="22"/>
  <c r="BP46" i="51" s="1"/>
  <c r="CE48" i="51"/>
  <c r="CF48" i="51" s="1"/>
  <c r="AA276" i="22"/>
  <c r="F498" i="22"/>
  <c r="I286" i="22"/>
  <c r="BP54" i="51" s="1"/>
  <c r="Z287" i="22"/>
  <c r="D496" i="22"/>
  <c r="Z254" i="22"/>
  <c r="G34" i="8"/>
  <c r="D10" i="58" s="1"/>
  <c r="J44" i="8"/>
  <c r="I44" i="8"/>
  <c r="F44" i="8" s="1"/>
  <c r="K50" i="22"/>
  <c r="S46" i="22"/>
  <c r="G46" i="22" s="1"/>
  <c r="U36" i="22"/>
  <c r="P34" i="15"/>
  <c r="R31" i="15"/>
  <c r="R32" i="15"/>
  <c r="DT352" i="33"/>
  <c r="DD233" i="33"/>
  <c r="DA233" i="33" s="1"/>
  <c r="DD329" i="33"/>
  <c r="DA329" i="33" s="1"/>
  <c r="DT90" i="33"/>
  <c r="DD286" i="33"/>
  <c r="DA286" i="33" s="1"/>
  <c r="DT286" i="33"/>
  <c r="DD115" i="33"/>
  <c r="DA115" i="33" s="1"/>
  <c r="DT115" i="33"/>
  <c r="DD170" i="33"/>
  <c r="DA170" i="33" s="1"/>
  <c r="DT170" i="33"/>
  <c r="DD46" i="33"/>
  <c r="DA46" i="33" s="1"/>
  <c r="DT46" i="33"/>
  <c r="DD194" i="33"/>
  <c r="DA194" i="33" s="1"/>
  <c r="DT194" i="33"/>
  <c r="DT220" i="33"/>
  <c r="DD220" i="33"/>
  <c r="DA220" i="33" s="1"/>
  <c r="DT407" i="33"/>
  <c r="DD407" i="33"/>
  <c r="DA407" i="33" s="1"/>
  <c r="DD359" i="33"/>
  <c r="DA359" i="33" s="1"/>
  <c r="DT359" i="33"/>
  <c r="DT513" i="33"/>
  <c r="DT528" i="33"/>
  <c r="DT332" i="33"/>
  <c r="DT497" i="33"/>
  <c r="DT525" i="33"/>
  <c r="DT382" i="33"/>
  <c r="DD530" i="33"/>
  <c r="DA530" i="33" s="1"/>
  <c r="DD235" i="33"/>
  <c r="DA235" i="33" s="1"/>
  <c r="DT235" i="33"/>
  <c r="DD456" i="33"/>
  <c r="DA456" i="33" s="1"/>
  <c r="DD244" i="33"/>
  <c r="DA244" i="33" s="1"/>
  <c r="DT244" i="33"/>
  <c r="DT57" i="33"/>
  <c r="DD57" i="33"/>
  <c r="DA57" i="33" s="1"/>
  <c r="DT169" i="33"/>
  <c r="DD169" i="33"/>
  <c r="DA169" i="33" s="1"/>
  <c r="DT209" i="33"/>
  <c r="DD209" i="33"/>
  <c r="DA209" i="33" s="1"/>
  <c r="DD550" i="33"/>
  <c r="DA550" i="33" s="1"/>
  <c r="DT550" i="33"/>
  <c r="DD534" i="33"/>
  <c r="DA534" i="33" s="1"/>
  <c r="DT534" i="33"/>
  <c r="DD485" i="33"/>
  <c r="DA485" i="33" s="1"/>
  <c r="DT485" i="33"/>
  <c r="DD480" i="33"/>
  <c r="DA480" i="33" s="1"/>
  <c r="DT480" i="33"/>
  <c r="U63" i="22"/>
  <c r="U37" i="22"/>
  <c r="U39" i="22"/>
  <c r="DB103" i="33"/>
  <c r="DB38" i="33"/>
  <c r="O37" i="15"/>
  <c r="DT511" i="33"/>
  <c r="DT471" i="33"/>
  <c r="DT490" i="33"/>
  <c r="DD551" i="33"/>
  <c r="DA551" i="33" s="1"/>
  <c r="DT123" i="33"/>
  <c r="DT385" i="33"/>
  <c r="DT505" i="33"/>
  <c r="DT503" i="33"/>
  <c r="DD546" i="33"/>
  <c r="DA546" i="33" s="1"/>
  <c r="DT188" i="33"/>
  <c r="DT419" i="33"/>
  <c r="DT523" i="33"/>
  <c r="DD219" i="33"/>
  <c r="DA219" i="33" s="1"/>
  <c r="DT219" i="33"/>
  <c r="DT438" i="33"/>
  <c r="DD539" i="33"/>
  <c r="DA539" i="33" s="1"/>
  <c r="DD118" i="33"/>
  <c r="DA118" i="33" s="1"/>
  <c r="DT118" i="33"/>
  <c r="DD483" i="33"/>
  <c r="DA483" i="33" s="1"/>
  <c r="DS447" i="33"/>
  <c r="DS443" i="33"/>
  <c r="DS439" i="33"/>
  <c r="DS454" i="33"/>
  <c r="DS342" i="33"/>
  <c r="DS338" i="33"/>
  <c r="DS330" i="33"/>
  <c r="DS326" i="33"/>
  <c r="DS111" i="33"/>
  <c r="DS87" i="33"/>
  <c r="E35" i="11"/>
  <c r="F35" i="11" s="1"/>
  <c r="H105" i="75"/>
  <c r="I105" i="75" s="1"/>
  <c r="DS343" i="33"/>
  <c r="DS307" i="33"/>
  <c r="DS299" i="33"/>
  <c r="DS295" i="33"/>
  <c r="DS294" i="33"/>
  <c r="DS289" i="33"/>
  <c r="DS279" i="33"/>
  <c r="DS404" i="33"/>
  <c r="DS403" i="33"/>
  <c r="DS399" i="33"/>
  <c r="DS398" i="33"/>
  <c r="DS396" i="33"/>
  <c r="DS393" i="33"/>
  <c r="DS390" i="33"/>
  <c r="DS389" i="33"/>
  <c r="DS388" i="33"/>
  <c r="DS384" i="33"/>
  <c r="DS380" i="33"/>
  <c r="DS368" i="33"/>
  <c r="DS340" i="33"/>
  <c r="DS316" i="33"/>
  <c r="DS183" i="33"/>
  <c r="DS98" i="33"/>
  <c r="DS71" i="33"/>
  <c r="DS55" i="33"/>
  <c r="H105" i="45"/>
  <c r="I105" i="45" s="1"/>
  <c r="X280" i="38"/>
  <c r="T271" i="38"/>
  <c r="W270" i="22"/>
  <c r="BO30" i="51"/>
  <c r="CG30" i="51" s="1"/>
  <c r="I273" i="22"/>
  <c r="BP41" i="51" s="1"/>
  <c r="X285" i="22"/>
  <c r="X286" i="38"/>
  <c r="U15" i="4" a="1"/>
  <c r="U15" i="4" s="1"/>
  <c r="K172" i="38"/>
  <c r="K182" i="38"/>
  <c r="G280" i="38" s="1"/>
  <c r="I280" i="38" s="1"/>
  <c r="K146" i="38"/>
  <c r="G244" i="38" s="1"/>
  <c r="I244" i="38" s="1"/>
  <c r="CG36" i="51"/>
  <c r="BO22" i="51"/>
  <c r="CG22" i="51" s="1"/>
  <c r="X260" i="22"/>
  <c r="X271" i="22"/>
  <c r="X252" i="38"/>
  <c r="T245" i="38"/>
  <c r="K540" i="38" s="1"/>
  <c r="K160" i="38"/>
  <c r="G258" i="38" s="1"/>
  <c r="BO50" i="51"/>
  <c r="BO40" i="51"/>
  <c r="CE40" i="51" s="1"/>
  <c r="W282" i="22"/>
  <c r="X242" i="22"/>
  <c r="T243" i="38"/>
  <c r="D540" i="38" s="1"/>
  <c r="V287" i="38"/>
  <c r="I540" i="38"/>
  <c r="V285" i="38"/>
  <c r="Z272" i="22"/>
  <c r="X282" i="22"/>
  <c r="W242" i="22"/>
  <c r="V272" i="38"/>
  <c r="Z257" i="22"/>
  <c r="W262" i="22"/>
  <c r="J137" i="51"/>
  <c r="X243" i="22"/>
  <c r="I280" i="22"/>
  <c r="BP48" i="51" s="1"/>
  <c r="I158" i="51"/>
  <c r="I159" i="51" s="1"/>
  <c r="CG29" i="51"/>
  <c r="I287" i="22"/>
  <c r="BP55" i="51" s="1"/>
  <c r="I282" i="22"/>
  <c r="BP50" i="51" s="1"/>
  <c r="AA272" i="22"/>
  <c r="BO10" i="51"/>
  <c r="CG10" i="51" s="1"/>
  <c r="X283" i="22"/>
  <c r="X264" i="38"/>
  <c r="BO21" i="51"/>
  <c r="CG21" i="51" s="1"/>
  <c r="K158" i="38"/>
  <c r="G256" i="38" s="1"/>
  <c r="I256" i="38" s="1"/>
  <c r="T255" i="38"/>
  <c r="C544" i="38" s="1"/>
  <c r="I259" i="22"/>
  <c r="BP27" i="51" s="1"/>
  <c r="Z284" i="22"/>
  <c r="Z250" i="22"/>
  <c r="AL276" i="22"/>
  <c r="AL272" i="22"/>
  <c r="I272" i="22"/>
  <c r="BP40" i="51" s="1"/>
  <c r="X276" i="22"/>
  <c r="Z278" i="22"/>
  <c r="CG20" i="51"/>
  <c r="I284" i="22"/>
  <c r="BP52" i="51" s="1"/>
  <c r="CE36" i="51"/>
  <c r="CF36" i="51" s="1"/>
  <c r="CG15" i="51"/>
  <c r="T251" i="38"/>
  <c r="V255" i="38"/>
  <c r="BO52" i="51"/>
  <c r="CG52" i="51" s="1"/>
  <c r="X243" i="38"/>
  <c r="BO18" i="51"/>
  <c r="BO39" i="51"/>
  <c r="CG39" i="51" s="1"/>
  <c r="Z265" i="22"/>
  <c r="V264" i="38"/>
  <c r="Z252" i="22"/>
  <c r="V258" i="38"/>
  <c r="X260" i="38"/>
  <c r="K186" i="38"/>
  <c r="G284" i="38" s="1"/>
  <c r="K148" i="38"/>
  <c r="G246" i="38" s="1"/>
  <c r="C542" i="38" s="1"/>
  <c r="Z246" i="22"/>
  <c r="CE49" i="51"/>
  <c r="CF49" i="51" s="1"/>
  <c r="Z290" i="22"/>
  <c r="I290" i="22"/>
  <c r="BP58" i="51" s="1"/>
  <c r="CE27" i="51"/>
  <c r="CF27" i="51" s="1"/>
  <c r="CG27" i="51"/>
  <c r="BO44" i="51"/>
  <c r="CE44" i="51" s="1"/>
  <c r="CF44" i="51" s="1"/>
  <c r="W272" i="22"/>
  <c r="I276" i="22"/>
  <c r="BP44" i="51" s="1"/>
  <c r="Z276" i="22"/>
  <c r="AA282" i="22"/>
  <c r="W278" i="22"/>
  <c r="Z242" i="22"/>
  <c r="I262" i="22"/>
  <c r="BP30" i="51" s="1"/>
  <c r="I240" i="22"/>
  <c r="BP8" i="51" s="1"/>
  <c r="CC29" i="51"/>
  <c r="CD29" i="51" s="1"/>
  <c r="X262" i="38"/>
  <c r="X262" i="22"/>
  <c r="X283" i="38"/>
  <c r="X254" i="22"/>
  <c r="Z260" i="22"/>
  <c r="Z283" i="22"/>
  <c r="X271" i="38"/>
  <c r="X252" i="22"/>
  <c r="X280" i="22"/>
  <c r="X259" i="22"/>
  <c r="X253" i="22"/>
  <c r="K162" i="38"/>
  <c r="G260" i="38" s="1"/>
  <c r="I260" i="38" s="1"/>
  <c r="K184" i="38"/>
  <c r="G282" i="38" s="1"/>
  <c r="I282" i="38" s="1"/>
  <c r="K163" i="38"/>
  <c r="G261" i="38" s="1"/>
  <c r="Y261" i="38" s="1"/>
  <c r="X246" i="38"/>
  <c r="V246" i="38"/>
  <c r="K176" i="38"/>
  <c r="G274" i="38" s="1"/>
  <c r="I274" i="38" s="1"/>
  <c r="V245" i="38"/>
  <c r="X245" i="38"/>
  <c r="K178" i="38"/>
  <c r="G276" i="38" s="1"/>
  <c r="W276" i="38" s="1"/>
  <c r="K192" i="38"/>
  <c r="G290" i="38" s="1"/>
  <c r="I290" i="38" s="1"/>
  <c r="Z240" i="22"/>
  <c r="Z286" i="22"/>
  <c r="V265" i="38"/>
  <c r="T265" i="38"/>
  <c r="X257" i="22"/>
  <c r="BO25" i="51"/>
  <c r="W240" i="22"/>
  <c r="X240" i="22"/>
  <c r="BO14" i="51"/>
  <c r="CE14" i="51" s="1"/>
  <c r="CF14" i="51" s="1"/>
  <c r="I246" i="22"/>
  <c r="BP14" i="51" s="1"/>
  <c r="BO11" i="51"/>
  <c r="I243" i="22"/>
  <c r="BP11" i="51" s="1"/>
  <c r="BO46" i="51"/>
  <c r="CE46" i="51" s="1"/>
  <c r="AT14" i="51" s="1"/>
  <c r="AL282" i="22"/>
  <c r="CG48" i="51"/>
  <c r="I260" i="22"/>
  <c r="BP28" i="51" s="1"/>
  <c r="I271" i="22"/>
  <c r="BP39" i="51" s="1"/>
  <c r="T279" i="38"/>
  <c r="W284" i="22"/>
  <c r="V290" i="38"/>
  <c r="E158" i="51"/>
  <c r="M158" i="51" s="1"/>
  <c r="A169" i="51" s="1"/>
  <c r="W250" i="22"/>
  <c r="W254" i="22"/>
  <c r="W260" i="22"/>
  <c r="Z243" i="22"/>
  <c r="BO33" i="51"/>
  <c r="CG33" i="51" s="1"/>
  <c r="V277" i="38"/>
  <c r="W252" i="22"/>
  <c r="W280" i="22"/>
  <c r="Z259" i="22"/>
  <c r="X253" i="38"/>
  <c r="V254" i="38"/>
  <c r="X254" i="38"/>
  <c r="K185" i="38"/>
  <c r="G283" i="38" s="1"/>
  <c r="W283" i="38" s="1"/>
  <c r="AO246" i="22"/>
  <c r="AO248" i="22" s="1"/>
  <c r="X241" i="22"/>
  <c r="BO7" i="51"/>
  <c r="CE7" i="51" s="1"/>
  <c r="CF7" i="51" s="1"/>
  <c r="X239" i="22"/>
  <c r="W256" i="22"/>
  <c r="BO24" i="51"/>
  <c r="CE24" i="51" s="1"/>
  <c r="I256" i="22"/>
  <c r="BP24" i="51" s="1"/>
  <c r="BO23" i="51"/>
  <c r="CG23" i="51" s="1"/>
  <c r="I255" i="22"/>
  <c r="BP23" i="51" s="1"/>
  <c r="BO26" i="51"/>
  <c r="CG26" i="51" s="1"/>
  <c r="I258" i="22"/>
  <c r="BP26" i="51" s="1"/>
  <c r="H195" i="38"/>
  <c r="K187" i="38"/>
  <c r="G285" i="38" s="1"/>
  <c r="I285" i="38" s="1"/>
  <c r="K189" i="38"/>
  <c r="G287" i="38" s="1"/>
  <c r="W287" i="38" s="1"/>
  <c r="K175" i="38"/>
  <c r="K166" i="38"/>
  <c r="G264" i="38" s="1"/>
  <c r="I264" i="38" s="1"/>
  <c r="K154" i="38"/>
  <c r="G252" i="38" s="1"/>
  <c r="W252" i="38" s="1"/>
  <c r="K165" i="38"/>
  <c r="K167" i="38"/>
  <c r="G265" i="38" s="1"/>
  <c r="Y265" i="38" s="1"/>
  <c r="K157" i="38"/>
  <c r="G255" i="38" s="1"/>
  <c r="K170" i="38"/>
  <c r="G268" i="38" s="1"/>
  <c r="K149" i="38"/>
  <c r="G247" i="38" s="1"/>
  <c r="K174" i="38"/>
  <c r="G272" i="38" s="1"/>
  <c r="W272" i="38" s="1"/>
  <c r="R359" i="26"/>
  <c r="CG43" i="51"/>
  <c r="R372" i="26"/>
  <c r="X247" i="22"/>
  <c r="K43" i="8"/>
  <c r="H43" i="8" s="1"/>
  <c r="F39" i="7"/>
  <c r="DR63" i="19"/>
  <c r="DR53" i="19"/>
  <c r="DR57" i="19"/>
  <c r="DR69" i="19"/>
  <c r="DR55" i="19"/>
  <c r="DR7" i="19"/>
  <c r="DR93" i="19"/>
  <c r="DR98" i="19"/>
  <c r="DR62" i="19"/>
  <c r="R377" i="26"/>
  <c r="R376" i="26"/>
  <c r="CE45" i="51"/>
  <c r="CF45" i="51" s="1"/>
  <c r="CG45" i="51"/>
  <c r="CG31" i="51"/>
  <c r="CE31" i="51"/>
  <c r="CF31" i="51" s="1"/>
  <c r="CC31" i="51"/>
  <c r="CD31" i="51" s="1"/>
  <c r="J125" i="51"/>
  <c r="H125" i="51"/>
  <c r="CC53" i="51"/>
  <c r="CD53" i="51" s="1"/>
  <c r="CG53" i="51"/>
  <c r="CE53" i="51"/>
  <c r="CF53" i="51" s="1"/>
  <c r="W275" i="38"/>
  <c r="Y275" i="38"/>
  <c r="G279" i="38"/>
  <c r="CC32" i="51"/>
  <c r="CD32" i="51" s="1"/>
  <c r="CE32" i="51"/>
  <c r="CF32" i="51" s="1"/>
  <c r="CG32" i="51"/>
  <c r="E159" i="51"/>
  <c r="CG19" i="51"/>
  <c r="CE19" i="51"/>
  <c r="CF19" i="51" s="1"/>
  <c r="CC19" i="51"/>
  <c r="CD19" i="51" s="1"/>
  <c r="K180" i="38"/>
  <c r="G278" i="38" s="1"/>
  <c r="K191" i="38"/>
  <c r="G289" i="38" s="1"/>
  <c r="I289" i="38" s="1"/>
  <c r="K159" i="38"/>
  <c r="G257" i="38" s="1"/>
  <c r="W257" i="38" s="1"/>
  <c r="I261" i="38"/>
  <c r="K147" i="38"/>
  <c r="S147" i="38" s="1"/>
  <c r="K190" i="38"/>
  <c r="G288" i="38" s="1"/>
  <c r="I288" i="38" s="1"/>
  <c r="CG37" i="51"/>
  <c r="CC37" i="51"/>
  <c r="CD37" i="51" s="1"/>
  <c r="CG41" i="51"/>
  <c r="CC41" i="51"/>
  <c r="CD41" i="51" s="1"/>
  <c r="V251" i="38"/>
  <c r="X251" i="38"/>
  <c r="T267" i="38"/>
  <c r="X267" i="38"/>
  <c r="X248" i="38"/>
  <c r="V248" i="38"/>
  <c r="V268" i="38"/>
  <c r="X268" i="38"/>
  <c r="V281" i="38"/>
  <c r="T281" i="38"/>
  <c r="X263" i="38"/>
  <c r="I482" i="38"/>
  <c r="V263" i="38"/>
  <c r="T249" i="38"/>
  <c r="V249" i="38"/>
  <c r="K169" i="38"/>
  <c r="G267" i="38" s="1"/>
  <c r="I267" i="38" s="1"/>
  <c r="T261" i="38"/>
  <c r="X261" i="38"/>
  <c r="K171" i="38"/>
  <c r="G269" i="38" s="1"/>
  <c r="I269" i="38" s="1"/>
  <c r="K179" i="38"/>
  <c r="G277" i="38" s="1"/>
  <c r="V276" i="38"/>
  <c r="X276" i="38"/>
  <c r="K152" i="38"/>
  <c r="G250" i="38" s="1"/>
  <c r="W250" i="38" s="1"/>
  <c r="V250" i="38"/>
  <c r="X250" i="38"/>
  <c r="X289" i="38"/>
  <c r="V289" i="38"/>
  <c r="V269" i="38"/>
  <c r="T269" i="38"/>
  <c r="I194" i="38"/>
  <c r="V247" i="38"/>
  <c r="H297" i="38"/>
  <c r="J318" i="38" s="1"/>
  <c r="T247" i="38"/>
  <c r="K151" i="38"/>
  <c r="H194" i="38"/>
  <c r="J194" i="38"/>
  <c r="T275" i="38"/>
  <c r="V275" i="38"/>
  <c r="X273" i="38"/>
  <c r="V273" i="38"/>
  <c r="T273" i="38"/>
  <c r="G194" i="38"/>
  <c r="K145" i="38"/>
  <c r="S145" i="38" s="1"/>
  <c r="T257" i="38"/>
  <c r="V257" i="38"/>
  <c r="I285" i="22"/>
  <c r="BP53" i="51" s="1"/>
  <c r="H296" i="38"/>
  <c r="H317" i="38" s="1"/>
  <c r="X273" i="22"/>
  <c r="BO16" i="51"/>
  <c r="X256" i="38"/>
  <c r="D542" i="38"/>
  <c r="X249" i="22"/>
  <c r="W266" i="22"/>
  <c r="BO47" i="51"/>
  <c r="CE47" i="51" s="1"/>
  <c r="CF47" i="51" s="1"/>
  <c r="H100" i="51"/>
  <c r="K100" i="51" s="1"/>
  <c r="Z244" i="22"/>
  <c r="BO35" i="51"/>
  <c r="X264" i="22"/>
  <c r="K164" i="38"/>
  <c r="I195" i="38"/>
  <c r="K156" i="38"/>
  <c r="G254" i="38" s="1"/>
  <c r="K188" i="38"/>
  <c r="G286" i="38" s="1"/>
  <c r="W286" i="38" s="1"/>
  <c r="BO34" i="51"/>
  <c r="CG34" i="51" s="1"/>
  <c r="AV9" i="51" s="1"/>
  <c r="AW9" i="51" s="1"/>
  <c r="I53" i="51" s="1"/>
  <c r="Z279" i="22"/>
  <c r="BO12" i="51"/>
  <c r="CG12" i="51" s="1"/>
  <c r="AV8" i="51" s="1"/>
  <c r="AW8" i="51" s="1"/>
  <c r="I52" i="51" s="1"/>
  <c r="X267" i="22"/>
  <c r="W264" i="22"/>
  <c r="I437" i="22"/>
  <c r="J437" i="22" s="1"/>
  <c r="X251" i="22"/>
  <c r="T259" i="38"/>
  <c r="Z266" i="22"/>
  <c r="G540" i="38"/>
  <c r="W248" i="38"/>
  <c r="I248" i="38"/>
  <c r="G262" i="38"/>
  <c r="S261" i="38" s="1"/>
  <c r="S163" i="38"/>
  <c r="CG38" i="51"/>
  <c r="CC38" i="51"/>
  <c r="CD38" i="51" s="1"/>
  <c r="CG50" i="51"/>
  <c r="DR84" i="19"/>
  <c r="DR36" i="19"/>
  <c r="DR73" i="19"/>
  <c r="DR97" i="19"/>
  <c r="CC46" i="51"/>
  <c r="CG40" i="51"/>
  <c r="K153" i="38"/>
  <c r="Z57" i="13"/>
  <c r="D162" i="58" s="1"/>
  <c r="F43" i="8"/>
  <c r="I65" i="14"/>
  <c r="I75" i="14"/>
  <c r="I49" i="14"/>
  <c r="I55" i="14"/>
  <c r="I59" i="14"/>
  <c r="I83" i="14"/>
  <c r="I61" i="14"/>
  <c r="I62" i="14"/>
  <c r="I81" i="14"/>
  <c r="I60" i="14"/>
  <c r="I77" i="14"/>
  <c r="I58" i="14"/>
  <c r="I84" i="14"/>
  <c r="I72" i="14"/>
  <c r="I63" i="14"/>
  <c r="I73" i="14"/>
  <c r="I51" i="14"/>
  <c r="I76" i="14"/>
  <c r="I67" i="14"/>
  <c r="I82" i="14"/>
  <c r="I80" i="14"/>
  <c r="I71" i="14"/>
  <c r="I78" i="14"/>
  <c r="I66" i="14"/>
  <c r="R566" i="38"/>
  <c r="I79" i="14"/>
  <c r="I74" i="14"/>
  <c r="I64" i="14"/>
  <c r="I48" i="14"/>
  <c r="I85" i="14"/>
  <c r="CE42" i="51"/>
  <c r="CF42" i="51" s="1"/>
  <c r="CC45" i="51"/>
  <c r="CD45" i="51" s="1"/>
  <c r="R366" i="26"/>
  <c r="R367" i="26"/>
  <c r="R362" i="26"/>
  <c r="R363" i="26"/>
  <c r="Z291" i="22"/>
  <c r="BO59" i="51"/>
  <c r="CG59" i="51" s="1"/>
  <c r="X293" i="22"/>
  <c r="Z293" i="22"/>
  <c r="X291" i="22"/>
  <c r="DR86" i="19"/>
  <c r="DR22" i="19"/>
  <c r="DR13" i="19"/>
  <c r="DR20" i="19"/>
  <c r="DR66" i="19"/>
  <c r="DR61" i="19"/>
  <c r="DR52" i="19"/>
  <c r="DR83" i="19"/>
  <c r="DR56" i="19"/>
  <c r="DR99" i="19"/>
  <c r="DR38" i="19"/>
  <c r="DR5" i="19"/>
  <c r="DR21" i="19"/>
  <c r="DR8" i="19"/>
  <c r="DR27" i="19"/>
  <c r="DR47" i="19"/>
  <c r="DR100" i="19"/>
  <c r="DR42" i="19"/>
  <c r="DR58" i="19"/>
  <c r="DR32" i="19"/>
  <c r="DR77" i="19"/>
  <c r="DR80" i="19"/>
  <c r="DR39" i="19"/>
  <c r="DR67" i="19"/>
  <c r="DR40" i="19"/>
  <c r="DR72" i="19"/>
  <c r="DR12" i="19"/>
  <c r="DR24" i="19"/>
  <c r="DR25" i="19"/>
  <c r="DR29" i="19"/>
  <c r="DR14" i="19"/>
  <c r="DR3" i="19"/>
  <c r="DR82" i="19"/>
  <c r="DR54" i="19"/>
  <c r="DR91" i="19"/>
  <c r="DR89" i="19"/>
  <c r="DR71" i="19"/>
  <c r="DR4" i="19"/>
  <c r="DR76" i="19"/>
  <c r="DR23" i="19"/>
  <c r="DR70" i="19"/>
  <c r="DR34" i="19"/>
  <c r="DR50" i="19"/>
  <c r="DR33" i="19"/>
  <c r="DR59" i="19"/>
  <c r="DR60" i="19"/>
  <c r="DR68" i="19"/>
  <c r="DR10" i="19"/>
  <c r="DR92" i="19"/>
  <c r="DR35" i="19"/>
  <c r="DR30" i="19"/>
  <c r="DR85" i="19"/>
  <c r="DR31" i="19"/>
  <c r="DR11" i="19"/>
  <c r="DR37" i="19"/>
  <c r="DR6" i="19"/>
  <c r="DR19" i="19"/>
  <c r="DR43" i="19"/>
  <c r="DR81" i="19"/>
  <c r="DR96" i="19"/>
  <c r="DR15" i="19"/>
  <c r="DR94" i="19"/>
  <c r="DR44" i="19"/>
  <c r="DR79" i="19"/>
  <c r="DR26" i="19"/>
  <c r="DR88" i="19"/>
  <c r="DR78" i="19"/>
  <c r="DR17" i="19"/>
  <c r="DR18" i="19"/>
  <c r="DR90" i="19"/>
  <c r="DR16" i="19"/>
  <c r="DR49" i="19"/>
  <c r="DR65" i="19"/>
  <c r="DR51" i="19"/>
  <c r="DR75" i="19"/>
  <c r="DR46" i="19"/>
  <c r="DR28" i="19"/>
  <c r="DR64" i="19"/>
  <c r="DR48" i="19"/>
  <c r="DR9" i="19"/>
  <c r="DR87" i="19"/>
  <c r="DR95" i="19"/>
  <c r="DR45" i="19"/>
  <c r="DR41" i="19"/>
  <c r="DR74" i="19"/>
  <c r="CE57" i="51"/>
  <c r="CF57" i="51" s="1"/>
  <c r="CG57" i="51"/>
  <c r="BO54" i="51"/>
  <c r="CE54" i="51" s="1"/>
  <c r="CF54" i="51" s="1"/>
  <c r="X286" i="22"/>
  <c r="BO8" i="51"/>
  <c r="CG8" i="51" s="1"/>
  <c r="AV7" i="51" s="1"/>
  <c r="AW7" i="51" s="1"/>
  <c r="I51" i="51" s="1"/>
  <c r="X289" i="22"/>
  <c r="Z289" i="22"/>
  <c r="W292" i="22"/>
  <c r="BO60" i="51"/>
  <c r="CG60" i="51" s="1"/>
  <c r="Z292" i="22"/>
  <c r="E85" i="51"/>
  <c r="BO9" i="51"/>
  <c r="CC9" i="51" s="1"/>
  <c r="CD9" i="51" s="1"/>
  <c r="K42" i="8"/>
  <c r="H42" i="8" s="1"/>
  <c r="G42" i="8" s="1"/>
  <c r="I14" i="21"/>
  <c r="H26" i="21"/>
  <c r="I31" i="21"/>
  <c r="I11" i="21"/>
  <c r="I10" i="21"/>
  <c r="H27" i="21"/>
  <c r="H14" i="21"/>
  <c r="H32" i="21"/>
  <c r="I30" i="21"/>
  <c r="H17" i="21"/>
  <c r="H28" i="21"/>
  <c r="I27" i="21"/>
  <c r="I22" i="21"/>
  <c r="H12" i="21"/>
  <c r="I19" i="21"/>
  <c r="H11" i="21"/>
  <c r="I13" i="21"/>
  <c r="I29" i="21"/>
  <c r="H10" i="21"/>
  <c r="I15" i="21"/>
  <c r="I26" i="21"/>
  <c r="H16" i="21"/>
  <c r="I16" i="21"/>
  <c r="H30" i="21"/>
  <c r="I21" i="21"/>
  <c r="H29" i="21"/>
  <c r="I20" i="21"/>
  <c r="H19" i="21"/>
  <c r="I18" i="21"/>
  <c r="H13" i="21"/>
  <c r="I12" i="21"/>
  <c r="I32" i="21"/>
  <c r="H18" i="21"/>
  <c r="H15" i="21"/>
  <c r="I17" i="21"/>
  <c r="H31" i="21"/>
  <c r="I28" i="21"/>
  <c r="AM190" i="22"/>
  <c r="AL190" i="22"/>
  <c r="BV272" i="22"/>
  <c r="BW272" i="22"/>
  <c r="BV274" i="22"/>
  <c r="BW274" i="22" s="1"/>
  <c r="AL180" i="22"/>
  <c r="AM180" i="22" s="1"/>
  <c r="BW238" i="22"/>
  <c r="AL178" i="22"/>
  <c r="AM178" i="22" s="1"/>
  <c r="G273" i="38"/>
  <c r="CE18" i="51"/>
  <c r="CG18" i="51"/>
  <c r="CE28" i="51"/>
  <c r="CC28" i="51"/>
  <c r="BP255" i="22"/>
  <c r="BR255" i="22" s="1"/>
  <c r="CE255" i="22"/>
  <c r="CG255" i="22" s="1"/>
  <c r="BN23" i="51"/>
  <c r="CE283" i="22"/>
  <c r="CG283" i="22" s="1"/>
  <c r="BU283" i="22"/>
  <c r="BW283" i="22" s="1"/>
  <c r="Y283" i="22"/>
  <c r="I283" i="22"/>
  <c r="BP51" i="51" s="1"/>
  <c r="CE249" i="22"/>
  <c r="CG249" i="22" s="1"/>
  <c r="BU249" i="22"/>
  <c r="BW249" i="22" s="1"/>
  <c r="BN17" i="51"/>
  <c r="CE278" i="22"/>
  <c r="BZ278" i="22"/>
  <c r="Y278" i="22"/>
  <c r="BZ27" i="51"/>
  <c r="CA27" i="51" s="1"/>
  <c r="BX27" i="51"/>
  <c r="BY27" i="51" s="1"/>
  <c r="CB27" i="51"/>
  <c r="L27" i="10"/>
  <c r="CC50" i="51"/>
  <c r="CD50" i="51" s="1"/>
  <c r="CB21" i="51"/>
  <c r="BX21" i="51"/>
  <c r="BY21" i="51" s="1"/>
  <c r="CB31" i="51"/>
  <c r="Y255" i="22"/>
  <c r="CB276" i="22"/>
  <c r="BP278" i="22"/>
  <c r="CB274" i="22"/>
  <c r="CC18" i="51"/>
  <c r="CD18" i="51" s="1"/>
  <c r="AQ182" i="22"/>
  <c r="AR182" i="22" s="1"/>
  <c r="AK202" i="22"/>
  <c r="AM202" i="22" s="1"/>
  <c r="AU202" i="22"/>
  <c r="AW202" i="22" s="1"/>
  <c r="AF202" i="22"/>
  <c r="AH202" i="22" s="1"/>
  <c r="I246" i="38"/>
  <c r="W246" i="38"/>
  <c r="Y277" i="22"/>
  <c r="BP277" i="22"/>
  <c r="BR277" i="22" s="1"/>
  <c r="CE277" i="22"/>
  <c r="CG277" i="22" s="1"/>
  <c r="CG13" i="51"/>
  <c r="CE13" i="51"/>
  <c r="CF13" i="51" s="1"/>
  <c r="CC13" i="51"/>
  <c r="CD13" i="51" s="1"/>
  <c r="CE288" i="22"/>
  <c r="CG288" i="22" s="1"/>
  <c r="Y288" i="22"/>
  <c r="BN56" i="51"/>
  <c r="BU288" i="22"/>
  <c r="BW288" i="22" s="1"/>
  <c r="AP150" i="22"/>
  <c r="AR150" i="22" s="1"/>
  <c r="G242" i="22"/>
  <c r="AF150" i="22"/>
  <c r="AH150" i="22" s="1"/>
  <c r="AU150" i="22"/>
  <c r="AW150" i="22" s="1"/>
  <c r="BP279" i="22"/>
  <c r="BR279" i="22" s="1"/>
  <c r="CE279" i="22"/>
  <c r="CG279" i="22" s="1"/>
  <c r="Y279" i="22"/>
  <c r="I279" i="22"/>
  <c r="BP47" i="51" s="1"/>
  <c r="Y261" i="22"/>
  <c r="F136" i="51"/>
  <c r="F138" i="51" s="1"/>
  <c r="BP261" i="22"/>
  <c r="BR261" i="22" s="1"/>
  <c r="CE261" i="22"/>
  <c r="CG261" i="22" s="1"/>
  <c r="I261" i="22"/>
  <c r="BP29" i="51" s="1"/>
  <c r="BX15" i="51"/>
  <c r="BY15" i="51" s="1"/>
  <c r="BZ15" i="51"/>
  <c r="CA15" i="51" s="1"/>
  <c r="V260" i="22"/>
  <c r="BP260" i="22"/>
  <c r="BR260" i="22" s="1"/>
  <c r="BZ260" i="22"/>
  <c r="CB260" i="22" s="1"/>
  <c r="CE17" i="51"/>
  <c r="CF17" i="51" s="1"/>
  <c r="CG17" i="51"/>
  <c r="CC20" i="51"/>
  <c r="CE20" i="51"/>
  <c r="BZ239" i="22"/>
  <c r="CB239" i="22" s="1"/>
  <c r="BU239" i="22"/>
  <c r="BW239" i="22" s="1"/>
  <c r="BN7" i="51"/>
  <c r="I239" i="22"/>
  <c r="BP7" i="51" s="1"/>
  <c r="G265" i="22"/>
  <c r="AF173" i="22"/>
  <c r="AH173" i="22" s="1"/>
  <c r="AU173" i="22"/>
  <c r="AW173" i="22" s="1"/>
  <c r="AK173" i="22"/>
  <c r="AM173" i="22" s="1"/>
  <c r="AP173" i="22"/>
  <c r="AR173" i="22" s="1"/>
  <c r="AF183" i="22"/>
  <c r="AH183" i="22" s="1"/>
  <c r="AU183" i="22"/>
  <c r="AW183" i="22" s="1"/>
  <c r="G275" i="22"/>
  <c r="AP183" i="22"/>
  <c r="AR183" i="22" s="1"/>
  <c r="AK183" i="22"/>
  <c r="AM183" i="22" s="1"/>
  <c r="BZ54" i="51"/>
  <c r="CA54" i="51" s="1"/>
  <c r="BX53" i="51"/>
  <c r="BY53" i="51" s="1"/>
  <c r="CB53" i="51"/>
  <c r="CC22" i="51"/>
  <c r="CD22" i="51" s="1"/>
  <c r="AF178" i="22"/>
  <c r="AP178" i="22"/>
  <c r="V178" i="22"/>
  <c r="T394" i="22" s="1"/>
  <c r="G270" i="22"/>
  <c r="AU178" i="22"/>
  <c r="K328" i="22"/>
  <c r="G328" i="22"/>
  <c r="AM182" i="22"/>
  <c r="AM184" i="22"/>
  <c r="BU278" i="22"/>
  <c r="BZ53" i="51"/>
  <c r="CA53" i="51" s="1"/>
  <c r="CG28" i="51"/>
  <c r="AV12" i="51" s="1"/>
  <c r="AW12" i="51" s="1"/>
  <c r="I56" i="51" s="1"/>
  <c r="BX50" i="51"/>
  <c r="BY50" i="51" s="1"/>
  <c r="BZ50" i="51"/>
  <c r="CA50" i="51" s="1"/>
  <c r="BZ47" i="51"/>
  <c r="CA47" i="51" s="1"/>
  <c r="BX47" i="51"/>
  <c r="BY47" i="51" s="1"/>
  <c r="CB47" i="51"/>
  <c r="BX39" i="51"/>
  <c r="BY39" i="51" s="1"/>
  <c r="CB39" i="51"/>
  <c r="Y249" i="22"/>
  <c r="BZ283" i="22"/>
  <c r="CB283" i="22" s="1"/>
  <c r="BZ249" i="22"/>
  <c r="CB249" i="22" s="1"/>
  <c r="BU255" i="22"/>
  <c r="BW255" i="22" s="1"/>
  <c r="CF276" i="22"/>
  <c r="CG276" i="22" s="1"/>
  <c r="CG274" i="22"/>
  <c r="CF274" i="22"/>
  <c r="I275" i="38"/>
  <c r="AP172" i="22"/>
  <c r="AR172" i="22" s="1"/>
  <c r="G264" i="22"/>
  <c r="AU172" i="22"/>
  <c r="AW172" i="22" s="1"/>
  <c r="W268" i="38"/>
  <c r="AP174" i="22"/>
  <c r="AR174" i="22" s="1"/>
  <c r="G266" i="22"/>
  <c r="AF174" i="22"/>
  <c r="AH174" i="22" s="1"/>
  <c r="AU174" i="22"/>
  <c r="AW174" i="22" s="1"/>
  <c r="AG184" i="22"/>
  <c r="AH184" i="22"/>
  <c r="Y252" i="22"/>
  <c r="BP252" i="22"/>
  <c r="BR252" i="22" s="1"/>
  <c r="BZ252" i="22"/>
  <c r="CB252" i="22" s="1"/>
  <c r="V252" i="22"/>
  <c r="I252" i="22"/>
  <c r="BP20" i="51" s="1"/>
  <c r="AU197" i="22"/>
  <c r="AW197" i="22" s="1"/>
  <c r="AK197" i="22"/>
  <c r="AM197" i="22" s="1"/>
  <c r="AF197" i="22"/>
  <c r="AH197" i="22" s="1"/>
  <c r="G289" i="22"/>
  <c r="AP152" i="22"/>
  <c r="AR152" i="22" s="1"/>
  <c r="G244" i="22"/>
  <c r="BU244" i="22" s="1"/>
  <c r="BW244" i="22" s="1"/>
  <c r="AF152" i="22"/>
  <c r="AH152" i="22" s="1"/>
  <c r="AU152" i="22"/>
  <c r="AW152" i="22" s="1"/>
  <c r="G245" i="38"/>
  <c r="CE292" i="22"/>
  <c r="CG292" i="22" s="1"/>
  <c r="BZ292" i="22"/>
  <c r="CB292" i="22" s="1"/>
  <c r="Y292" i="22"/>
  <c r="BN60" i="51"/>
  <c r="BP292" i="22"/>
  <c r="BR292" i="22" s="1"/>
  <c r="V292" i="22"/>
  <c r="CC43" i="51"/>
  <c r="CD43" i="51" s="1"/>
  <c r="CE43" i="51"/>
  <c r="CF43" i="51" s="1"/>
  <c r="W260" i="38"/>
  <c r="A147" i="51"/>
  <c r="A148" i="51"/>
  <c r="W285" i="38"/>
  <c r="X246" i="22"/>
  <c r="BN52" i="51"/>
  <c r="CE284" i="22"/>
  <c r="CG284" i="22" s="1"/>
  <c r="Y284" i="22"/>
  <c r="F540" i="38"/>
  <c r="W244" i="38"/>
  <c r="CE50" i="51"/>
  <c r="CF50" i="51" s="1"/>
  <c r="AL278" i="22"/>
  <c r="AA278" i="22"/>
  <c r="BT294" i="22"/>
  <c r="AK13" i="51"/>
  <c r="BZ11" i="51"/>
  <c r="CA11" i="51" s="1"/>
  <c r="E101" i="51"/>
  <c r="CB282" i="22"/>
  <c r="BN46" i="51"/>
  <c r="M157" i="51"/>
  <c r="G159" i="51"/>
  <c r="BX28" i="51"/>
  <c r="BZ28" i="51"/>
  <c r="CB11" i="51"/>
  <c r="BN51" i="51"/>
  <c r="AV184" i="22"/>
  <c r="AW184" i="22" s="1"/>
  <c r="K22" i="15"/>
  <c r="J18" i="15"/>
  <c r="I51" i="15"/>
  <c r="J51" i="15" s="1"/>
  <c r="I22" i="15"/>
  <c r="I23" i="15"/>
  <c r="J22" i="15"/>
  <c r="I28" i="15"/>
  <c r="L28" i="15" s="1"/>
  <c r="I49" i="15"/>
  <c r="J49" i="15" s="1"/>
  <c r="I37" i="15"/>
  <c r="AF149" i="22"/>
  <c r="AH149" i="22" s="1"/>
  <c r="AU149" i="22"/>
  <c r="G241" i="22"/>
  <c r="AP149" i="22"/>
  <c r="AR149" i="22" s="1"/>
  <c r="AK149" i="22"/>
  <c r="AM149" i="22" s="1"/>
  <c r="Y250" i="22"/>
  <c r="BP250" i="22"/>
  <c r="BR250" i="22" s="1"/>
  <c r="CE250" i="22"/>
  <c r="CG250" i="22" s="1"/>
  <c r="BN18" i="51"/>
  <c r="I250" i="22"/>
  <c r="BP18" i="51" s="1"/>
  <c r="Y253" i="22"/>
  <c r="CE253" i="22"/>
  <c r="CG253" i="22" s="1"/>
  <c r="BU253" i="22"/>
  <c r="BW253" i="22" s="1"/>
  <c r="I253" i="22"/>
  <c r="BP21" i="51" s="1"/>
  <c r="CC51" i="51"/>
  <c r="CD51" i="51" s="1"/>
  <c r="CG51" i="51"/>
  <c r="G270" i="38"/>
  <c r="BN14" i="51"/>
  <c r="Y246" i="22"/>
  <c r="CE246" i="22"/>
  <c r="CG246" i="22" s="1"/>
  <c r="V246" i="22"/>
  <c r="V254" i="22"/>
  <c r="BP254" i="22"/>
  <c r="BR254" i="22" s="1"/>
  <c r="BZ254" i="22"/>
  <c r="CB254" i="22" s="1"/>
  <c r="Y254" i="22"/>
  <c r="BN22" i="51"/>
  <c r="CB238" i="22"/>
  <c r="AH146" i="22"/>
  <c r="BN6" i="51"/>
  <c r="BP238" i="22"/>
  <c r="V238" i="22"/>
  <c r="Y238" i="22"/>
  <c r="CE238" i="22"/>
  <c r="I238" i="22"/>
  <c r="BP6" i="51" s="1"/>
  <c r="G84" i="51"/>
  <c r="W261" i="38"/>
  <c r="BZ285" i="22"/>
  <c r="CB285" i="22" s="1"/>
  <c r="BP285" i="22"/>
  <c r="BR285" i="22" s="1"/>
  <c r="CE271" i="22"/>
  <c r="CG271" i="22" s="1"/>
  <c r="BN25" i="51"/>
  <c r="AU185" i="22"/>
  <c r="AW185" i="22" s="1"/>
  <c r="CB41" i="51"/>
  <c r="R364" i="26"/>
  <c r="M416" i="38"/>
  <c r="Q108" i="27"/>
  <c r="Q191" i="27"/>
  <c r="Q126" i="27"/>
  <c r="Q148" i="27"/>
  <c r="Q160" i="27"/>
  <c r="Q197" i="27"/>
  <c r="Q119" i="27"/>
  <c r="Q132" i="27"/>
  <c r="Q149" i="27"/>
  <c r="Q107" i="27"/>
  <c r="Q171" i="27"/>
  <c r="Q183" i="27"/>
  <c r="Q136" i="27"/>
  <c r="Q93" i="27"/>
  <c r="Q111" i="27"/>
  <c r="Q116" i="27"/>
  <c r="Q196" i="27"/>
  <c r="Q140" i="27"/>
  <c r="Q120" i="27"/>
  <c r="Q99" i="27"/>
  <c r="Q161" i="27"/>
  <c r="Q94" i="27"/>
  <c r="Q115" i="27"/>
  <c r="BZ55" i="51"/>
  <c r="CA55" i="51" s="1"/>
  <c r="CB55" i="51"/>
  <c r="F367" i="22"/>
  <c r="J419" i="38"/>
  <c r="M419" i="38" s="1"/>
  <c r="J427" i="38"/>
  <c r="M427" i="38" s="1"/>
  <c r="J417" i="38"/>
  <c r="J425" i="38"/>
  <c r="M425" i="38" s="1"/>
  <c r="J418" i="38"/>
  <c r="M418" i="38" s="1"/>
  <c r="J421" i="38"/>
  <c r="M421" i="38" s="1"/>
  <c r="J420" i="38"/>
  <c r="M420" i="38" s="1"/>
  <c r="CE259" i="22"/>
  <c r="CG259" i="22" s="1"/>
  <c r="BP259" i="22"/>
  <c r="BR259" i="22" s="1"/>
  <c r="K161" i="38"/>
  <c r="K168" i="38"/>
  <c r="BX41" i="51"/>
  <c r="BY41" i="51" s="1"/>
  <c r="BX37" i="51"/>
  <c r="BY37" i="51" s="1"/>
  <c r="CB37" i="51"/>
  <c r="F306" i="26"/>
  <c r="H77" i="22"/>
  <c r="I367" i="22"/>
  <c r="M367" i="22" s="1"/>
  <c r="R195" i="27"/>
  <c r="R174" i="27"/>
  <c r="A7" i="11"/>
  <c r="P64" i="23"/>
  <c r="Q64" i="23" s="1"/>
  <c r="S124" i="26"/>
  <c r="H147" i="26"/>
  <c r="J146" i="26"/>
  <c r="I148" i="26"/>
  <c r="J147" i="26"/>
  <c r="G147" i="26"/>
  <c r="K147" i="26"/>
  <c r="R40" i="26"/>
  <c r="Q40" i="26"/>
  <c r="F40" i="26"/>
  <c r="E40" i="26"/>
  <c r="J63" i="26"/>
  <c r="I63" i="26"/>
  <c r="K63" i="26"/>
  <c r="G462" i="38"/>
  <c r="G463" i="38"/>
  <c r="G467" i="38"/>
  <c r="G472" i="38"/>
  <c r="S472" i="38" s="1"/>
  <c r="G471" i="38"/>
  <c r="S471" i="38" s="1"/>
  <c r="G469" i="38"/>
  <c r="G464" i="38"/>
  <c r="G468" i="38"/>
  <c r="G474" i="38"/>
  <c r="G470" i="38"/>
  <c r="G465" i="38"/>
  <c r="S465" i="38" s="1"/>
  <c r="L69" i="26"/>
  <c r="L71" i="26" s="1"/>
  <c r="G69" i="26"/>
  <c r="R69" i="26"/>
  <c r="M69" i="26"/>
  <c r="M71" i="26" s="1"/>
  <c r="Q69" i="26"/>
  <c r="S260" i="38"/>
  <c r="E310" i="38"/>
  <c r="E302" i="38"/>
  <c r="H298" i="38"/>
  <c r="T260" i="38"/>
  <c r="E308" i="38"/>
  <c r="H308" i="38"/>
  <c r="H305" i="38"/>
  <c r="E298" i="38"/>
  <c r="BM14" i="51"/>
  <c r="I303" i="22"/>
  <c r="J166" i="10"/>
  <c r="AD166" i="10"/>
  <c r="AF166" i="10" s="1"/>
  <c r="W33" i="10"/>
  <c r="W34" i="10" s="1"/>
  <c r="S183" i="26"/>
  <c r="M348" i="26" s="1"/>
  <c r="T183" i="26"/>
  <c r="C350" i="26" s="1"/>
  <c r="S194" i="26"/>
  <c r="T194" i="26"/>
  <c r="AN18" i="15"/>
  <c r="I18" i="15"/>
  <c r="J16" i="15"/>
  <c r="J17" i="15" s="1"/>
  <c r="O18" i="15"/>
  <c r="R130" i="27"/>
  <c r="BY294" i="22"/>
  <c r="I146" i="26"/>
  <c r="G148" i="26"/>
  <c r="F407" i="22"/>
  <c r="H407" i="22"/>
  <c r="A13" i="46"/>
  <c r="A26" i="46"/>
  <c r="A19" i="46"/>
  <c r="A10" i="46"/>
  <c r="A29" i="46"/>
  <c r="A15" i="46"/>
  <c r="A18" i="46"/>
  <c r="A27" i="46"/>
  <c r="B8" i="46"/>
  <c r="A16" i="46"/>
  <c r="A11" i="46"/>
  <c r="A28" i="46"/>
  <c r="A30" i="46"/>
  <c r="BM49" i="51"/>
  <c r="U281" i="22"/>
  <c r="T281" i="22"/>
  <c r="BM29" i="51"/>
  <c r="U261" i="22"/>
  <c r="T261" i="22"/>
  <c r="M26" i="38"/>
  <c r="F503" i="38"/>
  <c r="M15" i="38"/>
  <c r="M20" i="38"/>
  <c r="M25" i="38"/>
  <c r="F413" i="38"/>
  <c r="J79" i="38"/>
  <c r="M18" i="38"/>
  <c r="F335" i="38"/>
  <c r="M27" i="38"/>
  <c r="M17" i="38"/>
  <c r="F369" i="38"/>
  <c r="M24" i="38"/>
  <c r="F480" i="38"/>
  <c r="B210" i="38"/>
  <c r="J480" i="38"/>
  <c r="M19" i="38"/>
  <c r="I307" i="38" s="1"/>
  <c r="M28" i="38"/>
  <c r="I413" i="38"/>
  <c r="M23" i="38"/>
  <c r="M30" i="38"/>
  <c r="I369" i="38"/>
  <c r="I503" i="38"/>
  <c r="M21" i="38"/>
  <c r="F294" i="38"/>
  <c r="I335" i="38"/>
  <c r="I458" i="38"/>
  <c r="M31" i="38"/>
  <c r="I392" i="38"/>
  <c r="M22" i="38"/>
  <c r="H48" i="38"/>
  <c r="F458" i="38"/>
  <c r="F392" i="38"/>
  <c r="I434" i="38"/>
  <c r="G49" i="38"/>
  <c r="B430" i="38"/>
  <c r="I79" i="38"/>
  <c r="K23" i="38"/>
  <c r="B409" i="38"/>
  <c r="B311" i="38"/>
  <c r="K29" i="38"/>
  <c r="K30" i="38"/>
  <c r="K17" i="38"/>
  <c r="K20" i="38"/>
  <c r="B475" i="38"/>
  <c r="K19" i="38"/>
  <c r="B352" i="38"/>
  <c r="K18" i="38"/>
  <c r="K27" i="38"/>
  <c r="B451" i="38"/>
  <c r="K25" i="38"/>
  <c r="K28" i="38"/>
  <c r="K21" i="38"/>
  <c r="B209" i="38"/>
  <c r="B386" i="38"/>
  <c r="K26" i="38"/>
  <c r="K22" i="38"/>
  <c r="K31" i="38"/>
  <c r="A27" i="64"/>
  <c r="A16" i="64"/>
  <c r="A31" i="64"/>
  <c r="A26" i="64"/>
  <c r="A13" i="64"/>
  <c r="N92" i="4"/>
  <c r="U48" i="4"/>
  <c r="F410" i="22"/>
  <c r="BM17" i="51"/>
  <c r="U249" i="22"/>
  <c r="BM37" i="51"/>
  <c r="U269" i="22"/>
  <c r="G352" i="38"/>
  <c r="C224" i="26"/>
  <c r="D224" i="26" s="1"/>
  <c r="J241" i="26"/>
  <c r="R27" i="14"/>
  <c r="J98" i="22"/>
  <c r="J120" i="22" s="1"/>
  <c r="O465" i="22" s="1"/>
  <c r="W21" i="2"/>
  <c r="V21" i="2"/>
  <c r="V25" i="2"/>
  <c r="W25" i="2"/>
  <c r="I211" i="26"/>
  <c r="W211" i="26"/>
  <c r="I192" i="26"/>
  <c r="W192" i="26"/>
  <c r="I189" i="26"/>
  <c r="Y189" i="26"/>
  <c r="R365" i="26"/>
  <c r="R368" i="26"/>
  <c r="F177" i="26"/>
  <c r="H226" i="26" s="1"/>
  <c r="R387" i="26"/>
  <c r="F178" i="26"/>
  <c r="Q177" i="26"/>
  <c r="F186" i="26"/>
  <c r="F185" i="26"/>
  <c r="F193" i="26"/>
  <c r="Q193" i="26"/>
  <c r="F201" i="26"/>
  <c r="F202" i="26"/>
  <c r="Q201" i="26"/>
  <c r="R209" i="26"/>
  <c r="F209" i="26"/>
  <c r="F210" i="26"/>
  <c r="F218" i="26"/>
  <c r="Q217" i="26"/>
  <c r="N48" i="4"/>
  <c r="Q48" i="4"/>
  <c r="W70" i="8"/>
  <c r="H70" i="8"/>
  <c r="F146" i="26"/>
  <c r="K146" i="26"/>
  <c r="M146" i="26"/>
  <c r="M150" i="26" s="1"/>
  <c r="Q146" i="26"/>
  <c r="G146" i="26"/>
  <c r="H146" i="26"/>
  <c r="I106" i="22"/>
  <c r="G502" i="22"/>
  <c r="K502" i="22"/>
  <c r="D502" i="22"/>
  <c r="R5" i="22"/>
  <c r="D504" i="22"/>
  <c r="I502" i="22"/>
  <c r="H502" i="22"/>
  <c r="J502" i="22"/>
  <c r="F226" i="26"/>
  <c r="K65" i="26"/>
  <c r="S204" i="26"/>
  <c r="T204" i="26"/>
  <c r="S116" i="26"/>
  <c r="I147" i="26"/>
  <c r="J148" i="26"/>
  <c r="H148" i="26"/>
  <c r="E306" i="38"/>
  <c r="H310" i="38"/>
  <c r="K310" i="38" s="1"/>
  <c r="E309" i="38"/>
  <c r="E305" i="38"/>
  <c r="E304" i="38"/>
  <c r="H302" i="38"/>
  <c r="E299" i="38"/>
  <c r="K299" i="38" s="1"/>
  <c r="H300" i="38"/>
  <c r="I308" i="38"/>
  <c r="H309" i="38"/>
  <c r="E307" i="38"/>
  <c r="K307" i="38" s="1"/>
  <c r="H306" i="38"/>
  <c r="H304" i="38"/>
  <c r="K304" i="38" s="1"/>
  <c r="E303" i="38"/>
  <c r="K303" i="38" s="1"/>
  <c r="H301" i="38"/>
  <c r="K301" i="38" s="1"/>
  <c r="E300" i="38"/>
  <c r="F300" i="38"/>
  <c r="I304" i="38"/>
  <c r="J68" i="26"/>
  <c r="K92" i="4"/>
  <c r="AG22" i="4"/>
  <c r="BM8" i="51"/>
  <c r="J304" i="22"/>
  <c r="I304" i="22"/>
  <c r="I301" i="22"/>
  <c r="J303" i="22"/>
  <c r="C235" i="26"/>
  <c r="D235" i="26" s="1"/>
  <c r="W172" i="26"/>
  <c r="W208" i="26"/>
  <c r="X213" i="26"/>
  <c r="T60" i="26"/>
  <c r="U60" i="26" s="1"/>
  <c r="X197" i="26"/>
  <c r="X175" i="26"/>
  <c r="W187" i="26"/>
  <c r="L58" i="26"/>
  <c r="X202" i="26"/>
  <c r="W199" i="26"/>
  <c r="X195" i="26"/>
  <c r="X216" i="26"/>
  <c r="X194" i="26"/>
  <c r="W179" i="26"/>
  <c r="X206" i="26"/>
  <c r="X186" i="26"/>
  <c r="X208" i="26"/>
  <c r="W204" i="26"/>
  <c r="X209" i="26"/>
  <c r="X182" i="26"/>
  <c r="W180" i="26"/>
  <c r="W185" i="26"/>
  <c r="W184" i="26"/>
  <c r="X176" i="26"/>
  <c r="X214" i="26"/>
  <c r="W212" i="26"/>
  <c r="W215" i="26"/>
  <c r="X210" i="26"/>
  <c r="X199" i="26"/>
  <c r="X217" i="26"/>
  <c r="X179" i="26"/>
  <c r="X192" i="26"/>
  <c r="X178" i="26"/>
  <c r="T59" i="26"/>
  <c r="U59" i="26" s="1"/>
  <c r="W177" i="26"/>
  <c r="X218" i="26"/>
  <c r="X200" i="26"/>
  <c r="X180" i="26"/>
  <c r="W195" i="26"/>
  <c r="X205" i="26"/>
  <c r="X181" i="26"/>
  <c r="L60" i="26"/>
  <c r="X171" i="26"/>
  <c r="Q235" i="26"/>
  <c r="P362" i="22"/>
  <c r="A27" i="43"/>
  <c r="A10" i="43"/>
  <c r="A19" i="43"/>
  <c r="A28" i="43"/>
  <c r="A11" i="43"/>
  <c r="A16" i="43"/>
  <c r="A30" i="43"/>
  <c r="A26" i="43"/>
  <c r="A29" i="43"/>
  <c r="T163" i="10"/>
  <c r="Z163" i="10"/>
  <c r="M65" i="23"/>
  <c r="L60" i="23"/>
  <c r="P60" i="23" s="1"/>
  <c r="Q60" i="23" s="1"/>
  <c r="L61" i="23"/>
  <c r="N65" i="23"/>
  <c r="M63" i="23"/>
  <c r="L62" i="23"/>
  <c r="P62" i="23" s="1"/>
  <c r="Q62" i="23" s="1"/>
  <c r="F116" i="23"/>
  <c r="I116" i="23" s="1"/>
  <c r="F118" i="23"/>
  <c r="I118" i="23" s="1"/>
  <c r="F126" i="23" s="1"/>
  <c r="F117" i="23"/>
  <c r="I117" i="23" s="1"/>
  <c r="AB52" i="29"/>
  <c r="AB109" i="29"/>
  <c r="T163" i="22"/>
  <c r="G209" i="22"/>
  <c r="K209" i="22"/>
  <c r="J207" i="22"/>
  <c r="I207" i="22"/>
  <c r="I210" i="22"/>
  <c r="J210" i="22"/>
  <c r="G210" i="22"/>
  <c r="I205" i="22"/>
  <c r="K207" i="22"/>
  <c r="H210" i="22"/>
  <c r="K210" i="22"/>
  <c r="I203" i="26"/>
  <c r="Y203" i="26"/>
  <c r="W203" i="26"/>
  <c r="I197" i="26"/>
  <c r="Y197" i="26"/>
  <c r="W197" i="26"/>
  <c r="G371" i="38"/>
  <c r="G379" i="38"/>
  <c r="M379" i="38" s="1"/>
  <c r="G383" i="38"/>
  <c r="M383" i="38" s="1"/>
  <c r="R48" i="4"/>
  <c r="A29" i="64"/>
  <c r="H410" i="22"/>
  <c r="J150" i="10"/>
  <c r="Q303" i="26"/>
  <c r="Q324" i="26"/>
  <c r="Q274" i="26"/>
  <c r="Q155" i="26"/>
  <c r="Q304" i="26"/>
  <c r="Q305" i="26"/>
  <c r="Q225" i="26"/>
  <c r="Q41" i="26"/>
  <c r="G41" i="26" s="1"/>
  <c r="Q148" i="26"/>
  <c r="Q242" i="26"/>
  <c r="Q264" i="26"/>
  <c r="Q256" i="26"/>
  <c r="Q241" i="26"/>
  <c r="Q68" i="26"/>
  <c r="Q283" i="26"/>
  <c r="Q233" i="26"/>
  <c r="Q276" i="26"/>
  <c r="Q285" i="26"/>
  <c r="D16" i="58"/>
  <c r="BM35" i="51"/>
  <c r="U267" i="22"/>
  <c r="T267" i="22"/>
  <c r="C171" i="27"/>
  <c r="D171" i="27" s="1"/>
  <c r="M171" i="27"/>
  <c r="K148" i="26"/>
  <c r="N22" i="4"/>
  <c r="K22" i="4"/>
  <c r="C325" i="26"/>
  <c r="D325" i="26" s="1"/>
  <c r="R325" i="26"/>
  <c r="AO39" i="15"/>
  <c r="AN62" i="15"/>
  <c r="AO62" i="15" s="1"/>
  <c r="O16" i="15"/>
  <c r="O17" i="15" s="1"/>
  <c r="AO16" i="15"/>
  <c r="AO17" i="15" s="1"/>
  <c r="AO18" i="15"/>
  <c r="P16" i="15"/>
  <c r="P17" i="15" s="1"/>
  <c r="P18" i="15"/>
  <c r="AN16" i="15"/>
  <c r="AN17" i="15" s="1"/>
  <c r="I16" i="15"/>
  <c r="I17" i="15" s="1"/>
  <c r="E466" i="38"/>
  <c r="E462" i="38"/>
  <c r="E473" i="38"/>
  <c r="S473" i="38" s="1"/>
  <c r="B275" i="26"/>
  <c r="B293" i="26"/>
  <c r="BR26" i="33"/>
  <c r="E463" i="38"/>
  <c r="E464" i="38"/>
  <c r="E467" i="38"/>
  <c r="E474" i="38"/>
  <c r="O63" i="23"/>
  <c r="O61" i="23"/>
  <c r="BU26" i="33"/>
  <c r="K26" i="33"/>
  <c r="AP26" i="33"/>
  <c r="Y26" i="33"/>
  <c r="AC26" i="33"/>
  <c r="T26" i="33"/>
  <c r="AI26" i="33"/>
  <c r="CH26" i="33"/>
  <c r="AW26" i="33"/>
  <c r="CF26" i="33"/>
  <c r="BS26" i="33"/>
  <c r="CG26" i="33"/>
  <c r="AT26" i="33"/>
  <c r="CK26" i="33"/>
  <c r="S26" i="33"/>
  <c r="J26" i="33"/>
  <c r="CB26" i="33"/>
  <c r="CE26" i="33"/>
  <c r="X26" i="33"/>
  <c r="AG26" i="33"/>
  <c r="W26" i="33"/>
  <c r="N26" i="33"/>
  <c r="CJ26" i="33"/>
  <c r="AV26" i="33"/>
  <c r="AB26" i="33"/>
  <c r="AQ26" i="33"/>
  <c r="AH26" i="33"/>
  <c r="Q26" i="33"/>
  <c r="BV26" i="33"/>
  <c r="O26" i="33"/>
  <c r="E468" i="38"/>
  <c r="E469" i="38"/>
  <c r="E470" i="38"/>
  <c r="AR26" i="33"/>
  <c r="AU26" i="33"/>
  <c r="R26" i="33"/>
  <c r="AB402" i="29"/>
  <c r="AB429" i="29"/>
  <c r="AB514" i="29"/>
  <c r="H108" i="38"/>
  <c r="M108" i="38"/>
  <c r="G108" i="38"/>
  <c r="B177" i="27"/>
  <c r="B113" i="27"/>
  <c r="B133" i="27"/>
  <c r="B92" i="27"/>
  <c r="G95" i="38"/>
  <c r="M95" i="38"/>
  <c r="CA26" i="33"/>
  <c r="AJ26" i="33"/>
  <c r="L104" i="38"/>
  <c r="J337" i="38" s="1"/>
  <c r="L108" i="38"/>
  <c r="J55" i="38"/>
  <c r="F55" i="38"/>
  <c r="H95" i="38"/>
  <c r="B114" i="27"/>
  <c r="B178" i="27"/>
  <c r="B199" i="27"/>
  <c r="B155" i="27"/>
  <c r="K196" i="38"/>
  <c r="I196" i="38"/>
  <c r="B154" i="27"/>
  <c r="L92" i="38"/>
  <c r="M92" i="38"/>
  <c r="G92" i="38"/>
  <c r="H90" i="38"/>
  <c r="L90" i="38"/>
  <c r="M90" i="38"/>
  <c r="B112" i="27"/>
  <c r="B91" i="27"/>
  <c r="B176" i="27"/>
  <c r="B153" i="27"/>
  <c r="F59" i="38"/>
  <c r="E59" i="38"/>
  <c r="J59" i="38"/>
  <c r="L96" i="38"/>
  <c r="M96" i="38"/>
  <c r="H114" i="38"/>
  <c r="M114" i="38"/>
  <c r="S76" i="22"/>
  <c r="G76" i="22" s="1"/>
  <c r="F76" i="22"/>
  <c r="L210" i="22"/>
  <c r="R210" i="22"/>
  <c r="L99" i="38"/>
  <c r="G99" i="38"/>
  <c r="M99" i="38"/>
  <c r="H99" i="38"/>
  <c r="P41" i="59"/>
  <c r="D41" i="59" s="1"/>
  <c r="Q41" i="59"/>
  <c r="E41" i="59" s="1"/>
  <c r="M41" i="59"/>
  <c r="Q37" i="59"/>
  <c r="E37" i="59" s="1"/>
  <c r="M37" i="59"/>
  <c r="P37" i="59"/>
  <c r="D37" i="59" s="1"/>
  <c r="M33" i="59"/>
  <c r="Q33" i="59"/>
  <c r="E33" i="59" s="1"/>
  <c r="M29" i="59"/>
  <c r="Q29" i="59"/>
  <c r="E29" i="59" s="1"/>
  <c r="M25" i="59"/>
  <c r="Q25" i="59"/>
  <c r="E25" i="59" s="1"/>
  <c r="P25" i="59"/>
  <c r="D25" i="59" s="1"/>
  <c r="M17" i="59"/>
  <c r="M42" i="59" s="1"/>
  <c r="P17" i="59"/>
  <c r="D17" i="59" s="1"/>
  <c r="Q17" i="59"/>
  <c r="E17" i="59" s="1"/>
  <c r="M13" i="59"/>
  <c r="Q13" i="59"/>
  <c r="E13" i="59" s="1"/>
  <c r="H109" i="38"/>
  <c r="G109" i="38"/>
  <c r="G112" i="38"/>
  <c r="M205" i="38"/>
  <c r="B181" i="27"/>
  <c r="J364" i="22"/>
  <c r="N364" i="22" s="1"/>
  <c r="R316" i="22"/>
  <c r="T303" i="22"/>
  <c r="I102" i="22"/>
  <c r="K102" i="22"/>
  <c r="H111" i="22"/>
  <c r="R111" i="22"/>
  <c r="K206" i="38"/>
  <c r="M206" i="38"/>
  <c r="H206" i="38"/>
  <c r="J206" i="38"/>
  <c r="Q21" i="59"/>
  <c r="E21" i="59" s="1"/>
  <c r="P29" i="59"/>
  <c r="D29" i="59" s="1"/>
  <c r="T12" i="59"/>
  <c r="T37" i="59"/>
  <c r="S35" i="59"/>
  <c r="P33" i="59"/>
  <c r="D33" i="59" s="1"/>
  <c r="K42" i="59"/>
  <c r="K182" i="27"/>
  <c r="H203" i="38"/>
  <c r="J203" i="38"/>
  <c r="K205" i="38"/>
  <c r="I205" i="38"/>
  <c r="L98" i="38"/>
  <c r="I110" i="22"/>
  <c r="G74" i="22"/>
  <c r="G77" i="22" s="1"/>
  <c r="M210" i="22"/>
  <c r="T411" i="22"/>
  <c r="C411" i="22"/>
  <c r="D411" i="22" s="1"/>
  <c r="X302" i="22"/>
  <c r="T302" i="22"/>
  <c r="X326" i="22"/>
  <c r="C326" i="22"/>
  <c r="D326" i="22" s="1"/>
  <c r="X376" i="22"/>
  <c r="T410" i="22"/>
  <c r="C410" i="22"/>
  <c r="D410" i="22" s="1"/>
  <c r="V455" i="22"/>
  <c r="C455" i="22"/>
  <c r="D455" i="22" s="1"/>
  <c r="G117" i="38"/>
  <c r="M117" i="38"/>
  <c r="L117" i="38"/>
  <c r="S30" i="59"/>
  <c r="T27" i="59"/>
  <c r="H42" i="59"/>
  <c r="G98" i="38"/>
  <c r="M98" i="38"/>
  <c r="L205" i="38"/>
  <c r="F205" i="38"/>
  <c r="B137" i="27"/>
  <c r="B117" i="27"/>
  <c r="I111" i="22"/>
  <c r="K111" i="22"/>
  <c r="J366" i="22"/>
  <c r="N366" i="22" s="1"/>
  <c r="R223" i="22"/>
  <c r="R209" i="22"/>
  <c r="F209" i="22"/>
  <c r="T209" i="22"/>
  <c r="X327" i="22"/>
  <c r="C327" i="22"/>
  <c r="D327" i="22" s="1"/>
  <c r="C352" i="22"/>
  <c r="D352" i="22" s="1"/>
  <c r="X352" i="22"/>
  <c r="T352" i="22"/>
  <c r="X366" i="22"/>
  <c r="C366" i="22"/>
  <c r="D366" i="22" s="1"/>
  <c r="T388" i="22"/>
  <c r="C388" i="22"/>
  <c r="D388" i="22" s="1"/>
  <c r="L101" i="38"/>
  <c r="G101" i="38"/>
  <c r="S20" i="59"/>
  <c r="T17" i="59"/>
  <c r="S21" i="59"/>
  <c r="S33" i="59"/>
  <c r="T16" i="59"/>
  <c r="T13" i="59"/>
  <c r="T25" i="59"/>
  <c r="T35" i="59"/>
  <c r="T22" i="59"/>
  <c r="S18" i="59"/>
  <c r="S28" i="59"/>
  <c r="S38" i="59"/>
  <c r="T36" i="59"/>
  <c r="S17" i="59"/>
  <c r="S27" i="59"/>
  <c r="S37" i="59"/>
  <c r="T32" i="59"/>
  <c r="T19" i="59"/>
  <c r="T29" i="59"/>
  <c r="T41" i="59"/>
  <c r="T40" i="59"/>
  <c r="S22" i="59"/>
  <c r="S34" i="59"/>
  <c r="T18" i="59"/>
  <c r="S19" i="59"/>
  <c r="S29" i="59"/>
  <c r="S41" i="59"/>
  <c r="T38" i="59"/>
  <c r="T21" i="59"/>
  <c r="T33" i="59"/>
  <c r="T14" i="59"/>
  <c r="S14" i="59"/>
  <c r="S26" i="59"/>
  <c r="S36" i="59"/>
  <c r="T24" i="59"/>
  <c r="J204" i="38"/>
  <c r="B95" i="27"/>
  <c r="F63" i="38"/>
  <c r="L208" i="38"/>
  <c r="E63" i="38"/>
  <c r="Q28" i="59"/>
  <c r="E28" i="59" s="1"/>
  <c r="S15" i="59"/>
  <c r="S23" i="59"/>
  <c r="S31" i="59"/>
  <c r="S39" i="59"/>
  <c r="T26" i="59"/>
  <c r="T15" i="59"/>
  <c r="T23" i="59"/>
  <c r="T31" i="59"/>
  <c r="T39" i="59"/>
  <c r="T28" i="59"/>
  <c r="S16" i="59"/>
  <c r="S24" i="59"/>
  <c r="S32" i="59"/>
  <c r="S40" i="59"/>
  <c r="T30" i="59"/>
  <c r="P40" i="59"/>
  <c r="D40" i="59" s="1"/>
  <c r="I42" i="59"/>
  <c r="T115" i="4"/>
  <c r="T125" i="4"/>
  <c r="D127" i="4"/>
  <c r="P127" i="4"/>
  <c r="T119" i="4"/>
  <c r="K116" i="22"/>
  <c r="X54" i="7"/>
  <c r="J126" i="4"/>
  <c r="J127" i="4" s="1"/>
  <c r="J131" i="4"/>
  <c r="J128" i="4" s="1"/>
  <c r="R128" i="4"/>
  <c r="D116" i="4"/>
  <c r="D125" i="4"/>
  <c r="D119" i="4"/>
  <c r="H127" i="4"/>
  <c r="H116" i="4"/>
  <c r="H115" i="4"/>
  <c r="L127" i="4"/>
  <c r="L116" i="4"/>
  <c r="L125" i="4"/>
  <c r="L115" i="4"/>
  <c r="I181" i="51"/>
  <c r="I180" i="51"/>
  <c r="CO28" i="51"/>
  <c r="F208" i="38"/>
  <c r="P125" i="4"/>
  <c r="P115" i="4"/>
  <c r="J125" i="4"/>
  <c r="T116" i="4"/>
  <c r="L119" i="4"/>
  <c r="P119" i="4"/>
  <c r="T120" i="4"/>
  <c r="H120" i="4"/>
  <c r="K30" i="2"/>
  <c r="I31" i="2" s="1"/>
  <c r="CO12" i="51"/>
  <c r="BP281" i="22"/>
  <c r="BR281" i="22" s="1"/>
  <c r="CE281" i="22"/>
  <c r="CG281" i="22" s="1"/>
  <c r="AW180" i="22"/>
  <c r="BM56" i="51"/>
  <c r="U288" i="22"/>
  <c r="DI7" i="51"/>
  <c r="DI5" i="51"/>
  <c r="DI6" i="51"/>
  <c r="DI2" i="51"/>
  <c r="DI3" i="51"/>
  <c r="DI4" i="51"/>
  <c r="DI8" i="51"/>
  <c r="BR272" i="22"/>
  <c r="BP273" i="22"/>
  <c r="BR273" i="22" s="1"/>
  <c r="CE273" i="22"/>
  <c r="CG273" i="22" s="1"/>
  <c r="BP287" i="22"/>
  <c r="BR287" i="22" s="1"/>
  <c r="CE287" i="22"/>
  <c r="CG287" i="22" s="1"/>
  <c r="T293" i="22"/>
  <c r="U293" i="22"/>
  <c r="W290" i="22"/>
  <c r="X290" i="22"/>
  <c r="BO58" i="51"/>
  <c r="BO55" i="51"/>
  <c r="X287" i="22"/>
  <c r="I75" i="67"/>
  <c r="I17" i="69"/>
  <c r="I36" i="69"/>
  <c r="N43" i="69"/>
  <c r="N49" i="69"/>
  <c r="N69" i="69"/>
  <c r="CG272" i="22"/>
  <c r="CC57" i="51"/>
  <c r="CD57" i="51" s="1"/>
  <c r="AF181" i="22"/>
  <c r="AH181" i="22" s="1"/>
  <c r="AP181" i="22"/>
  <c r="AR181" i="22" s="1"/>
  <c r="X292" i="22"/>
  <c r="AV180" i="22"/>
  <c r="DI1" i="51"/>
  <c r="CD294" i="22"/>
  <c r="DB188" i="33"/>
  <c r="DB240" i="33"/>
  <c r="DB260" i="33"/>
  <c r="DB280" i="33"/>
  <c r="DB333" i="33"/>
  <c r="DB371" i="33"/>
  <c r="DB409" i="33"/>
  <c r="DB477" i="33"/>
  <c r="DB518" i="33"/>
  <c r="DB483" i="33"/>
  <c r="DB536" i="33"/>
  <c r="DB461" i="33"/>
  <c r="DB80" i="33"/>
  <c r="DB382" i="33"/>
  <c r="DB60" i="33"/>
  <c r="DB117" i="33"/>
  <c r="DB138" i="33"/>
  <c r="DB162" i="33"/>
  <c r="DB201" i="33"/>
  <c r="DB215" i="33"/>
  <c r="DB235" i="33"/>
  <c r="DB266" i="33"/>
  <c r="DB294" i="33"/>
  <c r="DB314" i="33"/>
  <c r="DB342" i="33"/>
  <c r="DB360" i="33"/>
  <c r="DB412" i="33"/>
  <c r="DB427" i="33"/>
  <c r="DB445" i="33"/>
  <c r="DB480" i="33"/>
  <c r="DB533" i="33"/>
  <c r="DB455" i="33"/>
  <c r="DB67" i="33"/>
  <c r="DB270" i="33"/>
  <c r="DB42" i="33"/>
  <c r="DB69" i="33"/>
  <c r="DB90" i="33"/>
  <c r="DB120" i="33"/>
  <c r="DB170" i="33"/>
  <c r="DB186" i="33"/>
  <c r="DB252" i="33"/>
  <c r="DB309" i="33"/>
  <c r="DB328" i="33"/>
  <c r="DB372" i="33"/>
  <c r="DB390" i="33"/>
  <c r="DB448" i="33"/>
  <c r="DB472" i="33"/>
  <c r="DB516" i="33"/>
  <c r="DB542" i="33"/>
  <c r="DB376" i="33"/>
  <c r="DB464" i="33"/>
  <c r="DB70" i="33"/>
  <c r="DB307" i="33"/>
  <c r="DB34" i="33"/>
  <c r="DB77" i="33"/>
  <c r="DB99" i="33"/>
  <c r="DB147" i="33"/>
  <c r="DB184" i="33"/>
  <c r="DB221" i="33"/>
  <c r="DB51" i="33"/>
  <c r="DB113" i="33"/>
  <c r="DB132" i="33"/>
  <c r="DB161" i="33"/>
  <c r="DB190" i="33"/>
  <c r="DB211" i="33"/>
  <c r="DB228" i="33"/>
  <c r="DB248" i="33"/>
  <c r="DB282" i="33"/>
  <c r="DB324" i="33"/>
  <c r="DB347" i="33"/>
  <c r="DB359" i="33"/>
  <c r="DB417" i="33"/>
  <c r="DB429" i="33"/>
  <c r="DB456" i="33"/>
  <c r="DB485" i="33"/>
  <c r="DB511" i="33"/>
  <c r="DB535" i="33"/>
  <c r="DB497" i="33"/>
  <c r="DB46" i="33"/>
  <c r="DB259" i="33"/>
  <c r="DB41" i="33"/>
  <c r="DB59" i="33"/>
  <c r="DB78" i="33"/>
  <c r="DB108" i="33"/>
  <c r="DB143" i="33"/>
  <c r="DB180" i="33"/>
  <c r="DB214" i="33"/>
  <c r="DB268" i="33"/>
  <c r="DB302" i="33"/>
  <c r="DB321" i="33"/>
  <c r="DB374" i="33"/>
  <c r="DB389" i="33"/>
  <c r="DB441" i="33"/>
  <c r="DB453" i="33"/>
  <c r="DB471" i="33"/>
  <c r="DB538" i="33"/>
  <c r="DB137" i="33"/>
  <c r="DB379" i="33"/>
  <c r="DB65" i="33"/>
  <c r="DB87" i="33"/>
  <c r="DB122" i="33"/>
  <c r="DB167" i="33"/>
  <c r="DB193" i="33"/>
  <c r="DB251" i="33"/>
  <c r="DB263" i="33"/>
  <c r="DB305" i="33"/>
  <c r="DB348" i="33"/>
  <c r="DB380" i="33"/>
  <c r="DB424" i="33"/>
  <c r="DB503" i="33"/>
  <c r="DB548" i="33"/>
  <c r="DB489" i="33"/>
  <c r="DB545" i="33"/>
  <c r="DB490" i="33"/>
  <c r="DB166" i="33"/>
  <c r="DB223" i="33"/>
  <c r="DB257" i="33"/>
  <c r="DB277" i="33"/>
  <c r="DB330" i="33"/>
  <c r="DB365" i="33"/>
  <c r="DB406" i="33"/>
  <c r="DB474" i="33"/>
  <c r="DB515" i="33"/>
  <c r="DB469" i="33"/>
  <c r="DB530" i="33"/>
  <c r="DB440" i="33"/>
  <c r="DB35" i="33"/>
  <c r="DB332" i="33"/>
  <c r="DB57" i="33"/>
  <c r="DB114" i="33"/>
  <c r="DB133" i="33"/>
  <c r="DB154" i="33"/>
  <c r="DB196" i="33"/>
  <c r="DB212" i="33"/>
  <c r="DB232" i="33"/>
  <c r="DB249" i="33"/>
  <c r="DB291" i="33"/>
  <c r="DB303" i="33"/>
  <c r="DB339" i="33"/>
  <c r="DB357" i="33"/>
  <c r="DB401" i="33"/>
  <c r="DB421" i="33"/>
  <c r="DB439" i="33"/>
  <c r="DB466" i="33"/>
  <c r="DB512" i="33"/>
  <c r="DB431" i="33"/>
  <c r="DB546" i="33"/>
  <c r="DB179" i="33"/>
  <c r="DB405" i="33"/>
  <c r="DB63" i="33"/>
  <c r="DB85" i="33"/>
  <c r="DB109" i="33"/>
  <c r="DB157" i="33"/>
  <c r="DB181" i="33"/>
  <c r="DB238" i="33"/>
  <c r="DB286" i="33"/>
  <c r="DB322" i="33"/>
  <c r="DB369" i="33"/>
  <c r="DB387" i="33"/>
  <c r="DB442" i="33"/>
  <c r="DB463" i="33"/>
  <c r="DB501" i="33"/>
  <c r="DB525" i="33"/>
  <c r="DB358" i="33"/>
  <c r="DB452" i="33"/>
  <c r="DB32" i="33"/>
  <c r="DB250" i="33"/>
  <c r="DB30" i="33"/>
  <c r="DB66" i="33"/>
  <c r="DB96" i="33"/>
  <c r="DB128" i="33"/>
  <c r="DB168" i="33"/>
  <c r="DB218" i="33"/>
  <c r="DB241" i="33"/>
  <c r="DI9" i="51"/>
  <c r="DB274" i="33"/>
  <c r="DB146" i="33"/>
  <c r="DB182" i="33"/>
  <c r="DB444" i="33"/>
  <c r="DB308" i="33"/>
  <c r="DB156" i="33"/>
  <c r="DB44" i="33"/>
  <c r="DB547" i="33"/>
  <c r="DB432" i="33"/>
  <c r="DB327" i="33"/>
  <c r="DB219" i="33"/>
  <c r="DB116" i="33"/>
  <c r="DB135" i="33"/>
  <c r="D159" i="51"/>
  <c r="N77" i="22"/>
  <c r="CW40" i="51"/>
  <c r="CX40" i="51" s="1"/>
  <c r="CW26" i="51"/>
  <c r="CX26" i="51" s="1"/>
  <c r="CN34" i="51"/>
  <c r="CO34" i="51" s="1"/>
  <c r="CN46" i="51"/>
  <c r="CO46" i="51" s="1"/>
  <c r="DB254" i="33"/>
  <c r="DB95" i="33"/>
  <c r="DB544" i="33"/>
  <c r="DB397" i="33"/>
  <c r="DB271" i="33"/>
  <c r="DB119" i="33"/>
  <c r="DB287" i="33"/>
  <c r="DB514" i="33"/>
  <c r="DB420" i="33"/>
  <c r="DB293" i="33"/>
  <c r="DB195" i="33"/>
  <c r="DB56" i="33"/>
  <c r="CE269" i="22"/>
  <c r="CG269" i="22" s="1"/>
  <c r="BP269" i="22"/>
  <c r="BR269" i="22" s="1"/>
  <c r="BZ269" i="22"/>
  <c r="CB269" i="22" s="1"/>
  <c r="DB183" i="33"/>
  <c r="DB151" i="33"/>
  <c r="DB101" i="33"/>
  <c r="DB76" i="33"/>
  <c r="DB36" i="33"/>
  <c r="DB276" i="33"/>
  <c r="DB64" i="33"/>
  <c r="DB500" i="33"/>
  <c r="DB462" i="33"/>
  <c r="DB447" i="33"/>
  <c r="DB403" i="33"/>
  <c r="DB383" i="33"/>
  <c r="DB362" i="33"/>
  <c r="DB311" i="33"/>
  <c r="DB285" i="33"/>
  <c r="DB234" i="33"/>
  <c r="DB203" i="33"/>
  <c r="DB172" i="33"/>
  <c r="DB127" i="33"/>
  <c r="DB92" i="33"/>
  <c r="DB68" i="33"/>
  <c r="DB49" i="33"/>
  <c r="DB329" i="33"/>
  <c r="DB100" i="33"/>
  <c r="DB527" i="33"/>
  <c r="DB550" i="33"/>
  <c r="DB529" i="33"/>
  <c r="DB505" i="33"/>
  <c r="DB479" i="33"/>
  <c r="DB435" i="33"/>
  <c r="DB423" i="33"/>
  <c r="DB400" i="33"/>
  <c r="DB353" i="33"/>
  <c r="DB341" i="33"/>
  <c r="DB296" i="33"/>
  <c r="DB265" i="33"/>
  <c r="DB242" i="33"/>
  <c r="DB222" i="33"/>
  <c r="DB200" i="33"/>
  <c r="DB169" i="33"/>
  <c r="DB148" i="33"/>
  <c r="DB124" i="33"/>
  <c r="DB89" i="33"/>
  <c r="AS32" i="70"/>
  <c r="E33" i="70"/>
  <c r="D33" i="70"/>
  <c r="B168" i="51"/>
  <c r="H116" i="22"/>
  <c r="X84" i="7"/>
  <c r="G74" i="7"/>
  <c r="G94" i="7"/>
  <c r="G35" i="8"/>
  <c r="G39" i="8"/>
  <c r="H39" i="8" s="1"/>
  <c r="F49" i="22"/>
  <c r="S49" i="22"/>
  <c r="G49" i="22" s="1"/>
  <c r="G50" i="22" s="1"/>
  <c r="O22" i="15"/>
  <c r="O28" i="15"/>
  <c r="O23" i="15"/>
  <c r="DD272" i="33"/>
  <c r="DA272" i="33" s="1"/>
  <c r="DT77" i="33"/>
  <c r="DT184" i="33"/>
  <c r="DT242" i="33"/>
  <c r="DD30" i="33"/>
  <c r="DA30" i="33" s="1"/>
  <c r="DT30" i="33"/>
  <c r="DD377" i="33"/>
  <c r="DA377" i="33" s="1"/>
  <c r="DT377" i="33"/>
  <c r="DT74" i="33"/>
  <c r="DD74" i="33"/>
  <c r="DA74" i="33" s="1"/>
  <c r="DD282" i="33"/>
  <c r="DA282" i="33" s="1"/>
  <c r="DT282" i="33"/>
  <c r="DD331" i="33"/>
  <c r="DA331" i="33" s="1"/>
  <c r="DT331" i="33"/>
  <c r="DD297" i="33"/>
  <c r="DA297" i="33" s="1"/>
  <c r="DT297" i="33"/>
  <c r="DD36" i="33"/>
  <c r="DA36" i="33" s="1"/>
  <c r="DT36" i="33"/>
  <c r="DD283" i="33"/>
  <c r="DA283" i="33" s="1"/>
  <c r="DT283" i="33"/>
  <c r="DD255" i="33"/>
  <c r="DA255" i="33" s="1"/>
  <c r="DT255" i="33"/>
  <c r="DD99" i="33"/>
  <c r="DA99" i="33" s="1"/>
  <c r="DT99" i="33"/>
  <c r="DD86" i="33"/>
  <c r="DA86" i="33" s="1"/>
  <c r="DT86" i="33"/>
  <c r="DD126" i="33"/>
  <c r="DA126" i="33" s="1"/>
  <c r="DT126" i="33"/>
  <c r="DD479" i="33"/>
  <c r="DA479" i="33" s="1"/>
  <c r="DT479" i="33"/>
  <c r="DT236" i="33"/>
  <c r="DD236" i="33"/>
  <c r="DA236" i="33" s="1"/>
  <c r="DT107" i="33"/>
  <c r="DD107" i="33"/>
  <c r="DA107" i="33" s="1"/>
  <c r="DD54" i="33"/>
  <c r="DA54" i="33" s="1"/>
  <c r="DT54" i="33"/>
  <c r="DT447" i="33"/>
  <c r="DD447" i="33"/>
  <c r="DA447" i="33" s="1"/>
  <c r="I41" i="8"/>
  <c r="G36" i="8"/>
  <c r="DD524" i="33"/>
  <c r="DA524" i="33" s="1"/>
  <c r="DT466" i="33"/>
  <c r="DT441" i="33"/>
  <c r="DD172" i="33"/>
  <c r="DA172" i="33" s="1"/>
  <c r="DT110" i="33"/>
  <c r="DD371" i="33"/>
  <c r="DA371" i="33" s="1"/>
  <c r="DT371" i="33"/>
  <c r="DD159" i="33"/>
  <c r="DA159" i="33" s="1"/>
  <c r="DT159" i="33"/>
  <c r="DD185" i="33"/>
  <c r="DA185" i="33" s="1"/>
  <c r="DT185" i="33"/>
  <c r="DT315" i="33"/>
  <c r="DD315" i="33"/>
  <c r="DA315" i="33" s="1"/>
  <c r="DD395" i="33"/>
  <c r="DA395" i="33" s="1"/>
  <c r="DT395" i="33"/>
  <c r="DD325" i="33"/>
  <c r="DA325" i="33" s="1"/>
  <c r="DT325" i="33"/>
  <c r="DT231" i="33"/>
  <c r="DD231" i="33"/>
  <c r="DA231" i="33" s="1"/>
  <c r="DD75" i="33"/>
  <c r="DA75" i="33" s="1"/>
  <c r="DT75" i="33"/>
  <c r="DB159" i="33"/>
  <c r="DB111" i="33"/>
  <c r="DB81" i="33"/>
  <c r="DB47" i="33"/>
  <c r="DB318" i="33"/>
  <c r="DB91" i="33"/>
  <c r="DB524" i="33"/>
  <c r="DB465" i="33"/>
  <c r="DB450" i="33"/>
  <c r="DB414" i="33"/>
  <c r="DB386" i="33"/>
  <c r="DB368" i="33"/>
  <c r="DB316" i="33"/>
  <c r="DB290" i="33"/>
  <c r="DB237" i="33"/>
  <c r="DB206" i="33"/>
  <c r="DB177" i="33"/>
  <c r="DB73" i="33"/>
  <c r="DB54" i="33"/>
  <c r="DB385" i="33"/>
  <c r="DB174" i="33"/>
  <c r="DB541" i="33"/>
  <c r="DB491" i="33"/>
  <c r="DB532" i="33"/>
  <c r="DB508" i="33"/>
  <c r="DB482" i="33"/>
  <c r="DB438" i="33"/>
  <c r="DB426" i="33"/>
  <c r="DB411" i="33"/>
  <c r="DB356" i="33"/>
  <c r="DB344" i="33"/>
  <c r="DB299" i="33"/>
  <c r="DB273" i="33"/>
  <c r="DB245" i="33"/>
  <c r="DB225" i="33"/>
  <c r="DB208" i="33"/>
  <c r="DB185" i="33"/>
  <c r="DB153" i="33"/>
  <c r="DB129" i="33"/>
  <c r="DB97" i="33"/>
  <c r="AS31" i="70"/>
  <c r="AF177" i="22"/>
  <c r="AH177" i="22" s="1"/>
  <c r="J41" i="8"/>
  <c r="G38" i="8"/>
  <c r="H38" i="8" s="1"/>
  <c r="X422" i="22"/>
  <c r="DT484" i="33"/>
  <c r="DD281" i="33"/>
  <c r="DA281" i="33" s="1"/>
  <c r="DD293" i="33"/>
  <c r="DA293" i="33" s="1"/>
  <c r="DD203" i="33"/>
  <c r="DA203" i="33" s="1"/>
  <c r="DT203" i="33"/>
  <c r="DD412" i="33"/>
  <c r="DA412" i="33" s="1"/>
  <c r="DT412" i="33"/>
  <c r="DD131" i="33"/>
  <c r="DA131" i="33" s="1"/>
  <c r="DT131" i="33"/>
  <c r="DD401" i="33"/>
  <c r="DA401" i="33" s="1"/>
  <c r="DT401" i="33"/>
  <c r="DD416" i="33"/>
  <c r="DA416" i="33" s="1"/>
  <c r="DT416" i="33"/>
  <c r="DD547" i="33"/>
  <c r="DA547" i="33" s="1"/>
  <c r="DT547" i="33"/>
  <c r="DD520" i="33"/>
  <c r="DA520" i="33" s="1"/>
  <c r="DT520" i="33"/>
  <c r="DD548" i="33"/>
  <c r="DA548" i="33" s="1"/>
  <c r="DT548" i="33"/>
  <c r="DD436" i="33"/>
  <c r="DA436" i="33" s="1"/>
  <c r="DT436" i="33"/>
  <c r="DT64" i="33"/>
  <c r="DD64" i="33"/>
  <c r="DA64" i="33" s="1"/>
  <c r="DD176" i="33"/>
  <c r="DA176" i="33" s="1"/>
  <c r="DT176" i="33"/>
  <c r="DD251" i="33"/>
  <c r="DA251" i="33" s="1"/>
  <c r="DT251" i="33"/>
  <c r="DT543" i="33"/>
  <c r="DD543" i="33"/>
  <c r="DA543" i="33" s="1"/>
  <c r="DD515" i="33"/>
  <c r="DA515" i="33" s="1"/>
  <c r="DT515" i="33"/>
  <c r="DT40" i="33"/>
  <c r="DD82" i="33"/>
  <c r="DA82" i="33" s="1"/>
  <c r="DD228" i="33"/>
  <c r="DA228" i="33" s="1"/>
  <c r="DT228" i="33"/>
  <c r="DD512" i="33"/>
  <c r="DA512" i="33" s="1"/>
  <c r="DT512" i="33"/>
  <c r="DT478" i="33"/>
  <c r="DD478" i="33"/>
  <c r="DA478" i="33" s="1"/>
  <c r="DT400" i="33"/>
  <c r="DD400" i="33"/>
  <c r="DA400" i="33" s="1"/>
  <c r="DD327" i="33"/>
  <c r="DA327" i="33" s="1"/>
  <c r="DT327" i="33"/>
  <c r="DD522" i="33"/>
  <c r="DA522" i="33" s="1"/>
  <c r="DD198" i="33"/>
  <c r="DA198" i="33" s="1"/>
  <c r="DT198" i="33"/>
  <c r="DD323" i="33"/>
  <c r="DA323" i="33" s="1"/>
  <c r="DT323" i="33"/>
  <c r="DT143" i="33"/>
  <c r="DD482" i="33"/>
  <c r="DA482" i="33" s="1"/>
  <c r="DT482" i="33"/>
  <c r="DT193" i="33"/>
  <c r="DD193" i="33"/>
  <c r="DA193" i="33" s="1"/>
  <c r="DD133" i="33"/>
  <c r="DA133" i="33" s="1"/>
  <c r="DT133" i="33"/>
  <c r="DD59" i="33"/>
  <c r="DA59" i="33" s="1"/>
  <c r="DT59" i="33"/>
  <c r="DD155" i="33"/>
  <c r="DA155" i="33" s="1"/>
  <c r="DT155" i="33"/>
  <c r="DD179" i="33"/>
  <c r="DA179" i="33" s="1"/>
  <c r="DT179" i="33"/>
  <c r="DD58" i="33"/>
  <c r="DA58" i="33" s="1"/>
  <c r="DT58" i="33"/>
  <c r="DT535" i="33"/>
  <c r="DD535" i="33"/>
  <c r="DA535" i="33" s="1"/>
  <c r="DD526" i="33"/>
  <c r="DA526" i="33" s="1"/>
  <c r="DT526" i="33"/>
  <c r="DD500" i="33"/>
  <c r="DA500" i="33" s="1"/>
  <c r="DT500" i="33"/>
  <c r="DD463" i="33"/>
  <c r="DA463" i="33" s="1"/>
  <c r="DS406" i="33"/>
  <c r="DS367" i="33"/>
  <c r="DS311" i="33"/>
  <c r="DS207" i="33"/>
  <c r="B34" i="7"/>
  <c r="F32" i="7"/>
  <c r="K49" i="7"/>
  <c r="K51" i="7" s="1"/>
  <c r="K89" i="7"/>
  <c r="K91" i="7" s="1"/>
  <c r="B39" i="7"/>
  <c r="B35" i="7"/>
  <c r="K59" i="7"/>
  <c r="K61" i="7" s="1"/>
  <c r="I31" i="46" a="1"/>
  <c r="H10" i="46" a="1"/>
  <c r="I17" i="64" a="1"/>
  <c r="I27" i="46" a="1"/>
  <c r="H30" i="46" a="1"/>
  <c r="H31" i="46" a="1"/>
  <c r="H17" i="46" a="1"/>
  <c r="H13" i="46" a="1"/>
  <c r="H13" i="64" a="1"/>
  <c r="H19" i="46" a="1"/>
  <c r="H32" i="46" a="1"/>
  <c r="I18" i="46" a="1"/>
  <c r="I14" i="46" a="1"/>
  <c r="I27" i="64" a="1"/>
  <c r="I26" i="64" a="1"/>
  <c r="I15" i="64" a="1"/>
  <c r="H29" i="46" a="1"/>
  <c r="H31" i="64" a="1"/>
  <c r="I31" i="64" a="1"/>
  <c r="I18" i="64" a="1"/>
  <c r="H10" i="64" a="1"/>
  <c r="I21" i="64" a="1"/>
  <c r="I29" i="64" a="1"/>
  <c r="H28" i="64" a="1"/>
  <c r="I10" i="46" a="1"/>
  <c r="I12" i="64" a="1"/>
  <c r="H11" i="46" a="1"/>
  <c r="H14" i="64" a="1"/>
  <c r="H19" i="64" a="1"/>
  <c r="I28" i="46" a="1"/>
  <c r="H15" i="46" a="1"/>
  <c r="H27" i="64" a="1"/>
  <c r="H14" i="46" a="1"/>
  <c r="I11" i="46" a="1"/>
  <c r="H16" i="46" a="1"/>
  <c r="I12" i="46" a="1"/>
  <c r="H28" i="46" a="1"/>
  <c r="H17" i="64" a="1"/>
  <c r="I15" i="46" a="1"/>
  <c r="H26" i="46" a="1"/>
  <c r="I19" i="46" a="1"/>
  <c r="H16" i="64" a="1"/>
  <c r="I19" i="64" a="1"/>
  <c r="I20" i="46" a="1"/>
  <c r="I21" i="46" a="1"/>
  <c r="I29" i="46" a="1"/>
  <c r="I22" i="46" a="1"/>
  <c r="H29" i="64" a="1"/>
  <c r="I28" i="64" a="1"/>
  <c r="I13" i="64" a="1"/>
  <c r="H26" i="64" a="1"/>
  <c r="H27" i="46" a="1"/>
  <c r="H12" i="46" a="1"/>
  <c r="I30" i="46" a="1"/>
  <c r="I17" i="46" a="1"/>
  <c r="I32" i="64" a="1"/>
  <c r="I11" i="64" a="1"/>
  <c r="I22" i="64" a="1"/>
  <c r="I20" i="64" a="1"/>
  <c r="I14" i="64" a="1"/>
  <c r="H12" i="64" a="1"/>
  <c r="I16" i="64" a="1"/>
  <c r="I32" i="46" a="1"/>
  <c r="I30" i="64" a="1"/>
  <c r="H30" i="64" a="1"/>
  <c r="I13" i="46" a="1"/>
  <c r="I10" i="64" a="1"/>
  <c r="I26" i="46" a="1"/>
  <c r="H18" i="64" a="1"/>
  <c r="I16" i="46" a="1"/>
  <c r="H11" i="64" a="1"/>
  <c r="H32" i="64" a="1"/>
  <c r="H18" i="46" a="1"/>
  <c r="H15" i="64" a="1"/>
  <c r="S181" i="38" l="1"/>
  <c r="CE39" i="51"/>
  <c r="CF39" i="51" s="1"/>
  <c r="W267" i="38"/>
  <c r="S183" i="38"/>
  <c r="CC39" i="51"/>
  <c r="CD39" i="51" s="1"/>
  <c r="W290" i="38"/>
  <c r="CE22" i="51"/>
  <c r="CF22" i="51" s="1"/>
  <c r="W264" i="38"/>
  <c r="CG42" i="51"/>
  <c r="CC59" i="51"/>
  <c r="CD59" i="51" s="1"/>
  <c r="I272" i="38"/>
  <c r="W280" i="38"/>
  <c r="K44" i="8"/>
  <c r="H44" i="8" s="1"/>
  <c r="G44" i="8" s="1"/>
  <c r="CG46" i="51"/>
  <c r="AV14" i="51" s="1"/>
  <c r="AW14" i="51" s="1"/>
  <c r="I58" i="51" s="1"/>
  <c r="S177" i="38"/>
  <c r="CE21" i="51"/>
  <c r="CF21" i="51" s="1"/>
  <c r="W253" i="38"/>
  <c r="I265" i="38"/>
  <c r="Y257" i="38"/>
  <c r="W256" i="38"/>
  <c r="S275" i="38"/>
  <c r="CG7" i="51"/>
  <c r="CC14" i="51"/>
  <c r="CD14" i="51" s="1"/>
  <c r="CF46" i="51"/>
  <c r="AU14" i="51" s="1"/>
  <c r="CC44" i="51"/>
  <c r="CD44" i="51" s="1"/>
  <c r="A168" i="51"/>
  <c r="CC21" i="51"/>
  <c r="CD21" i="51" s="1"/>
  <c r="I281" i="38"/>
  <c r="W281" i="38"/>
  <c r="H34" i="8"/>
  <c r="W288" i="38"/>
  <c r="S171" i="38"/>
  <c r="R558" i="38"/>
  <c r="U318" i="38"/>
  <c r="I224" i="26"/>
  <c r="K308" i="38"/>
  <c r="DD183" i="33"/>
  <c r="DA183" i="33" s="1"/>
  <c r="DT183" i="33"/>
  <c r="DT380" i="33"/>
  <c r="DD380" i="33"/>
  <c r="DA380" i="33" s="1"/>
  <c r="DD390" i="33"/>
  <c r="DA390" i="33" s="1"/>
  <c r="DT390" i="33"/>
  <c r="DT399" i="33"/>
  <c r="DD399" i="33"/>
  <c r="DA399" i="33" s="1"/>
  <c r="DD289" i="33"/>
  <c r="DA289" i="33" s="1"/>
  <c r="DT289" i="33"/>
  <c r="DD307" i="33"/>
  <c r="DA307" i="33" s="1"/>
  <c r="DT307" i="33"/>
  <c r="DD87" i="33"/>
  <c r="DA87" i="33" s="1"/>
  <c r="DT87" i="33"/>
  <c r="DT338" i="33"/>
  <c r="DD338" i="33"/>
  <c r="DA338" i="33" s="1"/>
  <c r="DT443" i="33"/>
  <c r="DD443" i="33"/>
  <c r="DA443" i="33" s="1"/>
  <c r="C156" i="27"/>
  <c r="D156" i="27" s="1"/>
  <c r="R156" i="27"/>
  <c r="Q156" i="27"/>
  <c r="M175" i="27"/>
  <c r="R175" i="27"/>
  <c r="K175" i="27"/>
  <c r="C175" i="27"/>
  <c r="D175" i="27" s="1"/>
  <c r="Q175" i="27"/>
  <c r="H365" i="22"/>
  <c r="L365" i="22"/>
  <c r="C183" i="27"/>
  <c r="D183" i="27" s="1"/>
  <c r="M183" i="27"/>
  <c r="R183" i="27"/>
  <c r="K183" i="27"/>
  <c r="CG286" i="22"/>
  <c r="W79" i="8"/>
  <c r="H79" i="8"/>
  <c r="G14" i="70"/>
  <c r="M137" i="51"/>
  <c r="M138" i="51" s="1"/>
  <c r="G306" i="26"/>
  <c r="BN35" i="51"/>
  <c r="BU267" i="22"/>
  <c r="BW267" i="22" s="1"/>
  <c r="CE267" i="22"/>
  <c r="CG267" i="22" s="1"/>
  <c r="Y267" i="22"/>
  <c r="BP267" i="22"/>
  <c r="BR267" i="22" s="1"/>
  <c r="BZ267" i="22"/>
  <c r="CB267" i="22" s="1"/>
  <c r="I267" i="22"/>
  <c r="BP35" i="51" s="1"/>
  <c r="AL13" i="51"/>
  <c r="DD55" i="33"/>
  <c r="DA55" i="33" s="1"/>
  <c r="DT55" i="33"/>
  <c r="DD316" i="33"/>
  <c r="DA316" i="33" s="1"/>
  <c r="DT316" i="33"/>
  <c r="DT384" i="33"/>
  <c r="DD384" i="33"/>
  <c r="DA384" i="33" s="1"/>
  <c r="DD393" i="33"/>
  <c r="DA393" i="33" s="1"/>
  <c r="DT393" i="33"/>
  <c r="DT403" i="33"/>
  <c r="DD403" i="33"/>
  <c r="DA403" i="33" s="1"/>
  <c r="DD294" i="33"/>
  <c r="DA294" i="33" s="1"/>
  <c r="DT294" i="33"/>
  <c r="DD343" i="33"/>
  <c r="DA343" i="33" s="1"/>
  <c r="DT343" i="33"/>
  <c r="DD111" i="33"/>
  <c r="DA111" i="33" s="1"/>
  <c r="DT111" i="33"/>
  <c r="DD342" i="33"/>
  <c r="DA342" i="33" s="1"/>
  <c r="DT342" i="33"/>
  <c r="P37" i="15"/>
  <c r="O62" i="15"/>
  <c r="P62" i="15" s="1"/>
  <c r="AN65" i="15"/>
  <c r="AN66" i="15"/>
  <c r="R116" i="27"/>
  <c r="C116" i="27"/>
  <c r="D116" i="27" s="1"/>
  <c r="CO40" i="51"/>
  <c r="CX46" i="51"/>
  <c r="CX14" i="51"/>
  <c r="C151" i="27"/>
  <c r="D151" i="27" s="1"/>
  <c r="M174" i="27"/>
  <c r="K174" i="27"/>
  <c r="Q151" i="27"/>
  <c r="C180" i="27"/>
  <c r="D180" i="27" s="1"/>
  <c r="K180" i="27"/>
  <c r="M180" i="27"/>
  <c r="R180" i="27"/>
  <c r="Q180" i="27"/>
  <c r="G241" i="26"/>
  <c r="G244" i="26" s="1"/>
  <c r="G243" i="26"/>
  <c r="Q252" i="26"/>
  <c r="E252" i="26"/>
  <c r="H253" i="26"/>
  <c r="H252" i="26"/>
  <c r="R252" i="26"/>
  <c r="C252" i="26"/>
  <c r="D252" i="26" s="1"/>
  <c r="BX30" i="51"/>
  <c r="BY30" i="51" s="1"/>
  <c r="BZ30" i="51"/>
  <c r="CA30" i="51" s="1"/>
  <c r="BX16" i="51"/>
  <c r="BY16" i="51" s="1"/>
  <c r="BZ16" i="51"/>
  <c r="CA16" i="51" s="1"/>
  <c r="BZ246" i="22"/>
  <c r="CB246" i="22" s="1"/>
  <c r="BP246" i="22"/>
  <c r="BR246" i="22" s="1"/>
  <c r="G212" i="22"/>
  <c r="P63" i="23"/>
  <c r="Q63" i="23" s="1"/>
  <c r="P65" i="23"/>
  <c r="Q65" i="23" s="1"/>
  <c r="C73" i="23" s="1"/>
  <c r="K306" i="38"/>
  <c r="K300" i="38"/>
  <c r="M149" i="26"/>
  <c r="L149" i="26"/>
  <c r="CC47" i="51"/>
  <c r="CD47" i="51" s="1"/>
  <c r="CC54" i="51"/>
  <c r="CD54" i="51" s="1"/>
  <c r="S179" i="38"/>
  <c r="CC26" i="51"/>
  <c r="CD26" i="51" s="1"/>
  <c r="CG14" i="51"/>
  <c r="DD71" i="33"/>
  <c r="DA71" i="33" s="1"/>
  <c r="DT71" i="33"/>
  <c r="DD340" i="33"/>
  <c r="DA340" i="33" s="1"/>
  <c r="DT340" i="33"/>
  <c r="DD388" i="33"/>
  <c r="DA388" i="33" s="1"/>
  <c r="DT388" i="33"/>
  <c r="DT396" i="33"/>
  <c r="DD396" i="33"/>
  <c r="DA396" i="33" s="1"/>
  <c r="DD404" i="33"/>
  <c r="DA404" i="33" s="1"/>
  <c r="DT404" i="33"/>
  <c r="DD295" i="33"/>
  <c r="DA295" i="33" s="1"/>
  <c r="DT295" i="33"/>
  <c r="DT326" i="33"/>
  <c r="DD326" i="33"/>
  <c r="DA326" i="33" s="1"/>
  <c r="DT454" i="33"/>
  <c r="DD454" i="33"/>
  <c r="DA454" i="33" s="1"/>
  <c r="C157" i="27"/>
  <c r="D157" i="27" s="1"/>
  <c r="R157" i="27"/>
  <c r="Q157" i="27"/>
  <c r="CO20" i="51"/>
  <c r="CX52" i="51"/>
  <c r="AJ238" i="22"/>
  <c r="Z238" i="22"/>
  <c r="A15" i="43"/>
  <c r="A13" i="43"/>
  <c r="A32" i="43"/>
  <c r="A31" i="43"/>
  <c r="A12" i="43"/>
  <c r="A17" i="43"/>
  <c r="A18" i="43"/>
  <c r="B8" i="43"/>
  <c r="A14" i="43"/>
  <c r="R151" i="27"/>
  <c r="R253" i="26"/>
  <c r="B257" i="26"/>
  <c r="Q253" i="26"/>
  <c r="C253" i="26"/>
  <c r="D253" i="26" s="1"/>
  <c r="BN29" i="51"/>
  <c r="BU261" i="22"/>
  <c r="BW261" i="22" s="1"/>
  <c r="BZ261" i="22"/>
  <c r="CB261" i="22" s="1"/>
  <c r="BQ276" i="22"/>
  <c r="BR276" i="22" s="1"/>
  <c r="AO13" i="51"/>
  <c r="AP13" i="51" s="1"/>
  <c r="E57" i="51" s="1"/>
  <c r="AO12" i="51"/>
  <c r="AP12" i="51" s="1"/>
  <c r="E56" i="51" s="1"/>
  <c r="BZ290" i="22"/>
  <c r="CB290" i="22" s="1"/>
  <c r="CE290" i="22"/>
  <c r="CG290" i="22" s="1"/>
  <c r="BU290" i="22"/>
  <c r="BW290" i="22" s="1"/>
  <c r="BP290" i="22"/>
  <c r="BR290" i="22" s="1"/>
  <c r="Y290" i="22"/>
  <c r="BN58" i="51"/>
  <c r="V290" i="22"/>
  <c r="BZ59" i="51"/>
  <c r="CA59" i="51" s="1"/>
  <c r="BX59" i="51"/>
  <c r="BY59" i="51" s="1"/>
  <c r="I120" i="22"/>
  <c r="M465" i="22" s="1"/>
  <c r="R370" i="26"/>
  <c r="I226" i="26"/>
  <c r="AM205" i="22"/>
  <c r="CG24" i="51"/>
  <c r="AV13" i="51" s="1"/>
  <c r="AW13" i="51" s="1"/>
  <c r="I57" i="51" s="1"/>
  <c r="DT98" i="33"/>
  <c r="DD98" i="33"/>
  <c r="DA98" i="33" s="1"/>
  <c r="DD368" i="33"/>
  <c r="DA368" i="33" s="1"/>
  <c r="DT368" i="33"/>
  <c r="DT389" i="33"/>
  <c r="DD389" i="33"/>
  <c r="DA389" i="33" s="1"/>
  <c r="DD398" i="33"/>
  <c r="DA398" i="33" s="1"/>
  <c r="DT398" i="33"/>
  <c r="DD279" i="33"/>
  <c r="DA279" i="33" s="1"/>
  <c r="DT279" i="33"/>
  <c r="DD299" i="33"/>
  <c r="DA299" i="33" s="1"/>
  <c r="DT299" i="33"/>
  <c r="DD330" i="33"/>
  <c r="DA330" i="33" s="1"/>
  <c r="DT330" i="33"/>
  <c r="DT439" i="33"/>
  <c r="DD439" i="33"/>
  <c r="DA439" i="33" s="1"/>
  <c r="BP268" i="22"/>
  <c r="BR268" i="22" s="1"/>
  <c r="CE268" i="22"/>
  <c r="CG268" i="22" s="1"/>
  <c r="V268" i="22"/>
  <c r="BN36" i="51"/>
  <c r="I268" i="22"/>
  <c r="BP36" i="51" s="1"/>
  <c r="Y268" i="22"/>
  <c r="CO26" i="51"/>
  <c r="CX50" i="51"/>
  <c r="C179" i="27"/>
  <c r="D179" i="27" s="1"/>
  <c r="R179" i="27"/>
  <c r="Q179" i="27"/>
  <c r="BM6" i="51"/>
  <c r="I302" i="22"/>
  <c r="I299" i="22"/>
  <c r="E304" i="22"/>
  <c r="Z304" i="22" s="1"/>
  <c r="H304" i="22" s="1"/>
  <c r="U238" i="22"/>
  <c r="D494" i="22" s="1"/>
  <c r="J302" i="22"/>
  <c r="J300" i="22"/>
  <c r="T238" i="22"/>
  <c r="C494" i="22" s="1"/>
  <c r="F304" i="22"/>
  <c r="N304" i="22" s="1"/>
  <c r="E303" i="22"/>
  <c r="Z303" i="22" s="1"/>
  <c r="H303" i="22" s="1"/>
  <c r="E300" i="22"/>
  <c r="Z300" i="22" s="1"/>
  <c r="H300" i="22" s="1"/>
  <c r="E299" i="22"/>
  <c r="J301" i="22"/>
  <c r="F301" i="22"/>
  <c r="E302" i="22"/>
  <c r="Z302" i="22" s="1"/>
  <c r="H302" i="22" s="1"/>
  <c r="F300" i="22"/>
  <c r="J299" i="22"/>
  <c r="F302" i="22"/>
  <c r="N302" i="22" s="1"/>
  <c r="I300" i="22"/>
  <c r="E301" i="22"/>
  <c r="Z301" i="22" s="1"/>
  <c r="H301" i="22" s="1"/>
  <c r="F299" i="22"/>
  <c r="F303" i="22"/>
  <c r="AG180" i="22"/>
  <c r="AH180" i="22" s="1"/>
  <c r="AH205" i="22" s="1"/>
  <c r="AH206" i="22" s="1"/>
  <c r="C135" i="27"/>
  <c r="D135" i="27" s="1"/>
  <c r="Q135" i="27"/>
  <c r="R135" i="27"/>
  <c r="J242" i="26"/>
  <c r="M242" i="26" s="1"/>
  <c r="J243" i="26"/>
  <c r="M243" i="26" s="1"/>
  <c r="H116" i="27"/>
  <c r="K116" i="27" s="1"/>
  <c r="C336" i="22"/>
  <c r="D336" i="22" s="1"/>
  <c r="E336" i="22"/>
  <c r="W337" i="22" s="1"/>
  <c r="H337" i="22"/>
  <c r="R336" i="22"/>
  <c r="H336" i="22"/>
  <c r="X337" i="22" s="1"/>
  <c r="S336" i="22"/>
  <c r="CE252" i="22"/>
  <c r="CG252" i="22" s="1"/>
  <c r="K496" i="22"/>
  <c r="BU252" i="22"/>
  <c r="BW252" i="22" s="1"/>
  <c r="BN20" i="51"/>
  <c r="AM13" i="51"/>
  <c r="BZ277" i="22"/>
  <c r="CB277" i="22" s="1"/>
  <c r="I277" i="22"/>
  <c r="BP45" i="51" s="1"/>
  <c r="BN45" i="51"/>
  <c r="BU277" i="22"/>
  <c r="BW277" i="22" s="1"/>
  <c r="CB16" i="51"/>
  <c r="CG262" i="22"/>
  <c r="BZ19" i="51"/>
  <c r="CA19" i="51" s="1"/>
  <c r="BX19" i="51"/>
  <c r="BY19" i="51" s="1"/>
  <c r="BZ13" i="51"/>
  <c r="CA13" i="51" s="1"/>
  <c r="BX13" i="51"/>
  <c r="BY13" i="51" s="1"/>
  <c r="BU268" i="22"/>
  <c r="BW268" i="22" s="1"/>
  <c r="CE60" i="51"/>
  <c r="CF60" i="51" s="1"/>
  <c r="CC40" i="51"/>
  <c r="CD40" i="51" s="1"/>
  <c r="CC30" i="51"/>
  <c r="CD30" i="51" s="1"/>
  <c r="CC60" i="51"/>
  <c r="CD60" i="51" s="1"/>
  <c r="S185" i="38"/>
  <c r="W289" i="38"/>
  <c r="CE23" i="51"/>
  <c r="CF23" i="51" s="1"/>
  <c r="CE30" i="51"/>
  <c r="CF30" i="51" s="1"/>
  <c r="S159" i="38"/>
  <c r="I283" i="38"/>
  <c r="S255" i="38"/>
  <c r="M542" i="38" s="1"/>
  <c r="I255" i="38"/>
  <c r="I247" i="38"/>
  <c r="R581" i="38"/>
  <c r="W247" i="38"/>
  <c r="CF24" i="51"/>
  <c r="AU13" i="51" s="1"/>
  <c r="AT13" i="51"/>
  <c r="K194" i="38"/>
  <c r="S149" i="38"/>
  <c r="S157" i="38"/>
  <c r="E115" i="51"/>
  <c r="CG47" i="51"/>
  <c r="D544" i="38"/>
  <c r="R570" i="38" s="1"/>
  <c r="H338" i="38"/>
  <c r="H372" i="38" s="1"/>
  <c r="S279" i="38"/>
  <c r="CC24" i="51"/>
  <c r="CD24" i="51" s="1"/>
  <c r="AS13" i="51" s="1"/>
  <c r="CG44" i="51"/>
  <c r="G43" i="8"/>
  <c r="D14" i="58" s="1"/>
  <c r="S169" i="38"/>
  <c r="I252" i="38"/>
  <c r="I287" i="38"/>
  <c r="CC23" i="51"/>
  <c r="CD23" i="51" s="1"/>
  <c r="W274" i="38"/>
  <c r="S175" i="38"/>
  <c r="CC34" i="51"/>
  <c r="CD34" i="51" s="1"/>
  <c r="AS9" i="51" s="1"/>
  <c r="W282" i="38"/>
  <c r="Y267" i="38"/>
  <c r="S281" i="38"/>
  <c r="CE26" i="51"/>
  <c r="CF26" i="51" s="1"/>
  <c r="CE10" i="51"/>
  <c r="CF10" i="51" s="1"/>
  <c r="CC10" i="51"/>
  <c r="CD10" i="51" s="1"/>
  <c r="L137" i="51"/>
  <c r="A149" i="51" s="1"/>
  <c r="J138" i="51"/>
  <c r="I262" i="38"/>
  <c r="CE8" i="51"/>
  <c r="CF8" i="51" s="1"/>
  <c r="AU7" i="51" s="1"/>
  <c r="S155" i="38"/>
  <c r="S267" i="38"/>
  <c r="B115" i="51"/>
  <c r="CE52" i="51"/>
  <c r="CF52" i="51" s="1"/>
  <c r="CC52" i="51"/>
  <c r="CD52" i="51" s="1"/>
  <c r="Y271" i="38"/>
  <c r="S271" i="38"/>
  <c r="CE25" i="51"/>
  <c r="CF25" i="51" s="1"/>
  <c r="CC25" i="51"/>
  <c r="CD25" i="51" s="1"/>
  <c r="CG25" i="51"/>
  <c r="CE59" i="51"/>
  <c r="CF59" i="51" s="1"/>
  <c r="I257" i="38"/>
  <c r="I286" i="38"/>
  <c r="AV11" i="51"/>
  <c r="AW11" i="51" s="1"/>
  <c r="I55" i="51" s="1"/>
  <c r="S257" i="38"/>
  <c r="G243" i="38"/>
  <c r="S243" i="38" s="1"/>
  <c r="C540" i="38" s="1"/>
  <c r="CC7" i="51"/>
  <c r="CD7" i="51" s="1"/>
  <c r="S247" i="38"/>
  <c r="I276" i="38"/>
  <c r="CC33" i="51"/>
  <c r="CD33" i="51" s="1"/>
  <c r="CE33" i="51"/>
  <c r="CF33" i="51" s="1"/>
  <c r="S173" i="38"/>
  <c r="W265" i="38"/>
  <c r="W271" i="38"/>
  <c r="CE34" i="51"/>
  <c r="AT9" i="51" s="1"/>
  <c r="I268" i="38"/>
  <c r="W255" i="38"/>
  <c r="W262" i="38"/>
  <c r="F43" i="7"/>
  <c r="F44" i="7"/>
  <c r="F42" i="7"/>
  <c r="G263" i="38"/>
  <c r="S165" i="38"/>
  <c r="I271" i="38"/>
  <c r="CG11" i="51"/>
  <c r="CE11" i="51"/>
  <c r="CF11" i="51" s="1"/>
  <c r="CC11" i="51"/>
  <c r="CD11" i="51" s="1"/>
  <c r="CC35" i="51"/>
  <c r="CD35" i="51" s="1"/>
  <c r="CG35" i="51"/>
  <c r="CE35" i="51"/>
  <c r="CF35" i="51" s="1"/>
  <c r="CC16" i="51"/>
  <c r="CE16" i="51"/>
  <c r="CF16" i="51" s="1"/>
  <c r="H318" i="38"/>
  <c r="I318" i="38"/>
  <c r="W278" i="38"/>
  <c r="I278" i="38"/>
  <c r="W279" i="38"/>
  <c r="I279" i="38"/>
  <c r="I317" i="38"/>
  <c r="U317" i="38"/>
  <c r="H337" i="38"/>
  <c r="J317" i="38"/>
  <c r="S151" i="38"/>
  <c r="G249" i="38"/>
  <c r="W269" i="38"/>
  <c r="Y269" i="38"/>
  <c r="CE12" i="51"/>
  <c r="CC12" i="51"/>
  <c r="I250" i="38"/>
  <c r="CG16" i="51"/>
  <c r="AV10" i="51" s="1"/>
  <c r="AW10" i="51" s="1"/>
  <c r="I54" i="51" s="1"/>
  <c r="CD46" i="51"/>
  <c r="AS14" i="51" s="1"/>
  <c r="AR14" i="51"/>
  <c r="W254" i="38"/>
  <c r="I254" i="38"/>
  <c r="S253" i="38"/>
  <c r="G251" i="38"/>
  <c r="S153" i="38"/>
  <c r="K45" i="38"/>
  <c r="J45" i="38"/>
  <c r="L45" i="38"/>
  <c r="W364" i="38"/>
  <c r="W363" i="38" s="1"/>
  <c r="T45" i="38"/>
  <c r="M45" i="38"/>
  <c r="V364" i="38"/>
  <c r="V363" i="38" s="1"/>
  <c r="J364" i="38"/>
  <c r="I544" i="38"/>
  <c r="R578" i="38" s="1"/>
  <c r="AR13" i="51"/>
  <c r="CC8" i="51"/>
  <c r="CG54" i="51"/>
  <c r="AT7" i="51"/>
  <c r="CG9" i="51"/>
  <c r="CE9" i="51"/>
  <c r="CF9" i="51" s="1"/>
  <c r="I22" i="64"/>
  <c r="I28" i="64"/>
  <c r="I15" i="64"/>
  <c r="I27" i="64"/>
  <c r="I26" i="64"/>
  <c r="H19" i="64"/>
  <c r="H29" i="64"/>
  <c r="H27" i="64"/>
  <c r="H26" i="64"/>
  <c r="H12" i="64"/>
  <c r="H18" i="64"/>
  <c r="H17" i="64"/>
  <c r="I21" i="64"/>
  <c r="I14" i="64"/>
  <c r="I13" i="64"/>
  <c r="I30" i="64"/>
  <c r="I10" i="64"/>
  <c r="H10" i="64"/>
  <c r="H11" i="64"/>
  <c r="H32" i="64"/>
  <c r="H31" i="64"/>
  <c r="I11" i="64"/>
  <c r="I12" i="64"/>
  <c r="I20" i="64"/>
  <c r="H13" i="64"/>
  <c r="H14" i="64"/>
  <c r="I29" i="64"/>
  <c r="I17" i="64"/>
  <c r="I19" i="64"/>
  <c r="I16" i="64"/>
  <c r="I31" i="64"/>
  <c r="I32" i="64"/>
  <c r="I18" i="64"/>
  <c r="H16" i="64"/>
  <c r="H30" i="64"/>
  <c r="H28" i="64"/>
  <c r="H15" i="64"/>
  <c r="I15" i="46"/>
  <c r="H19" i="46"/>
  <c r="I20" i="46"/>
  <c r="H14" i="46"/>
  <c r="I17" i="46"/>
  <c r="I21" i="46"/>
  <c r="I18" i="46"/>
  <c r="H30" i="46"/>
  <c r="I29" i="46"/>
  <c r="H11" i="46"/>
  <c r="H32" i="46"/>
  <c r="H26" i="46"/>
  <c r="I27" i="46"/>
  <c r="H18" i="46"/>
  <c r="I32" i="46"/>
  <c r="I12" i="46"/>
  <c r="I31" i="46"/>
  <c r="H27" i="46"/>
  <c r="H31" i="46"/>
  <c r="I14" i="46"/>
  <c r="H29" i="46"/>
  <c r="H17" i="46"/>
  <c r="I30" i="46"/>
  <c r="I26" i="46"/>
  <c r="H13" i="46"/>
  <c r="I19" i="46"/>
  <c r="H12" i="46"/>
  <c r="H10" i="46"/>
  <c r="I28" i="46"/>
  <c r="I10" i="46"/>
  <c r="I22" i="46"/>
  <c r="I11" i="46"/>
  <c r="I13" i="46"/>
  <c r="I16" i="46"/>
  <c r="H15" i="46"/>
  <c r="H16" i="46"/>
  <c r="H28" i="46"/>
  <c r="J352" i="38"/>
  <c r="M352" i="38" s="1"/>
  <c r="M337" i="38"/>
  <c r="DT406" i="33"/>
  <c r="DD406" i="33"/>
  <c r="DA406" i="33" s="1"/>
  <c r="DD311" i="33"/>
  <c r="DA311" i="33" s="1"/>
  <c r="DT311" i="33"/>
  <c r="D12" i="58"/>
  <c r="H36" i="8"/>
  <c r="S50" i="8" s="1"/>
  <c r="O65" i="15"/>
  <c r="O66" i="15"/>
  <c r="G27" i="10"/>
  <c r="DB26" i="33"/>
  <c r="DE26" i="33" s="1"/>
  <c r="H31" i="2"/>
  <c r="C95" i="27"/>
  <c r="D95" i="27" s="1"/>
  <c r="Q95" i="27"/>
  <c r="R95" i="27"/>
  <c r="C137" i="27"/>
  <c r="D137" i="27" s="1"/>
  <c r="Q137" i="27"/>
  <c r="R137" i="27"/>
  <c r="C153" i="27"/>
  <c r="D153" i="27" s="1"/>
  <c r="M179" i="27"/>
  <c r="K184" i="27"/>
  <c r="M184" i="27"/>
  <c r="K179" i="27"/>
  <c r="R153" i="27"/>
  <c r="Q153" i="27"/>
  <c r="M119" i="38"/>
  <c r="H114" i="27"/>
  <c r="K114" i="27" s="1"/>
  <c r="E114" i="27"/>
  <c r="C114" i="27"/>
  <c r="D114" i="27" s="1"/>
  <c r="R114" i="27"/>
  <c r="Q114" i="27"/>
  <c r="E113" i="27"/>
  <c r="H113" i="27"/>
  <c r="C113" i="27"/>
  <c r="D113" i="27" s="1"/>
  <c r="Q113" i="27"/>
  <c r="R113" i="27"/>
  <c r="R293" i="26"/>
  <c r="C293" i="26"/>
  <c r="D293" i="26" s="1"/>
  <c r="Q293" i="26"/>
  <c r="K68" i="26"/>
  <c r="I68" i="26"/>
  <c r="G386" i="38"/>
  <c r="G415" i="38"/>
  <c r="S213" i="22"/>
  <c r="H213" i="22" s="1"/>
  <c r="H212" i="22"/>
  <c r="H211" i="22"/>
  <c r="R383" i="26"/>
  <c r="AA301" i="22"/>
  <c r="L301" i="22" s="1"/>
  <c r="I305" i="22"/>
  <c r="M301" i="22"/>
  <c r="I305" i="38"/>
  <c r="I301" i="38"/>
  <c r="K309" i="38"/>
  <c r="F301" i="38"/>
  <c r="E226" i="26"/>
  <c r="S209" i="26"/>
  <c r="T209" i="26"/>
  <c r="S201" i="26"/>
  <c r="T201" i="26"/>
  <c r="T186" i="26"/>
  <c r="S186" i="26"/>
  <c r="T177" i="26"/>
  <c r="S177" i="26"/>
  <c r="H225" i="26"/>
  <c r="K225" i="26" s="1"/>
  <c r="E225" i="26"/>
  <c r="F224" i="26"/>
  <c r="I225" i="26"/>
  <c r="H224" i="26"/>
  <c r="E224" i="26"/>
  <c r="A162" i="51"/>
  <c r="A163" i="51"/>
  <c r="Q382" i="38"/>
  <c r="Q440" i="38"/>
  <c r="Q61" i="38"/>
  <c r="G61" i="38" s="1"/>
  <c r="Q441" i="38"/>
  <c r="Q199" i="38"/>
  <c r="Q375" i="38"/>
  <c r="Q380" i="38"/>
  <c r="Q446" i="38"/>
  <c r="Q323" i="38"/>
  <c r="Q306" i="38"/>
  <c r="Q490" i="38"/>
  <c r="Q509" i="38"/>
  <c r="Q442" i="38"/>
  <c r="Q301" i="38"/>
  <c r="Q420" i="38"/>
  <c r="Q402" i="38"/>
  <c r="Q340" i="38"/>
  <c r="Q100" i="38"/>
  <c r="Q200" i="38"/>
  <c r="Q59" i="38"/>
  <c r="Q403" i="38"/>
  <c r="Q300" i="38"/>
  <c r="Q495" i="38"/>
  <c r="Q106" i="38"/>
  <c r="Q400" i="38"/>
  <c r="Q327" i="38"/>
  <c r="Q322" i="38"/>
  <c r="Q116" i="38"/>
  <c r="Q497" i="38"/>
  <c r="Q99" i="38"/>
  <c r="Q448" i="38"/>
  <c r="Q373" i="38"/>
  <c r="Q63" i="38"/>
  <c r="Q227" i="38"/>
  <c r="Q473" i="38"/>
  <c r="Q217" i="38"/>
  <c r="Q64" i="38"/>
  <c r="G64" i="38" s="1"/>
  <c r="Q384" i="38"/>
  <c r="Q474" i="38"/>
  <c r="Q89" i="38"/>
  <c r="Q425" i="38"/>
  <c r="Q226" i="38"/>
  <c r="Q406" i="38"/>
  <c r="Q331" i="38"/>
  <c r="Q348" i="38"/>
  <c r="Q107" i="38"/>
  <c r="Q319" i="38"/>
  <c r="Q341" i="38"/>
  <c r="Q467" i="38"/>
  <c r="Q94" i="38"/>
  <c r="Q223" i="38"/>
  <c r="Q324" i="38"/>
  <c r="Q114" i="38"/>
  <c r="Q515" i="38"/>
  <c r="Q377" i="38"/>
  <c r="Q381" i="38"/>
  <c r="Q221" i="38"/>
  <c r="Q379" i="38"/>
  <c r="Q418" i="38"/>
  <c r="Q110" i="38"/>
  <c r="Q491" i="38"/>
  <c r="Q224" i="38"/>
  <c r="Q510" i="38"/>
  <c r="Q98" i="38"/>
  <c r="I98" i="38" s="1"/>
  <c r="Q108" i="38"/>
  <c r="Q511" i="38"/>
  <c r="Q469" i="38"/>
  <c r="Q220" i="38"/>
  <c r="Q196" i="38"/>
  <c r="Q401" i="38"/>
  <c r="Q494" i="38"/>
  <c r="Q330" i="38"/>
  <c r="Q399" i="38"/>
  <c r="Q346" i="38"/>
  <c r="Q404" i="38"/>
  <c r="Q328" i="38"/>
  <c r="Q56" i="38"/>
  <c r="G56" i="38" s="1"/>
  <c r="Q345" i="38"/>
  <c r="Q203" i="38"/>
  <c r="Q419" i="38"/>
  <c r="Q439" i="38"/>
  <c r="Q472" i="38"/>
  <c r="Q320" i="38"/>
  <c r="Q385" i="38"/>
  <c r="Q201" i="38"/>
  <c r="Q445" i="38"/>
  <c r="Q325" i="38"/>
  <c r="Q378" i="38"/>
  <c r="Q465" i="38"/>
  <c r="Q376" i="38"/>
  <c r="Q513" i="38"/>
  <c r="Q493" i="38"/>
  <c r="Q468" i="38"/>
  <c r="Q405" i="38"/>
  <c r="Q57" i="38"/>
  <c r="G57" i="38" s="1"/>
  <c r="Q202" i="38"/>
  <c r="Q218" i="38"/>
  <c r="Q514" i="38"/>
  <c r="Q109" i="38"/>
  <c r="Q508" i="38"/>
  <c r="Q374" i="38"/>
  <c r="Q383" i="38"/>
  <c r="Q299" i="38"/>
  <c r="Q101" i="38"/>
  <c r="Q517" i="38"/>
  <c r="Q309" i="38"/>
  <c r="Q518" i="38"/>
  <c r="Q321" i="38"/>
  <c r="Q208" i="38"/>
  <c r="Q462" i="38"/>
  <c r="Q486" i="38"/>
  <c r="Q408" i="38"/>
  <c r="Q115" i="38"/>
  <c r="Q118" i="38"/>
  <c r="Q487" i="38"/>
  <c r="Q464" i="38"/>
  <c r="Q424" i="38"/>
  <c r="Q421" i="38"/>
  <c r="Q302" i="38"/>
  <c r="Q516" i="38"/>
  <c r="Q112" i="38"/>
  <c r="K112" i="38" s="1"/>
  <c r="Q343" i="38"/>
  <c r="Q92" i="38"/>
  <c r="Q204" i="38"/>
  <c r="Q351" i="38"/>
  <c r="Q97" i="38"/>
  <c r="Q463" i="38"/>
  <c r="Q423" i="38"/>
  <c r="Q326" i="38"/>
  <c r="Q350" i="38"/>
  <c r="Q496" i="38"/>
  <c r="Q429" i="38"/>
  <c r="Q417" i="38"/>
  <c r="Q438" i="38"/>
  <c r="Q470" i="38"/>
  <c r="Q471" i="38"/>
  <c r="Q310" i="38"/>
  <c r="Q53" i="38"/>
  <c r="G53" i="38" s="1"/>
  <c r="Q206" i="38"/>
  <c r="Q339" i="38"/>
  <c r="Q55" i="38"/>
  <c r="G55" i="38" s="1"/>
  <c r="Q329" i="38"/>
  <c r="Q62" i="38"/>
  <c r="G62" i="38" s="1"/>
  <c r="Q93" i="38"/>
  <c r="Q466" i="38"/>
  <c r="Q58" i="38"/>
  <c r="G58" i="38" s="1"/>
  <c r="Q347" i="38"/>
  <c r="Q304" i="38"/>
  <c r="Q443" i="38"/>
  <c r="Q117" i="38"/>
  <c r="Q60" i="38"/>
  <c r="G60" i="38" s="1"/>
  <c r="Q198" i="38"/>
  <c r="Q498" i="38"/>
  <c r="Q512" i="38"/>
  <c r="Q113" i="38"/>
  <c r="Q91" i="38"/>
  <c r="Q95" i="38"/>
  <c r="Q398" i="38"/>
  <c r="Q450" i="38"/>
  <c r="Q519" i="38"/>
  <c r="Q449" i="38"/>
  <c r="Q197" i="38"/>
  <c r="Q229" i="38"/>
  <c r="Q428" i="38"/>
  <c r="Q219" i="38"/>
  <c r="Q65" i="38"/>
  <c r="G65" i="38" s="1"/>
  <c r="Q308" i="38"/>
  <c r="Q349" i="38"/>
  <c r="Q344" i="38"/>
  <c r="Q422" i="38"/>
  <c r="Q303" i="38"/>
  <c r="Q225" i="38"/>
  <c r="Q447" i="38"/>
  <c r="Q507" i="38"/>
  <c r="Q396" i="38"/>
  <c r="Q207" i="38"/>
  <c r="Q342" i="38"/>
  <c r="Q222" i="38"/>
  <c r="Q488" i="38"/>
  <c r="Q492" i="38"/>
  <c r="Q54" i="38"/>
  <c r="G54" i="38" s="1"/>
  <c r="Q298" i="38"/>
  <c r="Q444" i="38"/>
  <c r="Q111" i="38"/>
  <c r="Q307" i="38"/>
  <c r="Q96" i="38"/>
  <c r="Q205" i="38"/>
  <c r="Q90" i="38"/>
  <c r="Q427" i="38"/>
  <c r="Q426" i="38"/>
  <c r="Q305" i="38"/>
  <c r="Q489" i="38"/>
  <c r="Q397" i="38"/>
  <c r="Q407" i="38"/>
  <c r="Q228" i="38"/>
  <c r="I149" i="26"/>
  <c r="I150" i="26"/>
  <c r="F299" i="38"/>
  <c r="K305" i="38"/>
  <c r="J321" i="38"/>
  <c r="H349" i="38"/>
  <c r="J331" i="38"/>
  <c r="I330" i="38"/>
  <c r="I331" i="38"/>
  <c r="I328" i="38"/>
  <c r="I327" i="38"/>
  <c r="U326" i="38"/>
  <c r="I325" i="38"/>
  <c r="J320" i="38"/>
  <c r="U319" i="38"/>
  <c r="H320" i="38"/>
  <c r="H343" i="38"/>
  <c r="H323" i="38"/>
  <c r="I323" i="38"/>
  <c r="I322" i="38"/>
  <c r="H350" i="38"/>
  <c r="H330" i="38"/>
  <c r="I329" i="38"/>
  <c r="J330" i="38"/>
  <c r="H328" i="38"/>
  <c r="H346" i="38"/>
  <c r="H326" i="38"/>
  <c r="U325" i="38"/>
  <c r="I321" i="38"/>
  <c r="H340" i="38"/>
  <c r="J323" i="38"/>
  <c r="H339" i="38"/>
  <c r="H329" i="38"/>
  <c r="J329" i="38"/>
  <c r="U328" i="38"/>
  <c r="U327" i="38"/>
  <c r="I326" i="38"/>
  <c r="J325" i="38"/>
  <c r="J319" i="38"/>
  <c r="U324" i="38"/>
  <c r="U323" i="38"/>
  <c r="H342" i="38"/>
  <c r="J322" i="38"/>
  <c r="H331" i="38"/>
  <c r="U329" i="38"/>
  <c r="H347" i="38"/>
  <c r="J327" i="38"/>
  <c r="J326" i="38"/>
  <c r="H325" i="38"/>
  <c r="H319" i="38"/>
  <c r="U320" i="38"/>
  <c r="K298" i="38"/>
  <c r="H321" i="38"/>
  <c r="H344" i="38"/>
  <c r="I324" i="38"/>
  <c r="J324" i="38"/>
  <c r="H322" i="38"/>
  <c r="J328" i="38"/>
  <c r="I320" i="38"/>
  <c r="H324" i="38"/>
  <c r="U322" i="38"/>
  <c r="H351" i="38"/>
  <c r="I319" i="38"/>
  <c r="U331" i="38"/>
  <c r="H327" i="38"/>
  <c r="H345" i="38"/>
  <c r="U330" i="38"/>
  <c r="H348" i="38"/>
  <c r="U321" i="38"/>
  <c r="H341" i="38"/>
  <c r="S474" i="38"/>
  <c r="S462" i="38"/>
  <c r="G40" i="26"/>
  <c r="G42" i="26" s="1"/>
  <c r="H40" i="26"/>
  <c r="H42" i="26" s="1"/>
  <c r="J150" i="26"/>
  <c r="J149" i="26"/>
  <c r="J367" i="22"/>
  <c r="N367" i="22" s="1"/>
  <c r="CB25" i="51"/>
  <c r="BZ25" i="51"/>
  <c r="CA25" i="51" s="1"/>
  <c r="BX25" i="51"/>
  <c r="BY25" i="51" s="1"/>
  <c r="BZ6" i="51"/>
  <c r="BX6" i="51"/>
  <c r="CB6" i="51"/>
  <c r="AO7" i="51" s="1"/>
  <c r="BX18" i="51"/>
  <c r="BY18" i="51" s="1"/>
  <c r="BZ18" i="51"/>
  <c r="CA18" i="51" s="1"/>
  <c r="CB18" i="51"/>
  <c r="W284" i="38"/>
  <c r="I284" i="38"/>
  <c r="BP241" i="22"/>
  <c r="BR241" i="22" s="1"/>
  <c r="CE241" i="22"/>
  <c r="CG241" i="22" s="1"/>
  <c r="Y241" i="22"/>
  <c r="I241" i="22"/>
  <c r="BP9" i="51" s="1"/>
  <c r="E84" i="51"/>
  <c r="BZ241" i="22"/>
  <c r="BN9" i="51"/>
  <c r="BU241" i="22"/>
  <c r="BW241" i="22" s="1"/>
  <c r="S283" i="38"/>
  <c r="AA302" i="22"/>
  <c r="L302" i="22" s="1"/>
  <c r="R571" i="38"/>
  <c r="I245" i="38"/>
  <c r="H540" i="38"/>
  <c r="S245" i="38"/>
  <c r="J540" i="38" s="1"/>
  <c r="W245" i="38"/>
  <c r="BP289" i="22"/>
  <c r="BR289" i="22" s="1"/>
  <c r="BZ289" i="22"/>
  <c r="CB289" i="22" s="1"/>
  <c r="BN57" i="51"/>
  <c r="Y289" i="22"/>
  <c r="I289" i="22"/>
  <c r="BP57" i="51" s="1"/>
  <c r="BU289" i="22"/>
  <c r="BW289" i="22" s="1"/>
  <c r="CE289" i="22"/>
  <c r="CG289" i="22" s="1"/>
  <c r="AP205" i="22"/>
  <c r="BV278" i="22"/>
  <c r="BW278" i="22" s="1"/>
  <c r="AK205" i="22"/>
  <c r="AM206" i="22" s="1"/>
  <c r="O328" i="22"/>
  <c r="AV178" i="22"/>
  <c r="AV205" i="22" s="1"/>
  <c r="AH178" i="22"/>
  <c r="AG178" i="22"/>
  <c r="AG205" i="22" s="1"/>
  <c r="CB7" i="51"/>
  <c r="BX7" i="51"/>
  <c r="BY7" i="51" s="1"/>
  <c r="BZ7" i="51"/>
  <c r="CA7" i="51" s="1"/>
  <c r="CD20" i="51"/>
  <c r="AS11" i="51" s="1"/>
  <c r="AR11" i="51"/>
  <c r="BQ278" i="22"/>
  <c r="BR278" i="22" s="1"/>
  <c r="BZ23" i="51"/>
  <c r="CA23" i="51" s="1"/>
  <c r="CB23" i="51"/>
  <c r="BX23" i="51"/>
  <c r="BY23" i="51" s="1"/>
  <c r="F41" i="8"/>
  <c r="I45" i="8"/>
  <c r="DA28" i="51"/>
  <c r="BC12" i="51" s="1"/>
  <c r="CZ52" i="51"/>
  <c r="DA52" i="51"/>
  <c r="CZ50" i="51"/>
  <c r="DA12" i="51"/>
  <c r="BC8" i="51" s="1"/>
  <c r="DA24" i="51"/>
  <c r="BC13" i="51" s="1"/>
  <c r="CZ20" i="51"/>
  <c r="BB11" i="51" s="1"/>
  <c r="CZ6" i="51"/>
  <c r="BB7" i="51" s="1"/>
  <c r="CZ46" i="51"/>
  <c r="BB14" i="51" s="1"/>
  <c r="DA26" i="51"/>
  <c r="DA40" i="51"/>
  <c r="CZ24" i="51"/>
  <c r="BB13" i="51" s="1"/>
  <c r="CZ14" i="51"/>
  <c r="BB10" i="51" s="1"/>
  <c r="DA50" i="51"/>
  <c r="CZ28" i="51"/>
  <c r="BB12" i="51" s="1"/>
  <c r="CZ34" i="51"/>
  <c r="BB9" i="51" s="1"/>
  <c r="CZ36" i="51"/>
  <c r="BB15" i="51" s="1"/>
  <c r="CZ12" i="51"/>
  <c r="BB8" i="51" s="1"/>
  <c r="DA20" i="51"/>
  <c r="BC11" i="51" s="1"/>
  <c r="DA42" i="51"/>
  <c r="DA6" i="51"/>
  <c r="BC7" i="51" s="1"/>
  <c r="CZ40" i="51"/>
  <c r="DA34" i="51"/>
  <c r="BC9" i="51" s="1"/>
  <c r="DA46" i="51"/>
  <c r="BC14" i="51" s="1"/>
  <c r="CZ42" i="51"/>
  <c r="CZ26" i="51"/>
  <c r="DA14" i="51"/>
  <c r="BC10" i="51" s="1"/>
  <c r="DA36" i="51"/>
  <c r="BC15" i="51" s="1"/>
  <c r="CE55" i="51"/>
  <c r="CF55" i="51" s="1"/>
  <c r="CC55" i="51"/>
  <c r="CD55" i="51" s="1"/>
  <c r="CG55" i="51"/>
  <c r="G63" i="38"/>
  <c r="J101" i="38"/>
  <c r="I101" i="38"/>
  <c r="K101" i="38"/>
  <c r="I109" i="38"/>
  <c r="K109" i="38"/>
  <c r="C176" i="27"/>
  <c r="D176" i="27" s="1"/>
  <c r="M176" i="27"/>
  <c r="K176" i="27"/>
  <c r="Q176" i="27"/>
  <c r="R176" i="27"/>
  <c r="L119" i="38"/>
  <c r="C155" i="27"/>
  <c r="D155" i="27" s="1"/>
  <c r="Q155" i="27"/>
  <c r="R155" i="27"/>
  <c r="K95" i="38"/>
  <c r="I95" i="38"/>
  <c r="M177" i="27"/>
  <c r="C177" i="27"/>
  <c r="D177" i="27" s="1"/>
  <c r="K177" i="27"/>
  <c r="R177" i="27"/>
  <c r="Q177" i="27"/>
  <c r="R275" i="26"/>
  <c r="C275" i="26"/>
  <c r="D275" i="26" s="1"/>
  <c r="Q275" i="26"/>
  <c r="L18" i="15"/>
  <c r="L16" i="15"/>
  <c r="L17" i="15"/>
  <c r="F62" i="4"/>
  <c r="F60" i="4"/>
  <c r="F32" i="4"/>
  <c r="F35" i="4"/>
  <c r="F33" i="4"/>
  <c r="F59" i="4"/>
  <c r="F34" i="4"/>
  <c r="Q22" i="4"/>
  <c r="AF22" i="4" s="1"/>
  <c r="F61" i="4"/>
  <c r="F276" i="26"/>
  <c r="I276" i="26"/>
  <c r="E306" i="26"/>
  <c r="K211" i="22"/>
  <c r="V213" i="22"/>
  <c r="K213" i="22" s="1"/>
  <c r="AA304" i="22"/>
  <c r="L304" i="22" s="1"/>
  <c r="P304" i="22" s="1"/>
  <c r="M304" i="22"/>
  <c r="L92" i="4"/>
  <c r="R92" i="4" s="1"/>
  <c r="T92" i="4" s="1"/>
  <c r="W92" i="4" s="1"/>
  <c r="Q92" i="4"/>
  <c r="S92" i="4" s="1"/>
  <c r="V92" i="4" s="1"/>
  <c r="I242" i="26"/>
  <c r="I227" i="26"/>
  <c r="I241" i="26"/>
  <c r="I243" i="26"/>
  <c r="R197" i="38"/>
  <c r="R417" i="38"/>
  <c r="R196" i="38"/>
  <c r="R89" i="38"/>
  <c r="J89" i="38" s="1"/>
  <c r="R200" i="38"/>
  <c r="R379" i="38"/>
  <c r="R321" i="38"/>
  <c r="R380" i="38"/>
  <c r="R487" i="38"/>
  <c r="F487" i="38" s="1"/>
  <c r="R328" i="38"/>
  <c r="R326" i="38"/>
  <c r="R114" i="38"/>
  <c r="J114" i="38" s="1"/>
  <c r="R405" i="38"/>
  <c r="R327" i="38"/>
  <c r="R462" i="38"/>
  <c r="R219" i="38"/>
  <c r="R57" i="38"/>
  <c r="H57" i="38" s="1"/>
  <c r="R422" i="38"/>
  <c r="R306" i="38"/>
  <c r="R101" i="38"/>
  <c r="R350" i="38"/>
  <c r="R508" i="38"/>
  <c r="R443" i="38"/>
  <c r="R445" i="38"/>
  <c r="R116" i="38"/>
  <c r="J116" i="38" s="1"/>
  <c r="R349" i="38"/>
  <c r="R55" i="38"/>
  <c r="H55" i="38" s="1"/>
  <c r="R109" i="38"/>
  <c r="J109" i="38" s="1"/>
  <c r="R344" i="38"/>
  <c r="R304" i="38"/>
  <c r="R204" i="38"/>
  <c r="R516" i="38"/>
  <c r="R518" i="38"/>
  <c r="R112" i="38"/>
  <c r="J112" i="38" s="1"/>
  <c r="R346" i="38"/>
  <c r="R225" i="38"/>
  <c r="R471" i="38"/>
  <c r="F471" i="38" s="1"/>
  <c r="R117" i="38"/>
  <c r="R385" i="38"/>
  <c r="R519" i="38"/>
  <c r="R397" i="38"/>
  <c r="R377" i="38"/>
  <c r="R202" i="38"/>
  <c r="R305" i="38"/>
  <c r="R404" i="38"/>
  <c r="R308" i="38"/>
  <c r="R438" i="38"/>
  <c r="R439" i="38"/>
  <c r="R510" i="38"/>
  <c r="R323" i="38"/>
  <c r="R402" i="38"/>
  <c r="R62" i="38"/>
  <c r="H62" i="38" s="1"/>
  <c r="R100" i="38"/>
  <c r="J100" i="38" s="1"/>
  <c r="R406" i="38"/>
  <c r="R319" i="38"/>
  <c r="R108" i="38"/>
  <c r="R223" i="38"/>
  <c r="R208" i="38"/>
  <c r="R300" i="38"/>
  <c r="R324" i="38"/>
  <c r="R374" i="38"/>
  <c r="R53" i="38"/>
  <c r="H53" i="38" s="1"/>
  <c r="R489" i="38"/>
  <c r="F489" i="38" s="1"/>
  <c r="R473" i="38"/>
  <c r="R302" i="38"/>
  <c r="R351" i="38"/>
  <c r="R61" i="38"/>
  <c r="H61" i="38" s="1"/>
  <c r="R115" i="38"/>
  <c r="J115" i="38" s="1"/>
  <c r="R309" i="38"/>
  <c r="R375" i="38"/>
  <c r="R403" i="38"/>
  <c r="R98" i="38"/>
  <c r="J98" i="38" s="1"/>
  <c r="R408" i="38"/>
  <c r="R507" i="38"/>
  <c r="R419" i="38"/>
  <c r="R399" i="38"/>
  <c r="R59" i="38"/>
  <c r="H59" i="38" s="1"/>
  <c r="R90" i="38"/>
  <c r="J90" i="38" s="1"/>
  <c r="R494" i="38"/>
  <c r="F494" i="38" s="1"/>
  <c r="R427" i="38"/>
  <c r="R442" i="38"/>
  <c r="R468" i="38"/>
  <c r="R347" i="38"/>
  <c r="R118" i="38"/>
  <c r="J118" i="38" s="1"/>
  <c r="R329" i="38"/>
  <c r="R378" i="38"/>
  <c r="R469" i="38"/>
  <c r="F469" i="38" s="1"/>
  <c r="R381" i="38"/>
  <c r="R429" i="38"/>
  <c r="R298" i="38"/>
  <c r="R91" i="38"/>
  <c r="J91" i="38" s="1"/>
  <c r="R220" i="38"/>
  <c r="R93" i="38"/>
  <c r="J93" i="38" s="1"/>
  <c r="R466" i="38"/>
  <c r="F466" i="38" s="1"/>
  <c r="R345" i="38"/>
  <c r="R493" i="38"/>
  <c r="F493" i="38" s="1"/>
  <c r="R515" i="38"/>
  <c r="R64" i="38"/>
  <c r="H64" i="38" s="1"/>
  <c r="R383" i="38"/>
  <c r="R107" i="38"/>
  <c r="J107" i="38" s="1"/>
  <c r="R198" i="38"/>
  <c r="R111" i="38"/>
  <c r="J111" i="38" s="1"/>
  <c r="R401" i="38"/>
  <c r="R492" i="38"/>
  <c r="F492" i="38" s="1"/>
  <c r="R448" i="38"/>
  <c r="R425" i="38"/>
  <c r="R227" i="38"/>
  <c r="R400" i="38"/>
  <c r="R509" i="38"/>
  <c r="R423" i="38"/>
  <c r="R450" i="38"/>
  <c r="R92" i="38"/>
  <c r="R517" i="38"/>
  <c r="R420" i="38"/>
  <c r="R467" i="38"/>
  <c r="F467" i="38" s="1"/>
  <c r="R63" i="38"/>
  <c r="H63" i="38" s="1"/>
  <c r="R472" i="38"/>
  <c r="F472" i="38" s="1"/>
  <c r="R60" i="38"/>
  <c r="H60" i="38" s="1"/>
  <c r="R307" i="38"/>
  <c r="R474" i="38"/>
  <c r="R341" i="38"/>
  <c r="R491" i="38"/>
  <c r="F491" i="38" s="1"/>
  <c r="R217" i="38"/>
  <c r="R207" i="38"/>
  <c r="R464" i="38"/>
  <c r="F464" i="38" s="1"/>
  <c r="R65" i="38"/>
  <c r="H65" i="38" s="1"/>
  <c r="R94" i="38"/>
  <c r="J94" i="38" s="1"/>
  <c r="R199" i="38"/>
  <c r="R441" i="38"/>
  <c r="R398" i="38"/>
  <c r="R421" i="38"/>
  <c r="R498" i="38"/>
  <c r="F498" i="38" s="1"/>
  <c r="R299" i="38"/>
  <c r="R110" i="38"/>
  <c r="J110" i="38" s="1"/>
  <c r="R97" i="38"/>
  <c r="J97" i="38" s="1"/>
  <c r="R228" i="38"/>
  <c r="R373" i="38"/>
  <c r="R201" i="38"/>
  <c r="R229" i="38"/>
  <c r="R95" i="38"/>
  <c r="J95" i="38" s="1"/>
  <c r="R226" i="38"/>
  <c r="R384" i="38"/>
  <c r="R325" i="38"/>
  <c r="R310" i="38"/>
  <c r="R339" i="38"/>
  <c r="R496" i="38"/>
  <c r="F496" i="38" s="1"/>
  <c r="R376" i="38"/>
  <c r="R221" i="38"/>
  <c r="R511" i="38"/>
  <c r="R58" i="38"/>
  <c r="H58" i="38" s="1"/>
  <c r="R449" i="38"/>
  <c r="R424" i="38"/>
  <c r="R444" i="38"/>
  <c r="R463" i="38"/>
  <c r="R320" i="38"/>
  <c r="R343" i="38"/>
  <c r="R54" i="38"/>
  <c r="H54" i="38" s="1"/>
  <c r="R330" i="38"/>
  <c r="R440" i="38"/>
  <c r="R348" i="38"/>
  <c r="R428" i="38"/>
  <c r="R513" i="38"/>
  <c r="R382" i="38"/>
  <c r="R331" i="38"/>
  <c r="R218" i="38"/>
  <c r="R465" i="38"/>
  <c r="F465" i="38" s="1"/>
  <c r="R512" i="38"/>
  <c r="R206" i="38"/>
  <c r="R303" i="38"/>
  <c r="R96" i="38"/>
  <c r="J96" i="38" s="1"/>
  <c r="R426" i="38"/>
  <c r="R56" i="38"/>
  <c r="H56" i="38" s="1"/>
  <c r="R396" i="38"/>
  <c r="I306" i="38"/>
  <c r="R342" i="38"/>
  <c r="R222" i="38"/>
  <c r="R514" i="38"/>
  <c r="I303" i="38"/>
  <c r="R322" i="38"/>
  <c r="R486" i="38"/>
  <c r="F486" i="38" s="1"/>
  <c r="R203" i="38"/>
  <c r="R99" i="38"/>
  <c r="R113" i="38"/>
  <c r="J113" i="38" s="1"/>
  <c r="R224" i="38"/>
  <c r="F302" i="38"/>
  <c r="R301" i="38"/>
  <c r="R106" i="38"/>
  <c r="J106" i="38" s="1"/>
  <c r="R447" i="38"/>
  <c r="R205" i="38"/>
  <c r="F309" i="38"/>
  <c r="R495" i="38"/>
  <c r="F495" i="38" s="1"/>
  <c r="R446" i="38"/>
  <c r="R490" i="38"/>
  <c r="F490" i="38" s="1"/>
  <c r="R407" i="38"/>
  <c r="R418" i="38"/>
  <c r="R470" i="38"/>
  <c r="F470" i="38" s="1"/>
  <c r="R497" i="38"/>
  <c r="F497" i="38" s="1"/>
  <c r="R340" i="38"/>
  <c r="R488" i="38"/>
  <c r="F488" i="38" s="1"/>
  <c r="I309" i="38"/>
  <c r="H413" i="22"/>
  <c r="P463" i="22" s="1"/>
  <c r="S466" i="38"/>
  <c r="I342" i="26"/>
  <c r="R394" i="26" s="1"/>
  <c r="I490" i="22"/>
  <c r="F212" i="27"/>
  <c r="R219" i="27" s="1"/>
  <c r="I536" i="38"/>
  <c r="F306" i="38"/>
  <c r="I300" i="38"/>
  <c r="F310" i="38"/>
  <c r="S468" i="38"/>
  <c r="G86" i="51"/>
  <c r="AF205" i="22"/>
  <c r="G211" i="22"/>
  <c r="AW149" i="22"/>
  <c r="AU205" i="22"/>
  <c r="J37" i="15"/>
  <c r="I62" i="15"/>
  <c r="J62" i="15" s="1"/>
  <c r="I65" i="15"/>
  <c r="G65" i="15" s="1"/>
  <c r="C136" i="51" s="1"/>
  <c r="I66" i="15"/>
  <c r="G66" i="15" s="1"/>
  <c r="D136" i="51" s="1"/>
  <c r="D138" i="51" s="1"/>
  <c r="BZ51" i="51"/>
  <c r="CA51" i="51" s="1"/>
  <c r="CB51" i="51"/>
  <c r="BX51" i="51"/>
  <c r="BY51" i="51" s="1"/>
  <c r="CA28" i="51"/>
  <c r="AN12" i="51" s="1"/>
  <c r="AM12" i="51"/>
  <c r="M159" i="51"/>
  <c r="A167" i="51"/>
  <c r="BP264" i="22"/>
  <c r="BR264" i="22" s="1"/>
  <c r="CE264" i="22"/>
  <c r="CG264" i="22" s="1"/>
  <c r="I264" i="22"/>
  <c r="BP32" i="51" s="1"/>
  <c r="BN32" i="51"/>
  <c r="BU264" i="22"/>
  <c r="BW264" i="22" s="1"/>
  <c r="V264" i="22"/>
  <c r="BZ264" i="22"/>
  <c r="CB264" i="22" s="1"/>
  <c r="Y264" i="22"/>
  <c r="BZ270" i="22"/>
  <c r="BN38" i="51"/>
  <c r="CE270" i="22"/>
  <c r="V270" i="22"/>
  <c r="B114" i="51" s="1"/>
  <c r="I270" i="22"/>
  <c r="BP38" i="51" s="1"/>
  <c r="Y270" i="22"/>
  <c r="AL270" i="22"/>
  <c r="A118" i="51" s="1"/>
  <c r="AA270" i="22"/>
  <c r="BP270" i="22"/>
  <c r="BP275" i="22"/>
  <c r="BR275" i="22" s="1"/>
  <c r="CE275" i="22"/>
  <c r="CG275" i="22" s="1"/>
  <c r="BZ275" i="22"/>
  <c r="CB275" i="22" s="1"/>
  <c r="Y275" i="22"/>
  <c r="I275" i="22"/>
  <c r="BP43" i="51" s="1"/>
  <c r="BN43" i="51"/>
  <c r="BU275" i="22"/>
  <c r="BW275" i="22" s="1"/>
  <c r="W258" i="38"/>
  <c r="I258" i="38"/>
  <c r="BX56" i="51"/>
  <c r="BY56" i="51" s="1"/>
  <c r="BZ56" i="51"/>
  <c r="CA56" i="51" s="1"/>
  <c r="CB56" i="51"/>
  <c r="CA278" i="22"/>
  <c r="CB278" i="22" s="1"/>
  <c r="CF18" i="51"/>
  <c r="Y273" i="38"/>
  <c r="W273" i="38"/>
  <c r="I273" i="38"/>
  <c r="S273" i="38"/>
  <c r="D32" i="70"/>
  <c r="D30" i="70"/>
  <c r="H35" i="8"/>
  <c r="D11" i="58"/>
  <c r="D31" i="70"/>
  <c r="CC58" i="51"/>
  <c r="CD58" i="51" s="1"/>
  <c r="CE58" i="51"/>
  <c r="CF58" i="51" s="1"/>
  <c r="CG58" i="51"/>
  <c r="I182" i="51"/>
  <c r="H366" i="22"/>
  <c r="H367" i="22" s="1"/>
  <c r="L366" i="22"/>
  <c r="I117" i="38"/>
  <c r="J117" i="38"/>
  <c r="K117" i="38"/>
  <c r="E413" i="22"/>
  <c r="M463" i="22" s="1"/>
  <c r="M181" i="27"/>
  <c r="C181" i="27"/>
  <c r="D181" i="27" s="1"/>
  <c r="K181" i="27"/>
  <c r="Q181" i="27"/>
  <c r="R181" i="27"/>
  <c r="G59" i="38"/>
  <c r="C91" i="27"/>
  <c r="D91" i="27" s="1"/>
  <c r="E120" i="27"/>
  <c r="E115" i="27"/>
  <c r="H120" i="27"/>
  <c r="R91" i="27"/>
  <c r="Q91" i="27"/>
  <c r="H115" i="27"/>
  <c r="K115" i="27" s="1"/>
  <c r="C154" i="27"/>
  <c r="D154" i="27" s="1"/>
  <c r="Q154" i="27"/>
  <c r="R154" i="27"/>
  <c r="C199" i="27"/>
  <c r="D199" i="27" s="1"/>
  <c r="Q199" i="27"/>
  <c r="H206" i="27" s="1"/>
  <c r="R199" i="27"/>
  <c r="C92" i="27"/>
  <c r="D92" i="27" s="1"/>
  <c r="R92" i="27"/>
  <c r="Q92" i="27"/>
  <c r="J108" i="38"/>
  <c r="K108" i="38"/>
  <c r="I108" i="38"/>
  <c r="F468" i="38"/>
  <c r="F463" i="38"/>
  <c r="F473" i="38"/>
  <c r="AQ17" i="15"/>
  <c r="AQ18" i="15"/>
  <c r="D27" i="58"/>
  <c r="J173" i="10"/>
  <c r="I212" i="22"/>
  <c r="T213" i="22"/>
  <c r="I213" i="22" s="1"/>
  <c r="I211" i="22"/>
  <c r="F303" i="38"/>
  <c r="F298" i="38"/>
  <c r="K226" i="26"/>
  <c r="H150" i="26"/>
  <c r="H149" i="26"/>
  <c r="K150" i="26"/>
  <c r="K149" i="26"/>
  <c r="S218" i="26"/>
  <c r="T218" i="26"/>
  <c r="T193" i="26"/>
  <c r="S193" i="26"/>
  <c r="S178" i="26"/>
  <c r="T178" i="26"/>
  <c r="M241" i="26"/>
  <c r="J244" i="26"/>
  <c r="M244" i="26" s="1"/>
  <c r="Q46" i="38"/>
  <c r="Q297" i="38"/>
  <c r="Q318" i="38"/>
  <c r="Q259" i="38"/>
  <c r="Q338" i="38"/>
  <c r="Q195" i="38"/>
  <c r="Q183" i="38"/>
  <c r="Q506" i="38"/>
  <c r="Q485" i="38"/>
  <c r="Q416" i="38"/>
  <c r="Q52" i="38"/>
  <c r="G52" i="38" s="1"/>
  <c r="Q149" i="38"/>
  <c r="Q247" i="38"/>
  <c r="Q281" i="38"/>
  <c r="Q216" i="38"/>
  <c r="Q88" i="38"/>
  <c r="Q437" i="38"/>
  <c r="Q161" i="38"/>
  <c r="Q283" i="38"/>
  <c r="Q372" i="38"/>
  <c r="Q105" i="38"/>
  <c r="Q461" i="38"/>
  <c r="Q185" i="38"/>
  <c r="Q395" i="38"/>
  <c r="R105" i="38"/>
  <c r="J105" i="38" s="1"/>
  <c r="R149" i="38"/>
  <c r="R183" i="38"/>
  <c r="R46" i="38"/>
  <c r="R437" i="38"/>
  <c r="R416" i="38"/>
  <c r="R297" i="38"/>
  <c r="R485" i="38"/>
  <c r="F485" i="38" s="1"/>
  <c r="R395" i="38"/>
  <c r="R247" i="38"/>
  <c r="R185" i="38"/>
  <c r="R461" i="38"/>
  <c r="F461" i="38" s="1"/>
  <c r="R281" i="38"/>
  <c r="R372" i="38"/>
  <c r="R283" i="38"/>
  <c r="R88" i="38"/>
  <c r="J88" i="38" s="1"/>
  <c r="R506" i="38"/>
  <c r="R318" i="38"/>
  <c r="R259" i="38"/>
  <c r="R338" i="38"/>
  <c r="R195" i="38"/>
  <c r="R216" i="38"/>
  <c r="R52" i="38"/>
  <c r="H52" i="38" s="1"/>
  <c r="R161" i="38"/>
  <c r="I297" i="38"/>
  <c r="I338" i="38" s="1"/>
  <c r="F413" i="22"/>
  <c r="O463" i="22" s="1"/>
  <c r="R374" i="26"/>
  <c r="R375" i="26"/>
  <c r="AA303" i="22"/>
  <c r="L303" i="22" s="1"/>
  <c r="P303" i="22" s="1"/>
  <c r="M303" i="22"/>
  <c r="F308" i="38"/>
  <c r="F307" i="38"/>
  <c r="F305" i="38"/>
  <c r="I310" i="38"/>
  <c r="S464" i="38"/>
  <c r="S467" i="38"/>
  <c r="W36" i="10"/>
  <c r="G266" i="38"/>
  <c r="S167" i="38"/>
  <c r="J442" i="38"/>
  <c r="M442" i="38" s="1"/>
  <c r="J438" i="38"/>
  <c r="J446" i="38"/>
  <c r="M446" i="38" s="1"/>
  <c r="J441" i="38"/>
  <c r="M441" i="38" s="1"/>
  <c r="J449" i="38"/>
  <c r="M449" i="38" s="1"/>
  <c r="J444" i="38"/>
  <c r="M444" i="38" s="1"/>
  <c r="J448" i="38"/>
  <c r="M448" i="38" s="1"/>
  <c r="J450" i="38"/>
  <c r="M450" i="38" s="1"/>
  <c r="M417" i="38"/>
  <c r="J447" i="38"/>
  <c r="M447" i="38" s="1"/>
  <c r="J443" i="38"/>
  <c r="M443" i="38" s="1"/>
  <c r="J445" i="38"/>
  <c r="M445" i="38" s="1"/>
  <c r="J439" i="38"/>
  <c r="M439" i="38" s="1"/>
  <c r="J440" i="38"/>
  <c r="M440" i="38" s="1"/>
  <c r="R213" i="22"/>
  <c r="G213" i="22" s="1"/>
  <c r="BZ14" i="51"/>
  <c r="BX14" i="51"/>
  <c r="CB14" i="51"/>
  <c r="BY28" i="51"/>
  <c r="AL12" i="51" s="1"/>
  <c r="AK12" i="51"/>
  <c r="BX46" i="51"/>
  <c r="BZ46" i="51"/>
  <c r="CB46" i="51"/>
  <c r="AO14" i="51" s="1"/>
  <c r="BX52" i="51"/>
  <c r="BY52" i="51" s="1"/>
  <c r="BZ52" i="51"/>
  <c r="CA52" i="51" s="1"/>
  <c r="CB52" i="51"/>
  <c r="AR9" i="51"/>
  <c r="Y266" i="22"/>
  <c r="BP266" i="22"/>
  <c r="BR266" i="22" s="1"/>
  <c r="BZ266" i="22"/>
  <c r="CB266" i="22" s="1"/>
  <c r="V266" i="22"/>
  <c r="B124" i="51"/>
  <c r="BU266" i="22"/>
  <c r="BW266" i="22" s="1"/>
  <c r="CE266" i="22"/>
  <c r="CG266" i="22" s="1"/>
  <c r="BN34" i="51"/>
  <c r="I266" i="22"/>
  <c r="BP34" i="51" s="1"/>
  <c r="CF40" i="51"/>
  <c r="Y394" i="22"/>
  <c r="BP265" i="22"/>
  <c r="BR265" i="22" s="1"/>
  <c r="BZ265" i="22"/>
  <c r="CB265" i="22" s="1"/>
  <c r="BU265" i="22"/>
  <c r="BW265" i="22" s="1"/>
  <c r="BN33" i="51"/>
  <c r="Y265" i="22"/>
  <c r="CE265" i="22"/>
  <c r="CG265" i="22" s="1"/>
  <c r="I265" i="22"/>
  <c r="BP33" i="51" s="1"/>
  <c r="L136" i="51"/>
  <c r="CE242" i="22"/>
  <c r="CG242" i="22" s="1"/>
  <c r="BN10" i="51"/>
  <c r="V242" i="22"/>
  <c r="Y242" i="22"/>
  <c r="H494" i="22"/>
  <c r="I242" i="22"/>
  <c r="BP10" i="51" s="1"/>
  <c r="BP242" i="22"/>
  <c r="BR242" i="22" s="1"/>
  <c r="BZ242" i="22"/>
  <c r="CB242" i="22" s="1"/>
  <c r="BU242" i="22"/>
  <c r="BW242" i="22" s="1"/>
  <c r="CF278" i="22"/>
  <c r="CG278" i="22" s="1"/>
  <c r="AR12" i="51"/>
  <c r="CD28" i="51"/>
  <c r="AS12" i="51" s="1"/>
  <c r="W243" i="38"/>
  <c r="AF243" i="38"/>
  <c r="DT367" i="33"/>
  <c r="DD367" i="33"/>
  <c r="DA367" i="33" s="1"/>
  <c r="DD207" i="33"/>
  <c r="DA207" i="33" s="1"/>
  <c r="DT207" i="33"/>
  <c r="J45" i="8"/>
  <c r="K41" i="8"/>
  <c r="H41" i="8" s="1"/>
  <c r="F27" i="10"/>
  <c r="C117" i="27"/>
  <c r="D117" i="27" s="1"/>
  <c r="E117" i="27"/>
  <c r="H117" i="27"/>
  <c r="K117" i="27" s="1"/>
  <c r="Q117" i="27"/>
  <c r="R117" i="27"/>
  <c r="J99" i="38"/>
  <c r="K99" i="38"/>
  <c r="I99" i="38"/>
  <c r="C112" i="27"/>
  <c r="D112" i="27" s="1"/>
  <c r="X37" i="27"/>
  <c r="X33" i="27"/>
  <c r="W64" i="27"/>
  <c r="W67" i="27"/>
  <c r="W62" i="27"/>
  <c r="X64" i="27"/>
  <c r="W55" i="27"/>
  <c r="X72" i="27"/>
  <c r="X40" i="27"/>
  <c r="W48" i="27"/>
  <c r="X58" i="27"/>
  <c r="W73" i="27"/>
  <c r="W52" i="27"/>
  <c r="W60" i="27"/>
  <c r="E112" i="27"/>
  <c r="X75" i="27"/>
  <c r="W71" i="27"/>
  <c r="W45" i="27"/>
  <c r="X47" i="27"/>
  <c r="W58" i="27"/>
  <c r="W77" i="27"/>
  <c r="X63" i="27"/>
  <c r="X74" i="27"/>
  <c r="W56" i="27"/>
  <c r="X42" i="27"/>
  <c r="X62" i="27"/>
  <c r="K62" i="27"/>
  <c r="K66" i="27"/>
  <c r="K40" i="27"/>
  <c r="K78" i="27"/>
  <c r="W74" i="27"/>
  <c r="X56" i="27"/>
  <c r="W79" i="27"/>
  <c r="X76" i="27"/>
  <c r="W78" i="27"/>
  <c r="X36" i="27"/>
  <c r="W57" i="27"/>
  <c r="W69" i="27"/>
  <c r="W46" i="27"/>
  <c r="X38" i="27"/>
  <c r="X46" i="27"/>
  <c r="W65" i="27"/>
  <c r="W75" i="27"/>
  <c r="X68" i="27"/>
  <c r="H112" i="27"/>
  <c r="X66" i="27"/>
  <c r="X77" i="27"/>
  <c r="X52" i="27"/>
  <c r="X45" i="27"/>
  <c r="X51" i="27"/>
  <c r="W41" i="27"/>
  <c r="X60" i="27"/>
  <c r="W47" i="27"/>
  <c r="W50" i="27"/>
  <c r="X79" i="27"/>
  <c r="X49" i="27"/>
  <c r="X70" i="27"/>
  <c r="W76" i="27"/>
  <c r="X43" i="27"/>
  <c r="W59" i="27"/>
  <c r="X35" i="27"/>
  <c r="W61" i="27"/>
  <c r="X67" i="27"/>
  <c r="W33" i="27"/>
  <c r="W32" i="27"/>
  <c r="K56" i="27"/>
  <c r="K58" i="27"/>
  <c r="K54" i="27"/>
  <c r="K70" i="27"/>
  <c r="K76" i="27"/>
  <c r="W63" i="27"/>
  <c r="X44" i="27"/>
  <c r="W42" i="27"/>
  <c r="X53" i="27"/>
  <c r="X69" i="27"/>
  <c r="W44" i="27"/>
  <c r="X41" i="27"/>
  <c r="W72" i="27"/>
  <c r="W51" i="27"/>
  <c r="W68" i="27"/>
  <c r="W53" i="27"/>
  <c r="X55" i="27"/>
  <c r="K48" i="27"/>
  <c r="K36" i="27"/>
  <c r="K34" i="27"/>
  <c r="K46" i="27"/>
  <c r="W36" i="27"/>
  <c r="X61" i="27"/>
  <c r="W66" i="27"/>
  <c r="W39" i="27"/>
  <c r="X48" i="27"/>
  <c r="X59" i="27"/>
  <c r="W38" i="27"/>
  <c r="W54" i="27"/>
  <c r="X32" i="27"/>
  <c r="W70" i="27"/>
  <c r="W34" i="27"/>
  <c r="X57" i="27"/>
  <c r="K64" i="27"/>
  <c r="K32" i="27"/>
  <c r="K68" i="27"/>
  <c r="X50" i="27"/>
  <c r="X78" i="27"/>
  <c r="K42" i="27"/>
  <c r="K38" i="27"/>
  <c r="K72" i="27"/>
  <c r="W35" i="27"/>
  <c r="W40" i="27"/>
  <c r="W37" i="27"/>
  <c r="X54" i="27"/>
  <c r="X39" i="27"/>
  <c r="W49" i="27"/>
  <c r="K44" i="27"/>
  <c r="K60" i="27"/>
  <c r="K50" i="27"/>
  <c r="X71" i="27"/>
  <c r="X34" i="27"/>
  <c r="W43" i="27"/>
  <c r="X73" i="27"/>
  <c r="X65" i="27"/>
  <c r="K52" i="27"/>
  <c r="K74" i="27"/>
  <c r="Q112" i="27"/>
  <c r="R112" i="27"/>
  <c r="K92" i="38"/>
  <c r="J92" i="38"/>
  <c r="I92" i="38"/>
  <c r="K178" i="27"/>
  <c r="C178" i="27"/>
  <c r="D178" i="27" s="1"/>
  <c r="M178" i="27"/>
  <c r="Q178" i="27"/>
  <c r="R178" i="27"/>
  <c r="C133" i="27"/>
  <c r="D133" i="27" s="1"/>
  <c r="Q133" i="27"/>
  <c r="E141" i="27" s="1"/>
  <c r="R133" i="27"/>
  <c r="F474" i="38"/>
  <c r="F462" i="38"/>
  <c r="R17" i="15"/>
  <c r="R18" i="15"/>
  <c r="F274" i="26"/>
  <c r="E277" i="26"/>
  <c r="H277" i="26"/>
  <c r="K277" i="26" s="1"/>
  <c r="I274" i="26"/>
  <c r="J211" i="22"/>
  <c r="AO205" i="22" s="1"/>
  <c r="U213" i="22"/>
  <c r="J213" i="22" s="1"/>
  <c r="J212" i="22"/>
  <c r="P61" i="23"/>
  <c r="Q61" i="23" s="1"/>
  <c r="J305" i="22"/>
  <c r="N303" i="22"/>
  <c r="F304" i="38"/>
  <c r="I302" i="38"/>
  <c r="K302" i="38"/>
  <c r="F225" i="26"/>
  <c r="G149" i="26"/>
  <c r="G150" i="26"/>
  <c r="T210" i="26"/>
  <c r="S210" i="26"/>
  <c r="S202" i="26"/>
  <c r="T202" i="26"/>
  <c r="T185" i="26"/>
  <c r="S185" i="26"/>
  <c r="Q277" i="38"/>
  <c r="Q484" i="38"/>
  <c r="E499" i="38" s="1"/>
  <c r="Q267" i="38"/>
  <c r="Q257" i="38"/>
  <c r="Q153" i="38"/>
  <c r="Q394" i="38"/>
  <c r="Q159" i="38"/>
  <c r="Q261" i="38"/>
  <c r="Q173" i="38"/>
  <c r="Q249" i="38"/>
  <c r="Q271" i="38"/>
  <c r="Q273" i="38"/>
  <c r="Q263" i="38"/>
  <c r="Q163" i="38"/>
  <c r="Q175" i="38"/>
  <c r="Q482" i="38"/>
  <c r="Q245" i="38"/>
  <c r="Q157" i="38"/>
  <c r="Q179" i="38"/>
  <c r="Q337" i="38"/>
  <c r="Q243" i="38"/>
  <c r="Q104" i="38"/>
  <c r="Q147" i="38"/>
  <c r="Q255" i="38"/>
  <c r="Q253" i="38"/>
  <c r="Q460" i="38"/>
  <c r="E475" i="38" s="1"/>
  <c r="Q269" i="38"/>
  <c r="Q505" i="38"/>
  <c r="Q194" i="38"/>
  <c r="Q415" i="38"/>
  <c r="Q275" i="38"/>
  <c r="Q215" i="38"/>
  <c r="Q167" i="38"/>
  <c r="Q169" i="38"/>
  <c r="Q165" i="38"/>
  <c r="Q436" i="38"/>
  <c r="Q151" i="38"/>
  <c r="Q364" i="38"/>
  <c r="Q371" i="38"/>
  <c r="Q87" i="38"/>
  <c r="Q317" i="38"/>
  <c r="Q145" i="38"/>
  <c r="Q177" i="38"/>
  <c r="Q155" i="38"/>
  <c r="Q296" i="38"/>
  <c r="Q251" i="38"/>
  <c r="Q279" i="38"/>
  <c r="Q181" i="38"/>
  <c r="Q265" i="38"/>
  <c r="Q51" i="38"/>
  <c r="G51" i="38" s="1"/>
  <c r="G66" i="38" s="1"/>
  <c r="Q45" i="38"/>
  <c r="Q171" i="38"/>
  <c r="R171" i="38"/>
  <c r="R263" i="38"/>
  <c r="R269" i="38"/>
  <c r="R165" i="38"/>
  <c r="R179" i="38"/>
  <c r="R249" i="38"/>
  <c r="R104" i="38"/>
  <c r="J104" i="38" s="1"/>
  <c r="R245" i="38"/>
  <c r="R51" i="38"/>
  <c r="H51" i="38" s="1"/>
  <c r="R394" i="38"/>
  <c r="R215" i="38"/>
  <c r="R181" i="38"/>
  <c r="R265" i="38"/>
  <c r="R436" i="38"/>
  <c r="R169" i="38"/>
  <c r="R273" i="38"/>
  <c r="R371" i="38"/>
  <c r="R147" i="38"/>
  <c r="R337" i="38"/>
  <c r="R415" i="38"/>
  <c r="R173" i="38"/>
  <c r="R255" i="38"/>
  <c r="R279" i="38"/>
  <c r="R177" i="38"/>
  <c r="R175" i="38"/>
  <c r="R364" i="38"/>
  <c r="R159" i="38"/>
  <c r="R261" i="38"/>
  <c r="R167" i="38"/>
  <c r="R145" i="38"/>
  <c r="R153" i="38"/>
  <c r="R45" i="38"/>
  <c r="R271" i="38"/>
  <c r="R251" i="38"/>
  <c r="R253" i="38"/>
  <c r="R482" i="38"/>
  <c r="R505" i="38"/>
  <c r="R267" i="38"/>
  <c r="R317" i="38"/>
  <c r="R157" i="38"/>
  <c r="R460" i="38"/>
  <c r="F460" i="38" s="1"/>
  <c r="R194" i="38"/>
  <c r="R296" i="38"/>
  <c r="R243" i="38"/>
  <c r="R277" i="38"/>
  <c r="R87" i="38"/>
  <c r="J87" i="38" s="1"/>
  <c r="R484" i="38"/>
  <c r="F484" i="38" s="1"/>
  <c r="F499" i="38" s="1"/>
  <c r="R151" i="38"/>
  <c r="R275" i="38"/>
  <c r="R257" i="38"/>
  <c r="R155" i="38"/>
  <c r="R163" i="38"/>
  <c r="I296" i="38"/>
  <c r="W35" i="10"/>
  <c r="E350" i="38"/>
  <c r="F330" i="38"/>
  <c r="E331" i="38"/>
  <c r="T329" i="38"/>
  <c r="F328" i="38"/>
  <c r="E327" i="38"/>
  <c r="F326" i="38"/>
  <c r="T325" i="38"/>
  <c r="F321" i="38"/>
  <c r="G319" i="38"/>
  <c r="E340" i="38"/>
  <c r="E324" i="38"/>
  <c r="T324" i="38"/>
  <c r="T322" i="38"/>
  <c r="G329" i="38"/>
  <c r="G330" i="38"/>
  <c r="E328" i="38"/>
  <c r="T327" i="38"/>
  <c r="E345" i="38"/>
  <c r="E325" i="38"/>
  <c r="F320" i="38"/>
  <c r="F319" i="38"/>
  <c r="E320" i="38"/>
  <c r="E341" i="38"/>
  <c r="E344" i="38"/>
  <c r="T323" i="38"/>
  <c r="G324" i="38"/>
  <c r="E339" i="38"/>
  <c r="E349" i="38"/>
  <c r="F331" i="38"/>
  <c r="F329" i="38"/>
  <c r="E347" i="38"/>
  <c r="G327" i="38"/>
  <c r="G326" i="38"/>
  <c r="E342" i="38"/>
  <c r="T319" i="38"/>
  <c r="E321" i="38"/>
  <c r="E319" i="38"/>
  <c r="E322" i="38"/>
  <c r="E323" i="38"/>
  <c r="E351" i="38"/>
  <c r="T330" i="38"/>
  <c r="G331" i="38"/>
  <c r="E348" i="38"/>
  <c r="G328" i="38"/>
  <c r="E346" i="38"/>
  <c r="T326" i="38"/>
  <c r="G325" i="38"/>
  <c r="G320" i="38"/>
  <c r="G323" i="38"/>
  <c r="F322" i="38"/>
  <c r="E330" i="38"/>
  <c r="T321" i="38"/>
  <c r="E329" i="38"/>
  <c r="T328" i="38"/>
  <c r="E326" i="38"/>
  <c r="F323" i="38"/>
  <c r="T331" i="38"/>
  <c r="F325" i="38"/>
  <c r="T320" i="38"/>
  <c r="G321" i="38"/>
  <c r="F324" i="38"/>
  <c r="F327" i="38"/>
  <c r="G322" i="38"/>
  <c r="E343" i="38"/>
  <c r="I298" i="38"/>
  <c r="I299" i="38"/>
  <c r="I69" i="26"/>
  <c r="I71" i="26" s="1"/>
  <c r="J69" i="26"/>
  <c r="K69" i="26"/>
  <c r="K71" i="26" s="1"/>
  <c r="S470" i="38"/>
  <c r="S469" i="38"/>
  <c r="S463" i="38"/>
  <c r="J71" i="26"/>
  <c r="A8" i="11"/>
  <c r="G259" i="38"/>
  <c r="K195" i="38"/>
  <c r="S161" i="38"/>
  <c r="H162" i="27"/>
  <c r="E162" i="27"/>
  <c r="CG238" i="22"/>
  <c r="BR238" i="22"/>
  <c r="BX22" i="51"/>
  <c r="BZ22" i="51"/>
  <c r="CB22" i="51"/>
  <c r="W270" i="38"/>
  <c r="I270" i="38"/>
  <c r="S269" i="38"/>
  <c r="A146" i="51"/>
  <c r="X248" i="22"/>
  <c r="BX60" i="51"/>
  <c r="BY60" i="51" s="1"/>
  <c r="CB60" i="51"/>
  <c r="BZ60" i="51"/>
  <c r="CA60" i="51" s="1"/>
  <c r="BP244" i="22"/>
  <c r="BR244" i="22" s="1"/>
  <c r="BZ244" i="22"/>
  <c r="CB244" i="22" s="1"/>
  <c r="V244" i="22"/>
  <c r="BN12" i="51"/>
  <c r="I244" i="22"/>
  <c r="BP12" i="51" s="1"/>
  <c r="H99" i="51"/>
  <c r="CE244" i="22"/>
  <c r="CG244" i="22" s="1"/>
  <c r="Y244" i="22"/>
  <c r="AQ178" i="22"/>
  <c r="AQ205" i="22" s="1"/>
  <c r="W277" i="38"/>
  <c r="S277" i="38"/>
  <c r="I277" i="38"/>
  <c r="CF20" i="51"/>
  <c r="BZ17" i="51"/>
  <c r="CA17" i="51" s="1"/>
  <c r="BX17" i="51"/>
  <c r="BY17" i="51" s="1"/>
  <c r="CB17" i="51"/>
  <c r="CF28" i="51"/>
  <c r="AU12" i="51" s="1"/>
  <c r="AT12" i="51"/>
  <c r="AL205" i="22"/>
  <c r="BU270" i="22"/>
  <c r="I21" i="43" a="1"/>
  <c r="H26" i="43" a="1"/>
  <c r="H12" i="43" a="1"/>
  <c r="H31" i="43" a="1"/>
  <c r="I22" i="43" a="1"/>
  <c r="I16" i="43" a="1"/>
  <c r="H14" i="43" a="1"/>
  <c r="I10" i="43" a="1"/>
  <c r="H29" i="43" a="1"/>
  <c r="H19" i="43" a="1"/>
  <c r="H13" i="43" a="1"/>
  <c r="H30" i="43" a="1"/>
  <c r="I19" i="43" a="1"/>
  <c r="H17" i="43" a="1"/>
  <c r="I32" i="43" a="1"/>
  <c r="I17" i="43" a="1"/>
  <c r="H32" i="43" a="1"/>
  <c r="I12" i="43" a="1"/>
  <c r="I20" i="43" a="1"/>
  <c r="I28" i="43" a="1"/>
  <c r="H27" i="43" a="1"/>
  <c r="H11" i="43" a="1"/>
  <c r="I13" i="43" a="1"/>
  <c r="I27" i="43" a="1"/>
  <c r="I26" i="43" a="1"/>
  <c r="I11" i="43" a="1"/>
  <c r="I29" i="43" a="1"/>
  <c r="I15" i="43" a="1"/>
  <c r="H15" i="43" a="1"/>
  <c r="H10" i="43" a="1"/>
  <c r="H18" i="43" a="1"/>
  <c r="H28" i="43" a="1"/>
  <c r="I30" i="43" a="1"/>
  <c r="I14" i="43" a="1"/>
  <c r="I31" i="43" a="1"/>
  <c r="I18" i="43" a="1"/>
  <c r="H16" i="43" a="1"/>
  <c r="I243" i="38" l="1"/>
  <c r="AT11" i="51"/>
  <c r="CF34" i="51"/>
  <c r="AU9" i="51" s="1"/>
  <c r="I32" i="43"/>
  <c r="H13" i="43"/>
  <c r="H29" i="43"/>
  <c r="H16" i="43"/>
  <c r="H17" i="43"/>
  <c r="I29" i="43"/>
  <c r="I10" i="43"/>
  <c r="I28" i="43"/>
  <c r="I30" i="43"/>
  <c r="H19" i="43"/>
  <c r="H14" i="43"/>
  <c r="I18" i="43"/>
  <c r="H28" i="43"/>
  <c r="I11" i="43"/>
  <c r="I16" i="43"/>
  <c r="I20" i="43"/>
  <c r="I19" i="43"/>
  <c r="I26" i="43"/>
  <c r="I22" i="43"/>
  <c r="I31" i="43"/>
  <c r="H18" i="43"/>
  <c r="I27" i="43"/>
  <c r="H31" i="43"/>
  <c r="I12" i="43"/>
  <c r="H30" i="43"/>
  <c r="I13" i="43"/>
  <c r="H12" i="43"/>
  <c r="H32" i="43"/>
  <c r="H10" i="43"/>
  <c r="H11" i="43"/>
  <c r="H26" i="43"/>
  <c r="I14" i="43"/>
  <c r="H15" i="43"/>
  <c r="H27" i="43"/>
  <c r="I21" i="43"/>
  <c r="I17" i="43"/>
  <c r="I15" i="43"/>
  <c r="BP294" i="22"/>
  <c r="K210" i="38"/>
  <c r="E206" i="27"/>
  <c r="K113" i="27"/>
  <c r="N301" i="22"/>
  <c r="M302" i="22"/>
  <c r="BX35" i="51"/>
  <c r="BY35" i="51" s="1"/>
  <c r="BZ35" i="51"/>
  <c r="CA35" i="51" s="1"/>
  <c r="CB35" i="51"/>
  <c r="F16" i="70"/>
  <c r="F15" i="70"/>
  <c r="P365" i="22"/>
  <c r="AR178" i="22"/>
  <c r="AR205" i="22" s="1"/>
  <c r="AR206" i="22" s="1"/>
  <c r="A143" i="51"/>
  <c r="G17" i="15"/>
  <c r="F325" i="22"/>
  <c r="F326" i="22"/>
  <c r="F322" i="22"/>
  <c r="F327" i="22"/>
  <c r="F323" i="22"/>
  <c r="N323" i="22" s="1"/>
  <c r="F305" i="22"/>
  <c r="F324" i="22"/>
  <c r="N324" i="22" s="1"/>
  <c r="J327" i="22"/>
  <c r="J326" i="22"/>
  <c r="J323" i="22"/>
  <c r="J322" i="22"/>
  <c r="J325" i="22"/>
  <c r="N325" i="22" s="1"/>
  <c r="J324" i="22"/>
  <c r="N299" i="22"/>
  <c r="BX36" i="51"/>
  <c r="BY36" i="51" s="1"/>
  <c r="BZ36" i="51"/>
  <c r="CA36" i="51" s="1"/>
  <c r="CB36" i="51"/>
  <c r="R257" i="26"/>
  <c r="C257" i="26"/>
  <c r="D257" i="26" s="1"/>
  <c r="Q257" i="26"/>
  <c r="D57" i="51"/>
  <c r="O57" i="51"/>
  <c r="P302" i="22"/>
  <c r="E322" i="22"/>
  <c r="G316" i="22"/>
  <c r="F313" i="22"/>
  <c r="E311" i="22"/>
  <c r="E326" i="22"/>
  <c r="H326" i="22" s="1"/>
  <c r="E324" i="22"/>
  <c r="E325" i="22"/>
  <c r="H325" i="22" s="1"/>
  <c r="U312" i="22"/>
  <c r="U311" i="22"/>
  <c r="F312" i="22"/>
  <c r="U315" i="22"/>
  <c r="E316" i="22"/>
  <c r="U314" i="22"/>
  <c r="F315" i="22"/>
  <c r="U316" i="22"/>
  <c r="F316" i="22"/>
  <c r="G312" i="22"/>
  <c r="E314" i="22"/>
  <c r="E312" i="22"/>
  <c r="F314" i="22"/>
  <c r="E327" i="22"/>
  <c r="H327" i="22" s="1"/>
  <c r="G314" i="22"/>
  <c r="E315" i="22"/>
  <c r="K315" i="22" s="1"/>
  <c r="E323" i="22"/>
  <c r="G315" i="22"/>
  <c r="F311" i="22"/>
  <c r="U313" i="22"/>
  <c r="G311" i="22"/>
  <c r="G313" i="22"/>
  <c r="Z299" i="22"/>
  <c r="H299" i="22" s="1"/>
  <c r="E313" i="22"/>
  <c r="BX58" i="51"/>
  <c r="BY58" i="51" s="1"/>
  <c r="BZ58" i="51"/>
  <c r="CA58" i="51" s="1"/>
  <c r="CB58" i="51"/>
  <c r="BZ29" i="51"/>
  <c r="CA29" i="51" s="1"/>
  <c r="BX29" i="51"/>
  <c r="BY29" i="51" s="1"/>
  <c r="CB29" i="51"/>
  <c r="E305" i="22"/>
  <c r="DA26" i="33"/>
  <c r="DD26" i="33" s="1"/>
  <c r="K206" i="27"/>
  <c r="K120" i="27"/>
  <c r="AW178" i="22"/>
  <c r="AW205" i="22" s="1"/>
  <c r="AW206" i="22" s="1"/>
  <c r="I112" i="38"/>
  <c r="CB45" i="51"/>
  <c r="BX45" i="51"/>
  <c r="BY45" i="51" s="1"/>
  <c r="BZ45" i="51"/>
  <c r="CA45" i="51" s="1"/>
  <c r="BZ20" i="51"/>
  <c r="CA20" i="51" s="1"/>
  <c r="BX20" i="51"/>
  <c r="BY20" i="51" s="1"/>
  <c r="CB20" i="51"/>
  <c r="AO11" i="51" s="1"/>
  <c r="AP11" i="51" s="1"/>
  <c r="E55" i="51" s="1"/>
  <c r="AA300" i="22"/>
  <c r="L300" i="22" s="1"/>
  <c r="P300" i="22" s="1"/>
  <c r="M300" i="22"/>
  <c r="N300" i="22"/>
  <c r="AA299" i="22"/>
  <c r="L299" i="22" s="1"/>
  <c r="H312" i="22"/>
  <c r="H316" i="22"/>
  <c r="I326" i="22"/>
  <c r="J315" i="22"/>
  <c r="I324" i="22"/>
  <c r="J314" i="22"/>
  <c r="V312" i="22"/>
  <c r="H311" i="22"/>
  <c r="I322" i="22"/>
  <c r="I312" i="22"/>
  <c r="I315" i="22"/>
  <c r="J313" i="22"/>
  <c r="V316" i="22"/>
  <c r="I314" i="22"/>
  <c r="I311" i="22"/>
  <c r="J316" i="22"/>
  <c r="V313" i="22"/>
  <c r="V315" i="22"/>
  <c r="I327" i="22"/>
  <c r="H314" i="22"/>
  <c r="K314" i="22" s="1"/>
  <c r="J311" i="22"/>
  <c r="I313" i="22"/>
  <c r="I323" i="22"/>
  <c r="V311" i="22"/>
  <c r="H315" i="22"/>
  <c r="I325" i="22"/>
  <c r="J312" i="22"/>
  <c r="H313" i="22"/>
  <c r="K313" i="22" s="1"/>
  <c r="V314" i="22"/>
  <c r="I316" i="22"/>
  <c r="M299" i="22"/>
  <c r="H352" i="38"/>
  <c r="B116" i="51"/>
  <c r="AS15" i="51"/>
  <c r="X59" i="51" s="1"/>
  <c r="AU11" i="51"/>
  <c r="K45" i="8"/>
  <c r="R568" i="38"/>
  <c r="R569" i="38"/>
  <c r="E296" i="38"/>
  <c r="K296" i="38" s="1"/>
  <c r="AO10" i="51"/>
  <c r="F296" i="38"/>
  <c r="F337" i="38" s="1"/>
  <c r="AT10" i="51"/>
  <c r="Y263" i="38"/>
  <c r="S263" i="38"/>
  <c r="I263" i="38"/>
  <c r="R564" i="38" s="1"/>
  <c r="W263" i="38"/>
  <c r="AR15" i="51"/>
  <c r="AU10" i="51"/>
  <c r="D18" i="58"/>
  <c r="CD16" i="51"/>
  <c r="AS10" i="51" s="1"/>
  <c r="AR10" i="51"/>
  <c r="CD12" i="51"/>
  <c r="AS8" i="51" s="1"/>
  <c r="AR8" i="51"/>
  <c r="AT8" i="51"/>
  <c r="CF12" i="51"/>
  <c r="AU8" i="51" s="1"/>
  <c r="I249" i="38"/>
  <c r="S249" i="38"/>
  <c r="W249" i="38"/>
  <c r="J46" i="38"/>
  <c r="J52" i="38" s="1"/>
  <c r="M46" i="38"/>
  <c r="T46" i="38"/>
  <c r="L46" i="38"/>
  <c r="K46" i="38"/>
  <c r="J544" i="38"/>
  <c r="R579" i="38" s="1"/>
  <c r="I251" i="38"/>
  <c r="W251" i="38"/>
  <c r="K542" i="38"/>
  <c r="S251" i="38"/>
  <c r="AV15" i="51"/>
  <c r="AW15" i="51" s="1"/>
  <c r="I59" i="51" s="1"/>
  <c r="J51" i="38"/>
  <c r="G460" i="38" s="1"/>
  <c r="U45" i="38"/>
  <c r="X58" i="51"/>
  <c r="F58" i="51"/>
  <c r="CD8" i="51"/>
  <c r="AS7" i="51" s="1"/>
  <c r="AR7" i="51"/>
  <c r="X57" i="51"/>
  <c r="F57" i="51"/>
  <c r="K162" i="27"/>
  <c r="F475" i="38"/>
  <c r="BV270" i="22"/>
  <c r="BV294" i="22" s="1"/>
  <c r="A109" i="51"/>
  <c r="H101" i="51"/>
  <c r="BY22" i="51"/>
  <c r="AL11" i="51" s="1"/>
  <c r="AK11" i="51"/>
  <c r="CE294" i="22"/>
  <c r="I346" i="38"/>
  <c r="I351" i="38"/>
  <c r="I340" i="38"/>
  <c r="I345" i="38"/>
  <c r="I342" i="38"/>
  <c r="I347" i="38"/>
  <c r="I343" i="38"/>
  <c r="I350" i="38"/>
  <c r="I341" i="38"/>
  <c r="I349" i="38"/>
  <c r="I348" i="38"/>
  <c r="I344" i="38"/>
  <c r="I339" i="38"/>
  <c r="F482" i="38"/>
  <c r="G499" i="38" s="1"/>
  <c r="J482" i="38"/>
  <c r="K87" i="38"/>
  <c r="I87" i="38"/>
  <c r="K112" i="27"/>
  <c r="E114" i="51"/>
  <c r="A150" i="51"/>
  <c r="L138" i="51"/>
  <c r="CB33" i="51"/>
  <c r="BZ33" i="51"/>
  <c r="CA33" i="51" s="1"/>
  <c r="BX33" i="51"/>
  <c r="BY33" i="51" s="1"/>
  <c r="AT15" i="51"/>
  <c r="BZ34" i="51"/>
  <c r="BX34" i="51"/>
  <c r="CB34" i="51"/>
  <c r="AO9" i="51" s="1"/>
  <c r="AM10" i="51"/>
  <c r="CA14" i="51"/>
  <c r="AN10" i="51" s="1"/>
  <c r="I105" i="38"/>
  <c r="K105" i="38"/>
  <c r="BZ38" i="51"/>
  <c r="CA38" i="51" s="1"/>
  <c r="BX38" i="51"/>
  <c r="BY38" i="51" s="1"/>
  <c r="CB38" i="51"/>
  <c r="I372" i="38"/>
  <c r="H416" i="38"/>
  <c r="I244" i="26"/>
  <c r="H61" i="4"/>
  <c r="I61" i="4"/>
  <c r="M61" i="4"/>
  <c r="N61" i="4"/>
  <c r="N33" i="4"/>
  <c r="I33" i="4"/>
  <c r="H33" i="4"/>
  <c r="M33" i="4"/>
  <c r="I62" i="4"/>
  <c r="M62" i="4"/>
  <c r="H62" i="4"/>
  <c r="N62" i="4"/>
  <c r="Y59" i="51"/>
  <c r="Y58" i="51"/>
  <c r="P53" i="51"/>
  <c r="P57" i="51"/>
  <c r="BB16" i="51"/>
  <c r="P51" i="51"/>
  <c r="R562" i="38"/>
  <c r="R559" i="38"/>
  <c r="E86" i="51"/>
  <c r="CA6" i="51"/>
  <c r="AN7" i="51" s="1"/>
  <c r="AM7" i="51"/>
  <c r="K327" i="38"/>
  <c r="K322" i="38"/>
  <c r="K321" i="38"/>
  <c r="K325" i="38"/>
  <c r="K329" i="38"/>
  <c r="K328" i="38"/>
  <c r="K350" i="38"/>
  <c r="K343" i="38"/>
  <c r="F407" i="38"/>
  <c r="I407" i="38"/>
  <c r="K96" i="38"/>
  <c r="I96" i="38"/>
  <c r="I398" i="38"/>
  <c r="F398" i="38"/>
  <c r="K97" i="38"/>
  <c r="I97" i="38"/>
  <c r="I118" i="38"/>
  <c r="K118" i="38"/>
  <c r="F405" i="38"/>
  <c r="I405" i="38"/>
  <c r="F401" i="38"/>
  <c r="I401" i="38"/>
  <c r="I94" i="38"/>
  <c r="K94" i="38"/>
  <c r="I107" i="38"/>
  <c r="K107" i="38"/>
  <c r="K100" i="38"/>
  <c r="I100" i="38"/>
  <c r="E241" i="26"/>
  <c r="F234" i="26"/>
  <c r="E242" i="26"/>
  <c r="G235" i="26"/>
  <c r="G233" i="26"/>
  <c r="T234" i="26"/>
  <c r="E243" i="26"/>
  <c r="F233" i="26"/>
  <c r="G234" i="26"/>
  <c r="T235" i="26"/>
  <c r="E227" i="26"/>
  <c r="E233" i="26"/>
  <c r="E234" i="26"/>
  <c r="E235" i="26"/>
  <c r="T233" i="26"/>
  <c r="F235" i="26"/>
  <c r="M242" i="22"/>
  <c r="BS10" i="51" s="1"/>
  <c r="M462" i="22"/>
  <c r="M288" i="22"/>
  <c r="BS56" i="51" s="1"/>
  <c r="M240" i="22"/>
  <c r="BS8" i="51" s="1"/>
  <c r="M256" i="22"/>
  <c r="BS24" i="51" s="1"/>
  <c r="M290" i="22"/>
  <c r="BS58" i="51" s="1"/>
  <c r="M284" i="22"/>
  <c r="BS52" i="51" s="1"/>
  <c r="M260" i="22"/>
  <c r="BS28" i="51" s="1"/>
  <c r="M244" i="22"/>
  <c r="BS12" i="51" s="1"/>
  <c r="M280" i="22"/>
  <c r="BS48" i="51" s="1"/>
  <c r="M248" i="22"/>
  <c r="BS16" i="51" s="1"/>
  <c r="M254" i="22"/>
  <c r="BS22" i="51" s="1"/>
  <c r="M272" i="22"/>
  <c r="BS40" i="51" s="1"/>
  <c r="M270" i="22"/>
  <c r="BS38" i="51" s="1"/>
  <c r="M305" i="22"/>
  <c r="M292" i="22"/>
  <c r="BS60" i="51" s="1"/>
  <c r="M238" i="22"/>
  <c r="BS6" i="51" s="1"/>
  <c r="M264" i="22"/>
  <c r="BS32" i="51" s="1"/>
  <c r="M250" i="22"/>
  <c r="BS18" i="51" s="1"/>
  <c r="M252" i="22"/>
  <c r="BS20" i="51" s="1"/>
  <c r="M268" i="22"/>
  <c r="BS36" i="51" s="1"/>
  <c r="M276" i="22"/>
  <c r="BS44" i="51" s="1"/>
  <c r="M274" i="22"/>
  <c r="BS42" i="51" s="1"/>
  <c r="M278" i="22"/>
  <c r="BS46" i="51" s="1"/>
  <c r="M286" i="22"/>
  <c r="BS54" i="51" s="1"/>
  <c r="M258" i="22"/>
  <c r="BS26" i="51" s="1"/>
  <c r="M262" i="22"/>
  <c r="BS30" i="51" s="1"/>
  <c r="M282" i="22"/>
  <c r="BS50" i="51" s="1"/>
  <c r="M246" i="22"/>
  <c r="BS14" i="51" s="1"/>
  <c r="M266" i="22"/>
  <c r="BS34" i="51" s="1"/>
  <c r="A9" i="11"/>
  <c r="O462" i="22"/>
  <c r="N305" i="22"/>
  <c r="BX10" i="51"/>
  <c r="BZ10" i="51"/>
  <c r="CB10" i="51"/>
  <c r="F53" i="51"/>
  <c r="X53" i="51"/>
  <c r="AP14" i="51"/>
  <c r="E58" i="51" s="1"/>
  <c r="D56" i="51"/>
  <c r="O56" i="51"/>
  <c r="F395" i="38"/>
  <c r="I395" i="38"/>
  <c r="K88" i="38"/>
  <c r="I88" i="38"/>
  <c r="BQ270" i="22"/>
  <c r="BQ294" i="22" s="1"/>
  <c r="CA270" i="22"/>
  <c r="CA294" i="22" s="1"/>
  <c r="N35" i="4"/>
  <c r="M35" i="4"/>
  <c r="H35" i="4"/>
  <c r="I35" i="4"/>
  <c r="I275" i="26"/>
  <c r="F275" i="26"/>
  <c r="F277" i="26" s="1"/>
  <c r="Y54" i="51"/>
  <c r="Y53" i="51"/>
  <c r="L124" i="51" s="1"/>
  <c r="L126" i="51" s="1"/>
  <c r="Y55" i="51"/>
  <c r="P56" i="51"/>
  <c r="P55" i="51"/>
  <c r="F55" i="51"/>
  <c r="X55" i="51"/>
  <c r="H141" i="27"/>
  <c r="K141" i="27" s="1"/>
  <c r="K348" i="38"/>
  <c r="K324" i="38"/>
  <c r="K331" i="38"/>
  <c r="H383" i="38"/>
  <c r="H381" i="38"/>
  <c r="H379" i="38"/>
  <c r="H375" i="38"/>
  <c r="H382" i="38"/>
  <c r="H378" i="38"/>
  <c r="K339" i="38"/>
  <c r="H384" i="38"/>
  <c r="H373" i="38"/>
  <c r="H385" i="38"/>
  <c r="H377" i="38"/>
  <c r="H374" i="38"/>
  <c r="H380" i="38"/>
  <c r="H376" i="38"/>
  <c r="K320" i="38"/>
  <c r="F397" i="38"/>
  <c r="I397" i="38"/>
  <c r="K115" i="38"/>
  <c r="I115" i="38"/>
  <c r="I399" i="38"/>
  <c r="F399" i="38"/>
  <c r="K114" i="38"/>
  <c r="I114" i="38"/>
  <c r="F400" i="38"/>
  <c r="I400" i="38"/>
  <c r="I403" i="38"/>
  <c r="F403" i="38"/>
  <c r="H227" i="26"/>
  <c r="J234" i="26"/>
  <c r="U234" i="26"/>
  <c r="U233" i="26"/>
  <c r="H243" i="26"/>
  <c r="U235" i="26"/>
  <c r="H242" i="26"/>
  <c r="J233" i="26"/>
  <c r="H235" i="26"/>
  <c r="K235" i="26" s="1"/>
  <c r="H234" i="26"/>
  <c r="K234" i="26" s="1"/>
  <c r="K224" i="26"/>
  <c r="I235" i="26"/>
  <c r="I233" i="26"/>
  <c r="J235" i="26"/>
  <c r="H233" i="26"/>
  <c r="I234" i="26"/>
  <c r="H241" i="26"/>
  <c r="P301" i="22"/>
  <c r="L305" i="22"/>
  <c r="K98" i="38"/>
  <c r="D538" i="38"/>
  <c r="R555" i="38" s="1"/>
  <c r="D492" i="22"/>
  <c r="F344" i="26"/>
  <c r="R391" i="26" s="1"/>
  <c r="D344" i="26"/>
  <c r="R361" i="26" s="1"/>
  <c r="C538" i="38"/>
  <c r="R585" i="38" s="1"/>
  <c r="C344" i="26"/>
  <c r="R360" i="26" s="1"/>
  <c r="F59" i="51"/>
  <c r="E384" i="38"/>
  <c r="F384" i="38" s="1"/>
  <c r="E382" i="38"/>
  <c r="F382" i="38" s="1"/>
  <c r="E378" i="38"/>
  <c r="F378" i="38" s="1"/>
  <c r="E376" i="38"/>
  <c r="F376" i="38" s="1"/>
  <c r="E374" i="38"/>
  <c r="F374" i="38" s="1"/>
  <c r="E385" i="38"/>
  <c r="F385" i="38" s="1"/>
  <c r="E381" i="38"/>
  <c r="F381" i="38" s="1"/>
  <c r="E377" i="38"/>
  <c r="F377" i="38" s="1"/>
  <c r="E383" i="38"/>
  <c r="F383" i="38" s="1"/>
  <c r="E380" i="38"/>
  <c r="F380" i="38" s="1"/>
  <c r="E379" i="38"/>
  <c r="F379" i="38" s="1"/>
  <c r="E373" i="38"/>
  <c r="E375" i="38"/>
  <c r="F375" i="38" s="1"/>
  <c r="W37" i="10"/>
  <c r="J119" i="38"/>
  <c r="M210" i="38"/>
  <c r="L210" i="38"/>
  <c r="G210" i="38"/>
  <c r="H210" i="38"/>
  <c r="I210" i="38"/>
  <c r="J210" i="38"/>
  <c r="K104" i="38"/>
  <c r="I104" i="38"/>
  <c r="F394" i="38"/>
  <c r="H409" i="38"/>
  <c r="E409" i="38"/>
  <c r="I394" i="38"/>
  <c r="I409" i="38" s="1"/>
  <c r="I277" i="26"/>
  <c r="R556" i="38"/>
  <c r="R557" i="38"/>
  <c r="T317" i="38"/>
  <c r="E317" i="38"/>
  <c r="K317" i="38" s="1"/>
  <c r="CA46" i="51"/>
  <c r="AN14" i="51" s="1"/>
  <c r="AM14" i="51"/>
  <c r="AP10" i="51"/>
  <c r="E54" i="51" s="1"/>
  <c r="S265" i="38"/>
  <c r="W266" i="38"/>
  <c r="I266" i="38"/>
  <c r="F342" i="38"/>
  <c r="F341" i="38"/>
  <c r="F346" i="38"/>
  <c r="F343" i="38"/>
  <c r="F344" i="38"/>
  <c r="F351" i="38"/>
  <c r="F347" i="38"/>
  <c r="F340" i="38"/>
  <c r="F345" i="38"/>
  <c r="F350" i="38"/>
  <c r="F339" i="38"/>
  <c r="F348" i="38"/>
  <c r="F349" i="38"/>
  <c r="P366" i="22"/>
  <c r="L367" i="22"/>
  <c r="P367" i="22" s="1"/>
  <c r="J38" i="27"/>
  <c r="Z38" i="27" s="1"/>
  <c r="J44" i="27"/>
  <c r="Z44" i="27" s="1"/>
  <c r="J52" i="27"/>
  <c r="Z52" i="27" s="1"/>
  <c r="J40" i="27"/>
  <c r="Z40" i="27" s="1"/>
  <c r="J48" i="27"/>
  <c r="Z48" i="27" s="1"/>
  <c r="J34" i="27"/>
  <c r="Z34" i="27" s="1"/>
  <c r="J42" i="27"/>
  <c r="Z42" i="27" s="1"/>
  <c r="J72" i="27"/>
  <c r="Z72" i="27" s="1"/>
  <c r="J76" i="27"/>
  <c r="Z76" i="27" s="1"/>
  <c r="J50" i="27"/>
  <c r="Z50" i="27" s="1"/>
  <c r="J36" i="27"/>
  <c r="Z36" i="27" s="1"/>
  <c r="J58" i="27"/>
  <c r="Z58" i="27" s="1"/>
  <c r="J78" i="27"/>
  <c r="Z78" i="27" s="1"/>
  <c r="J68" i="27"/>
  <c r="Z68" i="27" s="1"/>
  <c r="J64" i="27"/>
  <c r="Z64" i="27" s="1"/>
  <c r="J70" i="27"/>
  <c r="Z70" i="27" s="1"/>
  <c r="J54" i="27"/>
  <c r="Z54" i="27" s="1"/>
  <c r="J32" i="27"/>
  <c r="Z32" i="27" s="1"/>
  <c r="J60" i="27"/>
  <c r="Z60" i="27" s="1"/>
  <c r="J62" i="27"/>
  <c r="Z62" i="27" s="1"/>
  <c r="J56" i="27"/>
  <c r="Z56" i="27" s="1"/>
  <c r="J74" i="27"/>
  <c r="Z74" i="27" s="1"/>
  <c r="J46" i="27"/>
  <c r="Z46" i="27" s="1"/>
  <c r="J66" i="27"/>
  <c r="Z66" i="27" s="1"/>
  <c r="I34" i="4"/>
  <c r="N34" i="4"/>
  <c r="H34" i="4"/>
  <c r="M34" i="4"/>
  <c r="N32" i="4"/>
  <c r="H32" i="4"/>
  <c r="I32" i="4"/>
  <c r="M32" i="4"/>
  <c r="M48" i="4" s="1"/>
  <c r="P52" i="51"/>
  <c r="Y57" i="51"/>
  <c r="F45" i="8"/>
  <c r="G41" i="8"/>
  <c r="G45" i="8" s="1"/>
  <c r="CB9" i="51"/>
  <c r="BZ9" i="51"/>
  <c r="CA9" i="51" s="1"/>
  <c r="BX9" i="51"/>
  <c r="BY9" i="51" s="1"/>
  <c r="AP7" i="51"/>
  <c r="E51" i="51" s="1"/>
  <c r="K326" i="38"/>
  <c r="I90" i="38"/>
  <c r="K90" i="38"/>
  <c r="K111" i="38"/>
  <c r="I111" i="38"/>
  <c r="K91" i="38"/>
  <c r="I91" i="38"/>
  <c r="I93" i="38"/>
  <c r="K93" i="38"/>
  <c r="F408" i="38"/>
  <c r="I408" i="38"/>
  <c r="I110" i="38"/>
  <c r="K110" i="38"/>
  <c r="I89" i="38"/>
  <c r="K89" i="38"/>
  <c r="I116" i="38"/>
  <c r="K116" i="38"/>
  <c r="K106" i="38"/>
  <c r="I106" i="38"/>
  <c r="F402" i="38"/>
  <c r="I402" i="38"/>
  <c r="G436" i="38"/>
  <c r="G430" i="38"/>
  <c r="BX12" i="51"/>
  <c r="BZ12" i="51"/>
  <c r="CB12" i="51"/>
  <c r="AO8" i="51" s="1"/>
  <c r="I259" i="38"/>
  <c r="S259" i="38"/>
  <c r="E297" i="38"/>
  <c r="F297" i="38"/>
  <c r="F338" i="38" s="1"/>
  <c r="W259" i="38"/>
  <c r="CA22" i="51"/>
  <c r="AN11" i="51" s="1"/>
  <c r="AM11" i="51"/>
  <c r="I337" i="38"/>
  <c r="I352" i="38" s="1"/>
  <c r="I311" i="38"/>
  <c r="H66" i="38"/>
  <c r="H311" i="38"/>
  <c r="M209" i="38"/>
  <c r="L209" i="38"/>
  <c r="K209" i="38"/>
  <c r="I209" i="38"/>
  <c r="J209" i="38"/>
  <c r="G209" i="38"/>
  <c r="H209" i="38"/>
  <c r="BU294" i="22"/>
  <c r="X56" i="51"/>
  <c r="F56" i="51"/>
  <c r="AU15" i="51"/>
  <c r="AU16" i="51" s="1"/>
  <c r="E124" i="51"/>
  <c r="A130" i="51" s="1"/>
  <c r="J124" i="51"/>
  <c r="H124" i="51"/>
  <c r="B126" i="51"/>
  <c r="AK14" i="51"/>
  <c r="BY46" i="51"/>
  <c r="AL14" i="51" s="1"/>
  <c r="AK10" i="51"/>
  <c r="BY14" i="51"/>
  <c r="AL10" i="51" s="1"/>
  <c r="J474" i="38"/>
  <c r="M474" i="38" s="1"/>
  <c r="J464" i="38"/>
  <c r="M464" i="38" s="1"/>
  <c r="J473" i="38"/>
  <c r="M473" i="38" s="1"/>
  <c r="J470" i="38"/>
  <c r="M470" i="38" s="1"/>
  <c r="J468" i="38"/>
  <c r="M468" i="38" s="1"/>
  <c r="J462" i="38"/>
  <c r="J469" i="38"/>
  <c r="M469" i="38" s="1"/>
  <c r="M438" i="38"/>
  <c r="J463" i="38"/>
  <c r="M463" i="38" s="1"/>
  <c r="J466" i="38"/>
  <c r="M466" i="38" s="1"/>
  <c r="J465" i="38"/>
  <c r="M465" i="38" s="1"/>
  <c r="J467" i="38"/>
  <c r="M467" i="38" s="1"/>
  <c r="J472" i="38"/>
  <c r="M472" i="38" s="1"/>
  <c r="J471" i="38"/>
  <c r="M471" i="38" s="1"/>
  <c r="G536" i="38"/>
  <c r="C212" i="27"/>
  <c r="AF173" i="10"/>
  <c r="B99" i="51"/>
  <c r="G490" i="22"/>
  <c r="G342" i="26"/>
  <c r="E100" i="27"/>
  <c r="H100" i="27"/>
  <c r="BX43" i="51"/>
  <c r="BY43" i="51" s="1"/>
  <c r="BZ43" i="51"/>
  <c r="CA43" i="51" s="1"/>
  <c r="CB43" i="51"/>
  <c r="CF270" i="22"/>
  <c r="CF294" i="22" s="1"/>
  <c r="CB32" i="51"/>
  <c r="BZ32" i="51"/>
  <c r="CA32" i="51" s="1"/>
  <c r="BX32" i="51"/>
  <c r="BY32" i="51" s="1"/>
  <c r="C138" i="51"/>
  <c r="E136" i="51"/>
  <c r="A145" i="51"/>
  <c r="N59" i="4"/>
  <c r="H59" i="4"/>
  <c r="I59" i="4"/>
  <c r="M59" i="4"/>
  <c r="H60" i="4"/>
  <c r="N60" i="4"/>
  <c r="I60" i="4"/>
  <c r="M60" i="4"/>
  <c r="E185" i="27"/>
  <c r="H185" i="27"/>
  <c r="K185" i="27" s="1"/>
  <c r="BC16" i="51"/>
  <c r="Y51" i="51"/>
  <c r="P59" i="51"/>
  <c r="P54" i="51"/>
  <c r="P58" i="51"/>
  <c r="Y52" i="51"/>
  <c r="Y56" i="51"/>
  <c r="BZ57" i="51"/>
  <c r="CA57" i="51" s="1"/>
  <c r="BX57" i="51"/>
  <c r="BY57" i="51" s="1"/>
  <c r="CB57" i="51"/>
  <c r="R560" i="38"/>
  <c r="R561" i="38"/>
  <c r="CB241" i="22"/>
  <c r="BZ294" i="22"/>
  <c r="BY6" i="51"/>
  <c r="AL7" i="51" s="1"/>
  <c r="AK7" i="51"/>
  <c r="K341" i="38"/>
  <c r="K345" i="38"/>
  <c r="K351" i="38"/>
  <c r="K344" i="38"/>
  <c r="K319" i="38"/>
  <c r="K347" i="38"/>
  <c r="K342" i="38"/>
  <c r="K340" i="38"/>
  <c r="K346" i="38"/>
  <c r="K330" i="38"/>
  <c r="K323" i="38"/>
  <c r="K349" i="38"/>
  <c r="F396" i="38"/>
  <c r="I396" i="38"/>
  <c r="K113" i="38"/>
  <c r="I113" i="38"/>
  <c r="F404" i="38"/>
  <c r="I404" i="38"/>
  <c r="I406" i="38"/>
  <c r="F406" i="38"/>
  <c r="F241" i="26"/>
  <c r="F243" i="26"/>
  <c r="F227" i="26"/>
  <c r="F242" i="26"/>
  <c r="AS16" i="51" l="1"/>
  <c r="W341" i="22"/>
  <c r="W340" i="22"/>
  <c r="W339" i="22" s="1"/>
  <c r="X341" i="22"/>
  <c r="K311" i="22"/>
  <c r="B181" i="51"/>
  <c r="X340" i="22"/>
  <c r="X339" i="22" s="1"/>
  <c r="J340" i="22"/>
  <c r="J341" i="22"/>
  <c r="AN341" i="22" s="1"/>
  <c r="X311" i="22"/>
  <c r="O311" i="22" s="1"/>
  <c r="X316" i="22"/>
  <c r="O316" i="22" s="1"/>
  <c r="X315" i="22"/>
  <c r="O315" i="22" s="1"/>
  <c r="X312" i="22"/>
  <c r="O312" i="22" s="1"/>
  <c r="P299" i="22"/>
  <c r="X313" i="22"/>
  <c r="O313" i="22" s="1"/>
  <c r="X314" i="22"/>
  <c r="O314" i="22" s="1"/>
  <c r="H181" i="51"/>
  <c r="V399" i="22"/>
  <c r="H180" i="51"/>
  <c r="J180" i="51" s="1"/>
  <c r="V398" i="22"/>
  <c r="E180" i="51"/>
  <c r="G180" i="51" s="1"/>
  <c r="J328" i="22"/>
  <c r="N322" i="22"/>
  <c r="F328" i="22"/>
  <c r="N328" i="22" s="1"/>
  <c r="K243" i="26"/>
  <c r="L323" i="22"/>
  <c r="M323" i="22"/>
  <c r="L327" i="22"/>
  <c r="P327" i="22" s="1"/>
  <c r="M327" i="22"/>
  <c r="M326" i="22"/>
  <c r="L326" i="22"/>
  <c r="P326" i="22" s="1"/>
  <c r="F496" i="22"/>
  <c r="I496" i="22"/>
  <c r="W311" i="22"/>
  <c r="N311" i="22" s="1"/>
  <c r="P311" i="22" s="1"/>
  <c r="W315" i="22"/>
  <c r="N315" i="22" s="1"/>
  <c r="P315" i="22" s="1"/>
  <c r="W316" i="22"/>
  <c r="N316" i="22" s="1"/>
  <c r="P316" i="22" s="1"/>
  <c r="W312" i="22"/>
  <c r="N312" i="22" s="1"/>
  <c r="P312" i="22" s="1"/>
  <c r="H305" i="22"/>
  <c r="W313" i="22"/>
  <c r="N313" i="22" s="1"/>
  <c r="P313" i="22" s="1"/>
  <c r="W314" i="22"/>
  <c r="N314" i="22" s="1"/>
  <c r="P314" i="22" s="1"/>
  <c r="K181" i="51"/>
  <c r="K180" i="51"/>
  <c r="M180" i="51" s="1"/>
  <c r="T404" i="22"/>
  <c r="H324" i="22"/>
  <c r="N326" i="22"/>
  <c r="CB270" i="22"/>
  <c r="L325" i="22"/>
  <c r="P325" i="22" s="1"/>
  <c r="M325" i="22"/>
  <c r="H322" i="22"/>
  <c r="F341" i="22"/>
  <c r="G341" i="22" s="1"/>
  <c r="AM341" i="22" s="1"/>
  <c r="F340" i="22"/>
  <c r="E347" i="22"/>
  <c r="E352" i="22"/>
  <c r="E328" i="22"/>
  <c r="T401" i="22"/>
  <c r="E351" i="22"/>
  <c r="E350" i="22"/>
  <c r="E348" i="22"/>
  <c r="E349" i="22"/>
  <c r="CB294" i="22"/>
  <c r="BA16" i="51"/>
  <c r="BA14" i="51" s="1"/>
  <c r="Z58" i="51" s="1"/>
  <c r="AB46" i="27"/>
  <c r="K242" i="26"/>
  <c r="L322" i="22"/>
  <c r="I328" i="22"/>
  <c r="M322" i="22"/>
  <c r="L324" i="22"/>
  <c r="M324" i="22"/>
  <c r="E181" i="51"/>
  <c r="K312" i="22"/>
  <c r="T403" i="22"/>
  <c r="H323" i="22"/>
  <c r="K316" i="22"/>
  <c r="B180" i="51"/>
  <c r="D180" i="51" s="1"/>
  <c r="W336" i="22"/>
  <c r="W335" i="22" s="1"/>
  <c r="V394" i="22"/>
  <c r="X336" i="22"/>
  <c r="X335" i="22" s="1"/>
  <c r="G336" i="22"/>
  <c r="J336" i="22"/>
  <c r="N327" i="22"/>
  <c r="E311" i="38"/>
  <c r="F542" i="38" s="1"/>
  <c r="F317" i="38"/>
  <c r="G317" i="38"/>
  <c r="E337" i="38"/>
  <c r="E371" i="38" s="1"/>
  <c r="U46" i="38"/>
  <c r="R576" i="38" s="1"/>
  <c r="AT16" i="51"/>
  <c r="AV16" i="51"/>
  <c r="AR16" i="51"/>
  <c r="J66" i="38"/>
  <c r="F52" i="51"/>
  <c r="X52" i="51"/>
  <c r="J461" i="38"/>
  <c r="G461" i="38"/>
  <c r="S461" i="38" s="1"/>
  <c r="F54" i="51"/>
  <c r="X54" i="51"/>
  <c r="S460" i="38"/>
  <c r="G475" i="38"/>
  <c r="H45" i="8"/>
  <c r="B54" i="8" s="1"/>
  <c r="G538" i="38" s="1"/>
  <c r="R554" i="38" s="1"/>
  <c r="BA8" i="51"/>
  <c r="Z52" i="51" s="1"/>
  <c r="BA7" i="51"/>
  <c r="Z51" i="51" s="1"/>
  <c r="BA12" i="51"/>
  <c r="Z56" i="51" s="1"/>
  <c r="F51" i="51"/>
  <c r="X51" i="51"/>
  <c r="O76" i="4"/>
  <c r="O75" i="4"/>
  <c r="N76" i="4"/>
  <c r="N75" i="4"/>
  <c r="M70" i="27"/>
  <c r="M68" i="27"/>
  <c r="M66" i="27"/>
  <c r="K100" i="27"/>
  <c r="M52" i="27"/>
  <c r="M44" i="27"/>
  <c r="M74" i="27"/>
  <c r="M62" i="27"/>
  <c r="M32" i="27"/>
  <c r="M36" i="27"/>
  <c r="M54" i="27"/>
  <c r="M76" i="27"/>
  <c r="M34" i="27"/>
  <c r="M56" i="27"/>
  <c r="M58" i="27"/>
  <c r="M38" i="27"/>
  <c r="M40" i="27"/>
  <c r="M60" i="27"/>
  <c r="M64" i="27"/>
  <c r="M72" i="27"/>
  <c r="M42" i="27"/>
  <c r="M78" i="27"/>
  <c r="M50" i="27"/>
  <c r="M48" i="27"/>
  <c r="M46" i="27"/>
  <c r="A104" i="51"/>
  <c r="A103" i="51"/>
  <c r="B101" i="51"/>
  <c r="A108" i="51"/>
  <c r="J509" i="38"/>
  <c r="M509" i="38" s="1"/>
  <c r="J510" i="38"/>
  <c r="M510" i="38" s="1"/>
  <c r="J519" i="38"/>
  <c r="M519" i="38" s="1"/>
  <c r="J513" i="38"/>
  <c r="M513" i="38" s="1"/>
  <c r="J514" i="38"/>
  <c r="M514" i="38" s="1"/>
  <c r="J508" i="38"/>
  <c r="M508" i="38" s="1"/>
  <c r="M462" i="38"/>
  <c r="J512" i="38"/>
  <c r="M512" i="38" s="1"/>
  <c r="J507" i="38"/>
  <c r="M507" i="38" s="1"/>
  <c r="J511" i="38"/>
  <c r="M511" i="38" s="1"/>
  <c r="J518" i="38"/>
  <c r="M518" i="38" s="1"/>
  <c r="J517" i="38"/>
  <c r="M517" i="38" s="1"/>
  <c r="J515" i="38"/>
  <c r="M515" i="38" s="1"/>
  <c r="J516" i="38"/>
  <c r="M516" i="38" s="1"/>
  <c r="O58" i="51"/>
  <c r="D58" i="51"/>
  <c r="A128" i="51"/>
  <c r="A131" i="51"/>
  <c r="J126" i="51"/>
  <c r="AP8" i="51"/>
  <c r="E52" i="51" s="1"/>
  <c r="J48" i="4"/>
  <c r="I48" i="4"/>
  <c r="K48" i="4"/>
  <c r="AB60" i="27"/>
  <c r="AB64" i="27"/>
  <c r="AB36" i="27"/>
  <c r="AB42" i="27"/>
  <c r="AB52" i="27"/>
  <c r="F364" i="38"/>
  <c r="CB295" i="22"/>
  <c r="J76" i="4"/>
  <c r="J75" i="4"/>
  <c r="K75" i="4"/>
  <c r="K76" i="4"/>
  <c r="CG270" i="22"/>
  <c r="CG294" i="22" s="1"/>
  <c r="CG295" i="22" s="1"/>
  <c r="E318" i="38"/>
  <c r="K318" i="38" s="1"/>
  <c r="R575" i="38" s="1"/>
  <c r="E338" i="38"/>
  <c r="G318" i="38"/>
  <c r="F318" i="38"/>
  <c r="K297" i="38"/>
  <c r="T318" i="38"/>
  <c r="CA12" i="51"/>
  <c r="AN8" i="51" s="1"/>
  <c r="AM8" i="51"/>
  <c r="D76" i="51"/>
  <c r="A78" i="51" s="1"/>
  <c r="F48" i="4"/>
  <c r="G48" i="4"/>
  <c r="H48" i="4"/>
  <c r="AB74" i="27"/>
  <c r="AB32" i="27"/>
  <c r="AC32" i="27" s="1"/>
  <c r="AB68" i="27"/>
  <c r="AB50" i="27"/>
  <c r="AB34" i="27"/>
  <c r="AB44" i="27"/>
  <c r="G75" i="4"/>
  <c r="G76" i="4"/>
  <c r="H76" i="4"/>
  <c r="H75" i="4"/>
  <c r="R393" i="26"/>
  <c r="R392" i="26"/>
  <c r="R217" i="27"/>
  <c r="R218" i="27"/>
  <c r="O54" i="51"/>
  <c r="D54" i="51"/>
  <c r="I542" i="38"/>
  <c r="AK8" i="51"/>
  <c r="BY12" i="51"/>
  <c r="AL8" i="51" s="1"/>
  <c r="G505" i="38"/>
  <c r="G520" i="38" s="1"/>
  <c r="G451" i="38"/>
  <c r="P48" i="4"/>
  <c r="AB56" i="27"/>
  <c r="AB54" i="27"/>
  <c r="AB78" i="27"/>
  <c r="AB76" i="27"/>
  <c r="AB48" i="27"/>
  <c r="AB38" i="27"/>
  <c r="AC38" i="27" s="1"/>
  <c r="K409" i="38"/>
  <c r="E426" i="38"/>
  <c r="F426" i="38" s="1"/>
  <c r="E425" i="38"/>
  <c r="F425" i="38" s="1"/>
  <c r="E424" i="38"/>
  <c r="F424" i="38" s="1"/>
  <c r="E420" i="38"/>
  <c r="F420" i="38" s="1"/>
  <c r="E428" i="38"/>
  <c r="F428" i="38" s="1"/>
  <c r="E429" i="38"/>
  <c r="F429" i="38" s="1"/>
  <c r="E421" i="38"/>
  <c r="F421" i="38" s="1"/>
  <c r="E418" i="38"/>
  <c r="F418" i="38" s="1"/>
  <c r="F373" i="38"/>
  <c r="E427" i="38"/>
  <c r="F427" i="38" s="1"/>
  <c r="E417" i="38"/>
  <c r="E422" i="38"/>
  <c r="F422" i="38" s="1"/>
  <c r="E419" i="38"/>
  <c r="F419" i="38" s="1"/>
  <c r="E423" i="38"/>
  <c r="F423" i="38" s="1"/>
  <c r="F244" i="26"/>
  <c r="O51" i="51"/>
  <c r="D51" i="51"/>
  <c r="R76" i="4"/>
  <c r="Q76" i="4"/>
  <c r="R75" i="4"/>
  <c r="Q75" i="4"/>
  <c r="E138" i="51"/>
  <c r="A144" i="51"/>
  <c r="H126" i="51"/>
  <c r="A129" i="51"/>
  <c r="M281" i="38"/>
  <c r="M253" i="38"/>
  <c r="M265" i="38"/>
  <c r="M261" i="38"/>
  <c r="M275" i="38"/>
  <c r="M289" i="38"/>
  <c r="M277" i="38"/>
  <c r="M255" i="38"/>
  <c r="M287" i="38"/>
  <c r="M283" i="38"/>
  <c r="M269" i="38"/>
  <c r="M279" i="38"/>
  <c r="M247" i="38"/>
  <c r="M259" i="38"/>
  <c r="M285" i="38"/>
  <c r="K311" i="38"/>
  <c r="M257" i="38"/>
  <c r="M249" i="38"/>
  <c r="M267" i="38"/>
  <c r="M245" i="38"/>
  <c r="M273" i="38"/>
  <c r="M271" i="38"/>
  <c r="M251" i="38"/>
  <c r="M263" i="38"/>
  <c r="M243" i="38"/>
  <c r="BA13" i="51"/>
  <c r="Z57" i="51" s="1"/>
  <c r="AB66" i="27"/>
  <c r="AB62" i="27"/>
  <c r="AB70" i="27"/>
  <c r="AB58" i="27"/>
  <c r="AC58" i="27" s="1"/>
  <c r="AB72" i="27"/>
  <c r="AB40" i="27"/>
  <c r="AC40" i="27" s="1"/>
  <c r="F409" i="38"/>
  <c r="P462" i="22"/>
  <c r="P305" i="22"/>
  <c r="V256" i="26"/>
  <c r="K233" i="26"/>
  <c r="R381" i="26" s="1"/>
  <c r="W256" i="26"/>
  <c r="J256" i="26"/>
  <c r="V257" i="26"/>
  <c r="W257" i="26"/>
  <c r="J257" i="26"/>
  <c r="AM257" i="26" s="1"/>
  <c r="I376" i="38"/>
  <c r="K376" i="38"/>
  <c r="K385" i="38"/>
  <c r="I385" i="38"/>
  <c r="I378" i="38"/>
  <c r="K378" i="38"/>
  <c r="I381" i="38"/>
  <c r="K381" i="38"/>
  <c r="BA11" i="51"/>
  <c r="Z55" i="51" s="1"/>
  <c r="BA10" i="51"/>
  <c r="Z54" i="51" s="1"/>
  <c r="BY10" i="51"/>
  <c r="AL15" i="51" s="1"/>
  <c r="AK15" i="51"/>
  <c r="R8" i="18"/>
  <c r="I485" i="38"/>
  <c r="J485" i="38" s="1"/>
  <c r="H437" i="38"/>
  <c r="I416" i="38"/>
  <c r="AP9" i="51"/>
  <c r="E53" i="51" s="1"/>
  <c r="I119" i="38"/>
  <c r="K99" i="51"/>
  <c r="K380" i="38"/>
  <c r="I380" i="38"/>
  <c r="H423" i="38"/>
  <c r="H422" i="38"/>
  <c r="H419" i="38"/>
  <c r="I373" i="38"/>
  <c r="H429" i="38"/>
  <c r="H421" i="38"/>
  <c r="H417" i="38"/>
  <c r="H424" i="38"/>
  <c r="H426" i="38"/>
  <c r="H420" i="38"/>
  <c r="H427" i="38"/>
  <c r="K373" i="38"/>
  <c r="H428" i="38"/>
  <c r="H425" i="38"/>
  <c r="H418" i="38"/>
  <c r="I382" i="38"/>
  <c r="K382" i="38"/>
  <c r="K383" i="38"/>
  <c r="I383" i="38"/>
  <c r="J542" i="38"/>
  <c r="A10" i="11"/>
  <c r="E263" i="26"/>
  <c r="E264" i="26"/>
  <c r="F264" i="26" s="1"/>
  <c r="F257" i="26"/>
  <c r="G257" i="26" s="1"/>
  <c r="AL257" i="26" s="1"/>
  <c r="F256" i="26"/>
  <c r="E265" i="26"/>
  <c r="F265" i="26" s="1"/>
  <c r="E244" i="26"/>
  <c r="BA15" i="51"/>
  <c r="Z59" i="51" s="1"/>
  <c r="BY34" i="51"/>
  <c r="AL9" i="51" s="1"/>
  <c r="AK9" i="51"/>
  <c r="A119" i="51"/>
  <c r="E116" i="51"/>
  <c r="K119" i="38"/>
  <c r="K241" i="26"/>
  <c r="H244" i="26"/>
  <c r="K244" i="26" s="1"/>
  <c r="M179" i="26"/>
  <c r="M189" i="26"/>
  <c r="M175" i="26"/>
  <c r="M217" i="26"/>
  <c r="M181" i="26"/>
  <c r="M209" i="26"/>
  <c r="J348" i="26"/>
  <c r="K227" i="26"/>
  <c r="G348" i="26"/>
  <c r="M201" i="26"/>
  <c r="M211" i="26"/>
  <c r="M173" i="26"/>
  <c r="M199" i="26"/>
  <c r="M187" i="26"/>
  <c r="M195" i="26"/>
  <c r="M177" i="26"/>
  <c r="M193" i="26"/>
  <c r="M185" i="26"/>
  <c r="M191" i="26"/>
  <c r="M203" i="26"/>
  <c r="M213" i="26"/>
  <c r="M197" i="26"/>
  <c r="M183" i="26"/>
  <c r="M205" i="26"/>
  <c r="M171" i="26"/>
  <c r="M215" i="26"/>
  <c r="M207" i="26"/>
  <c r="I374" i="38"/>
  <c r="K374" i="38"/>
  <c r="K384" i="38"/>
  <c r="I384" i="38"/>
  <c r="K375" i="38"/>
  <c r="I375" i="38"/>
  <c r="BA9" i="51"/>
  <c r="Z53" i="51" s="1"/>
  <c r="AO15" i="51"/>
  <c r="AO16" i="51" s="1"/>
  <c r="AX16" i="51" s="1"/>
  <c r="J252" i="26"/>
  <c r="V253" i="26"/>
  <c r="J253" i="26"/>
  <c r="V252" i="26"/>
  <c r="G252" i="26"/>
  <c r="W253" i="26"/>
  <c r="W252" i="26"/>
  <c r="W38" i="10"/>
  <c r="CA34" i="51"/>
  <c r="AN9" i="51" s="1"/>
  <c r="AM9" i="51"/>
  <c r="F311" i="38"/>
  <c r="G542" i="38"/>
  <c r="R563" i="38" s="1"/>
  <c r="I377" i="38"/>
  <c r="K377" i="38"/>
  <c r="K379" i="38"/>
  <c r="I379" i="38"/>
  <c r="BR270" i="22"/>
  <c r="BR294" i="22" s="1"/>
  <c r="BR295" i="22" s="1"/>
  <c r="CA10" i="51"/>
  <c r="AN15" i="51" s="1"/>
  <c r="AM15" i="51"/>
  <c r="I348" i="26"/>
  <c r="F348" i="26"/>
  <c r="F352" i="38"/>
  <c r="O55" i="51"/>
  <c r="D55" i="51"/>
  <c r="BW270" i="22"/>
  <c r="BW294" i="22" s="1"/>
  <c r="BW295" i="22" s="1"/>
  <c r="G181" i="51" l="1"/>
  <c r="E182" i="51"/>
  <c r="H350" i="22"/>
  <c r="F350" i="22"/>
  <c r="F352" i="22"/>
  <c r="H352" i="22"/>
  <c r="H328" i="22"/>
  <c r="K182" i="51"/>
  <c r="M181" i="51"/>
  <c r="M182" i="51" s="1"/>
  <c r="G182" i="51"/>
  <c r="H182" i="51"/>
  <c r="J181" i="51"/>
  <c r="J182" i="51" s="1"/>
  <c r="A187" i="51"/>
  <c r="AL16" i="51"/>
  <c r="AC34" i="27"/>
  <c r="P322" i="22"/>
  <c r="L328" i="22"/>
  <c r="P328" i="22" s="1"/>
  <c r="F351" i="22"/>
  <c r="H351" i="22"/>
  <c r="E373" i="22"/>
  <c r="E378" i="22"/>
  <c r="H347" i="22"/>
  <c r="E375" i="22"/>
  <c r="F347" i="22"/>
  <c r="E377" i="22"/>
  <c r="E374" i="22"/>
  <c r="E376" i="22"/>
  <c r="E353" i="22"/>
  <c r="P324" i="22"/>
  <c r="W255" i="26"/>
  <c r="AK16" i="51"/>
  <c r="Y403" i="22"/>
  <c r="V403" i="22"/>
  <c r="F349" i="22"/>
  <c r="H349" i="22"/>
  <c r="Y401" i="22"/>
  <c r="V401" i="22"/>
  <c r="I351" i="22"/>
  <c r="I348" i="22"/>
  <c r="I349" i="22"/>
  <c r="G340" i="22"/>
  <c r="I350" i="22"/>
  <c r="I347" i="22"/>
  <c r="I352" i="22"/>
  <c r="Y404" i="22"/>
  <c r="V404" i="22"/>
  <c r="AM16" i="51"/>
  <c r="G349" i="22"/>
  <c r="G347" i="22"/>
  <c r="G348" i="22"/>
  <c r="G352" i="22"/>
  <c r="G350" i="22"/>
  <c r="G351" i="22"/>
  <c r="H348" i="22"/>
  <c r="F348" i="22"/>
  <c r="M328" i="22"/>
  <c r="J496" i="22"/>
  <c r="G496" i="22"/>
  <c r="P323" i="22"/>
  <c r="D181" i="51"/>
  <c r="D182" i="51" s="1"/>
  <c r="B182" i="51"/>
  <c r="K337" i="38"/>
  <c r="R371" i="26"/>
  <c r="G492" i="22"/>
  <c r="M461" i="38"/>
  <c r="J506" i="38"/>
  <c r="M506" i="38" s="1"/>
  <c r="R369" i="26"/>
  <c r="AX13" i="51"/>
  <c r="G57" i="51" s="1"/>
  <c r="J57" i="51" s="1"/>
  <c r="K57" i="51" s="1"/>
  <c r="AX12" i="51"/>
  <c r="G56" i="51" s="1"/>
  <c r="J56" i="51" s="1"/>
  <c r="K56" i="51" s="1"/>
  <c r="AX11" i="51"/>
  <c r="G55" i="51" s="1"/>
  <c r="J55" i="51" s="1"/>
  <c r="K55" i="51" s="1"/>
  <c r="AX14" i="51"/>
  <c r="G58" i="51" s="1"/>
  <c r="J58" i="51" s="1"/>
  <c r="K58" i="51" s="1"/>
  <c r="AX10" i="51"/>
  <c r="G54" i="51" s="1"/>
  <c r="J54" i="51" s="1"/>
  <c r="K54" i="51" s="1"/>
  <c r="AX7" i="51"/>
  <c r="G51" i="51" s="1"/>
  <c r="J51" i="51" s="1"/>
  <c r="K51" i="51" s="1"/>
  <c r="AX8" i="51"/>
  <c r="G52" i="51" s="1"/>
  <c r="J52" i="51" s="1"/>
  <c r="K52" i="51" s="1"/>
  <c r="AX9" i="51"/>
  <c r="G53" i="51" s="1"/>
  <c r="J53" i="51" s="1"/>
  <c r="K53" i="51" s="1"/>
  <c r="AY16" i="51"/>
  <c r="AY9" i="51" s="1"/>
  <c r="H53" i="51" s="1"/>
  <c r="AQ16" i="51"/>
  <c r="AQ15" i="51" s="1"/>
  <c r="Q59" i="51" s="1"/>
  <c r="W251" i="26"/>
  <c r="V251" i="26"/>
  <c r="D53" i="51"/>
  <c r="O53" i="51"/>
  <c r="H265" i="26"/>
  <c r="H263" i="26"/>
  <c r="G256" i="26"/>
  <c r="H264" i="26"/>
  <c r="I428" i="38"/>
  <c r="K428" i="38"/>
  <c r="I426" i="38"/>
  <c r="K426" i="38"/>
  <c r="K429" i="38"/>
  <c r="I429" i="38"/>
  <c r="K423" i="38"/>
  <c r="I423" i="38"/>
  <c r="H461" i="38"/>
  <c r="I437" i="38"/>
  <c r="AC70" i="27"/>
  <c r="E440" i="38"/>
  <c r="F440" i="38" s="1"/>
  <c r="E439" i="38"/>
  <c r="F439" i="38" s="1"/>
  <c r="E449" i="38"/>
  <c r="F449" i="38" s="1"/>
  <c r="E443" i="38"/>
  <c r="F443" i="38" s="1"/>
  <c r="F417" i="38"/>
  <c r="E450" i="38"/>
  <c r="F450" i="38" s="1"/>
  <c r="E445" i="38"/>
  <c r="F445" i="38" s="1"/>
  <c r="E444" i="38"/>
  <c r="F444" i="38" s="1"/>
  <c r="E441" i="38"/>
  <c r="F441" i="38" s="1"/>
  <c r="E448" i="38"/>
  <c r="F448" i="38" s="1"/>
  <c r="E447" i="38"/>
  <c r="F447" i="38" s="1"/>
  <c r="E442" i="38"/>
  <c r="F442" i="38" s="1"/>
  <c r="E446" i="38"/>
  <c r="F446" i="38" s="1"/>
  <c r="E438" i="38"/>
  <c r="AC78" i="27"/>
  <c r="R565" i="38"/>
  <c r="W39" i="10"/>
  <c r="AC68" i="27"/>
  <c r="E372" i="38"/>
  <c r="K338" i="38"/>
  <c r="E415" i="38"/>
  <c r="F371" i="38"/>
  <c r="AC52" i="27"/>
  <c r="AC60" i="27"/>
  <c r="G264" i="26"/>
  <c r="G265" i="26"/>
  <c r="G263" i="26"/>
  <c r="I424" i="38"/>
  <c r="K424" i="38"/>
  <c r="V255" i="26"/>
  <c r="AC62" i="27"/>
  <c r="AC54" i="27"/>
  <c r="AC44" i="27"/>
  <c r="E352" i="38"/>
  <c r="K352" i="38" s="1"/>
  <c r="AC42" i="27"/>
  <c r="AC46" i="27"/>
  <c r="AP15" i="51"/>
  <c r="E59" i="51" s="1"/>
  <c r="AX15" i="51"/>
  <c r="G59" i="51" s="1"/>
  <c r="J59" i="51" s="1"/>
  <c r="K59" i="51" s="1"/>
  <c r="I418" i="38"/>
  <c r="K418" i="38"/>
  <c r="I427" i="38"/>
  <c r="K427" i="38"/>
  <c r="H450" i="38"/>
  <c r="I494" i="38"/>
  <c r="J494" i="38" s="1"/>
  <c r="H446" i="38"/>
  <c r="I493" i="38"/>
  <c r="J493" i="38" s="1"/>
  <c r="I492" i="38"/>
  <c r="J492" i="38" s="1"/>
  <c r="I488" i="38"/>
  <c r="J488" i="38" s="1"/>
  <c r="I417" i="38"/>
  <c r="I486" i="38"/>
  <c r="J486" i="38" s="1"/>
  <c r="I497" i="38"/>
  <c r="J497" i="38" s="1"/>
  <c r="I498" i="38"/>
  <c r="J498" i="38" s="1"/>
  <c r="H449" i="38"/>
  <c r="H445" i="38"/>
  <c r="H444" i="38"/>
  <c r="I490" i="38"/>
  <c r="J490" i="38" s="1"/>
  <c r="I489" i="38"/>
  <c r="J489" i="38" s="1"/>
  <c r="K417" i="38"/>
  <c r="H439" i="38"/>
  <c r="I496" i="38"/>
  <c r="J496" i="38" s="1"/>
  <c r="I491" i="38"/>
  <c r="J491" i="38" s="1"/>
  <c r="H442" i="38"/>
  <c r="I487" i="38"/>
  <c r="J487" i="38" s="1"/>
  <c r="H447" i="38"/>
  <c r="H443" i="38"/>
  <c r="H441" i="38"/>
  <c r="H448" i="38"/>
  <c r="I495" i="38"/>
  <c r="J495" i="38" s="1"/>
  <c r="H440" i="38"/>
  <c r="H438" i="38"/>
  <c r="K419" i="38"/>
  <c r="I419" i="38"/>
  <c r="O59" i="51"/>
  <c r="D59" i="51"/>
  <c r="AC72" i="27"/>
  <c r="AC66" i="27"/>
  <c r="AC48" i="27"/>
  <c r="AC56" i="27"/>
  <c r="D52" i="51"/>
  <c r="O52" i="51"/>
  <c r="AC74" i="27"/>
  <c r="H371" i="38"/>
  <c r="G364" i="38"/>
  <c r="J371" i="38" s="1"/>
  <c r="AC36" i="27"/>
  <c r="F263" i="26"/>
  <c r="F266" i="26" s="1"/>
  <c r="E266" i="26"/>
  <c r="E283" i="26"/>
  <c r="E284" i="26"/>
  <c r="F284" i="26" s="1"/>
  <c r="E285" i="26"/>
  <c r="F285" i="26" s="1"/>
  <c r="A11" i="11"/>
  <c r="I425" i="38"/>
  <c r="K425" i="38"/>
  <c r="I420" i="38"/>
  <c r="K420" i="38"/>
  <c r="K421" i="38"/>
  <c r="I421" i="38"/>
  <c r="I422" i="38"/>
  <c r="K422" i="38"/>
  <c r="K101" i="51"/>
  <c r="A105" i="51"/>
  <c r="A106" i="51"/>
  <c r="AN16" i="51"/>
  <c r="AZ16" i="51" s="1"/>
  <c r="AZ9" i="51" s="1"/>
  <c r="R12" i="18"/>
  <c r="AC76" i="27"/>
  <c r="AC50" i="27"/>
  <c r="AZ8" i="51"/>
  <c r="AC64" i="27"/>
  <c r="G374" i="22" l="1"/>
  <c r="G376" i="22"/>
  <c r="G375" i="22"/>
  <c r="G353" i="22"/>
  <c r="G378" i="22"/>
  <c r="G373" i="22"/>
  <c r="G377" i="22"/>
  <c r="J350" i="22"/>
  <c r="N350" i="22" s="1"/>
  <c r="L350" i="22"/>
  <c r="P350" i="22" s="1"/>
  <c r="M350" i="22"/>
  <c r="L351" i="22"/>
  <c r="P351" i="22" s="1"/>
  <c r="M351" i="22"/>
  <c r="J351" i="22"/>
  <c r="N351" i="22" s="1"/>
  <c r="F353" i="22"/>
  <c r="E388" i="22"/>
  <c r="E386" i="22"/>
  <c r="H373" i="22"/>
  <c r="F373" i="22"/>
  <c r="E389" i="22"/>
  <c r="E385" i="22"/>
  <c r="E390" i="22"/>
  <c r="E379" i="22"/>
  <c r="E387" i="22"/>
  <c r="K351" i="22"/>
  <c r="O351" i="22" s="1"/>
  <c r="K349" i="22"/>
  <c r="O349" i="22" s="1"/>
  <c r="K350" i="22"/>
  <c r="O350" i="22" s="1"/>
  <c r="K352" i="22"/>
  <c r="O352" i="22" s="1"/>
  <c r="K347" i="22"/>
  <c r="K348" i="22"/>
  <c r="O348" i="22" s="1"/>
  <c r="X404" i="22"/>
  <c r="F376" i="22"/>
  <c r="H376" i="22"/>
  <c r="H375" i="22"/>
  <c r="F375" i="22"/>
  <c r="M352" i="22"/>
  <c r="L352" i="22"/>
  <c r="P352" i="22" s="1"/>
  <c r="J352" i="22"/>
  <c r="N352" i="22" s="1"/>
  <c r="M349" i="22"/>
  <c r="J349" i="22"/>
  <c r="N349" i="22" s="1"/>
  <c r="L349" i="22"/>
  <c r="P349" i="22" s="1"/>
  <c r="AA404" i="22"/>
  <c r="H374" i="22"/>
  <c r="F374" i="22"/>
  <c r="H353" i="22"/>
  <c r="L347" i="22"/>
  <c r="J347" i="22"/>
  <c r="I378" i="22"/>
  <c r="I377" i="22"/>
  <c r="M347" i="22"/>
  <c r="I373" i="22"/>
  <c r="I374" i="22"/>
  <c r="I376" i="22"/>
  <c r="I353" i="22"/>
  <c r="M353" i="22" s="1"/>
  <c r="I375" i="22"/>
  <c r="L348" i="22"/>
  <c r="P348" i="22" s="1"/>
  <c r="M348" i="22"/>
  <c r="J348" i="22"/>
  <c r="N348" i="22" s="1"/>
  <c r="H377" i="22"/>
  <c r="F377" i="22"/>
  <c r="H378" i="22"/>
  <c r="F378" i="22"/>
  <c r="AY15" i="51"/>
  <c r="H59" i="51" s="1"/>
  <c r="AY8" i="51"/>
  <c r="H52" i="51" s="1"/>
  <c r="B63" i="51"/>
  <c r="F372" i="38"/>
  <c r="E416" i="38"/>
  <c r="E430" i="38" s="1"/>
  <c r="K372" i="38"/>
  <c r="J264" i="26"/>
  <c r="M264" i="26" s="1"/>
  <c r="J265" i="26"/>
  <c r="M265" i="26" s="1"/>
  <c r="J263" i="26"/>
  <c r="A12" i="11"/>
  <c r="M371" i="38"/>
  <c r="J415" i="38"/>
  <c r="J386" i="38"/>
  <c r="AQ8" i="51"/>
  <c r="Q52" i="51" s="1"/>
  <c r="I448" i="38"/>
  <c r="K448" i="38"/>
  <c r="I439" i="38"/>
  <c r="K439" i="38"/>
  <c r="I444" i="38"/>
  <c r="K444" i="38"/>
  <c r="I450" i="38"/>
  <c r="K450" i="38"/>
  <c r="I263" i="26"/>
  <c r="H285" i="26"/>
  <c r="H283" i="26"/>
  <c r="H266" i="26"/>
  <c r="K266" i="26" s="1"/>
  <c r="K263" i="26"/>
  <c r="H284" i="26"/>
  <c r="AY13" i="51"/>
  <c r="H57" i="51" s="1"/>
  <c r="AY12" i="51"/>
  <c r="H56" i="51" s="1"/>
  <c r="AY7" i="51"/>
  <c r="H51" i="51" s="1"/>
  <c r="AY14" i="51"/>
  <c r="H58" i="51" s="1"/>
  <c r="AY10" i="51"/>
  <c r="H54" i="51" s="1"/>
  <c r="AY11" i="51"/>
  <c r="H55" i="51" s="1"/>
  <c r="F415" i="38"/>
  <c r="E436" i="38"/>
  <c r="H415" i="38"/>
  <c r="K371" i="38"/>
  <c r="I371" i="38"/>
  <c r="I386" i="38" s="1"/>
  <c r="H386" i="38"/>
  <c r="H474" i="38"/>
  <c r="H465" i="38"/>
  <c r="H464" i="38"/>
  <c r="H463" i="38"/>
  <c r="H473" i="38"/>
  <c r="H468" i="38"/>
  <c r="H466" i="38"/>
  <c r="H462" i="38"/>
  <c r="H472" i="38"/>
  <c r="I438" i="38"/>
  <c r="H471" i="38"/>
  <c r="H469" i="38"/>
  <c r="K438" i="38"/>
  <c r="H470" i="38"/>
  <c r="H467" i="38"/>
  <c r="I441" i="38"/>
  <c r="K441" i="38"/>
  <c r="I442" i="38"/>
  <c r="K442" i="38"/>
  <c r="I445" i="38"/>
  <c r="K445" i="38"/>
  <c r="F386" i="38"/>
  <c r="K265" i="26"/>
  <c r="I265" i="26"/>
  <c r="F283" i="26"/>
  <c r="F286" i="26" s="1"/>
  <c r="E286" i="26"/>
  <c r="E294" i="26"/>
  <c r="F294" i="26" s="1"/>
  <c r="E292" i="26"/>
  <c r="E293" i="26"/>
  <c r="F293" i="26" s="1"/>
  <c r="K447" i="38"/>
  <c r="I447" i="38"/>
  <c r="G284" i="26"/>
  <c r="G285" i="26"/>
  <c r="G266" i="26"/>
  <c r="G283" i="26"/>
  <c r="AQ13" i="51"/>
  <c r="Q57" i="51" s="1"/>
  <c r="AQ12" i="51"/>
  <c r="Q56" i="51" s="1"/>
  <c r="AQ11" i="51"/>
  <c r="Q55" i="51" s="1"/>
  <c r="AQ10" i="51"/>
  <c r="Q54" i="51" s="1"/>
  <c r="AQ14" i="51"/>
  <c r="Q58" i="51" s="1"/>
  <c r="AQ7" i="51"/>
  <c r="Q51" i="51" s="1"/>
  <c r="AZ13" i="51"/>
  <c r="AZ12" i="51"/>
  <c r="AZ14" i="51"/>
  <c r="AZ11" i="51"/>
  <c r="AZ7" i="51"/>
  <c r="AZ10" i="51"/>
  <c r="K440" i="38"/>
  <c r="I440" i="38"/>
  <c r="K443" i="38"/>
  <c r="I443" i="38"/>
  <c r="K449" i="38"/>
  <c r="I449" i="38"/>
  <c r="K446" i="38"/>
  <c r="I446" i="38"/>
  <c r="AZ15" i="51"/>
  <c r="E386" i="38"/>
  <c r="E514" i="38"/>
  <c r="F514" i="38" s="1"/>
  <c r="E513" i="38"/>
  <c r="F513" i="38" s="1"/>
  <c r="E512" i="38"/>
  <c r="F512" i="38" s="1"/>
  <c r="E508" i="38"/>
  <c r="F508" i="38" s="1"/>
  <c r="E518" i="38"/>
  <c r="F518" i="38" s="1"/>
  <c r="E517" i="38"/>
  <c r="F517" i="38" s="1"/>
  <c r="E507" i="38"/>
  <c r="F507" i="38" s="1"/>
  <c r="E519" i="38"/>
  <c r="F519" i="38" s="1"/>
  <c r="E515" i="38"/>
  <c r="F515" i="38" s="1"/>
  <c r="E511" i="38"/>
  <c r="F511" i="38" s="1"/>
  <c r="F438" i="38"/>
  <c r="E516" i="38"/>
  <c r="F516" i="38" s="1"/>
  <c r="E509" i="38"/>
  <c r="F509" i="38" s="1"/>
  <c r="E510" i="38"/>
  <c r="F510" i="38" s="1"/>
  <c r="I461" i="38"/>
  <c r="H506" i="38"/>
  <c r="I264" i="26"/>
  <c r="K264" i="26"/>
  <c r="AQ9" i="51"/>
  <c r="Q53" i="51" s="1"/>
  <c r="W40" i="10"/>
  <c r="J376" i="22" l="1"/>
  <c r="N376" i="22" s="1"/>
  <c r="M376" i="22"/>
  <c r="L376" i="22"/>
  <c r="P376" i="22" s="1"/>
  <c r="J377" i="22"/>
  <c r="N377" i="22" s="1"/>
  <c r="M377" i="22"/>
  <c r="L377" i="22"/>
  <c r="P377" i="22" s="1"/>
  <c r="H379" i="22"/>
  <c r="K374" i="22"/>
  <c r="O374" i="22" s="1"/>
  <c r="K378" i="22"/>
  <c r="O378" i="22" s="1"/>
  <c r="O347" i="22"/>
  <c r="K376" i="22"/>
  <c r="O376" i="22" s="1"/>
  <c r="K353" i="22"/>
  <c r="K377" i="22"/>
  <c r="O377" i="22" s="1"/>
  <c r="K373" i="22"/>
  <c r="K375" i="22"/>
  <c r="O375" i="22" s="1"/>
  <c r="H385" i="22"/>
  <c r="E452" i="22"/>
  <c r="E456" i="22"/>
  <c r="E455" i="22"/>
  <c r="F385" i="22"/>
  <c r="E453" i="22"/>
  <c r="E451" i="22"/>
  <c r="E454" i="22"/>
  <c r="E391" i="22"/>
  <c r="H386" i="22"/>
  <c r="F386" i="22"/>
  <c r="L374" i="22"/>
  <c r="P374" i="22" s="1"/>
  <c r="M374" i="22"/>
  <c r="J374" i="22"/>
  <c r="N374" i="22" s="1"/>
  <c r="M378" i="22"/>
  <c r="J378" i="22"/>
  <c r="N378" i="22" s="1"/>
  <c r="L378" i="22"/>
  <c r="P378" i="22" s="1"/>
  <c r="F379" i="22"/>
  <c r="H387" i="22"/>
  <c r="F387" i="22"/>
  <c r="H389" i="22"/>
  <c r="F389" i="22"/>
  <c r="H388" i="22"/>
  <c r="F388" i="22"/>
  <c r="J375" i="22"/>
  <c r="N375" i="22" s="1"/>
  <c r="M375" i="22"/>
  <c r="L375" i="22"/>
  <c r="P375" i="22" s="1"/>
  <c r="I388" i="22"/>
  <c r="I386" i="22"/>
  <c r="I387" i="22"/>
  <c r="J373" i="22"/>
  <c r="I443" i="22"/>
  <c r="J443" i="22" s="1"/>
  <c r="M373" i="22"/>
  <c r="I385" i="22"/>
  <c r="I444" i="22"/>
  <c r="J444" i="22" s="1"/>
  <c r="I390" i="22"/>
  <c r="I379" i="22"/>
  <c r="M379" i="22" s="1"/>
  <c r="L373" i="22"/>
  <c r="I440" i="22"/>
  <c r="J440" i="22" s="1"/>
  <c r="I441" i="22"/>
  <c r="J441" i="22" s="1"/>
  <c r="I442" i="22"/>
  <c r="J442" i="22" s="1"/>
  <c r="I389" i="22"/>
  <c r="I439" i="22"/>
  <c r="J353" i="22"/>
  <c r="N353" i="22" s="1"/>
  <c r="N347" i="22"/>
  <c r="X401" i="22"/>
  <c r="X394" i="22"/>
  <c r="G386" i="22"/>
  <c r="G388" i="22"/>
  <c r="G389" i="22"/>
  <c r="G390" i="22"/>
  <c r="G385" i="22"/>
  <c r="G387" i="22"/>
  <c r="G379" i="22"/>
  <c r="L353" i="22"/>
  <c r="P347" i="22"/>
  <c r="AA401" i="22"/>
  <c r="AA394" i="22"/>
  <c r="H390" i="22"/>
  <c r="F390" i="22"/>
  <c r="G294" i="26"/>
  <c r="G286" i="26"/>
  <c r="G292" i="26"/>
  <c r="G293" i="26"/>
  <c r="K469" i="38"/>
  <c r="I469" i="38"/>
  <c r="H516" i="38"/>
  <c r="H510" i="38"/>
  <c r="H509" i="38"/>
  <c r="I462" i="38"/>
  <c r="H518" i="38"/>
  <c r="H514" i="38"/>
  <c r="H513" i="38"/>
  <c r="H512" i="38"/>
  <c r="H507" i="38"/>
  <c r="H519" i="38"/>
  <c r="K462" i="38"/>
  <c r="H517" i="38"/>
  <c r="H508" i="38"/>
  <c r="H515" i="38"/>
  <c r="H511" i="38"/>
  <c r="K463" i="38"/>
  <c r="I463" i="38"/>
  <c r="H436" i="38"/>
  <c r="K415" i="38"/>
  <c r="I484" i="38"/>
  <c r="H430" i="38"/>
  <c r="K430" i="38" s="1"/>
  <c r="I415" i="38"/>
  <c r="I430" i="38" s="1"/>
  <c r="I284" i="26"/>
  <c r="K284" i="26"/>
  <c r="I285" i="26"/>
  <c r="K285" i="26"/>
  <c r="A13" i="11"/>
  <c r="I467" i="38"/>
  <c r="K467" i="38"/>
  <c r="I471" i="38"/>
  <c r="K471" i="38"/>
  <c r="I466" i="38"/>
  <c r="K466" i="38"/>
  <c r="K464" i="38"/>
  <c r="I464" i="38"/>
  <c r="K386" i="38"/>
  <c r="I266" i="26"/>
  <c r="M263" i="26"/>
  <c r="J285" i="26"/>
  <c r="M285" i="26" s="1"/>
  <c r="J283" i="26"/>
  <c r="J284" i="26"/>
  <c r="M284" i="26" s="1"/>
  <c r="J266" i="26"/>
  <c r="E437" i="38"/>
  <c r="E451" i="38" s="1"/>
  <c r="F416" i="38"/>
  <c r="F430" i="38" s="1"/>
  <c r="K416" i="38"/>
  <c r="I470" i="38"/>
  <c r="K470" i="38"/>
  <c r="K468" i="38"/>
  <c r="I468" i="38"/>
  <c r="I465" i="38"/>
  <c r="K465" i="38"/>
  <c r="M386" i="38"/>
  <c r="J67" i="38"/>
  <c r="I506" i="38"/>
  <c r="F292" i="26"/>
  <c r="F295" i="26" s="1"/>
  <c r="E325" i="26"/>
  <c r="F325" i="26" s="1"/>
  <c r="E326" i="26"/>
  <c r="F326" i="26" s="1"/>
  <c r="E295" i="26"/>
  <c r="E324" i="26"/>
  <c r="I472" i="38"/>
  <c r="K472" i="38"/>
  <c r="I473" i="38"/>
  <c r="K473" i="38"/>
  <c r="K474" i="38"/>
  <c r="I474" i="38"/>
  <c r="F436" i="38"/>
  <c r="E505" i="38"/>
  <c r="I283" i="26"/>
  <c r="K283" i="26"/>
  <c r="H294" i="26"/>
  <c r="H292" i="26"/>
  <c r="I316" i="26"/>
  <c r="J316" i="26" s="1"/>
  <c r="I315" i="26"/>
  <c r="I317" i="26"/>
  <c r="J317" i="26" s="1"/>
  <c r="H286" i="26"/>
  <c r="K286" i="26" s="1"/>
  <c r="H293" i="26"/>
  <c r="J436" i="38"/>
  <c r="M415" i="38"/>
  <c r="J430" i="38"/>
  <c r="M430" i="38" s="1"/>
  <c r="W41" i="10"/>
  <c r="W42" i="10" s="1"/>
  <c r="W43" i="10" s="1"/>
  <c r="W44" i="10" s="1"/>
  <c r="W45" i="10" s="1"/>
  <c r="W46" i="10" s="1"/>
  <c r="G456" i="22" l="1"/>
  <c r="G455" i="22"/>
  <c r="G452" i="22"/>
  <c r="G451" i="22"/>
  <c r="G453" i="22"/>
  <c r="G454" i="22"/>
  <c r="G391" i="22"/>
  <c r="L390" i="22"/>
  <c r="P390" i="22" s="1"/>
  <c r="M390" i="22"/>
  <c r="J390" i="22"/>
  <c r="N390" i="22" s="1"/>
  <c r="M388" i="22"/>
  <c r="J388" i="22"/>
  <c r="N388" i="22" s="1"/>
  <c r="L388" i="22"/>
  <c r="P388" i="22" s="1"/>
  <c r="F391" i="22"/>
  <c r="H454" i="22"/>
  <c r="F454" i="22"/>
  <c r="F455" i="22"/>
  <c r="H455" i="22"/>
  <c r="L386" i="22"/>
  <c r="P386" i="22" s="1"/>
  <c r="J386" i="22"/>
  <c r="N386" i="22" s="1"/>
  <c r="M386" i="22"/>
  <c r="O353" i="22"/>
  <c r="K78" i="22"/>
  <c r="K120" i="22" s="1"/>
  <c r="H451" i="22"/>
  <c r="F451" i="22"/>
  <c r="E457" i="22"/>
  <c r="F456" i="22"/>
  <c r="H456" i="22"/>
  <c r="K386" i="22"/>
  <c r="O386" i="22" s="1"/>
  <c r="K390" i="22"/>
  <c r="O390" i="22" s="1"/>
  <c r="K387" i="22"/>
  <c r="O387" i="22" s="1"/>
  <c r="K388" i="22"/>
  <c r="O388" i="22" s="1"/>
  <c r="O373" i="22"/>
  <c r="K379" i="22"/>
  <c r="O379" i="22" s="1"/>
  <c r="K389" i="22"/>
  <c r="O389" i="22" s="1"/>
  <c r="K385" i="22"/>
  <c r="H391" i="22"/>
  <c r="I286" i="26"/>
  <c r="P353" i="22"/>
  <c r="K51" i="22"/>
  <c r="N78" i="22"/>
  <c r="I445" i="22"/>
  <c r="J439" i="22"/>
  <c r="J445" i="22" s="1"/>
  <c r="K445" i="22" s="1"/>
  <c r="J379" i="22"/>
  <c r="N379" i="22" s="1"/>
  <c r="N373" i="22"/>
  <c r="J389" i="22"/>
  <c r="N389" i="22" s="1"/>
  <c r="L389" i="22"/>
  <c r="P389" i="22" s="1"/>
  <c r="M389" i="22"/>
  <c r="L379" i="22"/>
  <c r="P379" i="22" s="1"/>
  <c r="P373" i="22"/>
  <c r="I391" i="22"/>
  <c r="M391" i="22" s="1"/>
  <c r="I410" i="22"/>
  <c r="I407" i="22"/>
  <c r="I412" i="22"/>
  <c r="I411" i="22"/>
  <c r="M385" i="22"/>
  <c r="J385" i="22"/>
  <c r="L385" i="22"/>
  <c r="I409" i="22"/>
  <c r="I408" i="22"/>
  <c r="J387" i="22"/>
  <c r="N387" i="22" s="1"/>
  <c r="L387" i="22"/>
  <c r="P387" i="22" s="1"/>
  <c r="M387" i="22"/>
  <c r="F453" i="22"/>
  <c r="H453" i="22"/>
  <c r="F452" i="22"/>
  <c r="F457" i="22" s="1"/>
  <c r="O469" i="22" s="1"/>
  <c r="H452" i="22"/>
  <c r="K292" i="26"/>
  <c r="H295" i="26"/>
  <c r="K295" i="26" s="1"/>
  <c r="I292" i="26"/>
  <c r="H305" i="26"/>
  <c r="H304" i="26"/>
  <c r="H303" i="26"/>
  <c r="F505" i="38"/>
  <c r="M436" i="38"/>
  <c r="J460" i="38"/>
  <c r="J451" i="38"/>
  <c r="M451" i="38" s="1"/>
  <c r="K453" i="38" s="1"/>
  <c r="K454" i="38" s="1"/>
  <c r="J315" i="26"/>
  <c r="J318" i="26" s="1"/>
  <c r="K318" i="26" s="1"/>
  <c r="I318" i="26"/>
  <c r="W49" i="10"/>
  <c r="J292" i="26"/>
  <c r="M283" i="26"/>
  <c r="J294" i="26"/>
  <c r="M294" i="26" s="1"/>
  <c r="J286" i="26"/>
  <c r="M286" i="26" s="1"/>
  <c r="J293" i="26"/>
  <c r="M293" i="26" s="1"/>
  <c r="I499" i="38"/>
  <c r="J484" i="38"/>
  <c r="J499" i="38" s="1"/>
  <c r="K499" i="38" s="1"/>
  <c r="K517" i="38"/>
  <c r="I517" i="38"/>
  <c r="K512" i="38"/>
  <c r="I512" i="38"/>
  <c r="F324" i="26"/>
  <c r="F327" i="26" s="1"/>
  <c r="E327" i="26"/>
  <c r="E506" i="38"/>
  <c r="E520" i="38" s="1"/>
  <c r="F437" i="38"/>
  <c r="F451" i="38" s="1"/>
  <c r="K437" i="38"/>
  <c r="K461" i="38"/>
  <c r="K511" i="38"/>
  <c r="I511" i="38"/>
  <c r="K513" i="38"/>
  <c r="I513" i="38"/>
  <c r="K509" i="38"/>
  <c r="I509" i="38"/>
  <c r="I293" i="26"/>
  <c r="K293" i="26"/>
  <c r="M266" i="26"/>
  <c r="J43" i="26"/>
  <c r="K436" i="38"/>
  <c r="I436" i="38"/>
  <c r="I451" i="38" s="1"/>
  <c r="H460" i="38"/>
  <c r="H451" i="38"/>
  <c r="K451" i="38" s="1"/>
  <c r="K515" i="38"/>
  <c r="I515" i="38"/>
  <c r="K519" i="38"/>
  <c r="I519" i="38"/>
  <c r="I514" i="38"/>
  <c r="K514" i="38"/>
  <c r="I510" i="38"/>
  <c r="K510" i="38"/>
  <c r="K294" i="26"/>
  <c r="I294" i="26"/>
  <c r="W47" i="10"/>
  <c r="W48" i="10" s="1"/>
  <c r="A14" i="11"/>
  <c r="I508" i="38"/>
  <c r="K508" i="38"/>
  <c r="I507" i="38"/>
  <c r="K507" i="38"/>
  <c r="K518" i="38"/>
  <c r="I518" i="38"/>
  <c r="K516" i="38"/>
  <c r="I516" i="38"/>
  <c r="G326" i="26"/>
  <c r="G295" i="26"/>
  <c r="G324" i="26"/>
  <c r="G325" i="26"/>
  <c r="L408" i="22" l="1"/>
  <c r="J408" i="22"/>
  <c r="N408" i="22" s="1"/>
  <c r="M408" i="22"/>
  <c r="L410" i="22"/>
  <c r="M410" i="22"/>
  <c r="J410" i="22"/>
  <c r="N410" i="22" s="1"/>
  <c r="K411" i="22"/>
  <c r="O411" i="22" s="1"/>
  <c r="K410" i="22"/>
  <c r="O410" i="22" s="1"/>
  <c r="K407" i="22"/>
  <c r="K412" i="22"/>
  <c r="O412" i="22" s="1"/>
  <c r="O385" i="22"/>
  <c r="K391" i="22"/>
  <c r="O391" i="22" s="1"/>
  <c r="K408" i="22"/>
  <c r="O408" i="22" s="1"/>
  <c r="K409" i="22"/>
  <c r="O409" i="22" s="1"/>
  <c r="G457" i="22"/>
  <c r="M409" i="22"/>
  <c r="L409" i="22"/>
  <c r="J409" i="22"/>
  <c r="N409" i="22" s="1"/>
  <c r="L411" i="22"/>
  <c r="J411" i="22"/>
  <c r="N411" i="22" s="1"/>
  <c r="M411" i="22"/>
  <c r="G327" i="26"/>
  <c r="O472" i="22"/>
  <c r="O473" i="22"/>
  <c r="O468" i="22"/>
  <c r="O467" i="22" s="1"/>
  <c r="O471" i="22" s="1"/>
  <c r="L391" i="22"/>
  <c r="P391" i="22" s="1"/>
  <c r="P385" i="22"/>
  <c r="J412" i="22"/>
  <c r="N412" i="22" s="1"/>
  <c r="M412" i="22"/>
  <c r="L412" i="22"/>
  <c r="M469" i="22"/>
  <c r="H457" i="22"/>
  <c r="P469" i="22" s="1"/>
  <c r="J391" i="22"/>
  <c r="N391" i="22" s="1"/>
  <c r="N385" i="22"/>
  <c r="I452" i="22"/>
  <c r="I453" i="22"/>
  <c r="I456" i="22"/>
  <c r="I413" i="22"/>
  <c r="M413" i="22" s="1"/>
  <c r="I454" i="22"/>
  <c r="I451" i="22"/>
  <c r="M407" i="22"/>
  <c r="I455" i="22"/>
  <c r="J407" i="22"/>
  <c r="L407" i="22"/>
  <c r="J305" i="26"/>
  <c r="M305" i="26" s="1"/>
  <c r="J304" i="26"/>
  <c r="M304" i="26" s="1"/>
  <c r="M292" i="26"/>
  <c r="J295" i="26"/>
  <c r="M295" i="26" s="1"/>
  <c r="K297" i="26" s="1"/>
  <c r="J303" i="26"/>
  <c r="I304" i="26"/>
  <c r="K304" i="26"/>
  <c r="H505" i="38"/>
  <c r="K460" i="38"/>
  <c r="H475" i="38"/>
  <c r="K475" i="38" s="1"/>
  <c r="I460" i="38"/>
  <c r="I475" i="38" s="1"/>
  <c r="W50" i="10"/>
  <c r="W51" i="10" s="1"/>
  <c r="W52" i="10" s="1"/>
  <c r="W53" i="10" s="1"/>
  <c r="W54" i="10" s="1"/>
  <c r="W55" i="10" s="1"/>
  <c r="W56" i="10" s="1"/>
  <c r="W57" i="10" s="1"/>
  <c r="W58" i="10" s="1"/>
  <c r="W59" i="10" s="1"/>
  <c r="I305" i="26"/>
  <c r="K305" i="26"/>
  <c r="I295" i="26"/>
  <c r="A15" i="11"/>
  <c r="F506" i="38"/>
  <c r="F520" i="38" s="1"/>
  <c r="K506" i="38"/>
  <c r="J475" i="38"/>
  <c r="M475" i="38" s="1"/>
  <c r="J505" i="38"/>
  <c r="M460" i="38"/>
  <c r="K303" i="26"/>
  <c r="H325" i="26"/>
  <c r="I303" i="26"/>
  <c r="I306" i="26" s="1"/>
  <c r="H326" i="26"/>
  <c r="H324" i="26"/>
  <c r="H306" i="26"/>
  <c r="K306" i="26" s="1"/>
  <c r="I418" i="22" l="1"/>
  <c r="L413" i="22"/>
  <c r="P413" i="22" s="1"/>
  <c r="P407" i="22"/>
  <c r="L451" i="22"/>
  <c r="I457" i="22"/>
  <c r="M451" i="22"/>
  <c r="J451" i="22"/>
  <c r="L453" i="22"/>
  <c r="P453" i="22" s="1"/>
  <c r="M453" i="22"/>
  <c r="J453" i="22"/>
  <c r="N453" i="22" s="1"/>
  <c r="P468" i="22"/>
  <c r="P467" i="22" s="1"/>
  <c r="P471" i="22" s="1"/>
  <c r="P475" i="22" s="1"/>
  <c r="R22" i="18" s="1"/>
  <c r="P472" i="22"/>
  <c r="P473" i="22"/>
  <c r="I421" i="22"/>
  <c r="P410" i="22"/>
  <c r="J413" i="22"/>
  <c r="N413" i="22" s="1"/>
  <c r="N407" i="22"/>
  <c r="L454" i="22"/>
  <c r="P454" i="22" s="1"/>
  <c r="M454" i="22"/>
  <c r="J454" i="22"/>
  <c r="N454" i="22" s="1"/>
  <c r="L452" i="22"/>
  <c r="P452" i="22" s="1"/>
  <c r="M452" i="22"/>
  <c r="J452" i="22"/>
  <c r="N452" i="22" s="1"/>
  <c r="M473" i="22"/>
  <c r="M472" i="22"/>
  <c r="M468" i="22"/>
  <c r="M467" i="22" s="1"/>
  <c r="M471" i="22" s="1"/>
  <c r="P411" i="22"/>
  <c r="I422" i="22"/>
  <c r="N469" i="22"/>
  <c r="J455" i="22"/>
  <c r="N455" i="22" s="1"/>
  <c r="L455" i="22"/>
  <c r="P455" i="22" s="1"/>
  <c r="M455" i="22"/>
  <c r="I423" i="22"/>
  <c r="P412" i="22"/>
  <c r="L456" i="22"/>
  <c r="P456" i="22" s="1"/>
  <c r="M456" i="22"/>
  <c r="J456" i="22"/>
  <c r="N456" i="22" s="1"/>
  <c r="O475" i="22"/>
  <c r="P409" i="22"/>
  <c r="I420" i="22"/>
  <c r="O407" i="22"/>
  <c r="K456" i="22"/>
  <c r="O456" i="22" s="1"/>
  <c r="K452" i="22"/>
  <c r="O452" i="22" s="1"/>
  <c r="K413" i="22"/>
  <c r="O413" i="22" s="1"/>
  <c r="K451" i="22"/>
  <c r="K454" i="22"/>
  <c r="O454" i="22" s="1"/>
  <c r="K455" i="22"/>
  <c r="O455" i="22" s="1"/>
  <c r="K453" i="22"/>
  <c r="O453" i="22" s="1"/>
  <c r="P408" i="22"/>
  <c r="I419" i="22"/>
  <c r="M419" i="22" s="1"/>
  <c r="I505" i="38"/>
  <c r="I520" i="38" s="1"/>
  <c r="K505" i="38"/>
  <c r="H520" i="38"/>
  <c r="J324" i="26"/>
  <c r="M303" i="26"/>
  <c r="J326" i="26"/>
  <c r="M326" i="26" s="1"/>
  <c r="J306" i="26"/>
  <c r="M306" i="26" s="1"/>
  <c r="J325" i="26"/>
  <c r="M325" i="26" s="1"/>
  <c r="M505" i="38"/>
  <c r="J520" i="38"/>
  <c r="I326" i="26"/>
  <c r="K326" i="26"/>
  <c r="I325" i="26"/>
  <c r="K325" i="26"/>
  <c r="K324" i="26"/>
  <c r="H327" i="26"/>
  <c r="I324" i="26"/>
  <c r="A16" i="1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296" i="11" s="1"/>
  <c r="A297" i="11" s="1"/>
  <c r="A298" i="11" s="1"/>
  <c r="A299" i="11" s="1"/>
  <c r="A300" i="11" s="1"/>
  <c r="A301" i="11" s="1"/>
  <c r="A302" i="11" s="1"/>
  <c r="A303" i="11" s="1"/>
  <c r="A304" i="11" s="1"/>
  <c r="A305" i="11" s="1"/>
  <c r="A306" i="11" s="1"/>
  <c r="A307" i="11" s="1"/>
  <c r="A308" i="11" s="1"/>
  <c r="A309" i="11" s="1"/>
  <c r="A310" i="11" s="1"/>
  <c r="A311" i="11" s="1"/>
  <c r="A312" i="11" s="1"/>
  <c r="A313" i="11" s="1"/>
  <c r="A314" i="11" s="1"/>
  <c r="A315" i="11" s="1"/>
  <c r="A316" i="11" s="1"/>
  <c r="A317" i="11" s="1"/>
  <c r="A318" i="11" s="1"/>
  <c r="A319" i="11" s="1"/>
  <c r="A320" i="11" s="1"/>
  <c r="A321" i="11" s="1"/>
  <c r="A322" i="11" s="1"/>
  <c r="A323" i="11" s="1"/>
  <c r="A324" i="11" s="1"/>
  <c r="A325" i="11" s="1"/>
  <c r="A326" i="11" s="1"/>
  <c r="A327" i="11" s="1"/>
  <c r="A328" i="11" s="1"/>
  <c r="A329" i="11" s="1"/>
  <c r="A330" i="11" s="1"/>
  <c r="A331" i="11" s="1"/>
  <c r="A332" i="11" s="1"/>
  <c r="A333" i="11" s="1"/>
  <c r="A334" i="11" s="1"/>
  <c r="A335" i="11" s="1"/>
  <c r="A336" i="11" s="1"/>
  <c r="A337" i="11" s="1"/>
  <c r="A338" i="11" s="1"/>
  <c r="A339" i="11" s="1"/>
  <c r="A340" i="11" s="1"/>
  <c r="A341" i="11" s="1"/>
  <c r="A342" i="11" s="1"/>
  <c r="A343" i="11" s="1"/>
  <c r="A344" i="11" s="1"/>
  <c r="A345" i="11" s="1"/>
  <c r="A346" i="11" s="1"/>
  <c r="A347" i="11" s="1"/>
  <c r="A348" i="11" s="1"/>
  <c r="A349" i="11" s="1"/>
  <c r="A350" i="11" s="1"/>
  <c r="A351" i="11" s="1"/>
  <c r="A352" i="11" s="1"/>
  <c r="A353" i="11" s="1"/>
  <c r="A354" i="11" s="1"/>
  <c r="A355" i="11" s="1"/>
  <c r="A356" i="11" s="1"/>
  <c r="A357" i="11" s="1"/>
  <c r="A358" i="11" s="1"/>
  <c r="A359" i="11" s="1"/>
  <c r="A360" i="11" s="1"/>
  <c r="A361" i="11" s="1"/>
  <c r="A362" i="11" s="1"/>
  <c r="A363" i="11" s="1"/>
  <c r="A364" i="11" s="1"/>
  <c r="A365" i="11" s="1"/>
  <c r="A366" i="11" s="1"/>
  <c r="A367" i="11" s="1"/>
  <c r="A368" i="11" s="1"/>
  <c r="A369" i="11" s="1"/>
  <c r="A370" i="11" s="1"/>
  <c r="A371" i="11" s="1"/>
  <c r="A372" i="11" s="1"/>
  <c r="A373" i="11" s="1"/>
  <c r="A374" i="11" s="1"/>
  <c r="A375" i="11" s="1"/>
  <c r="A376" i="11" s="1"/>
  <c r="A377" i="11" s="1"/>
  <c r="A378" i="11" s="1"/>
  <c r="A379" i="11" s="1"/>
  <c r="A380" i="11" s="1"/>
  <c r="A381" i="11" s="1"/>
  <c r="A382" i="11" s="1"/>
  <c r="A383" i="11" s="1"/>
  <c r="A384" i="11" s="1"/>
  <c r="A385" i="11" s="1"/>
  <c r="A386" i="11" s="1"/>
  <c r="A387" i="11" s="1"/>
  <c r="A388" i="11" s="1"/>
  <c r="A389" i="11" s="1"/>
  <c r="A390" i="11" s="1"/>
  <c r="A391" i="11" s="1"/>
  <c r="A392" i="11" s="1"/>
  <c r="A393" i="11" s="1"/>
  <c r="A394" i="11" s="1"/>
  <c r="A395" i="11" s="1"/>
  <c r="A396" i="11" s="1"/>
  <c r="A397" i="11" s="1"/>
  <c r="A398" i="11" s="1"/>
  <c r="A399" i="11" s="1"/>
  <c r="A400" i="11" s="1"/>
  <c r="A401" i="11" s="1"/>
  <c r="A402" i="11" s="1"/>
  <c r="A403" i="11" s="1"/>
  <c r="A404" i="11" s="1"/>
  <c r="A405" i="11" s="1"/>
  <c r="A406" i="11" s="1"/>
  <c r="A407" i="11" s="1"/>
  <c r="A408" i="11" s="1"/>
  <c r="A409" i="11" s="1"/>
  <c r="A410" i="11" s="1"/>
  <c r="A411" i="11" s="1"/>
  <c r="A412" i="11" s="1"/>
  <c r="A413" i="11" s="1"/>
  <c r="A414" i="11" s="1"/>
  <c r="A415" i="11" s="1"/>
  <c r="A416" i="11" s="1"/>
  <c r="A417" i="11" s="1"/>
  <c r="A418" i="11" s="1"/>
  <c r="A419" i="11" s="1"/>
  <c r="A420" i="11" s="1"/>
  <c r="A421" i="11" s="1"/>
  <c r="A422" i="11" s="1"/>
  <c r="A423" i="11" s="1"/>
  <c r="A424" i="11" s="1"/>
  <c r="A425" i="11" s="1"/>
  <c r="A426" i="11" s="1"/>
  <c r="A427" i="11" s="1"/>
  <c r="A428" i="11" s="1"/>
  <c r="A429" i="11" s="1"/>
  <c r="A430" i="11" s="1"/>
  <c r="A431" i="11" s="1"/>
  <c r="A432" i="11" s="1"/>
  <c r="A433" i="11" s="1"/>
  <c r="A434" i="11" s="1"/>
  <c r="A435" i="11" s="1"/>
  <c r="A436" i="11" s="1"/>
  <c r="A437" i="11" s="1"/>
  <c r="A438" i="11" s="1"/>
  <c r="A439" i="11" s="1"/>
  <c r="A440" i="11" s="1"/>
  <c r="A441" i="11" s="1"/>
  <c r="A442" i="11" s="1"/>
  <c r="A443" i="11" s="1"/>
  <c r="A444" i="11" s="1"/>
  <c r="A445" i="11" s="1"/>
  <c r="A446" i="11" s="1"/>
  <c r="A447" i="11" s="1"/>
  <c r="A448" i="11" s="1"/>
  <c r="A449" i="11" s="1"/>
  <c r="A450" i="11" s="1"/>
  <c r="A451" i="11" s="1"/>
  <c r="A452" i="11" s="1"/>
  <c r="A453" i="11" s="1"/>
  <c r="A454" i="11" s="1"/>
  <c r="A455" i="11" s="1"/>
  <c r="A456" i="11" s="1"/>
  <c r="A457" i="11" s="1"/>
  <c r="A458" i="11" s="1"/>
  <c r="A459" i="11" s="1"/>
  <c r="A460" i="11" s="1"/>
  <c r="A461" i="11" s="1"/>
  <c r="A462" i="11" s="1"/>
  <c r="A463" i="11" s="1"/>
  <c r="A464" i="11" s="1"/>
  <c r="A465" i="11" s="1"/>
  <c r="A466" i="11" s="1"/>
  <c r="A467" i="11" s="1"/>
  <c r="A468" i="11" s="1"/>
  <c r="A469" i="11" s="1"/>
  <c r="A470" i="11" s="1"/>
  <c r="A471" i="11" s="1"/>
  <c r="A472" i="11" s="1"/>
  <c r="A473" i="11" s="1"/>
  <c r="A474" i="11" s="1"/>
  <c r="A475" i="11" s="1"/>
  <c r="A476" i="11" s="1"/>
  <c r="A477" i="11" s="1"/>
  <c r="A478" i="11" s="1"/>
  <c r="A479" i="11" s="1"/>
  <c r="A480" i="11" s="1"/>
  <c r="A481" i="11" s="1"/>
  <c r="A482" i="11" s="1"/>
  <c r="A483" i="11" s="1"/>
  <c r="A484" i="11" s="1"/>
  <c r="A485" i="11" s="1"/>
  <c r="A486" i="11" s="1"/>
  <c r="A487" i="11" s="1"/>
  <c r="A488" i="11" s="1"/>
  <c r="A489" i="11" s="1"/>
  <c r="A490" i="11" s="1"/>
  <c r="A491" i="11" s="1"/>
  <c r="A492" i="11" s="1"/>
  <c r="A493" i="11" s="1"/>
  <c r="A494" i="11" s="1"/>
  <c r="A495" i="11" s="1"/>
  <c r="A496" i="11" s="1"/>
  <c r="A497" i="11" s="1"/>
  <c r="A498" i="11" s="1"/>
  <c r="A499" i="11" s="1"/>
  <c r="A500" i="11" s="1"/>
  <c r="A501" i="11" s="1"/>
  <c r="A502" i="11" s="1"/>
  <c r="A503" i="11" s="1"/>
  <c r="A504" i="11" s="1"/>
  <c r="A505" i="11" s="1"/>
  <c r="A506" i="11" s="1"/>
  <c r="A507" i="11" s="1"/>
  <c r="A508" i="11" s="1"/>
  <c r="A509" i="11" s="1"/>
  <c r="A510" i="11" s="1"/>
  <c r="A511" i="11" s="1"/>
  <c r="A512" i="11" s="1"/>
  <c r="A513" i="11" s="1"/>
  <c r="A514" i="11" s="1"/>
  <c r="A515" i="11" s="1"/>
  <c r="A516" i="11" s="1"/>
  <c r="A517" i="11" s="1"/>
  <c r="A518" i="11" s="1"/>
  <c r="A519" i="11" s="1"/>
  <c r="A520" i="11" s="1"/>
  <c r="A521" i="11" s="1"/>
  <c r="A522" i="11" s="1"/>
  <c r="A523" i="11" s="1"/>
  <c r="A524" i="11" s="1"/>
  <c r="A525" i="11" s="1"/>
  <c r="A526" i="11" s="1"/>
  <c r="A527" i="11" s="1"/>
  <c r="A528" i="11" s="1"/>
  <c r="A529" i="11" s="1"/>
  <c r="A530" i="11" s="1"/>
  <c r="A531" i="11" s="1"/>
  <c r="A532" i="11" s="1"/>
  <c r="A533" i="11" s="1"/>
  <c r="A534" i="11" s="1"/>
  <c r="A535" i="11" s="1"/>
  <c r="A536" i="11" s="1"/>
  <c r="A537" i="11" s="1"/>
  <c r="A538" i="11" s="1"/>
  <c r="A539" i="11" s="1"/>
  <c r="A540" i="11" s="1"/>
  <c r="A541" i="11" s="1"/>
  <c r="A542" i="11" s="1"/>
  <c r="A543" i="11" s="1"/>
  <c r="A544" i="11" s="1"/>
  <c r="A545" i="11" s="1"/>
  <c r="A546" i="11" s="1"/>
  <c r="A547" i="11" s="1"/>
  <c r="A548" i="11" s="1"/>
  <c r="A549" i="11" s="1"/>
  <c r="A550" i="11" s="1"/>
  <c r="C520" i="11" s="1"/>
  <c r="I327" i="26" l="1"/>
  <c r="K457" i="22"/>
  <c r="O451" i="22"/>
  <c r="N468" i="22"/>
  <c r="N467" i="22" s="1"/>
  <c r="N471" i="22" s="1"/>
  <c r="N472" i="22"/>
  <c r="N473" i="22"/>
  <c r="L457" i="22"/>
  <c r="P451" i="22"/>
  <c r="N451" i="22"/>
  <c r="J457" i="22"/>
  <c r="M475" i="22"/>
  <c r="R18" i="18" s="1"/>
  <c r="M457" i="22"/>
  <c r="M466" i="22"/>
  <c r="M474" i="22" s="1"/>
  <c r="M476" i="22" s="1"/>
  <c r="R28" i="18" s="1"/>
  <c r="J248" i="22"/>
  <c r="J290" i="22"/>
  <c r="J256" i="22"/>
  <c r="J272" i="22"/>
  <c r="J274" i="22"/>
  <c r="J286" i="22"/>
  <c r="J242" i="22"/>
  <c r="J260" i="22"/>
  <c r="J252" i="22"/>
  <c r="J258" i="22"/>
  <c r="J288" i="22"/>
  <c r="J266" i="22"/>
  <c r="J240" i="22"/>
  <c r="J238" i="22"/>
  <c r="J262" i="22"/>
  <c r="J264" i="22"/>
  <c r="J254" i="22"/>
  <c r="J284" i="22"/>
  <c r="J244" i="22"/>
  <c r="J292" i="22"/>
  <c r="J268" i="22"/>
  <c r="J246" i="22"/>
  <c r="J250" i="22"/>
  <c r="J282" i="22"/>
  <c r="J276" i="22"/>
  <c r="J278" i="22"/>
  <c r="J280" i="22"/>
  <c r="J270" i="22"/>
  <c r="I424" i="22"/>
  <c r="M424" i="22" s="1"/>
  <c r="M418" i="22"/>
  <c r="C181" i="11"/>
  <c r="C210" i="11"/>
  <c r="C47" i="11"/>
  <c r="C196" i="11"/>
  <c r="C315" i="11"/>
  <c r="C180" i="11"/>
  <c r="C349" i="11"/>
  <c r="C310" i="11"/>
  <c r="C57" i="11"/>
  <c r="C135" i="11"/>
  <c r="C357" i="11"/>
  <c r="C247" i="11"/>
  <c r="C244" i="11"/>
  <c r="C239" i="11"/>
  <c r="C90" i="11"/>
  <c r="C32" i="11"/>
  <c r="B56" i="10" s="1"/>
  <c r="C202" i="11"/>
  <c r="C341" i="11"/>
  <c r="C519" i="11"/>
  <c r="C52" i="11"/>
  <c r="C307" i="11"/>
  <c r="C240" i="11"/>
  <c r="C103" i="11"/>
  <c r="C257" i="11"/>
  <c r="C48" i="11"/>
  <c r="C468" i="11"/>
  <c r="K327" i="26"/>
  <c r="J209" i="26"/>
  <c r="Z209" i="26" s="1"/>
  <c r="J205" i="26"/>
  <c r="Z205" i="26" s="1"/>
  <c r="J181" i="26"/>
  <c r="Z181" i="26" s="1"/>
  <c r="J195" i="26"/>
  <c r="Z195" i="26" s="1"/>
  <c r="J197" i="26"/>
  <c r="Z197" i="26" s="1"/>
  <c r="J207" i="26"/>
  <c r="Z207" i="26" s="1"/>
  <c r="J199" i="26"/>
  <c r="Z199" i="26" s="1"/>
  <c r="J175" i="26"/>
  <c r="Z175" i="26" s="1"/>
  <c r="J177" i="26"/>
  <c r="Z177" i="26" s="1"/>
  <c r="J187" i="26"/>
  <c r="Z187" i="26" s="1"/>
  <c r="J211" i="26"/>
  <c r="Z211" i="26" s="1"/>
  <c r="J179" i="26"/>
  <c r="Z179" i="26" s="1"/>
  <c r="J191" i="26"/>
  <c r="Z191" i="26" s="1"/>
  <c r="J189" i="26"/>
  <c r="Z189" i="26" s="1"/>
  <c r="J203" i="26"/>
  <c r="Z203" i="26" s="1"/>
  <c r="J185" i="26"/>
  <c r="Z185" i="26" s="1"/>
  <c r="J201" i="26"/>
  <c r="Z201" i="26" s="1"/>
  <c r="J217" i="26"/>
  <c r="Z217" i="26" s="1"/>
  <c r="J183" i="26"/>
  <c r="Z183" i="26" s="1"/>
  <c r="J213" i="26"/>
  <c r="Z213" i="26" s="1"/>
  <c r="J173" i="26"/>
  <c r="Z173" i="26" s="1"/>
  <c r="J193" i="26"/>
  <c r="Z193" i="26" s="1"/>
  <c r="J171" i="26"/>
  <c r="Z171" i="26" s="1"/>
  <c r="AB171" i="26" s="1"/>
  <c r="AC171" i="26" s="1"/>
  <c r="J215" i="26"/>
  <c r="Z215" i="26" s="1"/>
  <c r="K520" i="38"/>
  <c r="J289" i="38"/>
  <c r="Z289" i="38" s="1"/>
  <c r="J259" i="38"/>
  <c r="Z259" i="38" s="1"/>
  <c r="J275" i="38"/>
  <c r="Z275" i="38" s="1"/>
  <c r="J283" i="38"/>
  <c r="Z283" i="38" s="1"/>
  <c r="J245" i="38"/>
  <c r="Z245" i="38" s="1"/>
  <c r="J263" i="38"/>
  <c r="Z263" i="38" s="1"/>
  <c r="J265" i="38"/>
  <c r="Z265" i="38" s="1"/>
  <c r="J249" i="38"/>
  <c r="Z249" i="38" s="1"/>
  <c r="J279" i="38"/>
  <c r="Z279" i="38" s="1"/>
  <c r="J261" i="38"/>
  <c r="Z261" i="38" s="1"/>
  <c r="J273" i="38"/>
  <c r="Z273" i="38" s="1"/>
  <c r="J257" i="38"/>
  <c r="Z257" i="38" s="1"/>
  <c r="J277" i="38"/>
  <c r="Z277" i="38" s="1"/>
  <c r="J251" i="38"/>
  <c r="Z251" i="38" s="1"/>
  <c r="J281" i="38"/>
  <c r="Z281" i="38" s="1"/>
  <c r="J285" i="38"/>
  <c r="Z285" i="38" s="1"/>
  <c r="J271" i="38"/>
  <c r="Z271" i="38" s="1"/>
  <c r="J243" i="38"/>
  <c r="Z243" i="38" s="1"/>
  <c r="J269" i="38"/>
  <c r="Z269" i="38" s="1"/>
  <c r="J253" i="38"/>
  <c r="Z253" i="38" s="1"/>
  <c r="J247" i="38"/>
  <c r="Z247" i="38" s="1"/>
  <c r="J287" i="38"/>
  <c r="Z287" i="38" s="1"/>
  <c r="J267" i="38"/>
  <c r="Z267" i="38" s="1"/>
  <c r="J255" i="38"/>
  <c r="Z255" i="38" s="1"/>
  <c r="C127" i="11"/>
  <c r="C288" i="11"/>
  <c r="C506" i="11"/>
  <c r="C275" i="11"/>
  <c r="C220" i="11"/>
  <c r="C295" i="11"/>
  <c r="C265" i="11"/>
  <c r="C458" i="11"/>
  <c r="C292" i="11"/>
  <c r="C267" i="11"/>
  <c r="C156" i="11"/>
  <c r="C104" i="11"/>
  <c r="C144" i="11"/>
  <c r="C535" i="11"/>
  <c r="C496" i="11"/>
  <c r="C176" i="11"/>
  <c r="C235" i="11"/>
  <c r="C184" i="11"/>
  <c r="C175" i="11"/>
  <c r="C516" i="11"/>
  <c r="C136" i="11"/>
  <c r="M520" i="38"/>
  <c r="M521" i="38" s="1"/>
  <c r="M522" i="38" s="1"/>
  <c r="K283" i="38"/>
  <c r="K265" i="38"/>
  <c r="K277" i="38"/>
  <c r="K253" i="38"/>
  <c r="K245" i="38"/>
  <c r="K257" i="38"/>
  <c r="K273" i="38"/>
  <c r="K269" i="38"/>
  <c r="K281" i="38"/>
  <c r="K251" i="38"/>
  <c r="K255" i="38"/>
  <c r="K249" i="38"/>
  <c r="K275" i="38"/>
  <c r="K259" i="38"/>
  <c r="K289" i="38"/>
  <c r="K263" i="38"/>
  <c r="K267" i="38"/>
  <c r="K243" i="38"/>
  <c r="K261" i="38"/>
  <c r="K271" i="38"/>
  <c r="K279" i="38"/>
  <c r="K287" i="38"/>
  <c r="K247" i="38"/>
  <c r="K285" i="38"/>
  <c r="C231" i="11"/>
  <c r="C132" i="11"/>
  <c r="C255" i="11"/>
  <c r="C397" i="11"/>
  <c r="C423" i="11"/>
  <c r="C482" i="11"/>
  <c r="C475" i="11"/>
  <c r="C62" i="11"/>
  <c r="C501" i="11"/>
  <c r="C264" i="11"/>
  <c r="C251" i="11"/>
  <c r="C41" i="11"/>
  <c r="C18" i="11"/>
  <c r="B42" i="10" s="1"/>
  <c r="C398" i="11"/>
  <c r="C125" i="11"/>
  <c r="C191" i="11"/>
  <c r="C549" i="11"/>
  <c r="C440" i="11"/>
  <c r="C105" i="11"/>
  <c r="C233" i="11"/>
  <c r="C146" i="11"/>
  <c r="C417" i="11"/>
  <c r="C386" i="11"/>
  <c r="C381" i="11"/>
  <c r="C544" i="11"/>
  <c r="C463" i="11"/>
  <c r="C320" i="11"/>
  <c r="C126" i="11"/>
  <c r="C529" i="11"/>
  <c r="C432" i="11"/>
  <c r="C6" i="11"/>
  <c r="B30" i="10" s="1"/>
  <c r="C287" i="11"/>
  <c r="C73" i="11"/>
  <c r="C488" i="11"/>
  <c r="C467" i="11"/>
  <c r="C335" i="11"/>
  <c r="C352" i="11"/>
  <c r="C17" i="11"/>
  <c r="B41" i="10" s="1"/>
  <c r="C370" i="11"/>
  <c r="C223" i="11"/>
  <c r="C487" i="11"/>
  <c r="C406" i="11"/>
  <c r="C149" i="11"/>
  <c r="C342" i="11"/>
  <c r="C155" i="11"/>
  <c r="C359" i="11"/>
  <c r="C194" i="11"/>
  <c r="C42" i="11"/>
  <c r="C120" i="11"/>
  <c r="C538" i="11"/>
  <c r="C515" i="11"/>
  <c r="C511" i="11"/>
  <c r="C37" i="11"/>
  <c r="C534" i="11"/>
  <c r="C343" i="11"/>
  <c r="C328" i="11"/>
  <c r="C245" i="11"/>
  <c r="C22" i="11"/>
  <c r="B46" i="10" s="1"/>
  <c r="C531" i="11"/>
  <c r="C81" i="11"/>
  <c r="C112" i="11"/>
  <c r="C256" i="11"/>
  <c r="C139" i="11"/>
  <c r="C5" i="11"/>
  <c r="B29" i="10" s="1"/>
  <c r="C447" i="11"/>
  <c r="C399" i="11"/>
  <c r="C44" i="11"/>
  <c r="C429" i="11"/>
  <c r="C477" i="11"/>
  <c r="C228" i="11"/>
  <c r="C312" i="11"/>
  <c r="C221" i="11"/>
  <c r="C379" i="11"/>
  <c r="C237" i="11"/>
  <c r="C277" i="11"/>
  <c r="C77" i="11"/>
  <c r="C448" i="11"/>
  <c r="C268" i="11"/>
  <c r="C85" i="11"/>
  <c r="C507" i="11"/>
  <c r="C462" i="11"/>
  <c r="C366" i="11"/>
  <c r="C325" i="11"/>
  <c r="C46" i="11"/>
  <c r="C161" i="11"/>
  <c r="C324" i="11"/>
  <c r="C234" i="11"/>
  <c r="C122" i="11"/>
  <c r="C425" i="11"/>
  <c r="C124" i="11"/>
  <c r="C407" i="11"/>
  <c r="C499" i="11"/>
  <c r="C419" i="11"/>
  <c r="C186" i="11"/>
  <c r="C411" i="11"/>
  <c r="C263" i="11"/>
  <c r="C266" i="11"/>
  <c r="C329" i="11"/>
  <c r="C92" i="11"/>
  <c r="C226" i="11"/>
  <c r="C31" i="11"/>
  <c r="B55" i="10" s="1"/>
  <c r="C174" i="11"/>
  <c r="C15" i="11"/>
  <c r="B39" i="10" s="1"/>
  <c r="C4" i="11"/>
  <c r="B28" i="10" s="1"/>
  <c r="C416" i="11"/>
  <c r="C308" i="11"/>
  <c r="C111" i="11"/>
  <c r="C333" i="11"/>
  <c r="C216" i="11"/>
  <c r="C404" i="11"/>
  <c r="C134" i="11"/>
  <c r="C114" i="11"/>
  <c r="C182" i="11"/>
  <c r="C523" i="11"/>
  <c r="C338" i="11"/>
  <c r="C300" i="11"/>
  <c r="C163" i="11"/>
  <c r="C13" i="11"/>
  <c r="B37" i="10" s="1"/>
  <c r="C384" i="11"/>
  <c r="C323" i="11"/>
  <c r="C478" i="11"/>
  <c r="C443" i="11"/>
  <c r="C227" i="11"/>
  <c r="C489" i="11"/>
  <c r="C38" i="11"/>
  <c r="C305" i="11"/>
  <c r="C88" i="11"/>
  <c r="C532" i="11"/>
  <c r="C269" i="11"/>
  <c r="C166" i="11"/>
  <c r="C355" i="11"/>
  <c r="C465" i="11"/>
  <c r="C12" i="11"/>
  <c r="B36" i="10" s="1"/>
  <c r="C486" i="11"/>
  <c r="C350" i="11"/>
  <c r="C59" i="11"/>
  <c r="C56" i="11"/>
  <c r="C437" i="11"/>
  <c r="C260" i="11"/>
  <c r="C412" i="11"/>
  <c r="C116" i="11"/>
  <c r="C91" i="11"/>
  <c r="C115" i="11"/>
  <c r="C491" i="11"/>
  <c r="C222" i="11"/>
  <c r="C365" i="11"/>
  <c r="C446" i="11"/>
  <c r="C450" i="11"/>
  <c r="C472" i="11"/>
  <c r="C449" i="11"/>
  <c r="C547" i="11"/>
  <c r="C252" i="11"/>
  <c r="C383" i="11"/>
  <c r="C327" i="11"/>
  <c r="C19" i="11"/>
  <c r="B43" i="10" s="1"/>
  <c r="C291" i="11"/>
  <c r="C236" i="11"/>
  <c r="C53" i="11"/>
  <c r="C461" i="11"/>
  <c r="C444" i="11"/>
  <c r="C129" i="11"/>
  <c r="C128" i="11"/>
  <c r="C24" i="11"/>
  <c r="B48" i="10" s="1"/>
  <c r="C360" i="11"/>
  <c r="C261" i="11"/>
  <c r="C193" i="11"/>
  <c r="C108" i="11"/>
  <c r="C11" i="11"/>
  <c r="B35" i="10" s="1"/>
  <c r="C319" i="11"/>
  <c r="C278" i="11"/>
  <c r="C246" i="11"/>
  <c r="C356" i="11"/>
  <c r="C95" i="11"/>
  <c r="C147" i="11"/>
  <c r="C131" i="11"/>
  <c r="C199" i="11"/>
  <c r="C540" i="11"/>
  <c r="C173" i="11"/>
  <c r="C405" i="11"/>
  <c r="C413" i="11"/>
  <c r="C537" i="11"/>
  <c r="C211" i="11"/>
  <c r="C178" i="11"/>
  <c r="C89" i="11"/>
  <c r="C150" i="11"/>
  <c r="C513" i="11"/>
  <c r="C332" i="11"/>
  <c r="C483" i="11"/>
  <c r="C362" i="11"/>
  <c r="C424" i="11"/>
  <c r="C79" i="11"/>
  <c r="C219" i="11"/>
  <c r="C130" i="11"/>
  <c r="C351" i="11"/>
  <c r="C123" i="11"/>
  <c r="C224" i="11"/>
  <c r="C204" i="11"/>
  <c r="C80" i="11"/>
  <c r="C290" i="11"/>
  <c r="C212" i="11"/>
  <c r="C177" i="11"/>
  <c r="C375" i="11"/>
  <c r="C101" i="11"/>
  <c r="C151" i="11"/>
  <c r="C512" i="11"/>
  <c r="C431" i="11"/>
  <c r="C490" i="11"/>
  <c r="C140" i="11"/>
  <c r="C34" i="11"/>
  <c r="B58" i="10" s="1"/>
  <c r="C8" i="11"/>
  <c r="B32" i="10" s="1"/>
  <c r="C192" i="11"/>
  <c r="C460" i="11"/>
  <c r="C276" i="11"/>
  <c r="C119" i="11"/>
  <c r="C382" i="11"/>
  <c r="C303" i="11"/>
  <c r="C372" i="11"/>
  <c r="C301" i="11"/>
  <c r="C313" i="11"/>
  <c r="C369" i="11"/>
  <c r="C229" i="11"/>
  <c r="C238" i="11"/>
  <c r="C162" i="11"/>
  <c r="C21" i="11"/>
  <c r="B45" i="10" s="1"/>
  <c r="C207" i="11"/>
  <c r="C403" i="11"/>
  <c r="C109" i="11"/>
  <c r="C394" i="11"/>
  <c r="C414" i="11"/>
  <c r="C16" i="11"/>
  <c r="B40" i="10" s="1"/>
  <c r="C508" i="11"/>
  <c r="C455" i="11"/>
  <c r="C232" i="11"/>
  <c r="C148" i="11"/>
  <c r="C270" i="11"/>
  <c r="C68" i="11"/>
  <c r="C36" i="11"/>
  <c r="C521" i="11"/>
  <c r="C33" i="11"/>
  <c r="B57" i="10" s="1"/>
  <c r="C28" i="11"/>
  <c r="B52" i="10" s="1"/>
  <c r="C316" i="11"/>
  <c r="C274" i="11"/>
  <c r="C110" i="11"/>
  <c r="C65" i="11"/>
  <c r="C298" i="11"/>
  <c r="C169" i="11"/>
  <c r="C504" i="11"/>
  <c r="C340" i="11"/>
  <c r="C453" i="11"/>
  <c r="C93" i="11"/>
  <c r="C410" i="11"/>
  <c r="C242" i="11"/>
  <c r="C385" i="11"/>
  <c r="C378" i="11"/>
  <c r="C473" i="11"/>
  <c r="C97" i="11"/>
  <c r="C525" i="11"/>
  <c r="C464" i="11"/>
  <c r="C50" i="11"/>
  <c r="C133" i="11"/>
  <c r="C20" i="11"/>
  <c r="B44" i="10" s="1"/>
  <c r="C197" i="11"/>
  <c r="C285" i="11"/>
  <c r="C364" i="11"/>
  <c r="C503" i="11"/>
  <c r="C153" i="11"/>
  <c r="C118" i="11"/>
  <c r="C430" i="11"/>
  <c r="C165" i="11"/>
  <c r="C281" i="11"/>
  <c r="C454" i="11"/>
  <c r="C49" i="11"/>
  <c r="C289" i="11"/>
  <c r="C296" i="11"/>
  <c r="C420" i="11"/>
  <c r="C206" i="11"/>
  <c r="C395" i="11"/>
  <c r="C409" i="11"/>
  <c r="C388" i="11"/>
  <c r="C389" i="11"/>
  <c r="C330" i="11"/>
  <c r="C457" i="11"/>
  <c r="C522" i="11"/>
  <c r="C542" i="11"/>
  <c r="C393" i="11"/>
  <c r="C304" i="11"/>
  <c r="C428" i="11"/>
  <c r="C331" i="11"/>
  <c r="C99" i="11"/>
  <c r="C368" i="11"/>
  <c r="C302" i="11"/>
  <c r="C442" i="11"/>
  <c r="C317" i="11"/>
  <c r="C299" i="11"/>
  <c r="C70" i="11"/>
  <c r="C158" i="11"/>
  <c r="C321" i="11"/>
  <c r="C401" i="11"/>
  <c r="C154" i="11"/>
  <c r="C284" i="11"/>
  <c r="C203" i="11"/>
  <c r="C254" i="11"/>
  <c r="C61" i="11"/>
  <c r="C546" i="11"/>
  <c r="C160" i="11"/>
  <c r="C441" i="11"/>
  <c r="C159" i="11"/>
  <c r="C170" i="11"/>
  <c r="C283" i="11"/>
  <c r="C157" i="11"/>
  <c r="C545" i="11"/>
  <c r="C527" i="11"/>
  <c r="C528" i="11"/>
  <c r="C195" i="11"/>
  <c r="C345" i="11"/>
  <c r="C279" i="11"/>
  <c r="C250" i="11"/>
  <c r="C358" i="11"/>
  <c r="C494" i="11"/>
  <c r="C25" i="11"/>
  <c r="B49" i="10" s="1"/>
  <c r="C363" i="11"/>
  <c r="C493" i="11"/>
  <c r="C498" i="11"/>
  <c r="C213" i="11"/>
  <c r="C69" i="11"/>
  <c r="C152" i="11"/>
  <c r="C530" i="11"/>
  <c r="C484" i="11"/>
  <c r="C113" i="11"/>
  <c r="C481" i="11"/>
  <c r="C400" i="11"/>
  <c r="C426" i="11"/>
  <c r="C83" i="11"/>
  <c r="C71" i="11"/>
  <c r="C230" i="11"/>
  <c r="C10" i="11"/>
  <c r="B34" i="10" s="1"/>
  <c r="C434" i="11"/>
  <c r="C548" i="11"/>
  <c r="C63" i="11"/>
  <c r="C390" i="11"/>
  <c r="C7" i="11"/>
  <c r="B31" i="10" s="1"/>
  <c r="C215" i="11"/>
  <c r="C387" i="11"/>
  <c r="C208" i="11"/>
  <c r="C51" i="11"/>
  <c r="C480" i="11"/>
  <c r="C138" i="11"/>
  <c r="C107" i="11"/>
  <c r="C439" i="11"/>
  <c r="C86" i="11"/>
  <c r="C272" i="11"/>
  <c r="C76" i="11"/>
  <c r="C353" i="11"/>
  <c r="C94" i="11"/>
  <c r="C510" i="11"/>
  <c r="C346" i="11"/>
  <c r="C14" i="11"/>
  <c r="B38" i="10" s="1"/>
  <c r="C168" i="11"/>
  <c r="C500" i="11"/>
  <c r="C377" i="11"/>
  <c r="C433" i="11"/>
  <c r="C514" i="11"/>
  <c r="C259" i="11"/>
  <c r="C185" i="11"/>
  <c r="C471" i="11"/>
  <c r="C309" i="11"/>
  <c r="C74" i="11"/>
  <c r="C84" i="11"/>
  <c r="C29" i="11"/>
  <c r="B53" i="10" s="1"/>
  <c r="C502" i="11"/>
  <c r="C179" i="11"/>
  <c r="C415" i="11"/>
  <c r="C280" i="11"/>
  <c r="C225" i="11"/>
  <c r="C492" i="11"/>
  <c r="C205" i="11"/>
  <c r="C396" i="11"/>
  <c r="C188" i="11"/>
  <c r="C435" i="11"/>
  <c r="C470" i="11"/>
  <c r="C509" i="11"/>
  <c r="C39" i="11"/>
  <c r="C322" i="11"/>
  <c r="C422" i="11"/>
  <c r="C518" i="11"/>
  <c r="C145" i="11"/>
  <c r="C306" i="11"/>
  <c r="C451" i="11"/>
  <c r="C293" i="11"/>
  <c r="C72" i="11"/>
  <c r="C253" i="11"/>
  <c r="C526" i="11"/>
  <c r="C243" i="11"/>
  <c r="C218" i="11"/>
  <c r="C339" i="11"/>
  <c r="C497" i="11"/>
  <c r="C427" i="11"/>
  <c r="C30" i="11"/>
  <c r="B54" i="10" s="1"/>
  <c r="C541" i="11"/>
  <c r="C367" i="11"/>
  <c r="C485" i="11"/>
  <c r="C314" i="11"/>
  <c r="C198" i="11"/>
  <c r="C248" i="11"/>
  <c r="C87" i="11"/>
  <c r="C361" i="11"/>
  <c r="C376" i="11"/>
  <c r="C318" i="11"/>
  <c r="C391" i="11"/>
  <c r="C524" i="11"/>
  <c r="C164" i="11"/>
  <c r="C209" i="11"/>
  <c r="C474" i="11"/>
  <c r="C543" i="11"/>
  <c r="C445" i="11"/>
  <c r="C262" i="11"/>
  <c r="C402" i="11"/>
  <c r="C469" i="11"/>
  <c r="C436" i="11"/>
  <c r="C54" i="11"/>
  <c r="C121" i="11"/>
  <c r="C373" i="11"/>
  <c r="C371" i="11"/>
  <c r="C408" i="11"/>
  <c r="C27" i="11"/>
  <c r="B51" i="10" s="1"/>
  <c r="C334" i="11"/>
  <c r="C466" i="11"/>
  <c r="C337" i="11"/>
  <c r="C258" i="11"/>
  <c r="C336" i="11"/>
  <c r="C78" i="11"/>
  <c r="C495" i="11"/>
  <c r="C98" i="11"/>
  <c r="C421" i="11"/>
  <c r="C23" i="11"/>
  <c r="B47" i="10" s="1"/>
  <c r="C214" i="11"/>
  <c r="C141" i="11"/>
  <c r="C380" i="11"/>
  <c r="C67" i="11"/>
  <c r="C217" i="11"/>
  <c r="C539" i="11"/>
  <c r="C82" i="11"/>
  <c r="C286" i="11"/>
  <c r="C102" i="11"/>
  <c r="C190" i="11"/>
  <c r="C60" i="11"/>
  <c r="C311" i="11"/>
  <c r="C348" i="11"/>
  <c r="C9" i="11"/>
  <c r="B33" i="10" s="1"/>
  <c r="C64" i="11"/>
  <c r="C374" i="11"/>
  <c r="C294" i="11"/>
  <c r="C505" i="11"/>
  <c r="C58" i="11"/>
  <c r="C344" i="11"/>
  <c r="C517" i="11"/>
  <c r="C536" i="11"/>
  <c r="C241" i="11"/>
  <c r="C533" i="11"/>
  <c r="C452" i="11"/>
  <c r="C550" i="11"/>
  <c r="M324" i="26"/>
  <c r="J327" i="26"/>
  <c r="C418" i="11"/>
  <c r="C200" i="11"/>
  <c r="C479" i="11"/>
  <c r="C26" i="11"/>
  <c r="B50" i="10" s="1"/>
  <c r="C347" i="11"/>
  <c r="C273" i="11"/>
  <c r="C143" i="11"/>
  <c r="C438" i="11"/>
  <c r="C96" i="11"/>
  <c r="C117" i="11"/>
  <c r="C55" i="11"/>
  <c r="C326" i="11"/>
  <c r="C43" i="11"/>
  <c r="C35" i="11"/>
  <c r="B59" i="10" s="1"/>
  <c r="C271" i="11"/>
  <c r="C392" i="11"/>
  <c r="C106" i="11"/>
  <c r="C282" i="11"/>
  <c r="C249" i="11"/>
  <c r="C75" i="11"/>
  <c r="C297" i="11"/>
  <c r="C100" i="11"/>
  <c r="C45" i="11"/>
  <c r="C172" i="11"/>
  <c r="C459" i="11"/>
  <c r="C189" i="11"/>
  <c r="C456" i="11"/>
  <c r="C187" i="11"/>
  <c r="C40" i="11"/>
  <c r="C167" i="11"/>
  <c r="C137" i="11"/>
  <c r="C171" i="11"/>
  <c r="C183" i="11"/>
  <c r="C142" i="11"/>
  <c r="C354" i="11"/>
  <c r="C201" i="11"/>
  <c r="C66" i="11"/>
  <c r="C476" i="11"/>
  <c r="AB280" i="22" l="1"/>
  <c r="BQ48" i="51"/>
  <c r="BQ18" i="51"/>
  <c r="AB250" i="22"/>
  <c r="AB244" i="22"/>
  <c r="BQ12" i="51"/>
  <c r="BQ30" i="51"/>
  <c r="AB262" i="22"/>
  <c r="BQ56" i="51"/>
  <c r="AB288" i="22"/>
  <c r="AB242" i="22"/>
  <c r="BQ10" i="51"/>
  <c r="AB256" i="22"/>
  <c r="BQ24" i="51"/>
  <c r="N475" i="22"/>
  <c r="R20" i="18" s="1"/>
  <c r="AB278" i="22"/>
  <c r="BQ46" i="51"/>
  <c r="AB246" i="22"/>
  <c r="BQ14" i="51"/>
  <c r="AB284" i="22"/>
  <c r="BQ52" i="51"/>
  <c r="AB238" i="22"/>
  <c r="BQ6" i="51"/>
  <c r="BQ26" i="51"/>
  <c r="AB258" i="22"/>
  <c r="AB286" i="22"/>
  <c r="BQ54" i="51"/>
  <c r="AB290" i="22"/>
  <c r="BQ58" i="51"/>
  <c r="P457" i="22"/>
  <c r="P466" i="22"/>
  <c r="P474" i="22" s="1"/>
  <c r="P476" i="22" s="1"/>
  <c r="R32" i="18" s="1"/>
  <c r="BQ44" i="51"/>
  <c r="AB276" i="22"/>
  <c r="AB268" i="22"/>
  <c r="BQ36" i="51"/>
  <c r="AB254" i="22"/>
  <c r="BQ22" i="51"/>
  <c r="BQ8" i="51"/>
  <c r="AB240" i="22"/>
  <c r="AB252" i="22"/>
  <c r="BQ20" i="51"/>
  <c r="AB274" i="22"/>
  <c r="BQ42" i="51"/>
  <c r="BQ16" i="51"/>
  <c r="AB248" i="22"/>
  <c r="O466" i="22"/>
  <c r="O474" i="22" s="1"/>
  <c r="O476" i="22" s="1"/>
  <c r="N457" i="22"/>
  <c r="O457" i="22"/>
  <c r="N466" i="22"/>
  <c r="N474" i="22" s="1"/>
  <c r="N476" i="22" s="1"/>
  <c r="R30" i="18" s="1"/>
  <c r="K292" i="22"/>
  <c r="BR60" i="51" s="1"/>
  <c r="K248" i="22"/>
  <c r="BR16" i="51" s="1"/>
  <c r="K280" i="22"/>
  <c r="BR48" i="51" s="1"/>
  <c r="K272" i="22"/>
  <c r="BR40" i="51" s="1"/>
  <c r="K276" i="22"/>
  <c r="BR44" i="51" s="1"/>
  <c r="K264" i="22"/>
  <c r="BR32" i="51" s="1"/>
  <c r="K254" i="22"/>
  <c r="BR22" i="51" s="1"/>
  <c r="K266" i="22"/>
  <c r="BR34" i="51" s="1"/>
  <c r="K250" i="22"/>
  <c r="BR18" i="51" s="1"/>
  <c r="K274" i="22"/>
  <c r="BR42" i="51" s="1"/>
  <c r="K242" i="22"/>
  <c r="BR10" i="51" s="1"/>
  <c r="K244" i="22"/>
  <c r="BR12" i="51" s="1"/>
  <c r="K260" i="22"/>
  <c r="BR28" i="51" s="1"/>
  <c r="K252" i="22"/>
  <c r="BR20" i="51" s="1"/>
  <c r="K288" i="22"/>
  <c r="BR56" i="51" s="1"/>
  <c r="K258" i="22"/>
  <c r="BR26" i="51" s="1"/>
  <c r="K282" i="22"/>
  <c r="BR50" i="51" s="1"/>
  <c r="K290" i="22"/>
  <c r="BR58" i="51" s="1"/>
  <c r="K246" i="22"/>
  <c r="BR14" i="51" s="1"/>
  <c r="K284" i="22"/>
  <c r="BR52" i="51" s="1"/>
  <c r="K240" i="22"/>
  <c r="BR8" i="51" s="1"/>
  <c r="K256" i="22"/>
  <c r="BR24" i="51" s="1"/>
  <c r="K262" i="22"/>
  <c r="BR30" i="51" s="1"/>
  <c r="K238" i="22"/>
  <c r="BR6" i="51" s="1"/>
  <c r="K286" i="22"/>
  <c r="BR54" i="51" s="1"/>
  <c r="K270" i="22"/>
  <c r="BR38" i="51" s="1"/>
  <c r="K268" i="22"/>
  <c r="BR36" i="51" s="1"/>
  <c r="K278" i="22"/>
  <c r="BR46" i="51" s="1"/>
  <c r="BQ38" i="51"/>
  <c r="AB270" i="22"/>
  <c r="AB282" i="22"/>
  <c r="BQ50" i="51"/>
  <c r="AB292" i="22"/>
  <c r="BQ60" i="51"/>
  <c r="AB264" i="22"/>
  <c r="BQ32" i="51"/>
  <c r="AB266" i="22"/>
  <c r="BQ34" i="51"/>
  <c r="AB260" i="22"/>
  <c r="AD260" i="22" s="1"/>
  <c r="BQ28" i="51"/>
  <c r="BQ40" i="51"/>
  <c r="AB272" i="22"/>
  <c r="AB287" i="38"/>
  <c r="M51" i="10"/>
  <c r="G51" i="10"/>
  <c r="X51" i="10"/>
  <c r="B52" i="58"/>
  <c r="D51" i="10"/>
  <c r="Y51" i="10"/>
  <c r="L51" i="10"/>
  <c r="F51" i="10"/>
  <c r="E51" i="10"/>
  <c r="M58" i="10"/>
  <c r="D58" i="10"/>
  <c r="G58" i="10"/>
  <c r="B59" i="58"/>
  <c r="Y58" i="10"/>
  <c r="L58" i="10"/>
  <c r="F58" i="10"/>
  <c r="E58" i="10"/>
  <c r="X58" i="10"/>
  <c r="M34" i="10"/>
  <c r="G34" i="10"/>
  <c r="B35" i="58"/>
  <c r="D34" i="10"/>
  <c r="Y34" i="10"/>
  <c r="F34" i="10"/>
  <c r="X34" i="10"/>
  <c r="L34" i="10"/>
  <c r="E34" i="10"/>
  <c r="M52" i="10"/>
  <c r="G52" i="10"/>
  <c r="B53" i="58"/>
  <c r="D52" i="10"/>
  <c r="X52" i="10"/>
  <c r="Y52" i="10"/>
  <c r="F52" i="10"/>
  <c r="E52" i="10"/>
  <c r="L52" i="10"/>
  <c r="M28" i="10"/>
  <c r="B29" i="58"/>
  <c r="X28" i="10"/>
  <c r="Y28" i="10"/>
  <c r="G28" i="10"/>
  <c r="D28" i="10"/>
  <c r="F28" i="10"/>
  <c r="E28" i="10"/>
  <c r="L28" i="10"/>
  <c r="B55" i="58"/>
  <c r="X54" i="10"/>
  <c r="Y54" i="10"/>
  <c r="D54" i="10"/>
  <c r="M54" i="10"/>
  <c r="G54" i="10"/>
  <c r="E54" i="10"/>
  <c r="F54" i="10"/>
  <c r="L54" i="10"/>
  <c r="M40" i="10"/>
  <c r="G40" i="10"/>
  <c r="B41" i="58"/>
  <c r="X40" i="10"/>
  <c r="D40" i="10"/>
  <c r="Y40" i="10"/>
  <c r="E40" i="10"/>
  <c r="F40" i="10"/>
  <c r="L40" i="10"/>
  <c r="M32" i="10"/>
  <c r="B33" i="58"/>
  <c r="X32" i="10"/>
  <c r="Y32" i="10"/>
  <c r="G32" i="10"/>
  <c r="D32" i="10"/>
  <c r="E32" i="10"/>
  <c r="L32" i="10"/>
  <c r="F32" i="10"/>
  <c r="B38" i="58"/>
  <c r="X37" i="10"/>
  <c r="D37" i="10"/>
  <c r="Y37" i="10"/>
  <c r="G37" i="10"/>
  <c r="M37" i="10"/>
  <c r="F37" i="10"/>
  <c r="L37" i="10"/>
  <c r="E37" i="10"/>
  <c r="M46" i="10"/>
  <c r="G46" i="10"/>
  <c r="B47" i="58"/>
  <c r="X46" i="10"/>
  <c r="Y46" i="10"/>
  <c r="D46" i="10"/>
  <c r="F46" i="10"/>
  <c r="L46" i="10"/>
  <c r="E46" i="10"/>
  <c r="M41" i="10"/>
  <c r="X41" i="10"/>
  <c r="G41" i="10"/>
  <c r="B42" i="58"/>
  <c r="D41" i="10"/>
  <c r="Y41" i="10"/>
  <c r="F41" i="10"/>
  <c r="L41" i="10"/>
  <c r="E41" i="10"/>
  <c r="AB255" i="38"/>
  <c r="AB253" i="38"/>
  <c r="AB285" i="38"/>
  <c r="AB257" i="38"/>
  <c r="AB249" i="38"/>
  <c r="AB283" i="38"/>
  <c r="AB173" i="26"/>
  <c r="AC173" i="26" s="1"/>
  <c r="AB201" i="26"/>
  <c r="AB191" i="26"/>
  <c r="AB177" i="26"/>
  <c r="AB197" i="26"/>
  <c r="AB209" i="26"/>
  <c r="Y56" i="10"/>
  <c r="G56" i="10"/>
  <c r="B57" i="58"/>
  <c r="D56" i="10"/>
  <c r="M56" i="10"/>
  <c r="X56" i="10"/>
  <c r="F56" i="10"/>
  <c r="E56" i="10"/>
  <c r="L56" i="10"/>
  <c r="B43" i="58"/>
  <c r="X42" i="10"/>
  <c r="Y42" i="10"/>
  <c r="D42" i="10"/>
  <c r="M42" i="10"/>
  <c r="L42" i="10"/>
  <c r="G42" i="10"/>
  <c r="F42" i="10"/>
  <c r="E42" i="10"/>
  <c r="AB267" i="38"/>
  <c r="AB269" i="38"/>
  <c r="AB281" i="38"/>
  <c r="AB273" i="38"/>
  <c r="AB265" i="38"/>
  <c r="AB275" i="38"/>
  <c r="AB215" i="26"/>
  <c r="AB213" i="26"/>
  <c r="AB185" i="26"/>
  <c r="AB179" i="26"/>
  <c r="AC179" i="26" s="1"/>
  <c r="AB175" i="26"/>
  <c r="AC175" i="26" s="1"/>
  <c r="B389" i="26" s="1"/>
  <c r="AB195" i="26"/>
  <c r="D33" i="10"/>
  <c r="B34" i="58"/>
  <c r="G33" i="10"/>
  <c r="X33" i="10"/>
  <c r="Y33" i="10"/>
  <c r="M33" i="10"/>
  <c r="E33" i="10"/>
  <c r="L33" i="10"/>
  <c r="F33" i="10"/>
  <c r="M36" i="10"/>
  <c r="D36" i="10"/>
  <c r="G36" i="10"/>
  <c r="X36" i="10"/>
  <c r="B37" i="58"/>
  <c r="Y36" i="10"/>
  <c r="L36" i="10"/>
  <c r="E36" i="10"/>
  <c r="F36" i="10"/>
  <c r="Y49" i="10"/>
  <c r="G49" i="10"/>
  <c r="B50" i="58"/>
  <c r="D49" i="10"/>
  <c r="M49" i="10"/>
  <c r="X49" i="10"/>
  <c r="F49" i="10"/>
  <c r="L49" i="10"/>
  <c r="E49" i="10"/>
  <c r="AB243" i="38"/>
  <c r="AC243" i="38" s="1"/>
  <c r="AB251" i="38"/>
  <c r="AB261" i="38"/>
  <c r="AB263" i="38"/>
  <c r="AB259" i="38"/>
  <c r="AB183" i="26"/>
  <c r="AB203" i="26"/>
  <c r="AB211" i="26"/>
  <c r="AB199" i="26"/>
  <c r="AB181" i="26"/>
  <c r="AC181" i="26" s="1"/>
  <c r="M59" i="10"/>
  <c r="Y59" i="10"/>
  <c r="X59" i="10"/>
  <c r="G59" i="10"/>
  <c r="D59" i="10"/>
  <c r="B60" i="58"/>
  <c r="F59" i="10"/>
  <c r="L59" i="10"/>
  <c r="E59" i="10"/>
  <c r="D53" i="10"/>
  <c r="X53" i="10"/>
  <c r="G53" i="10"/>
  <c r="M53" i="10"/>
  <c r="B54" i="58"/>
  <c r="F53" i="10"/>
  <c r="E53" i="10"/>
  <c r="L53" i="10"/>
  <c r="Y53" i="10"/>
  <c r="Y38" i="10"/>
  <c r="X38" i="10"/>
  <c r="G38" i="10"/>
  <c r="B39" i="58"/>
  <c r="M38" i="10"/>
  <c r="D38" i="10"/>
  <c r="L38" i="10"/>
  <c r="E38" i="10"/>
  <c r="F38" i="10"/>
  <c r="M31" i="10"/>
  <c r="X31" i="10"/>
  <c r="G31" i="10"/>
  <c r="D31" i="10"/>
  <c r="Y31" i="10"/>
  <c r="L31" i="10"/>
  <c r="B32" i="58"/>
  <c r="E31" i="10"/>
  <c r="F31" i="10"/>
  <c r="M44" i="10"/>
  <c r="D44" i="10"/>
  <c r="G44" i="10"/>
  <c r="B45" i="58"/>
  <c r="Y44" i="10"/>
  <c r="X44" i="10"/>
  <c r="F44" i="10"/>
  <c r="L44" i="10"/>
  <c r="E44" i="10"/>
  <c r="M55" i="10"/>
  <c r="Y55" i="10"/>
  <c r="G55" i="10"/>
  <c r="X55" i="10"/>
  <c r="B56" i="58"/>
  <c r="D55" i="10"/>
  <c r="E55" i="10"/>
  <c r="F55" i="10"/>
  <c r="L55" i="10"/>
  <c r="Y45" i="10"/>
  <c r="D45" i="10"/>
  <c r="X45" i="10"/>
  <c r="M45" i="10"/>
  <c r="E45" i="10"/>
  <c r="F45" i="10"/>
  <c r="B46" i="58"/>
  <c r="L45" i="10"/>
  <c r="G45" i="10"/>
  <c r="B36" i="58"/>
  <c r="Y35" i="10"/>
  <c r="G35" i="10"/>
  <c r="X35" i="10"/>
  <c r="M35" i="10"/>
  <c r="F35" i="10"/>
  <c r="L35" i="10"/>
  <c r="E35" i="10"/>
  <c r="D35" i="10"/>
  <c r="B30" i="58"/>
  <c r="D29" i="10"/>
  <c r="X29" i="10"/>
  <c r="Y29" i="10"/>
  <c r="M29" i="10"/>
  <c r="F29" i="10"/>
  <c r="E29" i="10"/>
  <c r="G29" i="10"/>
  <c r="L29" i="10"/>
  <c r="Y50" i="10"/>
  <c r="G50" i="10"/>
  <c r="M50" i="10"/>
  <c r="X50" i="10"/>
  <c r="D50" i="10"/>
  <c r="F50" i="10"/>
  <c r="E50" i="10"/>
  <c r="L50" i="10"/>
  <c r="B51" i="58"/>
  <c r="M327" i="26"/>
  <c r="M328" i="26" s="1"/>
  <c r="K211" i="26"/>
  <c r="K207" i="26"/>
  <c r="K215" i="26"/>
  <c r="K183" i="26"/>
  <c r="K217" i="26"/>
  <c r="K213" i="26"/>
  <c r="K203" i="26"/>
  <c r="K201" i="26"/>
  <c r="K171" i="26"/>
  <c r="K197" i="26"/>
  <c r="K193" i="26"/>
  <c r="K189" i="26"/>
  <c r="K209" i="26"/>
  <c r="K191" i="26"/>
  <c r="K177" i="26"/>
  <c r="K179" i="26"/>
  <c r="K195" i="26"/>
  <c r="K185" i="26"/>
  <c r="K199" i="26"/>
  <c r="K205" i="26"/>
  <c r="K187" i="26"/>
  <c r="K181" i="26"/>
  <c r="K175" i="26"/>
  <c r="K173" i="26"/>
  <c r="X47" i="10"/>
  <c r="B48" i="58"/>
  <c r="D47" i="10"/>
  <c r="G47" i="10"/>
  <c r="M47" i="10"/>
  <c r="Y47" i="10"/>
  <c r="L47" i="10"/>
  <c r="E47" i="10"/>
  <c r="F47" i="10"/>
  <c r="Y57" i="10"/>
  <c r="G57" i="10"/>
  <c r="B58" i="58"/>
  <c r="D57" i="10"/>
  <c r="M57" i="10"/>
  <c r="X57" i="10"/>
  <c r="L57" i="10"/>
  <c r="F57" i="10"/>
  <c r="E57" i="10"/>
  <c r="M48" i="10"/>
  <c r="Y48" i="10"/>
  <c r="X48" i="10"/>
  <c r="G48" i="10"/>
  <c r="B49" i="58"/>
  <c r="D48" i="10"/>
  <c r="F48" i="10"/>
  <c r="E48" i="10"/>
  <c r="L48" i="10"/>
  <c r="Y43" i="10"/>
  <c r="G43" i="10"/>
  <c r="B44" i="58"/>
  <c r="M43" i="10"/>
  <c r="X43" i="10"/>
  <c r="D43" i="10"/>
  <c r="E43" i="10"/>
  <c r="L43" i="10"/>
  <c r="F43" i="10"/>
  <c r="D39" i="10"/>
  <c r="G39" i="10"/>
  <c r="M39" i="10"/>
  <c r="B40" i="58"/>
  <c r="E39" i="10"/>
  <c r="L39" i="10"/>
  <c r="X39" i="10"/>
  <c r="Y39" i="10"/>
  <c r="F39" i="10"/>
  <c r="M30" i="10"/>
  <c r="G30" i="10"/>
  <c r="B31" i="58"/>
  <c r="X30" i="10"/>
  <c r="Y30" i="10"/>
  <c r="D30" i="10"/>
  <c r="F30" i="10"/>
  <c r="L30" i="10"/>
  <c r="E30" i="10"/>
  <c r="AB247" i="38"/>
  <c r="AB271" i="38"/>
  <c r="AB277" i="38"/>
  <c r="AB279" i="38"/>
  <c r="AB245" i="38"/>
  <c r="AC245" i="38" s="1"/>
  <c r="AB289" i="38"/>
  <c r="AB193" i="26"/>
  <c r="AB217" i="26"/>
  <c r="AB189" i="26"/>
  <c r="AB187" i="26"/>
  <c r="AC187" i="26" s="1"/>
  <c r="AB207" i="26"/>
  <c r="AB205" i="26"/>
  <c r="AD272" i="22" l="1"/>
  <c r="AD264" i="22"/>
  <c r="AD282" i="22"/>
  <c r="AD252" i="22"/>
  <c r="AD254" i="22"/>
  <c r="AD290" i="22"/>
  <c r="AD284" i="22"/>
  <c r="AD278" i="22"/>
  <c r="AD262" i="22"/>
  <c r="AD250" i="22"/>
  <c r="AD270" i="22"/>
  <c r="AD240" i="22"/>
  <c r="AD242" i="22"/>
  <c r="AD266" i="22"/>
  <c r="AD292" i="22"/>
  <c r="AD274" i="22"/>
  <c r="AD268" i="22"/>
  <c r="AD286" i="22"/>
  <c r="AD238" i="22"/>
  <c r="AE238" i="22" s="1"/>
  <c r="AD246" i="22"/>
  <c r="AD288" i="22"/>
  <c r="AC189" i="26"/>
  <c r="AC177" i="26"/>
  <c r="AD248" i="22"/>
  <c r="AD276" i="22"/>
  <c r="AD258" i="22"/>
  <c r="AD256" i="22"/>
  <c r="AD244" i="22"/>
  <c r="AD280" i="22"/>
  <c r="H48" i="10"/>
  <c r="K48" i="10"/>
  <c r="I48" i="10"/>
  <c r="D49" i="58" s="1"/>
  <c r="J48" i="10"/>
  <c r="I35" i="10"/>
  <c r="D36" i="58" s="1"/>
  <c r="J35" i="10"/>
  <c r="H35" i="10"/>
  <c r="E36" i="58" s="1"/>
  <c r="K35" i="10"/>
  <c r="H45" i="10"/>
  <c r="E46" i="58" s="1"/>
  <c r="K45" i="10"/>
  <c r="I45" i="10"/>
  <c r="D46" i="58" s="1"/>
  <c r="J45" i="10"/>
  <c r="H38" i="10"/>
  <c r="I38" i="10"/>
  <c r="D39" i="58" s="1"/>
  <c r="K38" i="10"/>
  <c r="J38" i="10"/>
  <c r="H53" i="10"/>
  <c r="I53" i="10"/>
  <c r="D54" i="58" s="1"/>
  <c r="K53" i="10"/>
  <c r="J53" i="10"/>
  <c r="AC183" i="26"/>
  <c r="AC261" i="38"/>
  <c r="J36" i="10"/>
  <c r="K36" i="10"/>
  <c r="H36" i="10"/>
  <c r="E37" i="58" s="1"/>
  <c r="I36" i="10"/>
  <c r="D37" i="58" s="1"/>
  <c r="H33" i="10"/>
  <c r="E34" i="58" s="1"/>
  <c r="K33" i="10"/>
  <c r="I33" i="10"/>
  <c r="D34" i="58" s="1"/>
  <c r="J33" i="10"/>
  <c r="AC185" i="26"/>
  <c r="AC265" i="38"/>
  <c r="AC267" i="38"/>
  <c r="AC197" i="26"/>
  <c r="AC285" i="38"/>
  <c r="J41" i="10"/>
  <c r="I41" i="10"/>
  <c r="D42" i="58" s="1"/>
  <c r="H41" i="10"/>
  <c r="K41" i="10"/>
  <c r="H32" i="10"/>
  <c r="I32" i="10"/>
  <c r="D33" i="58" s="1"/>
  <c r="K32" i="10"/>
  <c r="J32" i="10"/>
  <c r="K54" i="10"/>
  <c r="J54" i="10"/>
  <c r="H54" i="10"/>
  <c r="E55" i="58" s="1"/>
  <c r="I54" i="10"/>
  <c r="D55" i="58" s="1"/>
  <c r="Y60" i="10"/>
  <c r="J34" i="10"/>
  <c r="H34" i="10"/>
  <c r="E35" i="58" s="1"/>
  <c r="I34" i="10"/>
  <c r="D35" i="58" s="1"/>
  <c r="K34" i="10"/>
  <c r="AC247" i="38"/>
  <c r="J50" i="10"/>
  <c r="H50" i="10"/>
  <c r="I50" i="10"/>
  <c r="D51" i="58" s="1"/>
  <c r="K50" i="10"/>
  <c r="AC207" i="26"/>
  <c r="AC193" i="26"/>
  <c r="AC277" i="38"/>
  <c r="J39" i="10"/>
  <c r="I39" i="10"/>
  <c r="D40" i="58" s="1"/>
  <c r="K39" i="10"/>
  <c r="H39" i="10"/>
  <c r="AC289" i="38"/>
  <c r="AC271" i="38"/>
  <c r="K43" i="10"/>
  <c r="J43" i="10"/>
  <c r="H43" i="10"/>
  <c r="I43" i="10"/>
  <c r="D44" i="58" s="1"/>
  <c r="J57" i="10"/>
  <c r="H57" i="10"/>
  <c r="K57" i="10"/>
  <c r="I57" i="10"/>
  <c r="D58" i="58" s="1"/>
  <c r="J47" i="10"/>
  <c r="I47" i="10"/>
  <c r="D48" i="58" s="1"/>
  <c r="K47" i="10"/>
  <c r="H47" i="10"/>
  <c r="E48" i="58" s="1"/>
  <c r="I55" i="10"/>
  <c r="D56" i="58" s="1"/>
  <c r="H55" i="10"/>
  <c r="J55" i="10"/>
  <c r="K55" i="10"/>
  <c r="AC199" i="26"/>
  <c r="AC251" i="38"/>
  <c r="AC195" i="26"/>
  <c r="AC213" i="26"/>
  <c r="AC273" i="38"/>
  <c r="AC283" i="38"/>
  <c r="AC253" i="38"/>
  <c r="H46" i="10"/>
  <c r="E47" i="58" s="1"/>
  <c r="K46" i="10"/>
  <c r="J46" i="10"/>
  <c r="I46" i="10"/>
  <c r="D47" i="58" s="1"/>
  <c r="J40" i="10"/>
  <c r="H40" i="10"/>
  <c r="I40" i="10"/>
  <c r="D41" i="58" s="1"/>
  <c r="K40" i="10"/>
  <c r="L60" i="10"/>
  <c r="C85" i="51" s="1"/>
  <c r="K28" i="10"/>
  <c r="H28" i="10"/>
  <c r="D60" i="10"/>
  <c r="M60" i="10" s="1"/>
  <c r="I28" i="10"/>
  <c r="D29" i="58" s="1"/>
  <c r="J28" i="10"/>
  <c r="X60" i="10"/>
  <c r="J51" i="10"/>
  <c r="I51" i="10"/>
  <c r="D52" i="58" s="1"/>
  <c r="K51" i="10"/>
  <c r="H51" i="10"/>
  <c r="J29" i="10"/>
  <c r="I29" i="10"/>
  <c r="D30" i="58" s="1"/>
  <c r="H29" i="10"/>
  <c r="K29" i="10"/>
  <c r="H44" i="10"/>
  <c r="E45" i="58" s="1"/>
  <c r="I44" i="10"/>
  <c r="D45" i="58" s="1"/>
  <c r="K44" i="10"/>
  <c r="J44" i="10"/>
  <c r="J31" i="10"/>
  <c r="I31" i="10"/>
  <c r="D32" i="58" s="1"/>
  <c r="K31" i="10"/>
  <c r="H31" i="10"/>
  <c r="AC211" i="26"/>
  <c r="AC259" i="38"/>
  <c r="B583" i="38"/>
  <c r="H49" i="10"/>
  <c r="I49" i="10"/>
  <c r="D50" i="58" s="1"/>
  <c r="K49" i="10"/>
  <c r="J49" i="10"/>
  <c r="AC215" i="26"/>
  <c r="AC281" i="38"/>
  <c r="K56" i="10"/>
  <c r="H56" i="10"/>
  <c r="J56" i="10"/>
  <c r="I56" i="10"/>
  <c r="D57" i="58" s="1"/>
  <c r="AC191" i="26"/>
  <c r="AC249" i="38"/>
  <c r="AC255" i="38"/>
  <c r="E60" i="10"/>
  <c r="AC205" i="26"/>
  <c r="AC217" i="26"/>
  <c r="AC279" i="38"/>
  <c r="J30" i="10"/>
  <c r="I30" i="10"/>
  <c r="D31" i="58" s="1"/>
  <c r="H30" i="10"/>
  <c r="E31" i="58" s="1"/>
  <c r="K30" i="10"/>
  <c r="J59" i="10"/>
  <c r="I59" i="10"/>
  <c r="D60" i="58" s="1"/>
  <c r="H59" i="10"/>
  <c r="E60" i="58" s="1"/>
  <c r="K59" i="10"/>
  <c r="AC203" i="26"/>
  <c r="AC263" i="38"/>
  <c r="AC287" i="38"/>
  <c r="AC275" i="38"/>
  <c r="AC269" i="38"/>
  <c r="H42" i="10"/>
  <c r="E43" i="58" s="1"/>
  <c r="K42" i="10"/>
  <c r="J42" i="10"/>
  <c r="I42" i="10"/>
  <c r="D43" i="58" s="1"/>
  <c r="AC209" i="26"/>
  <c r="AC201" i="26"/>
  <c r="AC257" i="38"/>
  <c r="K37" i="10"/>
  <c r="J37" i="10"/>
  <c r="I37" i="10"/>
  <c r="D38" i="58" s="1"/>
  <c r="H37" i="10"/>
  <c r="F60" i="10"/>
  <c r="G60" i="10"/>
  <c r="I52" i="10"/>
  <c r="D53" i="58" s="1"/>
  <c r="J52" i="10"/>
  <c r="K52" i="10"/>
  <c r="H52" i="10"/>
  <c r="E53" i="58" s="1"/>
  <c r="I58" i="10"/>
  <c r="D59" i="58" s="1"/>
  <c r="K58" i="10"/>
  <c r="J58" i="10"/>
  <c r="H58" i="10"/>
  <c r="E59" i="58" s="1"/>
  <c r="AE256" i="22" l="1"/>
  <c r="AE258" i="22"/>
  <c r="AE292" i="22"/>
  <c r="AE270" i="22"/>
  <c r="AE278" i="22"/>
  <c r="AE252" i="22"/>
  <c r="E49" i="58"/>
  <c r="AE286" i="22"/>
  <c r="AE266" i="22"/>
  <c r="AE272" i="22"/>
  <c r="AE284" i="22"/>
  <c r="AE282" i="22"/>
  <c r="E32" i="58"/>
  <c r="E52" i="58"/>
  <c r="AE280" i="22"/>
  <c r="AE276" i="22"/>
  <c r="AE288" i="22"/>
  <c r="AE268" i="22"/>
  <c r="AE242" i="22"/>
  <c r="AE250" i="22"/>
  <c r="AE290" i="22"/>
  <c r="AE264" i="22"/>
  <c r="E41" i="58"/>
  <c r="E51" i="58"/>
  <c r="AE244" i="22"/>
  <c r="AE248" i="22"/>
  <c r="AE246" i="22"/>
  <c r="AE274" i="22"/>
  <c r="AE240" i="22"/>
  <c r="AE262" i="22"/>
  <c r="AE254" i="22"/>
  <c r="AE260" i="22"/>
  <c r="E57" i="58"/>
  <c r="E30" i="58"/>
  <c r="E56" i="58"/>
  <c r="E58" i="58"/>
  <c r="E40" i="58"/>
  <c r="E33" i="58"/>
  <c r="B85" i="51"/>
  <c r="J60" i="10"/>
  <c r="H60" i="10"/>
  <c r="I60" i="10"/>
  <c r="D26" i="58" s="1"/>
  <c r="K60" i="10"/>
  <c r="E42" i="58"/>
  <c r="B84" i="51"/>
  <c r="C84" i="51"/>
  <c r="A92" i="51" s="1"/>
  <c r="E38" i="58"/>
  <c r="E50" i="58"/>
  <c r="A94" i="51"/>
  <c r="A91" i="51"/>
  <c r="E29" i="58"/>
  <c r="E44" i="58"/>
  <c r="E54" i="58"/>
  <c r="E39" i="58"/>
  <c r="E61" i="58" l="1"/>
  <c r="I84" i="51"/>
  <c r="A93" i="51" s="1"/>
  <c r="K84" i="51"/>
  <c r="A88" i="51"/>
  <c r="O108" i="10"/>
  <c r="AH238" i="22" s="1"/>
  <c r="J108" i="10"/>
  <c r="A89" i="51"/>
  <c r="K85" i="51"/>
  <c r="K86" i="51" s="1"/>
  <c r="B86" i="51"/>
  <c r="I85" i="51"/>
  <c r="I86" i="51" s="1"/>
  <c r="C86" i="51"/>
  <c r="L108" i="10"/>
  <c r="D61" i="58"/>
  <c r="G108" i="10"/>
  <c r="E26" i="58"/>
  <c r="B90" i="51" l="1"/>
  <c r="A90" i="5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44" authorId="0" shapeId="0" xr:uid="{00000000-0006-0000-0000-000001000000}">
      <text>
        <r>
          <rPr>
            <sz val="10"/>
            <color indexed="81"/>
            <rFont val="Arial"/>
            <family val="2"/>
          </rPr>
          <t>Select the site-generated renewable energy source. Eligible biofuels (untreated wood waste, agricultural crops or waste, animal and organic waste, and landfill gas) must be located on or near the project site, and not transported to the site to qualify.</t>
        </r>
      </text>
    </comment>
    <comment ref="F44" authorId="0" shapeId="0" xr:uid="{00000000-0006-0000-0000-000002000000}">
      <text>
        <r>
          <rPr>
            <sz val="10"/>
            <color indexed="81"/>
            <rFont val="Arial"/>
            <family val="2"/>
          </rPr>
          <t>Enter the rated capacity of the renewable source including the units (e.g. for photovoltaics 10 kW). Include all relevant capacities (i.e for solar thermal, both the storage tank capacity and the solar thermal panel capacity)</t>
        </r>
      </text>
    </comment>
    <comment ref="J44" authorId="0" shapeId="0" xr:uid="{00000000-0006-0000-0000-000003000000}">
      <text>
        <r>
          <rPr>
            <sz val="10"/>
            <color indexed="81"/>
            <rFont val="Arial"/>
            <family val="2"/>
          </rPr>
          <t>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Eva Skorupka</author>
  </authors>
  <commentList>
    <comment ref="G18" authorId="0" shapeId="0" xr:uid="{00000000-0006-0000-1700-000001000000}">
      <text>
        <r>
          <rPr>
            <sz val="9"/>
            <color indexed="81"/>
            <rFont val="Tahoma"/>
            <family val="2"/>
          </rPr>
          <t>Per ASHRAE 90.1-2016 Section G3.1 Where natural gas is not available for the proposed building site, as determined by the rating authority, gas storage water heaters shall be modeled using propane as their fuel.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Q36" authorId="0" shapeId="0" xr:uid="{00000000-0006-0000-1A00-000001000000}">
      <text>
        <r>
          <rPr>
            <sz val="10"/>
            <color indexed="81"/>
            <rFont val="Arial"/>
            <family val="2"/>
          </rPr>
          <t>Airflow rate through device</t>
        </r>
      </text>
    </comment>
    <comment ref="AP36" authorId="0" shapeId="0" xr:uid="{00000000-0006-0000-1A00-000002000000}">
      <text>
        <r>
          <rPr>
            <sz val="10"/>
            <color indexed="81"/>
            <rFont val="Arial"/>
            <family val="2"/>
          </rPr>
          <t>Airflow rate through device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12" authorId="0" shapeId="0" xr:uid="{00000000-0006-0000-1B00-000001000000}">
      <text>
        <r>
          <rPr>
            <sz val="10"/>
            <color indexed="81"/>
            <rFont val="Arial"/>
            <family val="2"/>
          </rPr>
          <t>Enter the designation for the Proposed system (or all designations for a group of similar systems) consistent with the energy model (example: AHU-1)</t>
        </r>
      </text>
    </comment>
    <comment ref="B13" authorId="0" shapeId="0" xr:uid="{00000000-0006-0000-1B00-000002000000}">
      <text>
        <r>
          <rPr>
            <sz val="10"/>
            <color indexed="81"/>
            <rFont val="Arial"/>
            <family val="2"/>
          </rPr>
          <t>Enter the total number of similar HVAC systems in the Proposed model. If this is a single, unique HVAC system, enter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32" authorId="0" shapeId="0" xr:uid="{00000000-0006-0000-2B00-000001000000}">
      <text>
        <r>
          <rPr>
            <sz val="10"/>
            <color indexed="81"/>
            <rFont val="Arial"/>
            <family val="2"/>
          </rPr>
          <t>Select the site-generated renewable energy source. Eligible biofuels (untreated wood waste, agricultural crops or waste, animal and organic waste, and landfill gas) must be located on or near the project site, and not transported to the site to qualify.</t>
        </r>
      </text>
    </comment>
    <comment ref="F32" authorId="0" shapeId="0" xr:uid="{00000000-0006-0000-2B00-000002000000}">
      <text>
        <r>
          <rPr>
            <sz val="10"/>
            <color indexed="81"/>
            <rFont val="Arial"/>
            <family val="2"/>
          </rPr>
          <t>Enter the rated capacity of the renewable source including the units (e.g. for photovoltaics 10 kW). Include all relevant capacities (i.e for solar thermal, both the storage tank capacity and the solar thermal panel capacity)</t>
        </r>
      </text>
    </comment>
    <comment ref="J32" authorId="0" shapeId="0" xr:uid="{00000000-0006-0000-2B00-000003000000}">
      <text>
        <r>
          <rPr>
            <sz val="10"/>
            <color indexed="81"/>
            <rFont val="Arial"/>
            <family val="2"/>
          </rPr>
          <t>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AJ4" authorId="0" shapeId="0" xr:uid="{00000000-0006-0000-3700-000001000000}">
      <text>
        <r>
          <rPr>
            <sz val="10"/>
            <color indexed="81"/>
            <rFont val="Tahoma"/>
            <family val="2"/>
          </rPr>
          <t>This formula is different than the remaining formulas below for Core &amp; Shell projects.</t>
        </r>
      </text>
    </comment>
  </commentList>
</comments>
</file>

<file path=xl/sharedStrings.xml><?xml version="1.0" encoding="utf-8"?>
<sst xmlns="http://schemas.openxmlformats.org/spreadsheetml/2006/main" count="20976" uniqueCount="3460">
  <si>
    <t>Model Input Parameter</t>
  </si>
  <si>
    <t>Slab-On-Grade Floors</t>
  </si>
  <si>
    <t>Description</t>
  </si>
  <si>
    <t>Roof Constructions</t>
  </si>
  <si>
    <t>Baseline Case</t>
  </si>
  <si>
    <t>Proposed Case</t>
  </si>
  <si>
    <t>Above-Grade Exterior Wall Constructions</t>
  </si>
  <si>
    <t>Below-Grade Exterior Wall Constructions</t>
  </si>
  <si>
    <t>SHGC</t>
  </si>
  <si>
    <t>VLT</t>
  </si>
  <si>
    <t>Vertical Glazing Area</t>
  </si>
  <si>
    <t>North</t>
  </si>
  <si>
    <t>East</t>
  </si>
  <si>
    <t>South</t>
  </si>
  <si>
    <t>West</t>
  </si>
  <si>
    <t>Total</t>
  </si>
  <si>
    <t>Orientation</t>
  </si>
  <si>
    <t>(%)</t>
  </si>
  <si>
    <t>Exposed Floor Constructions</t>
  </si>
  <si>
    <t>Space-Conditioning Category</t>
  </si>
  <si>
    <t>Additional notes:</t>
  </si>
  <si>
    <t>Nonresidential</t>
  </si>
  <si>
    <t>Yes</t>
  </si>
  <si>
    <t>Residential</t>
  </si>
  <si>
    <t>Skylight Area</t>
  </si>
  <si>
    <t>NFRC testing for site-assembled fenestration</t>
  </si>
  <si>
    <t>Table A8.2 (windows) and Table A8.1 (skylights)</t>
  </si>
  <si>
    <t>LBNL Window 5 or Window 6 calculations</t>
  </si>
  <si>
    <t>NFRC testing for manufactured fenestration assemblies</t>
  </si>
  <si>
    <t>Energy simulation includes separate frame and glazing</t>
  </si>
  <si>
    <t>Climate Zone</t>
  </si>
  <si>
    <t>1A</t>
  </si>
  <si>
    <t>1B</t>
  </si>
  <si>
    <t>2A</t>
  </si>
  <si>
    <t>2B</t>
  </si>
  <si>
    <t>3A</t>
  </si>
  <si>
    <t>3B</t>
  </si>
  <si>
    <t>3C</t>
  </si>
  <si>
    <t>4A</t>
  </si>
  <si>
    <t>4B</t>
  </si>
  <si>
    <t>4C</t>
  </si>
  <si>
    <t>5A</t>
  </si>
  <si>
    <t>5B</t>
  </si>
  <si>
    <t>5C</t>
  </si>
  <si>
    <t>6A</t>
  </si>
  <si>
    <t>6B</t>
  </si>
  <si>
    <t>Semiheated</t>
  </si>
  <si>
    <t>Automotive facility</t>
  </si>
  <si>
    <t>Convention center</t>
  </si>
  <si>
    <t>Courthouse</t>
  </si>
  <si>
    <t>Dining: bar lounge/leisure</t>
  </si>
  <si>
    <t>Dining: cafeteria/fast food</t>
  </si>
  <si>
    <t>Dining: family</t>
  </si>
  <si>
    <t>Dormitory</t>
  </si>
  <si>
    <t>Exercise center</t>
  </si>
  <si>
    <t>Gymnasium</t>
  </si>
  <si>
    <t>Health-care clinic</t>
  </si>
  <si>
    <t>Hospital</t>
  </si>
  <si>
    <t>Library</t>
  </si>
  <si>
    <t>Manufacturing facility</t>
  </si>
  <si>
    <t>Motion picture theater</t>
  </si>
  <si>
    <t>Multifamily</t>
  </si>
  <si>
    <t>Museum</t>
  </si>
  <si>
    <t>Office</t>
  </si>
  <si>
    <t>Parking garage</t>
  </si>
  <si>
    <t>Penitentiary</t>
  </si>
  <si>
    <t>Performing arts theater</t>
  </si>
  <si>
    <t>Post office</t>
  </si>
  <si>
    <t>Religious building</t>
  </si>
  <si>
    <t>Retail</t>
  </si>
  <si>
    <t>School/university</t>
  </si>
  <si>
    <t>Sports arena</t>
  </si>
  <si>
    <t>Town hall</t>
  </si>
  <si>
    <t>Transportation</t>
  </si>
  <si>
    <t>Warehouse</t>
  </si>
  <si>
    <t>Workshop</t>
  </si>
  <si>
    <t>Restrooms</t>
  </si>
  <si>
    <t>Building Area Method Categories</t>
  </si>
  <si>
    <t>Space by Space Categories</t>
  </si>
  <si>
    <t>Walkways less than 10 ft wide</t>
  </si>
  <si>
    <t>Walkways 10 ft wide or greater</t>
  </si>
  <si>
    <t>Plaza areas</t>
  </si>
  <si>
    <t>Special feature areas</t>
  </si>
  <si>
    <t>Stairways</t>
  </si>
  <si>
    <t>Main entries</t>
  </si>
  <si>
    <t>Other doors</t>
  </si>
  <si>
    <t>Building facades</t>
  </si>
  <si>
    <t>Entrances and gatehouse inspection stations at guarded facilities</t>
  </si>
  <si>
    <t>Loading areas for law enforcement, fire, ambulance, and other emergency service vehicles</t>
  </si>
  <si>
    <t>Drive-through windows at fast food restaurants</t>
  </si>
  <si>
    <t>Parking near 24-hour retail entrances</t>
  </si>
  <si>
    <t>Area</t>
  </si>
  <si>
    <t>Length</t>
  </si>
  <si>
    <t>Required Input (Area or Length)</t>
  </si>
  <si>
    <t>Tradable Surfaces</t>
  </si>
  <si>
    <t>Nontradable Surfaces</t>
  </si>
  <si>
    <t>Required Input</t>
  </si>
  <si>
    <t>Uncovered Area</t>
  </si>
  <si>
    <t>Number of ATMs</t>
  </si>
  <si>
    <t>Quantity of Required Input for Project</t>
  </si>
  <si>
    <t>Main Entries</t>
  </si>
  <si>
    <t>Input Parameter</t>
  </si>
  <si>
    <t>Equipment Included in Power Density</t>
  </si>
  <si>
    <t>Modeled Identically In Baseline?</t>
  </si>
  <si>
    <t>ATMs and night depositories</t>
  </si>
  <si>
    <t>Receptacle Equipment Modeling Method</t>
  </si>
  <si>
    <t>Building Type</t>
  </si>
  <si>
    <t>Modeling Parameters</t>
  </si>
  <si>
    <t>Fixture Type</t>
  </si>
  <si>
    <t>Section 9.2.2.3 Exemption</t>
  </si>
  <si>
    <t>Allowed LPD</t>
  </si>
  <si>
    <t>System 1 - PTAC</t>
  </si>
  <si>
    <t>System 2 - PTHP</t>
  </si>
  <si>
    <t>System 3 - PSZ-AC</t>
  </si>
  <si>
    <t>System 4 - PSZ-HP</t>
  </si>
  <si>
    <t>System 5 - Packaged VAV with Reheat</t>
  </si>
  <si>
    <t>System 6 - Packaged VAV with PFP Boxes</t>
  </si>
  <si>
    <t>System 7 - VAV with Reheat</t>
  </si>
  <si>
    <t>System 8 - VAV with PFP Boxes</t>
  </si>
  <si>
    <t>System 9 - Heating and Ventilation</t>
  </si>
  <si>
    <t>System 10 - Heating and Ventilation</t>
  </si>
  <si>
    <t>Spaces Modeled</t>
  </si>
  <si>
    <t>Totals</t>
  </si>
  <si>
    <t>G3.1.1 Exception 
(or Semiconditioned Capacity and Area)</t>
  </si>
  <si>
    <t>System Description</t>
  </si>
  <si>
    <t>Other (Describe)</t>
  </si>
  <si>
    <t>Condenser heat recovery</t>
  </si>
  <si>
    <t>HVAC Modeling Requirements</t>
  </si>
  <si>
    <t>Describe the California Title-24 Baseline System Type</t>
  </si>
  <si>
    <t>District Cooling</t>
  </si>
  <si>
    <t>District Heating</t>
  </si>
  <si>
    <t>System 3 (District Cooling) - 2-pipe CV AHU with Fossil Fuel Furnace</t>
  </si>
  <si>
    <t>System 4 (District Cooling) - 2-pipe CV AHU with Fossil Fuel Furnace</t>
  </si>
  <si>
    <t>System 5 (District Cooling) - Change to System 7 - VAV with Reheat</t>
  </si>
  <si>
    <t>System 6 (District Cooling) - Change to System 8 - VAV with PFP Boxes</t>
  </si>
  <si>
    <t>System 7 (District Cooling) - VAV with Reheat</t>
  </si>
  <si>
    <t>System 1 (District Heating) - PTAC</t>
  </si>
  <si>
    <t>System 3 (District Heating) - PSZ-AC with District Heating</t>
  </si>
  <si>
    <t>System 5 (District Heating) - Packaged VAV with Reheat</t>
  </si>
  <si>
    <t>System 7 (District Heating) - VAV with Reheat</t>
  </si>
  <si>
    <t>System 9 (District Heating) - Heating and Ventilation</t>
  </si>
  <si>
    <t>System 3 (District Heating &amp; Cooling) - 4-pipe CV AHU</t>
  </si>
  <si>
    <t>System 5 (District Heating &amp; Cooling) - Change to System 7 - VAV with Reheat</t>
  </si>
  <si>
    <t>Units</t>
  </si>
  <si>
    <t>#</t>
  </si>
  <si>
    <t>CW ΔT</t>
  </si>
  <si>
    <t>HHW ΔT</t>
  </si>
  <si>
    <t>Opaque Building Envelope Requirements</t>
  </si>
  <si>
    <t>For existing spaces, have there been any changes to the space conditioning category (for example, previously unconditioned spaces becoming fully conditioned)?</t>
  </si>
  <si>
    <t>Opaque Building Envelope Constructions</t>
  </si>
  <si>
    <t>Interior Lighting Requirements</t>
  </si>
  <si>
    <t>Exterior Lighting Requirements</t>
  </si>
  <si>
    <t>U-0.063</t>
  </si>
  <si>
    <t>U-0.048</t>
  </si>
  <si>
    <t>U-0.218</t>
  </si>
  <si>
    <t>U-0.124</t>
  </si>
  <si>
    <t>U-0.352</t>
  </si>
  <si>
    <t>U-0.350</t>
  </si>
  <si>
    <t>F-0.730</t>
  </si>
  <si>
    <t>U-0.700</t>
  </si>
  <si>
    <t>U-1.450</t>
  </si>
  <si>
    <t>U-0.064</t>
  </si>
  <si>
    <t>U-0.052</t>
  </si>
  <si>
    <t>U-0.069</t>
  </si>
  <si>
    <t>U-0.500</t>
  </si>
  <si>
    <t>U-0.173</t>
  </si>
  <si>
    <t>U-0.084</t>
  </si>
  <si>
    <t>C-1.140</t>
  </si>
  <si>
    <t>C-0.119</t>
  </si>
  <si>
    <t>U-0.038</t>
  </si>
  <si>
    <t>U- 0.052</t>
  </si>
  <si>
    <t>U-0.093</t>
  </si>
  <si>
    <t>U-0.032</t>
  </si>
  <si>
    <t>F-0.520</t>
  </si>
  <si>
    <t>U-0.042</t>
  </si>
  <si>
    <t>C-0.092</t>
  </si>
  <si>
    <t>U-0.037</t>
  </si>
  <si>
    <t>C-0.075</t>
  </si>
  <si>
    <t>F-0.510</t>
  </si>
  <si>
    <t>steel-joist with no insulation with a U-factor of 0.350</t>
  </si>
  <si>
    <t>steel-joist with R-19 insulation with a U-factor of 0.052</t>
  </si>
  <si>
    <t>steel-joist with R-13 insulation with a U-factor of 0.069</t>
  </si>
  <si>
    <t>steel-joist with R-30 insulation with a U-factor of 0.038</t>
  </si>
  <si>
    <t>steel-joist with R-38 insulation with a U-factor of 0.032</t>
  </si>
  <si>
    <t>6" concrete slabs with no insulation with an F-factor of 0.730</t>
  </si>
  <si>
    <t>6" concrete slabs with R-15 insulation for 24 in. with an F-factor of 0.520</t>
  </si>
  <si>
    <t>6" concrete slabs with R-20 insulation for 24 in. with an F-factor of 0.510</t>
  </si>
  <si>
    <t>U-factor of 0.700</t>
  </si>
  <si>
    <t>U-factor of 1.450</t>
  </si>
  <si>
    <t>U-factor of 0.500</t>
  </si>
  <si>
    <t>R-15 insulation entirely above deck with a U-factor of 0.063</t>
  </si>
  <si>
    <t>R-20 insulation entirely above deck with a U-factor of 0.048</t>
  </si>
  <si>
    <t>R-3.8 insulation entirely above deck with a U-factor of 0.218</t>
  </si>
  <si>
    <t>R-5.0 insulation entirely above deck with a U-factor of 0.173</t>
  </si>
  <si>
    <t>R-10.0 insulation entirely above deck with a U-factor of 0.093</t>
  </si>
  <si>
    <t>R-15.0 insulation entirely above deck with a U-factor of 0.063</t>
  </si>
  <si>
    <t>steel-framed with R-13 cavity insulation with a U-factor of 0.124</t>
  </si>
  <si>
    <t>steel-framed with no insulation with a U-factor of 0.352</t>
  </si>
  <si>
    <t>steel-framed with R-13 cavity and R-7.5 continuous insulation with a U-factor of 0.064</t>
  </si>
  <si>
    <t>steel-framed with R-13 cavity and R-3.8 continuous insulation with a U-factor of 0.084</t>
  </si>
  <si>
    <t>steel-framed with R-13 cavity and R-15.6 continuous insulation with a U-factor of 0.042</t>
  </si>
  <si>
    <t>steel-framed with R-13 cavity and R-18.8 continuous insulation with a U-factor of 0.037</t>
  </si>
  <si>
    <t>8" medium weight concrete block with solid grouted cores and no insulation with a C-factor of 1.140</t>
  </si>
  <si>
    <t>8" medium weight concrete block with solid grouted cores and R-7.5 insulation with a C-factor of 0.119</t>
  </si>
  <si>
    <t>8" medium weight concrete block with solid grouted cores and R-10.0 insulation with a C-factor of 0.092</t>
  </si>
  <si>
    <t>8" medium weight concrete block with solid grouted cores and R-12.5 insulation with a C-factor of 0.075</t>
  </si>
  <si>
    <t>All receptacle equipment and other process equipment designed or anticipated for the building have been accounted for in the energy models.</t>
  </si>
  <si>
    <t>kW</t>
  </si>
  <si>
    <t>Kilowatt</t>
  </si>
  <si>
    <t>Btuh</t>
  </si>
  <si>
    <t>British thermal unit per hour</t>
  </si>
  <si>
    <t>(British thermal unit per hour) x 1,000</t>
  </si>
  <si>
    <t>tons</t>
  </si>
  <si>
    <t>Return and/or exhaust airflow control devices</t>
  </si>
  <si>
    <t>Carbon and other gas-phase air cleaners</t>
  </si>
  <si>
    <t>Evaporative humidifier/cooler in series with another cooling coil</t>
  </si>
  <si>
    <t>Min. Nominal Full-load Efficiency*</t>
  </si>
  <si>
    <t>Next Motor Size Up HP</t>
  </si>
  <si>
    <t>Quantity of CHP generators</t>
  </si>
  <si>
    <t>Total capacity of CHP generators (kW) at design conditions</t>
  </si>
  <si>
    <t>W/gpm</t>
  </si>
  <si>
    <t>7A</t>
  </si>
  <si>
    <t>7B</t>
  </si>
  <si>
    <t>Geoexchange loop design fluid supply temperature - cooling</t>
  </si>
  <si>
    <t>Geoexchange loop design fluid supply temperature -heating</t>
  </si>
  <si>
    <t>Geothermal source design temperature - summer</t>
  </si>
  <si>
    <t>Geothermal source design temperature - winter</t>
  </si>
  <si>
    <t>Geothermal energy transfer effect</t>
  </si>
  <si>
    <t>Geoexchange loop - operating temperature</t>
  </si>
  <si>
    <t>Proposed HVAC Requirements</t>
  </si>
  <si>
    <t>Baseline Air-Side HVAC Requirements</t>
  </si>
  <si>
    <t>Baseline Water-Side HVAC Requirements</t>
  </si>
  <si>
    <t>Fire Station</t>
  </si>
  <si>
    <t>Police station</t>
  </si>
  <si>
    <t>If not all the process equipment has been accounted for in the energy model, indicated as "No" above, the project does not likely comply with LEED modeling requirements. It is recommended that the project team pursue a "Credit Interpretation Ruling" to justify the modeling approach. Please also provide any further information below to justify the modeling approach used.</t>
  </si>
  <si>
    <t>Fenestration</t>
  </si>
  <si>
    <t>Interior Lighting</t>
  </si>
  <si>
    <t>Exterior Lighting</t>
  </si>
  <si>
    <t>Service Water Heating</t>
  </si>
  <si>
    <t>General HVAC</t>
  </si>
  <si>
    <t>Water-Side HVAC System Schedule</t>
  </si>
  <si>
    <t>Lighting</t>
  </si>
  <si>
    <t>New or 
Existing
Construction</t>
  </si>
  <si>
    <t>For each item entered as “No” above, describe the applicable ASHRAE 90.1 Appendix G exception(s) that apply, or the circumstances preventing the opaque envelope parameters from being modeled as required. If the energy simulation software is not capable of modeling the required parameters, describe the adjustments that were made to provide a thermodynamically similar representation or provide a narrative justifying why the predicted energy performance results will not be influenced.</t>
  </si>
  <si>
    <t>General Information</t>
  </si>
  <si>
    <t>New or 
Existing Construction</t>
  </si>
  <si>
    <t>Assembly 
U-factor</t>
  </si>
  <si>
    <t>For each item entered as “No” above, describe the applicable ASHRAE 90.1 Appendix G exception(s) that apply, or the circumstances preventing the lighting parameters from being modeled as required. If the energy simulation software is not capable of modeling the required parameters, describe the adjustments that were made to provide a similar representation or provide a narrative justifying why the predicted energy performance results will not be influenced.</t>
  </si>
  <si>
    <t>Total Process Lighting Power (W)</t>
  </si>
  <si>
    <t>Total tradable surface lighting allowance</t>
  </si>
  <si>
    <t>Lighting Power Allowance 
(W)</t>
  </si>
  <si>
    <t>Design Lighting Power 
(W)</t>
  </si>
  <si>
    <t>Total nontradable surface lighting allowance</t>
  </si>
  <si>
    <t>Summary</t>
  </si>
  <si>
    <t>Baseline Modeled Identically</t>
  </si>
  <si>
    <t>Total power modeled using building average method (kW)</t>
  </si>
  <si>
    <t>Note: Any credit for improved receptacle equipment must be submitted using the Exceptional Calculation Method.</t>
  </si>
  <si>
    <t>Total power modeled using space by space method (kW)</t>
  </si>
  <si>
    <t xml:space="preserve">Equipment Type </t>
  </si>
  <si>
    <t>Energy 
Source</t>
  </si>
  <si>
    <t>Indicate whether the receptacle equipment was modeled using an average equipment power density for the building, equipment power densities by space type, or by entering the power associated with specific devices in each space.  (select all that apply)</t>
  </si>
  <si>
    <t>Percent
Hot Water
(%)</t>
  </si>
  <si>
    <t>Note: Any credit for improved service hot water pumps must be submitted using the Exceptional Calculation Method.</t>
  </si>
  <si>
    <t>The district energy system includes (select all that apply)</t>
  </si>
  <si>
    <t>If using the DES Path 2 or 3 and the Modeling Method, describe how the average efficiency was determined. Include information about how the thermal distribution losses and distribution pump energy was accounted for. If using the modeling method, upload summary simulation files or spreadsheet calculations as supporting documentation.</t>
  </si>
  <si>
    <t>For DES Paths 2 or 3, identify the method for evaluating the district plant average efficiency.</t>
  </si>
  <si>
    <t>n/a</t>
  </si>
  <si>
    <t>Exhaust filters, scrubbers, or other exhaust treatment</t>
  </si>
  <si>
    <t>Biosafety cabinet</t>
  </si>
  <si>
    <t xml:space="preserve">Exhaust system serving fume hoods </t>
  </si>
  <si>
    <t>Laboratory and vivarium exhaust systems in high-rise buildings</t>
  </si>
  <si>
    <t>Fan Power</t>
  </si>
  <si>
    <t>Baseline</t>
  </si>
  <si>
    <t>Proposed</t>
  </si>
  <si>
    <r>
      <t xml:space="preserve">CHW </t>
    </r>
    <r>
      <rPr>
        <sz val="10"/>
        <color indexed="8"/>
        <rFont val="Arial"/>
        <family val="2"/>
      </rPr>
      <t>ΔT</t>
    </r>
  </si>
  <si>
    <t>Other</t>
  </si>
  <si>
    <t>Full DES (Path 2)</t>
  </si>
  <si>
    <t>Streamlined DES (Path 3)</t>
  </si>
  <si>
    <t>ASHRAE 90.1-2010 (Path 1)</t>
  </si>
  <si>
    <t>California Title-24 (Path 4)</t>
  </si>
  <si>
    <t>California Title-24 Baseline default efficiencies (Path 4)</t>
  </si>
  <si>
    <t>Type of geothermal system</t>
  </si>
  <si>
    <t>Soil conductivity (if applicable)</t>
  </si>
  <si>
    <t>Geothermal loop pumping configuration</t>
  </si>
  <si>
    <t>Number of geothermal loop pumps</t>
  </si>
  <si>
    <t>Geothermal loop pump control</t>
  </si>
  <si>
    <t xml:space="preserve">Geothermal pump power </t>
  </si>
  <si>
    <t>Geothermal loop flow</t>
  </si>
  <si>
    <t>Geothermal air-side efficiency curves</t>
  </si>
  <si>
    <t>Number and type of boilers</t>
  </si>
  <si>
    <t>Purchased heating rate (cost per unit energy)</t>
  </si>
  <si>
    <t>Total boiler capacity</t>
  </si>
  <si>
    <t>Boiler efficiency</t>
  </si>
  <si>
    <t>Hot water or steam (HHW) supply temp</t>
  </si>
  <si>
    <t>HHW temp reset parameters</t>
  </si>
  <si>
    <t>HHW loop configuration</t>
  </si>
  <si>
    <t>Thermal efficiency (%) at design conditions</t>
  </si>
  <si>
    <t>Electrical efficiency (%) at design conditions</t>
  </si>
  <si>
    <t>Controls or schedule</t>
  </si>
  <si>
    <t>Fuel Source</t>
  </si>
  <si>
    <t>Where is the recovered heat used? (e.g. gas absorption chillers, hot water distribution loop, etc.)</t>
  </si>
  <si>
    <t>Backup heat source when waste heat from CHP is unavailable? (e.g. fossil fuel boilers)</t>
  </si>
  <si>
    <t>Parasitic losses (e.g. air handling unit to cool the intake air)</t>
  </si>
  <si>
    <t>Type of generator</t>
  </si>
  <si>
    <t>CW pump control</t>
  </si>
  <si>
    <t>CW pump flow</t>
  </si>
  <si>
    <t>Number of CW pumps</t>
  </si>
  <si>
    <t>CW loop temp reset parameters</t>
  </si>
  <si>
    <t>Condenser water (CW) leaving temp</t>
  </si>
  <si>
    <t>Cooling tower fan control</t>
  </si>
  <si>
    <t>Cooling tower fan power</t>
  </si>
  <si>
    <t>Number of cooling towers or fluid coolers</t>
  </si>
  <si>
    <t>Water-side energy recovery</t>
  </si>
  <si>
    <t xml:space="preserve">Water-side economizer </t>
  </si>
  <si>
    <t>CHW loop configuration</t>
  </si>
  <si>
    <t>CHW supply temp reset parameters</t>
  </si>
  <si>
    <t>Chilled water (CHW) supply temp</t>
  </si>
  <si>
    <t>Chiller efficiency - part load</t>
  </si>
  <si>
    <t>Chiller efficiency - full load</t>
  </si>
  <si>
    <t>Total chiller capacity</t>
  </si>
  <si>
    <t>Purchased chilled water rate (cost per unit energy)</t>
  </si>
  <si>
    <r>
      <t xml:space="preserve">Number and type of chillers </t>
    </r>
    <r>
      <rPr>
        <sz val="10"/>
        <color indexed="8"/>
        <rFont val="Arial"/>
        <family val="2"/>
      </rPr>
      <t>(and capacity per chiller if more than one type or size of chiller)</t>
    </r>
  </si>
  <si>
    <t xml:space="preserve">Total cooling capacity </t>
  </si>
  <si>
    <t xml:space="preserve">Unitary cooling efficiency </t>
  </si>
  <si>
    <t xml:space="preserve">Unitary cooling part-load efficiency (if applicable) </t>
  </si>
  <si>
    <t xml:space="preserve">Total heating capacity </t>
  </si>
  <si>
    <t xml:space="preserve">Unitary heating efficiency </t>
  </si>
  <si>
    <t>* Fan control</t>
  </si>
  <si>
    <t xml:space="preserve">Supply airflow </t>
  </si>
  <si>
    <t>Outdoor airflow</t>
  </si>
  <si>
    <t>Demand control ventilation</t>
  </si>
  <si>
    <t>* Supply air temperature reset</t>
  </si>
  <si>
    <t>Supply fan power</t>
  </si>
  <si>
    <t xml:space="preserve">Return or relief fan power </t>
  </si>
  <si>
    <t>Exhaust fan power</t>
  </si>
  <si>
    <t>System fan power</t>
  </si>
  <si>
    <t>Allowed fan power</t>
  </si>
  <si>
    <t>Particulate filtration credit: MERV 9 through 12</t>
  </si>
  <si>
    <t>Particulate filtration credit: MERV 13 through 15</t>
  </si>
  <si>
    <t>Particulate filtration credit: MERV 16 and greater and electronically enhanced filters</t>
  </si>
  <si>
    <t>Sound attenuation section</t>
  </si>
  <si>
    <t>Refrigeration equipment</t>
  </si>
  <si>
    <t>Roof and skylight area</t>
  </si>
  <si>
    <t>Number of similar systems</t>
  </si>
  <si>
    <t>System designation(s)</t>
  </si>
  <si>
    <t>* System type</t>
  </si>
  <si>
    <t>Other (describe)</t>
  </si>
  <si>
    <t>New</t>
  </si>
  <si>
    <t>Unconditioned</t>
  </si>
  <si>
    <t>Issue</t>
  </si>
  <si>
    <t>Project Team Response</t>
  </si>
  <si>
    <t>Compliance</t>
  </si>
  <si>
    <t>Number of hours cooling loads not met</t>
  </si>
  <si>
    <t>Number of hours heating loads not met</t>
  </si>
  <si>
    <t>Energy Type</t>
  </si>
  <si>
    <t>Total:</t>
  </si>
  <si>
    <t>Cost</t>
  </si>
  <si>
    <t>Site Energy Use</t>
  </si>
  <si>
    <t>Percent Savings</t>
  </si>
  <si>
    <t>Cost Savings</t>
  </si>
  <si>
    <t xml:space="preserve">Site Energy Use Savings </t>
  </si>
  <si>
    <t>Percent Cost Savings</t>
  </si>
  <si>
    <t>On-Site Renewable Savings</t>
  </si>
  <si>
    <t xml:space="preserve">District Cooling </t>
  </si>
  <si>
    <t>Proposed Building Energy Consumption 
with Exceptional Calculation Methods</t>
  </si>
  <si>
    <t>Percent Variance</t>
  </si>
  <si>
    <t>Unregulated?</t>
  </si>
  <si>
    <t>End Use</t>
  </si>
  <si>
    <t>Complete the table below, providing information on energy consumption and demand by end-use. If an end-use has two energy types (e.g. proposed case space heating includes both fossil fuel and electric), enter the end-use twice in the table, and list the two different energy types.</t>
  </si>
  <si>
    <t>Baseline Design Total</t>
  </si>
  <si>
    <t>Baseline 270° rotation</t>
  </si>
  <si>
    <t>Baseline 180° rotation</t>
  </si>
  <si>
    <t>Baseline 90° rotation</t>
  </si>
  <si>
    <t>Baseline 0° rotation</t>
  </si>
  <si>
    <t>Electricity</t>
  </si>
  <si>
    <t>x</t>
  </si>
  <si>
    <t>Elevators and escalators</t>
  </si>
  <si>
    <t>Industrial Process</t>
  </si>
  <si>
    <t>Cooking</t>
  </si>
  <si>
    <t>Fans - Kitchen Ventilation</t>
  </si>
  <si>
    <t>Interior lighting - process</t>
  </si>
  <si>
    <t>IT equipment</t>
  </si>
  <si>
    <t>Receptacle equipment</t>
  </si>
  <si>
    <t>Service water heating</t>
  </si>
  <si>
    <t>Fans - parking garage</t>
  </si>
  <si>
    <t>Fans - interior ventilation</t>
  </si>
  <si>
    <t>Heat rejection</t>
  </si>
  <si>
    <t>Pumps</t>
  </si>
  <si>
    <t>Natural Gas</t>
  </si>
  <si>
    <t>Space cooling</t>
  </si>
  <si>
    <t>Space heating</t>
  </si>
  <si>
    <t>Exterior lighting</t>
  </si>
  <si>
    <t>Interior lighting</t>
  </si>
  <si>
    <t>Baseline Design Total
 (Average of 4 rotations)</t>
  </si>
  <si>
    <t>Add to Baseline?
Subtract from Proposed?</t>
  </si>
  <si>
    <t>Energy Type(s)</t>
  </si>
  <si>
    <t>Annual Site Energy Generated</t>
  </si>
  <si>
    <t>Renewable Source</t>
  </si>
  <si>
    <t>kWh</t>
  </si>
  <si>
    <t>Btu x 10^6</t>
  </si>
  <si>
    <t>therm</t>
  </si>
  <si>
    <t>Utility Rate Structure</t>
  </si>
  <si>
    <t>Utility Rate Name</t>
  </si>
  <si>
    <t>Demand Units</t>
  </si>
  <si>
    <t>Energy Consumption Units</t>
  </si>
  <si>
    <t>Simulation program</t>
  </si>
  <si>
    <t xml:space="preserve">Simulation weather file </t>
  </si>
  <si>
    <t>Trace</t>
  </si>
  <si>
    <t>IES</t>
  </si>
  <si>
    <t>HAP</t>
  </si>
  <si>
    <t>eQuest</t>
  </si>
  <si>
    <t>EnergyPro</t>
  </si>
  <si>
    <t>EnergyPlus</t>
  </si>
  <si>
    <t>Other approved code</t>
  </si>
  <si>
    <t>California Title-24 2013, Part 6</t>
  </si>
  <si>
    <t>Roof &amp; Skylight Area</t>
  </si>
  <si>
    <t>Above-Grade Wall &amp; Vertical Glazing Area by Orientation</t>
  </si>
  <si>
    <t>The Baseline building is modeled with the same shape and orientation as the Proposed building, and for new construction rotated 90°, 180°, and 270°</t>
  </si>
  <si>
    <t>Building Shape &amp; Orientation</t>
  </si>
  <si>
    <t>Any shading by adjacent structures and terrain has been modeled identically to the Proposed case (if applicable)</t>
  </si>
  <si>
    <t xml:space="preserve">
</t>
  </si>
  <si>
    <t>No shading projections, manual shading devices, or self-shading have been modeled for the Baseline building</t>
  </si>
  <si>
    <t>Shading Devices</t>
  </si>
  <si>
    <t>Building:</t>
  </si>
  <si>
    <t>District energy sources</t>
  </si>
  <si>
    <t>Standard energy sources</t>
  </si>
  <si>
    <t>ENERGY SOURCES 1</t>
  </si>
  <si>
    <t>DistrictCooling</t>
  </si>
  <si>
    <t>DistrictHeating</t>
  </si>
  <si>
    <t>3 = Streamlined DES Accounting Method (Path3)</t>
  </si>
  <si>
    <t>2 = Full DES Performance Accounting Method (Path 2)</t>
  </si>
  <si>
    <t>1 = ASHRAE 90.1 without Addenda (Path 1)</t>
  </si>
  <si>
    <t>0 = No DES</t>
  </si>
  <si>
    <t>DESPath</t>
  </si>
  <si>
    <t>Campus Cogen - Parasitic energy</t>
  </si>
  <si>
    <t>Campus Cogen - Fuel Input</t>
  </si>
  <si>
    <t>Tons (wood)</t>
  </si>
  <si>
    <t>Campus Cogen - Electricity generated</t>
  </si>
  <si>
    <t>Pounds (wood)</t>
  </si>
  <si>
    <t>Lbs (wood)</t>
  </si>
  <si>
    <t>Campus pumps: Heating</t>
  </si>
  <si>
    <t>Tons (coke)</t>
  </si>
  <si>
    <t>Campus space heating</t>
  </si>
  <si>
    <t>(Pounds coke) x 1,000,000</t>
  </si>
  <si>
    <t>MLbs (coke)</t>
  </si>
  <si>
    <t>Campus pumps: Cooling &amp; Heat Rejection</t>
  </si>
  <si>
    <t>(Pounds coke) x 1,000</t>
  </si>
  <si>
    <t>kLbs (coke)</t>
  </si>
  <si>
    <t>Campus heat rejection</t>
  </si>
  <si>
    <t>Pounds (coke)</t>
  </si>
  <si>
    <t>Lbs (coke)</t>
  </si>
  <si>
    <t>Campus space cooling</t>
  </si>
  <si>
    <t>Tons (Bituminous Coal)</t>
  </si>
  <si>
    <t>Tons (bit. coal)</t>
  </si>
  <si>
    <t>Campus Plant End Uses</t>
  </si>
  <si>
    <t>(Pounds Bituminous Coal) x 1,000,000</t>
  </si>
  <si>
    <t>MLbs (bit. coal)</t>
  </si>
  <si>
    <t>(Pounds Bituminous Coal) x 1,000</t>
  </si>
  <si>
    <t>kLbs (bit. coal)</t>
  </si>
  <si>
    <t>Pounds (Bituminous Coal)</t>
  </si>
  <si>
    <t>Lbs (bit. coal)</t>
  </si>
  <si>
    <t>Tons (Anthracite Coal)</t>
  </si>
  <si>
    <t>Tons (anth. coal)</t>
  </si>
  <si>
    <t>(Pounds Anthracite Coal) x 1,000,000</t>
  </si>
  <si>
    <t>MLbs (anth. coal)</t>
  </si>
  <si>
    <t>(Pounds Anthracite Coal) x 1,000</t>
  </si>
  <si>
    <t>kLbs (anth. coal)</t>
  </si>
  <si>
    <t>Pounds (Anthracite Coal)</t>
  </si>
  <si>
    <t>Lbs (anth. coal)</t>
  </si>
  <si>
    <t>liters (propane)</t>
  </si>
  <si>
    <t>gallons (propane)</t>
  </si>
  <si>
    <t>Cogen - Parasitic energy</t>
  </si>
  <si>
    <t>gallons (fuel oil no. 5 or no. 6)</t>
  </si>
  <si>
    <t>Cogen - Fuel Input</t>
  </si>
  <si>
    <t>liters (fuel oil no. 5 or no. 6)</t>
  </si>
  <si>
    <t>Cogen - Electricity generated</t>
  </si>
  <si>
    <t>gallons (fuel oil/diesel)</t>
  </si>
  <si>
    <t>liters (fuel oil/diesel)</t>
  </si>
  <si>
    <t>CZ16</t>
  </si>
  <si>
    <t>(Pounds) x 1,000,000</t>
  </si>
  <si>
    <t>MLbs (District Steam)</t>
  </si>
  <si>
    <t>CZ15</t>
  </si>
  <si>
    <t>(Pounds) x 1,000</t>
  </si>
  <si>
    <t>kLbs (District Steam)</t>
  </si>
  <si>
    <t>CZ14</t>
  </si>
  <si>
    <t>Pounds (District Steam)</t>
  </si>
  <si>
    <t>Lbs (District Steam)</t>
  </si>
  <si>
    <t>CZ13</t>
  </si>
  <si>
    <t>On-site landfill gas - electric</t>
  </si>
  <si>
    <t>Block charges per unit of consumption and demand varying seasonally</t>
  </si>
  <si>
    <t>(cubic feet) x 1,000,000</t>
  </si>
  <si>
    <t>Mcf (Natural Gas)</t>
  </si>
  <si>
    <t>CZ12</t>
  </si>
  <si>
    <t>On-site landfill gas - thermal</t>
  </si>
  <si>
    <t>Block charges per unit of consumption varying seasonally</t>
  </si>
  <si>
    <t>(cubic feet) x 1,000</t>
  </si>
  <si>
    <t>kcf (Natural Gas)</t>
  </si>
  <si>
    <t>CZ11</t>
  </si>
  <si>
    <t>On-site animal or organic waste - electric</t>
  </si>
  <si>
    <t>Block charges per unit of consumption and demand</t>
  </si>
  <si>
    <t>(cubic feet) x 100</t>
  </si>
  <si>
    <t>ccf (Natural Gas)</t>
  </si>
  <si>
    <t>CZ10</t>
  </si>
  <si>
    <t>On-site animal or organic waste - thermal</t>
  </si>
  <si>
    <t>Block Charges per unit of consumptoin</t>
  </si>
  <si>
    <t>cubic feet</t>
  </si>
  <si>
    <t>cf (Natural Gas)</t>
  </si>
  <si>
    <t>Wood</t>
  </si>
  <si>
    <t>Outputs(1) Building Performance</t>
  </si>
  <si>
    <t>CZ9</t>
  </si>
  <si>
    <t>On-site agricultural crops or waste - electric</t>
  </si>
  <si>
    <t>Time of Use Rates per unit of consumption and demand varying seasonally</t>
  </si>
  <si>
    <t>CZ8</t>
  </si>
  <si>
    <t>On-site agricultural crops or waste - thermal</t>
  </si>
  <si>
    <t>Time of Use Rates per unit of consumption varying seasonally</t>
  </si>
  <si>
    <t>ton</t>
  </si>
  <si>
    <t>CZ7</t>
  </si>
  <si>
    <t>On-site untreated wood waste - electric generator</t>
  </si>
  <si>
    <t>Time of Use Rates per unit of consumption and demand</t>
  </si>
  <si>
    <t>(British thermal unit per hour) x 1,000,000</t>
  </si>
  <si>
    <t>MMBTUH</t>
  </si>
  <si>
    <t>Ton Hours</t>
  </si>
  <si>
    <t>CZ6</t>
  </si>
  <si>
    <t>On-site untreated wood waste - thermal</t>
  </si>
  <si>
    <t>Time of Use Rates per unit of consumption</t>
  </si>
  <si>
    <t>Btuh x 10^6</t>
  </si>
  <si>
    <t>(Joules) x 1,000,000</t>
  </si>
  <si>
    <t>MJ</t>
  </si>
  <si>
    <t>Project EAp2 Summary</t>
  </si>
  <si>
    <t>rbDESAvg</t>
  </si>
  <si>
    <t>CZ5</t>
  </si>
  <si>
    <t>Geothermal electric system</t>
  </si>
  <si>
    <t>Fixed Rates per unit of consumption and demand varying seasonally</t>
  </si>
  <si>
    <t>Btuh x 10^3</t>
  </si>
  <si>
    <t>(British thermal unit) x 1,000,000</t>
  </si>
  <si>
    <t>rbDESguide</t>
  </si>
  <si>
    <t>CZ4</t>
  </si>
  <si>
    <t>Geothermal heating system (not geoexchange)</t>
  </si>
  <si>
    <t>Fixed Rates per unit of consumption and demand</t>
  </si>
  <si>
    <t>MBH</t>
  </si>
  <si>
    <t>Propane</t>
  </si>
  <si>
    <t>PRM_Outputs(2)</t>
  </si>
  <si>
    <t>TargetRow</t>
  </si>
  <si>
    <t>End Row</t>
  </si>
  <si>
    <t>Range Start Row</t>
  </si>
  <si>
    <t>Start Row</t>
  </si>
  <si>
    <t>Sheet</t>
  </si>
  <si>
    <t>rbDES</t>
  </si>
  <si>
    <t>A district cooling plant serves the buildings in this project, or an on-campus cooling plant provides heating to buildings outside of this project</t>
  </si>
  <si>
    <t>A district heating plant serves the buildings in this project, or an on-campus heating plant provides heating to buildings outside of this project</t>
  </si>
  <si>
    <t>CZ3</t>
  </si>
  <si>
    <t>Solar thermal system</t>
  </si>
  <si>
    <t>Fixed Rates per unit of consumption varying seasonally</t>
  </si>
  <si>
    <t>(British thermal unit) x 1,000</t>
  </si>
  <si>
    <t>kBtu</t>
  </si>
  <si>
    <t>PRM_Outputs(1)</t>
  </si>
  <si>
    <t>NumBuildings</t>
  </si>
  <si>
    <t>rbSiteRenewable</t>
  </si>
  <si>
    <t>A central cooling plant serves only the buildings in this project</t>
  </si>
  <si>
    <t>A central heating plant serves only buildings in this project</t>
  </si>
  <si>
    <t>One energy model. Submeter buildings</t>
  </si>
  <si>
    <t>CZ2</t>
  </si>
  <si>
    <t>Wind energy system</t>
  </si>
  <si>
    <t>Fixed Rates per unit of consumption</t>
  </si>
  <si>
    <t>square meters</t>
  </si>
  <si>
    <t>Megawatt</t>
  </si>
  <si>
    <t>MW</t>
  </si>
  <si>
    <t>Megawatt hour</t>
  </si>
  <si>
    <t>MWh</t>
  </si>
  <si>
    <t>All</t>
  </si>
  <si>
    <t>Number of Energy Sources</t>
  </si>
  <si>
    <t>rbOutputReporting</t>
  </si>
  <si>
    <t>Each building generates its own cooling</t>
  </si>
  <si>
    <t>Each building generates its own heating</t>
  </si>
  <si>
    <t>One model per building</t>
  </si>
  <si>
    <t>CZ1</t>
  </si>
  <si>
    <t>Photovoltaic system</t>
  </si>
  <si>
    <t>Default EIA Rates</t>
  </si>
  <si>
    <t>square feet</t>
  </si>
  <si>
    <t>Kilowatt hour</t>
  </si>
  <si>
    <t>BuildingNames</t>
  </si>
  <si>
    <t>Output Sheet Names</t>
  </si>
  <si>
    <t>Start Cells for Utility Data:</t>
  </si>
  <si>
    <t>Option Buttons:</t>
  </si>
  <si>
    <t>Energy Modeling Method:</t>
  </si>
  <si>
    <t>Energy End-Uses</t>
  </si>
  <si>
    <t>ClimateZones</t>
  </si>
  <si>
    <t>California Climate Zones</t>
  </si>
  <si>
    <t>ASHRAE Climate Zones</t>
  </si>
  <si>
    <t>Energy Code</t>
  </si>
  <si>
    <t>Simulation Program</t>
  </si>
  <si>
    <t>LEED Rating System</t>
  </si>
  <si>
    <t>Area Units</t>
  </si>
  <si>
    <t>Multiplier to convert to MBH</t>
  </si>
  <si>
    <t>Energy Demand Units</t>
  </si>
  <si>
    <t>Multiplier to convert to kBtu</t>
  </si>
  <si>
    <t>Site-to-source ratio</t>
  </si>
  <si>
    <t>Fuel Types</t>
  </si>
  <si>
    <t>Average Electrical COP</t>
  </si>
  <si>
    <t>Average Fuel COP</t>
  </si>
  <si>
    <t>Average District Heating Plant Efficiency for Project based on Building District Heating Peak Load (includes boilers, pumps). Use Max efficiency if central plant fuel source isn't defined, or maximum capacity is not listed.</t>
  </si>
  <si>
    <t>Building CHW Peak Baseline Load from PRM Outputs (use 1,200 tons if not yet entered, or if units are not entered for District Chilled Water Demand)</t>
  </si>
  <si>
    <t>BUILDING SPECIFIC DES CHW Average Efficiency:</t>
  </si>
  <si>
    <t>Oil-Fired</t>
  </si>
  <si>
    <t>Gas-Fired</t>
  </si>
  <si>
    <t>Fuel-type</t>
  </si>
  <si>
    <t>PHHWP</t>
  </si>
  <si>
    <t>Average Pump Efficiency 
(electricity kWh/chilled water kWh)</t>
  </si>
  <si>
    <t>Average Fuel Efficiency</t>
  </si>
  <si>
    <t>Min HHW Peak Load in this Range</t>
  </si>
  <si>
    <t>Oversize factor</t>
  </si>
  <si>
    <t>*Peak HHW Load assumes baseline HHW water system is 25% oversized, so it is 25% less than the chiller equipment thresholds in ASHRAE 90.1 Table 6.8</t>
  </si>
  <si>
    <t>Boiler and HHW Loop Pump Average Efficiency</t>
  </si>
  <si>
    <t>kW/kW</t>
  </si>
  <si>
    <t>1000 W/kW</t>
  </si>
  <si>
    <t>/</t>
  </si>
  <si>
    <t>gpm/kW</t>
  </si>
  <si>
    <t>=</t>
  </si>
  <si>
    <t>Calculated</t>
  </si>
  <si>
    <t>.</t>
  </si>
  <si>
    <t>HHW Pump Power</t>
  </si>
  <si>
    <t>84% Ec</t>
  </si>
  <si>
    <t>&gt;=2500000</t>
  </si>
  <si>
    <t>82% Et</t>
  </si>
  <si>
    <t>300,000 to 2,500,000</t>
  </si>
  <si>
    <t>80% AFUE</t>
  </si>
  <si>
    <t>&lt;300,000 Btuh</t>
  </si>
  <si>
    <t>Oil-Fired:</t>
  </si>
  <si>
    <t>82% Ec</t>
  </si>
  <si>
    <t>80% Et</t>
  </si>
  <si>
    <t>Gas-Fired:</t>
  </si>
  <si>
    <t>Boiler Efficiencies:</t>
  </si>
  <si>
    <t>Riding the pump curve for buildings less than 120,000 square feet</t>
  </si>
  <si>
    <t>Variable speed pumps for buildings with 120,000 square feet or more</t>
  </si>
  <si>
    <t>Variable primary pumping</t>
  </si>
  <si>
    <t>19 W/gpm pump power</t>
  </si>
  <si>
    <t>Relevant ASHRAE 90.1-2010 Requirements:</t>
  </si>
  <si>
    <t>Assume a capacity of 300,000 Btuh is roughly equivalent to a building size of 120,000 square feet (to allow average efficiency based on capacity range only rather than building size)</t>
  </si>
  <si>
    <t>Assume average part-load performance of 42% for secondary CHW pumps with VSD (above 300 tons capacity)</t>
  </si>
  <si>
    <t>Assume average part-load performance of 72% for secondary CHW pumps riding the curve (up to 300 tons capacity)</t>
  </si>
  <si>
    <t>Assume Average thermal efficiency (including part-load operation) = AFUE = Et = Ec)</t>
  </si>
  <si>
    <t>40 gpm / (Btuh*10^6) hot water flow (or 0.1366 gpm/kW) (based on 50 deg. loop delta T required by ASHRAE 90.1-2010)</t>
  </si>
  <si>
    <t>1500 Equivalent full load hours of HHW operation per year</t>
  </si>
  <si>
    <t>3,000 Hours of HHW Plant Operation per year</t>
  </si>
  <si>
    <t>Hot Water Assumptions Used to Derive Average Efficiencies:</t>
  </si>
  <si>
    <t>COP</t>
  </si>
  <si>
    <t>Average CHW Plant Efficiency for Project based on Building CHW Peak Load (includes chillers, cooling towers, condenser water pumps and chilled water pumps)</t>
  </si>
  <si>
    <t>Centrifugal</t>
  </si>
  <si>
    <t>Screw</t>
  </si>
  <si>
    <t>Tower Fans</t>
  </si>
  <si>
    <t>CWP3</t>
  </si>
  <si>
    <t>CWP2</t>
  </si>
  <si>
    <t>CWP1</t>
  </si>
  <si>
    <t>SCHWP</t>
  </si>
  <si>
    <t>PCHWP3</t>
  </si>
  <si>
    <t>PCHWP2</t>
  </si>
  <si>
    <t>PCHWP1</t>
  </si>
  <si>
    <t>Chillers</t>
  </si>
  <si>
    <t>IPLV (kW/kW)</t>
  </si>
  <si>
    <t>Type Chillers</t>
  </si>
  <si>
    <t>Qty Chillers</t>
  </si>
  <si>
    <t>Average COP</t>
  </si>
  <si>
    <t>Average chilled water system efficiency Cooling Energy Input Ratio (kWh/kWh)</t>
  </si>
  <si>
    <t>Min CHW Peak Load in this Range</t>
  </si>
  <si>
    <t>*columns below include conversion factor of 0.2844 to convert from kWh/ton-hr to kWh/kWh</t>
  </si>
  <si>
    <t>*Peak CHW Load assumes baseline chilled water system is 15% oversized, so it is 15% less than the chiller equipment thresholds in ASHRAE 90.1 Table 6.8</t>
  </si>
  <si>
    <t>Chiller Type, Quantity, and Efficiency, and Pump Consumption</t>
  </si>
  <si>
    <t>kW/ton</t>
  </si>
  <si>
    <t>gpm/ton</t>
  </si>
  <si>
    <t>-</t>
  </si>
  <si>
    <t>Secondary CHW Pump Power</t>
  </si>
  <si>
    <t>Primary CHW Pump Power</t>
  </si>
  <si>
    <t>CW Pump Power</t>
  </si>
  <si>
    <t>kWh/ton-hr</t>
  </si>
  <si>
    <t>Equivalent Full Load Hours of Operation</t>
  </si>
  <si>
    <t>Hours of Operation</t>
  </si>
  <si>
    <t>Average efficiency</t>
  </si>
  <si>
    <t>kW/hp</t>
  </si>
  <si>
    <t>fan motor efficiency</t>
  </si>
  <si>
    <t>gpm/hp</t>
  </si>
  <si>
    <t>Cooling Tower Fans</t>
  </si>
  <si>
    <t>ASHRAE 90.1 Appendix G requirement (assume Chiller Path A, Use IPLV)</t>
  </si>
  <si>
    <t>3 Chillers</t>
  </si>
  <si>
    <t>2 Chillers</t>
  </si>
  <si>
    <t>1 Chiller</t>
  </si>
  <si>
    <t>CWP3+</t>
  </si>
  <si>
    <t>PCHWP3+</t>
  </si>
  <si>
    <t>Chiller 3</t>
  </si>
  <si>
    <t>Chiller 2</t>
  </si>
  <si>
    <t>Chiller 1</t>
  </si>
  <si>
    <t>EFLH:</t>
  </si>
  <si>
    <t>Total Annual Hours:</t>
  </si>
  <si>
    <t>Hours of Operation Assumed:</t>
  </si>
  <si>
    <t>Assume 50% of CHW pump power is used in primary loop, 50% in secondary loop</t>
  </si>
  <si>
    <t xml:space="preserve">   (source: VSDs and their Effect on System Components (http://www.trane.com/Commercial/Uploads/PDF/ContinuingEducation/ENL_VSDsystemeffects_handouts.pdf)</t>
  </si>
  <si>
    <t>Assume 2-speed cooling towers use 38% of the energy that a 1-speed cooling tower would use</t>
  </si>
  <si>
    <t>Assume IPLV = Average chiller efficiency (kWh/ton-hr)</t>
  </si>
  <si>
    <t>3 gpm/ton Chilled Water (ARI conditions)</t>
  </si>
  <si>
    <t>90% fan motor efficiency for cooling tower</t>
  </si>
  <si>
    <t>2 gpm/ton Chilled Water (ARI conditions)</t>
  </si>
  <si>
    <t>1500 Equivalent full load hours of CHW operation per year</t>
  </si>
  <si>
    <t>3,000 Hours of CHW Plant Operation per year</t>
  </si>
  <si>
    <t>Chilled Water Assumptions Used to Derive Average Efficiencies:</t>
  </si>
  <si>
    <t>Quality Assurance Checks</t>
  </si>
  <si>
    <t xml:space="preserve">* Economizer high-limit shutoff </t>
  </si>
  <si>
    <t>Assembly
C-factor</t>
  </si>
  <si>
    <t>Assembly 
F-factor</t>
  </si>
  <si>
    <t>IP</t>
  </si>
  <si>
    <t>SI</t>
  </si>
  <si>
    <t>R-2.6 c.i. insulation entirely above deck with a U-factor of 0.360</t>
  </si>
  <si>
    <t>R-3.5 c.i. insulation entirely above deck with a U-factor of 0.273</t>
  </si>
  <si>
    <t>R-0.7 c.i. insulation entirely above deck with a U-factor of 1.240</t>
  </si>
  <si>
    <t>1A (IP)</t>
  </si>
  <si>
    <t>1A (SI)</t>
  </si>
  <si>
    <t>steel-framed with R-2.3 cavity insulation with a U-factor of 0.705</t>
  </si>
  <si>
    <t>steel-framed with no insulation with a U-factor of 1.998</t>
  </si>
  <si>
    <t>205 mm medium weight concrete block with solid grouted cores and no insulation with a C-factor of 6.473</t>
  </si>
  <si>
    <t>steel-joist with no insulation with a U-factor of 1.986</t>
  </si>
  <si>
    <t>150 mm concrete slabs with no insulation with an F-factor of 1.264</t>
  </si>
  <si>
    <t>U-factor of 3.975</t>
  </si>
  <si>
    <t>U-factor of 8.233</t>
  </si>
  <si>
    <t>U-0.360</t>
  </si>
  <si>
    <t>U-0.273</t>
  </si>
  <si>
    <t>U-1.240</t>
  </si>
  <si>
    <t>U-0.705</t>
  </si>
  <si>
    <t>U-1.998</t>
  </si>
  <si>
    <t>C-6.473</t>
  </si>
  <si>
    <t>U-1.986</t>
  </si>
  <si>
    <t>F-1.264</t>
  </si>
  <si>
    <t>U-3.975</t>
  </si>
  <si>
    <t>U-8.233</t>
  </si>
  <si>
    <t>steel-framed with R-2.3 cavity and R-1.3 continuous insulation with a U-factor of 0.365</t>
  </si>
  <si>
    <t>steel-joist with R-3.3 insulation with a U-factor of 0.296</t>
  </si>
  <si>
    <t>steel-joist with R-2.3 insulation with a U-factor of 0.390</t>
  </si>
  <si>
    <t>U-factor of 2.839</t>
  </si>
  <si>
    <t>U-0.365</t>
  </si>
  <si>
    <t>U-0.296</t>
  </si>
  <si>
    <t>U-0.390</t>
  </si>
  <si>
    <t>U-2.839</t>
  </si>
  <si>
    <t>R-0.9 c.i. insulation entirely above deck with a U-factor of 0.982</t>
  </si>
  <si>
    <t>steel-framed with R-2.3 cavity and R-0.7 continuous insulation with a U-factor of 0.479</t>
  </si>
  <si>
    <t>U-0.982</t>
  </si>
  <si>
    <t>U-0.479</t>
  </si>
  <si>
    <t>205 mm medium weight concrete block with solid grouted cores and R-1.3 continuous insulation with a C-factor of 0.678</t>
  </si>
  <si>
    <t>steel-joist with R-5.3 insulation with a U-factor of 0.214</t>
  </si>
  <si>
    <t>C-0.678</t>
  </si>
  <si>
    <t>U-0.214</t>
  </si>
  <si>
    <t>U- 0.296</t>
  </si>
  <si>
    <t>R-1.8 insulation entirely above deck with a U-factor of 0.527</t>
  </si>
  <si>
    <t>steel-joist with R-6.7 insulation with a U-factor of 0.183</t>
  </si>
  <si>
    <t>150 mm concrete slabs with R-2.6 insulation for 600 mm with an F-factor of 0.900</t>
  </si>
  <si>
    <t>U-0.527</t>
  </si>
  <si>
    <t>U-0.183</t>
  </si>
  <si>
    <t>F-0.900</t>
  </si>
  <si>
    <t>steel-framed with R-2.3 cavity and R-2.7 continuous insulation with a U-factor of 0.240</t>
  </si>
  <si>
    <t>205 mm medium weight concrete block with solid grouted cores and R-1.8 continuous insulation with a C-factor of 0.522</t>
  </si>
  <si>
    <t>U-0.240</t>
  </si>
  <si>
    <t>C-0.522</t>
  </si>
  <si>
    <t>steel-framed with R-2.3 cavity and R-3.3 continuous insulation with a U-factor of 0.212</t>
  </si>
  <si>
    <t>205 mm medium weight concrete block with solid grouted cores and R-2.2 continuous insulation with a C-factor of 0.425</t>
  </si>
  <si>
    <t>150 mm concrete slabs with R-3.5 insulation for 600 mm with an F-factor of 0.883</t>
  </si>
  <si>
    <t>U-0.212</t>
  </si>
  <si>
    <t>C-0.425</t>
  </si>
  <si>
    <t>F-0.883</t>
  </si>
  <si>
    <t>NR</t>
  </si>
  <si>
    <t>1B (IP)</t>
  </si>
  <si>
    <t>2A (IP)</t>
  </si>
  <si>
    <t>2B (IP)</t>
  </si>
  <si>
    <t>3A (IP)</t>
  </si>
  <si>
    <t>3B (IP)</t>
  </si>
  <si>
    <t>3C (IP)</t>
  </si>
  <si>
    <t>4A (IP)</t>
  </si>
  <si>
    <t>4B (IP)</t>
  </si>
  <si>
    <t>4C (IP)</t>
  </si>
  <si>
    <t>5A (IP)</t>
  </si>
  <si>
    <t>5B (IP)</t>
  </si>
  <si>
    <t>5C (IP)</t>
  </si>
  <si>
    <t>6A (IP)</t>
  </si>
  <si>
    <t>6B (IP)</t>
  </si>
  <si>
    <t>7A (IP)</t>
  </si>
  <si>
    <t>7B (IP)</t>
  </si>
  <si>
    <t>8 (IP)</t>
  </si>
  <si>
    <t>8 (SI)</t>
  </si>
  <si>
    <t>7B (SI)</t>
  </si>
  <si>
    <t>7A (SI)</t>
  </si>
  <si>
    <t>6B (SI)</t>
  </si>
  <si>
    <t>6A (SI)</t>
  </si>
  <si>
    <t>5C (SI)</t>
  </si>
  <si>
    <t>5B (SI)</t>
  </si>
  <si>
    <t>5A (SI)</t>
  </si>
  <si>
    <t>4C (SI)</t>
  </si>
  <si>
    <t>4B (SI)</t>
  </si>
  <si>
    <t>4A (SI)</t>
  </si>
  <si>
    <t>3C (SI)</t>
  </si>
  <si>
    <t>3B (SI)</t>
  </si>
  <si>
    <t>3A (SI)</t>
  </si>
  <si>
    <t>2B (SI)</t>
  </si>
  <si>
    <t>2A (SI)</t>
  </si>
  <si>
    <t>1B (SI)</t>
  </si>
  <si>
    <t>Opaque Doors - Swinging</t>
  </si>
  <si>
    <t>Opaque Doors - Nonswinging</t>
  </si>
  <si>
    <t>Opaque Doors - Nonwwinging</t>
  </si>
  <si>
    <t>A</t>
  </si>
  <si>
    <t>B</t>
  </si>
  <si>
    <t>C</t>
  </si>
  <si>
    <t>D</t>
  </si>
  <si>
    <t>E</t>
  </si>
  <si>
    <t>F</t>
  </si>
  <si>
    <t>(W/sq ft)</t>
  </si>
  <si>
    <t>(W/sq m)</t>
  </si>
  <si>
    <t>Required for all systems</t>
  </si>
  <si>
    <t>Required for Systems 5-8</t>
  </si>
  <si>
    <t>Required for Systems 9 and 10</t>
  </si>
  <si>
    <t>Required for Systems 5 and 7</t>
  </si>
  <si>
    <t>Required for Systems 6 and 8</t>
  </si>
  <si>
    <t>Note: Any credit for improved process equipment must be submitted using the Exceptional Calculation Method.</t>
  </si>
  <si>
    <t>Primary or DES plant CHW pump flow</t>
  </si>
  <si>
    <t>Primary or DES plant CHW pump control</t>
  </si>
  <si>
    <t>Number of secondary or building booster CHW pumps</t>
  </si>
  <si>
    <t>Secondary or building booster CHW pump flow</t>
  </si>
  <si>
    <t>Secondary or building booster CHW pump control</t>
  </si>
  <si>
    <t>Number of primary or DES plant HHW pumps</t>
  </si>
  <si>
    <t>Primary or DES plant HHW pump flow</t>
  </si>
  <si>
    <t>Primary or DES plant HHW pump control</t>
  </si>
  <si>
    <t>Number of secondary or building booster HHW pumps</t>
  </si>
  <si>
    <t>Secondary or building booster HHW pump power</t>
  </si>
  <si>
    <t>Secondary or building booster HHW pump flow</t>
  </si>
  <si>
    <t>Secondary or building booster HHW pump control</t>
  </si>
  <si>
    <t>$</t>
  </si>
  <si>
    <t>Number of primary or DES plant CHW pumps</t>
  </si>
  <si>
    <t>Applicability to Project</t>
  </si>
  <si>
    <t>Project-Specific 
Secondary System</t>
  </si>
  <si>
    <t>Project-Specific 
Primary Systems</t>
  </si>
  <si>
    <t>• No DES
• ASHRAE 90.1 (Path 1)
• Full DES (Path 2)</t>
  </si>
  <si>
    <t>• ASHRAE 90.1 (Path 1)
• Streamlined DES (Path 3)
• District Cooling Only</t>
  </si>
  <si>
    <t>• ASHRAE 90.1 (Path 1)
• Streamlined DES (Path 3)
• District Heating Only</t>
  </si>
  <si>
    <t>• ASHRAE 90.1 (Path 1)
• Streamlined DES (Path 3)
• District Cooling and Heating</t>
  </si>
  <si>
    <t>Systems</t>
  </si>
  <si>
    <t>Multiplier 
x Motor Efficiency</t>
  </si>
  <si>
    <t>Motor Horsepower Nominal Efficiency</t>
  </si>
  <si>
    <t>Energy Model Information</t>
  </si>
  <si>
    <t>Unit of measurement</t>
  </si>
  <si>
    <t>Opaque Assemblies</t>
  </si>
  <si>
    <t>Shading and Fenestration</t>
  </si>
  <si>
    <t>Process Loads</t>
  </si>
  <si>
    <t>Unfinished Spaces</t>
  </si>
  <si>
    <t>System 7 (District Heating &amp; Cooling) - VAV with Reheat</t>
  </si>
  <si>
    <t>System 1 (District Cooling) - 4-pipe CV Fan Coil with HW Boiler</t>
  </si>
  <si>
    <t>System 2 (District Cooling) - 4-pipe CV Fan Coil with HW Boiler</t>
  </si>
  <si>
    <t>System 1 (District Heating &amp; Cooling) - 4-pipe CV Fan Coil</t>
  </si>
  <si>
    <t>Water-Side HVAC</t>
  </si>
  <si>
    <t>Air-Side HVAC</t>
  </si>
  <si>
    <t>Trigger</t>
  </si>
  <si>
    <t/>
  </si>
  <si>
    <t>Enclosed parking garage ventilation systems automatically detect contaminant levels and modulate fan airflows rates to 50% or less of design capacity per Section 6.4.3.4.5</t>
  </si>
  <si>
    <t>Rating System Variation</t>
  </si>
  <si>
    <t>District Energy Systems</t>
  </si>
  <si>
    <r>
      <t>Instructions:</t>
    </r>
    <r>
      <rPr>
        <sz val="10"/>
        <color indexed="8"/>
        <rFont val="Arial"/>
        <family val="2"/>
      </rPr>
      <t xml:space="preserve"> Provide the following shading and orientation information. An example of the expected level of detail has been provided for each input. For any information not applicable to the project, simply enter "N/A".</t>
    </r>
  </si>
  <si>
    <r>
      <t xml:space="preserve">Instructions: </t>
    </r>
    <r>
      <rPr>
        <sz val="10"/>
        <color indexed="8"/>
        <rFont val="Arial"/>
        <family val="2"/>
      </rPr>
      <t>Select the method(s) used to model receptacle equipment, and then complete the corresponding receptacle equipment table(s). Non-receptacle process equipment should be reported in the last table. Please refer to the column header notes for information about Appendix G modeling protocol. For any information not applicable to the project, simply enter "N/A".</t>
    </r>
  </si>
  <si>
    <r>
      <t>Instructions:</t>
    </r>
    <r>
      <rPr>
        <sz val="10"/>
        <color indexed="8"/>
        <rFont val="Arial"/>
        <family val="2"/>
      </rPr>
      <t xml:space="preserve"> Confirm that the energy model complies with the General HVAC requirements listed, and provide a narrative explaining any discrepancies. Select the types of water-side systems that are installed on the project site (proposed). Describe each type of HVAC system in the proposed. Select the applicable baseline HVAC system type(s). Confirm that each of the HVAC modeling requirements have been incorporated into the energy models. Please refer to the column header notes for information about Appendix G modeling protocol. For any information not applicable to the project, simply enter "N/A". </t>
    </r>
  </si>
  <si>
    <t>Process Load Requirements</t>
  </si>
  <si>
    <t>conditional final t/f</t>
  </si>
  <si>
    <t>number search 1</t>
  </si>
  <si>
    <t>number search 2</t>
  </si>
  <si>
    <t>New Construction</t>
  </si>
  <si>
    <t>Site-generated renewable energy?</t>
  </si>
  <si>
    <t>Exceptional Calculations?</t>
  </si>
  <si>
    <t>(</t>
  </si>
  <si>
    <t>Units Spelled Out</t>
  </si>
  <si>
    <t>Thresholds per Rating System:</t>
  </si>
  <si>
    <t>NC</t>
  </si>
  <si>
    <t>CS</t>
  </si>
  <si>
    <t>Core and Shell</t>
  </si>
  <si>
    <t>Schools - New Construction</t>
  </si>
  <si>
    <t>Retail - New Construction</t>
  </si>
  <si>
    <t>Data Centers - New Construction</t>
  </si>
  <si>
    <t>Warehouses and Distribution Centers - New Construction</t>
  </si>
  <si>
    <t>Hospitality - New Construction</t>
  </si>
  <si>
    <t>Healthcare</t>
  </si>
  <si>
    <t>Heat Pump Supplementary</t>
  </si>
  <si>
    <t>contribution rank</t>
  </si>
  <si>
    <t>Rank with ties</t>
  </si>
  <si>
    <t>rank no ties</t>
  </si>
  <si>
    <t>multiplier to convert to therm</t>
  </si>
  <si>
    <t>Fan power adjustments (Systems 9 through 10)</t>
  </si>
  <si>
    <t>Non-mechanical cooling fan - additional fan power allowance</t>
  </si>
  <si>
    <t>System Number</t>
  </si>
  <si>
    <t>cfm (IP)</t>
  </si>
  <si>
    <t>L/s (SI)</t>
  </si>
  <si>
    <t>Motor Horsepower (IP)</t>
  </si>
  <si>
    <t>Motor 
Kilowatts (SI)</t>
  </si>
  <si>
    <t>Fan Power Multiplier (p)</t>
  </si>
  <si>
    <t>Q = fan flow</t>
  </si>
  <si>
    <t>Allowed Fan Power: Power = p x Q + A</t>
  </si>
  <si>
    <t>Multiply
x A</t>
  </si>
  <si>
    <t>Additional fan power for non-mechanical coolling</t>
  </si>
  <si>
    <t>Multiplier to convert from input power to allowable fan power</t>
  </si>
  <si>
    <t>Total modeled exterior lighting power, including base allowance, based on inputs above (kW)</t>
  </si>
  <si>
    <t xml:space="preserve">Rated Capacity </t>
  </si>
  <si>
    <t>Total building consumption by end-use</t>
  </si>
  <si>
    <t>Site energy consumption units used to report energy consumption totals (sum of energy types)</t>
  </si>
  <si>
    <t>Source energy consumption units used to report energy consumption totals (sum of energy types)</t>
  </si>
  <si>
    <t>Site Energy Use (Units shown per energy type)</t>
  </si>
  <si>
    <r>
      <t>PUE</t>
    </r>
    <r>
      <rPr>
        <vertAlign val="subscript"/>
        <sz val="10"/>
        <rFont val="Arial"/>
        <family val="2"/>
      </rPr>
      <t>3</t>
    </r>
  </si>
  <si>
    <t>Energy Modeling Output Reporting Method</t>
  </si>
  <si>
    <t>Performance Rating Method Compliance Report</t>
  </si>
  <si>
    <t>Unmet Loads</t>
  </si>
  <si>
    <t>Table: Streamlined DES Accounting Method (DES Path 3) - District Energy Allocation to Project Based on Average Efficiencies</t>
  </si>
  <si>
    <t>Data Center - Performance Rating Method Results</t>
  </si>
  <si>
    <t>Data Center Avg.</t>
  </si>
  <si>
    <t>Data Center</t>
  </si>
  <si>
    <t>Energy Sources</t>
  </si>
  <si>
    <t>Exceptional Calculation Methods</t>
  </si>
  <si>
    <r>
      <rPr>
        <b/>
        <i/>
        <sz val="10"/>
        <rFont val="Arial"/>
        <family val="2"/>
      </rPr>
      <t>DES Path 1:</t>
    </r>
    <r>
      <rPr>
        <b/>
        <sz val="10"/>
        <rFont val="Arial"/>
        <family val="2"/>
      </rPr>
      <t xml:space="preserve"> </t>
    </r>
    <r>
      <rPr>
        <sz val="10"/>
        <rFont val="Arial"/>
        <family val="2"/>
      </rPr>
      <t xml:space="preserve">If the project is using campus or district thermal energy using </t>
    </r>
    <r>
      <rPr>
        <i/>
        <sz val="10"/>
        <rFont val="Arial"/>
        <family val="2"/>
      </rPr>
      <t>ASHRAE 90.1-2010 without Addenda (District Energy Modeling Path 1)</t>
    </r>
    <r>
      <rPr>
        <sz val="10"/>
        <rFont val="Arial"/>
        <family val="2"/>
      </rPr>
      <t xml:space="preserve">, select District Cooling, District Hot Water, or District Steam as applicable and all other energy sources serving the building </t>
    </r>
    <r>
      <rPr>
        <b/>
        <i/>
        <sz val="12"/>
        <color rgb="FFFF0000"/>
        <rFont val="Calibri"/>
        <family val="2"/>
      </rPr>
      <t/>
    </r>
  </si>
  <si>
    <r>
      <rPr>
        <b/>
        <i/>
        <sz val="10"/>
        <rFont val="Arial"/>
        <family val="2"/>
      </rPr>
      <t>DES Path 3:</t>
    </r>
    <r>
      <rPr>
        <b/>
        <sz val="10"/>
        <rFont val="Arial"/>
        <family val="2"/>
      </rPr>
      <t xml:space="preserve"> </t>
    </r>
    <r>
      <rPr>
        <sz val="10"/>
        <rFont val="Arial"/>
        <family val="2"/>
      </rPr>
      <t xml:space="preserve">If the project is modeling campus or district thermal energy using the </t>
    </r>
    <r>
      <rPr>
        <i/>
        <sz val="10"/>
        <rFont val="Arial"/>
        <family val="2"/>
      </rPr>
      <t>Streamlined DES Accounting Method (District Energy Modeling Path 3)</t>
    </r>
    <r>
      <rPr>
        <sz val="10"/>
        <rFont val="Arial"/>
        <family val="2"/>
      </rPr>
      <t xml:space="preserve">, select District Cooling, District Hot Water, or District Steam as applicable, AND each energy source serving the building, AND each energy source in the district or campus plant if different from the energy sources serving the building (e.g. electricity, natural gas, etc.).
</t>
    </r>
    <r>
      <rPr>
        <b/>
        <i/>
        <sz val="12"/>
        <color rgb="FFFF0000"/>
        <rFont val="Calibri"/>
        <family val="2"/>
      </rPr>
      <t/>
    </r>
  </si>
  <si>
    <t>Select how any unfinished spaces have been modeled</t>
  </si>
  <si>
    <t>Skylights - Ufactor</t>
  </si>
  <si>
    <t>Skylights - SHGC</t>
  </si>
  <si>
    <r>
      <t xml:space="preserve">All </t>
    </r>
    <r>
      <rPr>
        <b/>
        <i/>
        <sz val="10"/>
        <color indexed="8"/>
        <rFont val="Arial"/>
        <family val="2"/>
      </rPr>
      <t>proposed</t>
    </r>
    <r>
      <rPr>
        <sz val="10"/>
        <color indexed="8"/>
        <rFont val="Arial"/>
        <family val="2"/>
      </rPr>
      <t xml:space="preserve"> roofs, above-grade exterior walls, below-grade exterior walls, exposed floors, slab-on-grade floors, and opaque doors were modeled as-designed and with assembly U-factors, C-factors, and F-factors consistent with Appendix A values.</t>
    </r>
  </si>
  <si>
    <r>
      <t xml:space="preserve">Instructions: </t>
    </r>
    <r>
      <rPr>
        <sz val="10"/>
        <color indexed="8"/>
        <rFont val="Arial"/>
        <family val="2"/>
      </rPr>
      <t>Complete the Opaque Building Envelope Requirements section, then describe each unique opaque building envelope construction on a separate row in the Opaque Building Envelope Constructions table. Please refer to the column header notes for information about Appendix G modeling protocol. For any information not applicable to the project, simply enter "N/A". Baseline information will autogenerate for new construction when the space conditioning category is selected.</t>
    </r>
  </si>
  <si>
    <r>
      <t xml:space="preserve">Instructions: </t>
    </r>
    <r>
      <rPr>
        <sz val="10"/>
        <color indexed="8"/>
        <rFont val="Arial"/>
        <family val="2"/>
      </rPr>
      <t>Describe each unique fenestration assembly on a separate row in the following table. Please refer to the column header notes for information about Appendix G modeling protocol. For any information not applicable to the project, simply enter "N/A". Baseline information will autogenerate for new construction.</t>
    </r>
  </si>
  <si>
    <r>
      <t xml:space="preserve">All </t>
    </r>
    <r>
      <rPr>
        <b/>
        <i/>
        <sz val="10"/>
        <rFont val="Arial"/>
        <family val="2"/>
      </rPr>
      <t>baseline</t>
    </r>
    <r>
      <rPr>
        <sz val="10"/>
        <rFont val="Arial"/>
        <family val="2"/>
      </rPr>
      <t xml:space="preserve"> single zone systems have been modeled with a separate HVAC system for each thermal block per G3.1.1.</t>
    </r>
  </si>
  <si>
    <r>
      <t xml:space="preserve">All </t>
    </r>
    <r>
      <rPr>
        <b/>
        <i/>
        <sz val="10"/>
        <rFont val="Arial"/>
        <family val="2"/>
      </rPr>
      <t>baseline</t>
    </r>
    <r>
      <rPr>
        <sz val="10"/>
        <rFont val="Arial"/>
        <family val="2"/>
      </rPr>
      <t xml:space="preserve"> VAV systems have been modeled with an HVAC system per floor, or one system per group of thermodynamically similar floors per G3.1.1.</t>
    </r>
  </si>
  <si>
    <r>
      <t xml:space="preserve">All applicable </t>
    </r>
    <r>
      <rPr>
        <b/>
        <i/>
        <sz val="10"/>
        <rFont val="Arial"/>
        <family val="2"/>
      </rPr>
      <t>baseline</t>
    </r>
    <r>
      <rPr>
        <sz val="10"/>
        <rFont val="Arial"/>
        <family val="2"/>
      </rPr>
      <t xml:space="preserve"> exceptions to G3.1.1 have been implemented. Note that these exceptions are required, not optional.</t>
    </r>
  </si>
  <si>
    <r>
      <t xml:space="preserve">Where </t>
    </r>
    <r>
      <rPr>
        <b/>
        <i/>
        <sz val="10"/>
        <rFont val="Arial"/>
        <family val="2"/>
      </rPr>
      <t xml:space="preserve">baseline or proposed </t>
    </r>
    <r>
      <rPr>
        <sz val="10"/>
        <rFont val="Arial"/>
        <family val="2"/>
      </rPr>
      <t>efficiency ratings for DX cooling equipment, such as EER and COP, include fan energy, the descriptor is broken down into its components so that supply fan energy can be modeled separately per G3.1.2.1.</t>
    </r>
  </si>
  <si>
    <r>
      <t xml:space="preserve">All </t>
    </r>
    <r>
      <rPr>
        <b/>
        <i/>
        <sz val="10"/>
        <rFont val="Arial"/>
        <family val="2"/>
      </rPr>
      <t>baseline</t>
    </r>
    <r>
      <rPr>
        <sz val="10"/>
        <rFont val="Arial"/>
        <family val="2"/>
      </rPr>
      <t xml:space="preserve"> system cooling capacities auto-sized with 15% oversizing per G3.1.2.2 (at the system or plant level, but not both).</t>
    </r>
  </si>
  <si>
    <r>
      <t xml:space="preserve">All </t>
    </r>
    <r>
      <rPr>
        <b/>
        <i/>
        <sz val="10"/>
        <rFont val="Arial"/>
        <family val="2"/>
      </rPr>
      <t>baseline</t>
    </r>
    <r>
      <rPr>
        <sz val="10"/>
        <rFont val="Arial"/>
        <family val="2"/>
      </rPr>
      <t xml:space="preserve"> system heating capacities auto-sized with 25% oversizing per G3.1.2.2 (at the system or plant level, but not both).</t>
    </r>
  </si>
  <si>
    <r>
      <t xml:space="preserve">All </t>
    </r>
    <r>
      <rPr>
        <b/>
        <i/>
        <sz val="10"/>
        <rFont val="Arial"/>
        <family val="2"/>
      </rPr>
      <t>baseline</t>
    </r>
    <r>
      <rPr>
        <sz val="10"/>
        <rFont val="Arial"/>
        <family val="2"/>
      </rPr>
      <t xml:space="preserve"> systems are modeled with zero outside airflow when fans are cycled to meet unoccupied setback temperatures.</t>
    </r>
  </si>
  <si>
    <r>
      <t xml:space="preserve">All </t>
    </r>
    <r>
      <rPr>
        <b/>
        <i/>
        <sz val="10"/>
        <rFont val="Arial"/>
        <family val="2"/>
      </rPr>
      <t>baseline</t>
    </r>
    <r>
      <rPr>
        <sz val="10"/>
        <rFont val="Arial"/>
        <family val="2"/>
      </rPr>
      <t xml:space="preserve"> heat pumps modeled with electric auxiliary heat only energized below 40°F (4°C) and as the last thermostat stage per G3.1.3.1 (compressor still enabled below 40°F (4°C)). The compressor continues to operate in conjunction with the electric auxiliary heat as low as 17°F(-8.3°C), in accordance with the Baseline equipment efficiency ratings from ASHRAE 90.1 Section 6.8.  See ASHRAE Interpretation 90.1-2007-09 for more information.</t>
    </r>
  </si>
  <si>
    <r>
      <t xml:space="preserve">All </t>
    </r>
    <r>
      <rPr>
        <b/>
        <i/>
        <sz val="10"/>
        <rFont val="Arial"/>
        <family val="2"/>
      </rPr>
      <t>baseline</t>
    </r>
    <r>
      <rPr>
        <sz val="10"/>
        <rFont val="Arial"/>
        <family val="2"/>
      </rPr>
      <t xml:space="preserve"> VAV systems modeled with supply air temperature reset of 5°F (2.3°C) under minimum cooling load conditions per G3.1.3.12.</t>
    </r>
  </si>
  <si>
    <r>
      <t xml:space="preserve">All </t>
    </r>
    <r>
      <rPr>
        <b/>
        <i/>
        <sz val="10"/>
        <rFont val="Arial"/>
        <family val="2"/>
      </rPr>
      <t>baseline</t>
    </r>
    <r>
      <rPr>
        <sz val="10"/>
        <rFont val="Arial"/>
        <family val="2"/>
      </rPr>
      <t xml:space="preserve"> VAV reheat boxes modeled with a minimum flow setpoint of 30% of peak zone flow (or minimum outdoor airflow rate or code required rate) per G3.1.3.13.</t>
    </r>
  </si>
  <si>
    <r>
      <t xml:space="preserve">All </t>
    </r>
    <r>
      <rPr>
        <b/>
        <i/>
        <sz val="10"/>
        <rFont val="Arial"/>
        <family val="2"/>
      </rPr>
      <t>baseline</t>
    </r>
    <r>
      <rPr>
        <sz val="10"/>
        <rFont val="Arial"/>
        <family val="2"/>
      </rPr>
      <t xml:space="preserve"> fans in parallel VAV fan-powered boxes sized for 50% of peak primary airflow and modeled with 0.35 W/cfm (0.74 W/L/s) fan power and a minimum flow setpoint of 30% of peak (or minimum ventilation rate) per G3.1.3.14.</t>
    </r>
  </si>
  <si>
    <t>For each item entered as “No” above, describe the applicable ASHRAE 90.1 Appendix G exception(s) that apply, or the circumstances preventing the HVAC parameters from being modeled as required, or for proposed parameters, details confirming that the proposed model appropriately represents the actual building design. If the energy simulation software is not capable of modeling the required parameters, describe the adjustments that were made to provide a thermodynamically similar representation of the system or provide a narrative justifying why the predicted energy performance results will not be influenced.</t>
  </si>
  <si>
    <r>
      <t xml:space="preserve">Instructions: </t>
    </r>
    <r>
      <rPr>
        <sz val="10"/>
        <color indexed="8"/>
        <rFont val="Arial"/>
        <family val="2"/>
      </rPr>
      <t>Enter all applicable input parameters for the baseline and proposed water-side HVAC systems below. All systems included in the model should be entered. Please refer to the row header notes for information about Appendix G modeling protocol. For any information not applicable to the project, simply enter "N/A". If taking credit for a campus or district plant efficiency using the DES Path 2 or 3 Guidance, please include all relevant information regarding the District Plant equipment in the proposed Case.</t>
    </r>
  </si>
  <si>
    <t>Complete the baseline results for each of the four building orientations, in addition to the proposed results.</t>
  </si>
  <si>
    <t>Report the averaged baseline results, in addition to the proposed results. In the EAp2 form uploads, provide simulation output summaries from the simulation output software that include the energy consumption by end-use, total energy consumption by energy type, and total energy cost by energy type, reported separately  for each of the four baseline rotations, and the average baseline energy consumption by end-use, energy consumption by energy type, and energy cost by energy type. (The simulation software must report this average as a standard report in order to use this option).</t>
  </si>
  <si>
    <t xml:space="preserve">The project is not required to simulate four baseline orientations because (a) the vertical fenestration area on each orientation varies by less than 5%, (b) the energy code used does not require simulation of four baseline orientations, or (c) the building is more than 50% existing based on conditioned floor area. Report the non-rotated baseline results, in addition to the proposed results.
</t>
  </si>
  <si>
    <t>The project is not required to simulate four baseline orientations because the building orientation is dictated by site consideration, as allowed by Table G3.1.5 (a) (baseline) Exception 1. Report the non-rotated baseline results, in addition to the proposed results.</t>
  </si>
  <si>
    <t>Complete the table below for the proposed, providing information on baseline energy consumption and peak demand by end-use. This data will be used to autopopulate the Performance tables below. If an end-use has two energy types (e.g. proposed space heating includes both fossil fuel and electric), enter the end-use twice in the table, and list the two different energy types.</t>
  </si>
  <si>
    <r>
      <rPr>
        <b/>
        <sz val="10"/>
        <rFont val="Arial"/>
        <family val="2"/>
      </rPr>
      <t xml:space="preserve">Full DES Performance Accounting method (District Energy Modeling Path 2): </t>
    </r>
    <r>
      <rPr>
        <sz val="10"/>
        <rFont val="Arial"/>
        <family val="2"/>
      </rPr>
      <t xml:space="preserve">Report the baseline energy as if the thermal energy is produced in the building.  Report the proposed energy used to generate and distribute the district thermal energy serving the building based on calculated average district thermal efficiencies (e.g. report the electricity used to generate and distribute chilled water to the building).
</t>
    </r>
    <r>
      <rPr>
        <b/>
        <sz val="10"/>
        <rFont val="Arial"/>
        <family val="2"/>
      </rPr>
      <t/>
    </r>
  </si>
  <si>
    <r>
      <rPr>
        <b/>
        <sz val="10"/>
        <rFont val="Arial"/>
        <family val="2"/>
      </rPr>
      <t>Data Centers:</t>
    </r>
    <r>
      <rPr>
        <sz val="10"/>
        <rFont val="Arial"/>
        <family val="2"/>
      </rPr>
      <t xml:space="preserve"> The energy consumption for IT equipment must be metered and reported separately from other end-uses in the energy model, and in the tables below to allow the proper determination of the PUE. Complete the table below for the baseline using the full build-out IT loads for the proposed design.
</t>
    </r>
    <r>
      <rPr>
        <b/>
        <sz val="10"/>
        <rFont val="Arial"/>
        <family val="2"/>
      </rPr>
      <t/>
    </r>
  </si>
  <si>
    <t>Proposed Energy Consumption 
with Exceptional Calculation Methods</t>
  </si>
  <si>
    <t>Proposed with On-Site Renewable Energy</t>
  </si>
  <si>
    <t>Roof Solar Reflectance and Thermal Emittance</t>
  </si>
  <si>
    <t>Other (Please Specify)</t>
  </si>
  <si>
    <t>Conversions for QC</t>
  </si>
  <si>
    <t>convert to kWh</t>
  </si>
  <si>
    <t>IDC</t>
  </si>
  <si>
    <t>For Baseline, any individual systems where supply airflow rate exceeds value in Table 6.5.6.1 based on climate zone and percent outdoor air? For proposed, indicate if energy recovery is modeled.</t>
  </si>
  <si>
    <t>% energy recovery effectiveness</t>
  </si>
  <si>
    <r>
      <rPr>
        <b/>
        <sz val="10"/>
        <rFont val="Arial"/>
        <family val="2"/>
      </rPr>
      <t>ASHRAE 90.1-2010 without Addenda (District Energy Modeling Path 1):</t>
    </r>
    <r>
      <rPr>
        <sz val="10"/>
        <rFont val="Arial"/>
        <family val="2"/>
      </rPr>
      <t xml:space="preserve"> Report the district energy type (District Cooling, District Hot Water, or District Steam) for the cooling and heating end-uses as applicable for both the baseline and proposed.  </t>
    </r>
    <r>
      <rPr>
        <b/>
        <sz val="10"/>
        <rFont val="Arial"/>
        <family val="2"/>
      </rPr>
      <t/>
    </r>
  </si>
  <si>
    <r>
      <rPr>
        <b/>
        <sz val="10"/>
        <rFont val="Arial"/>
        <family val="2"/>
      </rPr>
      <t>ASHRAE 90.1-2010 without Addenda (District Energy Modeling Path 1):</t>
    </r>
    <r>
      <rPr>
        <sz val="10"/>
        <rFont val="Arial"/>
        <family val="2"/>
      </rPr>
      <t xml:space="preserve"> Report the district energy type (District Cooling, District Hot Water, or District Steam) for the cooling and heating end-uses as applicable for both the baseline and proposed.</t>
    </r>
    <r>
      <rPr>
        <b/>
        <sz val="10"/>
        <rFont val="Arial"/>
        <family val="2"/>
      </rPr>
      <t/>
    </r>
  </si>
  <si>
    <r>
      <rPr>
        <b/>
        <i/>
        <sz val="10"/>
        <rFont val="Arial"/>
        <family val="2"/>
      </rPr>
      <t>DES Path 2:</t>
    </r>
    <r>
      <rPr>
        <b/>
        <sz val="10"/>
        <rFont val="Arial"/>
        <family val="2"/>
      </rPr>
      <t xml:space="preserve"> </t>
    </r>
    <r>
      <rPr>
        <sz val="10"/>
        <rFont val="Arial"/>
        <family val="2"/>
      </rPr>
      <t xml:space="preserve">If the project is modeling campus or district thermal energy using the </t>
    </r>
    <r>
      <rPr>
        <i/>
        <sz val="10"/>
        <rFont val="Arial"/>
        <family val="2"/>
      </rPr>
      <t>Full DES Performance Accounting method (District Energy Modeling Path 2)</t>
    </r>
    <r>
      <rPr>
        <sz val="10"/>
        <rFont val="Arial"/>
        <family val="2"/>
      </rPr>
      <t xml:space="preserve"> include each energy source serving the building except District Energy, AND include each energy source in the district or campus plant (e.g. electricity, natural gas, etc.) if different from the energy sources serving the building. Do not select District Cooling, District Hot Water, or District Steam. </t>
    </r>
    <r>
      <rPr>
        <b/>
        <i/>
        <sz val="12"/>
        <color rgb="FFFF0000"/>
        <rFont val="Calibri"/>
        <family val="2"/>
      </rPr>
      <t/>
    </r>
  </si>
  <si>
    <r>
      <rPr>
        <b/>
        <sz val="10"/>
        <rFont val="Arial"/>
        <family val="2"/>
      </rPr>
      <t>Streamlined DES Accounting Method (District Energy Modeling Path 3):</t>
    </r>
    <r>
      <rPr>
        <sz val="10"/>
        <rFont val="Arial"/>
        <family val="2"/>
      </rPr>
      <t xml:space="preserve"> Report the energy type (District Cooling, District Hot Water, or District Steam for the cooling and heating end-uses as applicable for both the baseline and proposed. </t>
    </r>
    <r>
      <rPr>
        <b/>
        <sz val="10"/>
        <rFont val="Arial"/>
        <family val="2"/>
      </rPr>
      <t/>
    </r>
  </si>
  <si>
    <t>Select the fossil fuel energy type used to generate any district heating or cooling.  Enter the proposed average District Cooling and District Heating efficiencies as applicable. For District Cooling, include chillers, cooling towers, chilled water and condenser water pumps, thermal distribution losses, and any other end-uses contributing towards the energy used to generate and distribute chilled water to the building. For District Heating, include boilers, pumps, thermal distribution losses, and any other end-uses contributing towards the energy used to generate and distribute heating to the building. In the Uploads section of the form, provide details regarding the calculations and or monitoring used to determine the proposed District Energy average efficiency, including any energy simulation outputs for the district plant if using the modeling method.
* Average DES efficiency (COP) per energy source is equal to one unit of thermal energy divided by the input energy for the energy source associated with generating one unit of thermal energy and delivering it to the building. Baseline average efficiency is determined based on chilled water or hot water capacity and ASHRAE 90.1 Appendix G Baseline requirements for on-site CHW and HHW generation equipment (see District Energy Path 3 tab for details).</t>
  </si>
  <si>
    <t>BUILDING SPECIFIC DES Heating Average Efficiency:</t>
  </si>
  <si>
    <t>Building Heating Peak Baseline Load from PRM Outputs (use 2,000,000 Btuh if not yet entered, or if units are not entered for District Heating Demand)</t>
  </si>
  <si>
    <t>Elec</t>
  </si>
  <si>
    <t>Fuel</t>
  </si>
  <si>
    <t>Total Baseline</t>
  </si>
  <si>
    <t>Total Proposed</t>
  </si>
  <si>
    <t>Cost/Unit District Cooling</t>
  </si>
  <si>
    <t>Cost/Unit District Heating</t>
  </si>
  <si>
    <t>Adjusted Baseline (equal to lesser of proposed or baseline allowance)</t>
  </si>
  <si>
    <t>value is True if the base allowance plus adjusted baseline is less than proposed</t>
  </si>
  <si>
    <t>The issues listed below were automatically generated based upon information provided in the input and output sections. The intent is to address common review issues before submitting for certification via changing the model and/or actual design. This section is not meant to catch all potential issues present within the submittal. Although responses are not required, the project team is strongly encouraged to address each issue noted, as this will reduce the number of review comments and increase the likelihood of awarding this prerequisite at the preliminary review stage.</t>
  </si>
  <si>
    <t>LEED v4 BD+C: New Construction</t>
  </si>
  <si>
    <t>LEED v4 BD+C: Core and Shell</t>
  </si>
  <si>
    <t>LEED v4 BD+C: Schools</t>
  </si>
  <si>
    <t>LEED v4 BD+C: Retail</t>
  </si>
  <si>
    <t>LEED v4 BD+C: Data Centers</t>
  </si>
  <si>
    <t>LEED v4 BD+C: Warehouses and Distribution Centers</t>
  </si>
  <si>
    <t>LEED v4 BD+C: Hospitality</t>
  </si>
  <si>
    <t>LEED v4 BD+C: Healthcare</t>
  </si>
  <si>
    <t>LEED v4 ID+C: Commercial Interiors</t>
  </si>
  <si>
    <t>LEED v4 ID+C: Retail</t>
  </si>
  <si>
    <t>LEED v4 ID+C: Hospitality</t>
  </si>
  <si>
    <t>Rating system</t>
  </si>
  <si>
    <r>
      <t xml:space="preserve">The project is connected to a district or campus thermal energy system. </t>
    </r>
    <r>
      <rPr>
        <sz val="10"/>
        <color theme="1"/>
        <rFont val="Arial"/>
        <family val="2"/>
      </rPr>
      <t xml:space="preserve">For projects connected to a district or campus thermal energy system where thermal energy is produced for or distributed to multiple buildings, complete the applicable fields below. </t>
    </r>
  </si>
  <si>
    <t>Note: The selections above must match the rating system and unit of measurement chosen during project registration.</t>
  </si>
  <si>
    <t>Climate zone</t>
  </si>
  <si>
    <t>The BD+C: Data Center rating system has been selected. By default, the full buildout IT loads are used to determine prerequisite and credit compliance. Select "Avg of Full IT Load + Startup IT Load" to the right in order to use the average of the energy modeling results for the full buildout IT loads and the energy modeling results for the startup IT loads to determine prerequisite and credit compliance.</t>
  </si>
  <si>
    <r>
      <t xml:space="preserve">The </t>
    </r>
    <r>
      <rPr>
        <b/>
        <i/>
        <sz val="10"/>
        <rFont val="Arial"/>
        <family val="2"/>
      </rPr>
      <t>baseline</t>
    </r>
    <r>
      <rPr>
        <sz val="10"/>
        <rFont val="Arial"/>
        <family val="2"/>
      </rPr>
      <t xml:space="preserve"> boiler(s) have been modeled as natural draft per G3.1.3.2.</t>
    </r>
  </si>
  <si>
    <r>
      <t xml:space="preserve">The </t>
    </r>
    <r>
      <rPr>
        <b/>
        <i/>
        <sz val="10"/>
        <rFont val="Arial"/>
        <family val="2"/>
      </rPr>
      <t>baseline</t>
    </r>
    <r>
      <rPr>
        <sz val="10"/>
        <rFont val="Arial"/>
        <family val="2"/>
      </rPr>
      <t xml:space="preserve"> hot water supply temperature reset schedule has been modeled as 180°F (82°C) at outdoor temperatures 20°F (-7°C) and below, 150°F (66°C) at outdoor temperatures 50°F (10°C) and above, and ramped linearly between 180°F (82°C) and 150°F (66°C) at outdoor temperatures between 20°F (-7°C) and 50°F (10°C) per G3.1.3.4.</t>
    </r>
  </si>
  <si>
    <r>
      <t xml:space="preserve">The </t>
    </r>
    <r>
      <rPr>
        <b/>
        <i/>
        <sz val="10"/>
        <rFont val="Arial"/>
        <family val="2"/>
      </rPr>
      <t>baseline</t>
    </r>
    <r>
      <rPr>
        <sz val="10"/>
        <rFont val="Arial"/>
        <family val="2"/>
      </rPr>
      <t xml:space="preserve"> hot water pump power has been modeled as 19 W/gpm (301 kW/1,000 L/s) per G3.1.3.5.</t>
    </r>
  </si>
  <si>
    <r>
      <t xml:space="preserve">Piping losses have not been modeled in the </t>
    </r>
    <r>
      <rPr>
        <b/>
        <i/>
        <sz val="10"/>
        <rFont val="Arial"/>
        <family val="2"/>
      </rPr>
      <t>baseline</t>
    </r>
    <r>
      <rPr>
        <sz val="10"/>
        <rFont val="Arial"/>
        <family val="2"/>
      </rPr>
      <t xml:space="preserve"> for hot or chilled water per G3.1.3.6.</t>
    </r>
  </si>
  <si>
    <r>
      <t xml:space="preserve">The </t>
    </r>
    <r>
      <rPr>
        <b/>
        <i/>
        <sz val="10"/>
        <rFont val="Arial"/>
        <family val="2"/>
      </rPr>
      <t xml:space="preserve">baseline </t>
    </r>
    <r>
      <rPr>
        <sz val="10"/>
        <rFont val="Arial"/>
        <family val="2"/>
      </rPr>
      <t>chiller(s) quantity and type have been modeled as indicated in Table G3.1.3.7 per G3.1.3.7</t>
    </r>
  </si>
  <si>
    <r>
      <t xml:space="preserve">The </t>
    </r>
    <r>
      <rPr>
        <b/>
        <i/>
        <sz val="10"/>
        <rFont val="Arial"/>
        <family val="2"/>
      </rPr>
      <t>baseline</t>
    </r>
    <r>
      <rPr>
        <sz val="10"/>
        <rFont val="Arial"/>
        <family val="2"/>
      </rPr>
      <t xml:space="preserve"> chilled water design supply temperature has been modeled as 44°F (6.7°C) with a return temperature of 56°F (13°C) per G3.1.3.8.</t>
    </r>
  </si>
  <si>
    <r>
      <t xml:space="preserve">The </t>
    </r>
    <r>
      <rPr>
        <b/>
        <i/>
        <sz val="10"/>
        <rFont val="Arial"/>
        <family val="2"/>
      </rPr>
      <t>baseline</t>
    </r>
    <r>
      <rPr>
        <sz val="10"/>
        <rFont val="Arial"/>
        <family val="2"/>
      </rPr>
      <t xml:space="preserve"> chilled water pump power has been modeled as 22 W/gpm (349 kW/1,000 L/s) per G3.1.3.10. Recommended that the pump power be split as one-third (primary) and two-thirds (secondary).</t>
    </r>
  </si>
  <si>
    <r>
      <t xml:space="preserve">The </t>
    </r>
    <r>
      <rPr>
        <b/>
        <i/>
        <sz val="10"/>
        <rFont val="Arial"/>
        <family val="2"/>
      </rPr>
      <t>baseline</t>
    </r>
    <r>
      <rPr>
        <sz val="10"/>
        <rFont val="Arial"/>
        <family val="2"/>
      </rPr>
      <t xml:space="preserve"> condenser water temperature reset schedule has been modeled to maintain a 70°F (21°C) leaving water temperature where weather permits, floating up to a leaving water temperature at design conditions per G3.1.3.11.</t>
    </r>
  </si>
  <si>
    <r>
      <t xml:space="preserve">The </t>
    </r>
    <r>
      <rPr>
        <b/>
        <i/>
        <sz val="10"/>
        <rFont val="Arial"/>
        <family val="2"/>
      </rPr>
      <t>baseline</t>
    </r>
    <r>
      <rPr>
        <sz val="10"/>
        <rFont val="Arial"/>
        <family val="2"/>
      </rPr>
      <t xml:space="preserve"> condenser water pump power has been modeled as 19 W/gpm (301 kW/1,000 L/s) per G3.1.3.11.</t>
    </r>
  </si>
  <si>
    <r>
      <t xml:space="preserve">All </t>
    </r>
    <r>
      <rPr>
        <b/>
        <i/>
        <sz val="10"/>
        <rFont val="Arial"/>
        <family val="2"/>
      </rPr>
      <t>proposed</t>
    </r>
    <r>
      <rPr>
        <sz val="10"/>
        <rFont val="Arial"/>
        <family val="2"/>
      </rPr>
      <t xml:space="preserve"> HVAC systems and related parameters, such as equipment capacities, efficiencies, airflows, fans, etc. have been modeled as designed and are consistent with supporting documentation.</t>
    </r>
  </si>
  <si>
    <r>
      <t xml:space="preserve">Each </t>
    </r>
    <r>
      <rPr>
        <b/>
        <i/>
        <sz val="10"/>
        <rFont val="Arial"/>
        <family val="2"/>
      </rPr>
      <t>proposed</t>
    </r>
    <r>
      <rPr>
        <sz val="10"/>
        <rFont val="Arial"/>
        <family val="2"/>
      </rPr>
      <t xml:space="preserve"> HVAC thermal zone has been modeled as a separate thermal block except as allowed by Table G3.1#7.</t>
    </r>
  </si>
  <si>
    <r>
      <t xml:space="preserve">All </t>
    </r>
    <r>
      <rPr>
        <b/>
        <i/>
        <sz val="10"/>
        <rFont val="Arial"/>
        <family val="2"/>
      </rPr>
      <t>proposed</t>
    </r>
    <r>
      <rPr>
        <sz val="10"/>
        <rFont val="Arial"/>
        <family val="2"/>
      </rPr>
      <t xml:space="preserve"> HVAC systems serving conditioned spaces have been modeled with heating and cooling as required by Table G3.1#1(b), with heating and/or cooling added as necessary identically to the </t>
    </r>
    <r>
      <rPr>
        <b/>
        <i/>
        <sz val="10"/>
        <rFont val="Arial"/>
        <family val="2"/>
      </rPr>
      <t>baseline</t>
    </r>
    <r>
      <rPr>
        <sz val="10"/>
        <rFont val="Arial"/>
        <family val="2"/>
      </rPr>
      <t xml:space="preserve"> per Table G3.1#10(c&amp;d) except where System types (9) or (10) have been modeled.</t>
    </r>
  </si>
  <si>
    <r>
      <t xml:space="preserve">All </t>
    </r>
    <r>
      <rPr>
        <b/>
        <i/>
        <sz val="10"/>
        <rFont val="Arial"/>
        <family val="2"/>
      </rPr>
      <t>proposed</t>
    </r>
    <r>
      <rPr>
        <sz val="10"/>
        <rFont val="Arial"/>
        <family val="2"/>
      </rPr>
      <t xml:space="preserve"> HVAC systems and related parameters can be modeled directly in the energy simulation program used.</t>
    </r>
  </si>
  <si>
    <r>
      <t xml:space="preserve">All </t>
    </r>
    <r>
      <rPr>
        <b/>
        <i/>
        <sz val="10"/>
        <rFont val="Arial"/>
        <family val="2"/>
      </rPr>
      <t>proposed</t>
    </r>
    <r>
      <rPr>
        <sz val="10"/>
        <rFont val="Arial"/>
        <family val="2"/>
      </rPr>
      <t xml:space="preserve"> fan part-load efficiency curves for variable volume fans have been modeled identically to the </t>
    </r>
    <r>
      <rPr>
        <b/>
        <i/>
        <sz val="10"/>
        <rFont val="Arial"/>
        <family val="2"/>
      </rPr>
      <t>baseline</t>
    </r>
    <r>
      <rPr>
        <sz val="10"/>
        <rFont val="Arial"/>
        <family val="2"/>
      </rPr>
      <t xml:space="preserve"> curves for variable volume fans (if not, provide a description of the fan curves used in the space at the bottom of this table, and confirm that the proposed curves are representative of the actual building design).</t>
    </r>
  </si>
  <si>
    <t>Required for Systems 2 and 4
Not required if District Heating and/or Cooling has been selected on the General Information tab</t>
  </si>
  <si>
    <t>Offset 
Energy Type</t>
  </si>
  <si>
    <t>Annual Energy Cost Offset with 
Site-Generated Renewables 
($/year)</t>
  </si>
  <si>
    <t>Percent renewable energy (by cost)</t>
  </si>
  <si>
    <t>The building energy analysis includes exceptional calculation methods. (Optional)</t>
  </si>
  <si>
    <t>Table: Exceptional calculation methods energy summary</t>
  </si>
  <si>
    <t>Exceptional 
Calculation 
Method ID</t>
  </si>
  <si>
    <t>Annual Energy Difference by Energy Type</t>
  </si>
  <si>
    <r>
      <rPr>
        <b/>
        <sz val="10"/>
        <rFont val="Arial"/>
        <family val="2"/>
      </rPr>
      <t>Select one of the following before entering any simulation output data:</t>
    </r>
    <r>
      <rPr>
        <sz val="10"/>
        <rFont val="Arial"/>
        <family val="2"/>
      </rPr>
      <t xml:space="preserve">
</t>
    </r>
    <r>
      <rPr>
        <sz val="9"/>
        <rFont val="Arial"/>
        <family val="2"/>
      </rPr>
      <t>Note: If this is selected after data has been entered in the tables below, the energy types, baseline energy by end use, and baseline cost data will be cleared from these tables.</t>
    </r>
  </si>
  <si>
    <t xml:space="preserve">Total energy consumption by energy type </t>
  </si>
  <si>
    <t xml:space="preserve">Table: Baseline building annual energy cost by energy type </t>
  </si>
  <si>
    <t>Table: Baseline energy summary by end use</t>
  </si>
  <si>
    <t>Baseline annual energy cost</t>
  </si>
  <si>
    <t>Table: Proposed energy summary by end use</t>
  </si>
  <si>
    <t>Units of 
Annual Energy and Peak Demand</t>
  </si>
  <si>
    <t>Energy / Demand Savings 
per End-Use</t>
  </si>
  <si>
    <t>End Use 
Percent Contribution to Total Energy Savings</t>
  </si>
  <si>
    <t>Percent of Total Proposed  
Site Energy Consumption</t>
  </si>
  <si>
    <t>Table: Performance rating energy consumption and cost by fuel type</t>
  </si>
  <si>
    <t>Table: Virtual rate (average energy cost per unit energy)</t>
  </si>
  <si>
    <t>Table: Exceptional calculation methods</t>
  </si>
  <si>
    <t>Baseline Energy Consumption 
with Exceptional Calculation Methods</t>
  </si>
  <si>
    <t>Table: Renewable energy production</t>
  </si>
  <si>
    <t>Table: Total energy usage</t>
  </si>
  <si>
    <t>Subtotals added to baseline</t>
  </si>
  <si>
    <t>Subtotals subtracted from proposed</t>
  </si>
  <si>
    <t>End Use 
Percent 
Contribution to 
Total Cost Savings</t>
  </si>
  <si>
    <t>Issue Applicable to Project</t>
  </si>
  <si>
    <t xml:space="preserve">Summary </t>
  </si>
  <si>
    <t xml:space="preserve">Note: All information in this section is READ-ONLY. To edit, see previous tabs. </t>
  </si>
  <si>
    <t>For projects pursuing EA Credit Optimize Energy Performance</t>
  </si>
  <si>
    <t>Total energy cost savings (excluding site-generated renewable energy) (%)</t>
  </si>
  <si>
    <t>Total energy cost savings (including site-generated renewable energy) (%)</t>
  </si>
  <si>
    <t>Y</t>
  </si>
  <si>
    <r>
      <rPr>
        <b/>
        <sz val="10"/>
        <rFont val="Arial"/>
        <family val="2"/>
      </rPr>
      <t xml:space="preserve">Upload: Exceptional calculation </t>
    </r>
    <r>
      <rPr>
        <sz val="10"/>
        <rFont val="Arial"/>
        <family val="2"/>
      </rPr>
      <t xml:space="preserve">
Provide a detailed narrative explaining the exceptional calculation method(s) performed, including all end-uses affected by the exceptional calculation method. If more than one exceptional calculation method is used, the exceptional calculation ID in the narrative must match the values listed in the table above.  The exceptional calculation method must include:
•  Step-by-step documentation of the exceptional calculation method(s) performed detailed enough to reproduce the results
•  Copies of all spreadsheets used to perform the calculations, or simulation energy model input and output summaries documenting the calculations performed
•  For methods that significantly impact HVAC or refrigeration energy, the calculations shall be performed on a time step basis consistent with the simulation program used
•  The Performance Rating calculated with and without the exceptional calculation method
•  Documentation of the baseline and proposed assumptions. Documentation of baseline assumptions verify that the efficiency measure is not conventional practice by including, but not limited to:
    ○  a recently published study (published within five years of the project registration date) with researched tabulations or monitored data establishing standard practice for the given application in similar newly constructed facilities
    ○  a new construction utility or government program that incentivizes the measure
    ○  a document showing the systems used to perform the same function in other newly constructed facilities (for example, three similar facilities built within the past five years). These systems would be treated as the baseline system in the analysis, and evidence must be provided to demonstrate how the energy for the baseline and proposed buildings are determined 
    ○  use any of the prescriptive requirements from 90.1-2010 as the baseline requirement without further justification to substantiate conventional practice, but only for the specific component addressed by the prescriptive requirement</t>
    </r>
  </si>
  <si>
    <r>
      <t>Table: Data center PUE</t>
    </r>
    <r>
      <rPr>
        <b/>
        <vertAlign val="subscript"/>
        <sz val="10"/>
        <rFont val="Arial"/>
        <family val="2"/>
      </rPr>
      <t>3</t>
    </r>
    <r>
      <rPr>
        <b/>
        <sz val="10"/>
        <rFont val="Arial"/>
        <family val="2"/>
      </rPr>
      <t xml:space="preserve"> of startup and full buildout IT loads </t>
    </r>
  </si>
  <si>
    <r>
      <rPr>
        <b/>
        <sz val="10"/>
        <rFont val="Arial"/>
        <family val="2"/>
      </rPr>
      <t xml:space="preserve">Data Centers:  </t>
    </r>
    <r>
      <rPr>
        <sz val="10"/>
        <rFont val="Arial"/>
        <family val="2"/>
      </rPr>
      <t xml:space="preserve">If using the Data Center Calculator to document energy improvements in IT loads, the checkbox stating that the building energy analysis includes exceptional calculation methods must be checked.  In the table below, select the checkbox “Apply to Baseline?” for each end-use impacted, and provide:
•  The completed Data Center Calculator (found under the prerequisite's "Resources" tab in the Credit Library), as well as copies of any other spreadsheets used to perform the calculations
•  If energy efficiency credit is applied for any future IT equipment, electrical infrastructure, and/or for future server room cooling equipment that will serve unfinished spaces (meaning that the IT equipment, electrical infrastructure, and/or unfinished space cooling equipment will not be installed during Startup Occupancy), provide a binding Owner commitment letter and (for any tenants) sample lease agreements with binding tenant requirements that confirms that the future installed IT equipment will be at least as efficient as the equipment modeled in the Data Center Calculator. Note that the future equipment may not be modeled as being more efficient than the equipment installed for Startup occupancy.
•  If taking credit for the impact of IT equipment load reductions on HVAC energy consumption, upload the simulation input summary and simulation output reports, and Performance Rating summary with the baseline model revised to include the baseline IT and electrical infrastructure from the Data Center Calculator.
</t>
    </r>
    <r>
      <rPr>
        <b/>
        <sz val="10"/>
        <rFont val="Arial"/>
        <family val="2"/>
      </rPr>
      <t/>
    </r>
  </si>
  <si>
    <r>
      <rPr>
        <b/>
        <sz val="10"/>
        <rFont val="Arial"/>
        <family val="2"/>
      </rPr>
      <t>Retail:</t>
    </r>
    <r>
      <rPr>
        <sz val="10"/>
        <rFont val="Arial"/>
        <family val="2"/>
      </rPr>
      <t xml:space="preserve"> The energy consumption for cooking, refrigeration, and kitchen ventilation fans must be metered and reported separately from other end-uses in the energy model and in the tables below. Energy savings or consumption attributable to unregulated equipment, other than Commercial Kitchen Equipment, Supermarket Refrigeration, Walk-in Coolers and Freezers, or Commercial Kitchen Ventilation listed in Tables 1 – 4 of the LEED v4 BD+C: Retail and ID+C: Retail Rating System Appendix 3 must be claimed via Exceptional Calculation Methodology.</t>
    </r>
  </si>
  <si>
    <r>
      <rPr>
        <b/>
        <sz val="10"/>
        <rFont val="Arial"/>
        <family val="2"/>
      </rPr>
      <t>Retail:</t>
    </r>
    <r>
      <rPr>
        <sz val="10"/>
        <rFont val="Arial"/>
        <family val="2"/>
      </rPr>
      <t xml:space="preserve"> The energy consumption for cooking, refrigeration, and kitchen ventilation fans must be metered and reported separately from other end-uses in the energy model and in the tables below. Energy savings or consumption attributable to unregulated equipment, other than Commercial Kitchen Equipment, Supermarket Refrigeration, Walk-in Coolers and Freezers, or Commercial Kitchen Ventilation listed in Tables 1 – 4 of the LEED v4 BD+C:Retail and ID+C: Retail Rating System Appendix 3 must be claimed via Exceptional Calculation Methodology.</t>
    </r>
  </si>
  <si>
    <r>
      <rPr>
        <b/>
        <sz val="10"/>
        <rFont val="Arial"/>
        <family val="2"/>
      </rPr>
      <t>Startup IT Loads</t>
    </r>
    <r>
      <rPr>
        <sz val="10"/>
        <rFont val="Arial"/>
        <family val="2"/>
      </rPr>
      <t xml:space="preserve">
Building energy consumption with Startup IT loads 
including Data Center Calculator and exceptional calculation measures</t>
    </r>
  </si>
  <si>
    <r>
      <rPr>
        <b/>
        <sz val="10"/>
        <rFont val="Arial"/>
        <family val="2"/>
      </rPr>
      <t>Full Buildout IT Loads</t>
    </r>
    <r>
      <rPr>
        <sz val="10"/>
        <rFont val="Arial"/>
        <family val="2"/>
      </rPr>
      <t xml:space="preserve">
Building energy consumption with Full Buildout IT loads 
including Data Center Calculator and exceptional calculation measures</t>
    </r>
  </si>
  <si>
    <t>Performance Rating Method Outputs</t>
  </si>
  <si>
    <t>G</t>
  </si>
  <si>
    <t>Average 
Efficiency 
(COP)*</t>
  </si>
  <si>
    <t>Site Energy Use 
(Units shown per energy type)</t>
  </si>
  <si>
    <r>
      <t>Baseline Energy Consumption 
with District Energy Average Efficiencies</t>
    </r>
    <r>
      <rPr>
        <i/>
        <sz val="10"/>
        <rFont val="Arial"/>
        <family val="2"/>
      </rPr>
      <t xml:space="preserve"> 
(if DES Path 3 is used)</t>
    </r>
  </si>
  <si>
    <r>
      <t xml:space="preserve">Proposed Energy Consumption 
with District Energy Average Efficiencies 
</t>
    </r>
    <r>
      <rPr>
        <i/>
        <sz val="10"/>
        <rFont val="Arial"/>
        <family val="2"/>
      </rPr>
      <t>(if DES Path 3 is used)</t>
    </r>
  </si>
  <si>
    <t>Table: Performance rating data center - Startup IT loads</t>
  </si>
  <si>
    <t>Table: Performance rating data center - Full load IT loads (tabulated from spreadsheet data entered above)</t>
  </si>
  <si>
    <t>Table: Performance rating data center - Average between full Load IT loads and startup IT loads</t>
  </si>
  <si>
    <t>Baseline Building Energy Consumption 
with Exceptional Calculation Methods</t>
  </si>
  <si>
    <t>The total exterior lighting power allowance, including the base site allowance, is less than the designed lighting power as reported in the Lighting tab, violating mandatory Section 9.4.3. Verify that the inputs are accurate and modify the exterior lighting design as necessary to show compliance.</t>
  </si>
  <si>
    <t>The total baseline and proposed air flow rates differ by more than 35% (as reported in the Air-Side HVAC sheet), making it unclear whether the baseline fan air flow rate was sized based on a 20 deg. F supply-air-to-room-air temperature difference, as required by G3.1.2.9.1 for each baseline system. Verify that the proposed has been modeled as designed in accordance with Table G3.1.10(b) (proposed) and that the baseline has been correctly sized in accordance with Appendix G requirements.</t>
  </si>
  <si>
    <t>The total baseline and proposed capacities for the cooling and/or heating (as reported in the Air-Side HVAC tab) differ by more than 35%, making it unclear whether the baseline cooling and heating capacities have been met the G3.1.2.2 requirement for oversizing by 15% for cooling and 25% for heating. Verify that the proposed has been modeled as designed in accordance with Table G3.1.10(b) (proposed) and that the baseline has been sized in accordance with Appendix G requirements. Additionally, verify that the baseline capacities were oversized either at the system level or plant level, but not both, and that any other safety factors have been excluded from the baseline.</t>
  </si>
  <si>
    <t>The outdoor airflow rate is higher in the baseline model compared to the proposed (as reported in the Air-Side HVAC tab). Section G3.1.2.6 exception (c) requires that if the proposed design has more outdoor air than required by the rating authority (in this case USGBC/GBCI), then the baseline must be modeled with the amount required per EQ Prerequisite Minimum Indoor Air Quality Performance, and will be less than the rate modeled in the proposed. Ensure that the baseline outdoor airflow rate is consistent with that required by EQ Prerequisite Minimum Indoor Air Quality Performance. If applying G3.1.2.6 exception (b), and using an Ez value of 1.0 for the Baseline Case, upload baseline design ventilation rate procedure calculations as described in Standard 62.1 and as required by ASHRAE 90.1 in order to claim credit for this exception.</t>
  </si>
  <si>
    <t>The baseline vertical glazing area is greater than 40% (as reported in the Shading and Fenestration tab, Shading section), which is inconsistent with the requirement of Table G3.1.5(c) (baseline).  Please correct or provide justification.</t>
  </si>
  <si>
    <t>The baseline and/or proposed interior lighting equivalent full load hours (determined by dividing the total annual lighting consumption by the total lighting power as reported in the Performance Outputs tab) is greater than 4,000 hours/year, which is unexpectedly high. Ensure that the lighting models reflect all mandatory controls from Section 9 and reflect the anticipated schedule of operation for the building.</t>
  </si>
  <si>
    <t>The baseline and/or proposed interior lighting equivalent full load hours (determined by dividing the total annual lighting consumption by the total lighting power as reported in the Performance Outputs tab) differs by more than 10%, which is unexpected.</t>
  </si>
  <si>
    <t>The interior lighting demand (as reported in the Performance Outputs tab for the baseline and/or proposed) exceeds the lighting power as reported in the Lighting sheet (Summary section) by more than 5%. Ensure that the values reflected in the Lighting sheet are accurate and appropriately reflect the modeled interior lighting power density.</t>
  </si>
  <si>
    <t>The Performance Outputs tab shows zero consumption for exterior lighting power in the baseline and/or proposed model.  Confirm that no exterior lighting is included in the building site. Verify that the proposed exterior lighting reflects the actual building design, and the baseline reflects the allowed lighting power from Section 9.4.3.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</si>
  <si>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baseline and/or proposed exterior lighting equivalent full load hours (determined by dividing the total annual lighting consumption by the total lighting power as reported in the Performance Outputs tab) is greater than 5,110 hours/year (approximately 14 hours per day) or less than 3,650 hours/year (approximately 10 hours per day). Ensure that the lighting models reflect all mandatory controls from Section 9.4.1.7.</t>
  </si>
  <si>
    <t>The baseline and/or proposed exterior lighting equivalent full load hours (determined by dividing the total annual lighting consumption by the total lighting power as reported in the Performance Outputs tab) differs by more than 5%, which is unexpected. Please correct or provide justification.</t>
  </si>
  <si>
    <t>The baseline and proposed exterior lighting consumption values are within 1% of each other, as reported in the Performance Outputs tab, indicating that the lighting has been modeled nearly identically. Verify that the proposed exterior lighting reflects the actual building design, and the baseline reflects the allowed lighting power from Section 9.4.3.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</si>
  <si>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exterior lighting demand as reported in the Performance Outputs tab for the baseline and/or proposed exceeds the lighting power reported on the Lighting sheet (Summary section) by more than 5%. Ensure that the values reflected in the Lighting sheet are accurate and appropriately reflect the modeled exterior lighting power density.</t>
  </si>
  <si>
    <t>The receptacle equipment consumption for the baseline and/or proposed building (as reported in the Performance Outputs tab) is greater than 40% (less than 10%) of the total building site energy usage, which is unexpectedly high (low). This check was made using the Performance rating energy consumption and cost by fuel type table (i.e. before adjustments were made for renewable energy production or an exceptional calculation method). Verify that the receptacle equipment has been modeled as accurately as possible.</t>
  </si>
  <si>
    <t>One (or more) of the unregulated end uses differs by more than 3% between the baseline and proposed as reported in the Performance Outputs tab. If savings are being attempted for an unregulated end use, the Exceptional Calculation Method must be followed.</t>
  </si>
  <si>
    <t>The service water heating consumption for the baseline and/or proposed building constitutes more than 15% of the total building site energy usage (as reported in the Performance Outputs tab), which is unexpected. This check was made using the Performance Rating - Energy Consumption and Cost by Fuel Type table (i.e. before any adjustments were made for renewable energy production or an exceptional calculation method). Verify that the service water heating has been modeled as designed, in accordance with Table G3.1.11 (b) (proposed) and that the schedule is typical of the building type in accordance with Table G3.1.4 (proposed).</t>
  </si>
  <si>
    <t xml:space="preserve">The baseline and/or proposed fans equivalent full load hours (determined by dividing the total annual fan consumption by the total fan power as reported in the Performance Outputs tab) is greater than 4,000 hours/year, which is unexpectedly high. Ensure that the HVAC system models reflect all mandatory controls from Section 6, and reflect the anticipated schedule of operation for the building. </t>
  </si>
  <si>
    <t xml:space="preserve">The baseline and/or proposed fan equivalent full load hours (determined by dividing the total annual fan consumption by the total fan power as reported in the Performance Outputs tab) differs by more than 25%, which is unexpected. Ensure that the HVAC system models reflect all mandatory controls from Section 6, and reflect the anticipated schedule of operation for the building. </t>
  </si>
  <si>
    <t>The fan demand (as reported in the Performance Outputs tab) for the baseline and/or proposed exceeds the fan power as reported in the Air-Side HVAC tab (total system fan power) by more than 5%. Ensure that the values reflected in the Air-Side HVAC sheet are accurate and appropriately reflect the modeled fans.</t>
  </si>
  <si>
    <t>The fan demand (as reported in the Performance Outputs tab) for the baseline and/or proposed is 60% less than the fan power as reported in the Air-Side HVAC tab, which is unexpected. Ensure that the values reflected in the Air-Side HVAC tab are accurate and appropriately reflect the modeled fans.</t>
  </si>
  <si>
    <t>The equivalent full load hours (determined by dividing the total annual consumption by the total rated capacity/power as reported in the Performance Outputs tab) for the photovoltaic system is greater than 1,500 hours/year, which is unexpectedly high. Provide documentation explaining the calculation method used to estimate the annual energy generated, and indicate all factors influencing the performance, such as derate factor, tilt, orientation, etc.</t>
  </si>
  <si>
    <t>The virtual energy rate for one or more of the energy types varies by more than 10% (as reported in the Performance Outputs tab). Ensure that the energy rates have been determined using either actual rates or state average energy prices published by DOE's Energy Information Administration. Provide information regarding the utility rate structure including all demand and energy charges and the seasonal and time-of-use structure of the utility tariff.</t>
  </si>
  <si>
    <t>The virtual energy rate for the renewable energy varies from the virtual energy rate for the proposed by more than 5% (as reported in the Performance Outputs tab), which is unexpected.  Please correct or provide justification.</t>
  </si>
  <si>
    <t>The proposed virtual energy rate for electricity is less than $0.06 per kWh or greater than $0.25 per kWh (as reported in the Performance Outputs tab), which is unexpected. Please correct or provide justification.</t>
  </si>
  <si>
    <t>The Energy Modeling Output Reporting Method (as reported in the Performance Outputs tab) indicates that the baseline has not been rotated because the building orientation is dictated by site considerations, as allowed by Table G3.1.5 (a) (baseline) Exception 1. Provide a detailed narrative (and additional documentation as necessary) describing why this exception has been applied.</t>
  </si>
  <si>
    <t>Two different types of heating consumption (e.g. electricity and natural gas) are reported in the baseline results in the Performance Outputs tab, which is unexpected. If modeling system type 3, note that there should be no crankcase heating or electric space heaters modeled in the baseline. If modeling system type 1, 5, or 7, note that the hot water boiler must be modeled as a natural draft boiler and there should be no electric space heaters modeled in the baseline. Please note that there are some exceptions (e.g. G3.1.1 (a)) which allow this situation; therefore, please be cautious before changing the model as a result of this comment.</t>
  </si>
  <si>
    <t>The unmet load hours exceed 300 hours for the baseline and/or proposed (as reported in the Performance Outputs tab), which is not in compliance with G3.1.2.3.  Please correct.</t>
  </si>
  <si>
    <t>The value for nontradable exterior lighting power (building facades, ATMs and night depositories, entrances and gatehouse inspection stations at guarded facilities, loading areas for law enforcement, fire, ambulance, and other emergency service vehicles, drive-through windows at fast food restaurants, and/or parking near 24-hour retail entrances) is less than the designed lighting power after adding in the unrestricted lighting power allowance as reported in the Lighting sheet, violating mandatory Section 9.4.3. Verify that the inputs are accurate and modify the exterior lighting design as necessary to show compliance.</t>
  </si>
  <si>
    <t>Number of floors</t>
  </si>
  <si>
    <t>Homes</t>
  </si>
  <si>
    <t>Energy model based on</t>
  </si>
  <si>
    <t>Energy modeler</t>
  </si>
  <si>
    <t>Please describe the phase in which the Energy model is based on</t>
  </si>
  <si>
    <t>Vertical Fenestration varies by less than 5%</t>
  </si>
  <si>
    <t>Energy code does not require four orientations</t>
  </si>
  <si>
    <t>Building is more than 50% existing based on floor area</t>
  </si>
  <si>
    <t>Baseline Orientation Exemptions</t>
  </si>
  <si>
    <t>Design is dictated by site consideration*</t>
  </si>
  <si>
    <t>Project has residential Dwelling Units?</t>
  </si>
  <si>
    <t>Residential Equipment Calculator</t>
  </si>
  <si>
    <t>Building ID</t>
  </si>
  <si>
    <t>Studio</t>
  </si>
  <si>
    <t>1 Bedroom</t>
  </si>
  <si>
    <t>2 Bedrooms</t>
  </si>
  <si>
    <t>3 Bedrooms</t>
  </si>
  <si>
    <t>4 Bedrooms</t>
  </si>
  <si>
    <t>5 Bedrooms</t>
  </si>
  <si>
    <t>6 Bedrooms</t>
  </si>
  <si>
    <t>Total number of units</t>
  </si>
  <si>
    <t>Total number of bedrooms</t>
  </si>
  <si>
    <t>Baseline Residential Usage per person
Excluding Clothes / Dish Washers</t>
  </si>
  <si>
    <t>Low</t>
  </si>
  <si>
    <t>Demographics such as all occupants working, seniors, middle income, and higher population density.</t>
  </si>
  <si>
    <t>Medium</t>
  </si>
  <si>
    <t>Demographics such as mixture of working / non-working occupants, mixture of age groups, medium population densities.</t>
  </si>
  <si>
    <t>High</t>
  </si>
  <si>
    <t>Demographics such high percentages of children, low income, public assistance, or no occupants working.</t>
  </si>
  <si>
    <t>Quantity</t>
  </si>
  <si>
    <t>7 Bedrooms</t>
  </si>
  <si>
    <t>8 Bedrooms</t>
  </si>
  <si>
    <t>Average Number of Bedrooms Per Unit</t>
  </si>
  <si>
    <t>Multifamily Home Details</t>
  </si>
  <si>
    <t xml:space="preserve">Complete the table for each building in the project.  Input the number of units and the average floor area for units with the corresponding bedroom number. </t>
  </si>
  <si>
    <t>Point Adjustment (1 point credit per 4% reduction in floor area versus reference; 1 point deduction per 4% increase in floor area versus reference).</t>
  </si>
  <si>
    <r>
      <rPr>
        <b/>
        <sz val="10"/>
        <color theme="1"/>
        <rFont val="Arial"/>
        <family val="2"/>
      </rPr>
      <t>Instructions:</t>
    </r>
    <r>
      <rPr>
        <sz val="10"/>
        <color indexed="8"/>
        <rFont val="Arial"/>
        <family val="2"/>
      </rPr>
      <t xml:space="preserve"> Complete the Service Water Heaters table for each unique type of system in the project. Use the Add System button for more than one type of system. If the project includes service hot water circulation pumps, complete the Service Hot Water Pumps table. Please refer to the column header notes for information about Appendix G modeling protocol. Complete the Service Hot Water Fixtures table if credit is modeled for low-flow fixtures in the proposed. For any information not applicable to the project, simply enter "N/A".</t>
    </r>
  </si>
  <si>
    <t>Energy Star</t>
  </si>
  <si>
    <t>EFLH</t>
  </si>
  <si>
    <t>S_Area</t>
  </si>
  <si>
    <t>1B_Unit</t>
  </si>
  <si>
    <t>1B_Area</t>
  </si>
  <si>
    <t>2B_Unit</t>
  </si>
  <si>
    <t>S_Unit</t>
  </si>
  <si>
    <t>2B_Area</t>
  </si>
  <si>
    <t>3B_Unit</t>
  </si>
  <si>
    <t>3B_Area</t>
  </si>
  <si>
    <t>4B_Unit</t>
  </si>
  <si>
    <t>4B_Area</t>
  </si>
  <si>
    <t>5B_Unit</t>
  </si>
  <si>
    <t>5B_Area</t>
  </si>
  <si>
    <t>6B_Unit</t>
  </si>
  <si>
    <t>6B_Area</t>
  </si>
  <si>
    <t>7B_Unit</t>
  </si>
  <si>
    <t>7B_Area</t>
  </si>
  <si>
    <t>8B_Unit</t>
  </si>
  <si>
    <t>8B_Area</t>
  </si>
  <si>
    <t>Qty</t>
  </si>
  <si>
    <t>Total Number of Units</t>
  </si>
  <si>
    <t>Schedules</t>
  </si>
  <si>
    <t>Note: The EFLH Calculator tab in this spreadsheet may be used as an optional tool for determining Equivalent Full Load hours of operation</t>
  </si>
  <si>
    <t>Areas Served</t>
  </si>
  <si>
    <t>Setback Mode Setpoint</t>
  </si>
  <si>
    <t>Refriger-ation</t>
  </si>
  <si>
    <t>Server Equip-ment</t>
  </si>
  <si>
    <t>Cooking Equip-ment</t>
  </si>
  <si>
    <t>Elevators / Escalators</t>
  </si>
  <si>
    <t>Other Loads (Indicate Loads)</t>
  </si>
  <si>
    <t>Days per Year</t>
  </si>
  <si>
    <t>Monday</t>
  </si>
  <si>
    <t>Tuesday</t>
  </si>
  <si>
    <t>Wednesday</t>
  </si>
  <si>
    <t>Thursday</t>
  </si>
  <si>
    <t>Friday</t>
  </si>
  <si>
    <t>Saturday</t>
  </si>
  <si>
    <t>Sunday</t>
  </si>
  <si>
    <t>Enter 1 for "On", 0 for "Off.</t>
  </si>
  <si>
    <t>Schedule Name:</t>
  </si>
  <si>
    <t>12-1AM</t>
  </si>
  <si>
    <t>1-2AM</t>
  </si>
  <si>
    <t>2-3AM</t>
  </si>
  <si>
    <t>3-4AM</t>
  </si>
  <si>
    <t>4-5AM</t>
  </si>
  <si>
    <t>5-6AM</t>
  </si>
  <si>
    <t>6-7AM</t>
  </si>
  <si>
    <t>7-8AM</t>
  </si>
  <si>
    <t>8-9 AM</t>
  </si>
  <si>
    <t>9-10AM</t>
  </si>
  <si>
    <t>10-11AM</t>
  </si>
  <si>
    <t>11AM-12PM</t>
  </si>
  <si>
    <t>12-1PM</t>
  </si>
  <si>
    <t>1-2PM</t>
  </si>
  <si>
    <t>2-3PM</t>
  </si>
  <si>
    <t>3-4PM</t>
  </si>
  <si>
    <t>4-5PM</t>
  </si>
  <si>
    <t>5-6PM</t>
  </si>
  <si>
    <t>6-7PM</t>
  </si>
  <si>
    <t>7-8PM</t>
  </si>
  <si>
    <t>8-9PM</t>
  </si>
  <si>
    <t>9-10PM</t>
  </si>
  <si>
    <t>10-11PM</t>
  </si>
  <si>
    <t>11-12PM</t>
  </si>
  <si>
    <t>Hours/day</t>
  </si>
  <si>
    <t>Hours/year</t>
  </si>
  <si>
    <t>Weekday</t>
  </si>
  <si>
    <t>Weekend</t>
  </si>
  <si>
    <t>Holiday</t>
  </si>
  <si>
    <t>Total hours of operation per year</t>
  </si>
  <si>
    <t>Enter a percentage value between 0% and 100%</t>
  </si>
  <si>
    <t>EFLH/day</t>
  </si>
  <si>
    <t>EFLH/year</t>
  </si>
  <si>
    <t>Total Equivalent Full Load Hours of Operation per Year</t>
  </si>
  <si>
    <t>Daily Heating Setpoint</t>
  </si>
  <si>
    <t>Daily Cooling Setpoint</t>
  </si>
  <si>
    <t>Multifamily Dwelling Unit Equipment List</t>
  </si>
  <si>
    <t>Refrigerator</t>
  </si>
  <si>
    <t>Dishwasher</t>
  </si>
  <si>
    <t>Latent Ratio</t>
  </si>
  <si>
    <t>Sensible Ratio</t>
  </si>
  <si>
    <t>Load Source</t>
  </si>
  <si>
    <t>Multifamily Non-Dwelling Unit Plug Loads</t>
  </si>
  <si>
    <t>Corridors</t>
  </si>
  <si>
    <t>Stairs</t>
  </si>
  <si>
    <t>Support areas</t>
  </si>
  <si>
    <t>Offices</t>
  </si>
  <si>
    <t>w/sf</t>
  </si>
  <si>
    <t>kwh/sf</t>
  </si>
  <si>
    <t>Clothes Washer (Commercial)</t>
  </si>
  <si>
    <t>Clothes Washer (In-unit)</t>
  </si>
  <si>
    <t>Cooking (electric stove/range)</t>
  </si>
  <si>
    <t>Cooking (gas stove/range)</t>
  </si>
  <si>
    <t>Clothes Dryer (In-unit electric)</t>
  </si>
  <si>
    <t>Clothes Dryer (Commercial electric)</t>
  </si>
  <si>
    <t>Clothes Dryer (In-unit gas)</t>
  </si>
  <si>
    <t>Clothes Dryer (Commercial gas)</t>
  </si>
  <si>
    <t>Sensible ratio gas</t>
  </si>
  <si>
    <t>Latent Ratio gas</t>
  </si>
  <si>
    <t>Sensible ratio electric</t>
  </si>
  <si>
    <t>Latent Ratio electric</t>
  </si>
  <si>
    <t>Project has multiple buildings?</t>
  </si>
  <si>
    <t>Multiple Building Energy Model Information</t>
  </si>
  <si>
    <t>Conditioned</t>
  </si>
  <si>
    <t>Percent Construction</t>
  </si>
  <si>
    <t>Renovation/Existing</t>
  </si>
  <si>
    <t>Building Massing and Zoning</t>
  </si>
  <si>
    <t>Semi-heated</t>
  </si>
  <si>
    <t>Multiplier</t>
  </si>
  <si>
    <t>Total Buildings</t>
  </si>
  <si>
    <t>Average bedrooms per dwelling unit</t>
  </si>
  <si>
    <t>Electric Loads</t>
  </si>
  <si>
    <t>Elec Nbr Multiplier</t>
  </si>
  <si>
    <t>Gas Nbr Multiplier</t>
  </si>
  <si>
    <t>base Hot Water Load</t>
  </si>
  <si>
    <t>Energy Star Hot Water Load</t>
  </si>
  <si>
    <t>418</t>
  </si>
  <si>
    <t>Natural Gas Loads</t>
  </si>
  <si>
    <t>Blank1</t>
  </si>
  <si>
    <t>Blank2</t>
  </si>
  <si>
    <t>Blank3</t>
  </si>
  <si>
    <t>Baseline Per Equipment</t>
  </si>
  <si>
    <t>Baseline Total</t>
  </si>
  <si>
    <t>Equivalent Full Load Hours of Dwelling Unit Miscellaneous Equipment Operation Per Year</t>
  </si>
  <si>
    <t>Electric Miscellaneous Loads in Dwelling Unit (including appliances and equipment listed above)</t>
  </si>
  <si>
    <t>Load_Source</t>
  </si>
  <si>
    <t>Energy_Star</t>
  </si>
  <si>
    <t>Avg_Bedrooms_DU</t>
  </si>
  <si>
    <t>Base_Elec_Consumption</t>
  </si>
  <si>
    <t>Design_Elec_Consumption</t>
  </si>
  <si>
    <t>Elec_Sens_Ratio</t>
  </si>
  <si>
    <t>Elec_Latent_Ratio</t>
  </si>
  <si>
    <t>Base_Ng_Consumption</t>
  </si>
  <si>
    <t>Design_Ng_Consumption</t>
  </si>
  <si>
    <t>NG_Sens_Ratio</t>
  </si>
  <si>
    <t>NG_Latent_Ratio</t>
  </si>
  <si>
    <t>Base_DHW_Equip</t>
  </si>
  <si>
    <t>Design_DHW_Equip</t>
  </si>
  <si>
    <t>Base_DHW_Annual</t>
  </si>
  <si>
    <t>Design_DHW_Annual</t>
  </si>
  <si>
    <t>Total_Area</t>
  </si>
  <si>
    <t>Natural Gas Miscellaneous Loads in Dwelling Unit (including appliances and equipment listed above)</t>
  </si>
  <si>
    <t>Base_Elec_Sens_Ratio</t>
  </si>
  <si>
    <t>Base_Elec_Latent_Ratio</t>
  </si>
  <si>
    <t>Base_EPD_Elecric</t>
  </si>
  <si>
    <t>Prop_EPD_Elecric</t>
  </si>
  <si>
    <t>Prop_Elec_Sens_Ratio</t>
  </si>
  <si>
    <t>Prop_Elec_Latent_Ratio</t>
  </si>
  <si>
    <t>Base_Ng_EPD</t>
  </si>
  <si>
    <t>Base_Ng_Sens_Ratio</t>
  </si>
  <si>
    <t>Base_Ng_Latent_Ratio</t>
  </si>
  <si>
    <t>Prop_Ng_EPD</t>
  </si>
  <si>
    <t>Prop_Ng_Sens_Ratio</t>
  </si>
  <si>
    <t>Prop_Ng_Latent_Ratio</t>
  </si>
  <si>
    <t>Base</t>
  </si>
  <si>
    <t>Base_HW_Loads</t>
  </si>
  <si>
    <t>Proposed_HW_Loads</t>
  </si>
  <si>
    <t>Electric Loads in Laundry Room (including appliances and equipment listed above)</t>
  </si>
  <si>
    <t>Natural Gas Loads in Laundry Room (including appliances and equipment listed above)</t>
  </si>
  <si>
    <t>Residential Usage Profile Dependent on Project Demographics</t>
  </si>
  <si>
    <t>If the project has one or more laundry rooms serving multiple dwelling units, enter the equipment that is present in the laundry rooms. Leave blank if the project has no laundry rooms.</t>
  </si>
  <si>
    <t>Energy Star Equip-ment?</t>
  </si>
  <si>
    <t>Average Bedrooms per Dwelling Unit</t>
  </si>
  <si>
    <t>Residential Usage Profile</t>
  </si>
  <si>
    <t>DHW Equivalent Full Load Hours of Operation</t>
  </si>
  <si>
    <t>DHW Supply Temp</t>
  </si>
  <si>
    <t>Average Cold Water Temp</t>
  </si>
  <si>
    <t>DHW Temp at Fixture Point of Use</t>
  </si>
  <si>
    <t>Showers</t>
  </si>
  <si>
    <t>Sinks</t>
  </si>
  <si>
    <t>Res_Usage_Profile</t>
  </si>
  <si>
    <t>Shower_Flow_Avg</t>
  </si>
  <si>
    <t>Sink_Flow_Avg</t>
  </si>
  <si>
    <t>DHW_Supply_Temp</t>
  </si>
  <si>
    <t>DHW_Cold_Water_Temp</t>
  </si>
  <si>
    <t>DHW_Fixture_Temp</t>
  </si>
  <si>
    <t>DHW_Base_Fixture_flow</t>
  </si>
  <si>
    <t>DHW_Design_Fixture_flow</t>
  </si>
  <si>
    <t>DHW_Base_Appliance_Flow</t>
  </si>
  <si>
    <t>DHW_Design_Appliance_Flow</t>
  </si>
  <si>
    <t>DHW_Base_Laundry_Flow</t>
  </si>
  <si>
    <t>DHW_Proposed_Laundry_Flow</t>
  </si>
  <si>
    <t>DHW_Base_Total_Flow</t>
  </si>
  <si>
    <t>DHW_Design_Total_Flow</t>
  </si>
  <si>
    <t>DHW_Heater_Base_Flow</t>
  </si>
  <si>
    <t>DHW_Heater_Design_Flow</t>
  </si>
  <si>
    <t>DHW_EFLH</t>
  </si>
  <si>
    <t>DHW_Base_Modeled_Flowrate</t>
  </si>
  <si>
    <t>DHW_Design_Modeled_Flowrate</t>
  </si>
  <si>
    <t>Note:  Flow rates are based on Energy Star Multifamily Simulation Guidance. One person is assumed per bedroom.</t>
  </si>
  <si>
    <t>For each item entered as “No” above, describe the applicable ASHRAE 90.1 Appendix G exception(s) that apply, or the circumstances preventing the building massing modeling parameters from being modeled as required. If the energy simulation software is not capable of modeling the required parameters, describe the adjustments that were made to provide a thermodynamically similar representation or provide a narrative justifying why the predicted energy performance results will not be influenced.</t>
  </si>
  <si>
    <t>Design_LPD</t>
  </si>
  <si>
    <t>Project</t>
  </si>
  <si>
    <t>Primary HVAC System</t>
  </si>
  <si>
    <t>Other HVAC System</t>
  </si>
  <si>
    <t>General HVAC Baseline System Type List</t>
  </si>
  <si>
    <t>Energy Simulation ID</t>
  </si>
  <si>
    <t>Design EFLH</t>
  </si>
  <si>
    <t>Base EFLH</t>
  </si>
  <si>
    <t>Total Design Fan Power (kW)</t>
  </si>
  <si>
    <t>Total Base Fan Power (kW)</t>
  </si>
  <si>
    <t>Energy Model</t>
  </si>
  <si>
    <t>Simulation ID</t>
  </si>
  <si>
    <t xml:space="preserve">     Building average equipment power density
     Space by space equipment power density</t>
  </si>
  <si>
    <t>Dwelling Unit Thermostat setpoint schedule</t>
  </si>
  <si>
    <t>Dwelling Unit Lighting Schedule</t>
  </si>
  <si>
    <t>Dwelling Unit Miscellaneous Equipment Schedule</t>
  </si>
  <si>
    <t>Residential Common Area Miscellaneous Equipment Schedule</t>
  </si>
  <si>
    <t>Residential DHW Schedule</t>
  </si>
  <si>
    <t>Below is a subset of sample schedules provided in the ASHRAE 90.1-2010 User's Manual. Refer to the ASHRAE User's Manual Tables G-D through G-M for additional schedules. (Note: Holiday schedules are added, and are assumed to be equal to the Sunday schedules; therefore annual equivalent full load hours will differ slightly from those reported in the default ASHRAE schedules).</t>
  </si>
  <si>
    <t>Office Occupancy</t>
  </si>
  <si>
    <t>Office HVAC System - ON/OFF Schedule</t>
  </si>
  <si>
    <t>Office Occupancy Schedule</t>
  </si>
  <si>
    <t>Office Lighting Schedule</t>
  </si>
  <si>
    <t>Office Receptacle Schedule</t>
  </si>
  <si>
    <t>Office DHW Schedule</t>
  </si>
  <si>
    <t>Office Elevator Schedule</t>
  </si>
  <si>
    <t>School Occupancy</t>
  </si>
  <si>
    <t>School HVAC System - ON/OFF Schedule</t>
  </si>
  <si>
    <t>School Occupancy Schedule</t>
  </si>
  <si>
    <t>School Lighting Schedule</t>
  </si>
  <si>
    <t>School Receptacle Schedule</t>
  </si>
  <si>
    <t>School DHW Schedule</t>
  </si>
  <si>
    <t>School Elevator Schedule</t>
  </si>
  <si>
    <t>Health Occupancy</t>
  </si>
  <si>
    <t>Health HVAC System - ON/OFF Schedule</t>
  </si>
  <si>
    <t>Health Occupancy Schedule</t>
  </si>
  <si>
    <t>Health Lighting Schedule</t>
  </si>
  <si>
    <t>Health Receptacle Schedule</t>
  </si>
  <si>
    <t>Health DHW Schedule</t>
  </si>
  <si>
    <t>Health Elevator Schedule</t>
  </si>
  <si>
    <t>Retail Occupancy</t>
  </si>
  <si>
    <t>Retail HVAC System - ON/OFF Schedule</t>
  </si>
  <si>
    <t>Retail Occupancy Schedule</t>
  </si>
  <si>
    <t>Retail Lighting Schedule</t>
  </si>
  <si>
    <t>Retail Receptacle Schedule</t>
  </si>
  <si>
    <t>Retail DHW Schedule</t>
  </si>
  <si>
    <t>Retail Elevator Schedule</t>
  </si>
  <si>
    <t>Restaurant Occupancy</t>
  </si>
  <si>
    <t>Restaurant HVAC System - ON/OFF Schedule</t>
  </si>
  <si>
    <t>Restaurant Occupancy Schedule</t>
  </si>
  <si>
    <t>Restaurant Lighting Schedule</t>
  </si>
  <si>
    <t>Restaurant Receptacle Schedule</t>
  </si>
  <si>
    <t>Restaurant DHW Schedule</t>
  </si>
  <si>
    <t>Warehouse Occupancy</t>
  </si>
  <si>
    <t>Warehouse HVAC System - ON/OFF Schedule</t>
  </si>
  <si>
    <t>Warehouse Occupancy Schedule</t>
  </si>
  <si>
    <t>Warehouse Lighting Schedule</t>
  </si>
  <si>
    <t>Warehouse Receptacle Schedule</t>
  </si>
  <si>
    <t>Warehouse DHW Schedule</t>
  </si>
  <si>
    <t>Warehouse Elevator Schedule</t>
  </si>
  <si>
    <t>Assembly Occupancy</t>
  </si>
  <si>
    <t>Assembly HVAC System - ON/OFF Schedule</t>
  </si>
  <si>
    <t>Assembly Occupancy Schedule</t>
  </si>
  <si>
    <t>Assembly Lighting Schedule</t>
  </si>
  <si>
    <t>Assembly Receptacle Schedule</t>
  </si>
  <si>
    <t>Assembly DHW Schedule</t>
  </si>
  <si>
    <t>Modeled_Input_Param</t>
  </si>
  <si>
    <t>Fixture_Type</t>
  </si>
  <si>
    <t>Fixture_Temp</t>
  </si>
  <si>
    <t>Percent_HW</t>
  </si>
  <si>
    <t>Base_Fixture_Flow</t>
  </si>
  <si>
    <t>Base_Total_Annual_Fixture_Consumption</t>
  </si>
  <si>
    <t>Base_Annual_HW_Fixture_Consumption</t>
  </si>
  <si>
    <t>Design_Fixture_Flow</t>
  </si>
  <si>
    <t>Design_Total_Annual_Fixture_Consumption</t>
  </si>
  <si>
    <t>Design_Annual_HW_Fixture_Consumption</t>
  </si>
  <si>
    <t>Base_Fixture_HW_Use</t>
  </si>
  <si>
    <t>Base_DHW_Heater_Use</t>
  </si>
  <si>
    <t>Base_Modeled_DHW_Flow</t>
  </si>
  <si>
    <t>Design_Fixture_HW_Use</t>
  </si>
  <si>
    <t>Design_DHW_Heater_Use</t>
  </si>
  <si>
    <t>Design_Modeled_DHW_Flow</t>
  </si>
  <si>
    <t>Base_LPD</t>
  </si>
  <si>
    <t>Base_Power</t>
  </si>
  <si>
    <t>Design_Power</t>
  </si>
  <si>
    <t>LEED v4: Neighborhood Development</t>
  </si>
  <si>
    <t>Residual Project</t>
  </si>
  <si>
    <t>Same as Design</t>
  </si>
  <si>
    <t>Number of Thermal Blocks</t>
  </si>
  <si>
    <t>Energy Model ID</t>
  </si>
  <si>
    <r>
      <t xml:space="preserve">Enter each energy source serving the project, the units for the energy consumption and demand, and the associated utility rate name and tariff structure. Default EIA Rates may be used in lieu of local utility rates at the discretion of the energy modeler.  All project energy types and the demand and consumption units must be entered before entering energy simulation output data. Also enter the units used to report energy consumption totals (the sum of all energy types) for site energy consumption and source energy consumption (generally, the IP units are Btu x 10^6, the SI site energy units are kWh, and the SI source energy units are MJ).
</t>
    </r>
    <r>
      <rPr>
        <b/>
        <sz val="12"/>
        <rFont val="Calibri"/>
        <family val="2"/>
      </rPr>
      <t/>
    </r>
  </si>
  <si>
    <t>Unit Conversion Factors</t>
  </si>
  <si>
    <t>Energy_Type</t>
  </si>
  <si>
    <t>Energy_Consumption_Units</t>
  </si>
  <si>
    <t>Demand_Units</t>
  </si>
  <si>
    <t>Utility_Rate_Name</t>
  </si>
  <si>
    <t>Utility_Rate_Structure</t>
  </si>
  <si>
    <t>Site_Energy_Conversion_Factor</t>
  </si>
  <si>
    <t>Source_Energy_Conversion_Factor</t>
  </si>
  <si>
    <t>Renewable_Source</t>
  </si>
  <si>
    <t>Offset_Energy_Type</t>
  </si>
  <si>
    <t>Rated_Capacity</t>
  </si>
  <si>
    <t>Annual_Site_Energy</t>
  </si>
  <si>
    <t>Site_Unit_Conversion</t>
  </si>
  <si>
    <t>Source_Unit_Conversion</t>
  </si>
  <si>
    <t>Default_Cost</t>
  </si>
  <si>
    <t>Renewable Summary</t>
  </si>
  <si>
    <t>Offset Energy Type</t>
  </si>
  <si>
    <t>Units per Energy Type</t>
  </si>
  <si>
    <t>Site_Energy_Ind_Units</t>
  </si>
  <si>
    <t>Site_Ind_Units</t>
  </si>
  <si>
    <t>Site_Energy_Same_Units</t>
  </si>
  <si>
    <t>Source_Energy</t>
  </si>
  <si>
    <t>Annual Energy Cost Difference</t>
  </si>
  <si>
    <t>Site Energy 
(Units per Energy Type)</t>
  </si>
  <si>
    <t>Ex_Calc_ID</t>
  </si>
  <si>
    <t>Add_Baseline_Subtract_Proposed</t>
  </si>
  <si>
    <t>Total Exceptional Calculation Method Adjustment</t>
  </si>
  <si>
    <t>End_Use</t>
  </si>
  <si>
    <t>Unregulated</t>
  </si>
  <si>
    <t>Energy_Units</t>
  </si>
  <si>
    <t>Baseline_0_Rotation</t>
  </si>
  <si>
    <t>Baseline_90_Rotation</t>
  </si>
  <si>
    <t>Baseline_180_Rotation</t>
  </si>
  <si>
    <t>Baseline_270_Rotation</t>
  </si>
  <si>
    <t>Base_Consumption_Demand</t>
  </si>
  <si>
    <t>Baseline_Total</t>
  </si>
  <si>
    <t>Design_Consumption_Demand</t>
  </si>
  <si>
    <t>End_Use_Savings</t>
  </si>
  <si>
    <t>End_Use_Contribution_to_Energy_Savings</t>
  </si>
  <si>
    <t>End_Use_Contribution_to_Cost_Savings</t>
  </si>
  <si>
    <t>Percent_Design_Site_Consumption</t>
  </si>
  <si>
    <t>Site Energy Units</t>
  </si>
  <si>
    <t>Design_Site_Energy</t>
  </si>
  <si>
    <t>Design_Source_Energy</t>
  </si>
  <si>
    <t>Design_Cost</t>
  </si>
  <si>
    <t>Percent_Savings_Site_Energy</t>
  </si>
  <si>
    <t>Percent_Savings_Cost</t>
  </si>
  <si>
    <t>Base_Virtual_Rate</t>
  </si>
  <si>
    <t>Design_Virtual_Rate</t>
  </si>
  <si>
    <t>Percent_Variance</t>
  </si>
  <si>
    <t>Fuel Source for District Cooling and/or Heating</t>
  </si>
  <si>
    <t>Cooling_Avg_Efficiency</t>
  </si>
  <si>
    <t>Cooling_Site_Energy</t>
  </si>
  <si>
    <t>Cooling_Cost</t>
  </si>
  <si>
    <t>Heating_Avg_Effiicency</t>
  </si>
  <si>
    <t>Heating_Site_Energy</t>
  </si>
  <si>
    <t>Heating_Cost</t>
  </si>
  <si>
    <t>Base_Site_Energy</t>
  </si>
  <si>
    <t>Base_Source_Energy</t>
  </si>
  <si>
    <t>Base_Cost</t>
  </si>
  <si>
    <t>Percent_Savings_Site</t>
  </si>
  <si>
    <t>Renewable_Site_Savings</t>
  </si>
  <si>
    <t>Renewable_Source_Savings</t>
  </si>
  <si>
    <t>Renewable_Cost_Savings</t>
  </si>
  <si>
    <t>Startup_Site_Energy</t>
  </si>
  <si>
    <t>Startup_Source_Energy</t>
  </si>
  <si>
    <t>Startup_PUE</t>
  </si>
  <si>
    <t>Buildout_Site_Energy</t>
  </si>
  <si>
    <t>Buildout_Source_Energy</t>
  </si>
  <si>
    <t>Buildoout_PUE</t>
  </si>
  <si>
    <t>Report Exceptional calculation methods in the table below.
Select "Add to Baseline" if the exceptional calculation adjusts the Baseline building energy consumption and cost up, or "Subtract from Proposed" if the exceptional calculation adjusts the Proposed building energy consumption and cost down.
This calculator will automatically reduce the proposed energy consumption and cost, or increase the baseline energy consumption and cost to accurately reflect the revised results. Therefore, any exceptional calculation methods should NOT be included in the Performance Rating Method Compliance report below.  If any single Exceptional Calculation Method results in energy penalties for a given energy type (i.e. increased proposed case electricity energy usage, or decreased baseline case fossil fuel energy usage), that penalty should be entered as a negative number. If any single Exceptional Calculation Method affects more than one energy type, please add additional rows to capture the method's impact to that energy type. If taking credit for Data Center Equipment or Retail Process Loads, those savings must be recorded here and the supplemental spreadsheets associated with that equipment must be uploaded as part of the submittal documents.
The cost of the Exceptional Calculation Method will be automatically determined using the virtual rate once the output data (consumption and cost) is entered below. The cost may be overridden by the user, however this may generate an issue on the Quality Checks and the user should be prepared to justify the entered cost value.</t>
  </si>
  <si>
    <t>Enter the non-coincident unmet load hours, consistent with the energy simulation output reports.</t>
  </si>
  <si>
    <t>Exceptional 
Calculation 
Number</t>
  </si>
  <si>
    <t>Ex_Calc_Number</t>
  </si>
  <si>
    <t>The vertical glazing areas in the proposed and baseline differ from one another (as reported on the Shading and Fenestration tab, Shading section), which is inconsistent with the requirement of Table G3.1.5(c) (baseline).  Please correct or provide justification.</t>
  </si>
  <si>
    <t>QC_EFLH</t>
  </si>
  <si>
    <t>How are the buildings modeled?</t>
  </si>
  <si>
    <t>On-Site Renewable Energy Production</t>
  </si>
  <si>
    <t>The project building uses on-site renewable energy systems. (Optional)</t>
  </si>
  <si>
    <t>Table: On-Site Renewable energy source summary</t>
  </si>
  <si>
    <t>On-Site Renewable Source</t>
  </si>
  <si>
    <t>Renewable energy production should be reported in the table below. Note: This calculator will automatically reduce the proposed energy consumption and cost to accurately reflect the revised results. Therefore, any site-generated renewable energy production should NOT be included in the Performance Rating Method tables below.
Select the site-generated renewable energy source. Enter the rated capacity of the site-generated renewable source including the units (e.g. for photovoltaics 10 kW). Include all relevant capacities (i.e for solar thermal, both the storage tank capacity and the solar thermal panel capacity).
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</si>
  <si>
    <t>Table: Subtotal including DES Path 3 Streamlined calculations</t>
  </si>
  <si>
    <t>Issue Applicable</t>
  </si>
  <si>
    <t>Glazing Differential</t>
  </si>
  <si>
    <t>Baseline Above 40%</t>
  </si>
  <si>
    <t>Baseline Lighting EFLHs</t>
  </si>
  <si>
    <t>Design Lighting EFLHs</t>
  </si>
  <si>
    <t>Base_EFLH</t>
  </si>
  <si>
    <t>Design_EFLH</t>
  </si>
  <si>
    <t>Design Lighting Demand</t>
  </si>
  <si>
    <t>Base Lighting Demand</t>
  </si>
  <si>
    <t>Design Ext EFLH</t>
  </si>
  <si>
    <t>Base Ext Ltg Demand</t>
  </si>
  <si>
    <t>Design Ext Ltg Demand</t>
  </si>
  <si>
    <t>Index</t>
  </si>
  <si>
    <t>Design</t>
  </si>
  <si>
    <t>Base non-water systems</t>
  </si>
  <si>
    <t>Base water systems</t>
  </si>
  <si>
    <t>Pump consumption is reflected in the baseline outputs (as reported in the Performance Outputs tab), even though the baseline HVAC system type is 2, 3, 4, 6, 8, 9, or 10, none of which include an HVAC circulation loop.</t>
  </si>
  <si>
    <t>Base Fan Power</t>
  </si>
  <si>
    <t>Design Fan Power</t>
  </si>
  <si>
    <t>Base Fan Flow</t>
  </si>
  <si>
    <t>Design Fan Flow</t>
  </si>
  <si>
    <t>Base Fan EFLH</t>
  </si>
  <si>
    <t>Design Fan EFLH</t>
  </si>
  <si>
    <t>Base Fan Demand</t>
  </si>
  <si>
    <t>Design Fan Demand</t>
  </si>
  <si>
    <t>Base OA</t>
  </si>
  <si>
    <t>Design OA</t>
  </si>
  <si>
    <t>PV EFLH</t>
  </si>
  <si>
    <t>Virtual Rate</t>
  </si>
  <si>
    <t>Project Team Respone</t>
  </si>
  <si>
    <t>BExt Ltg Demand</t>
  </si>
  <si>
    <t>DExt Ltg Demand</t>
  </si>
  <si>
    <t>DNT Ext Ltg Max</t>
  </si>
  <si>
    <t>BNT Ext Ltg Max</t>
  </si>
  <si>
    <t>Enter the modeled cooling capacity for the Baseline HVAC system (or the total cooling capacity for a group of similar systems) (example: 105 kBtu/h (30.7 kW))
Note: Auto-sized with 15% oversizing per G3.1.2.2</t>
  </si>
  <si>
    <t>Units should be consistent with the ASHRAE 90.1 minimum efficiency rating requirements for this system type</t>
  </si>
  <si>
    <t>Enter the modeled heating capacity for the Baseline HVAC system (or the total heating capacity for a group of similar systems) in units of kBtu/h (kW) 
Note: Auto-sized with 25% oversizing per G3.1.2.2</t>
  </si>
  <si>
    <t>List all relevant efficiencies (e.g. 3.2 COP at 47°F db/43°F wb, 2.0 COP at 17°F db/15°F wb outdoor air) (e.g. 3.2 COP at 8.3°C db/6.1°C wb, 2.0 COP at -8.3°C db/-9.4°C wb outdoor air)</t>
  </si>
  <si>
    <t>Adjustment = 0.5 in. w.c. (125 Pa) (2.15  in. w.c. (535 Pa) for laboratory and vivarium systems)</t>
  </si>
  <si>
    <t>Only where modulated to maintain relative negative or positive space pressure (e.g. lab, operating room)</t>
  </si>
  <si>
    <t>Adjustment = Pressure drop of device calculated at fan system design condition</t>
  </si>
  <si>
    <t>Adjustment = 0.5 in. w.c. (125 Pa)</t>
  </si>
  <si>
    <t>Adjustment = 0.9 in. w.c. (225 Pa)</t>
  </si>
  <si>
    <t>Adjustment = Pressure drop calculated at 2× clean filter pressure drop at fan system design condition</t>
  </si>
  <si>
    <t>Adjustment = Clean filter pressure drop at fan system design condition</t>
  </si>
  <si>
    <t>Adjustment = Pressure drop of device at fan system design condition</t>
  </si>
  <si>
    <t>May only be claimed if required in the baseline.
Adjustment = Clean filter pressure drop at fan system design condition</t>
  </si>
  <si>
    <t>Adjustment = 0.15 in. w.c. (38 Pa)</t>
  </si>
  <si>
    <t>Adjustment = 0.35 in. w.c. (85 Pa)</t>
  </si>
  <si>
    <t>Adjustment = 0.25 in. w.c./100 ft of vertical duct exceeding 75 ft (60 Pa/30 m of vertical duct exceeding 25 m)</t>
  </si>
  <si>
    <t>For Systems 9 and 10, if present in the proposed design, increases the baseline fan power allowance by 0.054 Watts/cfm (0.025 Watts/L/s).</t>
  </si>
  <si>
    <t>•  ≤300 tons (≤1055 kW) building peak: 1 water-cooled screw chiller
•  300-600 tons (1055 - 2110 kW) building peak: 2 equally-sized water-cooled  screw chillers
•  ≥600 tons (&gt;2110 kW) building peak: At least 2 water-cooled centrifugal chillers (800 tons max per chiller) 
Note: Overwrite entry if more than 2 water-cooled centrifugal chillers, or N/A if purchased chilled water is modeled.</t>
  </si>
  <si>
    <t>Describe how the purchased chilled water rate was determined. Local purchased energy rates must be used when available; when not available, the rates must account for the total costs associated with maintaining the district equipment, and generating and delivering the energy to the project site.</t>
  </si>
  <si>
    <t>Auto-sized with 15% oversizing (unless oversized at the system coil) per G3.1.2.2</t>
  </si>
  <si>
    <t>Auto-sized with a capacity ratio of 1.0 based on CHW temperatures</t>
  </si>
  <si>
    <t>Constant Flow - each primary pump interlocked to operate with associated chiller - G3.1.3.10, G3.1.3.11</t>
  </si>
  <si>
    <t>•  &lt;300 tons (1055kW): riding the pump curve
•  ≥300 tons (1055 kW): variable speed</t>
  </si>
  <si>
    <t>1 per G3.1.3.11</t>
  </si>
  <si>
    <t>10°F (5.6°) per G3.1.3.11</t>
  </si>
  <si>
    <t>1 per chiller per G3.1.3.11</t>
  </si>
  <si>
    <t>Auto-sized with a capacity ratio of 1.0 based on CW temperatures</t>
  </si>
  <si>
    <t>Riding the pump curve per G3.1.3.11</t>
  </si>
  <si>
    <t>•  ≤15,000 sq ft (1400 m2): 1 natural draft hot water boiler
•  &gt;15,000 sq ft (1400 m2): 2 equally-sized natural draft hot water boilers staged as required by the load</t>
  </si>
  <si>
    <t>Describe how the purchased heating rate was determined. Local purchased energy rates must be used when available; when not available, the rates must account for the total costs associated with maintaining the district equipment, and generating and delivering the energy to the project site.</t>
  </si>
  <si>
    <t>Auto-sized with 25% oversizing (unless oversized at the system coil) per G3.1.2.2</t>
  </si>
  <si>
    <t>Auto-sized with a capacity ratio of 1.0 based on HHW temperatures</t>
  </si>
  <si>
    <t>•  &lt;120,000 sq ft (11,160 m2): riding the pump curve
•  ≥120,000 sq ft (11,160 m2): variable speed</t>
  </si>
  <si>
    <t>Baseline is primary-only</t>
  </si>
  <si>
    <t>Proposed Case: Describe the geothermal or geoexchange system (e.g. closed loop vertical system, 4 inch (100 mm) diameter drilled 20 feet (6095 mm) apart, 250 feet (76.2 m) deep)</t>
  </si>
  <si>
    <t>Proposed Case: For ground source systems, enter the soil conductivity modeled for the system. This should be based on testing performed on the soil.</t>
  </si>
  <si>
    <t>Proposed Case: Enter the summer design temperature of the soil (for ground source heat pumps), or surface water (for lake, pond, ocean, or other water exchange heat pumps)</t>
  </si>
  <si>
    <t>Proposed Case: Enter the winter design temperature of the soil (for ground source heat pumps), or surface water (for lake, pond, ocean, or other water exchange heat pumps)</t>
  </si>
  <si>
    <t>Proposed Case: Describe how the operating temperature of the geothermal loop will be controlled, and how this was accounted for in the energy model.</t>
  </si>
  <si>
    <t>Proposed Case: Describe how the energy transfer effect from the building to the ground or surface water source has been accounted for in the energy model and the geothermal loop design.</t>
  </si>
  <si>
    <t>Proposed Case: Enter the number of Proposed geothermal loop pumps modeled (example: 1 (additional scheduled pump is stand-by))</t>
  </si>
  <si>
    <t>Proposed Case: Provide a brief description of how the geothermal air-side equipment efficiency curves were modeled, and confirm that they take into account the expected operating temperatures of the geothermal loop.</t>
  </si>
  <si>
    <t>Performace Outputs</t>
  </si>
  <si>
    <t>z</t>
  </si>
  <si>
    <t>Rate_Variance</t>
  </si>
  <si>
    <t>The virtual energy rate for one or more exceptional calculation measures varies from the virtual energy rate for the proposed by more than 10% (as reported in the Performance Outputs tab), which is unexpected.  Please correct or provide justification.</t>
  </si>
  <si>
    <t>The proposed virtual energy rate for natural gas is less than $0.50 per therm or greater than $2.00 per therm (as reported in the Performance Outputs tab), which is unexpected.  Please correct or provide justification.</t>
  </si>
  <si>
    <t>Building ID Lookup</t>
  </si>
  <si>
    <t>No</t>
  </si>
  <si>
    <t>(OPTIONAL) Equivalent Full Load Hours Calculator</t>
  </si>
  <si>
    <t>Complete the General Information tab before completing any other tabs. Note that the selections in this tab will determine the selections available within other tabs, including multiple building selections, residential dwelling unit selections, rating system dependent selections, and district energy selections.</t>
  </si>
  <si>
    <t>Default_Description</t>
  </si>
  <si>
    <t>Default_Assembly_U-factor</t>
  </si>
  <si>
    <t>Base_Description</t>
  </si>
  <si>
    <t>Proposed_Description</t>
  </si>
  <si>
    <t>Assembly U-factor</t>
  </si>
  <si>
    <t>Default_Assembly_C-factor</t>
  </si>
  <si>
    <t>Assembly C-factor</t>
  </si>
  <si>
    <t>Default_Assembly_F-factor</t>
  </si>
  <si>
    <t>Assembly F-factor</t>
  </si>
  <si>
    <t>Default_SHGC</t>
  </si>
  <si>
    <t>Base_SHGC</t>
  </si>
  <si>
    <t>Base_Assembly_U-factor</t>
  </si>
  <si>
    <t>Default_Base</t>
  </si>
  <si>
    <t>Default_Proposed</t>
  </si>
  <si>
    <t>Select one of the following before entering any simulation output data:</t>
  </si>
  <si>
    <t>The exterior lighting inputs indicate that additional lighting power allowance has been claimed in the baseline for surfaces that are not provided with lighting in the actual design and/or lighting fixtures have been double-counted for different exterior surfaces.  Please review selection in LIghting tab or provide a narrative which explains the reasoning for this choice.</t>
  </si>
  <si>
    <t>Exterior Compliant</t>
  </si>
  <si>
    <t>The rating system requires that a minimum of 2% of the energy savings must come from building power and cooling infrastructure. Provide a narrative describing how this requirement has been met. If necessary, include additional modeling output reports.</t>
  </si>
  <si>
    <t>Zones Modeled</t>
  </si>
  <si>
    <t>Inputs for the Shading and Fenestration tab indicate that less than 10 zones were modeled for the building.  This is unusually low for a standard submission.  Revise the quantity of zones input or provide a narrative justifying the number of zones used.</t>
  </si>
  <si>
    <t xml:space="preserve"> Total</t>
  </si>
  <si>
    <t>On/Off Schedules</t>
  </si>
  <si>
    <t>Default Schedules</t>
  </si>
  <si>
    <t>Fraction / Percentage Schedules</t>
  </si>
  <si>
    <t>Residential Dwelling Unit Default Schedules</t>
  </si>
  <si>
    <t xml:space="preserve">Holiday </t>
  </si>
  <si>
    <t>Total (must equal 365 days/year)</t>
  </si>
  <si>
    <t>Reason for exemption from modeling the additional building orientations.</t>
  </si>
  <si>
    <t>Performance Outputs</t>
  </si>
  <si>
    <t>Base Exterior Lighting Demand</t>
  </si>
  <si>
    <t>Design Exterior Lighting Demand</t>
  </si>
  <si>
    <t>Base Non Tradeable Exterior Lighting Maximum</t>
  </si>
  <si>
    <t>Design Non Tradeable Exterior Lighting Maximum</t>
  </si>
  <si>
    <t>Base Exterior Lighitng Consumption</t>
  </si>
  <si>
    <t>Design Exterior Lighting Consumption</t>
  </si>
  <si>
    <t>Base Exterior EFLH</t>
  </si>
  <si>
    <t>Base Miscellaneous % of Total</t>
  </si>
  <si>
    <t>Design Miscellaneous % of Total</t>
  </si>
  <si>
    <t>Unregulated Load Difference</t>
  </si>
  <si>
    <t>Base Service Hot Waters % of Total</t>
  </si>
  <si>
    <t>Design Service Hot Water % of Total</t>
  </si>
  <si>
    <t>Base Pump Consumption</t>
  </si>
  <si>
    <t>Renewable Rate Difference</t>
  </si>
  <si>
    <t>Proposed Electric Rate</t>
  </si>
  <si>
    <t>Proposed Gas Rate</t>
  </si>
  <si>
    <t>Total Baseline Exterior Lighting Demand</t>
  </si>
  <si>
    <t>Total Design Exterior Lighting Demand</t>
  </si>
  <si>
    <t>Base Cooling Capacity</t>
  </si>
  <si>
    <t>Design Cooling Capacity</t>
  </si>
  <si>
    <t>Base Heating Capacity</t>
  </si>
  <si>
    <t>Design Heating Capacity</t>
  </si>
  <si>
    <t>System 8 (District Cooling) - VAV with PFP Boxes</t>
  </si>
  <si>
    <t>the information technology (IT) load as measured at the point of connection (e.g., power receptacle ) of the IT device to the electrical power system. Server input captures the actual power load of the IT device exclusive of any power distribution losses and non-IT loads (e.g., rack-mounted fans).</t>
  </si>
  <si>
    <t>Server input</t>
  </si>
  <si>
    <t>Regulated load</t>
  </si>
  <si>
    <t>a measure of how efficiently a data center uses its power; specifically, how much power is used by computing equipment rather than for cooling and other overhead</t>
  </si>
  <si>
    <t>Power Utilization Effectiveness (PUE)</t>
  </si>
  <si>
    <t>IT annual energy</t>
  </si>
  <si>
    <t>DES Path 3: Streamlined DES Modeling</t>
  </si>
  <si>
    <t>DES Path 2: Full DES Performance Accounting</t>
  </si>
  <si>
    <t>DES Modeling Paths:</t>
  </si>
  <si>
    <t>A heating or cooling system or control associated with the district energy system (DES) but not part of the thermal connection or interface with the DES. Upstream equipment includes the thermal energy conversion plant and all the transmission and distribution equipment associated with transporting the thermal energy to the project building or site.</t>
  </si>
  <si>
    <t>DES: upstream equipment</t>
  </si>
  <si>
    <t>The heating and cooling systems, equipment, and controls located in the project building or on the project site and associated with transporting the thermal energy of the district energy system (DES) into heated and cooled spaces. Downstream equipment includes the thermal connection or interface with the DES, secondary distribution systems in the building, and terminal units.</t>
  </si>
  <si>
    <t>DES: downstream equipment</t>
  </si>
  <si>
    <t>A central energy conversion plant and transmission and distribution system that provides thermal energy to a group of buildings (e.g., a central cooling plant on a university campus). It does not include central energy systems that provide only electricity.</t>
  </si>
  <si>
    <t>district energy system (DES)</t>
  </si>
  <si>
    <t>An integrated system that captures the heat, otherwise unused, generated by a single fuel source in the production of electrical power. Also known as cogeneration. (Adapted from U.S. Environmental Protection Agency)</t>
  </si>
  <si>
    <t>combined heat and power</t>
  </si>
  <si>
    <t>DEFINITIONS</t>
  </si>
  <si>
    <t>Select how the district energy system has been modeled (see Definitions Tab)</t>
  </si>
  <si>
    <t>INSTRUCTIONS:</t>
  </si>
  <si>
    <t>Additional Notes (Optional):</t>
  </si>
  <si>
    <t>Fenestration Percent</t>
  </si>
  <si>
    <t>Skylight Percent</t>
  </si>
  <si>
    <t xml:space="preserve"> 0%-10.0%</t>
  </si>
  <si>
    <t xml:space="preserve"> 0%-2.0%</t>
  </si>
  <si>
    <t xml:space="preserve"> 10.1%-20.0%</t>
  </si>
  <si>
    <t xml:space="preserve"> 2.1%+</t>
  </si>
  <si>
    <t xml:space="preserve"> 20.1%-30.0%</t>
  </si>
  <si>
    <t xml:space="preserve"> 30.1%-40.0%</t>
  </si>
  <si>
    <t>Building Area Type</t>
  </si>
  <si>
    <t>Hotel/motel</t>
  </si>
  <si>
    <t>Vertical Glazing - Ufactor</t>
  </si>
  <si>
    <t>Vertical Glazing - SHGC</t>
  </si>
  <si>
    <t>Table G3.1.1-1</t>
  </si>
  <si>
    <t>Nonresidential 0%-10.0%</t>
  </si>
  <si>
    <t>Residential 0%-10.0%</t>
  </si>
  <si>
    <t>Semiheated 0%-10.0%</t>
  </si>
  <si>
    <t>Nonresidential 10.1%-20.0%</t>
  </si>
  <si>
    <t>Residential 10.1%-20.0%</t>
  </si>
  <si>
    <t>Semiheated 10.1%-20.0%</t>
  </si>
  <si>
    <t>Nonresidential 20.1%-30.0%</t>
  </si>
  <si>
    <t>Residential 20.1%-30.0%</t>
  </si>
  <si>
    <t>Semiheated 20.1%-30.0%</t>
  </si>
  <si>
    <t>Nonresidential 30.1%-40.0%</t>
  </si>
  <si>
    <t>Residential 30.1%-40.0%</t>
  </si>
  <si>
    <t>Semiheated 30.1%-40.0%</t>
  </si>
  <si>
    <t>Nonresidential 0%-2.0%</t>
  </si>
  <si>
    <t>Nonresidential 2.1%+</t>
  </si>
  <si>
    <t>Residential 0%-2.0%</t>
  </si>
  <si>
    <t>Residential 2.1%+</t>
  </si>
  <si>
    <t>Seimiheated 0%-2.0%</t>
  </si>
  <si>
    <t>Seimiheated 2.1%+</t>
  </si>
  <si>
    <t>Baseline Building Gross Above-Grade-Wall Area</t>
  </si>
  <si>
    <t>Grocery Store</t>
  </si>
  <si>
    <t>Healthcare (outpatient)</t>
  </si>
  <si>
    <r>
      <t>Hotel/motel (</t>
    </r>
    <r>
      <rPr>
        <sz val="9"/>
        <color rgb="FFFF0000"/>
        <rFont val="Calibri"/>
        <family val="2"/>
      </rPr>
      <t>≤</t>
    </r>
    <r>
      <rPr>
        <sz val="7.2"/>
        <color rgb="FFFF0000"/>
        <rFont val="Arial"/>
        <family val="2"/>
      </rPr>
      <t xml:space="preserve"> </t>
    </r>
    <r>
      <rPr>
        <sz val="9"/>
        <color rgb="FFFF0000"/>
        <rFont val="Arial"/>
        <family val="2"/>
      </rPr>
      <t>75 rooms)</t>
    </r>
  </si>
  <si>
    <r>
      <t>Hotel/motel (</t>
    </r>
    <r>
      <rPr>
        <sz val="9"/>
        <color rgb="FFFF0000"/>
        <rFont val="Calibri"/>
        <family val="2"/>
      </rPr>
      <t>&gt;</t>
    </r>
    <r>
      <rPr>
        <sz val="7.2"/>
        <color rgb="FFFF0000"/>
        <rFont val="Arial"/>
        <family val="2"/>
      </rPr>
      <t xml:space="preserve"> </t>
    </r>
    <r>
      <rPr>
        <sz val="9"/>
        <color rgb="FFFF0000"/>
        <rFont val="Arial"/>
        <family val="2"/>
      </rPr>
      <t>75 rooms)</t>
    </r>
  </si>
  <si>
    <r>
      <t>Office (</t>
    </r>
    <r>
      <rPr>
        <sz val="9"/>
        <color rgb="FFFF0000"/>
        <rFont val="Calibri"/>
        <family val="2"/>
      </rPr>
      <t>≤</t>
    </r>
    <r>
      <rPr>
        <sz val="7.2"/>
        <color rgb="FFFF0000"/>
        <rFont val="Arial"/>
        <family val="2"/>
      </rPr>
      <t xml:space="preserve"> </t>
    </r>
    <r>
      <rPr>
        <sz val="9"/>
        <color rgb="FFFF0000"/>
        <rFont val="Arial"/>
        <family val="2"/>
      </rPr>
      <t>5,000 sf)</t>
    </r>
  </si>
  <si>
    <t>Office (5,000 to 50,000 sf)</t>
  </si>
  <si>
    <t>Office (&gt;50,000 sf)</t>
  </si>
  <si>
    <t>Restaurant (quick service)</t>
  </si>
  <si>
    <t>Restaurant (full service)</t>
  </si>
  <si>
    <t>Retail (stand alone)</t>
  </si>
  <si>
    <t>Retail (strip mall)</t>
  </si>
  <si>
    <t>School (primary)</t>
  </si>
  <si>
    <t>School (secondary or university)</t>
  </si>
  <si>
    <t>Insulation entirely above deck with a U-factor of 0.063</t>
  </si>
  <si>
    <t>Insulation entirely above deck with a U-factor of 0.218</t>
  </si>
  <si>
    <t>steel-framed with a U-factor of 0.124</t>
  </si>
  <si>
    <t>steel-framed with a U-factor of 0.064</t>
  </si>
  <si>
    <t>steel-joist with a U-factor of 0.052</t>
  </si>
  <si>
    <t>steel-joist with a U-factor of 0.038</t>
  </si>
  <si>
    <t>steel-joist with a U-factor of 0.069</t>
  </si>
  <si>
    <t>Warehouse (nonrefrigeratied)</t>
  </si>
  <si>
    <t>Insulation entirely above deck with a U-factor of 0.360</t>
  </si>
  <si>
    <t>Insulation entirely above deck with a U-factor of 1.240</t>
  </si>
  <si>
    <t>steel-framed with a U-factor of 0.705</t>
  </si>
  <si>
    <t>steel-framed with a U-factor of 0.365</t>
  </si>
  <si>
    <t>steel-joist with a U-factor of 0.296</t>
  </si>
  <si>
    <t>steel-joist with a U-factor of 0.214</t>
  </si>
  <si>
    <t>steel-joist with a U-factor of 0.390</t>
  </si>
  <si>
    <t>Insulation entirely above deck with a U-factor of 0.173</t>
  </si>
  <si>
    <t>steel-framed with a U-factor of 0.084</t>
  </si>
  <si>
    <t>Insulation entirely above deck with a U-factor of 0.982</t>
  </si>
  <si>
    <t>steel-framed with a U-factor of 0.479</t>
  </si>
  <si>
    <t>8" medium weight concrete block with solid grouted cores and no insulation with a C-factor of 0.119</t>
  </si>
  <si>
    <t>205 mm medium weight concrete block with solid grouted cores and no insulation with a C-factor of 0.678</t>
  </si>
  <si>
    <t>150 mm concrete slabs with no insulation with an F-factor of 1.260</t>
  </si>
  <si>
    <t>F-1.260</t>
  </si>
  <si>
    <t>Audience Seating/Auditorium</t>
  </si>
  <si>
    <t>Audience Seating/Convention center</t>
  </si>
  <si>
    <t>Audience Seating/Gymnasium</t>
  </si>
  <si>
    <t>Audience Seating/Motion Picture Theatre</t>
  </si>
  <si>
    <t>Audience Seating/Penitentiary</t>
  </si>
  <si>
    <t>Audience Seating/Performing Arts Theater</t>
  </si>
  <si>
    <t>Audience Seating/Religious Building</t>
  </si>
  <si>
    <t>Audience Seating/Sports Arena</t>
  </si>
  <si>
    <t>Audience Seating/Transportation facility</t>
  </si>
  <si>
    <t>Audience Seating/All Other</t>
  </si>
  <si>
    <t>Atrium ≤40 ft high</t>
  </si>
  <si>
    <t>&lt;enter value&gt;</t>
  </si>
  <si>
    <t>Atrium &gt;40 ft high</t>
  </si>
  <si>
    <t>Banking Activity Area</t>
  </si>
  <si>
    <t>Classroom/Lecture Hall/Training Room in Penitentiary</t>
  </si>
  <si>
    <t>Classroom/Lecture Hall/Training Room in All Other</t>
  </si>
  <si>
    <t>Conference/Meeting/Multipurpose Room</t>
  </si>
  <si>
    <t>Confinement Cells</t>
  </si>
  <si>
    <t>Copy/Print Room</t>
  </si>
  <si>
    <t>Corridor/Facility for Visually Impaired</t>
  </si>
  <si>
    <t>Corridor/Hospital</t>
  </si>
  <si>
    <t>Corridor/Manufacturing Facility</t>
  </si>
  <si>
    <t>Corridor/All Other</t>
  </si>
  <si>
    <t>Courtroom</t>
  </si>
  <si>
    <t>Computer Room</t>
  </si>
  <si>
    <t>Dining Area/Penitentiary</t>
  </si>
  <si>
    <t>Dining Area/Facility for Visually Impaired</t>
  </si>
  <si>
    <t>Dining Area/bar/Lounge or Leisure Dining</t>
  </si>
  <si>
    <t>Dining Area/Cafeteria/Fast Food</t>
  </si>
  <si>
    <t>Dining Area/Family Dining</t>
  </si>
  <si>
    <t>Dining Area/All Other</t>
  </si>
  <si>
    <t>Electrical/Mechanical Room</t>
  </si>
  <si>
    <t>Emergency Vehicle Garage</t>
  </si>
  <si>
    <t>Food Preparation Area</t>
  </si>
  <si>
    <t>Guest Room</t>
  </si>
  <si>
    <t>Judges Chambers</t>
  </si>
  <si>
    <t>Laboratory/Classroom</t>
  </si>
  <si>
    <t>Laboratory/All Other</t>
  </si>
  <si>
    <t>Laundry/Washing Area</t>
  </si>
  <si>
    <t>Loading Dock, Interior</t>
  </si>
  <si>
    <t>Lobby/Facility for Visually Impaired</t>
  </si>
  <si>
    <t>Lobby/Elevator</t>
  </si>
  <si>
    <t>Lobby/Hotel</t>
  </si>
  <si>
    <t>Lobby/Motion Picture Theater</t>
  </si>
  <si>
    <t>Lobby/Performing Arts Theater</t>
  </si>
  <si>
    <t>Lobby/All Other</t>
  </si>
  <si>
    <t>Locker Room</t>
  </si>
  <si>
    <t>Lounge/Breakroom/in Healthcare Facility</t>
  </si>
  <si>
    <t>Lounge/Breakroom/All Other</t>
  </si>
  <si>
    <t>Office/Enclosed</t>
  </si>
  <si>
    <t>Office/Open Plan</t>
  </si>
  <si>
    <t>Parking Area, Interior</t>
  </si>
  <si>
    <t>Pharmacy Area</t>
  </si>
  <si>
    <t>Restroom/Facility for the Visually Impaired</t>
  </si>
  <si>
    <t>Restroom/ All Other</t>
  </si>
  <si>
    <t>Sales Area</t>
  </si>
  <si>
    <t>Seating Area, General</t>
  </si>
  <si>
    <t>Stairwell</t>
  </si>
  <si>
    <t>Storage Room/Hospital</t>
  </si>
  <si>
    <t>Storage Room/≥50 sqft</t>
  </si>
  <si>
    <t>Storage Room/&lt;50 sgft</t>
  </si>
  <si>
    <t>Vehicular Maintenance Area</t>
  </si>
  <si>
    <t>Assisted Living Facility/Chapel</t>
  </si>
  <si>
    <t>Assisted Living Facility/Recreation Room</t>
  </si>
  <si>
    <t>Convention Center-Exhibit Space</t>
  </si>
  <si>
    <t>Dormitory-Living Quarters</t>
  </si>
  <si>
    <t>Fire Station-Sleeping Quarters</t>
  </si>
  <si>
    <t>Gymnasium/Fitness Center/Exercise Area</t>
  </si>
  <si>
    <t>Gymnasium/Fitness Center/Playing Area</t>
  </si>
  <si>
    <t>Healthcare Facility/Emergency Room</t>
  </si>
  <si>
    <t>Healthcare Facility/Exam/Treatment Room</t>
  </si>
  <si>
    <t>Healthcare Facility/Imaging Room</t>
  </si>
  <si>
    <t>Healthcare Facility/Medical Supply Room</t>
  </si>
  <si>
    <t>Healthcare Facility/Nursery</t>
  </si>
  <si>
    <t>Healthcare Facility/Nurses Station</t>
  </si>
  <si>
    <t>Healthcare Facility/Operating Room</t>
  </si>
  <si>
    <t>Healthcare Facility/Patient Room</t>
  </si>
  <si>
    <t>Healthcare Facility/Physical Therapy Room</t>
  </si>
  <si>
    <t>Healthcare Facility/Recovery Room</t>
  </si>
  <si>
    <t>Library/Reading Area</t>
  </si>
  <si>
    <t>Library/Stacks</t>
  </si>
  <si>
    <t>Manufacturing Facility/Detailed Manufacturing Area</t>
  </si>
  <si>
    <t>Manufacturing Facility/Equipment Room</t>
  </si>
  <si>
    <t>Manufacturing Facility/Extra High Bay Area (&gt;50 ft floor-to-ceiling height)</t>
  </si>
  <si>
    <t>Manufacturing Facility/High Bay Area (25-50 ft floor-to-ceiling height)</t>
  </si>
  <si>
    <t>Manufacturing Facility/Low Bay Area (&lt;25 ft floor-to-ceiling height)</t>
  </si>
  <si>
    <t>Museum/General Exhibition Area</t>
  </si>
  <si>
    <t>Museum/Restoration Room</t>
  </si>
  <si>
    <t>Post Office/Sorting Area</t>
  </si>
  <si>
    <t>Religious Building/Fellowship Hall</t>
  </si>
  <si>
    <t>Religious building/Worship/Choir area</t>
  </si>
  <si>
    <t>Retail Facilities/Dressing/Fitting Room</t>
  </si>
  <si>
    <t>Retail Facilities/Mall Concourse</t>
  </si>
  <si>
    <t>Sporting Arena-Playing Area/Class I Facility</t>
  </si>
  <si>
    <t>Sporting Arena-Playing Area/Class II Facility</t>
  </si>
  <si>
    <t>Sporting Arena-Playing Area/Class III Facility</t>
  </si>
  <si>
    <t>Sporting Arena-Playing Area/Class IV Facility</t>
  </si>
  <si>
    <t>Transportation Facility/Baggage/Carousel Area</t>
  </si>
  <si>
    <t>Transportation Facility/Airport Concourse</t>
  </si>
  <si>
    <t>Transportation Facility/Terminal Ticket Counter</t>
  </si>
  <si>
    <t>Warehouse-Storage Area/Medium to Bulky, Palletized Items</t>
  </si>
  <si>
    <t>Warehouse-Storage Area/Smaller, Hand Carried Items</t>
  </si>
  <si>
    <t>Dwelling Unit</t>
  </si>
  <si>
    <t>Multiple</t>
  </si>
  <si>
    <t>W/sf or W/linear foot</t>
  </si>
  <si>
    <t>W/sm or W/linear meter</t>
  </si>
  <si>
    <t>Parking lots and drives</t>
  </si>
  <si>
    <t>Canopies (free standing and attached and overhangs)</t>
  </si>
  <si>
    <t>Outdoor Sales Open areas (including vehicle sales lots)</t>
  </si>
  <si>
    <t>Outdoor Sales Street frontage for vehicle sales lots in addition to open-area allowance)</t>
  </si>
  <si>
    <t>IPParking lots and drives</t>
  </si>
  <si>
    <t>IPWalkways less than 10 ft wide</t>
  </si>
  <si>
    <t>IPWalkways 10 ft wide or greater</t>
  </si>
  <si>
    <t>IPPlaza areas</t>
  </si>
  <si>
    <t>IPSpecial feature areas</t>
  </si>
  <si>
    <t>IPStairways</t>
  </si>
  <si>
    <t>IPMain entries</t>
  </si>
  <si>
    <t>IPOther doors</t>
  </si>
  <si>
    <t>IPCanopies (free standing and attached and overhangs)</t>
  </si>
  <si>
    <t>IPOutdoor Sales Open areas (including vehicle sales lots)</t>
  </si>
  <si>
    <t>IPOutdoor Sales Street frontage for vehicle sales lots in addition to open-area allowance)</t>
  </si>
  <si>
    <t>SIParking lots and drives</t>
  </si>
  <si>
    <t>SIWalkways less than 10 ft wide</t>
  </si>
  <si>
    <t>SIWalkways 10 ft wide or greater</t>
  </si>
  <si>
    <t>SIPlaza areas</t>
  </si>
  <si>
    <t>SISpecial feature areas</t>
  </si>
  <si>
    <t>SIStairways</t>
  </si>
  <si>
    <t>SIMain entries</t>
  </si>
  <si>
    <t>SIOther doors</t>
  </si>
  <si>
    <t>SICanopies (free standing and attached and overhangs)</t>
  </si>
  <si>
    <t>SIOutdoor Sales Open areas (including vehicle sales lots)</t>
  </si>
  <si>
    <t>SIOutdoor Sales Street frontage for vehicle sales lots in addition to open-area allowance)</t>
  </si>
  <si>
    <t>Building Facades</t>
  </si>
  <si>
    <t>Automated teller machines (ATMs) and night depositories</t>
  </si>
  <si>
    <t>270 W+90 per additional</t>
  </si>
  <si>
    <t>Entrance and gatehouse inspection stations at guarded facilities</t>
  </si>
  <si>
    <t>Loading areas for law enforcement, fire, ambulance and other emergency service vehicles</t>
  </si>
  <si>
    <t>Drive-up windows at fast food restaurants</t>
  </si>
  <si>
    <t>Table G3.6 Lighting Power Densities for Building Exteriors (Tradable)</t>
  </si>
  <si>
    <t>Table G3.6 Lighting Power Densities for Building Exteriors (Nontradable)</t>
  </si>
  <si>
    <t>Calculated using the cooling tower approach to the 0.4% evaporation design wet-bulb temperature as generated by the formula per G3.1.3.11.</t>
  </si>
  <si>
    <r>
      <rPr>
        <b/>
        <sz val="10"/>
        <rFont val="Arial"/>
        <family val="2"/>
      </rPr>
      <t xml:space="preserve">Upload: Exceptional calculation </t>
    </r>
    <r>
      <rPr>
        <sz val="10"/>
        <rFont val="Arial"/>
        <family val="2"/>
      </rPr>
      <t xml:space="preserve">
Provide a detailed narrative explaining the exceptional calculation method(s) performed, including all end-uses affected by the exceptional calculation method. If more than one exceptional calculation method is used, the exceptional calculation ID in the narrative must match the values listed in the table above.  The exceptional calculation method must include:
•  Step-by-step documentation of the exceptional calculation method(s) performed detailed enough to reproduce the results
•  Copies of all spreadsheets used to perform the calculations, or simulation energy model input and output summaries documenting the calculations performed
•  For methods that significantly impact HVAC or refrigeration energy, the calculations shall be performed on a time step basis consistent with the simulation program used
•  The Performance Rating calculated with and without the exceptional calculation method
•  Documentation of the baseline and proposed assumptions. Documentation of baseline assumptions verify that the efficiency measure is not conventional practice by including, but not limited to:
    ○  a recently published study (published within five years of the project registration date) with researched tabulations or monitored data establishing standard practice for the given application in similar newly constructed facilities
    ○  a new construction utility or government program that incentivizes the measure
    ○  a document showing the systems used to perform the same function in other newly constructed facilities (for example, three similar facilities built within the past five years). These systems would be treated as the baseline system in the analysis, and evidence must be provided to demonstrate how the energy for the baseline and proposed buildings are determined 
    ○  use any of the prescriptive requirements from </t>
    </r>
    <r>
      <rPr>
        <sz val="10"/>
        <color rgb="FFFF0000"/>
        <rFont val="Arial"/>
        <family val="2"/>
      </rPr>
      <t>90.1-2013</t>
    </r>
    <r>
      <rPr>
        <sz val="10"/>
        <rFont val="Arial"/>
        <family val="2"/>
      </rPr>
      <t xml:space="preserve"> as the baseline requirement without further justification to substantiate conventional practice, but only for the specific component addressed by the prescriptive requirement</t>
    </r>
  </si>
  <si>
    <r>
      <t xml:space="preserve">The baseline and/or proposed exterior lighting equivalent full load hours (determined by dividing the total annual lighting consumption by the total lighting power as reported in the Performance Outputs tab) is greater than 5,110 hours/year (approximately 14 hours per day) or less than 3,650 hours/year (approximately 10 hours per day). Ensure that the lighting models reflect all mandatory controls from </t>
    </r>
    <r>
      <rPr>
        <sz val="9"/>
        <color rgb="FFFF0000"/>
        <rFont val="Arial"/>
        <family val="2"/>
      </rPr>
      <t>Section 9.4.1.4.</t>
    </r>
  </si>
  <si>
    <t>The total baseline and proposed air flow rates differ by more than 35% (as reported in the Air-Side HVAC sheet), making it unclear whether the baseline fan air flow rate was sized based on a 20 deg. F supply-air-to-room-air temperature difference, as required by G3.1.2.8.1 for each baseline system. Verify that the proposed has been modeled as designed in accordance with Table G3.1.10(b) (proposed) and that the baseline has been correctly sized in accordance with Appendix G requirements.</t>
  </si>
  <si>
    <r>
      <t xml:space="preserve">The outdoor airflow rate is higher in the baseline model compared to the proposed (as reported in the Air-Side HVAC tab). Section </t>
    </r>
    <r>
      <rPr>
        <sz val="9"/>
        <color rgb="FFFF0000"/>
        <rFont val="Arial"/>
        <family val="2"/>
      </rPr>
      <t>G3.1.2.5 exception (3)</t>
    </r>
    <r>
      <rPr>
        <sz val="9"/>
        <color theme="0" tint="-0.499984740745262"/>
        <rFont val="Arial"/>
        <family val="2"/>
      </rPr>
      <t xml:space="preserve"> requires that if the proposed design has more outdoor air than required by the rating authority (in this case USGBC/GBCI), then the baseline must be modeled with the amount required per EQ Prerequisite Minimum Indoor Air Quality Performance, and will be less than the rate modeled in the proposed. Ensure that the baseline outdoor airflow rate is consistent with that required by EQ Prerequisite Minimum Indoor Air Quality Performance. If applying </t>
    </r>
    <r>
      <rPr>
        <sz val="9"/>
        <color rgb="FFFF0000"/>
        <rFont val="Arial"/>
        <family val="2"/>
      </rPr>
      <t>G3.1.2.5 exception (2)</t>
    </r>
    <r>
      <rPr>
        <sz val="9"/>
        <color theme="0" tint="-0.499984740745262"/>
        <rFont val="Arial"/>
        <family val="2"/>
      </rPr>
      <t>, and using an Ez value of 1.0 for the Baseline Case, upload baseline design ventilation rate procedure calculations as described in Standard 62.1 and as required by ASHRAE 90.1 in order to claim credit for this exception.</t>
    </r>
  </si>
  <si>
    <r>
      <t xml:space="preserve">Two different types of heating consumption (e.g. electricity and natural gas) are reported in the baseline results in the Performance Outputs tab, which is unexpected. If modeling system type 3, note that there should be no crankcase heating or electric space heaters modeled in the baseline. If modeling system type 1, 5, or 7, note that the hot water boiler must be modeled as a natural draft boiler and there should be no electric space heaters modeled in the baseline. Please note that there are some exceptions </t>
    </r>
    <r>
      <rPr>
        <sz val="9"/>
        <color rgb="FFFF0000"/>
        <rFont val="Arial"/>
        <family val="2"/>
      </rPr>
      <t>(e.g. G3.1.1 (b))</t>
    </r>
    <r>
      <rPr>
        <sz val="9"/>
        <color theme="0" tint="-0.499984740745262"/>
        <rFont val="Arial"/>
        <family val="2"/>
      </rPr>
      <t xml:space="preserve"> which allow this situation; therefore, please be cautious before changing the model as a result of this comment.</t>
    </r>
  </si>
  <si>
    <t>The total exterior lighting power allowance, including the base site allowance, is less than the designed lighting power as reported in the Lighting tab, violating mandatory Section 9.4.2. Verify that the inputs are accurate and modify the exterior lighting design as necessary to show compliance.</t>
  </si>
  <si>
    <t>The value for nontradable exterior lighting power (building facades, ATMs and night depositories, entrances and gatehouse inspection stations at guarded facilities, loading areas for law enforcement, fire, ambulance, and other emergency service vehicles, drive-through windows at fast food restaurants, and/or parking near 24-hour retail entrances) is less than the designed lighting power after adding in the unrestricted lighting power allowance as reported in the Lighting sheet, violating mandatory Section 9.4.2. Verify that the inputs are accurate and modify the exterior lighting design as necessary to show compliance.</t>
  </si>
  <si>
    <t>System 11 - SZ-VAV</t>
  </si>
  <si>
    <t>System 12 - SZ-CV-HW</t>
  </si>
  <si>
    <t>System 13 - SZ-CV-ER</t>
  </si>
  <si>
    <r>
      <t xml:space="preserve">*Note: Values provided for enclosed motors @ 1800 rpm as specified in </t>
    </r>
    <r>
      <rPr>
        <sz val="9"/>
        <color rgb="FFFF0000"/>
        <rFont val="Arial"/>
        <family val="2"/>
      </rPr>
      <t>ASHRAE 90.1-2013 Appendix G, Section G3.1.2.9</t>
    </r>
  </si>
  <si>
    <r>
      <t xml:space="preserve">A virtual DES-equivalent plant for the Proposed case is constructed and compared to code-compliant on-site equipment for the Baseline Case. The Baseline case system type is modeled consistent with an on-site system in ASHRAE 90.1 Appendix G. Average efficiencies for the proposed case are modeled or monitored. (Refer to the </t>
    </r>
    <r>
      <rPr>
        <i/>
        <sz val="11"/>
        <color theme="1"/>
        <rFont val="Arial"/>
        <family val="2"/>
        <scheme val="minor"/>
      </rPr>
      <t>LEED v4 Building Design &amp; Construction Reference Guide</t>
    </r>
    <r>
      <rPr>
        <sz val="11"/>
        <color theme="1"/>
        <rFont val="Arial"/>
        <family val="2"/>
        <scheme val="minor"/>
      </rPr>
      <t>, Minimum Energy Performance Prerequisite for details.)</t>
    </r>
  </si>
  <si>
    <t>Electricity consumption by information technology and telecom equipment which includes servers, networking, and storage equipment over the course of a year</t>
  </si>
  <si>
    <t>Refer to the Tenant Lease and Sales Agreement section of the LEED Reference Guide. Upload all required documentation to substantiate the savings claimed for the unfinished spaces.</t>
  </si>
  <si>
    <t>ASHRAE 90.1-2010 User's Manual Schedules</t>
  </si>
  <si>
    <t>Required for Systems 1-6
Required for Systems 1, 3, and 5 if District Heating has been selected on the General Information tab
Not required if District Cooling has been selected</t>
  </si>
  <si>
    <t>Many cells have additional instructions and tips displayed when the cell is selected.</t>
  </si>
  <si>
    <t>Review calculated proposed and baseline wattage and LPD's in the proposed and baseline lighting power columns. Proposed LPD's (w/o occupancy sensor credit) that exceed the baseline are shown in red for informational purposes.</t>
  </si>
  <si>
    <t>SPECIAL CASES</t>
  </si>
  <si>
    <t>Model Inputs</t>
  </si>
  <si>
    <t>Lighting Plans Dwg#</t>
  </si>
  <si>
    <t>Table G3.7 per addendum bw</t>
  </si>
  <si>
    <t>occupancy sensor reduction</t>
  </si>
  <si>
    <t>Table G3.7 LPD</t>
  </si>
  <si>
    <t xml:space="preserve">TableG3.7
LPD </t>
  </si>
  <si>
    <r>
      <t>Thermal Block Description</t>
    </r>
    <r>
      <rPr>
        <sz val="10"/>
        <color theme="1"/>
        <rFont val="Arial"/>
        <family val="2"/>
      </rPr>
      <t xml:space="preserve"> (e.g. space name(s) from drawings, thermal block name from model, etc.)</t>
    </r>
  </si>
  <si>
    <r>
      <t xml:space="preserve">Connected Lighting Power Controlled by OS </t>
    </r>
    <r>
      <rPr>
        <sz val="10"/>
        <rFont val="Arial"/>
        <family val="2"/>
      </rPr>
      <t>(W)</t>
    </r>
  </si>
  <si>
    <r>
      <t xml:space="preserve">Lighting Controlled by Daylighting </t>
    </r>
    <r>
      <rPr>
        <sz val="10"/>
        <rFont val="Arial"/>
        <family val="2"/>
      </rPr>
      <t>(W)</t>
    </r>
  </si>
  <si>
    <r>
      <t>Prop. Lighting Power</t>
    </r>
    <r>
      <rPr>
        <sz val="10"/>
        <color theme="1"/>
        <rFont val="Arial"/>
        <family val="2"/>
      </rPr>
      <t xml:space="preserve"> (W)</t>
    </r>
  </si>
  <si>
    <r>
      <t xml:space="preserve">Addtl. Lighting Allowance </t>
    </r>
    <r>
      <rPr>
        <sz val="10"/>
        <color theme="1"/>
        <rFont val="Arial"/>
        <family val="2"/>
      </rPr>
      <t>(decorative and/or retail; "use it or lose it" allowance)</t>
    </r>
  </si>
  <si>
    <r>
      <t>Baseline Lighting Power</t>
    </r>
    <r>
      <rPr>
        <sz val="10"/>
        <color theme="1"/>
        <rFont val="Arial"/>
        <family val="2"/>
      </rPr>
      <t xml:space="preserve"> (W)</t>
    </r>
  </si>
  <si>
    <r>
      <t>Notes</t>
    </r>
    <r>
      <rPr>
        <sz val="10"/>
        <color theme="1"/>
        <rFont val="Arial"/>
        <family val="2"/>
      </rPr>
      <t xml:space="preserve"> (Explain if: occupancy sensor performance credit is different than default; baseline LPD is custom/exempt or multiple; an additional lighting allowance is counted)</t>
    </r>
  </si>
  <si>
    <r>
      <t xml:space="preserve">Done </t>
    </r>
    <r>
      <rPr>
        <sz val="10"/>
        <color theme="1"/>
        <rFont val="Arial"/>
        <family val="2"/>
      </rPr>
      <t>(Optional for productivity, select "x" to mark as complete)</t>
    </r>
  </si>
  <si>
    <t>Review space type summary on LPD by Space Type tab generated based on inputs in the table below.</t>
  </si>
  <si>
    <t>Performance Cost Index (PCI) (excluding site-generated renewable energy)</t>
  </si>
  <si>
    <t>Performance Cost Indeix (PCI) (including site-generated renewable energy)</t>
  </si>
  <si>
    <r>
      <t xml:space="preserve">The </t>
    </r>
    <r>
      <rPr>
        <b/>
        <i/>
        <sz val="10"/>
        <rFont val="Arial"/>
        <family val="2"/>
      </rPr>
      <t>baseline</t>
    </r>
    <r>
      <rPr>
        <sz val="10"/>
        <rFont val="Arial"/>
        <family val="2"/>
      </rPr>
      <t xml:space="preserve"> hot water design supply temperature has been modeled as 180°F (82°C) with a return temperature of 130°F (54°C) per G3.1.3.3.</t>
    </r>
  </si>
  <si>
    <r>
      <t xml:space="preserve">The </t>
    </r>
    <r>
      <rPr>
        <b/>
        <i/>
        <sz val="10"/>
        <rFont val="Arial"/>
        <family val="2"/>
      </rPr>
      <t>baseline</t>
    </r>
    <r>
      <rPr>
        <sz val="10"/>
        <rFont val="Arial"/>
        <family val="2"/>
      </rPr>
      <t xml:space="preserve"> chilled water supply temperature reset schedule has been modeled as 44°F (7°C) at outdoor temperatures 80°F (27°C) and above, 54°F (12°C) at outdoor temperatures 60°F (16°C) and below, and ramped linearly between 44°F (7°C) and 54°F (12°C) at outdoor temperatures between 80°F (27°C) and 60°F (16°C), except for System 11, which should be modeled with load reset, per G3.1.3.9.</t>
    </r>
  </si>
  <si>
    <t>Required for System 11</t>
  </si>
  <si>
    <t>•  12°F (6.3°C) per  G3.1.3.8
•  ASHRAE 90.1 (DES Path 1): CHW ΔT  based on actual chilled water loop conditions in Proposed Case.</t>
  </si>
  <si>
    <t>•  44°F (6.7°C) per G3.1.3.8
•  ASHRAE 90.1 (DES Path 1): Baseline supply temperature based on actual chilled water loop conditions in Proposed Case.</t>
  </si>
  <si>
    <t>•  Primary/secondary per G3.1.3.10
•  ASHRAE 90.1 (DES Path 1) or Streamlined DES (DES Path 3): only building distribution pumps shall be modeled, in which case pump controls shall match the Baseline secondary CHW pump control requirements.</t>
  </si>
  <si>
    <t>•  1 per chiller per G3.1.3.11
•  ASHRAE 90.1 (DES Path 1) or Streamlined DES (DES Path 3): no primary  CHW pumps should be modeled (since these are considered part of the upstream source)</t>
  </si>
  <si>
    <t>•  1 per G3.1.3.10
•  ASHRAE 90.1 (DES Path 1) or Streamlined DES (DES Path 3): one on-site CHW distribution pump shall only be modeled if CHW distribution pumps are present on site (these would otherwise be considered part of the upstream source) (per G3.1.1.3.4)</t>
  </si>
  <si>
    <t>19 W/gpm (310 kW/1000 L/s) per G3.1.3.11</t>
  </si>
  <si>
    <t>•  180°F (82°C) per G3.1.3.3
•  ASHRAE 90.1 (DES Path 1) or Full DES (DES Path 2): Purchased Energy - Baseline supply temperature based on actual HHW/Steam loop conditions in Proposed Case</t>
  </si>
  <si>
    <t>•  50°F (28°C) per G3.1.3.3
•  ASHRAE 90.1 (DES Path 1): Baseline ΔT based on actual HHW/Steam loop conditions in Proposed Case</t>
  </si>
  <si>
    <t>•  180°F (83°C) at outdoor temps 20°F (-7°C) and below, 150°F (66°C) at outdoor temps 50°F (10°C) and above, and ramped linearly between 180°F (83°C) and 150°F (66°C) at outdoor temps between 20°F(-7°C) and 50°F (10°C) per G3.1.3.4
•  ASHRAE 90.1 (DES Path 1): Baseline Temp Reset based on actual HHW/Steam loop conditions in Proposed Case</t>
  </si>
  <si>
    <t>•  Primary-only per G3.1.3.5
•  ASHRAE 90.1 (DES Path 1) or Streamlined DES (DES Path 3): Baseline pumps shall only be modeled if distribution pumps are present in the building, in which case buildings shall be modeled as primary-only per G3.1.3.5</t>
  </si>
  <si>
    <t>•  One pump
•  ASHRAE 90.1 (DES Path 1) or Streamlined DES (DES Path 3): equal to the number of distribution pumps present in the building</t>
  </si>
  <si>
    <t>•  19 W/gpm (301 kW/1000 L/s) per G3.1.3.5
•  ASHRAE 90.1 (Path 1) or Streamlined DES (Path 3): 14 W/gpm (222 kW/1000 L/s) per exception to G3.1.3.5</t>
  </si>
  <si>
    <t>The Performance Outputs tab shows zero consumption for exterior lighting power in the baseline and/or proposed model.  Confirm that no exterior lighting is included in the building site. Verify that the proposed exterior lighting reflects the actual building design, and the baseline reflects the allowed lighting power from Table G3.6.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</si>
  <si>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baseline and proposed exterior lighting consumption values are within 1% of each other, as reported in the Performance Outputs tab, indicating that the lighting has been modeled nearly identically. Verify that the proposed exterior lighting reflects the actual building design, and the baseline reflects the allowed lighting power from Table G3.6.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</si>
  <si>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service water heating consumption for the baseline and/or proposed building constitutes more than 15% of the total building site energy usage (as reported in the Performance Outputs tab), which is unexpected. This check was made using the Performance Rating - Energy Consumption and Cost by Fuel Type table (i.e. before any adjustments were made for renewable energy production or an exceptional calculation method). Verify that the service water heating has been modeled as designed, in accordance with Table G3.1.11 (b) (proposed) and that the schedule is typical of the building type in accordance with Table G3.1#4.</t>
  </si>
  <si>
    <t>The total baseline and proposed capacities for the cooling and/or heating (as reported in the Air-Side HVAC tab) differ by more than 35%, making it unclear whether the baseline cooling and heating capacities meet the G3.1.2.2 requirement for oversizing by 15% for cooling and 25% for heating. Verify that the proposed has been modeled as designed in accordance with Table G3.1.10(b) and that the baseline has been sized in accordance with Appendix G requirements. Additionally, verify that the baseline capacities were oversized either at the system level or plant level, but not both, and that any other safety factors have been excluded from the baseline.</t>
  </si>
  <si>
    <t>The Energy Modeling Output Reporting Method (as reported in the Performance Outputs tab) indicates that the baseline has not been rotated because the building orientation is dictated by site considerations, as allowed by Table G3.1 #5 (a) (baseline) Exception 1. Provide a detailed narrative (and additional documentation as necessary) describing why this exception has been applied.</t>
  </si>
  <si>
    <t>Occupancy Sensor Type</t>
  </si>
  <si>
    <t>Hide</t>
  </si>
  <si>
    <t>The vertical glazing areas in the baseline differs from what is required in Table G3.1.1-1.  Please correct or provide justification.</t>
  </si>
  <si>
    <t xml:space="preserve">System </t>
  </si>
  <si>
    <t>Equipment type</t>
  </si>
  <si>
    <t>Size Category</t>
  </si>
  <si>
    <t>Heating Section Type</t>
  </si>
  <si>
    <t>Lookup Value</t>
  </si>
  <si>
    <t>FL Eff</t>
  </si>
  <si>
    <t>PL Eff</t>
  </si>
  <si>
    <t>PTAC (cooling mode)
new construction</t>
  </si>
  <si>
    <t>All capacities</t>
  </si>
  <si>
    <t>&lt;enter average eff&gt;</t>
  </si>
  <si>
    <t>PTHP (cooling mode)
new construction</t>
  </si>
  <si>
    <t>PTHP (cooling mode)
replacements</t>
  </si>
  <si>
    <t>Air conditioners,
air cooled</t>
  </si>
  <si>
    <t>&lt;65,000 Btu/h</t>
  </si>
  <si>
    <t>SEER</t>
  </si>
  <si>
    <t>≥65,000 Btu/h and
&lt;135,000 Btu/h</t>
  </si>
  <si>
    <t>All other</t>
  </si>
  <si>
    <t>IEER</t>
  </si>
  <si>
    <t>≥135,000 Btu/h and
&lt;240,000 Btu/h</t>
  </si>
  <si>
    <t>≥240,000 Btu/h and
&lt;760,000 Btu/h</t>
  </si>
  <si>
    <t>≥760,000 Btu/h</t>
  </si>
  <si>
    <t>Air cooled
(cooling mode)</t>
  </si>
  <si>
    <t>≥240,000 Btu/h</t>
  </si>
  <si>
    <t>Minimum Efficiency</t>
  </si>
  <si>
    <t>PTHP (heating mode)
new construction</t>
  </si>
  <si>
    <t>PTHP (heating mode)
replacements</t>
  </si>
  <si>
    <t>Warm air furnace, gas-fired</t>
  </si>
  <si>
    <t>&lt;225,000 Btu/h</t>
  </si>
  <si>
    <t>≥225,000 Btu/h</t>
  </si>
  <si>
    <t>&lt;65,000 Btu/h
(cooling capacity)</t>
  </si>
  <si>
    <t>≥65,000 Btu/h and
&lt;135,000 Btu/h
(cooling capacity)
47°F db/43°F wb
outdoor air</t>
  </si>
  <si>
    <t>≥135,000 Btu/h
(cooling capacity)
47°F db/43°F wb
outdoor air</t>
  </si>
  <si>
    <t>HeatingOnly</t>
  </si>
  <si>
    <t>No Pressure Adjustment</t>
  </si>
  <si>
    <t>UnitaryHeatingSize</t>
  </si>
  <si>
    <t>SATreset</t>
  </si>
  <si>
    <t>Unitary Cooling</t>
  </si>
  <si>
    <t>Unitary Heating</t>
  </si>
  <si>
    <t>NoEconomizer</t>
  </si>
  <si>
    <t>System 1 (District Cooling) - 4-pipe Fan Coil with HW Boiler</t>
  </si>
  <si>
    <t>System 1 (District Heating &amp; Cooling) - 4-pipe Fan Coil</t>
  </si>
  <si>
    <t>System 2 (District Cooling) - 4-pipe Fan Coil with HW Boiler</t>
  </si>
  <si>
    <t>System 7 (Heating &amp; Cooling) - VAV with Reheat</t>
  </si>
  <si>
    <t>System 8 (District Cooling)- VAV with PFP Boxes</t>
  </si>
  <si>
    <t>kBtu/h</t>
  </si>
  <si>
    <t>Not required</t>
  </si>
  <si>
    <t>System 11 (District Cooling) - SZ-VAV</t>
  </si>
  <si>
    <t>System 12 (District Cooling) - SZ-CV-HW</t>
  </si>
  <si>
    <t>System 13 (District Cooling) - SZ-CV-ER</t>
  </si>
  <si>
    <t>System 11 (District Heating) - SZ-VAV</t>
  </si>
  <si>
    <t>System 12 (District Heating) - SZ-CV-HW</t>
  </si>
  <si>
    <t>System 13 (District Heating) - SZ-CV-ER</t>
  </si>
  <si>
    <t>System 11 (District Heating &amp; Cooling) - SZ-VAV</t>
  </si>
  <si>
    <t>System 12 (District Heating &amp; Cooling) - SZ-CV-HW</t>
  </si>
  <si>
    <t>System 13 (District Heating &amp; Cooling) - SZ-CV-ER</t>
  </si>
  <si>
    <t>3.1 COP</t>
  </si>
  <si>
    <t>3.2 COP</t>
  </si>
  <si>
    <t>6.6 HSPF</t>
  </si>
  <si>
    <t>80 %Ec</t>
  </si>
  <si>
    <t>OS Credit Multiplier</t>
  </si>
  <si>
    <t>OS Credit Adjusted</t>
  </si>
  <si>
    <t>Was Baseline LPD Overwritten?</t>
  </si>
  <si>
    <t>Lighting Counts</t>
  </si>
  <si>
    <t>General Lighting</t>
  </si>
  <si>
    <t>App G. Baseline %</t>
  </si>
  <si>
    <t>Entered Baseline %</t>
  </si>
  <si>
    <t>Space Type</t>
  </si>
  <si>
    <t xml:space="preserve"> </t>
  </si>
  <si>
    <t>END USES (COL A)</t>
  </si>
  <si>
    <t>AFFECTED FUELS (COL B)</t>
  </si>
  <si>
    <t>Lighting - Conditioned</t>
  </si>
  <si>
    <t>Space Heating</t>
  </si>
  <si>
    <t>Gas</t>
  </si>
  <si>
    <t>Space Cooling</t>
  </si>
  <si>
    <t>Heat Rejection</t>
  </si>
  <si>
    <t>Fans - Conditioned</t>
  </si>
  <si>
    <t>Receptacles - Conditioned</t>
  </si>
  <si>
    <t>Stand-alone Base Utilities</t>
  </si>
  <si>
    <t>Total Building Consumption</t>
  </si>
  <si>
    <t>Electric Usage:</t>
  </si>
  <si>
    <t>Non-Coincident Peak Demand:</t>
  </si>
  <si>
    <t>Coincident Peak Demand:</t>
  </si>
  <si>
    <t>Fuel Usage:</t>
  </si>
  <si>
    <t>Source Energy:</t>
  </si>
  <si>
    <t>TDV Energy:</t>
  </si>
  <si>
    <t>Annual Utility Costs:</t>
  </si>
  <si>
    <t>Hours Outside Throttling Range:</t>
  </si>
  <si>
    <t>Run Type</t>
  </si>
  <si>
    <t>Internal Loads</t>
  </si>
  <si>
    <t>Case #s</t>
  </si>
  <si>
    <t>Short Name</t>
  </si>
  <si>
    <t>Carry Fwd</t>
  </si>
  <si>
    <t>Incremental First Cost ($)</t>
  </si>
  <si>
    <t>Incremental Annual Maint. ($)</t>
  </si>
  <si>
    <t>Date &amp; Time of Run</t>
  </si>
  <si>
    <t>File Name</t>
  </si>
  <si>
    <t>Case Description</t>
  </si>
  <si>
    <t>SS-D
Peak Cooling Coil Load
kBtu</t>
  </si>
  <si>
    <t>PS-E
Ambient Lights
kWh</t>
  </si>
  <si>
    <t>PS-E
Task Lights
kWh</t>
  </si>
  <si>
    <t>PS-E
Misc Equip
kWh</t>
  </si>
  <si>
    <t>PS-E
Space Heating
kWh</t>
  </si>
  <si>
    <t>PS-E
Space Cooling
kWh</t>
  </si>
  <si>
    <t>PS-E
Heat Reject
kWh</t>
  </si>
  <si>
    <t>PS-E
Pumps &amp; Aux
kWh</t>
  </si>
  <si>
    <t>PS-E
Ventilation Fans
kWh</t>
  </si>
  <si>
    <t>PS-E
Refrig Display
kWh</t>
  </si>
  <si>
    <t>PS-E
Heat Pump Supplement
kWh</t>
  </si>
  <si>
    <t>PS-E
Domestic Hot Water
kWh</t>
  </si>
  <si>
    <t>PS-E
Exterior Usage
kWh</t>
  </si>
  <si>
    <t>PS-E
Total
kWh</t>
  </si>
  <si>
    <t>PS-E
Ambient Lights
kW</t>
  </si>
  <si>
    <t>PS-E
Task Lights
kW</t>
  </si>
  <si>
    <t>PS-E
Misc Equip
kW</t>
  </si>
  <si>
    <t>PS-E
Space Heating
kW</t>
  </si>
  <si>
    <t>PS-E
Space Cooling
kW</t>
  </si>
  <si>
    <t>PS-E
Heat Reject
kW</t>
  </si>
  <si>
    <t>PS-E
Pumps &amp; Aux
kW</t>
  </si>
  <si>
    <t>PS-E
Ventilation Fans
kW</t>
  </si>
  <si>
    <t>PS-E
Refrig Display
kW</t>
  </si>
  <si>
    <t>PS-E
Heat Pump Supplement
kW</t>
  </si>
  <si>
    <t>PS-E
Domestic Hot Water
kW</t>
  </si>
  <si>
    <t>PS-E
Exterior Usage
kW</t>
  </si>
  <si>
    <t>PS-E
Bldg Total
kW</t>
  </si>
  <si>
    <t>PS-E
Ambient Lights
Therms</t>
  </si>
  <si>
    <t>PS-E
Task Lights
Therms</t>
  </si>
  <si>
    <t>PS-E
Misc Equip
Therms</t>
  </si>
  <si>
    <t>PS-E
Space Heating
Therms</t>
  </si>
  <si>
    <t>PS-E
Space Cooling
Therms</t>
  </si>
  <si>
    <t>PS-E
Heat Reject
Therms</t>
  </si>
  <si>
    <t>PS-E
Pumps &amp; Aux
Therms</t>
  </si>
  <si>
    <t>PS-E
Ventilation Fans
Therms</t>
  </si>
  <si>
    <t>PS-E
Refrig Display
Therms</t>
  </si>
  <si>
    <t>PS-E
Heat Pump Supplement
Therms</t>
  </si>
  <si>
    <t>PS-E
Domestic Hot Water
Therms</t>
  </si>
  <si>
    <t>PS-E
Exterior Usage
Therms</t>
  </si>
  <si>
    <t>PS-E
Total
Therms</t>
  </si>
  <si>
    <t>BEPS
Bldg Energy
Mbtu</t>
  </si>
  <si>
    <t>BEPS
Bldg EUI
kBtu/sf/yr</t>
  </si>
  <si>
    <t>TDV1
Bldg Energy
TDV-Mbtu</t>
  </si>
  <si>
    <t>TDV1
Bldg EUI
TDV-kBtu/sf/yr</t>
  </si>
  <si>
    <t>ES-E
Total Electric
$</t>
  </si>
  <si>
    <t>ES-E
Total Fuel
$</t>
  </si>
  <si>
    <t>ES-E
Electric kWh
$</t>
  </si>
  <si>
    <t>ES-E
Electric kW
$</t>
  </si>
  <si>
    <t>BEPS
Zone Outsd Thrtlng Rng
% hrs</t>
  </si>
  <si>
    <t>BEPS
Plant Ld Not Met
% hrs</t>
  </si>
  <si>
    <t>SS-E
Hours Fan On
# hrs</t>
  </si>
  <si>
    <t xml:space="preserve">
Zone Outsd Thrtlng Rng
# hrs</t>
  </si>
  <si>
    <t>BEPS
Cool Loads Not Met
# hrs</t>
  </si>
  <si>
    <t>BEPS
Heat Loads Not Met
# hrs</t>
  </si>
  <si>
    <t>(OPTIONAL) Results from eQUEST Parms.csv File(s)</t>
  </si>
  <si>
    <t>(OPTIONAL) Results from Trace Energy Cost Budget File(s)</t>
  </si>
  <si>
    <r>
      <rPr>
        <b/>
        <sz val="10"/>
        <color indexed="8"/>
        <rFont val="Arial"/>
        <family val="2"/>
      </rPr>
      <t>Instructions</t>
    </r>
    <r>
      <rPr>
        <sz val="10"/>
        <color indexed="8"/>
        <rFont val="Arial"/>
        <family val="2"/>
      </rPr>
      <t xml:space="preserve">
1) Open Trace Energy Cost Budget (ECB) file(s) that include results for baseline and proposed models
2) Copy end uses and associated affected fuel types from an ECB file (columns A and B from row 4 to the "Total Building Consumption" line item) and paste into columns A and B below.  
3) Copy baseline runs Energy 10˄6 Btu/yr column from the appropriate ECB file and paste into columns C-F below. If the baseline is not being rotated, copy the lone baseline run into column C and leave columsn D-F blank.
4) Copy proposed run Energy 10˄6 Btu/yr column from the approrpriate ECB file and paste into column H below. 
       </t>
    </r>
  </si>
  <si>
    <t>Software Links</t>
  </si>
  <si>
    <t>"Results from eQUEST" End Use Column</t>
  </si>
  <si>
    <t>"Results from Trace" End Use Label</t>
  </si>
  <si>
    <t>"Results from Trace" End Use Fuel Label</t>
  </si>
  <si>
    <t>"Results from Trace" End Use Row</t>
  </si>
  <si>
    <t>L</t>
  </si>
  <si>
    <t>W</t>
  </si>
  <si>
    <t>AJ</t>
  </si>
  <si>
    <t>BA</t>
  </si>
  <si>
    <t>P</t>
  </si>
  <si>
    <t>AC</t>
  </si>
  <si>
    <t>R</t>
  </si>
  <si>
    <t>AE</t>
  </si>
  <si>
    <t>Q</t>
  </si>
  <si>
    <t>AD</t>
  </si>
  <si>
    <t>S</t>
  </si>
  <si>
    <t>AF</t>
  </si>
  <si>
    <t>BH</t>
  </si>
  <si>
    <t>N</t>
  </si>
  <si>
    <t>AA</t>
  </si>
  <si>
    <t>U</t>
  </si>
  <si>
    <t>AH</t>
  </si>
  <si>
    <t>O</t>
  </si>
  <si>
    <t>AB</t>
  </si>
  <si>
    <t>AZ</t>
  </si>
  <si>
    <t>BD</t>
  </si>
  <si>
    <t>Software Link References</t>
  </si>
  <si>
    <t>eQUEST Outputs End Use Column</t>
  </si>
  <si>
    <t>TRACE Output End Use Row</t>
  </si>
  <si>
    <t>TRACE End Use Label</t>
  </si>
  <si>
    <t>TRACE End Use Fuel Label</t>
  </si>
  <si>
    <t>Misc Equipment (Gas)</t>
  </si>
  <si>
    <t>Auxilary (Gas)</t>
  </si>
  <si>
    <t>Complete the table below for the proposed, providing information on baseline energy consumption and peak demand by end-use. This data will be used to autopopulate the Performance tables below. If an end-use has two energy types (e.g. proposed space heating includes both fossil fuel and electric), enter the end-use twice in the table, and list the two different energy types.When linking to the Results from eQUEST or Results from Trace tabs, scroll to the right to customize the linked rows/columns for each end-use. For those using the 'Results from Trace' tab, note that TRACE uses a unit conversion factor of 3.413 btu/W, wherease this worksheet uses a conversion factor of 3.412 btu/W. As a result, model results will differ by 0.03% versus those shown in Trace output reports.</t>
  </si>
  <si>
    <t>Cooling (Gas)</t>
  </si>
  <si>
    <t>BB</t>
  </si>
  <si>
    <t>Was Proposed LPD Overwritten?</t>
  </si>
  <si>
    <t>Baseline Vertical Glazing % calculated from table above</t>
  </si>
  <si>
    <r>
      <t>Any building end use that has either a mandatory or a prescriptive requirement in ANSI/ASHRAE/I</t>
    </r>
    <r>
      <rPr>
        <sz val="11"/>
        <rFont val="Arial"/>
        <family val="2"/>
        <scheme val="minor"/>
      </rPr>
      <t>ES Standard 90.1–2013</t>
    </r>
  </si>
  <si>
    <r>
      <t>All spaces qualifying as semiheated are not defined as h</t>
    </r>
    <r>
      <rPr>
        <sz val="10"/>
        <rFont val="Arial"/>
        <family val="2"/>
      </rPr>
      <t xml:space="preserve">eated per Table 3.2 </t>
    </r>
    <r>
      <rPr>
        <sz val="10"/>
        <color theme="1"/>
        <rFont val="Arial"/>
        <family val="2"/>
      </rPr>
      <t>or indirectly conditioned (see Section 3.2 definition of space).</t>
    </r>
  </si>
  <si>
    <r>
      <t xml:space="preserve">Opaque envelope assemblies separating conditioned space from unconditioned or semiheated space in the baseline are modeled using semiheated envelope assemblies per the </t>
    </r>
    <r>
      <rPr>
        <i/>
        <sz val="10"/>
        <rFont val="Arial"/>
        <family val="2"/>
      </rPr>
      <t>ASHRAE 90.1-2013 User's Manual</t>
    </r>
    <r>
      <rPr>
        <sz val="10"/>
        <rFont val="Arial"/>
        <family val="2"/>
      </rPr>
      <t xml:space="preserve">, Section 5.1.2, </t>
    </r>
    <r>
      <rPr>
        <i/>
        <sz val="10"/>
        <rFont val="Arial"/>
        <family val="2"/>
      </rPr>
      <t xml:space="preserve">Space Conditioning Categories </t>
    </r>
    <r>
      <rPr>
        <sz val="10"/>
        <rFont val="Arial"/>
        <family val="2"/>
      </rPr>
      <t>(Page 5-1). Refer to Figure 5-B.</t>
    </r>
  </si>
  <si>
    <t>Spaces larger than 500 square feet (50 square meters), with occupancy of greater than or equal to 25 people per 1,000 square feet (100 square meters), and are served by systems that have one of the following: an air-side economizer, automatic modulating control of the outdoor air damper, or a design outdoor airflow of greater than 3,000 cfm (1,400 L/s), have been designed with demand control ventilation per Section 6.4.3.8.</t>
  </si>
  <si>
    <t>Table G3.1.1-3 System Type 
(or Semiconditioned System Description)</t>
  </si>
  <si>
    <r>
      <t>Required for Syst</t>
    </r>
    <r>
      <rPr>
        <sz val="9"/>
        <rFont val="Arial"/>
        <family val="2"/>
      </rPr>
      <t>ems 1-4, 9-13</t>
    </r>
  </si>
  <si>
    <r>
      <t>Required for S</t>
    </r>
    <r>
      <rPr>
        <sz val="9"/>
        <rFont val="Arial"/>
        <family val="2"/>
      </rPr>
      <t>ystems 3-13</t>
    </r>
  </si>
  <si>
    <r>
      <t>Required for Sy</t>
    </r>
    <r>
      <rPr>
        <sz val="9"/>
        <rFont val="Arial"/>
        <family val="2"/>
      </rPr>
      <t>stems 1-8, 11-13</t>
    </r>
  </si>
  <si>
    <r>
      <t>Required for S</t>
    </r>
    <r>
      <rPr>
        <sz val="9"/>
        <rFont val="Arial"/>
        <family val="2"/>
      </rPr>
      <t>ystems 5-8 and 11</t>
    </r>
  </si>
  <si>
    <r>
      <t xml:space="preserve">All </t>
    </r>
    <r>
      <rPr>
        <b/>
        <i/>
        <sz val="10"/>
        <rFont val="Arial"/>
        <family val="2"/>
      </rPr>
      <t>baseline</t>
    </r>
    <r>
      <rPr>
        <sz val="10"/>
        <rFont val="Arial"/>
        <family val="2"/>
      </rPr>
      <t xml:space="preserve"> VAV fans (Systems 5-8 and 11) are modeled with VAV part-load performance curves consistent with Table G3.1.3.15 Method 1 or Method 2.</t>
    </r>
  </si>
  <si>
    <r>
      <rPr>
        <sz val="9"/>
        <rFont val="Arial"/>
        <family val="2"/>
      </rPr>
      <t>Required for Systems 1, 5, 7, 11 (if the proposed design heating source is fossil fuel), and 12
Required for Systems 1-2, 5-8, and 11-12 if District Cooling has been selected on the General Information tab</t>
    </r>
    <r>
      <rPr>
        <sz val="9"/>
        <color theme="1"/>
        <rFont val="Arial"/>
        <family val="2"/>
      </rPr>
      <t xml:space="preserve">
Not required if District Heating has been selected</t>
    </r>
  </si>
  <si>
    <r>
      <t xml:space="preserve">Required for Systems </t>
    </r>
    <r>
      <rPr>
        <sz val="9"/>
        <rFont val="Arial"/>
        <family val="2"/>
      </rPr>
      <t>1, 5, 7, 11 and 12</t>
    </r>
    <r>
      <rPr>
        <sz val="9"/>
        <color theme="1"/>
        <rFont val="Arial"/>
        <family val="2"/>
      </rPr>
      <t xml:space="preserve">
Required for Systems 1-2 and 5-8 if District Cooling has been selected on the General Information tab
Not required if District Heating has been selected</t>
    </r>
  </si>
  <si>
    <r>
      <t>Required for Sys</t>
    </r>
    <r>
      <rPr>
        <sz val="9"/>
        <rFont val="Arial"/>
        <family val="2"/>
      </rPr>
      <t>tems 1, 5, 7, 11 and 12</t>
    </r>
    <r>
      <rPr>
        <sz val="9"/>
        <color theme="1"/>
        <rFont val="Arial"/>
        <family val="2"/>
      </rPr>
      <t xml:space="preserve">
Required for Systems 1-2 and 5-8 if District Cooling has been selected on the General Information tab
Not required if District Heating has been selected</t>
    </r>
  </si>
  <si>
    <r>
      <t>Required for Syst</t>
    </r>
    <r>
      <rPr>
        <sz val="9"/>
        <rFont val="Arial"/>
        <family val="2"/>
      </rPr>
      <t>ems 1, 5, 7, 11 and 12</t>
    </r>
    <r>
      <rPr>
        <sz val="9"/>
        <color theme="1"/>
        <rFont val="Arial"/>
        <family val="2"/>
      </rPr>
      <t xml:space="preserve">
Required for Systems 1-2 and 5-8 if District Cooling has been selected on the General Information tab
Not required if District Heating has been selected</t>
    </r>
  </si>
  <si>
    <r>
      <t>Required for Systems 1</t>
    </r>
    <r>
      <rPr>
        <sz val="9"/>
        <rFont val="Arial"/>
        <family val="2"/>
      </rPr>
      <t>, 5, 7, 8, 11, 12, and 13</t>
    </r>
    <r>
      <rPr>
        <sz val="9"/>
        <color theme="1"/>
        <rFont val="Arial"/>
        <family val="2"/>
      </rPr>
      <t xml:space="preserve">
Required for all Systems if District Heating and/or Cooling has been selected on the General Information tab</t>
    </r>
  </si>
  <si>
    <r>
      <t>Required fo</t>
    </r>
    <r>
      <rPr>
        <sz val="9"/>
        <rFont val="Arial"/>
        <family val="2"/>
      </rPr>
      <t>r Systems 7, 8, 11, 12 and 13</t>
    </r>
    <r>
      <rPr>
        <sz val="9"/>
        <color theme="1"/>
        <rFont val="Arial"/>
        <family val="2"/>
      </rPr>
      <t xml:space="preserve">
Not required if District Cooling has been selected on the General Information tab</t>
    </r>
  </si>
  <si>
    <r>
      <t>Required for S</t>
    </r>
    <r>
      <rPr>
        <sz val="9"/>
        <rFont val="Arial"/>
        <family val="2"/>
      </rPr>
      <t>ystems 7, 8, 11, 12 and 13</t>
    </r>
    <r>
      <rPr>
        <sz val="9"/>
        <color theme="1"/>
        <rFont val="Arial"/>
        <family val="2"/>
      </rPr>
      <t xml:space="preserve">
Not required if District Cooling has been selected on the General Information tab</t>
    </r>
  </si>
  <si>
    <r>
      <t>Required for Syste</t>
    </r>
    <r>
      <rPr>
        <sz val="9"/>
        <rFont val="Arial"/>
        <family val="2"/>
      </rPr>
      <t>ms 7, 8, 11, 12 and 13</t>
    </r>
    <r>
      <rPr>
        <sz val="9"/>
        <color theme="1"/>
        <rFont val="Arial"/>
        <family val="2"/>
      </rPr>
      <t xml:space="preserve">
Not required if District Cooling has been selected on the General Information tab</t>
    </r>
  </si>
  <si>
    <r>
      <t xml:space="preserve">Required for </t>
    </r>
    <r>
      <rPr>
        <sz val="9"/>
        <rFont val="Arial"/>
        <family val="2"/>
      </rPr>
      <t>Systems 7, 8 and 11</t>
    </r>
    <r>
      <rPr>
        <sz val="9"/>
        <color theme="1"/>
        <rFont val="Arial"/>
        <family val="2"/>
      </rPr>
      <t xml:space="preserve">
Not required if District Cooling has been selected on the General Information tab</t>
    </r>
  </si>
  <si>
    <r>
      <t>Required for Sy</t>
    </r>
    <r>
      <rPr>
        <sz val="9"/>
        <rFont val="Arial"/>
        <family val="2"/>
      </rPr>
      <t>stems 7, 8, 11, 12, and 13</t>
    </r>
    <r>
      <rPr>
        <sz val="9"/>
        <color theme="1"/>
        <rFont val="Arial"/>
        <family val="2"/>
      </rPr>
      <t xml:space="preserve">
Not required if District Cooling has been selected on the General Information tab</t>
    </r>
  </si>
  <si>
    <r>
      <t xml:space="preserve">Required for </t>
    </r>
    <r>
      <rPr>
        <sz val="9"/>
        <rFont val="Arial"/>
        <family val="2"/>
      </rPr>
      <t>Systems 7, 8, 11, 12, and 13</t>
    </r>
    <r>
      <rPr>
        <sz val="9"/>
        <color theme="1"/>
        <rFont val="Arial"/>
        <family val="2"/>
      </rPr>
      <t xml:space="preserve">
Not required if District Cooling has been selected on the General Information tab</t>
    </r>
  </si>
  <si>
    <r>
      <t>Required for</t>
    </r>
    <r>
      <rPr>
        <sz val="9"/>
        <rFont val="Arial"/>
        <family val="2"/>
      </rPr>
      <t xml:space="preserve"> Systems 7, 8, 11, 12, and 13</t>
    </r>
    <r>
      <rPr>
        <sz val="9"/>
        <color theme="1"/>
        <rFont val="Arial"/>
        <family val="2"/>
      </rPr>
      <t xml:space="preserve">
Not required if District Cooling has been selected on the General Information tab</t>
    </r>
  </si>
  <si>
    <r>
      <t>Required fo</t>
    </r>
    <r>
      <rPr>
        <sz val="9"/>
        <rFont val="Arial"/>
        <family val="2"/>
      </rPr>
      <t>r Systems 7, 8, 11, 12, and 13</t>
    </r>
    <r>
      <rPr>
        <sz val="9"/>
        <color theme="1"/>
        <rFont val="Arial"/>
        <family val="2"/>
      </rPr>
      <t xml:space="preserve">
Not required if District Cooling has been selected on the General Information tab</t>
    </r>
  </si>
  <si>
    <r>
      <t xml:space="preserve">The </t>
    </r>
    <r>
      <rPr>
        <b/>
        <i/>
        <sz val="10"/>
        <rFont val="Arial"/>
        <family val="2"/>
      </rPr>
      <t>baseline</t>
    </r>
    <r>
      <rPr>
        <sz val="10"/>
        <rFont val="Arial"/>
        <family val="2"/>
      </rPr>
      <t xml:space="preserve"> cooling tower has been modeled with a variable-speed axial fan per G3.1.3.11 with fan power per Table 6.8.1G.</t>
    </r>
  </si>
  <si>
    <r>
      <t xml:space="preserve">The </t>
    </r>
    <r>
      <rPr>
        <b/>
        <i/>
        <sz val="10"/>
        <rFont val="Arial"/>
        <family val="2"/>
      </rPr>
      <t>baseline</t>
    </r>
    <r>
      <rPr>
        <sz val="10"/>
        <rFont val="Arial"/>
        <family val="2"/>
      </rPr>
      <t xml:space="preserve"> condenser water design supply temperature shall be calculated using the cooling tower approach to the 0.4% evaporation design wet-bulb temperature as generated by the formula per G3.1.3.11, with a design temperature rise of 10°F. </t>
    </r>
  </si>
  <si>
    <r>
      <t xml:space="preserve">Demand control ventilation is modeled in the </t>
    </r>
    <r>
      <rPr>
        <b/>
        <i/>
        <sz val="10"/>
        <rFont val="Arial"/>
        <family val="2"/>
      </rPr>
      <t>baseline</t>
    </r>
    <r>
      <rPr>
        <sz val="10"/>
        <rFont val="Arial"/>
        <family val="2"/>
      </rPr>
      <t xml:space="preserve"> case for all spaces larger than 500 sq ft (50 sq m) that have a design occupancy for ventilation of greater than or equal to 25 people per 1,000 sq ft (100 sq m) of floor area (except for spaces served by </t>
    </r>
    <r>
      <rPr>
        <b/>
        <i/>
        <sz val="10"/>
        <rFont val="Arial"/>
        <family val="2"/>
      </rPr>
      <t>baseline</t>
    </r>
    <r>
      <rPr>
        <sz val="10"/>
        <rFont val="Arial"/>
        <family val="2"/>
      </rPr>
      <t xml:space="preserve"> systems that do not have one of the following: an air-side economizer, automatic modulating control of the outdoor air damper, or a design outdoor airflow of greater than 3,000 cfm (1,400 L/s)) per G3.1.2.5 / 6.4.3.8.</t>
    </r>
  </si>
  <si>
    <r>
      <t xml:space="preserve">All </t>
    </r>
    <r>
      <rPr>
        <b/>
        <i/>
        <sz val="10"/>
        <rFont val="Arial"/>
        <family val="2"/>
      </rPr>
      <t>baseline</t>
    </r>
    <r>
      <rPr>
        <sz val="10"/>
        <rFont val="Arial"/>
        <family val="2"/>
      </rPr>
      <t xml:space="preserve"> supply and return fans operate continuously when spaces are occupied and cycle when unoccupied per G3.1.2.4.</t>
    </r>
  </si>
  <si>
    <r>
      <t xml:space="preserve">All </t>
    </r>
    <r>
      <rPr>
        <b/>
        <i/>
        <sz val="10"/>
        <rFont val="Arial"/>
        <family val="2"/>
      </rPr>
      <t>baseline</t>
    </r>
    <r>
      <rPr>
        <sz val="10"/>
        <rFont val="Arial"/>
        <family val="2"/>
      </rPr>
      <t xml:space="preserve"> supply airflows for Systems 1-8 and 11-13 have been auto-sized based on a 20°F (11.1°C) supply-air-to-room-air cooling temperature difference (or the airflow rate required to comply with applicable codes/standards, whichever is greater) per G3.1.2.8.1. Exception: Laboratory spaces have been modeled with a 17°F (9.4°C) supply-air-to-room-air temperature difference or the required ventilation air or makeup air, whichever is greater.</t>
    </r>
  </si>
  <si>
    <t>•  Systems 1-4, 9, 10, 12 &amp; 13: Constant Volume
•  Systems 5-8, 11: Variable Volume</t>
  </si>
  <si>
    <t>•  Systems 1-8, 11-13: Auto-sized based on 20°F (11.1°C) ΔT
•  Systems 9-10: Auto-sized based on 105°F (40.6°C) SAT</t>
  </si>
  <si>
    <r>
      <rPr>
        <sz val="8"/>
        <rFont val="Arial"/>
        <family val="2"/>
      </rPr>
      <t>Per Table G3.5.3 efficiencie</t>
    </r>
    <r>
      <rPr>
        <sz val="8"/>
        <color theme="1"/>
        <rFont val="Arial"/>
        <family val="2"/>
      </rPr>
      <t>s</t>
    </r>
  </si>
  <si>
    <t>Per Table G3.5.3  efficiencies</t>
  </si>
  <si>
    <r>
      <t>•  44°F (7°</t>
    </r>
    <r>
      <rPr>
        <sz val="8"/>
        <rFont val="Arial"/>
        <family val="2"/>
      </rPr>
      <t>C) at outdoor temps 80°F (27°C) and above, 54°F (12°C) at outdoor temps 60°F (16°C) and below, and ramped linearly between 44°F (7°C) and 54°F (12°C) at outdoor temps between 80°F (27°C) and 60°F (16°C) per G3.1.3.9
•  For CHW loops serving System, 11, load reset up to 54°F per G3.1.3.9</t>
    </r>
    <r>
      <rPr>
        <sz val="8"/>
        <color theme="1"/>
        <rFont val="Arial"/>
        <family val="2"/>
      </rPr>
      <t xml:space="preserve">
•  ASHRAE 90.1 (DES Path 1): CHW Temp Reset based on actual CHW loop conditions in Proposed Case.</t>
    </r>
  </si>
  <si>
    <r>
      <t>M</t>
    </r>
    <r>
      <rPr>
        <sz val="8"/>
        <rFont val="Arial"/>
        <family val="2"/>
      </rPr>
      <t>inimum 38.2 gpm/hp (3.23 L/s·kW) (maximum 0.0262 hp/gpm or 19.5 W/gpm) (0.301 kW/L/s)  per G3.1.3.11</t>
    </r>
  </si>
  <si>
    <r>
      <rPr>
        <sz val="8"/>
        <rFont val="Arial"/>
        <family val="2"/>
      </rPr>
      <t>Variable-speed axial fa</t>
    </r>
    <r>
      <rPr>
        <sz val="8"/>
        <color theme="1"/>
        <rFont val="Arial"/>
        <family val="2"/>
      </rPr>
      <t>ns per G3.1.3.11</t>
    </r>
  </si>
  <si>
    <r>
      <rPr>
        <sz val="8"/>
        <rFont val="Arial"/>
        <family val="2"/>
      </rPr>
      <t>Per Table G3.5.6 minimum effici</t>
    </r>
    <r>
      <rPr>
        <sz val="8"/>
        <color theme="1"/>
        <rFont val="Arial"/>
        <family val="2"/>
      </rPr>
      <t>encies</t>
    </r>
  </si>
  <si>
    <t>Date</t>
  </si>
  <si>
    <t>Editor</t>
  </si>
  <si>
    <t>Change</t>
  </si>
  <si>
    <t>V3.0 released</t>
  </si>
  <si>
    <t>Instructions: Added instructions for activating Macro to Instructions tab</t>
  </si>
  <si>
    <t>3A - Added conditional formatting to highlight input in "area where prop. lighting must be equal to baseline" if it is greater than the total area of thermal block</t>
  </si>
  <si>
    <t>3A - Changed conditional formatting in column AN to compare values after rounding</t>
  </si>
  <si>
    <t>3A - Limited decorative allowance to 1 W/SF</t>
  </si>
  <si>
    <t>3A - fixed bug where additional lighting allowance was being double counted</t>
  </si>
  <si>
    <t>3A - adjusted calculations for non-qualified LED fixtures</t>
  </si>
  <si>
    <t>3A - removed "Remove Fixture" button to increase robustness of the spreadsheet</t>
  </si>
  <si>
    <t>3C - Added floating tip and changed label for Fixture Wattage to reference NYSERDA default wattages</t>
  </si>
  <si>
    <t>3C - Expanded Legend on include conditional formatting for values that do not meet mandatory code requirements.</t>
  </si>
  <si>
    <t>V3A Released</t>
  </si>
  <si>
    <t>Maria</t>
  </si>
  <si>
    <t>Added Helpful Hints in Row 10 (General HVAC tab)</t>
  </si>
  <si>
    <t>Added Notes label above the cell at the bottom of the tab (General HVAC tab)</t>
  </si>
  <si>
    <t>Added fourth bullet to Proposed HVAC System Type helpful hints. (General HVAC tab)</t>
  </si>
  <si>
    <t>Expanded helpful hints and tooltips for the Baseline HVAC System Types (General HVAC tab)</t>
  </si>
  <si>
    <t>Mike</t>
  </si>
  <si>
    <t>Demand control ventilation marked with an asterisk in column B of Tab 7</t>
  </si>
  <si>
    <t>Helpful Hints on Tab 7 cell C30 – removed reference to Table 1.4.4, referenced Tab 4 instead</t>
  </si>
  <si>
    <t>V3B Released</t>
  </si>
  <si>
    <t>8 - Revised SHW tab to match simulation guidelines</t>
  </si>
  <si>
    <t>8 - Limited pump power fields on Tab 8 to kW for QC purposes</t>
  </si>
  <si>
    <t>3C - Added non-qualifying LED support for exterior lighting</t>
  </si>
  <si>
    <t>7 - Updated fan power calculator to use average fan motor size instead of total when determining compliance</t>
  </si>
  <si>
    <t>7 - added unitary efficiency and capacity range lookup</t>
  </si>
  <si>
    <t>8 - added baseline boiler and chiller lookup tables</t>
  </si>
  <si>
    <t>9 - added QC tab (new)</t>
  </si>
  <si>
    <t>3A - fixes to conditional formatting to improve performance</t>
  </si>
  <si>
    <t>3A - split classroom space type into OS required and no OS required</t>
  </si>
  <si>
    <t>V3C Released</t>
  </si>
  <si>
    <t>Mike/Eva</t>
  </si>
  <si>
    <t>Updated per ASHRAE 90.1–2013, plus various performance improvements</t>
  </si>
  <si>
    <t>V4 Released</t>
  </si>
  <si>
    <t>Nick/Eva/Maria</t>
  </si>
  <si>
    <t>R-30 insulation entirely above deck with a U-factor of 0.032</t>
  </si>
  <si>
    <t>R-10 insulation entirely above deck with a U-factor of 0.093</t>
  </si>
  <si>
    <t>8" medium weight concrete block with solid grouted cores and and R-7.5 insulation with a C-factor of 0.119</t>
  </si>
  <si>
    <t>8" medium weight concrete block with solid grouted cores and R-10 insulation with a C-factor of 0.092</t>
  </si>
  <si>
    <t>6" concrete slabs with  R-15 insulation for 24 in.  with an F-factor of 0.520</t>
  </si>
  <si>
    <t>Insulation entirely above deck with a U-factor of 0.182</t>
  </si>
  <si>
    <t>Insulation entirely above deck with a U-factor of 0.529</t>
  </si>
  <si>
    <t>steel-framed with a U-factor of 0.364</t>
  </si>
  <si>
    <t>U-factor of 8.247</t>
  </si>
  <si>
    <t>U-factor of 2.844</t>
  </si>
  <si>
    <t>U-factor of 3.981</t>
  </si>
  <si>
    <t>150 mm concrete slabs with no insulation with an F-factor of 0.900</t>
  </si>
  <si>
    <t>steel-joist with a U-factor of 0.216</t>
  </si>
  <si>
    <t>205 mm medium weight concrete block with solid grouted cores and no insulation with a C-factor of 6.84</t>
  </si>
  <si>
    <t>205 mm medium weight concrete block with solid grouted cores and no insulation with a C-factor of 0.523</t>
  </si>
  <si>
    <t>205 mm medium weight concrete block with solid grouted cores and no insulation with a C-factor of 0.677</t>
  </si>
  <si>
    <t>Prescriptive Requirement 90.1-2013</t>
  </si>
  <si>
    <t>Considered "Gas" for District Plant Path 3 Calcs? (Note: Coal,coke, and wood are selected as gas to allow the lower efficiencies).</t>
  </si>
  <si>
    <r>
      <t>Above-Grade Wall Area (ft</t>
    </r>
    <r>
      <rPr>
        <b/>
        <vertAlign val="superscript"/>
        <sz val="10"/>
        <rFont val="Calibri"/>
        <family val="2"/>
      </rPr>
      <t>2</t>
    </r>
    <r>
      <rPr>
        <b/>
        <sz val="10"/>
        <rFont val="Calibri"/>
        <family val="2"/>
      </rPr>
      <t>)</t>
    </r>
  </si>
  <si>
    <r>
      <t>(ft</t>
    </r>
    <r>
      <rPr>
        <b/>
        <vertAlign val="superscript"/>
        <sz val="10"/>
        <rFont val="Calibri"/>
        <family val="2"/>
      </rPr>
      <t>2</t>
    </r>
    <r>
      <rPr>
        <b/>
        <sz val="10"/>
        <rFont val="Calibri"/>
        <family val="2"/>
      </rPr>
      <t>)</t>
    </r>
  </si>
  <si>
    <r>
      <t>Roof Area (ft</t>
    </r>
    <r>
      <rPr>
        <b/>
        <vertAlign val="superscript"/>
        <sz val="10"/>
        <rFont val="Calibri"/>
        <family val="2"/>
      </rPr>
      <t>2</t>
    </r>
    <r>
      <rPr>
        <b/>
        <sz val="10"/>
        <rFont val="Calibri"/>
        <family val="2"/>
      </rPr>
      <t>)</t>
    </r>
  </si>
  <si>
    <t>Table 9.5.1 LPD</t>
  </si>
  <si>
    <t xml:space="preserve">Table 9.6.1 LPD </t>
  </si>
  <si>
    <t>occupancy sensor required?</t>
  </si>
  <si>
    <t>Dayighting required?</t>
  </si>
  <si>
    <t>Zone 0</t>
  </si>
  <si>
    <t>Zone 1</t>
  </si>
  <si>
    <t>Zone 2</t>
  </si>
  <si>
    <t>Zone 3</t>
  </si>
  <si>
    <t>Zone 4</t>
  </si>
  <si>
    <t>Exterior Lighting Zone</t>
  </si>
  <si>
    <t>Prescriptive Requirement</t>
  </si>
  <si>
    <t>*Note: Values provided for enclosed motors @ 1800 rpm as specified in ASHRAE 90.1-2013 Appendix G, Section G3.1.2.9</t>
  </si>
  <si>
    <t>ASHRAE 90.1 2013 Appendix G Excerpt 2015</t>
  </si>
  <si>
    <t>ASHRAE 90.1 2016 Appendix G</t>
  </si>
  <si>
    <t>90.1 versions</t>
  </si>
  <si>
    <t>ASHRAE 90.1-2010</t>
  </si>
  <si>
    <t>ASHRAE 90.1-2013</t>
  </si>
  <si>
    <t>Prescriptive Requirement 90.1-2010</t>
  </si>
  <si>
    <t>***90.1-2010 LOOKUP TABLES ARE NOT SET UP…VALUES IN 2010 MUST BE UPDATED TO REFLECT 2010</t>
  </si>
  <si>
    <t>Identical to Proposed</t>
  </si>
  <si>
    <t>If the baseline vertical glazing percentage does not match the Vertical Glazing % per G3.1#5(c) and Table G3.1.1-1, 
please provide an explanation in the space below.</t>
  </si>
  <si>
    <t>Default not Altered?</t>
  </si>
  <si>
    <t>NA</t>
  </si>
  <si>
    <t>EER</t>
  </si>
  <si>
    <t>N/A</t>
  </si>
  <si>
    <t>All Others</t>
  </si>
  <si>
    <t>Hotel</t>
  </si>
  <si>
    <t>Restaurant</t>
  </si>
  <si>
    <t>School</t>
  </si>
  <si>
    <t>Average</t>
  </si>
  <si>
    <t>Table 2.2 Building Performance Factors (BPF) for Compliance with Standard 90.1-2010</t>
  </si>
  <si>
    <t>Table 2.3 Building Performance Factors (BPF) for Compliance with Standard 90.1-2013</t>
  </si>
  <si>
    <t>Select Building Type(s)</t>
  </si>
  <si>
    <t>Regulated</t>
  </si>
  <si>
    <t>THERM</t>
  </si>
  <si>
    <t xml:space="preserve">Unregulated </t>
  </si>
  <si>
    <t>BPF</t>
  </si>
  <si>
    <t>NY HP Case study description Rev15</t>
  </si>
  <si>
    <t>Unregulated Baseline</t>
  </si>
  <si>
    <t>Total Number of Bedrooms</t>
  </si>
  <si>
    <r>
      <t xml:space="preserve">All </t>
    </r>
    <r>
      <rPr>
        <b/>
        <i/>
        <sz val="10"/>
        <rFont val="Arial"/>
        <family val="2"/>
      </rPr>
      <t>baseline</t>
    </r>
    <r>
      <rPr>
        <sz val="10"/>
        <rFont val="Arial"/>
        <family val="2"/>
      </rPr>
      <t xml:space="preserve"> VAV systems modeled with preheat coils controlled to a fixed setpoint of 20F less than the design room heating temperature setpoint per G3.1.3.19.</t>
    </r>
  </si>
  <si>
    <t>Computer room single-zone VAV systems (System 11) shall be controlled to a minimum volume setpoint of 50% of the design airflow rate, the minimum ventilation outdoor airflow rate, or the airflow rate required to comply with the applicable codes or accreditation standards, whichever is larger. Fan volume shall be reset from 100% airflow at 100% load to minimum airflow at 50% cooling load. In heating mode, fan will operate at the minimum airflow, per G3.1.3.17.</t>
  </si>
  <si>
    <t>Computer room single-zone VAV systems (System 11) supply air temperature shall be reset from the minimum supply air temperature at 50% cooling load to the space temperature at 0% cooling load, per G3.1.3.17.</t>
  </si>
  <si>
    <r>
      <t xml:space="preserve">If the proposed design HVAC system(s) have humidistat controls, then the </t>
    </r>
    <r>
      <rPr>
        <b/>
        <i/>
        <sz val="10"/>
        <rFont val="Arial"/>
        <family val="2"/>
      </rPr>
      <t>baseline</t>
    </r>
    <r>
      <rPr>
        <sz val="10"/>
        <rFont val="Arial"/>
        <family val="2"/>
      </rPr>
      <t xml:space="preserve"> systems shall employ mechanical cooling for dehumidification and shall have reheat available to avoid overcooling. When a baseline system does not meet any of the exceptions to Section 6.5.2.3, then only 25% of the system reheat energy shall be included in the baseline building performance, per G3.1.3.18</t>
    </r>
  </si>
  <si>
    <r>
      <t>•  If the minimum outdoor air in the proposed building</t>
    </r>
    <r>
      <rPr>
        <i/>
        <sz val="8"/>
        <rFont val="Arial"/>
        <family val="2"/>
      </rPr>
      <t xml:space="preserve"> </t>
    </r>
    <r>
      <rPr>
        <sz val="8"/>
        <rFont val="Arial"/>
        <family val="2"/>
      </rPr>
      <t>is provided in excess of the amount required by the local code: code-minimum ventilation.
•  All other cases: identical to Proposed</t>
    </r>
  </si>
  <si>
    <t>Auxiliary (Gas)</t>
  </si>
  <si>
    <t>Base Exterior Lighting Consumption</t>
  </si>
  <si>
    <t>(W)</t>
  </si>
  <si>
    <t>need to be updated, currently have CZ 4 values</t>
  </si>
  <si>
    <t>Please do not include any equipment power densities below of items that have already been noted on the Multifamily Details tab.</t>
  </si>
  <si>
    <t>Table G3.1.1-2 Baseline Service Hot-Water System</t>
  </si>
  <si>
    <t>Baseline Heating Method</t>
  </si>
  <si>
    <t>Dining: Bar lounge/leisure</t>
  </si>
  <si>
    <t>Dining: Cafeteria/fast food</t>
  </si>
  <si>
    <t>Dining: Family</t>
  </si>
  <si>
    <t>Fire station</t>
  </si>
  <si>
    <t>Motel</t>
  </si>
  <si>
    <t>Gas storage water heater</t>
  </si>
  <si>
    <t>Electric resistance storage water heater</t>
  </si>
  <si>
    <t>Building Area Type based on ASHRAE 90.1 Table G3.1.1-2</t>
  </si>
  <si>
    <t>14-(0.3*CAP/1000)</t>
  </si>
  <si>
    <t>13.8-(0.3*CAP/1000)</t>
  </si>
  <si>
    <t>Boilers, gas fired</t>
  </si>
  <si>
    <t>Electric Resistance</t>
  </si>
  <si>
    <t>Electric Heat Pump</t>
  </si>
  <si>
    <t>&lt;300,000 Btu/h</t>
  </si>
  <si>
    <r>
      <t xml:space="preserve">≥300,000 Btu/h and
</t>
    </r>
    <r>
      <rPr>
        <sz val="11"/>
        <color theme="1"/>
        <rFont val="Calibri"/>
        <family val="2"/>
      </rPr>
      <t>≤</t>
    </r>
    <r>
      <rPr>
        <sz val="11"/>
        <color theme="1"/>
        <rFont val="Arial"/>
        <family val="2"/>
        <scheme val="minor"/>
      </rPr>
      <t>2,500,000 Btu/h</t>
    </r>
  </si>
  <si>
    <r>
      <t>&gt;2,500,000 Btu/h</t>
    </r>
    <r>
      <rPr>
        <sz val="11"/>
        <color theme="1"/>
        <rFont val="Calibri"/>
        <family val="2"/>
      </rPr>
      <t/>
    </r>
  </si>
  <si>
    <t>78% AFUE or 80% Et</t>
  </si>
  <si>
    <r>
      <t xml:space="preserve">≥300,000 Btu/h and
</t>
    </r>
    <r>
      <rPr>
        <sz val="11"/>
        <rFont val="Calibri"/>
        <family val="2"/>
      </rPr>
      <t>≤</t>
    </r>
    <r>
      <rPr>
        <sz val="11"/>
        <rFont val="Arial"/>
        <family val="2"/>
        <scheme val="minor"/>
      </rPr>
      <t>2,500,000 Btu/h</t>
    </r>
  </si>
  <si>
    <t>82% AFUE</t>
  </si>
  <si>
    <t>To claim performance credit for infiltration reduction, actual, measured infiltration, based on testing  performed in accordance with ASTM e779, must be modeled. Otherwise, proposed infiltration must be modeled identically to the baseline.</t>
  </si>
  <si>
    <t>0.03/ft total height</t>
  </si>
  <si>
    <t>0.40 + 0.02/ft
total height</t>
  </si>
  <si>
    <t>Judges Chamber = Office</t>
  </si>
  <si>
    <t>Dwelling Unit Controls = Dormitory - living quarters</t>
  </si>
  <si>
    <t>"Similar" space types used to map from Table G3.7 (BM baseline) to 90.1 2013 Table 9.6.1</t>
  </si>
  <si>
    <t>Health Care Facility / Emergency Room = Exam / Treatment room</t>
  </si>
  <si>
    <r>
      <rPr>
        <b/>
        <sz val="10"/>
        <rFont val="Arial"/>
        <family val="2"/>
      </rPr>
      <t>Instructions:</t>
    </r>
    <r>
      <rPr>
        <sz val="10"/>
        <rFont val="Arial"/>
        <family val="2"/>
      </rPr>
      <t xml:space="preserve"> Complete the corresponding lighting table(s) if applicable. An example of the expected level of detail has been provided for each input. Please refer to the column header notes for information about Appendix G modeling protocol. For any information not applicable to the project, simply enter "N/A".</t>
    </r>
  </si>
  <si>
    <t>This table is only required to be completed if Tradable Exterior Lighting is applicable to the project.</t>
  </si>
  <si>
    <t>Table G3.6 Tradable Exterior Lighting Application</t>
  </si>
  <si>
    <t>This table is only required to be completed if Nontradable Exterior Lighting is applicable to the project.</t>
  </si>
  <si>
    <t>See 9.6.1 (a)</t>
  </si>
  <si>
    <t>Table Headings</t>
  </si>
  <si>
    <t xml:space="preserve">Non-editable cells that auto-populate </t>
  </si>
  <si>
    <t>Color Legend</t>
  </si>
  <si>
    <t>Tab Heading</t>
  </si>
  <si>
    <t>Additional Notes (Optional)</t>
  </si>
  <si>
    <t xml:space="preserve">* Pressure Drop Adjustments (Systems 3 through 8); 
</t>
  </si>
  <si>
    <t>User Input</t>
  </si>
  <si>
    <r>
      <t>COP</t>
    </r>
    <r>
      <rPr>
        <sz val="8"/>
        <rFont val="Arial"/>
        <family val="2"/>
      </rPr>
      <t>nfcooling</t>
    </r>
  </si>
  <si>
    <r>
      <rPr>
        <u/>
        <sz val="9"/>
        <rFont val="Arial"/>
        <family val="2"/>
      </rPr>
      <t>Helpful Hints</t>
    </r>
    <r>
      <rPr>
        <sz val="9"/>
        <rFont val="Arial"/>
        <family val="2"/>
      </rPr>
      <t xml:space="preserve">
• New/Existing vertical glazing: 
     • Select a description
     • Assembly U-factor and SHGC from  Table G3.4-1 through G3.4-8 per Table G3.1#5(d). 
     • (SHGC). Please note that this is not equivalent to the shading coefficient (SC).
</t>
    </r>
  </si>
  <si>
    <r>
      <rPr>
        <u/>
        <sz val="9"/>
        <rFont val="Arial"/>
        <family val="2"/>
      </rPr>
      <t>Helpful Hints</t>
    </r>
    <r>
      <rPr>
        <sz val="9"/>
        <rFont val="Arial"/>
        <family val="2"/>
      </rPr>
      <t xml:space="preserve">
• New/Existing skylights: assembly U-factor and SHGC from Table G3.4-1 through G3.4-8 using the value for skylights without curb; sky lighting area per G3.1#5(e). 
(SHGC). Please note that this is not equivalent to the shading coefficient (SC).</t>
    </r>
  </si>
  <si>
    <r>
      <rPr>
        <u/>
        <sz val="9"/>
        <rFont val="Arial"/>
        <family val="2"/>
      </rPr>
      <t>Helpful Hints</t>
    </r>
    <r>
      <rPr>
        <sz val="9"/>
        <rFont val="Arial"/>
        <family val="2"/>
      </rPr>
      <t xml:space="preserve">
• Describe the Baseline roof construction (for example: R-20 (R-2.6) continuous insulation entirely above metal deck).
• New/Existing/Addition roofs: insulation entirely above deck with U-factor from Table G3.4-1 through G3.4-8 per Table G3.1#5(b). 
</t>
    </r>
  </si>
  <si>
    <r>
      <rPr>
        <u/>
        <sz val="9"/>
        <rFont val="Arial"/>
        <family val="2"/>
      </rPr>
      <t>Helpful Hints</t>
    </r>
    <r>
      <rPr>
        <sz val="9"/>
        <rFont val="Arial"/>
        <family val="2"/>
      </rPr>
      <t xml:space="preserve">
• In accordance with Section 5.5.3.1.1(a) or 0.3/0.9 per Table G3.1#5(f).</t>
    </r>
  </si>
  <si>
    <r>
      <rPr>
        <u/>
        <sz val="9"/>
        <rFont val="Arial"/>
        <family val="2"/>
      </rPr>
      <t>Helpful Hints</t>
    </r>
    <r>
      <rPr>
        <sz val="9"/>
        <rFont val="Arial"/>
        <family val="2"/>
      </rPr>
      <t xml:space="preserve">
• Describe the Baseline above-grade exterior wall construction (for example: steel-framed with R-13.0 (R-2.3) cavity insulation and R-7.5 (R-1.3)continuous insulation).
• New/Existing/Addition above-grade walls: steel-framed with U-factor from Table G3.4-1 through G3.4-8 per Table G3.1#5(b).</t>
    </r>
  </si>
  <si>
    <r>
      <rPr>
        <u/>
        <sz val="9"/>
        <rFont val="Arial"/>
        <family val="2"/>
      </rPr>
      <t>Helpful Hints</t>
    </r>
    <r>
      <rPr>
        <sz val="9"/>
        <rFont val="Arial"/>
        <family val="2"/>
      </rPr>
      <t xml:space="preserve">
• Describe the Baseline below-grade exterior wall construction (for example: 8" (200mm) medium-weight concrete block with solid grouted cores and R-7.5 (R-1.3)continuous insulation).
• New/Existing/Addition below-grade walls: 8" medium weight concrete block with solid grouted cores as defined in A4.1 with C-factor from Table G3.4-1 through G3.4-8 per Table G3.1#5(b). </t>
    </r>
  </si>
  <si>
    <r>
      <rPr>
        <u/>
        <sz val="9"/>
        <rFont val="Arial"/>
        <family val="2"/>
      </rPr>
      <t>Helpful Hints</t>
    </r>
    <r>
      <rPr>
        <sz val="9"/>
        <rFont val="Arial"/>
        <family val="2"/>
      </rPr>
      <t xml:space="preserve">
• Describe the Baseline floor construction (for example: steel-joist with R-30 (R-5.3) batt insulation between the floor joists)
•  New/Existing/Addition floors: steel-joist with U-factor from Tables G3.4-1 through G3.4-8 per Table G3.1#5(b). 
•  For floor assemblies above unconditioned or semiheated space, select the space conditioning category as semiheated per 90.1-2013 User's Manual, Section 5.1.2-Space Conditioning Categories (Figure 5-B)
</t>
    </r>
  </si>
  <si>
    <r>
      <rPr>
        <u/>
        <sz val="9"/>
        <rFont val="Arial"/>
        <family val="2"/>
      </rPr>
      <t>Helpful Hints</t>
    </r>
    <r>
      <rPr>
        <sz val="9"/>
        <rFont val="Arial"/>
        <family val="2"/>
      </rPr>
      <t xml:space="preserve">
• Describe the Baseline slab-on-grade floor construction (for example: unheated 6" (150 mm) concrete slab poured directly on the earth with no insulation).
• New/Existing/Addition slab-on-grade floors: unheated 6" concrete slab as defined in A4.6 with F-factor from appropriate Tables G3.4-1 through G3.4-8 per Table G3.1#5(b). </t>
    </r>
  </si>
  <si>
    <r>
      <rPr>
        <u/>
        <sz val="9"/>
        <rFont val="Arial"/>
        <family val="2"/>
      </rPr>
      <t>Helpful Hints</t>
    </r>
    <r>
      <rPr>
        <sz val="9"/>
        <rFont val="Arial"/>
        <family val="2"/>
      </rPr>
      <t xml:space="preserve">
• Describe the Baseline opaque door construction (for example: swinging or nonswinging).
• Opaque door types shall match the proposed design and conform to the U-factor requirements from Table G3.4-1 through G3.4-8 per Table G3.1#5(b). 
• Swinging doors include all operable opaque panels with hinges on one side and opaque revolving doors, while nonswinging doors include roll-up, metal coiling, sliding, and all other doors that are not swinging doors.</t>
    </r>
  </si>
  <si>
    <r>
      <rPr>
        <u/>
        <sz val="9"/>
        <rFont val="Arial"/>
        <family val="2"/>
      </rPr>
      <t>Helpful Hints</t>
    </r>
    <r>
      <rPr>
        <sz val="9"/>
        <rFont val="Arial"/>
        <family val="2"/>
      </rPr>
      <t xml:space="preserve">
Describe any process lighting included in the design (example: 4 kW stage lighting and 20 3-Watt exit signs)</t>
    </r>
  </si>
  <si>
    <r>
      <rPr>
        <u/>
        <sz val="9"/>
        <rFont val="Arial"/>
        <family val="2"/>
      </rPr>
      <t>Helpful Hints</t>
    </r>
    <r>
      <rPr>
        <sz val="9"/>
        <rFont val="Arial"/>
        <family val="2"/>
      </rPr>
      <t xml:space="preserve">
Indicate the specific exemption from Section 9.2.2.3 that excludes the lighting from the Section 9.5 or Section 9.6 lighting power density requirements [example: Stage lighting - 9.2.2.3(12); Exit signs - 9.2.2.3(10)]</t>
    </r>
  </si>
  <si>
    <r>
      <rPr>
        <u/>
        <sz val="9"/>
        <rFont val="Arial"/>
        <family val="2"/>
      </rPr>
      <t>Helpful Hints</t>
    </r>
    <r>
      <rPr>
        <sz val="9"/>
        <rFont val="Arial"/>
        <family val="2"/>
      </rPr>
      <t xml:space="preserve">
Any lighting not regulated by ASHRAE 90.1 is considered process and must be modeled identically in the Proposed and Baseline case unless an Exceptional Calculation is submitted.</t>
    </r>
  </si>
  <si>
    <t>Helpful Hints</t>
  </si>
  <si>
    <r>
      <rPr>
        <u/>
        <sz val="8"/>
        <rFont val="Arial"/>
        <family val="2"/>
      </rPr>
      <t>Helpful Hints</t>
    </r>
    <r>
      <rPr>
        <sz val="8"/>
        <rFont val="Arial"/>
        <family val="2"/>
      </rPr>
      <t xml:space="preserve">
Fixtures cannot be double-counted for multiple exterior surface types</t>
    </r>
  </si>
  <si>
    <r>
      <rPr>
        <u/>
        <sz val="8"/>
        <rFont val="Arial"/>
        <family val="2"/>
      </rPr>
      <t>Helpful Hints</t>
    </r>
    <r>
      <rPr>
        <sz val="8"/>
        <rFont val="Arial"/>
        <family val="2"/>
      </rPr>
      <t xml:space="preserve">
Only enter area or length of illuminated surface in the design</t>
    </r>
  </si>
  <si>
    <r>
      <rPr>
        <u/>
        <sz val="8"/>
        <rFont val="Arial"/>
        <family val="2"/>
      </rPr>
      <t>Helpful Hints</t>
    </r>
    <r>
      <rPr>
        <sz val="8"/>
        <rFont val="Arial"/>
        <family val="2"/>
      </rPr>
      <t xml:space="preserve">
•  Only enter area or length of illuminated surface in the design
•  Fixtures cannot be double-counted for multiple exterior surface types</t>
    </r>
  </si>
  <si>
    <r>
      <rPr>
        <u/>
        <sz val="8"/>
        <rFont val="Arial"/>
        <family val="2"/>
      </rPr>
      <t>Helpful Hints</t>
    </r>
    <r>
      <rPr>
        <sz val="8"/>
        <rFont val="Arial"/>
        <family val="2"/>
      </rPr>
      <t xml:space="preserve">
Total allowance calculated using the lesser of the design lighting power, or the lighting power allowance used, since no credit is permitted for nontradable surfaces.</t>
    </r>
  </si>
  <si>
    <r>
      <rPr>
        <u/>
        <sz val="9"/>
        <rFont val="Arial"/>
        <family val="2"/>
      </rPr>
      <t>Helpful Hints</t>
    </r>
    <r>
      <rPr>
        <sz val="9"/>
        <rFont val="Arial"/>
        <family val="2"/>
      </rPr>
      <t xml:space="preserve">
Modify equipment types as necessary.
Note: Complete the Data Center Calculator (found under the "Resources" tab of the Credit Library) in order to claim credit for data center equipment.</t>
    </r>
  </si>
  <si>
    <r>
      <rPr>
        <u/>
        <sz val="9"/>
        <rFont val="Arial"/>
        <family val="2"/>
      </rPr>
      <t>Helpful Hints</t>
    </r>
    <r>
      <rPr>
        <sz val="9"/>
        <rFont val="Arial"/>
        <family val="2"/>
      </rPr>
      <t xml:space="preserve">
Provide a description of the equipment, the operating schedule, and any latent and sensible loads modeled in the associated space (example: 15 kW electric range with hood; operates 2 full load hours/day; 6.3 kBtu/h (1.8 kW) sensible heat gain).</t>
    </r>
  </si>
  <si>
    <r>
      <rPr>
        <u/>
        <sz val="9"/>
        <rFont val="Arial"/>
        <family val="2"/>
      </rPr>
      <t>Helpful Hints</t>
    </r>
    <r>
      <rPr>
        <sz val="9"/>
        <rFont val="Arial"/>
        <family val="2"/>
      </rPr>
      <t xml:space="preserve">
All process loads must be modeled identically between the Proposed and Baseline case and included in the simulations per Table G3.1#12.
Exceptions: When quantifying performance that exceeds the
requirements of Standard 90.1 variations of the power requirements, schedules, or control sequences of the
equipment modeled in the baseline building design from those in the proposed design shall be approved by the rating authority based on documentation that the equipment installed in the
proposed design represents a significant verifiable departure
from documented current conventional practice. </t>
    </r>
  </si>
  <si>
    <r>
      <rPr>
        <u/>
        <sz val="8"/>
        <rFont val="Arial"/>
        <family val="2"/>
      </rPr>
      <t>Helpful Hints</t>
    </r>
    <r>
      <rPr>
        <sz val="8"/>
        <rFont val="Arial"/>
        <family val="2"/>
      </rPr>
      <t xml:space="preserve">
•  Describe a type of hot water fixture included in the project (example: Lavatory Faucets)</t>
    </r>
  </si>
  <si>
    <r>
      <rPr>
        <u/>
        <sz val="8"/>
        <rFont val="Arial"/>
        <family val="2"/>
      </rPr>
      <t>Helpful Hints</t>
    </r>
    <r>
      <rPr>
        <sz val="8"/>
        <rFont val="Arial"/>
        <family val="2"/>
      </rPr>
      <t xml:space="preserve">
•  Percent hot water is the portion of water usage from the fixture that is hot water versus cold water (e.g. - lavatory cold water usage associated with brushing teeth versus hot water usage associated with washing hands)</t>
    </r>
  </si>
  <si>
    <r>
      <rPr>
        <u/>
        <sz val="8"/>
        <rFont val="Arial"/>
        <family val="2"/>
      </rPr>
      <t>Helpful Hints</t>
    </r>
    <r>
      <rPr>
        <sz val="8"/>
        <rFont val="Arial"/>
        <family val="2"/>
      </rPr>
      <t xml:space="preserve">
•  Fixtures included in the WE Prerequisite Indoor Water Use Reduction calculations: values must be consistent with the WE Prerequisite form
•  Additional fixtures not included in WE Prerequisite Indoor Water Use Reduction: Use Proposed values or provide supporting documentation for Baseline assumption (example: Energy Star documentation of average hot water usage for dishwasher or clothes washer)</t>
    </r>
  </si>
  <si>
    <r>
      <rPr>
        <u/>
        <sz val="8"/>
        <rFont val="Arial"/>
        <family val="2"/>
      </rPr>
      <t>Helpful Hints</t>
    </r>
    <r>
      <rPr>
        <sz val="8"/>
        <rFont val="Arial"/>
        <family val="2"/>
      </rPr>
      <t xml:space="preserve">
•  Values should be consistent with the design (or installed) fixtures and WE Prerequisite Indoor Water Use Reduction (if applicable)</t>
    </r>
  </si>
  <si>
    <r>
      <rPr>
        <u/>
        <sz val="9"/>
        <rFont val="Arial"/>
        <family val="2"/>
      </rPr>
      <t>Helpful Hints</t>
    </r>
    <r>
      <rPr>
        <sz val="9"/>
        <rFont val="Arial"/>
        <family val="2"/>
      </rPr>
      <t xml:space="preserve">
•  Describe each type of HVAC system included in the Proposed building (example: Constant volume single-zone ground source heat pumps with dedicated outdoor air units with energy recovery).</t>
    </r>
  </si>
  <si>
    <r>
      <rPr>
        <u/>
        <sz val="9"/>
        <rFont val="Arial"/>
        <family val="2"/>
      </rPr>
      <t>Helpful Hints</t>
    </r>
    <r>
      <rPr>
        <sz val="9"/>
        <rFont val="Arial"/>
        <family val="2"/>
      </rPr>
      <t xml:space="preserve">
•  Refer to Section G3.1.1 and Table G3.1.1-3 (including footnotes) for Primary HVAC System selection
•  Systems 1-4, 9-13: each thermal block shall be modeled with its own system
•  Systems 5-8: each floor shall be modeled with a separate system
•  Additional system types for conditioned spaces only permitted using Exceptions to G3.1.1 (min 20,000 sq ft (1,860 sq m) required for exception (b))
•  Systems serving semiconditioned spaces should be modeled identically to the system in the Proposed case (see definition of space in Section 3.2 of ASHRAE 90.1
•  For California Title-24 projects, type in the appropriate system type</t>
    </r>
  </si>
  <si>
    <r>
      <rPr>
        <u/>
        <sz val="9"/>
        <rFont val="Arial"/>
        <family val="2"/>
      </rPr>
      <t>Helpful Hints</t>
    </r>
    <r>
      <rPr>
        <sz val="9"/>
        <rFont val="Arial"/>
        <family val="2"/>
      </rPr>
      <t xml:space="preserve">
•  Conditioned: describe the exception from G3.1.1 used to model this additional Baseline system type (example: Exception (c) used since peak loads differ by more than 10 Btu/h-sq ft (0.03 kW/sq m))
•  Semiconditioned: list the total system capacity and floor area it serves</t>
    </r>
  </si>
  <si>
    <r>
      <rPr>
        <u/>
        <sz val="9"/>
        <rFont val="Arial"/>
        <family val="2"/>
      </rPr>
      <t>Helpful Hints</t>
    </r>
    <r>
      <rPr>
        <sz val="9"/>
        <rFont val="Arial"/>
        <family val="2"/>
      </rPr>
      <t xml:space="preserve">
•  List the spaces modeled with the primary system type (example: all spaces except kitchen)</t>
    </r>
  </si>
  <si>
    <t>BL_Units</t>
  </si>
  <si>
    <t>Prop_Units</t>
  </si>
  <si>
    <t>units</t>
  </si>
  <si>
    <t>AFUE</t>
  </si>
  <si>
    <t>Et</t>
  </si>
  <si>
    <t>Ec</t>
  </si>
  <si>
    <t>HSPF</t>
  </si>
  <si>
    <t>78% or 80%</t>
  </si>
  <si>
    <t>AFUE or Et</t>
  </si>
  <si>
    <t>Column added to tabs to identify ECMs (for example cell O53 of the ‘Shading and Fenestration’ tab).</t>
  </si>
  <si>
    <t>Column added to tabs to show prescriptive requirements of 90.1-2013 applicable to App. G baseline (for example cell N53 of the ‘Shading and Fenestration’ tab).</t>
  </si>
  <si>
    <t xml:space="preserve">Conditional formatting of proposed entries to show if they are better or worse than prescriptive requirements if present (green font if better, red font if worse) and baseline requirements (green cell outline if better, red cell outline if worse)
o ‘Shading and Fenestration’ tab proposed U-values
o ‘Opaque Assemblies’ tab proposed U-values, C-value and F-values
o ‘General Lighting’ Average LPD </t>
  </si>
  <si>
    <t>Added conditional formatting to the PCI in the ‘Performance_Outputs_1’ tab to show green font if better than BPF and red font if worse.</t>
  </si>
  <si>
    <t>Added BBUEC, BBREC, BBP, BBF, PCI target and % Improvement beyond code with/without unregulated loads to ‘Performance_Outputs_1’ tab rows 299-305 and 338-344.</t>
  </si>
  <si>
    <t>‘Performance_Outputs_1’ tab updates to Quality Assurance Checks:
o Baseline Non-Tradable exterior lighting max cell I358 updated formula to reference correct cells.</t>
  </si>
  <si>
    <t>In the ‘Multifamily Details’ tab, the Homes Laundry Room Equipment Calculator (rows 48-59) reported 1.0/0.0 sensible/latent ratio for Clothes dryer commercial gas. This was updated to report 0.10/0.05 to be consistent with EPA HRMF Simulation Guidelines.</t>
  </si>
  <si>
    <t xml:space="preserve">Results from eQUEST tab table was extended for entire row (this enables users to copy and paste an entire row from the PARMS file rather than making a defined selection). Will make process faster for users. </t>
  </si>
  <si>
    <t>Multiple Building Type capability added in the ‘General Information’ tab row 22-24.</t>
  </si>
  <si>
    <t>Moved ‘Opaque Assemblies’ tab after ‘Shading and Fenestration’ so that values from previous tab can be used in the new infiltration calculator (rows 30-38)</t>
  </si>
  <si>
    <t xml:space="preserve">Updated exterior surface area table in the ‘Shading and Fenestration’ tab (rows 18-32). Made majority of inputs equal to proposed. </t>
  </si>
  <si>
    <t xml:space="preserve">‘General Lighting’ exterior lighting zone selection added to row 114 for exterior lighting table calculations. </t>
  </si>
  <si>
    <t>‘Service Water Heating’ tab baseline inputs set to lookup values (rows 15-19).</t>
  </si>
  <si>
    <t xml:space="preserve">‘Air-Side HVAC’ some baseline values updated to be automatic lookups (now white cells). Some overall units in column F now set to automatically populate based on row inputs. </t>
  </si>
  <si>
    <t>Quality Assurance Checklist moved to new tab named “Quality Assurance Checks’
o Flag in row 14 and 15 formula updated so it would not flag if there was no design exterior lighting.
o Flag in row 27 formula updated so it will not flag if there is no PV in the project.
o Flag in rows 39, 40 and 41 are updated from always being TRUE to include conditional formulas.</t>
  </si>
  <si>
    <t>General Information tab VBA Code: Updated the 'Worksheet_Change' Sub to make the General Information tab run smoother. Updates made are marked with "KC UPDATE:" followed by what change was made on the line. Updates also made in 'NDInGeneralInformation' sub, and are marked with "KC UPDATE:".</t>
  </si>
  <si>
    <r>
      <t>At least 50% of</t>
    </r>
    <r>
      <rPr>
        <sz val="10"/>
        <rFont val="Arial"/>
        <family val="2"/>
      </rPr>
      <t xml:space="preserve"> all 125 volt 15 and 20 Ampere receptacles installed in all private offices, conference rooms, rooms used primarily for printing and/or copying functions, break rooms, classrooms, and individual workstations, and at least 25% of branch circuit feeders installed for modular furniture not shown on the construction documents,</t>
    </r>
    <r>
      <rPr>
        <sz val="10"/>
        <color theme="1"/>
        <rFont val="Arial"/>
        <family val="2"/>
      </rPr>
      <t xml:space="preserve"> shall be controlled by an automatic device which functions on a scheduled basis, an occupant sensor, or a signal from another control system that indicates the area is unoccupied, in accordance with Section 8.4.2.</t>
    </r>
  </si>
  <si>
    <t xml:space="preserve">If Baseline is not modeled identically to Proposed Design and No is selected in "Baseline Modeled Identically" list box, please provide a description of the equipment, the operating schedule, and any latent and sensible loads modeled in the associated space </t>
  </si>
  <si>
    <r>
      <t>All</t>
    </r>
    <r>
      <rPr>
        <b/>
        <i/>
        <sz val="10"/>
        <rFont val="Arial"/>
        <family val="2"/>
      </rPr>
      <t xml:space="preserve"> baseline</t>
    </r>
    <r>
      <rPr>
        <sz val="10"/>
        <rFont val="Arial"/>
        <family val="2"/>
      </rPr>
      <t xml:space="preserve"> supply airflows for systems 9-10 have been auto sized based on the difference between a supply air temperature set point of 105°F (40.6°C) and the design space heating temperature set point (or the airflow rate required to comply with applicable codes/standards, whichever is greater) per G3.1.2.8.2.</t>
    </r>
  </si>
  <si>
    <t>Calculated COP</t>
  </si>
  <si>
    <t xml:space="preserve">•  System 2: Table G3.5.4
•  Systems 3 &amp; 9: Table G3.5.5
•  System 4: Table  G3.5.2
•  Systems 1, 5-8, 10-13: N/A  </t>
  </si>
  <si>
    <r>
      <t xml:space="preserve">Aspects of Proposed Design that are </t>
    </r>
    <r>
      <rPr>
        <u/>
        <sz val="10"/>
        <color rgb="FFFF0000"/>
        <rFont val="Arial"/>
        <family val="2"/>
      </rPr>
      <t>worse</t>
    </r>
    <r>
      <rPr>
        <sz val="10"/>
        <color rgb="FFFF0000"/>
        <rFont val="Arial"/>
        <family val="2"/>
      </rPr>
      <t xml:space="preserve"> than prescriptive requirements of 90.1 that project </t>
    </r>
    <r>
      <rPr>
        <u/>
        <sz val="10"/>
        <color rgb="FFFF0000"/>
        <rFont val="Arial"/>
        <family val="2"/>
      </rPr>
      <t>aspires to exceed</t>
    </r>
    <r>
      <rPr>
        <sz val="10"/>
        <color rgb="FFFF0000"/>
        <rFont val="Arial"/>
        <family val="2"/>
      </rPr>
      <t xml:space="preserve"> (conditional formatting)</t>
    </r>
  </si>
  <si>
    <r>
      <rPr>
        <sz val="10"/>
        <color rgb="FF00B050"/>
        <rFont val="Arial"/>
        <family val="2"/>
      </rPr>
      <t xml:space="preserve">Aspects of Proposed Design that are </t>
    </r>
    <r>
      <rPr>
        <u/>
        <sz val="10"/>
        <color rgb="FF00B050"/>
        <rFont val="Arial"/>
        <family val="2"/>
      </rPr>
      <t>better</t>
    </r>
    <r>
      <rPr>
        <sz val="10"/>
        <color rgb="FF00B050"/>
        <rFont val="Arial"/>
        <family val="2"/>
      </rPr>
      <t xml:space="preserve"> than prescriptive requirements of 90.1 that project </t>
    </r>
    <r>
      <rPr>
        <u/>
        <sz val="10"/>
        <color rgb="FF00B050"/>
        <rFont val="Arial"/>
        <family val="2"/>
      </rPr>
      <t>aspires to exceed</t>
    </r>
    <r>
      <rPr>
        <sz val="10"/>
        <color rgb="FF00B050"/>
        <rFont val="Arial"/>
        <family val="2"/>
      </rPr>
      <t xml:space="preserve"> (conditional formatting)</t>
    </r>
  </si>
  <si>
    <t>Table 4.2.1.1 Building Performance Factors (BPF) for Compliance with Standard 90.1-2013BM</t>
  </si>
  <si>
    <t>Healthcare/hospital</t>
  </si>
  <si>
    <t>No Allowance</t>
  </si>
  <si>
    <t>Aspects of Proposed Design with no conditional formatting implemented</t>
  </si>
  <si>
    <t>Nonmetal framing, all: U-0.35; SHGC-0.40; VT/SHGC-1.10
Metal framing, fixed: U-0.42; SHGC-0.40; VT/SHGC-1.10
Metal framing, operable: U-0.50; SHGC-0.40; VT/SHGC-1.10
Metal framing, entrance door: U-0.77; SHGC-0.40; VT/SHGC-1.10</t>
  </si>
  <si>
    <t>Nonmetal framing, all: U-0.32; SHGC-0.40; VT/SHGC-1.10
Metal framing, fixed: U-0.42; SHGC-0.40; VT/SHGC-1.10
Metal framing, operable: U-0.50; SHGC-0.40; VT/SHGC-1.10
Metal framing, entrance door: U-0.77; SHGC-0.40; VT/SHGC-1.10</t>
  </si>
  <si>
    <t>Nonmetal framing, all: U-0.35; SHGC-0.40; VT/SHGC-1.10
Metal framing, fixed: U-0.42; SHGC-0.40; VT/SHGC-1.10
Metal framing, operable: U-0.50; SHGC-0.40; VT/SHGC-1.10
Metal framing, entrance door: U-0.68; SHGC-0.40; VT/SHGC-1.10</t>
  </si>
  <si>
    <t>Nonmetal framing, all: U-0.32; SHGC-0.40; VT/SHGC-1.10
Metal framing, fixed: U-0.42; SHGC-0.40; VT/SHGC-1.10
Metal framing, operable: U-0.50; SHGC-0.40; VT/SHGC-1.10
Metal framing, entrance door: U-0.68; SHGC-0.40; VT/SHGC-1.10</t>
  </si>
  <si>
    <t>Nonmetal framing, all: U-0.51; SHGC-NR; VT/SHGC-NR
Metal framing, fixed: U-0.73; SHGC-NR; VT/SHGC-NR
Metal framing, operable: U-0.81; SHGC-NR; VT/SHGC-NR
Metal framing, entrance door: U-0.77; SHGC-NR; VT/SHGC-NR</t>
  </si>
  <si>
    <t>Nonmetal framing, all: U-0.45; SHGC-NR; VT/SHGC-NR
Metal framing, fixed: U-0.62; SHGC-NR; VT/SHGC-NR
Metal framing, operable: U-0.70; SHGC-NR; VT/SHGC-NR
Metal framing, entrance door: U-0.77; SHGC-NR; VT/SHGC-NR</t>
  </si>
  <si>
    <t>Number of Drive-throughs</t>
  </si>
  <si>
    <t>ASHRAE 90.1-2013 envelope table</t>
  </si>
  <si>
    <t>ASHRAE 90.1-2010 envelope table</t>
  </si>
  <si>
    <t>Table 5.5-1</t>
  </si>
  <si>
    <t>Table 5.5-2</t>
  </si>
  <si>
    <t>Table 5.5-3</t>
  </si>
  <si>
    <t>Table 5.5-4</t>
  </si>
  <si>
    <t>Table 5.5-5</t>
  </si>
  <si>
    <t>Table 5.5-6</t>
  </si>
  <si>
    <t>Table 5.5-7</t>
  </si>
  <si>
    <t>Table 5.5-8</t>
  </si>
  <si>
    <r>
      <t xml:space="preserve">Helpful Hints
</t>
    </r>
    <r>
      <rPr>
        <sz val="9"/>
        <rFont val="Arial"/>
        <family val="2"/>
      </rPr>
      <t xml:space="preserve">Provide the total process lighting power for this line item description. </t>
    </r>
  </si>
  <si>
    <t>Lighting in Apartments</t>
  </si>
  <si>
    <t>M</t>
  </si>
  <si>
    <t>Z</t>
  </si>
  <si>
    <t xml:space="preserve">Target Performance Cost Index (PCIt) </t>
  </si>
  <si>
    <t>Performance Cost Index including exceptional calculations (PCI ec)</t>
  </si>
  <si>
    <t>Table 1.1: Energy Model Information</t>
  </si>
  <si>
    <t>Table 1.2: Building Information for Multiple Building Projects</t>
  </si>
  <si>
    <t>Table 1.3: Project Summary</t>
  </si>
  <si>
    <t>Table 2.1: Schedules</t>
  </si>
  <si>
    <t>Table 3.1: Building Unit summary</t>
  </si>
  <si>
    <t>Table 3.2: Homes Dwelling Unit Equipment Calculator</t>
  </si>
  <si>
    <t>Table 3.3: Homes Dwelling Unit Equipment Modeling Summary</t>
  </si>
  <si>
    <t>Table 3.4: Homes Laundry Room Equipment Calculator</t>
  </si>
  <si>
    <t>Table 3.5: Homes Laundry Room Equipment Modeling Summary</t>
  </si>
  <si>
    <t>Table 3.6: Homes Service Water Heating Load Summary</t>
  </si>
  <si>
    <t>Table 4.2: Vertical Glazing</t>
  </si>
  <si>
    <t>Table 4.3: Skylights</t>
  </si>
  <si>
    <t>Table 5.1: Infiltration</t>
  </si>
  <si>
    <t>Table 5.2: Roof Constructions</t>
  </si>
  <si>
    <t>Table 5.3: Above-Grade Exterior Wall Constructions</t>
  </si>
  <si>
    <t>Table 5.4: Below-Grade Exterior Wall Constructions</t>
  </si>
  <si>
    <t>Table 5.5: Exposed Floor Constructions</t>
  </si>
  <si>
    <t>Table 5.6: Slab-On-Grade Floors</t>
  </si>
  <si>
    <t>Table 5.7: Opaque Doors</t>
  </si>
  <si>
    <t>Table 6.1: Interior Lighting by Space Type</t>
  </si>
  <si>
    <t>Table 6.2: Summary</t>
  </si>
  <si>
    <t>Table 6.3: Interior Process Lighting (if applicable)</t>
  </si>
  <si>
    <t>Table 6.4: Tradable Surfaces</t>
  </si>
  <si>
    <t>Table 6.5: Nontradable Surfaces</t>
  </si>
  <si>
    <t>Table 6.6: Summary</t>
  </si>
  <si>
    <t>Table 7.1: Building Average Equipment Power Density</t>
  </si>
  <si>
    <t>Table 7.2: Space by Space Equipment Power Densities</t>
  </si>
  <si>
    <t>Table 7.4: Non-Receptacle Process Equipment</t>
  </si>
  <si>
    <t>Table 7.5: Garage Fan Power Calculation</t>
  </si>
  <si>
    <t>Table 8.1: Service Water Heaters</t>
  </si>
  <si>
    <t>Table 8.2: Low-Flow Fixtures</t>
  </si>
  <si>
    <t>Table 8.3: Low-Flow Fixture Summary</t>
  </si>
  <si>
    <t>Table 9.1: Proposed HVAC System Type(s)</t>
  </si>
  <si>
    <t>Table 9.2: Baseline HVAC System Type(s)</t>
  </si>
  <si>
    <t>Table 10.1: Air-Side HVAC System Schedule</t>
  </si>
  <si>
    <t>Table 11.1: Chilled Water</t>
  </si>
  <si>
    <t>Table 11.2: Cooling Tower and Condenser Water</t>
  </si>
  <si>
    <t>Table 11.3: Hot Water or Steam</t>
  </si>
  <si>
    <t>Table 11.4: Geothermal Loop</t>
  </si>
  <si>
    <t>Table 11.5: Combined Heat and Power (CHP)</t>
  </si>
  <si>
    <t>Table 11.6: Other</t>
  </si>
  <si>
    <t>Table 12.1: Energy Sources</t>
  </si>
  <si>
    <t>Table 12.4: Baseline energy summary by end use</t>
  </si>
  <si>
    <t>90.1 2010  look-up functionality for the third (prescriptive) column is set up, but currently filled out with the 2013 values as the placeholders. The following tabs must be updated to support LEED 90.1 – 2010 lookups:
• Envelope Lookup 90.1-2010
• Lighting Assumptions 90.1-2010
• HVAC Lookup 90.1-2010</t>
  </si>
  <si>
    <t>Secondary or building booster HW pump efficiency</t>
  </si>
  <si>
    <r>
      <t xml:space="preserve">Aspects of Proposed Design that are </t>
    </r>
    <r>
      <rPr>
        <u/>
        <sz val="10"/>
        <rFont val="Arial"/>
        <family val="2"/>
      </rPr>
      <t>worse</t>
    </r>
    <r>
      <rPr>
        <sz val="10"/>
        <rFont val="Arial"/>
        <family val="2"/>
      </rPr>
      <t xml:space="preserve"> than Baseline requirements of 90.1 </t>
    </r>
    <r>
      <rPr>
        <sz val="10"/>
        <rFont val="Arial"/>
        <family val="2"/>
      </rPr>
      <t>(conditional formatting)</t>
    </r>
  </si>
  <si>
    <r>
      <t xml:space="preserve">Aspects of Proposed Design that are </t>
    </r>
    <r>
      <rPr>
        <u/>
        <sz val="10"/>
        <rFont val="Arial"/>
        <family val="2"/>
      </rPr>
      <t>better</t>
    </r>
    <r>
      <rPr>
        <sz val="10"/>
        <rFont val="Arial"/>
        <family val="2"/>
      </rPr>
      <t xml:space="preserve"> than Baseline requirements of 90.1 </t>
    </r>
    <r>
      <rPr>
        <sz val="10"/>
        <rFont val="Arial"/>
        <family val="2"/>
      </rPr>
      <t xml:space="preserve"> (conditional formatting)</t>
    </r>
  </si>
  <si>
    <t>%</t>
  </si>
  <si>
    <t>NOTE: these buttons are not working when template is locked</t>
  </si>
  <si>
    <t>Receptacle Equipment</t>
  </si>
  <si>
    <t>Equipment Type</t>
  </si>
  <si>
    <t>Summary of Equipment in Table 3.2</t>
  </si>
  <si>
    <t>All Other Dwelling Unit Receptacle Loads</t>
  </si>
  <si>
    <t>T</t>
  </si>
  <si>
    <t>AG</t>
  </si>
  <si>
    <t>Building Transformers</t>
  </si>
  <si>
    <t>Refrigeration Equipment (Unregulated)</t>
  </si>
  <si>
    <t>Refrigeration Equipment (Regulated)</t>
  </si>
  <si>
    <t>Appliances</t>
  </si>
  <si>
    <r>
      <rPr>
        <u/>
        <sz val="8"/>
        <rFont val="Arial"/>
        <family val="2"/>
      </rPr>
      <t>Helpful Hints</t>
    </r>
    <r>
      <rPr>
        <sz val="8"/>
        <rFont val="Arial"/>
        <family val="2"/>
      </rPr>
      <t xml:space="preserve">
Allowance calculated using the maximum lighting power density from Table G3.6.</t>
    </r>
  </si>
  <si>
    <t>Eva</t>
  </si>
  <si>
    <t>Service Water Heater tab Update: Add system now also carried over the formulas but not the text.</t>
  </si>
  <si>
    <t>General Lighting tab Update: Exterior Lighting table baseline now references App. G rather than Section 9, and exterior table "add row" rows formulas updated to work when new rows are added.</t>
  </si>
  <si>
    <t>Updated QC Assurance Checks rows 27, 39-41for formula accuracy</t>
  </si>
  <si>
    <t>Updated General Info BPF reference to keep the year cell constant.</t>
  </si>
  <si>
    <t>Updated baseline Air Side Fan Power formula in the Air-Side HVAC tab</t>
  </si>
  <si>
    <t>Multifamily Details tab row 46 sensible and latent equations updated to not show error.</t>
  </si>
  <si>
    <t>Air leakage measurement type</t>
  </si>
  <si>
    <t>Whole Building</t>
  </si>
  <si>
    <t xml:space="preserve">Fixed building pressure differential </t>
  </si>
  <si>
    <t>75 Pa</t>
  </si>
  <si>
    <t>Only required if infiltration is modeled for performance credit. If "Individual Apartments" is selected in cell H36, air leakage rate should be calculated in the Testing &amp; Verification Worksheets "8.1- INF_BLOWER DOOR TEST" tab, and the highest air leakage rate should be entered below in cell H38.</t>
  </si>
  <si>
    <r>
      <t xml:space="preserve">Step 4: Review Quality Assurance Checks tab
</t>
    </r>
    <r>
      <rPr>
        <sz val="12"/>
        <color theme="1"/>
        <rFont val="Arial"/>
        <family val="2"/>
        <scheme val="minor"/>
      </rPr>
      <t xml:space="preserve">Prior to submitting project for review, the energy modeler must confirm that the model inputs listed are consistent with those modeled. 
Review the Quality Assurance Checks tab, and address all the areas that are flagged and highlighted in red. Modify inputs in the template and/or the models as appropriate to address the issues, or include explanation why the flagged area is correct for the project.   </t>
    </r>
  </si>
  <si>
    <t>Air Changes Per Hour (ACH)</t>
  </si>
  <si>
    <t>Fixture_DT</t>
  </si>
  <si>
    <t>*Note: Values provided for enclosed motors @ 1800 rpm as specified in ASHRAE 90.1-2016 Appendix G, Section G3.9.1</t>
  </si>
  <si>
    <t>* Energy Recovery per G3.1.2.10</t>
  </si>
  <si>
    <r>
      <rPr>
        <b/>
        <sz val="10"/>
        <rFont val="Arial"/>
        <family val="2"/>
      </rPr>
      <t xml:space="preserve">Compliant energy simulation software. </t>
    </r>
    <r>
      <rPr>
        <sz val="10"/>
        <rFont val="Arial"/>
        <family val="2"/>
      </rPr>
      <t>The energy simulation software used for this project has all capabilities described in EITHER section "G2 Simulation General Requirements" in Appendix G of ASHRAE 90.1 OR the analogous section of the alternative qualifying energy code used.</t>
    </r>
  </si>
  <si>
    <r>
      <rPr>
        <b/>
        <sz val="10"/>
        <rFont val="Arial"/>
        <family val="2"/>
      </rPr>
      <t xml:space="preserve">Compliant energy modeling methodology.   </t>
    </r>
    <r>
      <rPr>
        <sz val="10"/>
        <rFont val="Arial"/>
        <family val="2"/>
      </rPr>
      <t>Energy simulation runs for both the baseline and proposed use the assumptions and modeling methodology described in EITHER ASHRAE 90.1 Appendix G OR the analogous section of the alternative qualifying energy code used.</t>
    </r>
  </si>
  <si>
    <r>
      <t>All residential spaces (guest</t>
    </r>
    <r>
      <rPr>
        <sz val="10"/>
        <rFont val="Arial"/>
        <family val="2"/>
      </rPr>
      <t xml:space="preserve"> rooms, living quarters, private living space, in-patient rooms, and sleeping quarters) have been modeled with the required residential construction types from Tables G3.4-1 through G3.4-8 per ASHRAE 90.1-2016 Appendix G.</t>
    </r>
    <r>
      <rPr>
        <sz val="10"/>
        <color rgb="FFFF0000"/>
        <rFont val="Arial"/>
        <family val="2"/>
      </rPr>
      <t xml:space="preserve"> </t>
    </r>
  </si>
  <si>
    <r>
      <t xml:space="preserve">Space Type (90.1-2016 Table G3.7)
</t>
    </r>
    <r>
      <rPr>
        <sz val="10"/>
        <rFont val="Arial"/>
        <family val="2"/>
      </rPr>
      <t>Select “Multiple” if there are several space types within a thermal block, and enter weighted average baseline LPD.</t>
    </r>
  </si>
  <si>
    <r>
      <t xml:space="preserve">FIXTURE COUNTS
</t>
    </r>
    <r>
      <rPr>
        <sz val="10"/>
        <rFont val="Arial"/>
        <family val="2"/>
      </rPr>
      <t>Enter fixture counts for each thermal block. If Rated Input Wattage in Step 4 is entered as W/LnFt, enter fixture length in linear feet (LnFt). 
Do not count fixtures meeting exceptions to 90.1-2016 Section 9.2.2.3.</t>
    </r>
    <r>
      <rPr>
        <b/>
        <sz val="10"/>
        <rFont val="Arial"/>
        <family val="2"/>
      </rPr>
      <t xml:space="preserve">
</t>
    </r>
  </si>
  <si>
    <r>
      <t xml:space="preserve">System 11 must be modeled with an integrated water-side economizer meeting the requirements of Section 6.5.1.2 in the </t>
    </r>
    <r>
      <rPr>
        <b/>
        <sz val="10"/>
        <rFont val="Arial"/>
        <family val="2"/>
      </rPr>
      <t>baseline</t>
    </r>
    <r>
      <rPr>
        <sz val="10"/>
        <rFont val="Arial"/>
        <family val="2"/>
      </rPr>
      <t>. If the simulation cannot model an integrated water-side economizer, then an air-side economizer shall be modeled.</t>
    </r>
  </si>
  <si>
    <t>* Tables G3.5.1-G3.5.6 Unitary Cooling (Systems 1 through 6)</t>
  </si>
  <si>
    <t>Tables G3.5.1-G3.5.6 unitary cooling capacity range</t>
  </si>
  <si>
    <t>Enter the cooling capacity size category from the appropriate Tables G3.5.1-G3.5.6  for the Baseline HVAC system (or  group of similar systems) (example: 65-135 kBtu/h (19-39.5 kW))
Note: 
Systems 1 &amp; 2: Table G3.5.4
Systems 3, 5, &amp; 6: Table G3.5.1
System 4: Table G3.5.2
Systems 7-13: N/A</t>
  </si>
  <si>
    <t>* Tables G3.5.1-G3.5.6  Unitary Heating (Systems 2, 3, 4, and 9)</t>
  </si>
  <si>
    <t>Tables G3.5.1-G3.5.6  unitary heating capacity range</t>
  </si>
  <si>
    <t>Exhaust air energy recovery effectiveness or G3.1.2.10 exception claimed</t>
  </si>
  <si>
    <t>If energy recovery is modeled for the Baseline HVAC system, list the recovery effectiveness. If energy recovery is required but not modeled, list the exception from G3.1.2.10 used (example: not modeled per exception 2)</t>
  </si>
  <si>
    <t>Report exhaust fans not interlocked with HVAC operation (such as parking garage ventilation fans, or unconditioned electrical room exhaust fans), and exhaust fans not required in the calculations (such as those applying Exception 6.5.3.1.1, or kitchen hoods operating independently of the building HVAC system) in "Process Equipment".
These values are calculated based on system type, any pressure adjustments listed below, the total supply volume, and the ASHRAE 90.1 fan motor efficiency associated with the fan motor power.
Note: The sum of fan power for all supply, return, relief, and exhaust fans cannot exceed G3.1.2.9 system fan power allowance calculated using supply airflow.</t>
  </si>
  <si>
    <t>Total Table 6.5.3.1-2 pressure drop adjustment (A)</t>
  </si>
  <si>
    <r>
      <rPr>
        <b/>
        <sz val="10"/>
        <rFont val="Arial"/>
        <family val="2"/>
      </rPr>
      <t xml:space="preserve">Upload: Exceptional calculation </t>
    </r>
    <r>
      <rPr>
        <sz val="10"/>
        <rFont val="Arial"/>
        <family val="2"/>
      </rPr>
      <t xml:space="preserve">
Provide a detailed narrative explaining the exceptional calculation method(s) performed, including all end-uses affected by the exceptional calculation method. If more than one exceptional calculation method is used, the exceptional calculation ID in the narrative must match the values listed in the table above.  The exceptional calculation method must include:
•  Step-by-step documentation of the exceptional calculation method(s) performed detailed enough to reproduce the results
•  Copies of all spreadsheets used to perform the calculations, or simulation energy model input and output summaries documenting the calculations performed
•  For methods that significantly impact HVAC or refrigeration energy, the calculations shall be performed on a time step basis consistent with the simulation program used
•  The Performance Rating calculated with and without the exceptional calculation method
•  Documentation of the baseline and proposed assumptions. Documentation of baseline assumptions verify that the efficiency measure is not conventional practice by including, but not limited to:
    ○  a recently published study (published within five years of the project registration date) with researched tabulations or monitored data establishing standard practice for the given application in similar newly constructed facilities
    ○  a new construction utility or government program that incentivizes the measure
    ○  a document showing the systems used to perform the same function in other newly constructed facilities (for example, three similar facilities built within the past five years). These systems would be treated as the baseline system in the analysis, and evidence must be provided to demonstrate how the energy for the baseline and proposed buildings are determined 
    ○  use any of the prescriptive requirements from 90.1 as the baseline requirement without further justification to substantiate conventional practice, but only for the specific component addressed by the prescriptive requirement</t>
    </r>
  </si>
  <si>
    <t>90.1-2016 COP cooling conversions are added as cell notes to the proposed EER and COP in rows 21 and 22 of the 'Air Side HVAC' tab.</t>
  </si>
  <si>
    <t>Updated cells AC38:AC42 to include a delta T calculation for the Hot Water Consumption formula in the 'Service Hot Water' tab.</t>
  </si>
  <si>
    <t>Row 68 of the 'Air-Side HVAC' tab baseline BHP formula updated to show value. Previously the value would always show as "-".</t>
  </si>
  <si>
    <t>Row 40 and 44 have been added to the 'Opaque Assemblies' tab to include building Volume input and ACH calculation.</t>
  </si>
  <si>
    <t>Reviewed/updated references to be consistent with 90.1-2016.</t>
  </si>
  <si>
    <t>Opaque Assemblies' tab Table 5.1 updated to include 50Pa and 75Pa pressure differential. Instructions row 30 updated, rows 36, 37, 39, 41, 42, and 43 have been added for calculation.</t>
  </si>
  <si>
    <t>All proposed and baseline HVAC system types must be entered above to generate the correct modeling requirements below. Identify each applicable item (indicated in gray) as "Yes" or "No", and provide a further description for any items marked as "No" or "N/A".</t>
  </si>
  <si>
    <t>ENERGY STAR Eqp?</t>
  </si>
  <si>
    <t>Project Name</t>
  </si>
  <si>
    <t>ASHRAE 90.1-2007</t>
  </si>
  <si>
    <t>For each item entered as “No” above, describe the applicable ASHRAE 90.1 Appendix G exception(s) that apply, or the circumstances preventing the HVAC parameters from being modeled as required. If the energy simulation software is not capable of modeling the required parameters, describe the adjustments that were made to provide a similar representation or provide a narrative justifying why the predicted energy performance results will not be influenced.</t>
  </si>
  <si>
    <t>Version of ASHRAE 90.1 to exceed (reference edition of 90.1)</t>
  </si>
  <si>
    <t>Simulation Inputs</t>
  </si>
  <si>
    <t>ENERGY STAR MFHR</t>
  </si>
  <si>
    <t>*this table is used as a lookup</t>
  </si>
  <si>
    <t>System Type</t>
  </si>
  <si>
    <t>Storage</t>
  </si>
  <si>
    <t>The proposed in-unit lighting is reported as &lt;0.6 w/sf in the General Lighting tab. For ENERGY STAR MFHR projects, if the proposed in-unit lighting is below 0.6 W/SF, the savings in excess of these limits may be modeled only if the proposed fixtures are demonstrated to meet the recommended weighted average footcandles based on the 10th edition of the Illuminating Engineering Society (IESNA) Lighting Handbook for the given space type. Please provide external calculations showing these requirements are met, and also note the modeled in-unit LPD.</t>
  </si>
  <si>
    <t>Energy Modeling Protocol</t>
  </si>
  <si>
    <t>Long Comments</t>
  </si>
  <si>
    <t>Infiltration rates and schedules have been modeled identically in the baseline and proposed, unless whole-building or compartmentalization air leakage testing, in accordance with ASTM e779, is specified during design and completed after construction (per Table G3.1#5). If performance credit is modeled for infiltration reduction, complete the Infiltration table below.</t>
  </si>
  <si>
    <t>Infiltration rates and schedules have been modeled identically in the baseline and proposed, unless whole-building air leakage testing, in accordance with ASTM e779, is specified during design and completed after construction (per Table G3.1#5). If performance credit is modeled for infiltration reduction, complete the Infiltration table below.</t>
  </si>
  <si>
    <t>Energy Efficient Measure #</t>
  </si>
  <si>
    <t>Revision Notes</t>
  </si>
  <si>
    <t>Please provide a narrative describing any additional changes made to the energy models between the review phases not addressed by the responses to the programs review comments. If the projected savings increase or decrease substantially between revisions, a narrative explanation for these results must be provided.</t>
  </si>
  <si>
    <r>
      <rPr>
        <b/>
        <sz val="12"/>
        <rFont val="Arial"/>
        <family val="2"/>
        <scheme val="minor"/>
      </rPr>
      <t>Step 1:  Enable macros</t>
    </r>
    <r>
      <rPr>
        <sz val="12"/>
        <rFont val="Arial"/>
        <family val="2"/>
        <scheme val="minor"/>
      </rPr>
      <t xml:space="preserve">
In order for the template to function correctly, when prompted with a Security Warning, enable macros by clicking Enable Content (Excel 2010, 2013) or by clicking Options -&gt; Enable this content (Excel 2007)</t>
    </r>
  </si>
  <si>
    <t xml:space="preserve">Mechanical ventilation was modeled following ENERGY STAR MFHR Simulation Guidelines Section 6.5.12. In the common spaces, the baseline ventilation rate was modeled the same as in the proposed design without exceeding ASHRAE 62.1-2013 (Simulation Guidelines Section 6.5.12, 1(b). 
In apartments, the baseline ventilation method (mechanical versus natural) and controls (continuous versus intermittent) was modeled as specified for each application. The baseline local mechanical exhaust from bathrooms and kitchens, and the baseline dwelling-unit ventilation rate was modeled using the same rates as in the Proposed Design, without exceeding the minimum required by ASHRAE 62.2-2013.
If the same mechanical ventilation system was used to provide both local mechanical exhaust and whole-unit ventilation, the baseline ventilation rate was based on the greater of the two rates. 
</t>
  </si>
  <si>
    <t xml:space="preserve">Per Section G3.1.2.5, the minimum ventilation system outdoor air intake flow was modeled the same for the proposed design and baseline building design except when modeling demand control ventilation in the proposed design (G3.1.2.5 Exception 1), for proposed designs with the zone air distribution effectiveness Ez&gt;1.0 as defined in ASHRAE Standard 62.1 (G3.1.2.5 Exception 2), when proposed design has the minimum outdoor air intake flow in excess of the amount required by the building code or the rating authority (G3.1.2.5 Exception 3), or for the baseline systems serving certain laboratory spaces (G3.1.2.5 Exception 4). Indicate if any of the exceptions apply in the Additional Notes field.
The Baseline outside air volume and Proposed outside air volume values must be reported consistently with the information provided in IEQ Prerequisite: Minimum Indoor Air Quality, or supplemental documentation must be provided to support the local OA volume requirements or Baseline calculations for systems with Ez &gt; 1.0. 
</t>
  </si>
  <si>
    <t>Step 4, and the rows below are optional inputs.</t>
  </si>
  <si>
    <t>(OPTIONAL) Detailed Measures</t>
  </si>
  <si>
    <t>Parametric Run</t>
  </si>
  <si>
    <t>Baseline Description</t>
  </si>
  <si>
    <t>Proposed Description</t>
  </si>
  <si>
    <t>Item</t>
  </si>
  <si>
    <t>Automatically controlled fenestration shades or blinds</t>
  </si>
  <si>
    <t>Permanent shading devices such as fins, overhangs, and light shelves</t>
  </si>
  <si>
    <t>North Vertical Glazing Area</t>
  </si>
  <si>
    <t>East Vertical Glazing Area</t>
  </si>
  <si>
    <t>South Vertical Glazing Area</t>
  </si>
  <si>
    <t>West Vertical Glazing Area</t>
  </si>
  <si>
    <t>Total Vertical Glazing Area</t>
  </si>
  <si>
    <t>Vertical Glazing (1)</t>
  </si>
  <si>
    <t>Skylights (1)</t>
  </si>
  <si>
    <t>Infiltration</t>
  </si>
  <si>
    <t>Roof (1)</t>
  </si>
  <si>
    <t>AGW (1)</t>
  </si>
  <si>
    <t>BGW (1)</t>
  </si>
  <si>
    <t>Exposed Floor (1)</t>
  </si>
  <si>
    <t>Slab on Grade Floor (1)</t>
  </si>
  <si>
    <t>Opaque Doors (1)</t>
  </si>
  <si>
    <t>&lt;User Entry&gt;</t>
  </si>
  <si>
    <t>Total Cost Savings (S)</t>
  </si>
  <si>
    <t>Incremental Energy savings</t>
  </si>
  <si>
    <t>Totals:</t>
  </si>
  <si>
    <t>Water Savings 1000 gal</t>
  </si>
  <si>
    <t>Incremental Metrics</t>
  </si>
  <si>
    <r>
      <t xml:space="preserve">Fuel Cost: </t>
    </r>
    <r>
      <rPr>
        <sz val="10"/>
        <color theme="1"/>
        <rFont val="Arial"/>
        <family val="2"/>
      </rPr>
      <t>Please enter the fuel costs below.</t>
    </r>
  </si>
  <si>
    <t>1000 Btu/hr</t>
  </si>
  <si>
    <t>CFM</t>
  </si>
  <si>
    <t>each</t>
  </si>
  <si>
    <t>SqFt</t>
  </si>
  <si>
    <t>ENERGY STAR</t>
  </si>
  <si>
    <t>Exercise Room</t>
  </si>
  <si>
    <t>Trash Chute/Room</t>
  </si>
  <si>
    <t>Janitor Closet</t>
  </si>
  <si>
    <t>Community Room</t>
  </si>
  <si>
    <t>Elevator (interior)</t>
  </si>
  <si>
    <t>Tenant Storage</t>
  </si>
  <si>
    <r>
      <t xml:space="preserve">$/Therm </t>
    </r>
    <r>
      <rPr>
        <b/>
        <sz val="10"/>
        <color theme="1"/>
        <rFont val="Arial"/>
        <family val="2"/>
      </rPr>
      <t>Natural Gas</t>
    </r>
  </si>
  <si>
    <r>
      <t xml:space="preserve">$/kWh </t>
    </r>
    <r>
      <rPr>
        <b/>
        <sz val="10"/>
        <color theme="1"/>
        <rFont val="Arial"/>
        <family val="2"/>
      </rPr>
      <t>Electricity</t>
    </r>
  </si>
  <si>
    <t>Lighting General</t>
  </si>
  <si>
    <t>Interior Lighting by Space Type</t>
  </si>
  <si>
    <t>Building Average Equipment Power Density</t>
  </si>
  <si>
    <t>Space by Space Equipment Power Densities</t>
  </si>
  <si>
    <t>Non-Receptacle Process Equipment</t>
  </si>
  <si>
    <t>Low-Flow Fixtures</t>
  </si>
  <si>
    <t>Low-Flow Fixture Summary</t>
  </si>
  <si>
    <t>Service Water Heaters</t>
  </si>
  <si>
    <t>Chilled Water</t>
  </si>
  <si>
    <t>Cooling Tower and Condenser Water</t>
  </si>
  <si>
    <t>Hot Water or Steam</t>
  </si>
  <si>
    <t>Geothermal Loop</t>
  </si>
  <si>
    <t>Combined Heat and Power (CHP)</t>
  </si>
  <si>
    <t>Measure #</t>
  </si>
  <si>
    <t>UfactorMethod</t>
  </si>
  <si>
    <t>General HVAC drop-down</t>
  </si>
  <si>
    <t>All equipment in the unfinished spaces not included in the project scope of work has been modeled identically in the Baseline and Proposed case using the Baseline modeling requirements</t>
  </si>
  <si>
    <t>Credit has been modeled in the Proposed case for energy efficiency measures that are specifically identified in signed tenant sales and lease agreements (LEED Core &amp; Shell only.  New Construction must be modeled identically in the Baseline and Proposed Case).</t>
  </si>
  <si>
    <t>Opaque Envelope - Construction</t>
  </si>
  <si>
    <t>Existing</t>
  </si>
  <si>
    <t>Opaque Envelope - Space Conditioning</t>
  </si>
  <si>
    <t>Air-Side HVAC adjustment drop-down (IP)</t>
  </si>
  <si>
    <t>LEED v4 BD+C: Multifamily Midrise</t>
  </si>
  <si>
    <t>LEED project phase completeness</t>
  </si>
  <si>
    <t>90% Construction Documents</t>
  </si>
  <si>
    <t>100% Construction Documents</t>
  </si>
  <si>
    <t>As-built Construction Documents</t>
  </si>
  <si>
    <t>Other - Please Describe</t>
  </si>
  <si>
    <t>"Instructions - LEED" tab lookups</t>
  </si>
  <si>
    <t>*** THESE ARE NOT 2007 VALUES. THESE TABLES ARE HERE AS A PLACEHOLDER.</t>
  </si>
  <si>
    <t>ASHRAE 90.1 2016 Addenda used in the energy model(s), if any.  Addenda are not required to be used for the project. However, each addenda must be used in its entirety if applied to the project, and must be consistent across all relevant LEED Credits.</t>
  </si>
  <si>
    <t>Table 3.7: Ventilation in Dwelling Units</t>
  </si>
  <si>
    <t>Continuous CFM equivalent to 5ACH (62.2-2013):</t>
  </si>
  <si>
    <t>Kitchen (CFM, each)</t>
  </si>
  <si>
    <t>Bathroom (CFM, each)</t>
  </si>
  <si>
    <t>Intermittent or Continuous?</t>
  </si>
  <si>
    <t>Kitchen</t>
  </si>
  <si>
    <t>Bathroom</t>
  </si>
  <si>
    <t>Local Exhaust</t>
  </si>
  <si>
    <t>Whole Unit Ventilation</t>
  </si>
  <si>
    <t>Enter values in the grey editable cells to populate the ventilation in dwelling units per ASHRAE 62.2-2013.</t>
  </si>
  <si>
    <t>OA Supply Method</t>
  </si>
  <si>
    <t>For non-mechanical OA supply method, does the intermittent exhaust run on a timer per 62.2-2013?</t>
  </si>
  <si>
    <t>Building Performance Factor (BPF)</t>
  </si>
  <si>
    <r>
      <t xml:space="preserve">$/ 1000 Gallons </t>
    </r>
    <r>
      <rPr>
        <b/>
        <sz val="10"/>
        <color theme="1"/>
        <rFont val="Arial"/>
        <family val="2"/>
      </rPr>
      <t>Water</t>
    </r>
  </si>
  <si>
    <t>Total Electric kWh</t>
  </si>
  <si>
    <t>Total Non-Electric MMBtu</t>
  </si>
  <si>
    <t>Heating MMBtu (Non-Electric Only)</t>
  </si>
  <si>
    <t>Cooling kWh (Electric Only)</t>
  </si>
  <si>
    <r>
      <rPr>
        <b/>
        <sz val="11"/>
        <rFont val="Arial"/>
        <family val="2"/>
      </rPr>
      <t>Step 1:</t>
    </r>
    <r>
      <rPr>
        <sz val="11"/>
        <rFont val="Arial"/>
        <family val="2"/>
      </rPr>
      <t xml:space="preserve"> </t>
    </r>
    <r>
      <rPr>
        <sz val="10"/>
        <rFont val="Arial"/>
        <family val="2"/>
      </rPr>
      <t xml:space="preserve">Enter Fixture Label </t>
    </r>
    <r>
      <rPr>
        <sz val="10"/>
        <color theme="1"/>
        <rFont val="Arial"/>
        <family val="2"/>
      </rPr>
      <t>(from lighting schedules and plans)</t>
    </r>
  </si>
  <si>
    <r>
      <rPr>
        <b/>
        <sz val="11"/>
        <rFont val="Arial"/>
        <family val="2"/>
      </rPr>
      <t>Step 2:</t>
    </r>
    <r>
      <rPr>
        <sz val="10"/>
        <rFont val="Arial"/>
        <family val="2"/>
      </rPr>
      <t xml:space="preserve"> Enter Rated Input Wattage or W/LnFt (for track lighting)</t>
    </r>
  </si>
  <si>
    <t>Baseline CFM per Apartment  (Minimum of ASHRAE 62.2-2013 or Proposed Value)</t>
  </si>
  <si>
    <r>
      <t xml:space="preserve">Instructions: </t>
    </r>
    <r>
      <rPr>
        <sz val="10"/>
        <color indexed="8"/>
        <rFont val="Arial"/>
        <family val="2"/>
      </rPr>
      <t xml:space="preserve">This tab is optional. The Baseline and Proposed details of the modeled Measures are reported in this tab. All grey cells in columns C:E of this tab are initially filled out with automated descriptions based on the inputs in this template (for eQUEST users). These cells are able to be edited by the user. If additional information needs to be added to the automated description, please copy the cell and paste values in the same cell, before editing text. If a value is edited and you would like to go back to the automated description, click the "Automate" button. Some descriptions will need to be filled out manually by the user.
</t>
    </r>
    <r>
      <rPr>
        <b/>
        <sz val="10"/>
        <color indexed="8"/>
        <rFont val="Arial"/>
        <family val="2"/>
      </rPr>
      <t xml:space="preserve">eQUEST USERS: </t>
    </r>
    <r>
      <rPr>
        <sz val="10"/>
        <color indexed="8"/>
        <rFont val="Arial"/>
        <family val="2"/>
      </rPr>
      <t xml:space="preserve">Please fill out 'Results from eQUEST' tab prior to starting the 'Detailed Measures' tab to enable functionality. Be sure all measures #'s are noted in previous support tabs. Manually enter Parametric Run description in columns D:E where "&lt;Enter Description Here&gt;" is noted. 
</t>
    </r>
    <r>
      <rPr>
        <b/>
        <sz val="10"/>
        <color indexed="8"/>
        <rFont val="Arial"/>
        <family val="2"/>
      </rPr>
      <t>Non-eQUEST Users:</t>
    </r>
    <r>
      <rPr>
        <sz val="10"/>
        <color indexed="8"/>
        <rFont val="Arial"/>
        <family val="2"/>
      </rPr>
      <t xml:space="preserve"> Enter all measures #'s in previous support tabs. Parametric Run descriptions will need to manually entered in columns D:E, as well as the Incremental Energy Savings in columns H:K.
Please delete any cells associated with penalty measures, and hide rows that are blank.</t>
    </r>
  </si>
  <si>
    <t>Site Energy</t>
  </si>
  <si>
    <t>Source Energy</t>
  </si>
  <si>
    <t>Cost $</t>
  </si>
  <si>
    <t>Source</t>
  </si>
  <si>
    <t>Site to Source Conversion Factors</t>
  </si>
  <si>
    <t>V1.1: Updated Template to allow entering custom site-to-source conversions for different energy sources, and added performance rating calculations based on source energy.</t>
  </si>
  <si>
    <t>V1.1 Released to EPA</t>
  </si>
  <si>
    <t>Version Update Checklist</t>
  </si>
  <si>
    <t>Update Release Date in Instructions Tab</t>
  </si>
  <si>
    <t>Update version number in the file name</t>
  </si>
  <si>
    <t>Lock the template</t>
  </si>
  <si>
    <t>Save the template so that it opens on the “Instructions” tab.</t>
  </si>
  <si>
    <t>Version</t>
  </si>
  <si>
    <t>V1.1</t>
  </si>
  <si>
    <t>Above Grade</t>
  </si>
  <si>
    <t>Below Grade</t>
  </si>
  <si>
    <t>Conditioned total</t>
  </si>
  <si>
    <t>Percent of Conditioned Area (%)</t>
  </si>
  <si>
    <t>Total Conditioned Area</t>
  </si>
  <si>
    <t>&lt;Specify Version Number&gt;</t>
  </si>
  <si>
    <t>Are there error or warning messages noted in the simulation program output?</t>
  </si>
  <si>
    <t>Utility Rate Description</t>
  </si>
  <si>
    <t>Utility Rate Structure Type</t>
  </si>
  <si>
    <t>Helpful Hints
•  All vertical glazing flush with exterior wall and no shading projections per Table G3.1#5(d)
•  Manual shading devices such as blinds or shades may be modeled per Table G3.1#5(d)
•  No self-shading per Table G3.1#5
•  Total vertical fenestration areas for new construction and additions shall equal that in Table G3.1.1-1 based on gross above-grade exterior wall area. For buildings areas not shown in Table G3.1.1-1, vertical fenestration shall equal that in the proposed design or the maximum allowed in Tables G3.4-1 through G3.4-8 for the applicable glazing percentage for U-fixed, whichever is smaller, per Table G3.1#5(c)
•  Total vertical fenestration areas for existing construction shall equal the existing fenestration area prior to the proposed work and shall be distributed on each face of the building in the same proportions as the existing building per Table G3.1#5(c)</t>
  </si>
  <si>
    <t>Helpful Hints
•  Manual shading devices such as blinds or shades may be modeled and must be consistent with the baseline per Table G3.1#5(4)
•  Permanent shading devices (such as fins, overhangs, and light shelves) and automatically controlled shades or blinds must be modeled per Table G3.1#5(4)</t>
  </si>
  <si>
    <t>Area (sf)</t>
  </si>
  <si>
    <t>Plans / Specs</t>
  </si>
  <si>
    <t>Helpful Hints
•  Service water heaters modeled as designed (or installed) per Table G3.1#11(a&amp;b)
•  Where no service hot water system exists or has been specified but the building will have service hot water loads, a service hot water system should be modeled identical to the Baseline per Table G3.1#11(c)
•  For buildings with no service hot water loads, no service hot water system should be modeled per Table G3.1#11(d)
•  For buildings where a combined system has been specified to meet both space heating and service water heating loads, the proposed design shall reflect the actual system type using actual capacities and efficiencies per Table G3.1#11(e)</t>
  </si>
  <si>
    <t>LEED average BPF (2010,2013,2016)</t>
  </si>
  <si>
    <t>ES Actual BPF (2007,2010,2013,2016)</t>
  </si>
  <si>
    <t>NYS Actual BPF(2016)</t>
  </si>
  <si>
    <t>V1.2</t>
  </si>
  <si>
    <t>Add changes made in this version to the Revision Log tab in the template and in the LEED changes word document.</t>
  </si>
  <si>
    <t>Performance Summary</t>
  </si>
  <si>
    <t>Site Energy Conversion Factor</t>
  </si>
  <si>
    <t>Source Energy Conversion Factor</t>
  </si>
  <si>
    <t>Baseline $/Energy Type</t>
  </si>
  <si>
    <t>Proposed $/Energy Type</t>
  </si>
  <si>
    <t>Site EUI (kBtu/sf/yr)</t>
  </si>
  <si>
    <t>Source EUI (kBtu/sf/yr)</t>
  </si>
  <si>
    <t>Project Area</t>
  </si>
  <si>
    <t>PNNL End Use Equivalent</t>
  </si>
  <si>
    <t>Lighting, Interior</t>
  </si>
  <si>
    <t>Lighting, Exterior</t>
  </si>
  <si>
    <t>DHW</t>
  </si>
  <si>
    <t>Heating</t>
  </si>
  <si>
    <t>Cooling</t>
  </si>
  <si>
    <t>Fans</t>
  </si>
  <si>
    <t>Refrigeration</t>
  </si>
  <si>
    <t>Elevator</t>
  </si>
  <si>
    <t>Transformers</t>
  </si>
  <si>
    <t>Equipment</t>
  </si>
  <si>
    <t>Humidfy</t>
  </si>
  <si>
    <t>Heat Recovery</t>
  </si>
  <si>
    <t>Heat</t>
  </si>
  <si>
    <t>% Energy Cost Savings 
per End-Use</t>
  </si>
  <si>
    <t>Cost Intensity $/sf</t>
  </si>
  <si>
    <t>% Energy Site EUI Savings 
per End-Use</t>
  </si>
  <si>
    <t>% Energy Source EUI Savings 
per End-Use</t>
  </si>
  <si>
    <t>Baseline vs. Proposed</t>
  </si>
  <si>
    <t>Baseline vs. ASHRAE 90.1-2004</t>
  </si>
  <si>
    <t>90.1-2004</t>
  </si>
  <si>
    <t>90.1-2013</t>
  </si>
  <si>
    <t>Climate Zone 4A</t>
  </si>
  <si>
    <t>Site EUI (kBtu/SF/yr)</t>
  </si>
  <si>
    <t>Weight</t>
  </si>
  <si>
    <t>Apartments</t>
  </si>
  <si>
    <t>Mid Rise</t>
  </si>
  <si>
    <t>High Rise</t>
  </si>
  <si>
    <t>Clinic</t>
  </si>
  <si>
    <t>Large</t>
  </si>
  <si>
    <t>Small</t>
  </si>
  <si>
    <t>Dining</t>
  </si>
  <si>
    <t>Fast Food</t>
  </si>
  <si>
    <t>Commercial</t>
  </si>
  <si>
    <t>Retail Store</t>
  </si>
  <si>
    <t>Strip Mall</t>
  </si>
  <si>
    <t>Secondary</t>
  </si>
  <si>
    <t>Primary</t>
  </si>
  <si>
    <t>Climate Zone 5A</t>
  </si>
  <si>
    <t>Climate Zone 6A</t>
  </si>
  <si>
    <t>Fan</t>
  </si>
  <si>
    <t>Weighted Average</t>
  </si>
  <si>
    <t>Weighted Average for building types</t>
  </si>
  <si>
    <t>Simple Breakdown</t>
  </si>
  <si>
    <t>SHW</t>
  </si>
  <si>
    <t>Cool</t>
  </si>
  <si>
    <t>Other Regulated</t>
  </si>
  <si>
    <t>Other Non-Regulated</t>
  </si>
  <si>
    <t>Weighted Average for multiple building types Site EUI (kBtu/sf/yr)</t>
  </si>
  <si>
    <t>ASHRAE 90.1-2004</t>
  </si>
  <si>
    <t>% Energy Site EUI Savings VS 90.1-2004
per End-Use</t>
  </si>
  <si>
    <t>% Energy Site EUI Savings VS 90.1-2013
per End-Use</t>
  </si>
  <si>
    <t>Proposed Design Per Equipment</t>
  </si>
  <si>
    <t>Proposed Design Total</t>
  </si>
  <si>
    <t>Proposed Design Fan Type</t>
  </si>
  <si>
    <t>Proposed Design Mechanical OA Supply CFM per Apartment</t>
  </si>
  <si>
    <t>Proposed Design Mechanical OA Supply CFM Total</t>
  </si>
  <si>
    <t>Proposed Design</t>
  </si>
  <si>
    <t>Proposed Design Description</t>
  </si>
  <si>
    <t>Table 4.1: Envelope Area Summary</t>
  </si>
  <si>
    <t>Performance Outputs End Use</t>
  </si>
  <si>
    <t>Simple Breakdown used in graphs</t>
  </si>
  <si>
    <t>Proposed vs. ASHRAE 90.1-2013</t>
  </si>
  <si>
    <t>HIDE</t>
  </si>
  <si>
    <t>Misc Equipment</t>
  </si>
  <si>
    <t>General Info Building Type Options</t>
  </si>
  <si>
    <t>PNNL Building Type Options</t>
  </si>
  <si>
    <t>OS Credit (90.1 Table G3.7)</t>
  </si>
  <si>
    <t>Reference Values</t>
  </si>
  <si>
    <t>Modeled baseline vertical fenestration areas for new buildings and additions reflects Window to Wall (WWR) ratio in Table G3.1.1-1 based on the area of gross above-grade walls that separate conditioned spaces and semiheated spaces from the exterior. For building areas not shown in Table G3.1.1-1, vertical fenestration areas is equal that in the proposed design or 40% of gross above-grade wall area, whichever is smaller.</t>
  </si>
  <si>
    <t>Modeled baseline vertical fenestration is distributed on each face of the building in the same proportion as in the proposed design.</t>
  </si>
  <si>
    <t>Modeled baseline fenestration area for an existing building is equal the existing fenestration area prior to the proposed work and distributed on each face of the building in the same proportions as the existing building.</t>
  </si>
  <si>
    <t>Modeled baseline skylight area is equal to that in the proposed design or 3%, whichever is smaller. Skylight orientation and tilt is the same as in the proposed design.</t>
  </si>
  <si>
    <t xml:space="preserve">Shading by adjacent structures and terrain was modeled the same in the baseline and proposed design models. All elements whose effective height is greater than their distance from a proposed building and whose width facing the proposed building is greater than one-third that of the proposed building were accounted for in both simulations. </t>
  </si>
  <si>
    <t>Automatically controlled fenestration shades or blinds have been modeled in the proposed design but not in the baseline.</t>
  </si>
  <si>
    <t>Permanent shading devices such as fins, overhangs, and light shelves were modeled in the proposed design but not in the baseline.</t>
  </si>
  <si>
    <t>All proposed fenestration was modeled based on the assembly U-factor and SHGC determined using the following method: (If more than one method used, list additional methods in the Note, and describe and fenestration products to which it was applied.)</t>
  </si>
  <si>
    <t>All baseline fenestration for new buildings, existing buildings, and additions was modeled with assembly U-factor and SHGC from Tables G3.4-1 through G3.4-8.</t>
  </si>
  <si>
    <t>Thermal Blocks were modeled consistent with Table G3.1#7 and Table G3.1#8 as applicable, and were modeled identically in the Baseline and Proposed design models.</t>
  </si>
  <si>
    <t>Other (Described below)</t>
  </si>
  <si>
    <r>
      <t xml:space="preserve">Instructions: </t>
    </r>
    <r>
      <rPr>
        <sz val="10"/>
        <color indexed="8"/>
        <rFont val="Arial"/>
        <family val="2"/>
      </rPr>
      <t xml:space="preserve">Confirm that the energy model complies with the Interior lighting requirements listed, and provide a narrative explaining any discrepancies. Completing the Lighting Counts tab will populate the Interior Lighting by Space Type table. Please refer to the column header notes for information about Appendix G modeling protocol. Enter "N/A" for any information not applicable to the project. </t>
    </r>
  </si>
  <si>
    <t>Automatic daylighting controls are modeled directly in the proposed design or through schedule adjustments determined by a separate daylighting analysis approved by the rating authority. Modeling and schedule adjustments separately account for primary side lighted areas, secondary side lighted areas, and top lighted areas.</t>
  </si>
  <si>
    <t xml:space="preserve">The baseline lighting power allowance is based on the portions of the site that are illuminated. (The illuminated area is any area within a square pattern around each luminaire or pole that is six times the luminaire mounting height, with the luminaire in the middle of the pattern, less any area that is within a building, under a canopy, beyond property lines, or obstructed by a sign or structure.) </t>
  </si>
  <si>
    <t>Any overlapping area of another lighting application were subtracted from the area of the other lighting application, to avoid double-counting. (The allowed area of roadway, driveway, sidewalk, walkway or bikeway was determined as either the actual paved area plus 5 feet on either side of the centerline path of travel, or a 25-foot-wide area running along the axis of the path of travel and including as much of the paved area of the site roadway, driveway, sidewalk, walkway or bikeway as possible.)</t>
  </si>
  <si>
    <r>
      <t>The proposed lighting power includes all lighting system components shown or provided for on the plans (including lamps and ballasts and task and furniture-mounted fixtures except where specifically exempted), manufacturers’</t>
    </r>
    <r>
      <rPr>
        <b/>
        <sz val="10"/>
        <color theme="1"/>
        <rFont val="Arial"/>
        <family val="2"/>
      </rPr>
      <t xml:space="preserve"> labeled maximum wattage</t>
    </r>
    <r>
      <rPr>
        <sz val="10"/>
        <color theme="1"/>
        <rFont val="Arial"/>
        <family val="2"/>
      </rPr>
      <t xml:space="preserve"> of the luminaire.</t>
    </r>
  </si>
  <si>
    <t>Select the appropriate Exterior Lighting Zone from ASHRAE 90.1-2016 Table 9.4.2-1</t>
  </si>
  <si>
    <t xml:space="preserve">The same schedules reflecting the mandatory exterior lighting controls were modeled in the baseline and proposed design. </t>
  </si>
  <si>
    <t xml:space="preserve">The proposed building design contains the mandatory automatic lighting controls specified in Section 9.4.1 (e.g., automatic daylight responsive controls, occupancy sensors, programmable controls, etc.). </t>
  </si>
  <si>
    <r>
      <rPr>
        <u/>
        <sz val="8"/>
        <rFont val="Arial"/>
        <family val="2"/>
      </rPr>
      <t>Helpful Hints</t>
    </r>
    <r>
      <rPr>
        <sz val="8"/>
        <rFont val="Arial"/>
        <family val="2"/>
      </rPr>
      <t xml:space="preserve">
• Lighting power should be modeled as designed (or installed)
• Reference specific place in the submitted design documents (e.g. drawing &amp; detail number) where relevant parameters are listed to support review.</t>
    </r>
  </si>
  <si>
    <r>
      <rPr>
        <u/>
        <sz val="9"/>
        <rFont val="Arial"/>
        <family val="2"/>
      </rPr>
      <t>Helpful Hints</t>
    </r>
    <r>
      <rPr>
        <sz val="9"/>
        <rFont val="Arial"/>
        <family val="2"/>
      </rPr>
      <t xml:space="preserve">
• Proposed vertical glazing assembly U-factor should be as-designed and account for the impact of the frames on the whole assembly. Reference Table A8.2 of ASHRAE 90.1 as necessary.
• Describe the Proposed vertical glazing assembly (for example: double glazing, argon filled, low-e coating, aluminum frame with thermal break)
• Enter the Proposed vertical glazing assembly solar heat gain coefficient (SHGC). Please note that this is not equivalent to the shading coefficient (SC).
• Enter the Proposed vertical glazing assembly visual light transmittance (VLT)
• If the Proposed design includes building envelope assemblies of different U-values, please specify surface area, square feet, for each envelope assembly.
•Reference specific place in the submitted design documents (e.g. drawing &amp; detail number) where relevant parameters are listed to support review.</t>
    </r>
  </si>
  <si>
    <r>
      <rPr>
        <u/>
        <sz val="9"/>
        <rFont val="Arial"/>
        <family val="2"/>
      </rPr>
      <t>Helpful Hints</t>
    </r>
    <r>
      <rPr>
        <sz val="9"/>
        <rFont val="Arial"/>
        <family val="2"/>
      </rPr>
      <t xml:space="preserve">
• Proposed skylight assembly U-factor should be as-designed and account for the impact of the frames on the whole assembly. Reference Tables A8.1-1 and A8.1-2 of ASHRAE 90.1 as necessary.
• Describe the Proposed skylight assembly (for example: glass with curb, double glazing, argon filled, low-e coating, aluminum frame with thermal break)
• Enter the Proposed skylight assembly solar heat gain coefficient (SHGC). Please note that this is not equivalent to the shading coefficient (SC).
• Enter the Proposed skylight assembly visual light transmittance (VLT)
• If the Proposed design includes building envelope assemblies of different U-values, please specify surface area, square feet, for each envelope assembly.
•Reference specific place in the submitted design documents (e.g. drawing &amp; detail number) where relevant parameters are listed to support review.</t>
    </r>
  </si>
  <si>
    <r>
      <rPr>
        <u/>
        <sz val="9"/>
        <rFont val="Arial"/>
        <family val="2"/>
      </rPr>
      <t>Helpful Hints</t>
    </r>
    <r>
      <rPr>
        <sz val="9"/>
        <rFont val="Arial"/>
        <family val="2"/>
      </rPr>
      <t xml:space="preserve">
• Describe the Proposed roof construction and Appendix A Table if referenced (for example: R-30 (R-5.3) continuous insulation entirely above metal deck per Table A2.2.3).  
• Proposed construction assembly U-factor should be as-designed and consistent with Appendix A of ASHRAE 90.1.  
• If the Proposed design includes building envelope assemblies of different U-values, please specify surface area, square feet, for each envelope assembly.
•Reference specific place in the submitted design documents (e.g. drawing &amp; detail number) where relevant parameters are listed to support review.</t>
    </r>
  </si>
  <si>
    <r>
      <rPr>
        <u/>
        <sz val="9"/>
        <rFont val="Arial"/>
        <family val="2"/>
      </rPr>
      <t>Helpful Hints</t>
    </r>
    <r>
      <rPr>
        <sz val="9"/>
        <rFont val="Arial"/>
        <family val="2"/>
      </rPr>
      <t xml:space="preserve">
• Describe the Proposed above-grade exterior wall construction and Appendix A Table referenced (for example: 6" (150mm) steel frames spaced 24" (610mm) on center with R-21 cavity insulation and R-10 (R3.7)continuous insulation per Table A3.3.3.1). 
• Proposed construction assembly U-factor should be as-designed and consistent with Appendix A of ASHRAE 90.1.  
• If the Proposed design includes building envelope assemblies of different U-values, please specify surface area, square feet, for each envelope assembly.
•Reference specific place in the submitted design documents (e.g. drawing &amp; detail number) where relevant parameters are listed to support review.</t>
    </r>
  </si>
  <si>
    <r>
      <rPr>
        <u/>
        <sz val="9"/>
        <rFont val="Arial"/>
        <family val="2"/>
      </rPr>
      <t>Helpful Hints</t>
    </r>
    <r>
      <rPr>
        <sz val="9"/>
        <rFont val="Arial"/>
        <family val="2"/>
      </rPr>
      <t xml:space="preserve">
• Describe the Proposed below-grade exterior wall construction and Appendix A Table referenced (for example: 8" (200mm) medium-weight concrete b-lock with solid grouted cores and R-10 (R3.7) continuous insulation per Table A4.2.1).  
• Proposed construction assembly U-factor should be as-designed and consistent with Appendix A of ASHRAE 90.1.
• If the Proposed design includes building envelope assemblies of different U-values, please specify surface area, square feet, for each envelope assembly.
•Reference specific place in the submitted design documents (e.g. drawing &amp; detail number) where relevant parameters are listed to support review.
</t>
    </r>
  </si>
  <si>
    <r>
      <rPr>
        <u/>
        <sz val="9"/>
        <rFont val="Arial"/>
        <family val="2"/>
      </rPr>
      <t>Helpful Hints</t>
    </r>
    <r>
      <rPr>
        <sz val="9"/>
        <rFont val="Arial"/>
        <family val="2"/>
      </rPr>
      <t xml:space="preserve">
• Describe the Proposed floor construction and Appendix A Table referenced (for example: steel-joist with R-20 (R-2.6) spray-on insulation on underside of floor and joists per Table A5.3.3.1).  
• Proposed construction assembly U-factor should be as-designed and consistent with Appendix A of ASHRAE 90.1.
• If the Proposed design includes building envelope assemblies of different U-values, please specify surface area, square feet, for each envelope assembly.
•Reference specific place in the submitted design documents (e.g. drawing &amp; detail number) where relevant parameters are listed to support review.
</t>
    </r>
  </si>
  <si>
    <r>
      <rPr>
        <u/>
        <sz val="9"/>
        <rFont val="Arial"/>
        <family val="2"/>
      </rPr>
      <t>Helpful Hints</t>
    </r>
    <r>
      <rPr>
        <sz val="9"/>
        <rFont val="Arial"/>
        <family val="2"/>
      </rPr>
      <t xml:space="preserve">
• Describe the Proposed slab-on-grade floor construction and Appendix A Table referenced (for example: unheated 6" (150 mm) concrete slab poured directly on the earth with 24" R-10 (610 mm R-3.7) vertical insulation per Table A6.3.1).  
• Proposed construction assembly U-factor should be as-designed and consistent with Appendix A of ASHRAE 90.1 .
• If the Proposed design includes building envelope assemblies of different U-values, please specify surface area, square feet, for each envelope assembly.
•Reference specific place in the submitted design documents (e.g. drawing &amp; detail number) where relevant parameters are listed to support review.</t>
    </r>
  </si>
  <si>
    <r>
      <rPr>
        <u/>
        <sz val="9"/>
        <rFont val="Arial"/>
        <family val="2"/>
      </rPr>
      <t>Helpful Hints</t>
    </r>
    <r>
      <rPr>
        <sz val="9"/>
        <rFont val="Arial"/>
        <family val="2"/>
      </rPr>
      <t xml:space="preserve">
• Describe the Proposed opaque door construction (for example: insulated metal swinging door). 
• Proposed construction assembly U-factor should be as-designed and consistent with Appendix A of ASHRAE 90.1.
• If the Proposed design includes building envelope assemblies of different U-values, please specify surface area, square feet, for each envelope assembly.
•Reference specific place in the submitted design documents (e.g. drawing &amp; detail number) where relevant parameters are listed to support review.
</t>
    </r>
  </si>
  <si>
    <r>
      <rPr>
        <u/>
        <sz val="9"/>
        <rFont val="Arial"/>
        <family val="2"/>
      </rPr>
      <t>Helpful Hints</t>
    </r>
    <r>
      <rPr>
        <sz val="9"/>
        <rFont val="Arial"/>
        <family val="2"/>
      </rPr>
      <t xml:space="preserve">
•  New and existing systems: as specified in Table G3.1.1-2; minimum performance requirements from Table 7.8 per Table G3.1#11(b)
•  Capacity: for existing systems, use actual component capacities; for new systems, system shall be sized following Section 7.4.1
•  Condenser heat recovery as required by 6.5.6.2 per Table G3.1#11(f): Verify that condenser heat recovery has been modeled in the Baseline if required by 6.5.6.2, and describe any condenser heat recovery modeled (example: preheats service hot water to 85°F); otherwise enter "Not required"</t>
    </r>
  </si>
  <si>
    <t xml:space="preserve">Efficiency (Et, EF, COP) </t>
  </si>
  <si>
    <t>Recirculation pump control</t>
  </si>
  <si>
    <t>Number of Recirculation pumps</t>
  </si>
  <si>
    <t>Total recirculation pump power (kW)</t>
  </si>
  <si>
    <t>Number of booster pumps</t>
  </si>
  <si>
    <t>Total booster pump power (kW)</t>
  </si>
  <si>
    <t>Booster pump controls meet 90.1 Section 10.4.2</t>
  </si>
  <si>
    <t>Gas &lt;= 75</t>
  </si>
  <si>
    <t>Elec &lt;= 12</t>
  </si>
  <si>
    <t>Elec &gt;12</t>
  </si>
  <si>
    <t>Hours per Year HVAC Runs in Occupied Mode</t>
  </si>
  <si>
    <t xml:space="preserve">Enter the appliances and equipment that is present in the residential dwelling units for the project. For clothes washers and dryers, enter the quantity of each unit installed within the project scope of work. </t>
  </si>
  <si>
    <t>The baseline is modeled as an average of four orientations.</t>
  </si>
  <si>
    <t>Type</t>
  </si>
  <si>
    <t>4-Metal framing entrance door</t>
  </si>
  <si>
    <t>4-Metal framing operable</t>
  </si>
  <si>
    <t>4-Nonmetal framing all</t>
  </si>
  <si>
    <t>4-Metal framing fixed</t>
  </si>
  <si>
    <t>5-Nonmetal framing all</t>
  </si>
  <si>
    <t>5-Metal framing fixed</t>
  </si>
  <si>
    <t>5-Metal framing operable</t>
  </si>
  <si>
    <t>5-Metal framing entrance door</t>
  </si>
  <si>
    <t>Metal framing, fixed: U-0.42; SHGC-0.40; VT/SHGC-1.10</t>
  </si>
  <si>
    <t>Metal framing, operable: U-0.50; SHGC-0.40; VT/SHGC-1.10</t>
  </si>
  <si>
    <t>Nonmetal framing, all: U-0.35; SHGC-0.40; VT/SHGC-1.10</t>
  </si>
  <si>
    <t>Metal framing, entrance door: U-0.77; SHGC-0.40; VT/SHGC-1.10</t>
  </si>
  <si>
    <t>Metal framing, entrance door: U-0.68; SHGC-0.40; VT/SHGC-1.10</t>
  </si>
  <si>
    <t>Nonmetal framing, all: U-0.51; SHGC-NR; VT/SHGC-NR</t>
  </si>
  <si>
    <t>Metal framing, fixed: U-0.73; SHGC-NR; VT/SHGC-NR</t>
  </si>
  <si>
    <t>Metal framing, operable: U-0.81; SHGC-NR; VT/SHGC-NR</t>
  </si>
  <si>
    <t>Metal framing, entrance door: U-0.77; SHGC-NR; VT/SHGC-NR</t>
  </si>
  <si>
    <t>Nonmetal framing, all: U-0.32; SHGC-0.40; VT/SHGC-1.10</t>
  </si>
  <si>
    <t>Nonmetal framing, all: U-0.45; SHGC-NR; VT/SHGC-NR</t>
  </si>
  <si>
    <t>Metal framing, fixed: U-0.62; SHGC-NR; VT/SHGC-NR</t>
  </si>
  <si>
    <t>Metal framing, operable: U-0.70; SHGC-NR; VT/SHGC-NR</t>
  </si>
  <si>
    <t>Nonresidential Nonmetal framing all</t>
  </si>
  <si>
    <t>Residential Nonmetal framing all</t>
  </si>
  <si>
    <t>Semiheated Nonmetal framing all</t>
  </si>
  <si>
    <t>Residential Metal framing fixed</t>
  </si>
  <si>
    <t>Semiheated Metal framing fixed</t>
  </si>
  <si>
    <t>Nonresidential Metal framing operable</t>
  </si>
  <si>
    <t>Residential Metal framing operable</t>
  </si>
  <si>
    <t>Semiheated Metal framing operable</t>
  </si>
  <si>
    <t>Nonresidential Metal framing entrance door</t>
  </si>
  <si>
    <t>Residential Metal framing entrance door</t>
  </si>
  <si>
    <t>Semiheated Metal framing entrance door</t>
  </si>
  <si>
    <t>Nonresidential Insulation Entirely above Deck</t>
  </si>
  <si>
    <t>Residential Insulation Entirely above Deck</t>
  </si>
  <si>
    <t>Semiheated Insulation Entirely above Deck</t>
  </si>
  <si>
    <t>Nonresidential Metal Building</t>
  </si>
  <si>
    <t>Residential Metal Building</t>
  </si>
  <si>
    <t>Semiheated Metal Building</t>
  </si>
  <si>
    <t>Nonresidential Attic and Other</t>
  </si>
  <si>
    <t>Residential Attic and Other</t>
  </si>
  <si>
    <t>Semiheated Attic and Other</t>
  </si>
  <si>
    <t>Nonresidential Mass</t>
  </si>
  <si>
    <t>Residential Mass</t>
  </si>
  <si>
    <t>Semiheated Mass</t>
  </si>
  <si>
    <t>Nonresidential Steel Framed</t>
  </si>
  <si>
    <t>Residential Steel Framed</t>
  </si>
  <si>
    <t>Semiheated Steel Framed</t>
  </si>
  <si>
    <t>Nonresidential Wood Framed and Other</t>
  </si>
  <si>
    <t>Residential Wood Framed and Other</t>
  </si>
  <si>
    <t>Semiheated Wood Framed and Other</t>
  </si>
  <si>
    <t>Nonresidential Steel Joist</t>
  </si>
  <si>
    <t>Residential Steel Joist</t>
  </si>
  <si>
    <t>Semiheated Steel Joist</t>
  </si>
  <si>
    <t>Nonresidential Unheated</t>
  </si>
  <si>
    <t>Residential Unheated</t>
  </si>
  <si>
    <t>Semiheated Unheated</t>
  </si>
  <si>
    <t>Nonresidential Heated</t>
  </si>
  <si>
    <t>Residential Heated</t>
  </si>
  <si>
    <t>Semiheated Heated</t>
  </si>
  <si>
    <t>Nonresidential Swinging</t>
  </si>
  <si>
    <t>Residential Swinging</t>
  </si>
  <si>
    <t>Semiheated Swinging</t>
  </si>
  <si>
    <t>Nonresidential Nonswinging</t>
  </si>
  <si>
    <t>Residential Nonswinging</t>
  </si>
  <si>
    <t>Semiheated Nonswinging</t>
  </si>
  <si>
    <t>Opaque Doors</t>
  </si>
  <si>
    <t>Common Spaces</t>
  </si>
  <si>
    <t>Notes</t>
  </si>
  <si>
    <r>
      <t>Prop. Lighting Power x OS Credit</t>
    </r>
    <r>
      <rPr>
        <sz val="10"/>
        <color theme="1"/>
        <rFont val="Arial"/>
        <family val="2"/>
      </rPr>
      <t xml:space="preserve"> (W)</t>
    </r>
  </si>
  <si>
    <t>OS Credit (90.1 Table G3.7 note c)</t>
  </si>
  <si>
    <t>General</t>
  </si>
  <si>
    <t>Input/Output Summary</t>
  </si>
  <si>
    <t>Envelope</t>
  </si>
  <si>
    <t>Diversity Factor</t>
  </si>
  <si>
    <t>Baseline Design</t>
  </si>
  <si>
    <t>Miscellaneous Loads</t>
  </si>
  <si>
    <r>
      <rPr>
        <b/>
        <sz val="11"/>
        <color theme="1"/>
        <rFont val="Arial"/>
        <family val="2"/>
      </rPr>
      <t>Note:</t>
    </r>
    <r>
      <rPr>
        <sz val="11"/>
        <color theme="1"/>
        <rFont val="Arial"/>
        <family val="2"/>
      </rPr>
      <t xml:space="preserve"> Graphs will only be visable if the Building Type and Area are entered in the 'General Information' tab.</t>
    </r>
  </si>
  <si>
    <t>Rank</t>
  </si>
  <si>
    <t>Service Hot Water</t>
  </si>
  <si>
    <t>Other Regulated Loads</t>
  </si>
  <si>
    <t>Other Non-Regulated Loads</t>
  </si>
  <si>
    <t>Baseline Unmet Load Hours 
(12 - Performance_Outputs_1 tab)</t>
  </si>
  <si>
    <t>Based on the Lighting Counts tab, less than 10 thermal blocks were modeled, which is lower than expected. Please verify that the thermal blocks were modeled as required in Table G 3.1 #7, and provide a narrative justifying the number of modeled thermal blocks.</t>
  </si>
  <si>
    <t>Number of Thermal Blocks 
(6a - Lighting Counts tab)</t>
  </si>
  <si>
    <t xml:space="preserve">Annual Lighting Use [kWh] 
(12 - Performance_Outputs_1 tab) </t>
  </si>
  <si>
    <t>Non-coincident Lighting Peak Demand [W] 
(12 - Performance_Outputs_1 tab)</t>
  </si>
  <si>
    <t>Lighting Power [W]  Adjusted for OS 
(6b - General Lighting tab)</t>
  </si>
  <si>
    <t>Interior Lighting Power [W] 
(6b - General Lighting tab)</t>
  </si>
  <si>
    <t>Occupancy</t>
  </si>
  <si>
    <t>Lights</t>
  </si>
  <si>
    <t>Receptacle</t>
  </si>
  <si>
    <t>HVAC Avail</t>
  </si>
  <si>
    <t>Assembly</t>
  </si>
  <si>
    <t>Max Sch Fraction</t>
  </si>
  <si>
    <t>Min Sch Fraction</t>
  </si>
  <si>
    <t>Health</t>
  </si>
  <si>
    <t>Parking</t>
  </si>
  <si>
    <t>BPF Building Types</t>
  </si>
  <si>
    <t>Exterior Lighting Power [W] 
(6b - General Lighting tab)</t>
  </si>
  <si>
    <t>The Performance Outputs tab shows zero consumption for exterior lighting power in the proposed model. Confirm that no exterior lighting is included in the building site.</t>
  </si>
  <si>
    <t>The baseline and proposed exterior lighting consumption values are within 1% of each other, indicating that the lighting has been modeled nearly identically. Verify that the proposed exterior lighting reflects the actual building design, and the baseline reflects the allowed lighting power from Table G3.6. Ensure that no credit is taken in the proposed design for non‐tradable surfaces. Note that additional lighting power allowance cannot be claimed in the baseline for surfaces that are not provided with lighting in the actual design, and  that lighting fixtures cannot be double counted for different exterior surfaces.</t>
  </si>
  <si>
    <t>Miscellaneous Unregulated Loads [kBtu/SF] 
(12 - Performance_Outputs_1 tab)</t>
  </si>
  <si>
    <t>Total Miscellaneous Loads  [kBtu/SF] 
(12 - Performance_Outputs_1 tab)</t>
  </si>
  <si>
    <t>One (or more) of the unregulated end uses differs by more than 1% between the baseline and proposed as reported in the Performance Outputs tab. If savings are being documented for an unregulated end use, the Exceptional Calculation Method documentation must be included in the submittal.</t>
  </si>
  <si>
    <t>90.1 2004 Site EUI (PRM)</t>
  </si>
  <si>
    <t>90.1 2013 Site EUI (ECB)</t>
  </si>
  <si>
    <t>Misc. Equipment</t>
  </si>
  <si>
    <t xml:space="preserve">Multifamily NYStretch </t>
  </si>
  <si>
    <t>Multifamily High-rise</t>
  </si>
  <si>
    <t>Large Hotel</t>
  </si>
  <si>
    <t>Large Office</t>
  </si>
  <si>
    <t>Medium Office</t>
  </si>
  <si>
    <t>Primary School</t>
  </si>
  <si>
    <t>Secondary School</t>
  </si>
  <si>
    <t>Average School</t>
  </si>
  <si>
    <t>Average Office</t>
  </si>
  <si>
    <t>Misc. EUI</t>
  </si>
  <si>
    <t>Proposed Desing Unmet Load Hours 
(12 - Performance_Outputs_1 tab)</t>
  </si>
  <si>
    <t>Misc. Building Type</t>
  </si>
  <si>
    <t>if unregulated, this is the difference between baseline and proposed consumptions</t>
  </si>
  <si>
    <t>Proposed/Baseline</t>
  </si>
  <si>
    <t xml:space="preserve">Performance Path Review Manual Appendix B: Typical Building Operating Schedules </t>
  </si>
  <si>
    <t xml:space="preserve">Performance Path Review Table 1: Site EUI kBtu/SF – YR of Common Commercial Building Designs </t>
  </si>
  <si>
    <t xml:space="preserve">The baseline lighting schedules reflects the anticipated operating schedules, and include the occupancy sensors in employee lunch and break rooms, conference/meeting rooms, and classrooms (not including shop classrooms, laboratory classrooms, and preschool through 12th grade classrooms). </t>
  </si>
  <si>
    <r>
      <t>The proposed lighting power includes all lighting system components shown or provided for on the plans (including lamps and ballasts and task and furniture-mounted fixtures), and is based on the manufacturers’</t>
    </r>
    <r>
      <rPr>
        <b/>
        <sz val="10"/>
        <rFont val="Arial"/>
        <family val="2"/>
      </rPr>
      <t xml:space="preserve"> </t>
    </r>
    <r>
      <rPr>
        <b/>
        <u/>
        <sz val="10"/>
        <rFont val="Arial"/>
        <family val="2"/>
      </rPr>
      <t>labeled maximum wattage</t>
    </r>
    <r>
      <rPr>
        <sz val="10"/>
        <rFont val="Arial"/>
        <family val="2"/>
      </rPr>
      <t xml:space="preserve"> of the luminaires.</t>
    </r>
  </si>
  <si>
    <t>The proposed lighting schedules are the same as the baseline, except as allowed in Table G3.7. The occupancy sensors included in the proposed design are modeled by reducing the lighting schedule each hour by the Occupancy Sensor Reduction factor in Table G3.7 for the applicable space type. This reduction is taken only for lighting controlled by the occupancy sensors. Credit for other programmable lighting control in buildings less than 5000 ft2 is taken by reducing the lighting schedule each hour by 10%.</t>
  </si>
  <si>
    <t>1 notes if this is a regulated or unregulated "Other" load</t>
  </si>
  <si>
    <t>Heater Capacity [kBtu/Hr] 
(8 - Service Water Heating)</t>
  </si>
  <si>
    <t>Annual Service Water Heating Use MMBtu/Yr
(12 - Performance_Outputs_1)</t>
  </si>
  <si>
    <t>Number of heaters</t>
  </si>
  <si>
    <t>Baseline kBtu/Hr</t>
  </si>
  <si>
    <t>Total kBtu/hr</t>
  </si>
  <si>
    <t>Typical Effective Full Load Hours</t>
  </si>
  <si>
    <t>Heater Efficiency</t>
  </si>
  <si>
    <t>Annual Service Water Heating Load MMBtu/Yr 
(12 - Performance Outputs 1 tab)</t>
  </si>
  <si>
    <t>Annual Effective Full Load Hours</t>
  </si>
  <si>
    <t>Annual Service Water Heating Site EUI [kBtu/SF] 
(12 - Performance Outputs tab)</t>
  </si>
  <si>
    <t xml:space="preserve">Annual Service Water Heating Load differs between baseline and proposed design. Please explain what factors other than heater efficiency affected SWH energy use in the baseline and proposed design. </t>
  </si>
  <si>
    <t>EFLH AVG</t>
  </si>
  <si>
    <t>Misc Load</t>
  </si>
  <si>
    <r>
      <rPr>
        <b/>
        <sz val="10"/>
        <rFont val="Arial"/>
        <family val="2"/>
      </rPr>
      <t xml:space="preserve">Lighting exempt from 90.1 </t>
    </r>
    <r>
      <rPr>
        <sz val="10"/>
        <rFont val="Arial"/>
        <family val="2"/>
      </rPr>
      <t>(Section 9.1.1, 9.2.2.3, or 9.4.2)</t>
    </r>
    <r>
      <rPr>
        <b/>
        <sz val="10"/>
        <rFont val="Arial"/>
        <family val="2"/>
      </rPr>
      <t xml:space="preserve"> </t>
    </r>
    <r>
      <rPr>
        <sz val="10"/>
        <rFont val="Arial"/>
        <family val="2"/>
      </rPr>
      <t xml:space="preserve">must be modeled identically in the baseline and proposed models. This allowance can only be claimed if exempt lighting is specified in addition to the general lighting, and is separately controlled. Exempt lighting must be treated as unregulated load in PCIt calculations. Select "Yes" in Step 3 to indicate that the entered wattage is exempt. If the same type of fixtures provide are used for general and exempt lighting, enter the fixture in two columns in the table below. 
</t>
    </r>
  </si>
  <si>
    <r>
      <rPr>
        <b/>
        <sz val="11"/>
        <rFont val="Arial"/>
        <family val="2"/>
      </rPr>
      <t>Step 3:</t>
    </r>
    <r>
      <rPr>
        <b/>
        <sz val="10"/>
        <rFont val="Arial"/>
        <family val="2"/>
      </rPr>
      <t xml:space="preserve"> </t>
    </r>
    <r>
      <rPr>
        <sz val="10"/>
        <rFont val="Arial"/>
        <family val="2"/>
      </rPr>
      <t xml:space="preserve">Does the fixture apply only toward exempt lighting (Section 9.1.1, 9.2.2.3, or 9.4.2)? </t>
    </r>
  </si>
  <si>
    <r>
      <t xml:space="preserve">Unregulated Lighting Power (Baseline and Proposed)
</t>
    </r>
    <r>
      <rPr>
        <sz val="10"/>
        <color theme="1"/>
        <rFont val="Arial"/>
        <family val="2"/>
      </rPr>
      <t>(W)</t>
    </r>
  </si>
  <si>
    <r>
      <t xml:space="preserve">Instructions: 
</t>
    </r>
    <r>
      <rPr>
        <sz val="10"/>
        <rFont val="Arial"/>
        <family val="2"/>
      </rPr>
      <t xml:space="preserve">1) Open Parms.csv file(s) that include results for baseline and proposed models
2) Copy baseline runs from the appropriate Parms.csv file and paste values into rows 8-11 below. For projects that were not rotated, paste the lone baseline run into row 8. 
3) Copy the proposed run from the appropriate Parms.csv file and paste values into row 13 below. 
4) Copy all parametric runs including the proposed run, but not including baseline run(s), and paste values in rows 16 and below. This step is optional.
</t>
    </r>
    <r>
      <rPr>
        <b/>
        <sz val="10"/>
        <rFont val="Arial"/>
        <family val="2"/>
      </rPr>
      <t>Note:</t>
    </r>
    <r>
      <rPr>
        <sz val="10"/>
        <rFont val="Arial"/>
        <family val="2"/>
      </rPr>
      <t xml:space="preserve"> Lighting exempt from 90.1 (Section 9.1.1, 9.2.2.3, or 9.4.2) must be modeled identically in the baseline and proposed models. Exempt lighting must be treated as unregulated load in PCIt calculations. Please do not model exempt lighting with the Ambient Lights, but rather model as a process load so that it may be reported separately (please also update the Software Links in column BF of the '12 - Performance_Outputs_1' tab, or manually enter the exempt lighting consumption and demand on the the '12 - Performance_Outputs_1' tab).</t>
    </r>
  </si>
  <si>
    <t>Energy Source #1</t>
  </si>
  <si>
    <t>Energy Source #2</t>
  </si>
  <si>
    <r>
      <rPr>
        <u/>
        <sz val="9"/>
        <rFont val="Arial"/>
        <family val="2"/>
      </rPr>
      <t>Helpful Hints</t>
    </r>
    <r>
      <rPr>
        <sz val="9"/>
        <rFont val="Arial"/>
        <family val="2"/>
      </rPr>
      <t xml:space="preserve">
•  Select the Energy Source(s) associated with this system.</t>
    </r>
  </si>
  <si>
    <t>Areas Modeled</t>
  </si>
  <si>
    <t xml:space="preserve">Hours per Year HVAC Runs in Occupied Mode (Schedules tab, average specified) </t>
  </si>
  <si>
    <t>Total Supply CFM (10 - Air-side HVAC)</t>
  </si>
  <si>
    <t xml:space="preserve">Based on the inputs on “10 - Air-Side HVAC” tab, the proposed design has heating systems that use electricity, however no electricity space heating use is shown on the Performance Outputs tab. Please update the model to ensure that all specified heating systems are included, and that their use is realistically captured. </t>
  </si>
  <si>
    <t>The total baseline and proposed air flow rates differ by more than 35% (as reported in the Air-Side HVAC tab). Please confirm that the baseline fan air flow rate was sized based on a 20 deg. F supply-air-to-room-air temperature difference, as required by G3.1.2.8.1 for each baseline system, and that the over-sizing factor was not applied to the flow (G3.1.2.2). Verify that the proposed flow rate has been modeled as shown in the design documents.</t>
  </si>
  <si>
    <t>Electricity Used? (1 = Yes)</t>
  </si>
  <si>
    <t>Is Electric Space Heating Used in the propsoed?</t>
  </si>
  <si>
    <t xml:space="preserve">The proposed fan EFLH appears low. EFLH for CV systems is expected to be similar to the number of hours per year the building is occupied. Average flow rate of VAV systems is typically 50% of the design, with the fan system drawing ~ 30% of the design power, and thus the EFLH approximately equal to 30% of hours the building is occupied. Based on this rule of thumb, the estimated EFLH for the project are </t>
  </si>
  <si>
    <t>Air-Side HVAC: Baseline</t>
  </si>
  <si>
    <t>Air-Side HVAC: Proposed</t>
  </si>
  <si>
    <r>
      <rPr>
        <b/>
        <sz val="10"/>
        <color theme="1"/>
        <rFont val="Arial"/>
        <family val="2"/>
      </rPr>
      <t>Instructions:</t>
    </r>
    <r>
      <rPr>
        <sz val="10"/>
        <color theme="1"/>
        <rFont val="Arial"/>
        <family val="2"/>
      </rPr>
      <t xml:space="preserve"> Enter all applicable input parameters for the baseline air-side HVAC systems below. All systems included in the model should be entered. Each individual system may be entered separately, or multiple systems may be grouped together if all input parameters identified with an (*) are similar. The table is set up for two unique HVAC systems (or two groups of similar systems), and additional systems (or groups of similar systems) should be added as necessary using the Add Baseline button. For any information not applicable to the project, simply enter "N/A".  Note: All baseline systems must be identified in the General HVAC Tab in order to display the relevant baseline inputs below. If General HVAC system types are changed, system types must be reselected in this tab.
</t>
    </r>
  </si>
  <si>
    <t>Variable Volume System Fan Power (Total) kW</t>
  </si>
  <si>
    <t>Constant Volume System Fan Power (Total) kW</t>
  </si>
  <si>
    <t>Total Cooling Capacity (10 - Air-side HVAC) Ton</t>
  </si>
  <si>
    <t xml:space="preserve">. Exaggerated cooling load may be due to higher than expected modeled peak equipment load (e.g. equipment schedule that turns unrealistically high fraction of equipment design load during a particular hour), cooling thermostat schedule leading to higher than expected load when the building switches from un-occupied to occupied, or incorrect cooling system sizing. </t>
  </si>
  <si>
    <t>Baseline supply air flow CFM appears unrealistically high. Typical ranges are 0.5 CFM/SF - 0.8 CFM/SF in apartments, and 0.8 CFM/SF – 1.6 CFM/SF in offices. Please confirm that the supply flow was sized based on supply-air-to-room temperature difference of 20°F or the minimum baseline ventilation rate, whichever is greater (G3.1.2.8), and that the over-sizing factor was not applied to the flow rate (G3.1.2.2).</t>
  </si>
  <si>
    <t>Total Pump  kW (from 11-Water-side HVAC</t>
  </si>
  <si>
    <t xml:space="preserve">Project is located in climate zone </t>
  </si>
  <si>
    <t xml:space="preserve">, thus the baseline is expected to have </t>
  </si>
  <si>
    <t xml:space="preserve"> electric heating based on Table G3.1.1-3. However, based on the information shown on the Performance Outputs tab, other fuels are shown under Space Heating end use for the baseline. Please review and update the baseline model to use the appropriate heating fuel source.</t>
  </si>
  <si>
    <t>CZ</t>
  </si>
  <si>
    <t>Electric Heat Table G3.1.1-3</t>
  </si>
  <si>
    <t>no</t>
  </si>
  <si>
    <t>only</t>
  </si>
  <si>
    <t>The baseline and proposed fan EFLH differs by more than 25%, which is unexpected. Please ensure that the HVAC system models reflect all mandatory controls from Section 6, continuous versus cycling fan operation is correctly captured for each model, and that the same occupied hours were modeled for the baseline and proposed design, based on the anticipated building operation.  In addition, EFLH cannot exceed 8760 hours per year.</t>
  </si>
  <si>
    <t>Total Pump kW Baseline</t>
  </si>
  <si>
    <t>Total Pump kW Proposed</t>
  </si>
  <si>
    <t>Utility Rates</t>
  </si>
  <si>
    <t>Table G3.1.1-3</t>
  </si>
  <si>
    <t>CZ 3B, 3C, and 4 to 8</t>
  </si>
  <si>
    <t>CZ 0 to 3A</t>
  </si>
  <si>
    <t>System 5 - Packaged VAV with reheat</t>
  </si>
  <si>
    <t>System 9 - Heating and ventilation</t>
  </si>
  <si>
    <t>System 6 - Packaged VAV with PFP boxes</t>
  </si>
  <si>
    <t>System 8 - VAV with PFP boxes</t>
  </si>
  <si>
    <t>System 10 - Heating and ventilation</t>
  </si>
  <si>
    <t>Baseline systems</t>
  </si>
  <si>
    <t xml:space="preserve">Based on “11 – Water Side HVAC” tab, the total baseline design pump power (TPW) including chilled water pumps, hot water pumps, and condenser loop pumps is </t>
  </si>
  <si>
    <t>. This exceeds 85% of peak demand for pump end use (PD) reported on the “Performance Outputs” tab. Please review baseline model inputs related to pump power and loop controls.</t>
  </si>
  <si>
    <t xml:space="preserve">The baseline pump EFLH appear high. The building is occupied </t>
  </si>
  <si>
    <t xml:space="preserve"> hours per year when HVAC system are running in occupied mode. Assuming that pumps run at 100% of design load 1% of the time, at 75% of the design load 42% of the time, 50% of design load 45% of the time, and 25% of design load 12% of design, the weighted average Watt of the pump riding pump curve is ~ 78% of the design, and pumps with VSD is 43% of design. However, based on the simulation results, the EFLH of the pumps exceeds 75% of the hours the building is occupied, which is unexpected. Please review the baseline pump power input, flow control (i.e. whether VSD is specified), and confirm that two-way valves were modeled to reflect the continuous variable flow (G3.1.3.5, G3.1.3.10).</t>
  </si>
  <si>
    <t xml:space="preserve">The proposed pump EFLH appears low. The building is occupied </t>
  </si>
  <si>
    <t xml:space="preserve"> hours per year when HVAC system are running in occupied mode. Assuming that pumps run at 100% of design load 1% of the time, at 75% of the design load 42% of the time, 50% of design load 45% of the time, and 25% of design load 12% of design, the weighted average Watt of the pump riding pump curve is ~ 78% of the design, and pumps with VSD is 43% of design, and pump with VSD and differential pressure reset controls is 34%. However, based on the simulation results, the EFLH of the proposed pumps is less than 35% of the hours the building is occupied, which is unexpected. Please review the proposed pump power input, flow control (i.e. whether VSD is specified), and confirm that CHW, CW, and HW loop design (primary/secondary, and  variable / constant flow) is reflected in the proposed design model. </t>
  </si>
  <si>
    <t>ctrl+shift+enter</t>
  </si>
  <si>
    <t>The equivalent cost of 1 MMBtu (site energy) of electricity is more than 5 time greater than the cost of 1 MMBtu (site energy) of natural gas, which appears high. Please confirm that utility rates from the same source (i.e. either Energy Information Administration website, or actual utility rates at the project location) are used, and are modeled correctly.</t>
  </si>
  <si>
    <t>The equivalent cost of 1 MMBtu (site energy) of electricity is less than 2 time greater than the cost of 1 MMBtu (site energy) of natural gas, which appears low. Please confirm that utility rates from the same source (i.e. either Energy Information Administration website, or actual utility rates at the project location) are used, and are modeled correctly.</t>
  </si>
  <si>
    <t>Complete the table below for the proposed, providing information on baseline energy consumption and peak demand by end-use. This data will be used to auto populate the Performance tables below. If an end-use has two energy types (e.g. proposed space heating includes both fossil fuel and electric), enter the end-use twice in the table, and list the two different energy types. When linking to the Results from eQUEST or Results from Trace tabs, scroll to the right to customize the linked rows/columns for each end-use. For those using the 'Results from Trace' tab, note that TRACE uses a unit conversion factor of 3.413 btu/W, whereas this worksheet uses a conversion factor of 3.412 btu/W. As a result, model results will differ by 0.03% versus those shown in Trace output reports.</t>
  </si>
  <si>
    <t>Enter the specified heating capacity for the proposed HVAC system, or the total heating capacity for a group of similar systems.</t>
  </si>
  <si>
    <t>Should be consistent with efficiency units used in 90.1 Section 6 tables for this system type.</t>
  </si>
  <si>
    <t>Cooling capacity based on the design documents, or the total for a group of similar systems.</t>
  </si>
  <si>
    <t>List all relevant efficiencies (e.g. 3.2 COP at 47°F db/43°F wb, 2.0 COP at 17°F db/15°F wb outdoor air) (e.g. 3.2 COP at 8.3°C db/6.1°C wb, 2.0 COP at -8.3°C db/-9.4°C wb outdoor air).</t>
  </si>
  <si>
    <t>Design flow based on drawings.</t>
  </si>
  <si>
    <t>Minimum outdoor flow rate, as specified.</t>
  </si>
  <si>
    <t>Describe specified economizer controls.</t>
  </si>
  <si>
    <t xml:space="preserve">Describe specified supply air temperature reset (if any). </t>
  </si>
  <si>
    <t xml:space="preserve">Exhaust Air Energy Recovery </t>
  </si>
  <si>
    <t>Recovery Effectiveness</t>
  </si>
  <si>
    <t>Recovery effectiveness must be based on specified OA and exhaust flow through the recovery device, and the rated effectiveness of the specified device.</t>
  </si>
  <si>
    <t>Select specified system type.</t>
  </si>
  <si>
    <t>Auto-calculated to include all fans</t>
  </si>
  <si>
    <t>All fans that operate at design conditions to supply air from the heating or cooling
source to the conditioned spaces and return it to the source or exhaust it to the outdoors. In multifamily buildings this includes kitchen and bathroom exhaust fans.</t>
  </si>
  <si>
    <t>* Fan operation during unoccupied hours</t>
  </si>
  <si>
    <t xml:space="preserve">Systems that deliver ventilation air must run continuously when zones are occupied. </t>
  </si>
  <si>
    <t>Demand control ventilation (DCV)</t>
  </si>
  <si>
    <t>* Air-side Economizer type</t>
  </si>
  <si>
    <t>Indicate the type of economizer specified.</t>
  </si>
  <si>
    <t>Please remove the Supply Fan Energy form the COP using the below formulas:
COPnfcooling = [(Gross Cooling Btu/h)/((Total Input Power W - Indoor Fan Power W)*3.413 Btu/h*W)]
Indoor Fan Power W = [(Gross Cooling Btu/h - Net Cooling Btu/h)/(3.413 Btu/h*W)]</t>
  </si>
  <si>
    <t>Proposed System Description</t>
  </si>
  <si>
    <t>Select from proposed systems entered on the General HVAC tab.</t>
  </si>
  <si>
    <t>Enter designation for the system (or a group of systems) used in the model.</t>
  </si>
  <si>
    <t>Systems that have the same parameters marked with (*) may be aggregated for reporting.</t>
  </si>
  <si>
    <t>Applies to Projects wih multiple buildings, based on the General Information tab.</t>
  </si>
  <si>
    <t>Total for Project</t>
  </si>
  <si>
    <t>Enter the modeled unitary cooling efficiency for the Baseline HVAC system (or group of similar systems) in units consistent with the appropriate Table G3.5</t>
  </si>
  <si>
    <t>Select from baseline systems entered on the General HVAC tab.</t>
  </si>
  <si>
    <t xml:space="preserve">V1.2: Number tabs based on the table numbers within tabs.
Added 2016 NYS Energy Code ASHRAE 90.1 Appendix G as a Rating System (No multiple buildings, Version of ASHRAE to exceed is 2013, and 2016 BPF's are used.
General Information tab was updated to include new construction and renovation conditioned area and %, as well as above and below grade floors.
Space to add simulation program version type is added.
"Are there error or warning messages noted in the simulation program output?" warning added.
Entire workbook in proposed inputs, a space for drawings/specs have been added, as well as area values for some items (for example windows sf area)
Performance Summary tab added with comparison graphs and QC Checks. The QC Checks at the bottom of the Performance Outputs tab have been hidden.
Opaque Assemblies and Fenestration, unconditioned baseline description and U-values are set to equal the proposed design values. The conditional formatting as updated to allow the proposed design to select a type of each component. On these tabs the initial checks on the top of the tab have been reworded or added/removed.
General Lighting tab OS credits and OS types have been adjusted.
Multifamily Details tab EPD calculations for common equipment have been updated to reflect the quantity.
Service Water Heating tab has been adjusted to have automatic calculations.
Air-Side HVAC tab has now been split into two tabs, one for Proposed and one for Baseline. The tab structure has been changed slightly to have a more compact format.
</t>
  </si>
  <si>
    <t>Return or exhaust systems required by code or accreditation standards to be fully ducted, or systems required to maintain air pressure differentials between adjacent rooms.</t>
  </si>
  <si>
    <t>Energy recovery device</t>
  </si>
  <si>
    <t>H</t>
  </si>
  <si>
    <t>Effective Full Load Hours (EFLH)</t>
  </si>
  <si>
    <t>I</t>
  </si>
  <si>
    <t>The outdoor airflow rate (G) differs between the baseline and proposed design. Please explain which of the exceptions to G3.1.2.4 apply to the project.</t>
  </si>
  <si>
    <t xml:space="preserve">Proposed fan peak demand (E) in the Performance Outputs tab is low relative to the total fan system power listed on “10 - Air-Side HVAC” tab. The fan peak demand for Constant Volume (CV) systems is expected to be approximately equal to 100% of fan power.  The fan peak demand for Variable Air Volume systems (VAV) is expected to be approximately equal to 50% of fan power (assuming peak flow of ~70%). However, the reported peak demand is 15% below this estimated value. Please review the fan power inputs and confirm that all proposed fans including supply, return, exhaust, and relief were properly modeled.  </t>
  </si>
  <si>
    <t>Indoor Fans Effective Full Load Hours (EFLH), hr/yr</t>
  </si>
  <si>
    <t xml:space="preserve"> (B*A/D+C*0.3/D), and are more than 15% higher than reported. Please review the proposed fan power inputs, flow controls (CV vs VAV), and operation mode (continuous versus cycling).</t>
  </si>
  <si>
    <t>J</t>
  </si>
  <si>
    <t xml:space="preserve">Based on “11 – Water Side HVAC” tab, the total baseline design pump power (B) including chilled water pumps, hot water pumps, and condenser loop pumps is </t>
  </si>
  <si>
    <t>. This exceeds 85% of peak demand for pump end use (C) reported on the “Performance Outputs” tab. Please review baseline model inputs related to pump power and loop controls.</t>
  </si>
  <si>
    <t>Pump Effective Full Load Hours (EFLH), hr/yr</t>
  </si>
  <si>
    <t>K</t>
  </si>
  <si>
    <t>Has the baseline model been rotated?
(Energy Modeling Output Reporting Method of the 12 - Performance_Outputs_1 tab)</t>
  </si>
  <si>
    <t>Total Indoor Fan Energy Use (12- Performance Outputs tab, Fans - Interior Ventilation) kWh</t>
  </si>
  <si>
    <t>Total Pump peak demand kW (from 12 - Performance Outputs)</t>
  </si>
  <si>
    <t>Total Pump energy kWh (from 12 - Performance Outputs)</t>
  </si>
  <si>
    <t>Total Heat Rejection peak demand kW (from 12 - Performance Outputs)</t>
  </si>
  <si>
    <t>Total Heat Rejection energy kWh (from 12 - Performance Outputs)</t>
  </si>
  <si>
    <t>May only be claimed if required in the baseline per Table G3.1.2.9 footnote.
Adjustment = For each airstream [(2.2 × 0.5)– 0.5] in. of water</t>
  </si>
  <si>
    <t>Subtotals added to proposed</t>
  </si>
  <si>
    <t>Updated the exceptional calculations formulas and Table 12.9 of the 12-Performance Outputs 1 tab to be consistent with Add to Proposed (new), Add to Baseline, and Subtract from proposed.</t>
  </si>
  <si>
    <t xml:space="preserve">Modeled Baseline Vertical Glazing % </t>
  </si>
  <si>
    <t>Modeled Baseline Vertical Glazing %
(4 - Shading and Fenestration tab)</t>
  </si>
  <si>
    <t>Calculated Baseline Vertical Glazing % based on Table G3.1 #5c
(4 - Shading and Fenestration tab)</t>
  </si>
  <si>
    <t>G=C/A</t>
  </si>
  <si>
    <t>E=D/(A/1000)</t>
  </si>
  <si>
    <t>The effective full load hours (E) exceed the typical (F) by more than 20%. Ensure that the model reflects the mandatory lighting controls, and is based on the anticipated schedule of operation for the building. Please describe operating schedule if different than typical for the building type.</t>
  </si>
  <si>
    <t xml:space="preserve">The difference between the baseline and proposed annual lighting energy use is higher than expected based on the baseline and proposed lighting wattages and OS entered on the Lighting Counts tab, and an estimated additional 10% savings from daylighting controls. Please verify that the modeled lighting wattages and controls reflect the values reported on the Lighting Counts tab. 0.9 * (B prop / B base &gt; D prop / D base) </t>
  </si>
  <si>
    <t>Some space types in the General Lighting tab show an LPD reduction of &gt;30% compared to the space-by-space lighting power allowance in the reference edition of 90.1. For ENERGY STAR MFHR projects, if a proposed common space lighting power reduction is &gt;30%, the savings in excess of these limits may be modeled only if the proposed fixtures are demonstrated to meet the recommended weighted average footcandles based on the 10th edition of the Illuminating Engineering Society (IESNA) Lighting Handbook for the given space type. Please provide external calculations showing these requirements are met, and also note the modeled common space LPDs for any spaces with &gt;30% LPD reduction.</t>
  </si>
  <si>
    <t>The baseline exterior Lighting Power reported on the General Lighting tab is less than the modeled baseline exterior lighting non-coincident peak demand (A&lt;B). Please review and correct the inputs on the General Lighting tab or the baseline model.</t>
  </si>
  <si>
    <t>Based on the General Lighting tab, proposed exterior lighting wattage exceeds the baseline (A prop &gt; A base). The exterior lighting requirements are mandatory and cannot be exceeded by the proposed design. Please review the exterior lighting inputs in the General Lighting tab, and the fixtures specified for the proposed design.</t>
  </si>
  <si>
    <t>The baseline EFLH (D) exceed 2920 (8 hours per day). Please verify that the exterior lighting controls required in Section 9.4.1.4 were modeled.</t>
  </si>
  <si>
    <t>EFLH for the baseline differ from the EFLH for the proposed design (D base not equal to D prop). Since exterior lighting schedules and controls must be the same in the baseline and proposed design, the EFLH are expected to be equal. Please review and correct the baseline and / proposed design models.</t>
  </si>
  <si>
    <t>Since the same schedules and controls must be modeled for the baseline and proposed design, the change in the annual exterior lighting energy use of the baseline versus proposed design is expected to be proportional to the change in the exterior lighting power between the baseline and proposed design (A base / A prop = C base / C prop). Please review and correct the inputs in the baseline and/or proposed design models.</t>
  </si>
  <si>
    <t>Effective full load hours (C) exceed typical by more than 25%, which may indicate that the modeled demand is high relative to the specified service water heater capacity. Please review the service water heater capacity and hot water demand (e.g. flow rate and schedule) to justify the result. The modeled service water heater energy use may be exaggerated.</t>
  </si>
  <si>
    <t>F = A * E</t>
  </si>
  <si>
    <t>C = A / B</t>
  </si>
  <si>
    <t>Service Water Heating (SWH)</t>
  </si>
  <si>
    <t xml:space="preserve">Total Fan kW of Constant Volume (CV) systems (10 - Air-side HVAC) </t>
  </si>
  <si>
    <t xml:space="preserve">Total Fan kW of VAV systems (10 - Air-side HVAC) </t>
  </si>
  <si>
    <t xml:space="preserve">Total Fan kW (10 - Air-side HVAC) </t>
  </si>
  <si>
    <t>D = B + C</t>
  </si>
  <si>
    <t>Fan Peak Demand
(12 - Performance Outputs 1 tab, Fan - Interior Ventilation kW)</t>
  </si>
  <si>
    <t xml:space="preserve">Total OA CFM (10 - Air-side HVAC) </t>
  </si>
  <si>
    <t>Based on the inputs on Tabs 10a and 10b, the baseline system fan power is not distributed to the supply, return, exhaust and relief fans in the same proportion as the proposed design, and does not meet G3.1.2.9.1. Please update the inputs in these tabs and the model, or explain.</t>
  </si>
  <si>
    <t>I = H / E</t>
  </si>
  <si>
    <t xml:space="preserve">Based on the General Lighting tab, the proposed lighting power adjusted for occupancy sensors is </t>
  </si>
  <si>
    <t xml:space="preserve"> of the baseline. A similar relationship is expected for the non-coincident peak demand. However, based on the modeling results in the Performance Outputs tab, the proposed non-coincident lighting peak demand is </t>
  </si>
  <si>
    <t xml:space="preserve"> of the baseline, which is less  than expected. Please review and correct the lighting inputs in the proposed and / or baseline model, update the inputs on the Lighting Counts tab, or explain.</t>
  </si>
  <si>
    <t>The modeled annual service water heating use (G) differs from typical (H) by more than 25%. Please provide an explanation to justify the difference, or adjust the modeled hot water load.</t>
  </si>
  <si>
    <t>The baseline lighting non-coincident peak demand reported on the Performance Outputs tab exceeds the baseline lighting power on the General Lighting tab (B&gt;A). Please correct the lighting inputs in the baseline model, or update the inputs on the Lighting Counts tab.</t>
  </si>
  <si>
    <t>The proposed lighting non-coincident peak demand reported on the Performance Outputs tab exceeds the proposed lighting power on the General Lighting tab (B&gt;A). Please correct the lighting inputs in the proposed model, or update the inputs on the Lighting Counts tab.</t>
  </si>
  <si>
    <t>D=C / (A/1000)</t>
  </si>
  <si>
    <t>The baseline SWH site EUI differs from typical by more than 25%. Please review the inputs related to service water heating use, such as the amount of hot water used in the building (the design flow rate and schedule), temperature of water entering water heater, water heater efficiency, and stand-by losses.</t>
  </si>
  <si>
    <t>G=A*1000 / Conditioned Floor Area</t>
  </si>
  <si>
    <t xml:space="preserve">Baseline cooling capacity appears unrealistically high. Cooling capacity in square feet per Ton is typically 400-450 for residential and 280 – 360 for non-residential buildings such as offices.  Based on the inputs on “10 - Air-Side HVAC” tab, the cooling capacity of all baseline systems is </t>
  </si>
  <si>
    <t xml:space="preserve">. Exaggerated cooling load may be due to higher than expected modeled peak equipment load (e.g. equipment schedule that turns unrealistically high fraction of equipment design load during a particular hour), cooling thermostat schedule leading to higher than expected load when the building switches from un-occupied to occupied temperature, or incorrect cooling system sizing. </t>
  </si>
  <si>
    <t>Modeled Baseline fan peak demand (E) exceeds the total baseline fan power listed in the Air-side HVAC tabs. Please review and adjust the inputs in the Air-side HVAC tabs and/or in the model to eliminate the discrepancy.</t>
  </si>
  <si>
    <t>Modeled Proposed fan peak demand (E) exceeds the total proposed fan power listed in the Air-side HVAC tabs. Please review and adjust the inputs in the Air-side HVAC tabs and/or in the model to eliminate the discrepancy.</t>
  </si>
  <si>
    <t>G=D/E</t>
  </si>
  <si>
    <t>QA Checks help cells (Systems 1,5,7 or 10?)</t>
  </si>
  <si>
    <t>QA Checks help cells (Systems 7,8,11,12 or 13?)</t>
  </si>
  <si>
    <t>Primary or DES plant CHW total pump power</t>
  </si>
  <si>
    <t>Secondary or building booster CHW total pump power</t>
  </si>
  <si>
    <t>CW total pump power</t>
  </si>
  <si>
    <t>Primary or DES plant HHW total pump power</t>
  </si>
  <si>
    <t>Projects with baseline System 1, 5, 7 or 10 are expected to have a baseline heating pump entered  on the 11 - Water-Side HVAC tab. Currently there is no entry, or the baseline heating pump power is equal to 0 kW. Please revise the heating pump power input on the 11- Water-Side HVAC tab.</t>
  </si>
  <si>
    <t>Projects with baseline System 7, 8, 11 or 12 are expected to have a baseline chilled water pump entered  on the 11 - Water-Side HVAC tab. Currently there is no entry, or the baseline chilled water pump power is equal to 0 kW. Please revise the chilled water pump power input on the 11- Water-Side HVAC tab.</t>
  </si>
  <si>
    <t>Projects with baseline System 7, 8, 11 or 12 are expected to have a baseline condenser water pump entered  on the 11 - Water-Side HVAC tab. Currently there is no entry, or the baseline condenser water pump power is equal to 0 kW. Please revise the condenser water pump power input on the 11- Water-Side HVAC tab.</t>
  </si>
  <si>
    <t>Tab Color Legend</t>
  </si>
  <si>
    <t>Instructions Tab</t>
  </si>
  <si>
    <t>Non-Mandatory Supporting Tabs</t>
  </si>
  <si>
    <t>Updated tab colors and legend on the Instructions tab. All hidden tabs are now red, with the exception of the two blue tabs which Karpman Consulting is using as logs.</t>
  </si>
  <si>
    <t>Mandatory Baseline and Proposed Design Description Tabs</t>
  </si>
  <si>
    <t>Mandatory Simulation Outputs Tabs</t>
  </si>
  <si>
    <t xml:space="preserve">The baseline fan EFLH appears low. EFLH for CV systems is expected to be similar to the number of hours per year the building is occupied. Average flow rate of VAV systems is typically 50% of the design, with the fan system drawing ~ 30% of the design power, and thus the EFLH approximately equal to 30% of hours the building is occupied. Based on this rule of thumb, the estimated EFLH for the project are </t>
  </si>
  <si>
    <t xml:space="preserve"> (B*A/D+C*0.3/D), and are more than 15% lower than reported. Please review the baseline fan power inputs, flow controls (CV vs VAV), and operation mode (continuous versus cycling).</t>
  </si>
  <si>
    <t>V</t>
  </si>
  <si>
    <t>Building Total</t>
  </si>
  <si>
    <t>Avg Occupants/bedroom</t>
  </si>
  <si>
    <t>Hide and lock this tab</t>
  </si>
  <si>
    <r>
      <rPr>
        <b/>
        <sz val="11"/>
        <rFont val="Arial"/>
        <family val="2"/>
        <scheme val="minor"/>
      </rPr>
      <t xml:space="preserve">Note: </t>
    </r>
    <r>
      <rPr>
        <sz val="11"/>
        <rFont val="Arial"/>
        <family val="2"/>
        <scheme val="minor"/>
      </rPr>
      <t>Please complete all previous worksheets to the fullest. The typical  EUI's and full load hours used in the Quality Assurance Checks are based on the PNNL Prototype Models</t>
    </r>
    <r>
      <rPr>
        <u/>
        <sz val="11"/>
        <color rgb="FF0000FF"/>
        <rFont val="Arial"/>
        <family val="2"/>
        <scheme val="minor"/>
      </rPr>
      <t xml:space="preserve"> (link)</t>
    </r>
    <r>
      <rPr>
        <sz val="11"/>
        <rFont val="Arial"/>
        <family val="2"/>
        <scheme val="minor"/>
      </rPr>
      <t xml:space="preserve"> and the related analysis</t>
    </r>
    <r>
      <rPr>
        <u/>
        <sz val="11"/>
        <color rgb="FF0000FF"/>
        <rFont val="Arial"/>
        <family val="2"/>
        <scheme val="minor"/>
      </rPr>
      <t xml:space="preserve"> (link). </t>
    </r>
    <r>
      <rPr>
        <sz val="11"/>
        <rFont val="Arial"/>
        <family val="2"/>
        <scheme val="minor"/>
      </rPr>
      <t xml:space="preserve"> The COMNET Appendix-C Schedules are also used for typical  EUI's and full load hours referenced</t>
    </r>
    <r>
      <rPr>
        <u/>
        <sz val="11"/>
        <color rgb="FF0000FF"/>
        <rFont val="Arial"/>
        <family val="2"/>
        <scheme val="minor"/>
      </rPr>
      <t xml:space="preserve"> (link)</t>
    </r>
    <r>
      <rPr>
        <sz val="11"/>
        <rFont val="Arial"/>
        <family val="2"/>
        <scheme val="minor"/>
      </rPr>
      <t>. For building types not noted in the 'General Information' tab, the average EFLH of all building types have been used.</t>
    </r>
  </si>
  <si>
    <t>Please select the Building Area Types which will be used in the below Table 4.1, based on ASHRAE 90.1-2016 Appendix G Table G3.1.1-1.</t>
  </si>
  <si>
    <t>Total input rating</t>
  </si>
  <si>
    <r>
      <t xml:space="preserve">All </t>
    </r>
    <r>
      <rPr>
        <b/>
        <i/>
        <sz val="10"/>
        <color indexed="8"/>
        <rFont val="Arial"/>
        <family val="2"/>
      </rPr>
      <t xml:space="preserve">baseline new construction </t>
    </r>
    <r>
      <rPr>
        <sz val="10"/>
        <color indexed="8"/>
        <rFont val="Arial"/>
        <family val="2"/>
      </rPr>
      <t>opaque envelope as</t>
    </r>
    <r>
      <rPr>
        <sz val="10"/>
        <rFont val="Arial"/>
        <family val="2"/>
      </rPr>
      <t>semblies were modeled as required by Tables G3.4-1 through G3.4-8 per ASHRAE 90.1 2016 Appendix G</t>
    </r>
    <r>
      <rPr>
        <sz val="10"/>
        <color indexed="8"/>
        <rFont val="Arial"/>
        <family val="2"/>
      </rPr>
      <t xml:space="preserve"> for the project's climate zone and Table G3.1#5(b) as lightweight assembly types.</t>
    </r>
  </si>
  <si>
    <t>Table 3.6 of the 3-Multifamily Details tab, now includes an input for baseline shower and sink GPMS for the calculations. 2.5 GPM is automatically filled out in the template but can be changed.</t>
  </si>
  <si>
    <t>Cell E12, DHW FLH, of the  'Schedules' tab has been updated to 2,628 hours to be consistent with COMNET.</t>
  </si>
  <si>
    <t>Summary of Recent changes added to the background section of the instructions tab. Title of Instructions tab updated.</t>
  </si>
  <si>
    <t>ECCCNYS ASHRAE Standard 90.1 Appendix G</t>
  </si>
  <si>
    <t>Temperature and humidity control set points and schedules as well as temperature control throttling range are the same for proposed design and baseline building design. (Table G3.1 No 4).</t>
  </si>
  <si>
    <t>Temperature and humidity control set points and schedules as well as temperature control throttling range are the same for proposed design and baseline building design. (Table G3.1 No 4). Check added to General HVAC tab.</t>
  </si>
  <si>
    <t xml:space="preserve">Background section in Instruction tab is now hidden. </t>
  </si>
  <si>
    <t>V1.2 Submitted the EPA and LEED (but not posted)</t>
  </si>
  <si>
    <t>V1.2 Submitted to EPA (posted)</t>
  </si>
  <si>
    <t>New Jersey Office of Clean Energy</t>
  </si>
  <si>
    <t>Pay for Performance New Construction Program</t>
  </si>
  <si>
    <t>ERP Tables and Incentive Calculator</t>
  </si>
  <si>
    <t>LEED Inputs</t>
  </si>
  <si>
    <t>Instructions</t>
  </si>
  <si>
    <t>Area sf New Construction Conditioned</t>
  </si>
  <si>
    <t>Area (sf) Renovation Conditioned</t>
  </si>
  <si>
    <t>Building Type 1</t>
  </si>
  <si>
    <t>Building Type 2</t>
  </si>
  <si>
    <t>Building Type 3</t>
  </si>
  <si>
    <t>Total Building Area (sf)</t>
  </si>
  <si>
    <t>Number of Stories Above Grade</t>
  </si>
  <si>
    <t>Number of Stories Below Grade</t>
  </si>
  <si>
    <t>Number of Identical Buildings</t>
  </si>
  <si>
    <t>AI</t>
  </si>
  <si>
    <t>Rating System</t>
  </si>
  <si>
    <t>BPF values are selected based on building type and climate zone.</t>
  </si>
  <si>
    <t>ES MFHR Rating System Selection triggers EPA specific LPD's, fixture GPM's, DHW baseline system type. Version to exceed of 90.1-2007 is only allowed in this rating system.</t>
  </si>
  <si>
    <t>BPF values are selected based on building type and climate zone per 90.1 2016 Section 4.</t>
  </si>
  <si>
    <t>BPF values are based on the building type average for all climate zones.</t>
  </si>
  <si>
    <t>Proposed Design CL G</t>
  </si>
  <si>
    <t>Proposed Design CL H</t>
  </si>
  <si>
    <t>Proposed Design CL I</t>
  </si>
  <si>
    <t>Proposed Design CL J</t>
  </si>
  <si>
    <t>Added "restore formula" buttons to Table 12.4 and 12.6 of the 12 - Performance_Outputs_1 tab.</t>
  </si>
  <si>
    <t xml:space="preserve">Added P4P - LEED Inputs tab for use of the P4P Program. </t>
  </si>
  <si>
    <t>V1.3 Released to EPA (posted)</t>
  </si>
  <si>
    <t>V1.3</t>
  </si>
  <si>
    <t>Area (sf) Renovation Unconditioned (sf)</t>
  </si>
  <si>
    <t>Area sf New Construction Unconditioned (sf)</t>
  </si>
  <si>
    <t>1) This tab is to be used only for the New Jersey Office of Clean Energy, Pay for Performance New Construction Program.
2) Select row 13-20 below and copy into the Window's clipboard by pressing Ctrl-C. Paste the rows as values in the "P4P - LEED Inputs" tab of the P4P ERP Tables workbook following instructions on this tab.</t>
  </si>
  <si>
    <t>Insulation entirely above deck with a U-factor of 1.282</t>
  </si>
  <si>
    <t>steel-framed with a U-factor of 0.352</t>
  </si>
  <si>
    <t>steel-joist with a U-factor of 0.350</t>
  </si>
  <si>
    <t>U-factor of 0.70</t>
  </si>
  <si>
    <t>Insulation entirely above deck with a U-factor of 0.358</t>
  </si>
  <si>
    <t>Insulation entirely above deck with a U-factor of 7.28</t>
  </si>
  <si>
    <t>steel-framed with a U-factor of 0.704</t>
  </si>
  <si>
    <t>steel-framed with a U-factor of 1.999</t>
  </si>
  <si>
    <t>205mm medium weight concrete block with solid grouted cores and no insulation with a C-factor of 6.473</t>
  </si>
  <si>
    <t>steel-joist with a U-factor of 1.987</t>
  </si>
  <si>
    <t>Insulation entirely above deck with a U-factor of 1.238</t>
  </si>
  <si>
    <t>steel-joist with a U-factor of 0.295</t>
  </si>
  <si>
    <t>U-factor of 0.50</t>
  </si>
  <si>
    <t>steel-framed with a U-factor of 0.477</t>
  </si>
  <si>
    <t>steel-joist with a U-factor of 0.392</t>
  </si>
  <si>
    <t>6" concrete slabs with no insulation with an F-factor of 0.540</t>
  </si>
  <si>
    <t>steel-framed with a U-factor of 0.363</t>
  </si>
  <si>
    <t>205mm medium weight concrete block with solid grouted cores and no insulation with a C-factor of 0.676</t>
  </si>
  <si>
    <t>150 mm concrete slabs with no insulation with an F-factor of 0.935</t>
  </si>
  <si>
    <t>Insulation entirely above deck with a U-factor of 0.048</t>
  </si>
  <si>
    <t>Insulation entirely above deck with a U-factor of 0.093</t>
  </si>
  <si>
    <t>steel-framed with a U-factor of 0.055</t>
  </si>
  <si>
    <t>steel-joist with a U-factor of 0.032</t>
  </si>
  <si>
    <t>6" concrete slabs with no insulation with an F-factor of 0.520</t>
  </si>
  <si>
    <t>Insulation entirely above deck with a U-factor of 0.273</t>
  </si>
  <si>
    <t>Insulation entirely above deck with a U-factor of 0.528</t>
  </si>
  <si>
    <t>steel-framed with a U-factor of 0.312</t>
  </si>
  <si>
    <t>steel-joist with a U-factor of 0.182</t>
  </si>
  <si>
    <t>150 mm concrete slabs with no insulation with an F-factor of 0.9</t>
  </si>
  <si>
    <t>1-Nonmetal framing all</t>
  </si>
  <si>
    <t>Nonmetal framing, all: U-0.50; SHGC-0.25; VT/SHGC-1.10</t>
  </si>
  <si>
    <t>Nonmetal framing, all: U-0.93; SHGC-NR; VT/SHGC-NR</t>
  </si>
  <si>
    <t>1-Metal framing fixed</t>
  </si>
  <si>
    <t>Metal framing, fixed: U-0.57; SHGC-0.25; VT/SHGC-1.10</t>
  </si>
  <si>
    <t>Metal framing, fixed: U-1.20; SHGC-NR; VT/SHGC-NR</t>
  </si>
  <si>
    <t>1-Metal framing operable</t>
  </si>
  <si>
    <t>Metal framing, operable: U-0.65; SHGC-0.25; VT/SHGC-1.10</t>
  </si>
  <si>
    <t>Metal framing, operable: U-1.20; SHGC-NR; VT/SHGC-NR</t>
  </si>
  <si>
    <t>1-Metal framing entrance door</t>
  </si>
  <si>
    <t>Metal framing, entrance door: U-1.10; SHGC-0.25; VT/SHGC-1.10</t>
  </si>
  <si>
    <t>Metal framing, entrance door: U-1.10; SHGC-NR; VT/SHGC-NR</t>
  </si>
  <si>
    <t>2-Nonmetal framing all</t>
  </si>
  <si>
    <t>Nonmetal framing, all: U-0.40; SHGC-0.25; VT/SHGC-1.10</t>
  </si>
  <si>
    <t>2-Metal framing fixed</t>
  </si>
  <si>
    <t>2-Metal framing operable</t>
  </si>
  <si>
    <t>2-Metal framing entrance door</t>
  </si>
  <si>
    <t>Metal framing, entrance door: U-0.83; SHGC-0.25; VT/SHGC-1.10</t>
  </si>
  <si>
    <t>Metal framing, entrance door: U-0.77; SHGC-0.25; VT/SHGC-1.10</t>
  </si>
  <si>
    <t>Metal framing, entrance door: U-0.83; SHGC-NR; VT/SHGC-NR</t>
  </si>
  <si>
    <t>3-Nonmetal framing all</t>
  </si>
  <si>
    <t>Nonmetal framing, all: U-0.35; SHGC-0.25; VT/SHGC-1.10</t>
  </si>
  <si>
    <t>Nonmetal framing, all: U-0.87; SHGC-NR; VT/SHGC-NR</t>
  </si>
  <si>
    <t>3-Metal framing fixed</t>
  </si>
  <si>
    <t>Metal framing, fixed: U-0.50; SHGC-0.25; VT/SHGC-1.10</t>
  </si>
  <si>
    <t>3-Metal framing operable</t>
  </si>
  <si>
    <t>Metal framing, operable: U-0.60; SHGC-0.25; VT/SHGC-1.10</t>
  </si>
  <si>
    <t>3-Metal framing entrance door</t>
  </si>
  <si>
    <t>Metal framing, entrance door: U-0.68; SHGC-0.25; VT/SHGC-1.10</t>
  </si>
  <si>
    <t>6-Nonmetal framing all</t>
  </si>
  <si>
    <t>6-Metal framing fixed</t>
  </si>
  <si>
    <t>Metal framing, fixed: U-0.51; SHGC-NR; VT/SHGC-NR</t>
  </si>
  <si>
    <t>6-Metal framing operable</t>
  </si>
  <si>
    <t>Metal framing, operable: U-0.59; SHGC-NR; VT/SHGC-NR</t>
  </si>
  <si>
    <t>6-Metal framing entrance door</t>
  </si>
  <si>
    <t>7-Nonmetal framing all</t>
  </si>
  <si>
    <t>Nonmetal framing, all: U-0.32; SHGC-0.45; VT/SHGC-1.10</t>
  </si>
  <si>
    <t>7-Metal framing fixed</t>
  </si>
  <si>
    <t>Metal framing, fixed: U-0.38; SHGC-0.45; VT/SHGC-1.10</t>
  </si>
  <si>
    <t>Metal framing, fixed: U-0.38; SHGC-NR; VT/SHGC-NR</t>
  </si>
  <si>
    <t>7-Metal framing operable</t>
  </si>
  <si>
    <t>Metal framing, operable: U-0.40; SHGC-0.45; VT/SHGC-1.10</t>
  </si>
  <si>
    <t>Metal framing, operable: U-0.44; SHGC-NR; VT/SHGC-NR</t>
  </si>
  <si>
    <t>7-Metal framing entrance door</t>
  </si>
  <si>
    <t>Metal framing, entrance door: U-0.77; SHGC-0.45; VT/SHGC-1.10</t>
  </si>
  <si>
    <t>Metal framing, entrance door: U-0.68; SHGC-0.45; VT/SHGC-1.10</t>
  </si>
  <si>
    <t>8-Nonmetal framing all</t>
  </si>
  <si>
    <t>Nonmetal framing, all: U-0.32; SHGC-NR; VT/SHGC-NR</t>
  </si>
  <si>
    <t>8-Metal framing fixed</t>
  </si>
  <si>
    <t>8-Metal framing operable</t>
  </si>
  <si>
    <t>8-Metal framing entrance door</t>
  </si>
  <si>
    <t>CML</t>
  </si>
  <si>
    <t>V1.3 Released to EPA (not posted)</t>
  </si>
  <si>
    <t>Semiheated 0%-2.0%</t>
  </si>
  <si>
    <t>Semiheated 2.1%+</t>
  </si>
  <si>
    <t>Fixed the coefficients for gas dryers on the "Dropdown data" tab. I also revised the envelope reference values for the baseline and for ASHRAE 2013. Also, modified cells V365:375 on the 12-Performance Outputs tab. Revised LEED instructions on the Instructions tab. Modified column BF associated with table 12.6 to fix reference issue.</t>
  </si>
  <si>
    <t>LEED v4.1 EA Prerequisite Minimum Energy Performance and EA Credit Optimize Energy Performance</t>
  </si>
  <si>
    <r>
      <rPr>
        <b/>
        <sz val="12"/>
        <rFont val="Arial"/>
        <family val="2"/>
        <scheme val="minor"/>
      </rPr>
      <t xml:space="preserve">Step 2: Complete all tabs except for Performance Outputs </t>
    </r>
    <r>
      <rPr>
        <sz val="12"/>
        <rFont val="Arial"/>
        <family val="2"/>
        <scheme val="minor"/>
      </rPr>
      <t xml:space="preserve">
Complete all sheets. 
Complete the General Info tab before completing any other tabs, since this will show or hide rating system specific information, and other project-specific information. 
If the project has multiple buildings, complete the Multiple Buildings Details tab second.
Then continue by filling out all additional tabs.
These sheets are intended to assist energy modelers in developing the ASHRAE 90.1 Appendix G building energy models. The inputs include specific information about the baseline and proposed ASHRAE 90.1-2016 Appendix G modeling requirements, and provide the energy modeler with quality control checks for the energy modeling inputs and outputs. These sheets provide the greatest value to the project team if they are completed during the design process, with involvement from the building owner, architect(s), and engineer(s). Prior to LEED submission, the energy modeler should confirm that the energy model inputs listed are consistent with those modeled, and provide quality control (QC) to confirm that the outputs are reasonable based on the energy inputs listed.  
Note: If the energy modeler and project team waits to fill out the spreadsheet until near the completion of the building design, the team may discover some ASHRAE 90.1 mandatory requirements that have been overlooked, modeling requirements that have not been addressed, and additional time may be required to revise the model and show compliance.
</t>
    </r>
  </si>
  <si>
    <r>
      <t xml:space="preserve">Step 3: Complete Performance_Outputs tab
</t>
    </r>
    <r>
      <rPr>
        <sz val="12"/>
        <color theme="1"/>
        <rFont val="Arial"/>
        <family val="2"/>
        <scheme val="minor"/>
      </rPr>
      <t xml:space="preserve">Upload the completed spreadsheet to LEED Online in Excel (*.xlsm) format.  Complete any related summary fields in the LEED prerequisite form and provide all additional required uploads along with the results of the calculator”:
Upload of the following energy simulation reports for the proposed and 0 degree baseline buildings.
(1) A sample of the wall, roof, floor, and window assembly inputs showing U-values and window SHGC,
       as well as the infiltration for a few representative spaces 
(2) Sample lighting and plug load inputs for a few representative spaces
(3) Sample inputs at the thermal zone, system, and plant level (as applicable) for each system type, 
      including  the cooling, heating, fans, controls, outside air, and service water heating system
(4) Inputs for the utility tariffs if there is a variance of at least 5% between the baseline and proposed virtual rates, or if the percentage
       consumption savings for any non-electric utility varies by more than 5% from the percentage consumption savings for the electric
       utility.
 (5) Output summary report of energy consumption by end use and fuel source
 (6) Output summary report of total energy consumption and cost by fuel source
</t>
    </r>
  </si>
  <si>
    <t>ES</t>
  </si>
  <si>
    <r>
      <t xml:space="preserve">DES Path 1: ASHRAE </t>
    </r>
    <r>
      <rPr>
        <b/>
        <sz val="11"/>
        <rFont val="Arial"/>
        <family val="2"/>
        <scheme val="minor"/>
      </rPr>
      <t>90.1-2016</t>
    </r>
  </si>
  <si>
    <r>
      <t>Purchased heating and cooling (as applicable) are modeled as cost-neutral in the baseline and proposed case. Local rates for purchased heating and cooling are used to establish the purchased hea</t>
    </r>
    <r>
      <rPr>
        <sz val="11"/>
        <rFont val="Arial"/>
        <family val="2"/>
        <scheme val="minor"/>
      </rPr>
      <t>ting and cooling costs. The energy model's scope accounts for only downstream equipment, plus purchased heating and cooling. (Refer to ASHRAE 90.1-2016</t>
    </r>
    <r>
      <rPr>
        <sz val="11"/>
        <color theme="1"/>
        <rFont val="Arial"/>
        <family val="2"/>
        <scheme val="minor"/>
      </rPr>
      <t xml:space="preserve"> for details).</t>
    </r>
  </si>
  <si>
    <r>
      <t>The district thermal energy is metered in both the Baseline and Proposed Case models and reported</t>
    </r>
    <r>
      <rPr>
        <sz val="11"/>
        <rFont val="Arial"/>
        <family val="2"/>
        <scheme val="minor"/>
      </rPr>
      <t xml:space="preserve"> in this spreadsheet. This spreadsheet assigns default average efficiencies for the baseline case calculated using ASHRAE 90.1-2016</t>
    </r>
    <r>
      <rPr>
        <sz val="11"/>
        <color theme="1"/>
        <rFont val="Arial"/>
        <family val="2"/>
        <scheme val="minor"/>
      </rPr>
      <t xml:space="preserve"> prescriptive requirements for DES equipment. Average efficiencies for the proposed case are modeled or monitored. (Refer to the LEED v4 Building Design &amp; Construction Reference Guide, Minimum Energy Performance Prerequisite for details.)</t>
    </r>
  </si>
  <si>
    <t>- Revised Tab "Instruction" to match LEED Version 4.1 (Date and red-marked text still outstanding)
- Revised Tab "Definitions" to LEED Version 4.1 / ASHRAE 90.1-2016</t>
  </si>
  <si>
    <t>Minimum Energy Performance Calculator</t>
  </si>
  <si>
    <t>LEED Project ID #</t>
  </si>
  <si>
    <t>Table 7.3: Summary</t>
  </si>
  <si>
    <t>GHG-Emissions (kg)</t>
  </si>
  <si>
    <t>U.S. Environmental Protection Agency’s (EPA) regional grid mix coefficients</t>
  </si>
  <si>
    <t>ISO 52000-1:2017 methodology</t>
  </si>
  <si>
    <r>
      <t xml:space="preserve">GHG-Emmisssion-Factors in </t>
    </r>
    <r>
      <rPr>
        <sz val="11"/>
        <color rgb="FFFF0000"/>
        <rFont val="Arial"/>
        <family val="2"/>
        <scheme val="minor"/>
      </rPr>
      <t>(kG/Btu x 10^6)</t>
    </r>
  </si>
  <si>
    <t>GHG_EF</t>
  </si>
  <si>
    <t>Greenhouse Gas Emissions Factor Database</t>
  </si>
  <si>
    <t>GHG Emissions Factor (kG/Btu x 10^6)</t>
  </si>
  <si>
    <t>Energy Type Consumption Units to Equivalent Greenhouse Gas Emissions</t>
  </si>
  <si>
    <t>GHG_Emission_Factor</t>
  </si>
  <si>
    <t>Energy cost $/unit</t>
  </si>
  <si>
    <t>Unregulated costs $</t>
  </si>
  <si>
    <t>Cost / sector $</t>
  </si>
  <si>
    <t>Regulated costs $</t>
  </si>
  <si>
    <t>Source Energy /Unit</t>
  </si>
  <si>
    <t>CO2-Factor/Unit</t>
  </si>
  <si>
    <t>Source Energy per Sector</t>
  </si>
  <si>
    <t>Unregulated Source Energy</t>
  </si>
  <si>
    <t>Regulated Source Energy</t>
  </si>
  <si>
    <t>Total GHG Emissions</t>
  </si>
  <si>
    <t>Unregulated GHG Emissions</t>
  </si>
  <si>
    <t>Regulated GHG Emissions</t>
  </si>
  <si>
    <t xml:space="preserve">Greenhouse Gas Emissions </t>
  </si>
  <si>
    <t xml:space="preserve">Greenhouse Gas Emissions (kg) </t>
  </si>
  <si>
    <t>Greenhouse Gas Emissions Savings</t>
  </si>
  <si>
    <t>Energy model subtotal CO2-Emissions (kg)</t>
  </si>
  <si>
    <t>Base_GHG</t>
  </si>
  <si>
    <t>Design_GHG</t>
  </si>
  <si>
    <t>Greenhouse Gas Emissions</t>
  </si>
  <si>
    <t xml:space="preserve">GHG Emissions Factor (kG/Btu x 10^6) </t>
  </si>
  <si>
    <t>Total CO2-Emissions (kg)</t>
  </si>
  <si>
    <t>Annual GHG Emissions Equivalent (kg)</t>
  </si>
  <si>
    <t>Annual GHG Difference (kg)</t>
  </si>
  <si>
    <t>The project building contracts, owns or leases off-site renewable energy that is eligible to contribute to greenhouse gas emissions reductions under Optimize Energy Performance, as defined in EA credit Renewable Energy. (Optional)</t>
  </si>
  <si>
    <t>Table: Off-Site Renewable Energy Source Summary</t>
  </si>
  <si>
    <t xml:space="preserve">Renewable energy production should be reported in the table below. Note: This calculator will automatically reduce the proposed energy consumption and greenhouse gas emissions to accurately reflect the revised results. Therefore, any off-site renewable energy procurement should NOT be included in the Performance Rating Method tables below.
Select the off-site renewable energy source. Enter the rated capacity of the off-site renewable source including the units (e.g. for photovoltaics 10 kW). Include all relevant capacities (i.e for solar thermal, both the storage tank capacity and the solar thermal panel capacity).
The greenhouse gas emissions equivalent of the off-site renewable energy generation will be automatically determined using the Greenhouse Gas Emissions Factors selected by the user once the output data (consumption and emissions) is entered below. The greenhouse gas emissions factor may be overridden by the user in order to input the national or regional grid mix coefficients for the recipient grid where the generating asset is located, however this may generate an issue on the Quality Checks and the user should be prepared to justify the entered greenhouse gas emissions value.
</t>
  </si>
  <si>
    <t>Off-Site Renewable Source</t>
  </si>
  <si>
    <t>Annual Energy Generated Claimed by the Project</t>
  </si>
  <si>
    <t>Annual Greenhouse Gas Emissions Offset with Off-Site Renewables</t>
  </si>
  <si>
    <t>Annual Energy Greenhouse Gas Emissions Offset with Off-Site Generated Renewables (kg)</t>
  </si>
  <si>
    <t>Off-Site-generated renewable energy?</t>
  </si>
  <si>
    <t>Percent Greenhouse Gas Emissions Savings</t>
  </si>
  <si>
    <t>Proposed Greenhouse Gas Emissions with Off-Site Renewable Energy (kg)</t>
  </si>
  <si>
    <t>GHG</t>
  </si>
  <si>
    <t>Offsite Renewable GHG-Emission Savings</t>
  </si>
  <si>
    <t>Offsite_Renewable_Site_Savings</t>
  </si>
  <si>
    <t>Design_Site_GHG</t>
  </si>
  <si>
    <t>Percent_Savings_GHG</t>
  </si>
  <si>
    <t>Performance Cost Index including exceptional calculations and renewables (PCI ec+re)</t>
  </si>
  <si>
    <t>% Improvement in energy performance - % Cost PCI below PCIt, all included</t>
  </si>
  <si>
    <t>% Improvement in energy performance - % GHG-Emissions PCI below PCIt, all included</t>
  </si>
  <si>
    <t>EP</t>
  </si>
  <si>
    <t>% Improvement in energy performance - % SIte Energy PCI below PCIt, all included</t>
  </si>
  <si>
    <t>Percent offsite renewable energy (by GHG-Emissions)</t>
  </si>
  <si>
    <t>Off-Site Renewable Greenhouse Gas Emissions Savings (kg)</t>
  </si>
  <si>
    <t>Performance Cost Index without renewables and exceptional calculations (PCI nre_nec)</t>
  </si>
  <si>
    <t xml:space="preserve">Reference for BPF to be applied </t>
  </si>
  <si>
    <t xml:space="preserve">Pilot ACP 111: Alternative Performance Rating Method </t>
  </si>
  <si>
    <t>Hospitality</t>
  </si>
  <si>
    <t>LEEDv4.1</t>
  </si>
  <si>
    <t>ACP</t>
  </si>
  <si>
    <t>Annual Energy Greenhouse Gas Emissions Offset with Site-Generated Renewables (kg)</t>
  </si>
  <si>
    <t>Proposed Building Performance before site-generated renewable energy and exceptional calculations (PBP nre_nec, Site Energy/$/Source Energy/GHG-Emissions)</t>
  </si>
  <si>
    <t>Onsite Renewable Cost Savings, Site Energy/$/Source Energy/GHG-Emissions</t>
  </si>
  <si>
    <t>Exceptional Calculations Cost Savings, Site Energy/$/Source Energy/GHG-Emissions</t>
  </si>
  <si>
    <t>Proposed Building Performance including renewable energy and exceptional calculations (PBP, Site Energy/$/Source Energy/GHG-Emissions)</t>
  </si>
  <si>
    <t>Baseline Building Unregulated Energy Cost (BBUEC, Site Energy/$/Source Energy/GHG-Emissions)</t>
  </si>
  <si>
    <t>Baseline Building Regulated Energy Cost (BBREC, Site Energy/$/Source Energy/GHG-Emissions)</t>
  </si>
  <si>
    <t>Baseline Building Performance (BBP, Site Energy/$/Source Energy/GHG-Emissions)</t>
  </si>
  <si>
    <t xml:space="preserve">Site Energy / sector </t>
  </si>
  <si>
    <t>Unregulated Site Energy</t>
  </si>
  <si>
    <t>Regulated Site Energy</t>
  </si>
  <si>
    <t>Storage Room/&lt;50 sqft</t>
  </si>
  <si>
    <t>Prescriptive Requirement 90.1-2016</t>
  </si>
  <si>
    <r>
      <t xml:space="preserve">Percent </t>
    </r>
    <r>
      <rPr>
        <sz val="10"/>
        <rFont val="Arial"/>
        <family val="2"/>
      </rPr>
      <t>Savings</t>
    </r>
  </si>
  <si>
    <t xml:space="preserve">BPF according to Pilot ACP 111: Alternative Performance Rating Method </t>
  </si>
  <si>
    <t xml:space="preserve">Total performance without renewables </t>
  </si>
  <si>
    <t>% Improvement Cost</t>
  </si>
  <si>
    <t xml:space="preserve">% Improvement Site-Energy </t>
  </si>
  <si>
    <t>% Improvement GHG Emissions (exl. tier 2- and 3-renewables)</t>
  </si>
  <si>
    <t>Baseline GHG</t>
  </si>
  <si>
    <t>Proposed GHG</t>
  </si>
  <si>
    <t>Precent Variance</t>
  </si>
  <si>
    <t>Hourly emissions profiles from the U.S. EPA AVoided Emissions and geneRation Tool (AVERT)</t>
  </si>
  <si>
    <t>User defined</t>
  </si>
  <si>
    <t>Default Values CO2-Emissions</t>
  </si>
  <si>
    <t>Default Values for CO2-Emissions</t>
  </si>
  <si>
    <t>Default_Base_GHGF</t>
  </si>
  <si>
    <t>Default_Proposed_GHGF</t>
  </si>
  <si>
    <t>Base_Virtual_GHGEF</t>
  </si>
  <si>
    <t>Design_Virtual_GHGEF</t>
  </si>
  <si>
    <t>An ID+C rating system has been selected. Provide a detailed narrative regarding the method for assigning relative contribution of base building HVAC and service water heating systems. Specifically include information for the Proposed and Baseline Models.  For shared HVAC systems in the Baseline, describe the method for determining the Baseline HVAC system characteristics based on Base building type, Base building area and Base building number of floors. Note that all relevant baseline system parameters such as HVAC baseline system efficiencies, type and number of boilers (G3.1.3.2), hot water pump controls (G3.1.3.5), type and number of chillers (G3.1.3.7), chilled water pump controls (G3.1.3.10),  etc. shall be determined based on total estimated Base building size and loads. Refer to the v4 ID+C Reference Guide for additional information.</t>
  </si>
  <si>
    <t>* Colocation data centers projects using the BD+C: Data center rating system may use CS thresholds in lieu of 
    NC thresholds</t>
  </si>
  <si>
    <t>* NC, WDC, Hospitality, and Retail projects with process costs exceeding 50% of the proposed energy cost 
   (excluding renewable savings) may use the CS thresholds.</t>
  </si>
  <si>
    <t>Prereq</t>
  </si>
  <si>
    <t>Schools</t>
  </si>
  <si>
    <t xml:space="preserve">CS, Major Renovation, Multifamily Residential* </t>
  </si>
  <si>
    <t xml:space="preserve">NC, WDC, DC, Hospitality, Retail </t>
  </si>
  <si>
    <t>Commercial Interiors, Retail, Hospitality</t>
  </si>
  <si>
    <t>BD+C</t>
  </si>
  <si>
    <t>ID+C</t>
  </si>
  <si>
    <t>Points</t>
  </si>
  <si>
    <t>Table 2. Points for percentage improvement in energy performance – % Greenhouse Gas Emissions PCI below PCIt (12 points)</t>
  </si>
  <si>
    <t>* NC, WDC, Hospitality, and Retail projects with process costs exceeding 50% of the proposed energy cost 
   (excluding renewable savings) may use the CS thresholds</t>
  </si>
  <si>
    <t>Table 1. Points for percentage improvement in energy performance – % Cost PCI below PCIt </t>
  </si>
  <si>
    <t>Total points achieved based on the sum of performance calculated using Table 1 (Cost) and Table 2 (GHG Emissions)</t>
  </si>
  <si>
    <t>LEED v4.1 EAp Minimum Energy Performance and EAc Optimize Energy Performance</t>
  </si>
  <si>
    <t>** Project substituting LEED v4.1 Renewable Energy may document credit for Tier 1, Tier 2, and Tier 3 renewable energy in Optimize Energy 
      Performance consistent with the LEED v4.1 guidance.</t>
  </si>
  <si>
    <t>* Colocation data centers projects using the BD+C: Data center rating system may use CS thresholds in lieu of NC thresholds per LI 10494</t>
  </si>
  <si>
    <t>* NC, WDC, Hospitality, and Retail projects with process costs exceeding 50% of the proposed energy cost (excluding renewable savings) may use the 
   CS thresholds per LI 10493.</t>
  </si>
  <si>
    <t>Major Renovation</t>
  </si>
  <si>
    <t xml:space="preserve">New Construction </t>
  </si>
  <si>
    <t>Core and Shell*</t>
  </si>
  <si>
    <t>Multifamily Midrise</t>
  </si>
  <si>
    <t>LEED v4 EAp Minimum Energy Performance and EAc Optimize Energy Performance or EAc Annual Energy Use</t>
  </si>
  <si>
    <t>LEED v4 Pilot ACP 110 - Alternative Peformance Rating Method with dual metric for cost and GHG</t>
  </si>
  <si>
    <t>Points for percentage improvement in energy performance – % Cost PCI below PCIt</t>
  </si>
  <si>
    <t>LEED v4 Pilot ACP 110 - Alternative Peformance Rating Method</t>
  </si>
  <si>
    <t>proposed annual cost [$]</t>
  </si>
  <si>
    <t>proposed annual GHG [kg]</t>
  </si>
  <si>
    <t>Prerequisite</t>
  </si>
  <si>
    <t>Note: The values for the CO2-Emissions can be overwritten manually if "User defined" has been selected in Table 12.1 for one or all CO2-Emissionfactors.</t>
  </si>
  <si>
    <t>International Energy Agency CO2 Emissions from Fuel Combustion 2017 report national grid mix coefficients</t>
  </si>
  <si>
    <t>Local Equivalent Hourly GHG Emissions Values</t>
  </si>
  <si>
    <t>ASHRAE 90.1-2016 Appendix G Performance Rating Method</t>
  </si>
  <si>
    <t>BPF, effective</t>
  </si>
  <si>
    <t>ASHRAE 90.1-2016 Table 4.2.1.1 (LEED v4.1)</t>
  </si>
  <si>
    <t>Custom Building Performance Factors</t>
  </si>
  <si>
    <t>Custom</t>
  </si>
  <si>
    <t>Default BPF</t>
  </si>
  <si>
    <t>BD+C: New Construction</t>
  </si>
  <si>
    <t>BD+C: Core and Shell</t>
  </si>
  <si>
    <t>BD+C: Schools</t>
  </si>
  <si>
    <t>BD+C: Retail</t>
  </si>
  <si>
    <t>BD+C: Data Centers</t>
  </si>
  <si>
    <t>BD+C: Warehouses and Distribution Centers</t>
  </si>
  <si>
    <t>BD+C: Healthcare</t>
  </si>
  <si>
    <t>BD+C: Multifamily</t>
  </si>
  <si>
    <t>ID+C: Commercial Interiors</t>
  </si>
  <si>
    <t>ID+C: Retail</t>
  </si>
  <si>
    <t>ID+C: Hospitality</t>
  </si>
  <si>
    <t>BD+C: Hospitality</t>
  </si>
  <si>
    <t>DataSourceSelection</t>
  </si>
  <si>
    <t>Energystar Portfoliomanager (US)</t>
  </si>
  <si>
    <t>Energystar Portfoliomanager (Canada)</t>
  </si>
  <si>
    <t>EnergyTypeSelection</t>
  </si>
  <si>
    <t>Diesel Oil</t>
  </si>
  <si>
    <t>USeGrids</t>
  </si>
  <si>
    <t>CanadaProvinces</t>
  </si>
  <si>
    <t>Alberta</t>
  </si>
  <si>
    <t>British-Columbia</t>
  </si>
  <si>
    <t>Manitoba</t>
  </si>
  <si>
    <t>New Brunswick</t>
  </si>
  <si>
    <t>Newfoundland and Labrador</t>
  </si>
  <si>
    <t>Northwest Territories</t>
  </si>
  <si>
    <t>Nova Scotia</t>
  </si>
  <si>
    <t>Nunavut</t>
  </si>
  <si>
    <t>Ontario</t>
  </si>
  <si>
    <t>Prince Edward Island</t>
  </si>
  <si>
    <t>Quebec</t>
  </si>
  <si>
    <t>Saskatchewan</t>
  </si>
  <si>
    <t>Yukon</t>
  </si>
  <si>
    <t>ISO</t>
  </si>
  <si>
    <t>GHG Datasource</t>
  </si>
  <si>
    <t>US</t>
  </si>
  <si>
    <t>Canada</t>
  </si>
  <si>
    <t>Table 12.2: Off-Site Renewable Energy Production</t>
  </si>
  <si>
    <t>Table 12.3: On-Site Renewable Energy Production</t>
  </si>
  <si>
    <t>Table 12.4: Exceptional Calculation Methods</t>
  </si>
  <si>
    <t xml:space="preserve">Table 12.6: Baseline building annual energy cost by energy type </t>
  </si>
  <si>
    <t>Table 12.7: Proposed energy summary by end use</t>
  </si>
  <si>
    <t>Table 12.8: Performance rating energy consumption and cost by fuel type</t>
  </si>
  <si>
    <t>Table 12.9: Virtual rate (average energy cost per unit energy)</t>
  </si>
  <si>
    <t>Table 12.10: Baseline and Proposed Results with Exceptional Calculation Method</t>
  </si>
  <si>
    <t>Table 12.11: Proposed Results including Exceptional Calculation Method &amp; Onsite-Renewable Energy Production</t>
  </si>
  <si>
    <t>Table 12.12: Proposed-GHG Emissions including Exceptional Calculation Method &amp; Onsite- &amp; Offsite-Renewable Energy Production</t>
  </si>
  <si>
    <t>Table 12.13: Baseline and Proposed Total Energy Usage including Exceptional Calculation Methods and Renewable Energy Production</t>
  </si>
  <si>
    <t>Table 12.14: Unmet Loads</t>
  </si>
  <si>
    <t>South/Central Alaska - AKGD</t>
  </si>
  <si>
    <t>Most of Alaska - AKMS</t>
  </si>
  <si>
    <t>Southwest US - AZNM</t>
  </si>
  <si>
    <t>Southwest Coast - CAMX</t>
  </si>
  <si>
    <t>Most of TX - ERCT</t>
  </si>
  <si>
    <t>Most of Florida - FRCC</t>
  </si>
  <si>
    <t>HI excluding Oahu - HIMS</t>
  </si>
  <si>
    <t>Oahu Island - HIOA</t>
  </si>
  <si>
    <t>Eastern WI - MROE</t>
  </si>
  <si>
    <t>Upper Midwest - MROW</t>
  </si>
  <si>
    <t>New England - NEWE</t>
  </si>
  <si>
    <t>Northwest US - NWPP</t>
  </si>
  <si>
    <t>New York City - NYCW</t>
  </si>
  <si>
    <t>Long Island, NY - NYLI</t>
  </si>
  <si>
    <t>Upstate NY - NYUP</t>
  </si>
  <si>
    <t>Mid Atlantic - RFCE</t>
  </si>
  <si>
    <t>Most of Michigan - RFCM</t>
  </si>
  <si>
    <t>Ohio Valley - RFCW</t>
  </si>
  <si>
    <t>CO-Eastern WY - RMPA</t>
  </si>
  <si>
    <t>KS-Western MO - SPNO</t>
  </si>
  <si>
    <t>TX Panhandle-OK - SPSO</t>
  </si>
  <si>
    <t>Lower Mississippi - SRMV</t>
  </si>
  <si>
    <t>Middle Mississippi - SRMW</t>
  </si>
  <si>
    <t>SE US, Gulf Coast - SRSO</t>
  </si>
  <si>
    <t>Tennessee Valley - SRTV</t>
  </si>
  <si>
    <t>Virginia/Carolina - SRVC</t>
  </si>
  <si>
    <t>Database specification 
(if applicable)</t>
  </si>
  <si>
    <t>On-Site Renewable Summary</t>
  </si>
  <si>
    <t>Off-Site Renewable Summary</t>
  </si>
  <si>
    <t>Table G3.1.3.19 Preheat</t>
  </si>
  <si>
    <t>Systems 5-8: Preheat coil controlled to a fixed set point 20°F (11°C) less than the design room heating temperature set point. (Preheat coil shall have the same heating source as the Baseline system)</t>
  </si>
  <si>
    <t>•  Systems 1, 2, 9 &amp; 10: N/A
•  Systems 3-8, 11, 12, 13: as required by Table G3.1.2.6 and G3.1.2.7 by Climate Zone:
    • Not Required - 0a, 0b, 1a, 1b, 2a, 3a, 4a 
    • 75°F (24°C) - 2b, 3b, 3c, 4b, 4c, 5b, 5c, 6b, 7b, 8
    • 70°F (21°C)- 5a, 6a, 7a</t>
  </si>
  <si>
    <t>•  Systems 5-8: Supply air temperature reset of 5°F (2.3°C) under minimum cooling load conditions per G3.1.3.12 (e.g. from 55 °F to 60 °F (12.7 °C to 15.6 °C))
•  System 11: Per G3.1.3.17: During cooling mode, reset supply air temperature from minimum supply air temperature at 50% cooling load and above to room temperature at 0% cooling load. During heating mode, modulate supply air temperature to maintain space temperature 
•  All other systems: Not required
Note: Reset is based on minimum load conditions, NOT outdoor air temperature.</t>
  </si>
  <si>
    <t>•  Exhaust air energy recovery required for individual systems with a supply air capacity of 5000 CFM (2400 L/s) or greater and an outside air supply of 70% or greater, unless exceptions apply, per G3.1.2.10
•  50% energy recovery effectiveness
•  Bypass or control to permit economizer</t>
  </si>
  <si>
    <t>EcoTempSI</t>
  </si>
  <si>
    <t>EcoTempIP</t>
  </si>
  <si>
    <t>24°C</t>
  </si>
  <si>
    <t>75°F</t>
  </si>
  <si>
    <t>21°C</t>
  </si>
  <si>
    <t>70°F</t>
  </si>
  <si>
    <t>90.1-2016 Prescriptive</t>
  </si>
  <si>
    <t>FL Eff 2016</t>
  </si>
  <si>
    <t>PL Eff 2016</t>
  </si>
  <si>
    <t>Units 2016</t>
  </si>
  <si>
    <t>&lt;19 kW</t>
  </si>
  <si>
    <t>≥19 kW and &lt; 40 kW</t>
  </si>
  <si>
    <t>≥40 kW and &lt; 70 kW</t>
  </si>
  <si>
    <t>≥70 kW and &lt; 223 kW</t>
  </si>
  <si>
    <t>≥223 kW</t>
  </si>
  <si>
    <t>Enter the specified unitary cooling efficiency for the proposed HVAC system (or group of similar systems) at AHRI rating conditions.</t>
  </si>
  <si>
    <t>Constant or Variable Volume. 
Describe any detailed control sequences that vary from the Baseline</t>
  </si>
  <si>
    <t>As specified. If DCV is required in Section 6.4.3.8, it must be specified because it is a mandatory requirement.</t>
  </si>
  <si>
    <t>Standby Losses</t>
  </si>
  <si>
    <t>Gas &gt; 75</t>
  </si>
  <si>
    <t>No Reference</t>
  </si>
  <si>
    <r>
      <t xml:space="preserve">General Instructions
</t>
    </r>
    <r>
      <rPr>
        <sz val="12"/>
        <rFont val="Arial"/>
        <family val="2"/>
        <scheme val="minor"/>
      </rPr>
      <t>Complete this calculator to document the LEED Minimum Energy Performance prerequisite when using ASHRAE 90.1-2016 Appendix G.</t>
    </r>
  </si>
  <si>
    <t>ASHRAE 90.1-2016</t>
  </si>
  <si>
    <r>
      <t xml:space="preserve">Copyright </t>
    </r>
    <r>
      <rPr>
        <sz val="9"/>
        <color theme="0" tint="-0.499984740745262"/>
        <rFont val="Arial"/>
        <family val="2"/>
      </rPr>
      <t>©</t>
    </r>
    <r>
      <rPr>
        <sz val="8"/>
        <color theme="0" tint="-0.499984740745262"/>
        <rFont val="Arial"/>
        <family val="2"/>
      </rPr>
      <t xml:space="preserve"> 2019</t>
    </r>
  </si>
  <si>
    <t>U.S. Green Building Council</t>
  </si>
  <si>
    <t>All Rights Reserved</t>
  </si>
  <si>
    <t>Dwelling Units</t>
  </si>
  <si>
    <t>Main Building Schedule</t>
  </si>
  <si>
    <t>IIn spaces where lighting neither exists, nor is submitted with design documents, proposed lighting is modeled as complying with, but not exceeding the requirements of ASHRAE 90.1-2016 Section 9.</t>
  </si>
  <si>
    <t>Baseline and proposed lighting schedules reflect the mandaotry shut-off lighting controls that turn off lighting during unoccupied hours.</t>
  </si>
  <si>
    <t>Note: This calculator is for use with Excel for Mac 2011 and Excel 2007 or later. However, some Ctrl+Shift functions may be incompatible with the spreadsheet (e.g. Ctrl+Shift+P, Ctrl+Shift+L).</t>
  </si>
  <si>
    <t>Note: This version of the MEPC does not allow the multiple building function to be used.</t>
  </si>
  <si>
    <t>The tower shall be controlled to maintain a leaving water temperature, where weather permits,per Table G3.1.3.11, floating up to the design leaving water temperature for the coolingtower.</t>
  </si>
  <si>
    <t>•  The baseline building constant-volume primary pump power shall be modeled as 9 W/gpm,
and the variable-flow secondary pump power shall be modeled as 13 W/gpm at design
conditions.
•  ASHRAE 90.1 (DES Path 1) or Streamlined DES (DES Path 3): Not applicable</t>
  </si>
  <si>
    <t>•  The baseline building constant-volume primary pump power shall be modeled as 9 W/gpm (143 kW/1000 L/s), and the variable-flow secondary pump power shall be modeled as 13 W/gpm (206 kW/1000 L/s) at design conditions.
•  ASHRAE 90.1 (DES Path 1): 16 W/gpm (254 kW/1000 L/s) per exception to G3.1.3.10
•  California Title 24 (DES Path 4): Same W/gpm (kW/1000 L/s) as Proposed or 22 W/gpm (349 kW/1000 L/s)</t>
  </si>
  <si>
    <r>
      <t xml:space="preserve">Table 2.4 Building Performance Factors (BPF) for Compliance with Standard 90.1-2016 </t>
    </r>
    <r>
      <rPr>
        <sz val="11"/>
        <color rgb="FFFF0000"/>
        <rFont val="Arial"/>
        <family val="2"/>
        <scheme val="minor"/>
      </rPr>
      <t>(values for Hospitality equal to Hotel/ Motel)</t>
    </r>
  </si>
  <si>
    <t>All_Sys</t>
  </si>
  <si>
    <r>
      <t xml:space="preserve">Helpful Hints
</t>
    </r>
    <r>
      <rPr>
        <sz val="9"/>
        <rFont val="Arial"/>
        <family val="2"/>
      </rPr>
      <t>•  Describe areas served by each system.
•  The HVAC system type and all related parameters, such as equipment capacities and efficiencies, must be modeled as designed (or installed) per Table G3.1#10(a&amp;b)
•  Where no heating system exists or has been designed, the system type shall be the same as modeled in the baseline building design and shall comply with, but not exceed, the requirements of Section 6, per Table G3.1#10(c)
•  Where no cooling system exists or has been designed, the cooling system is modeled identically to the Baseline case per Table G3.1#10(d), unless using baseline HVAC system types 9 or 10.</t>
    </r>
  </si>
  <si>
    <t>Equivalent Full Load Hours of Operation Per Year (maximum of 8,760). 
Leave blank if not applicable.</t>
  </si>
  <si>
    <t>Proposed Design Airflow per Apartment</t>
  </si>
  <si>
    <t>Proposed Design Airflow Total</t>
  </si>
  <si>
    <t>Baseline Airflow per Apartment (Minimum of ASHRAE 62.2-2013 or Proposed Value)</t>
  </si>
  <si>
    <t>Baseline Airflow Total</t>
  </si>
  <si>
    <t>Baseline Airflow Total (per 62.2-2013)</t>
  </si>
  <si>
    <t>Prop. Lighting Power (W)</t>
  </si>
  <si>
    <t>Baseline Lighting Power (W)</t>
  </si>
  <si>
    <t>Unregulated Lighting LPD (Baseline and Proposed)
(W)</t>
  </si>
  <si>
    <t>Prop. Lighting Power x OS Credit (W)</t>
  </si>
  <si>
    <r>
      <t>Calculated based on columns below, accounting for Multiplier.</t>
    </r>
    <r>
      <rPr>
        <sz val="10"/>
        <color theme="1"/>
        <rFont val="Arial"/>
        <family val="2"/>
      </rPr>
      <t xml:space="preserve"> Totals for Area, Fixture Counts, and Watts; area-weighted average LPD.</t>
    </r>
  </si>
  <si>
    <r>
      <rPr>
        <b/>
        <sz val="10"/>
        <color theme="1"/>
        <rFont val="Arial"/>
        <family val="2"/>
      </rPr>
      <t>Instructions:</t>
    </r>
    <r>
      <rPr>
        <sz val="10"/>
        <color theme="1"/>
        <rFont val="Arial"/>
        <family val="2"/>
      </rPr>
      <t xml:space="preserve"> Enter all applicable input parameters for the proposed air-side HVAC systems below. All systems included in the model should be entered. Each individual system may be entered separately, or multiple systems may be grouped together if all input parameters identified with an (*) are similar. The table is set up for two unique HVAC systems (or two groups of similar systems), and additional systems (or groups of similar systems) should be added as necessary using the Add Proposed button. For any information not applicable to the project, simply enter "N/A".  Note: All proposed systems must be identified in the General HVAC Tab in order to display the relevant proposed inputs below. If General HVAC system types are changed, system types must be reselected in this tab.</t>
    </r>
  </si>
  <si>
    <t>Conversion Tool</t>
  </si>
  <si>
    <t>kg/Btu x 10^6</t>
  </si>
  <si>
    <t>kg/ kWh</t>
  </si>
  <si>
    <t>kg/ MWh</t>
  </si>
  <si>
    <t>kg/ kBtu</t>
  </si>
  <si>
    <t>kg/ therm</t>
  </si>
  <si>
    <t>kg/ Btu x 10^6</t>
  </si>
  <si>
    <t>kg/ MJ</t>
  </si>
  <si>
    <t>Treatment of Unfinished Space selections</t>
  </si>
  <si>
    <r>
      <t xml:space="preserve">Calculated Baseline Lighting Power 2016 </t>
    </r>
    <r>
      <rPr>
        <sz val="10"/>
        <rFont val="Arial"/>
        <family val="2"/>
      </rPr>
      <t>(W)</t>
    </r>
  </si>
  <si>
    <r>
      <t xml:space="preserve">Unfinished space: Spaces with </t>
    </r>
    <r>
      <rPr>
        <b/>
        <sz val="10"/>
        <rFont val="Arial"/>
        <family val="2"/>
      </rPr>
      <t>no permanent lighting specified (core &amp; shell)</t>
    </r>
    <r>
      <rPr>
        <sz val="10"/>
        <rFont val="Arial"/>
        <family val="2"/>
      </rPr>
      <t xml:space="preserve"> must be modeled in the proposed design as meeting the minimum requirements established in Section 9 of ASHRAE Standard 90.1–2016 (or ASHRAE 90.1-2010 if using the LEED v4 Pilot ACP) following the building area method. Area of these spaces must be entered into "Area where propo. lighting not specified" column, and the associated building type should be entered in the adjacent column.</t>
    </r>
  </si>
  <si>
    <r>
      <rPr>
        <b/>
        <sz val="10"/>
        <rFont val="Arial"/>
        <family val="2"/>
      </rPr>
      <t xml:space="preserve">Dwelling Units
</t>
    </r>
    <r>
      <rPr>
        <u/>
        <sz val="10"/>
        <rFont val="Arial"/>
        <family val="2"/>
      </rPr>
      <t>If not claiming performance credit for dwelling unit lighting</t>
    </r>
    <r>
      <rPr>
        <sz val="10"/>
        <rFont val="Arial"/>
        <family val="2"/>
      </rPr>
      <t xml:space="preserve">: do not enter fixture counts in the table below; enter total thermal block area into the "Area where prop. lighting is not specified" column, and enter the building type as "Dwelling Unit" in the adjacent column.
</t>
    </r>
    <r>
      <rPr>
        <u/>
        <sz val="10"/>
        <rFont val="Arial"/>
        <family val="2"/>
      </rPr>
      <t>If claiming performance credit for dwelling unit lighting:</t>
    </r>
    <r>
      <rPr>
        <sz val="10"/>
        <rFont val="Arial"/>
        <family val="2"/>
      </rPr>
      <t xml:space="preserve">
  a) Enter fixture quantities into the table below
  b) Complete the  "Area where prop. lighting not specified" column using total area for spaces with no hard-wired fixtures and a proportional fraction of the area of spaces where specified fixtures are intended to be supplemented by plug-in lighting.</t>
    </r>
  </si>
  <si>
    <t>Building Type (90.1-2016 Table G3.8) for area where prop. lighting not specified</t>
  </si>
  <si>
    <t>Insulation Entirely above Deck</t>
  </si>
  <si>
    <t>V4</t>
  </si>
  <si>
    <t>Last Updated: 07/24/2023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</si>
</sst>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1">
    <numFmt numFmtId="42" formatCode="_(&quot;$&quot;* #,##0_);_(&quot;$&quot;* \(#,##0\);_(&quot;$&quot;* &quot;-&quot;_);_(@_)"/>
    <numFmt numFmtId="44" formatCode="_(&quot;$&quot;* #,##0.00_);_(&quot;$&quot;* \(#,##0.00\);_(&quot;$&quot;* &quot;-&quot;??_);_(@_)"/>
    <numFmt numFmtId="43" formatCode="_(* #,##0.00_);_(* \(#,##0.00\);_(* &quot;-&quot;??_);_(@_)"/>
    <numFmt numFmtId="164" formatCode="0.0%"/>
    <numFmt numFmtId="165" formatCode="0.0"/>
    <numFmt numFmtId="166" formatCode="#,##0.000"/>
    <numFmt numFmtId="167" formatCode="_(* #,##0.0_);_(* \(#,##0.0\);_(* &quot;-&quot;??_);_(@_)"/>
    <numFmt numFmtId="168" formatCode="#,##0.0"/>
    <numFmt numFmtId="169" formatCode="#,##0.0_);\(#,##0.0\)"/>
    <numFmt numFmtId="170" formatCode="_(&quot;$&quot;* #,##0_);_(&quot;$&quot;* \(#,##0\);_(&quot;$&quot;* &quot;-&quot;??_);_(@_)"/>
    <numFmt numFmtId="171" formatCode="_(* #,##0_);_(* \(#,##0\);_(* &quot;-&quot;??_);_(@_)"/>
    <numFmt numFmtId="172" formatCode="_(&quot;$&quot;* #,##0.0000_);_(&quot;$&quot;* \(#,##0.0000\);_(&quot;$&quot;* &quot;-&quot;??_);_(@_)"/>
    <numFmt numFmtId="173" formatCode="0.0000000"/>
    <numFmt numFmtId="174" formatCode="_(* #,##0.000_);_(* \(#,##0.000\);_(* &quot;-&quot;??_);_(@_)"/>
    <numFmt numFmtId="175" formatCode="&quot;$&quot;#,##0.000"/>
    <numFmt numFmtId="176" formatCode="_(* #,##0.0_);_(* \(#,##0.0\);_(* &quot;&quot;??_);_(@_)"/>
    <numFmt numFmtId="177" formatCode="_(* #,##0.0_);_(* \(#,##0.0\);_(* &quot;-&quot;?_);_(@_)"/>
    <numFmt numFmtId="178" formatCode="0.00000000"/>
    <numFmt numFmtId="179" formatCode="_(* #,##0_);_(* \(#,##0\);_(* &quot;-&quot;???_);_(@_)"/>
    <numFmt numFmtId="180" formatCode="_(* #,##0.0000_);_(* \(#,##0.0000\);_(* &quot;-&quot;??_);_(@_)"/>
    <numFmt numFmtId="181" formatCode="0.000%"/>
    <numFmt numFmtId="182" formatCode="0.000"/>
    <numFmt numFmtId="183" formatCode="0.0000"/>
    <numFmt numFmtId="184" formatCode="0.00000000000"/>
    <numFmt numFmtId="185" formatCode="_(* #,##0.00000_);_(* \(#,##0.00000\);_(* &quot;-&quot;??_);_(@_)"/>
    <numFmt numFmtId="186" formatCode="0.00000"/>
    <numFmt numFmtId="187" formatCode="_(* #,##0_);_(* \(#,##0\);_(* &quot;&quot;??_);_(@_)"/>
    <numFmt numFmtId="188" formatCode="_(&quot;$&quot;* #,##0.000_);_(&quot;$&quot;* \(#,##0.000\);_(&quot;$&quot;* &quot;-&quot;??_);_(@_)"/>
    <numFmt numFmtId="189" formatCode="_(&quot;$&quot;* #,##0.000000_);_(&quot;$&quot;* \(#,##0.000000\);_(&quot;$&quot;* &quot;-&quot;??_);_(@_)"/>
    <numFmt numFmtId="190" formatCode="[$-409]mmmm\ d\,\ yyyy;@"/>
    <numFmt numFmtId="191" formatCode="0.000000"/>
    <numFmt numFmtId="192" formatCode="#,##0.0000000"/>
    <numFmt numFmtId="193" formatCode="0;\-0;;@"/>
    <numFmt numFmtId="194" formatCode="&quot;$&quot;#,##0"/>
    <numFmt numFmtId="195" formatCode="_(* #,##0.000000_);_(* \(#,##0.000000\);_(* &quot;&quot;??_);_(@_)"/>
    <numFmt numFmtId="196" formatCode="_(* #,##0.00000_);_(* \(#,##0.00000\);_(* &quot;&quot;??_);_(@_)"/>
    <numFmt numFmtId="197" formatCode="_(* #,##0.000_);_(* \(#,##0.000\);_(* &quot;&quot;??_);_(@_)"/>
    <numFmt numFmtId="198" formatCode="_(* #,##0.00_);_(* \(#,##0.00\);_(* &quot;&quot;??_);_(@_)"/>
    <numFmt numFmtId="199" formatCode="#,##0.000_);\(#,##0.000\)"/>
    <numFmt numFmtId="200" formatCode="&quot;$&quot;#,##0.00"/>
    <numFmt numFmtId="201" formatCode="_(* #,##0.0000000_);_(* \(#,##0.0000000\);_(* &quot;-&quot;??_);_(@_)"/>
  </numFmts>
  <fonts count="197" x14ac:knownFonts="1">
    <font>
      <sz val="11"/>
      <color theme="1"/>
      <name val="Arial"/>
      <family val="2"/>
      <scheme val="minor"/>
    </font>
    <font>
      <sz val="12"/>
      <color theme="1"/>
      <name val="Arial"/>
      <family val="2"/>
      <scheme val="minor"/>
    </font>
    <font>
      <sz val="11"/>
      <name val="Calibri"/>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1"/>
      <color theme="1"/>
      <name val="Arial"/>
      <family val="2"/>
      <scheme val="minor"/>
    </font>
    <font>
      <b/>
      <sz val="11"/>
      <color theme="1"/>
      <name val="Arial"/>
      <family val="2"/>
      <scheme val="minor"/>
    </font>
    <font>
      <sz val="10"/>
      <color theme="1"/>
      <name val="Arial"/>
      <family val="2"/>
      <scheme val="minor"/>
    </font>
    <font>
      <sz val="11"/>
      <name val="Arial"/>
      <family val="2"/>
      <scheme val="minor"/>
    </font>
    <font>
      <sz val="9"/>
      <color theme="1"/>
      <name val="Arial"/>
      <family val="2"/>
      <scheme val="minor"/>
    </font>
    <font>
      <sz val="8"/>
      <color rgb="FF000000"/>
      <name val="Tahoma"/>
      <family val="2"/>
    </font>
    <font>
      <sz val="8"/>
      <name val="Arial"/>
      <family val="2"/>
    </font>
    <font>
      <b/>
      <sz val="12"/>
      <name val="Arial"/>
      <family val="2"/>
    </font>
    <font>
      <sz val="12"/>
      <name val="Arial"/>
      <family val="2"/>
    </font>
    <font>
      <b/>
      <sz val="10"/>
      <name val="Arial"/>
      <family val="2"/>
    </font>
    <font>
      <sz val="9"/>
      <name val="Arial"/>
      <family val="2"/>
    </font>
    <font>
      <b/>
      <i/>
      <sz val="10"/>
      <name val="Arial"/>
      <family val="2"/>
    </font>
    <font>
      <i/>
      <sz val="10"/>
      <name val="Arial"/>
      <family val="2"/>
    </font>
    <font>
      <sz val="10"/>
      <color theme="1"/>
      <name val="Arial"/>
      <family val="2"/>
    </font>
    <font>
      <b/>
      <sz val="12"/>
      <color theme="1"/>
      <name val="Arial"/>
      <family val="2"/>
    </font>
    <font>
      <sz val="10"/>
      <color indexed="8"/>
      <name val="Arial"/>
      <family val="2"/>
    </font>
    <font>
      <b/>
      <i/>
      <sz val="10"/>
      <color indexed="8"/>
      <name val="Arial"/>
      <family val="2"/>
    </font>
    <font>
      <b/>
      <i/>
      <sz val="10"/>
      <color theme="1"/>
      <name val="Arial"/>
      <family val="2"/>
    </font>
    <font>
      <b/>
      <sz val="10"/>
      <color theme="0"/>
      <name val="Arial"/>
      <family val="2"/>
    </font>
    <font>
      <b/>
      <sz val="10"/>
      <color theme="1"/>
      <name val="Arial"/>
      <family val="2"/>
    </font>
    <font>
      <b/>
      <sz val="16"/>
      <color theme="0"/>
      <name val="Arial Black"/>
      <family val="2"/>
    </font>
    <font>
      <sz val="10"/>
      <color indexed="81"/>
      <name val="Arial"/>
      <family val="2"/>
    </font>
    <font>
      <sz val="9"/>
      <color rgb="FF000000"/>
      <name val="Arial"/>
      <family val="2"/>
    </font>
    <font>
      <sz val="9"/>
      <name val="Arial"/>
      <family val="2"/>
      <scheme val="minor"/>
    </font>
    <font>
      <sz val="9"/>
      <color theme="1"/>
      <name val="Arial"/>
      <family val="2"/>
    </font>
    <font>
      <sz val="10"/>
      <color theme="5"/>
      <name val="Arial"/>
      <family val="2"/>
    </font>
    <font>
      <b/>
      <i/>
      <sz val="10"/>
      <color theme="5"/>
      <name val="Arial"/>
      <family val="2"/>
    </font>
    <font>
      <sz val="16"/>
      <color theme="0"/>
      <name val="Arial Black"/>
      <family val="2"/>
    </font>
    <font>
      <vertAlign val="subscript"/>
      <sz val="10"/>
      <name val="Arial"/>
      <family val="2"/>
    </font>
    <font>
      <sz val="10"/>
      <color theme="0"/>
      <name val="Arial"/>
      <family val="2"/>
    </font>
    <font>
      <sz val="11"/>
      <name val="Calibri"/>
      <family val="2"/>
    </font>
    <font>
      <b/>
      <sz val="10"/>
      <color indexed="9"/>
      <name val="Arial"/>
      <family val="2"/>
    </font>
    <font>
      <b/>
      <i/>
      <sz val="12"/>
      <color rgb="FFFF0000"/>
      <name val="Calibri"/>
      <family val="2"/>
    </font>
    <font>
      <b/>
      <sz val="11"/>
      <color theme="0"/>
      <name val="Arial"/>
      <family val="2"/>
      <scheme val="minor"/>
    </font>
    <font>
      <b/>
      <sz val="16"/>
      <name val="Arial"/>
      <family val="2"/>
      <scheme val="minor"/>
    </font>
    <font>
      <b/>
      <sz val="11"/>
      <color theme="3" tint="-0.499984740745262"/>
      <name val="Arial"/>
      <family val="2"/>
      <scheme val="minor"/>
    </font>
    <font>
      <b/>
      <sz val="16"/>
      <color theme="1"/>
      <name val="Arial"/>
      <family val="2"/>
      <scheme val="minor"/>
    </font>
    <font>
      <sz val="10"/>
      <color indexed="81"/>
      <name val="Tahoma"/>
      <family val="2"/>
    </font>
    <font>
      <sz val="9"/>
      <color theme="0" tint="-0.499984740745262"/>
      <name val="Arial"/>
      <family val="2"/>
    </font>
    <font>
      <sz val="10"/>
      <color rgb="FF000000"/>
      <name val="Arial"/>
      <family val="2"/>
    </font>
    <font>
      <sz val="9"/>
      <color indexed="8"/>
      <name val="Arial"/>
      <family val="2"/>
    </font>
    <font>
      <sz val="10"/>
      <name val="Arial"/>
      <family val="2"/>
    </font>
    <font>
      <sz val="10"/>
      <name val="Calibri"/>
      <family val="2"/>
    </font>
    <font>
      <b/>
      <i/>
      <sz val="9"/>
      <color theme="1"/>
      <name val="Arial"/>
      <family val="2"/>
    </font>
    <font>
      <b/>
      <sz val="9"/>
      <color theme="1"/>
      <name val="Arial"/>
      <family val="2"/>
    </font>
    <font>
      <b/>
      <sz val="18"/>
      <color theme="3"/>
      <name val="Arial Black"/>
      <family val="2"/>
      <scheme val="major"/>
    </font>
    <font>
      <b/>
      <sz val="15"/>
      <color theme="3"/>
      <name val="Arial"/>
      <family val="2"/>
      <scheme val="minor"/>
    </font>
    <font>
      <b/>
      <sz val="13"/>
      <color theme="3"/>
      <name val="Arial"/>
      <family val="2"/>
      <scheme val="minor"/>
    </font>
    <font>
      <b/>
      <sz val="11"/>
      <color theme="3"/>
      <name val="Arial"/>
      <family val="2"/>
      <scheme val="minor"/>
    </font>
    <font>
      <sz val="11"/>
      <color rgb="FF006100"/>
      <name val="Arial"/>
      <family val="2"/>
      <scheme val="minor"/>
    </font>
    <font>
      <sz val="11"/>
      <color rgb="FF9C0006"/>
      <name val="Arial"/>
      <family val="2"/>
      <scheme val="minor"/>
    </font>
    <font>
      <sz val="11"/>
      <color rgb="FF9C65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sz val="11"/>
      <color rgb="FFFF0000"/>
      <name val="Arial"/>
      <family val="2"/>
      <scheme val="minor"/>
    </font>
    <font>
      <i/>
      <sz val="11"/>
      <color rgb="FF7F7F7F"/>
      <name val="Arial"/>
      <family val="2"/>
      <scheme val="minor"/>
    </font>
    <font>
      <sz val="11"/>
      <color theme="0"/>
      <name val="Arial"/>
      <family val="2"/>
      <scheme val="minor"/>
    </font>
    <font>
      <u/>
      <sz val="11"/>
      <color theme="10"/>
      <name val="Arial"/>
      <family val="2"/>
      <scheme val="minor"/>
    </font>
    <font>
      <u/>
      <sz val="11"/>
      <color theme="11"/>
      <name val="Arial"/>
      <family val="2"/>
      <scheme val="minor"/>
    </font>
    <font>
      <b/>
      <sz val="12"/>
      <name val="Calibri"/>
      <family val="2"/>
    </font>
    <font>
      <sz val="10"/>
      <name val="Arial"/>
      <family val="2"/>
    </font>
    <font>
      <b/>
      <vertAlign val="subscript"/>
      <sz val="10"/>
      <name val="Arial"/>
      <family val="2"/>
    </font>
    <font>
      <sz val="10"/>
      <color rgb="FFFF0000"/>
      <name val="Arial"/>
      <family val="2"/>
    </font>
    <font>
      <sz val="9"/>
      <color theme="0"/>
      <name val="Arial"/>
      <family val="2"/>
    </font>
    <font>
      <b/>
      <sz val="16"/>
      <name val="Arial"/>
      <family val="2"/>
    </font>
    <font>
      <b/>
      <sz val="10"/>
      <color rgb="FFFF0000"/>
      <name val="Arial"/>
      <family val="2"/>
    </font>
    <font>
      <b/>
      <sz val="9"/>
      <name val="Arial"/>
      <family val="2"/>
    </font>
    <font>
      <sz val="10"/>
      <color rgb="FFFADA63"/>
      <name val="Arial"/>
      <family val="2"/>
    </font>
    <font>
      <b/>
      <i/>
      <sz val="9"/>
      <name val="Arial"/>
      <family val="2"/>
    </font>
    <font>
      <sz val="9"/>
      <color rgb="FFFF0000"/>
      <name val="Arial"/>
      <family val="2"/>
    </font>
    <font>
      <u/>
      <sz val="10"/>
      <color indexed="12"/>
      <name val="Arial"/>
      <family val="2"/>
    </font>
    <font>
      <u/>
      <sz val="9"/>
      <color theme="10"/>
      <name val="Arial"/>
      <family val="2"/>
    </font>
    <font>
      <sz val="11"/>
      <color theme="1"/>
      <name val="Calibri"/>
      <family val="2"/>
    </font>
    <font>
      <sz val="10"/>
      <name val="Eras Light ITC"/>
      <family val="2"/>
    </font>
    <font>
      <sz val="9"/>
      <color theme="0" tint="-0.14999847407452621"/>
      <name val="Arial"/>
      <family val="2"/>
    </font>
    <font>
      <b/>
      <i/>
      <sz val="10"/>
      <color theme="0"/>
      <name val="Arial"/>
      <family val="2"/>
    </font>
    <font>
      <sz val="11"/>
      <color theme="1"/>
      <name val="Arial"/>
      <family val="2"/>
    </font>
    <font>
      <i/>
      <sz val="10"/>
      <color theme="0"/>
      <name val="Arial"/>
      <family val="2"/>
    </font>
    <font>
      <b/>
      <i/>
      <sz val="11"/>
      <color theme="1"/>
      <name val="Arial"/>
      <family val="2"/>
      <scheme val="minor"/>
    </font>
    <font>
      <i/>
      <sz val="11"/>
      <color theme="1"/>
      <name val="Arial"/>
      <family val="2"/>
      <scheme val="minor"/>
    </font>
    <font>
      <i/>
      <sz val="11"/>
      <color theme="1"/>
      <name val="Arial"/>
      <family val="2"/>
    </font>
    <font>
      <i/>
      <sz val="10"/>
      <color theme="1"/>
      <name val="Arial"/>
      <family val="2"/>
    </font>
    <font>
      <b/>
      <i/>
      <sz val="9"/>
      <color theme="1"/>
      <name val="Arial"/>
      <family val="2"/>
      <scheme val="minor"/>
    </font>
    <font>
      <sz val="11"/>
      <color theme="0" tint="-0.499984740745262"/>
      <name val="Arial"/>
      <family val="2"/>
      <scheme val="minor"/>
    </font>
    <font>
      <b/>
      <sz val="8"/>
      <name val="Arial"/>
      <family val="2"/>
    </font>
    <font>
      <sz val="12"/>
      <color theme="1"/>
      <name val="Arial"/>
      <family val="2"/>
    </font>
    <font>
      <sz val="8"/>
      <color theme="1"/>
      <name val="Arial"/>
      <family val="2"/>
    </font>
    <font>
      <sz val="14"/>
      <name val="Arial"/>
      <family val="2"/>
    </font>
    <font>
      <b/>
      <sz val="11"/>
      <color rgb="FFFF0000"/>
      <name val="Arial"/>
      <family val="2"/>
      <scheme val="minor"/>
    </font>
    <font>
      <sz val="9"/>
      <color rgb="FFFF0000"/>
      <name val="Calibri"/>
      <family val="2"/>
    </font>
    <font>
      <sz val="7.2"/>
      <color rgb="FFFF0000"/>
      <name val="Arial"/>
      <family val="2"/>
    </font>
    <font>
      <sz val="11"/>
      <color rgb="FF00B050"/>
      <name val="Arial"/>
      <family val="2"/>
      <scheme val="minor"/>
    </font>
    <font>
      <sz val="10"/>
      <color theme="0" tint="-0.499984740745262"/>
      <name val="Arial"/>
      <family val="2"/>
    </font>
    <font>
      <sz val="10"/>
      <color theme="0" tint="-0.34998626667073579"/>
      <name val="Arial"/>
      <family val="2"/>
    </font>
    <font>
      <sz val="10.5"/>
      <color theme="1"/>
      <name val="Arial"/>
      <family val="2"/>
    </font>
    <font>
      <sz val="10.5"/>
      <color theme="0" tint="-0.499984740745262"/>
      <name val="Arial"/>
      <family val="2"/>
    </font>
    <font>
      <u/>
      <sz val="10"/>
      <name val="Arial"/>
      <family val="2"/>
    </font>
    <font>
      <sz val="10.5"/>
      <color rgb="FF808080"/>
      <name val="Arial"/>
      <family val="2"/>
    </font>
    <font>
      <b/>
      <sz val="11"/>
      <color rgb="FFFF0000"/>
      <name val="Arial"/>
      <family val="2"/>
    </font>
    <font>
      <sz val="11"/>
      <color rgb="FFFF0000"/>
      <name val="Arial"/>
      <family val="2"/>
    </font>
    <font>
      <sz val="11"/>
      <name val="Arial"/>
      <family val="2"/>
    </font>
    <font>
      <b/>
      <sz val="11"/>
      <color theme="1"/>
      <name val="Arial"/>
      <family val="2"/>
    </font>
    <font>
      <sz val="10"/>
      <color rgb="FFFF0000"/>
      <name val="Arial"/>
      <family val="2"/>
      <scheme val="minor"/>
    </font>
    <font>
      <sz val="9"/>
      <color indexed="8"/>
      <name val="Arial"/>
      <family val="2"/>
      <scheme val="minor"/>
    </font>
    <font>
      <b/>
      <sz val="9"/>
      <color indexed="8"/>
      <name val="Arial"/>
      <family val="2"/>
      <scheme val="minor"/>
    </font>
    <font>
      <sz val="11"/>
      <color indexed="8"/>
      <name val="Calibri"/>
      <family val="2"/>
    </font>
    <font>
      <b/>
      <sz val="10"/>
      <color indexed="8"/>
      <name val="Arial"/>
      <family val="2"/>
    </font>
    <font>
      <b/>
      <sz val="11"/>
      <name val="Arial"/>
      <family val="2"/>
      <scheme val="minor"/>
    </font>
    <font>
      <i/>
      <sz val="8"/>
      <name val="Arial"/>
      <family val="2"/>
    </font>
    <font>
      <sz val="8"/>
      <name val="Calibri"/>
      <family val="2"/>
    </font>
    <font>
      <sz val="10"/>
      <name val="Arial"/>
      <family val="2"/>
      <scheme val="minor"/>
    </font>
    <font>
      <b/>
      <sz val="11"/>
      <color theme="4"/>
      <name val="Arial"/>
      <family val="2"/>
      <scheme val="minor"/>
    </font>
    <font>
      <b/>
      <sz val="12"/>
      <name val="Arial"/>
      <family val="2"/>
      <scheme val="minor"/>
    </font>
    <font>
      <b/>
      <sz val="9"/>
      <color rgb="FFFF0000"/>
      <name val="Arial"/>
      <family val="2"/>
    </font>
    <font>
      <b/>
      <i/>
      <sz val="13"/>
      <name val="Arial"/>
      <family val="2"/>
      <scheme val="minor"/>
    </font>
    <font>
      <b/>
      <sz val="10"/>
      <name val="Arial"/>
      <family val="2"/>
      <scheme val="minor"/>
    </font>
    <font>
      <sz val="8"/>
      <name val="Arial"/>
      <family val="2"/>
      <scheme val="minor"/>
    </font>
    <font>
      <b/>
      <vertAlign val="superscript"/>
      <sz val="10"/>
      <name val="Calibri"/>
      <family val="2"/>
    </font>
    <font>
      <b/>
      <sz val="10"/>
      <name val="Calibri"/>
      <family val="2"/>
    </font>
    <font>
      <sz val="9"/>
      <color rgb="FF00B050"/>
      <name val="Arial"/>
      <family val="2"/>
    </font>
    <font>
      <sz val="11"/>
      <color rgb="FF000000"/>
      <name val="Calibri"/>
      <family val="2"/>
    </font>
    <font>
      <sz val="10"/>
      <color rgb="FF0000FF"/>
      <name val="Arial"/>
      <family val="2"/>
    </font>
    <font>
      <sz val="9"/>
      <color rgb="FF0000FF"/>
      <name val="Arial"/>
      <family val="2"/>
    </font>
    <font>
      <b/>
      <sz val="12"/>
      <color theme="1"/>
      <name val="Arial"/>
      <family val="2"/>
      <scheme val="minor"/>
    </font>
    <font>
      <sz val="10"/>
      <color rgb="FF00B050"/>
      <name val="Arial"/>
      <family val="2"/>
    </font>
    <font>
      <b/>
      <sz val="10"/>
      <color rgb="FF00B050"/>
      <name val="Arial"/>
      <family val="2"/>
    </font>
    <font>
      <u/>
      <sz val="9"/>
      <name val="Arial"/>
      <family val="2"/>
    </font>
    <font>
      <sz val="10"/>
      <color theme="0" tint="-0.249977111117893"/>
      <name val="Arial"/>
      <family val="2"/>
    </font>
    <font>
      <b/>
      <sz val="10"/>
      <color theme="0" tint="-0.249977111117893"/>
      <name val="Arial"/>
      <family val="2"/>
    </font>
    <font>
      <sz val="9"/>
      <color theme="0" tint="-0.249977111117893"/>
      <name val="Arial"/>
      <family val="2"/>
    </font>
    <font>
      <u/>
      <sz val="8"/>
      <name val="Arial"/>
      <family val="2"/>
    </font>
    <font>
      <b/>
      <i/>
      <sz val="11"/>
      <name val="Arial"/>
      <family val="2"/>
    </font>
    <font>
      <b/>
      <sz val="9"/>
      <color indexed="8"/>
      <name val="Arial"/>
      <family val="2"/>
    </font>
    <font>
      <i/>
      <sz val="9"/>
      <color theme="1"/>
      <name val="Arial"/>
      <family val="2"/>
    </font>
    <font>
      <sz val="11"/>
      <color theme="0" tint="-0.249977111117893"/>
      <name val="Arial"/>
      <family val="2"/>
    </font>
    <font>
      <b/>
      <sz val="11"/>
      <name val="Arial"/>
      <family val="2"/>
    </font>
    <font>
      <sz val="11"/>
      <color theme="0"/>
      <name val="Arial"/>
      <family val="2"/>
    </font>
    <font>
      <u/>
      <sz val="10"/>
      <color rgb="FFFF0000"/>
      <name val="Arial"/>
      <family val="2"/>
    </font>
    <font>
      <u/>
      <sz val="10"/>
      <color rgb="FF00B050"/>
      <name val="Arial"/>
      <family val="2"/>
    </font>
    <font>
      <sz val="12"/>
      <color theme="1"/>
      <name val="Arial"/>
      <family val="2"/>
      <scheme val="minor"/>
    </font>
    <font>
      <sz val="12"/>
      <name val="Arial"/>
      <family val="2"/>
      <scheme val="minor"/>
    </font>
    <font>
      <b/>
      <i/>
      <sz val="10"/>
      <color rgb="FFFF0000"/>
      <name val="Arial"/>
      <family val="2"/>
    </font>
    <font>
      <b/>
      <i/>
      <sz val="12"/>
      <color rgb="FFFF0000"/>
      <name val="Arial"/>
      <family val="2"/>
    </font>
    <font>
      <sz val="8"/>
      <color theme="1"/>
      <name val="Arial"/>
      <family val="2"/>
      <scheme val="minor"/>
    </font>
    <font>
      <b/>
      <sz val="24"/>
      <color rgb="FFFF0000"/>
      <name val="Arial"/>
      <family val="2"/>
    </font>
    <font>
      <u/>
      <sz val="12"/>
      <color theme="10"/>
      <name val="Arial"/>
      <family val="2"/>
      <scheme val="minor"/>
    </font>
    <font>
      <sz val="11"/>
      <color theme="0" tint="-0.34998626667073579"/>
      <name val="Arial"/>
      <family val="2"/>
      <scheme val="minor"/>
    </font>
    <font>
      <b/>
      <sz val="14"/>
      <color theme="1"/>
      <name val="Arial"/>
      <family val="2"/>
      <scheme val="minor"/>
    </font>
    <font>
      <sz val="9"/>
      <color indexed="81"/>
      <name val="Tahoma"/>
      <family val="2"/>
    </font>
    <font>
      <b/>
      <sz val="14"/>
      <name val="Arial"/>
      <family val="2"/>
    </font>
    <font>
      <sz val="10"/>
      <color rgb="FF222222"/>
      <name val="Arial"/>
      <family val="2"/>
    </font>
    <font>
      <b/>
      <sz val="10"/>
      <color rgb="FF222222"/>
      <name val="Times New Roman"/>
      <family val="1"/>
    </font>
    <font>
      <sz val="10"/>
      <color rgb="FF222222"/>
      <name val="Times New Roman"/>
      <family val="1"/>
    </font>
    <font>
      <sz val="16"/>
      <color rgb="FF365F91"/>
      <name val="Cambria"/>
      <family val="1"/>
    </font>
    <font>
      <b/>
      <u/>
      <sz val="10"/>
      <name val="Arial"/>
      <family val="2"/>
    </font>
    <font>
      <u/>
      <sz val="11"/>
      <color rgb="FF0000FF"/>
      <name val="Arial"/>
      <family val="2"/>
      <scheme val="minor"/>
    </font>
    <font>
      <sz val="10"/>
      <color theme="0" tint="-0.249977111117893"/>
      <name val="Arial"/>
      <family val="2"/>
      <scheme val="minor"/>
    </font>
    <font>
      <b/>
      <sz val="9"/>
      <color theme="0" tint="-0.249977111117893"/>
      <name val="Arial"/>
      <family val="2"/>
    </font>
    <font>
      <b/>
      <sz val="10"/>
      <color theme="0" tint="-0.499984740745262"/>
      <name val="Arial"/>
      <family val="2"/>
    </font>
    <font>
      <b/>
      <sz val="12"/>
      <color theme="0" tint="-0.499984740745262"/>
      <name val="Arial"/>
      <family val="2"/>
    </font>
    <font>
      <b/>
      <sz val="22"/>
      <color indexed="18"/>
      <name val="Times New Roman"/>
      <family val="1"/>
    </font>
    <font>
      <b/>
      <sz val="22"/>
      <name val="Times New Roman"/>
      <family val="1"/>
    </font>
    <font>
      <b/>
      <sz val="18"/>
      <color indexed="18"/>
      <name val="Times New Roman"/>
      <family val="1"/>
    </font>
    <font>
      <b/>
      <sz val="18"/>
      <color theme="8" tint="-0.499984740745262"/>
      <name val="Times New Roman"/>
      <family val="1"/>
    </font>
    <font>
      <sz val="10"/>
      <color indexed="8"/>
      <name val="Times New Roman"/>
      <family val="1"/>
    </font>
    <font>
      <b/>
      <sz val="14"/>
      <color indexed="8"/>
      <name val="Times New Roman"/>
      <family val="1"/>
    </font>
    <font>
      <b/>
      <sz val="14"/>
      <color theme="8" tint="-0.499984740745262"/>
      <name val="Times New Roman"/>
      <family val="1"/>
    </font>
    <font>
      <b/>
      <sz val="14"/>
      <name val="Times New Roman"/>
      <family val="1"/>
    </font>
    <font>
      <sz val="10"/>
      <name val="Times New Roman"/>
      <family val="1"/>
    </font>
    <font>
      <b/>
      <sz val="12"/>
      <name val="Times New Roman"/>
      <family val="1"/>
    </font>
    <font>
      <sz val="14"/>
      <name val="Times New Roman"/>
      <family val="1"/>
    </font>
    <font>
      <b/>
      <sz val="9"/>
      <color theme="1"/>
      <name val="Times New Roman"/>
      <family val="1"/>
    </font>
    <font>
      <sz val="10"/>
      <color theme="2" tint="-0.749992370372631"/>
      <name val="Arial"/>
      <family val="2"/>
    </font>
    <font>
      <b/>
      <sz val="10"/>
      <color theme="2" tint="-0.749992370372631"/>
      <name val="Arial"/>
      <family val="2"/>
    </font>
    <font>
      <sz val="10"/>
      <color rgb="FF333333"/>
      <name val="Arial"/>
      <family val="2"/>
    </font>
    <font>
      <sz val="11"/>
      <color theme="2" tint="-0.749992370372631"/>
      <name val="Arial"/>
      <family val="2"/>
      <scheme val="minor"/>
    </font>
    <font>
      <sz val="10"/>
      <color theme="8" tint="-0.249977111117893"/>
      <name val="Arial"/>
      <family val="2"/>
    </font>
    <font>
      <sz val="11"/>
      <color theme="8" tint="-0.249977111117893"/>
      <name val="Arial"/>
      <family val="2"/>
      <scheme val="minor"/>
    </font>
    <font>
      <sz val="8"/>
      <color theme="0" tint="-0.499984740745262"/>
      <name val="Arial"/>
      <family val="2"/>
    </font>
    <font>
      <b/>
      <sz val="9"/>
      <color theme="0" tint="-0.499984740745262"/>
      <name val="Arial"/>
      <family val="2"/>
    </font>
    <font>
      <sz val="8"/>
      <color rgb="FFFF0000"/>
      <name val="Arial"/>
      <family val="2"/>
    </font>
    <font>
      <sz val="9"/>
      <color rgb="FFFF0000"/>
      <name val="Arial"/>
      <family val="2"/>
      <scheme val="minor"/>
    </font>
    <font>
      <b/>
      <sz val="18"/>
      <name val="Arial Black"/>
      <family val="2"/>
      <scheme val="major"/>
    </font>
    <font>
      <b/>
      <sz val="15"/>
      <color theme="3" tint="-0.249977111117893"/>
      <name val="Arial Black"/>
      <family val="2"/>
      <scheme val="major"/>
    </font>
  </fonts>
  <fills count="65">
    <fill>
      <patternFill patternType="none"/>
    </fill>
    <fill>
      <patternFill patternType="gray125"/>
    </fill>
    <fill>
      <patternFill patternType="solid">
        <fgColor theme="6" tint="0.7999816888943144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rgb="FFFADA63"/>
        <bgColor indexed="64"/>
      </patternFill>
    </fill>
    <fill>
      <patternFill patternType="solid">
        <fgColor theme="0" tint="-0.14996795556505021"/>
        <bgColor indexed="64"/>
      </patternFill>
    </fill>
    <fill>
      <patternFill patternType="solid">
        <fgColor indexed="9"/>
        <bgColor indexed="64"/>
      </patternFill>
    </fill>
    <fill>
      <patternFill patternType="solid">
        <fgColor theme="2" tint="-9.9978637043366805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2F2F2"/>
        <bgColor indexed="64"/>
      </patternFill>
    </fill>
    <fill>
      <patternFill patternType="solid">
        <fgColor rgb="FFFFFFFF"/>
        <bgColor indexed="64"/>
      </patternFill>
    </fill>
    <fill>
      <patternFill patternType="solid">
        <fgColor rgb="FFEAEAEA"/>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rgb="FF80808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FFFFCC"/>
        <bgColor indexed="64"/>
      </patternFill>
    </fill>
    <fill>
      <patternFill patternType="solid">
        <fgColor rgb="FFD9D9D9"/>
        <bgColor indexed="64"/>
      </patternFill>
    </fill>
    <fill>
      <patternFill patternType="solid">
        <fgColor rgb="FFFFFF99"/>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FBFBFB"/>
        <bgColor indexed="64"/>
      </patternFill>
    </fill>
    <fill>
      <patternFill patternType="gray0625"/>
    </fill>
    <fill>
      <patternFill patternType="solid">
        <fgColor rgb="FFFF0000"/>
        <bgColor indexed="64"/>
      </patternFill>
    </fill>
    <fill>
      <patternFill patternType="solid">
        <fgColor theme="1"/>
        <bgColor indexed="64"/>
      </patternFill>
    </fill>
  </fills>
  <borders count="348">
    <border>
      <left/>
      <right/>
      <top/>
      <bottom/>
      <diagonal/>
    </border>
    <border>
      <left style="thin">
        <color theme="0" tint="-0.499984740745262"/>
      </left>
      <right/>
      <top/>
      <bottom/>
      <diagonal/>
    </border>
    <border>
      <left/>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left>
      <right style="thin">
        <color theme="0"/>
      </right>
      <top style="thin">
        <color theme="0"/>
      </top>
      <bottom style="thin">
        <color theme="0"/>
      </bottom>
      <diagonal/>
    </border>
    <border>
      <left style="thin">
        <color theme="0" tint="-0.499984740745262"/>
      </left>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right style="thin">
        <color theme="0" tint="-0.499984740745262"/>
      </right>
      <top/>
      <bottom/>
      <diagonal/>
    </border>
    <border>
      <left/>
      <right style="thin">
        <color theme="0" tint="-0.499984740745262"/>
      </right>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499984740745262"/>
      </bottom>
      <diagonal/>
    </border>
    <border>
      <left/>
      <right style="thin">
        <color theme="0" tint="-0.24994659260841701"/>
      </right>
      <top style="thin">
        <color theme="0" tint="-0.499984740745262"/>
      </top>
      <bottom style="thin">
        <color theme="0" tint="-0.24994659260841701"/>
      </bottom>
      <diagonal/>
    </border>
    <border>
      <left/>
      <right style="thin">
        <color theme="0" tint="-0.24994659260841701"/>
      </right>
      <top style="thin">
        <color theme="0" tint="-0.24994659260841701"/>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499984740745262"/>
      </right>
      <top style="thin">
        <color theme="0" tint="-0.24994659260841701"/>
      </top>
      <bottom/>
      <diagonal/>
    </border>
    <border>
      <left style="thin">
        <color theme="0" tint="-0.499984740745262"/>
      </left>
      <right/>
      <top style="thin">
        <color theme="0" tint="-0.499984740745262"/>
      </top>
      <bottom style="thin">
        <color theme="0" tint="-0.24994659260841701"/>
      </bottom>
      <diagonal/>
    </border>
    <border>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style="thin">
        <color theme="0" tint="-0.24994659260841701"/>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499984740745262"/>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style="thin">
        <color theme="0" tint="-0.499984740745262"/>
      </left>
      <right style="thin">
        <color theme="0" tint="-0.24994659260841701"/>
      </right>
      <top style="thin">
        <color theme="0" tint="-0.499984740745262"/>
      </top>
      <bottom/>
      <diagonal/>
    </border>
    <border>
      <left/>
      <right style="thin">
        <color theme="0"/>
      </right>
      <top style="thin">
        <color theme="0"/>
      </top>
      <bottom style="thin">
        <color theme="0"/>
      </bottom>
      <diagonal/>
    </border>
    <border>
      <left/>
      <right/>
      <top style="hair">
        <color indexed="55"/>
      </top>
      <bottom style="hair">
        <color indexed="55"/>
      </bottom>
      <diagonal/>
    </border>
    <border>
      <left style="hair">
        <color indexed="55"/>
      </left>
      <right/>
      <top style="hair">
        <color indexed="55"/>
      </top>
      <bottom style="hair">
        <color indexed="55"/>
      </bottom>
      <diagonal/>
    </border>
    <border>
      <left style="thin">
        <color auto="1"/>
      </left>
      <right/>
      <top style="hair">
        <color indexed="55"/>
      </top>
      <bottom style="hair">
        <color indexed="55"/>
      </bottom>
      <diagonal/>
    </border>
    <border>
      <left style="thin">
        <color auto="1"/>
      </left>
      <right/>
      <top/>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style="double">
        <color theme="0" tint="-0.499984740745262"/>
      </left>
      <right style="thin">
        <color theme="0" tint="-0.499984740745262"/>
      </right>
      <top style="thin">
        <color theme="0" tint="-0.499984740745262"/>
      </top>
      <bottom style="thin">
        <color theme="0" tint="-0.499984740745262"/>
      </bottom>
      <diagonal/>
    </border>
    <border>
      <left style="double">
        <color theme="0" tint="-0.499984740745262"/>
      </left>
      <right/>
      <top style="thin">
        <color theme="0" tint="-0.499984740745262"/>
      </top>
      <bottom style="thin">
        <color theme="0" tint="-0.499984740745262"/>
      </bottom>
      <diagonal/>
    </border>
    <border>
      <left/>
      <right style="double">
        <color theme="0" tint="-0.499984740745262"/>
      </right>
      <top/>
      <bottom style="thin">
        <color theme="0" tint="-0.499984740745262"/>
      </bottom>
      <diagonal/>
    </border>
    <border>
      <left style="double">
        <color theme="0" tint="-0.499984740745262"/>
      </left>
      <right/>
      <top/>
      <bottom style="thin">
        <color theme="0" tint="-0.499984740745262"/>
      </bottom>
      <diagonal/>
    </border>
    <border>
      <left/>
      <right style="double">
        <color theme="0" tint="-0.499984740745262"/>
      </right>
      <top/>
      <bottom/>
      <diagonal/>
    </border>
    <border>
      <left style="double">
        <color theme="0" tint="-0.499984740745262"/>
      </left>
      <right/>
      <top style="thin">
        <color theme="0" tint="-0.499984740745262"/>
      </top>
      <bottom/>
      <diagonal/>
    </border>
    <border>
      <left/>
      <right style="double">
        <color theme="0" tint="-0.499984740745262"/>
      </right>
      <top style="thin">
        <color theme="0" tint="-0.499984740745262"/>
      </top>
      <bottom/>
      <diagonal/>
    </border>
    <border>
      <left style="double">
        <color theme="0" tint="-0.499984740745262"/>
      </left>
      <right style="thin">
        <color theme="0" tint="-0.499984740745262"/>
      </right>
      <top style="thin">
        <color theme="0" tint="-0.499984740745262"/>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499984740745262"/>
      </right>
      <top style="thin">
        <color theme="0" tint="-0.499984740745262"/>
      </top>
      <bottom/>
      <diagonal/>
    </border>
    <border>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diagonal/>
    </border>
    <border>
      <left/>
      <right/>
      <top style="thin">
        <color theme="0" tint="-0.24994659260841701"/>
      </top>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24994659260841701"/>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right/>
      <top style="thin">
        <color theme="0" tint="-0.34998626667073579"/>
      </top>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24994659260841701"/>
      </left>
      <right/>
      <top style="thin">
        <color theme="0" tint="-0.499984740745262"/>
      </top>
      <bottom style="thin">
        <color theme="0" tint="-0.499984740745262"/>
      </bottom>
      <diagonal/>
    </border>
    <border>
      <left style="thin">
        <color theme="0" tint="-0.24994659260841701"/>
      </left>
      <right style="thin">
        <color theme="0" tint="-0.24994659260841701"/>
      </right>
      <top/>
      <bottom/>
      <diagonal/>
    </border>
    <border>
      <left style="thin">
        <color theme="0" tint="-0.34998626667073579"/>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499984740745262"/>
      </right>
      <top style="thin">
        <color theme="0" tint="-0.499984740745262"/>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34998626667073579"/>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top style="thin">
        <color theme="0" tint="-0.34998626667073579"/>
      </top>
      <bottom style="thin">
        <color theme="0" tint="-0.499984740745262"/>
      </bottom>
      <diagonal/>
    </border>
    <border>
      <left/>
      <right/>
      <top style="thin">
        <color theme="0" tint="-0.34998626667073579"/>
      </top>
      <bottom style="thin">
        <color theme="0" tint="-0.499984740745262"/>
      </bottom>
      <diagonal/>
    </border>
    <border>
      <left style="thin">
        <color theme="0" tint="-0.24994659260841701"/>
      </left>
      <right style="thin">
        <color theme="0" tint="-0.34998626667073579"/>
      </right>
      <top style="thin">
        <color theme="0" tint="-0.34998626667073579"/>
      </top>
      <bottom style="thin">
        <color theme="0" tint="-0.34998626667073579"/>
      </bottom>
      <diagonal/>
    </border>
    <border>
      <left/>
      <right/>
      <top style="thin">
        <color theme="0" tint="-0.499984740745262"/>
      </top>
      <bottom style="thin">
        <color theme="0" tint="-0.34998626667073579"/>
      </bottom>
      <diagonal/>
    </border>
    <border>
      <left style="thin">
        <color theme="0" tint="-0.34998626667073579"/>
      </left>
      <right/>
      <top style="thin">
        <color theme="0" tint="-0.34998626667073579"/>
      </top>
      <bottom style="thin">
        <color theme="0" tint="-0.499984740745262"/>
      </bottom>
      <diagonal/>
    </border>
    <border>
      <left/>
      <right style="thin">
        <color theme="0" tint="-0.34998626667073579"/>
      </right>
      <top style="thin">
        <color theme="0" tint="-0.34998626667073579"/>
      </top>
      <bottom style="thin">
        <color theme="0" tint="-0.499984740745262"/>
      </bottom>
      <diagonal/>
    </border>
    <border>
      <left style="thin">
        <color theme="0" tint="-0.34998626667073579"/>
      </left>
      <right/>
      <top style="thin">
        <color theme="0" tint="-0.499984740745262"/>
      </top>
      <bottom style="thin">
        <color theme="0" tint="-0.34998626667073579"/>
      </bottom>
      <diagonal/>
    </border>
    <border>
      <left/>
      <right style="thin">
        <color theme="0" tint="-0.499984740745262"/>
      </right>
      <top style="thin">
        <color theme="0" tint="-0.499984740745262"/>
      </top>
      <bottom style="thin">
        <color theme="0" tint="-0.34998626667073579"/>
      </bottom>
      <diagonal/>
    </border>
    <border>
      <left/>
      <right style="thin">
        <color theme="0" tint="-0.34998626667073579"/>
      </right>
      <top style="thin">
        <color theme="0" tint="-0.499984740745262"/>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diagonal/>
    </border>
    <border>
      <left/>
      <right/>
      <top style="thin">
        <color rgb="FF808080"/>
      </top>
      <bottom/>
      <diagonal/>
    </border>
    <border>
      <left/>
      <right style="thin">
        <color rgb="FF808080"/>
      </right>
      <top style="thin">
        <color rgb="FF808080"/>
      </top>
      <bottom/>
      <diagonal/>
    </border>
    <border>
      <left style="thin">
        <color rgb="FF808080"/>
      </left>
      <right/>
      <top/>
      <bottom style="thin">
        <color rgb="FF808080"/>
      </bottom>
      <diagonal/>
    </border>
    <border>
      <left/>
      <right/>
      <top/>
      <bottom style="thin">
        <color rgb="FF808080"/>
      </bottom>
      <diagonal/>
    </border>
    <border>
      <left/>
      <right style="thin">
        <color rgb="FF808080"/>
      </right>
      <top/>
      <bottom style="thin">
        <color rgb="FF808080"/>
      </bottom>
      <diagonal/>
    </border>
    <border>
      <left style="thin">
        <color rgb="FF808080"/>
      </left>
      <right style="thin">
        <color rgb="FF808080"/>
      </right>
      <top style="thin">
        <color rgb="FF808080"/>
      </top>
      <bottom/>
      <diagonal/>
    </border>
    <border>
      <left style="thin">
        <color rgb="FF808080"/>
      </left>
      <right style="thin">
        <color rgb="FF808080"/>
      </right>
      <top/>
      <bottom style="thin">
        <color rgb="FF808080"/>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right style="medium">
        <color indexed="64"/>
      </right>
      <top/>
      <bottom/>
      <diagonal/>
    </border>
    <border>
      <left style="thin">
        <color theme="0" tint="-0.24994659260841701"/>
      </left>
      <right/>
      <top style="thin">
        <color theme="0" tint="-0.24994659260841701"/>
      </top>
      <bottom style="thin">
        <color rgb="FF808080"/>
      </bottom>
      <diagonal/>
    </border>
    <border>
      <left/>
      <right style="thin">
        <color theme="0" tint="-0.24994659260841701"/>
      </right>
      <top style="thin">
        <color theme="0" tint="-0.24994659260841701"/>
      </top>
      <bottom style="thin">
        <color rgb="FF808080"/>
      </bottom>
      <diagonal/>
    </border>
    <border>
      <left/>
      <right style="thin">
        <color rgb="FF808080"/>
      </right>
      <top style="thin">
        <color theme="0" tint="-0.24994659260841701"/>
      </top>
      <bottom style="thin">
        <color rgb="FF808080"/>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thin">
        <color auto="1"/>
      </right>
      <top style="medium">
        <color indexed="64"/>
      </top>
      <bottom style="thin">
        <color auto="1"/>
      </bottom>
      <diagonal/>
    </border>
    <border>
      <left style="medium">
        <color indexed="64"/>
      </left>
      <right style="thin">
        <color indexed="64"/>
      </right>
      <top style="medium">
        <color indexed="64"/>
      </top>
      <bottom/>
      <diagonal/>
    </border>
    <border>
      <left style="thin">
        <color auto="1"/>
      </left>
      <right style="thin">
        <color auto="1"/>
      </right>
      <top style="medium">
        <color indexed="64"/>
      </top>
      <bottom/>
      <diagonal/>
    </border>
    <border>
      <left style="thin">
        <color indexed="64"/>
      </left>
      <right style="medium">
        <color indexed="64"/>
      </right>
      <top style="medium">
        <color indexed="64"/>
      </top>
      <bottom/>
      <diagonal/>
    </border>
    <border>
      <left style="thin">
        <color theme="0"/>
      </left>
      <right/>
      <top/>
      <bottom/>
      <diagonal/>
    </border>
    <border>
      <left/>
      <right style="thin">
        <color theme="0"/>
      </right>
      <top style="thin">
        <color theme="0"/>
      </top>
      <bottom/>
      <diagonal/>
    </border>
    <border>
      <left/>
      <right/>
      <top/>
      <bottom style="thin">
        <color theme="0"/>
      </bottom>
      <diagonal/>
    </border>
    <border>
      <left style="thin">
        <color rgb="FF00B050"/>
      </left>
      <right style="thin">
        <color rgb="FF00B050"/>
      </right>
      <top style="thin">
        <color rgb="FF00B050"/>
      </top>
      <bottom style="thin">
        <color rgb="FF00B050"/>
      </bottom>
      <diagonal/>
    </border>
    <border>
      <left style="medium">
        <color indexed="64"/>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diagonal/>
    </border>
    <border>
      <left style="thin">
        <color theme="0" tint="-0.499984740745262"/>
      </left>
      <right style="medium">
        <color indexed="64"/>
      </right>
      <top/>
      <bottom style="thin">
        <color theme="0" tint="-0.499984740745262"/>
      </bottom>
      <diagonal/>
    </border>
    <border>
      <left style="medium">
        <color indexed="64"/>
      </left>
      <right/>
      <top style="thin">
        <color theme="0" tint="-0.499984740745262"/>
      </top>
      <bottom style="thin">
        <color theme="0" tint="-0.499984740745262"/>
      </bottom>
      <diagonal/>
    </border>
    <border>
      <left style="medium">
        <color indexed="64"/>
      </left>
      <right/>
      <top style="thin">
        <color theme="0" tint="-0.499984740745262"/>
      </top>
      <bottom/>
      <diagonal/>
    </border>
    <border>
      <left style="medium">
        <color indexed="64"/>
      </left>
      <right/>
      <top/>
      <bottom style="thin">
        <color theme="0" tint="-0.499984740745262"/>
      </bottom>
      <diagonal/>
    </border>
    <border>
      <left style="thin">
        <color rgb="FFFF0000"/>
      </left>
      <right style="thin">
        <color rgb="FFFF0000"/>
      </right>
      <top style="thin">
        <color rgb="FFFF0000"/>
      </top>
      <bottom style="thin">
        <color rgb="FFFF0000"/>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style="medium">
        <color indexed="64"/>
      </bottom>
      <diagonal/>
    </border>
    <border>
      <left style="medium">
        <color indexed="64"/>
      </left>
      <right style="medium">
        <color indexed="64"/>
      </right>
      <top/>
      <bottom style="medium">
        <color rgb="FF000000"/>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rgb="FF000000"/>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rgb="FF000000"/>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top style="medium">
        <color rgb="FFFF0000"/>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thin">
        <color theme="0" tint="-0.499984740745262"/>
      </top>
      <bottom style="medium">
        <color rgb="FFFF0000"/>
      </bottom>
      <diagonal/>
    </border>
    <border>
      <left style="medium">
        <color rgb="FFFF0000"/>
      </left>
      <right style="medium">
        <color rgb="FFFF0000"/>
      </right>
      <top/>
      <bottom style="medium">
        <color rgb="FFFF0000"/>
      </bottom>
      <diagonal/>
    </border>
    <border>
      <left style="medium">
        <color rgb="FFFF0000"/>
      </left>
      <right style="medium">
        <color rgb="FFFF0000"/>
      </right>
      <top style="medium">
        <color rgb="FFFF0000"/>
      </top>
      <bottom style="thin">
        <color theme="0" tint="-0.499984740745262"/>
      </bottom>
      <diagonal/>
    </border>
    <border>
      <left style="medium">
        <color rgb="FFFF0000"/>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style="medium">
        <color rgb="FFFF0000"/>
      </right>
      <top/>
      <bottom style="medium">
        <color rgb="FFFF0000"/>
      </bottom>
      <diagonal/>
    </border>
    <border>
      <left style="medium">
        <color rgb="FFFF0000"/>
      </left>
      <right style="medium">
        <color rgb="FFFF0000"/>
      </right>
      <top style="thin">
        <color theme="0" tint="-0.499984740745262"/>
      </top>
      <bottom style="thin">
        <color theme="0" tint="-0.499984740745262"/>
      </bottom>
      <diagonal/>
    </border>
    <border>
      <left style="medium">
        <color rgb="FFFF0000"/>
      </left>
      <right style="thin">
        <color theme="0" tint="-0.499984740745262"/>
      </right>
      <top style="medium">
        <color rgb="FFFF0000"/>
      </top>
      <bottom style="medium">
        <color rgb="FFFF0000"/>
      </bottom>
      <diagonal/>
    </border>
    <border>
      <left style="thin">
        <color theme="0" tint="-0.499984740745262"/>
      </left>
      <right style="thin">
        <color theme="0" tint="-0.499984740745262"/>
      </right>
      <top style="medium">
        <color rgb="FFFF0000"/>
      </top>
      <bottom style="medium">
        <color rgb="FFFF0000"/>
      </bottom>
      <diagonal/>
    </border>
    <border>
      <left style="thin">
        <color theme="0" tint="-0.499984740745262"/>
      </left>
      <right style="medium">
        <color rgb="FFFF0000"/>
      </right>
      <top style="medium">
        <color rgb="FFFF0000"/>
      </top>
      <bottom style="medium">
        <color rgb="FFFF0000"/>
      </bottom>
      <diagonal/>
    </border>
    <border>
      <left style="medium">
        <color rgb="FFFF0000"/>
      </left>
      <right style="thin">
        <color theme="0" tint="-0.499984740745262"/>
      </right>
      <top style="medium">
        <color rgb="FFFF0000"/>
      </top>
      <bottom style="thin">
        <color theme="0" tint="-0.499984740745262"/>
      </bottom>
      <diagonal/>
    </border>
    <border>
      <left style="thin">
        <color theme="0" tint="-0.499984740745262"/>
      </left>
      <right style="thin">
        <color theme="0" tint="-0.499984740745262"/>
      </right>
      <top style="medium">
        <color rgb="FFFF0000"/>
      </top>
      <bottom style="thin">
        <color theme="0" tint="-0.499984740745262"/>
      </bottom>
      <diagonal/>
    </border>
    <border>
      <left style="thin">
        <color theme="0" tint="-0.499984740745262"/>
      </left>
      <right style="medium">
        <color rgb="FFFF0000"/>
      </right>
      <top style="medium">
        <color rgb="FFFF0000"/>
      </top>
      <bottom style="thin">
        <color theme="0" tint="-0.499984740745262"/>
      </bottom>
      <diagonal/>
    </border>
    <border>
      <left style="medium">
        <color rgb="FFFF0000"/>
      </left>
      <right style="thin">
        <color theme="0" tint="-0.499984740745262"/>
      </right>
      <top style="thin">
        <color theme="0" tint="-0.499984740745262"/>
      </top>
      <bottom style="medium">
        <color rgb="FFFF0000"/>
      </bottom>
      <diagonal/>
    </border>
    <border>
      <left style="thin">
        <color theme="0" tint="-0.499984740745262"/>
      </left>
      <right style="thin">
        <color theme="0" tint="-0.499984740745262"/>
      </right>
      <top style="thin">
        <color theme="0" tint="-0.499984740745262"/>
      </top>
      <bottom style="medium">
        <color rgb="FFFF0000"/>
      </bottom>
      <diagonal/>
    </border>
    <border>
      <left style="thin">
        <color theme="0" tint="-0.499984740745262"/>
      </left>
      <right style="medium">
        <color rgb="FFFF0000"/>
      </right>
      <top style="thin">
        <color theme="0" tint="-0.499984740745262"/>
      </top>
      <bottom style="medium">
        <color rgb="FFFF0000"/>
      </bottom>
      <diagonal/>
    </border>
    <border>
      <left/>
      <right/>
      <top style="medium">
        <color rgb="FFFF0000"/>
      </top>
      <bottom/>
      <diagonal/>
    </border>
    <border>
      <left/>
      <right/>
      <top/>
      <bottom style="medium">
        <color rgb="FFFF0000"/>
      </bottom>
      <diagonal/>
    </border>
    <border>
      <left style="thin">
        <color theme="1"/>
      </left>
      <right style="thin">
        <color theme="1"/>
      </right>
      <top style="thin">
        <color theme="1"/>
      </top>
      <bottom style="thin">
        <color theme="1"/>
      </bottom>
      <diagonal/>
    </border>
    <border>
      <left style="thin">
        <color theme="0" tint="-0.499984740745262"/>
      </left>
      <right style="medium">
        <color rgb="FFFF0000"/>
      </right>
      <top/>
      <bottom style="thin">
        <color theme="0" tint="-0.499984740745262"/>
      </bottom>
      <diagonal/>
    </border>
    <border>
      <left style="medium">
        <color rgb="FFFF0000"/>
      </left>
      <right style="thin">
        <color theme="0" tint="-0.499984740745262"/>
      </right>
      <top style="thin">
        <color theme="0" tint="-0.499984740745262"/>
      </top>
      <bottom style="thin">
        <color theme="0" tint="-0.499984740745262"/>
      </bottom>
      <diagonal/>
    </border>
    <border>
      <left style="thin">
        <color theme="0" tint="-0.499984740745262"/>
      </left>
      <right style="medium">
        <color rgb="FFFF0000"/>
      </right>
      <top style="thin">
        <color theme="0" tint="-0.499984740745262"/>
      </top>
      <bottom style="thin">
        <color theme="0" tint="-0.499984740745262"/>
      </bottom>
      <diagonal/>
    </border>
    <border>
      <left style="medium">
        <color rgb="FFFF0000"/>
      </left>
      <right style="medium">
        <color rgb="FFFF0000"/>
      </right>
      <top/>
      <bottom/>
      <diagonal/>
    </border>
    <border>
      <left style="medium">
        <color rgb="FFFF0000"/>
      </left>
      <right/>
      <top/>
      <bottom/>
      <diagonal/>
    </border>
    <border>
      <left/>
      <right style="medium">
        <color rgb="FFFF0000"/>
      </right>
      <top/>
      <bottom/>
      <diagonal/>
    </border>
    <border>
      <left style="medium">
        <color rgb="FFFF0000"/>
      </left>
      <right style="medium">
        <color rgb="FFFF0000"/>
      </right>
      <top style="medium">
        <color rgb="FFFF0000"/>
      </top>
      <bottom style="thin">
        <color auto="1"/>
      </bottom>
      <diagonal/>
    </border>
    <border>
      <left style="medium">
        <color rgb="FFFF0000"/>
      </left>
      <right style="medium">
        <color rgb="FFFF0000"/>
      </right>
      <top style="thin">
        <color auto="1"/>
      </top>
      <bottom style="thin">
        <color auto="1"/>
      </bottom>
      <diagonal/>
    </border>
    <border>
      <left style="medium">
        <color rgb="FFFF0000"/>
      </left>
      <right style="medium">
        <color rgb="FFFF0000"/>
      </right>
      <top style="thin">
        <color auto="1"/>
      </top>
      <bottom style="medium">
        <color rgb="FFFF0000"/>
      </bottom>
      <diagonal/>
    </border>
    <border>
      <left style="thin">
        <color theme="0" tint="-0.34998626667073579"/>
      </left>
      <right style="thin">
        <color theme="0" tint="-0.499984740745262"/>
      </right>
      <top style="medium">
        <color rgb="FFFF0000"/>
      </top>
      <bottom style="thin">
        <color theme="0" tint="-0.34998626667073579"/>
      </bottom>
      <diagonal/>
    </border>
    <border>
      <left style="medium">
        <color rgb="FFFF0000"/>
      </left>
      <right style="thin">
        <color theme="0" tint="-0.499984740745262"/>
      </right>
      <top style="thin">
        <color theme="0" tint="-0.34998626667073579"/>
      </top>
      <bottom style="thin">
        <color theme="0" tint="-0.34998626667073579"/>
      </bottom>
      <diagonal/>
    </border>
    <border>
      <left style="thin">
        <color theme="0" tint="-0.34998626667073579"/>
      </left>
      <right style="medium">
        <color rgb="FFFF0000"/>
      </right>
      <top style="thin">
        <color theme="0" tint="-0.34998626667073579"/>
      </top>
      <bottom style="thin">
        <color theme="0" tint="-0.34998626667073579"/>
      </bottom>
      <diagonal/>
    </border>
    <border>
      <left style="medium">
        <color rgb="FFFF0000"/>
      </left>
      <right style="thin">
        <color theme="0" tint="-0.499984740745262"/>
      </right>
      <top style="thin">
        <color theme="0" tint="-0.34998626667073579"/>
      </top>
      <bottom style="medium">
        <color rgb="FFFF0000"/>
      </bottom>
      <diagonal/>
    </border>
    <border>
      <left style="thin">
        <color theme="0" tint="-0.34998626667073579"/>
      </left>
      <right style="thin">
        <color theme="0" tint="-0.499984740745262"/>
      </right>
      <top style="thin">
        <color theme="0" tint="-0.34998626667073579"/>
      </top>
      <bottom style="medium">
        <color rgb="FFFF0000"/>
      </bottom>
      <diagonal/>
    </border>
    <border>
      <left style="thin">
        <color theme="0" tint="-0.34998626667073579"/>
      </left>
      <right style="medium">
        <color rgb="FFFF0000"/>
      </right>
      <top style="thin">
        <color theme="0" tint="-0.34998626667073579"/>
      </top>
      <bottom style="medium">
        <color rgb="FFFF0000"/>
      </bottom>
      <diagonal/>
    </border>
    <border>
      <left style="medium">
        <color rgb="FFFF0000"/>
      </left>
      <right style="thin">
        <color theme="0" tint="-0.499984740745262"/>
      </right>
      <top style="thin">
        <color theme="0" tint="-0.499984740745262"/>
      </top>
      <bottom/>
      <diagonal/>
    </border>
    <border>
      <left style="medium">
        <color rgb="FFFF0000"/>
      </left>
      <right style="thin">
        <color auto="1"/>
      </right>
      <top style="medium">
        <color rgb="FFFF0000"/>
      </top>
      <bottom style="thin">
        <color auto="1"/>
      </bottom>
      <diagonal/>
    </border>
    <border>
      <left style="thin">
        <color auto="1"/>
      </left>
      <right style="thin">
        <color auto="1"/>
      </right>
      <top style="medium">
        <color rgb="FFFF0000"/>
      </top>
      <bottom style="thin">
        <color auto="1"/>
      </bottom>
      <diagonal/>
    </border>
    <border>
      <left style="thin">
        <color auto="1"/>
      </left>
      <right style="medium">
        <color rgb="FFFF0000"/>
      </right>
      <top style="medium">
        <color rgb="FFFF0000"/>
      </top>
      <bottom style="thin">
        <color auto="1"/>
      </bottom>
      <diagonal/>
    </border>
    <border>
      <left style="medium">
        <color rgb="FFFF0000"/>
      </left>
      <right style="thin">
        <color auto="1"/>
      </right>
      <top style="thin">
        <color auto="1"/>
      </top>
      <bottom style="thin">
        <color auto="1"/>
      </bottom>
      <diagonal/>
    </border>
    <border>
      <left style="thin">
        <color auto="1"/>
      </left>
      <right style="medium">
        <color rgb="FFFF0000"/>
      </right>
      <top style="thin">
        <color auto="1"/>
      </top>
      <bottom style="thin">
        <color auto="1"/>
      </bottom>
      <diagonal/>
    </border>
    <border>
      <left style="medium">
        <color rgb="FFFF0000"/>
      </left>
      <right style="thin">
        <color auto="1"/>
      </right>
      <top style="thin">
        <color auto="1"/>
      </top>
      <bottom style="medium">
        <color rgb="FFFF0000"/>
      </bottom>
      <diagonal/>
    </border>
    <border>
      <left style="medium">
        <color rgb="FFFF0000"/>
      </left>
      <right style="thin">
        <color theme="0" tint="-0.24994659260841701"/>
      </right>
      <top style="medium">
        <color rgb="FFFF0000"/>
      </top>
      <bottom style="thin">
        <color theme="0" tint="-0.24994659260841701"/>
      </bottom>
      <diagonal/>
    </border>
    <border>
      <left style="medium">
        <color rgb="FFFF0000"/>
      </left>
      <right style="thin">
        <color theme="0" tint="-0.24994659260841701"/>
      </right>
      <top style="thin">
        <color theme="0" tint="-0.24994659260841701"/>
      </top>
      <bottom style="thin">
        <color theme="0" tint="-0.24994659260841701"/>
      </bottom>
      <diagonal/>
    </border>
    <border>
      <left style="medium">
        <color indexed="64"/>
      </left>
      <right style="medium">
        <color indexed="64"/>
      </right>
      <top style="medium">
        <color indexed="64"/>
      </top>
      <bottom style="thin">
        <color theme="0" tint="-0.24994659260841701"/>
      </bottom>
      <diagonal/>
    </border>
    <border>
      <left style="medium">
        <color indexed="64"/>
      </left>
      <right style="medium">
        <color indexed="64"/>
      </right>
      <top style="thin">
        <color theme="0" tint="-0.24994659260841701"/>
      </top>
      <bottom style="thin">
        <color theme="0" tint="-0.24994659260841701"/>
      </bottom>
      <diagonal/>
    </border>
    <border>
      <left style="medium">
        <color indexed="64"/>
      </left>
      <right style="medium">
        <color indexed="64"/>
      </right>
      <top style="thin">
        <color theme="0" tint="-0.24994659260841701"/>
      </top>
      <bottom style="medium">
        <color indexed="64"/>
      </bottom>
      <diagonal/>
    </border>
    <border>
      <left style="medium">
        <color rgb="FFFF0000"/>
      </left>
      <right/>
      <top style="medium">
        <color rgb="FFFF0000"/>
      </top>
      <bottom style="thin">
        <color auto="1"/>
      </bottom>
      <diagonal/>
    </border>
    <border>
      <left/>
      <right style="medium">
        <color rgb="FFFF0000"/>
      </right>
      <top style="medium">
        <color rgb="FFFF0000"/>
      </top>
      <bottom style="thin">
        <color auto="1"/>
      </bottom>
      <diagonal/>
    </border>
    <border>
      <left style="thin">
        <color auto="1"/>
      </left>
      <right style="medium">
        <color rgb="FFFF0000"/>
      </right>
      <top style="thin">
        <color auto="1"/>
      </top>
      <bottom style="medium">
        <color rgb="FFFF0000"/>
      </bottom>
      <diagonal/>
    </border>
    <border>
      <left style="medium">
        <color rgb="FFFF0000"/>
      </left>
      <right style="thin">
        <color auto="1"/>
      </right>
      <top style="medium">
        <color rgb="FFFF0000"/>
      </top>
      <bottom style="medium">
        <color rgb="FFFF0000"/>
      </bottom>
      <diagonal/>
    </border>
    <border>
      <left style="thin">
        <color auto="1"/>
      </left>
      <right style="medium">
        <color rgb="FFFF0000"/>
      </right>
      <top style="medium">
        <color rgb="FFFF0000"/>
      </top>
      <bottom style="medium">
        <color rgb="FFFF0000"/>
      </bottom>
      <diagonal/>
    </border>
    <border>
      <left style="medium">
        <color rgb="FFFF0000"/>
      </left>
      <right style="thin">
        <color theme="0" tint="-0.24994659260841701"/>
      </right>
      <top style="thin">
        <color theme="0" tint="-0.24994659260841701"/>
      </top>
      <bottom style="medium">
        <color rgb="FFFF0000"/>
      </bottom>
      <diagonal/>
    </border>
    <border>
      <left style="thin">
        <color theme="0" tint="-0.499984740745262"/>
      </left>
      <right style="medium">
        <color rgb="FFFF0000"/>
      </right>
      <top style="thin">
        <color theme="0" tint="-0.499984740745262"/>
      </top>
      <bottom/>
      <diagonal/>
    </border>
    <border>
      <left/>
      <right/>
      <top/>
      <bottom style="medium">
        <color indexed="64"/>
      </bottom>
      <diagonal/>
    </border>
    <border>
      <left style="medium">
        <color rgb="FFFF0000"/>
      </left>
      <right style="thin">
        <color theme="1"/>
      </right>
      <top style="medium">
        <color rgb="FFFF0000"/>
      </top>
      <bottom style="thin">
        <color theme="1"/>
      </bottom>
      <diagonal/>
    </border>
    <border>
      <left style="thin">
        <color theme="1"/>
      </left>
      <right style="medium">
        <color rgb="FFFF0000"/>
      </right>
      <top style="medium">
        <color rgb="FFFF0000"/>
      </top>
      <bottom style="thin">
        <color theme="1"/>
      </bottom>
      <diagonal/>
    </border>
    <border>
      <left style="medium">
        <color rgb="FFFF0000"/>
      </left>
      <right style="thin">
        <color theme="1"/>
      </right>
      <top style="thin">
        <color theme="1"/>
      </top>
      <bottom style="thin">
        <color theme="1"/>
      </bottom>
      <diagonal/>
    </border>
    <border>
      <left style="thin">
        <color theme="1"/>
      </left>
      <right style="medium">
        <color rgb="FFFF0000"/>
      </right>
      <top style="thin">
        <color theme="1"/>
      </top>
      <bottom style="thin">
        <color theme="1"/>
      </bottom>
      <diagonal/>
    </border>
    <border>
      <left style="thin">
        <color indexed="64"/>
      </left>
      <right style="medium">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theme="0" tint="-0.499984740745262"/>
      </bottom>
      <diagonal/>
    </border>
    <border>
      <left style="thin">
        <color indexed="64"/>
      </left>
      <right style="medium">
        <color auto="1"/>
      </right>
      <top style="thin">
        <color indexed="64"/>
      </top>
      <bottom/>
      <diagonal/>
    </border>
    <border>
      <left style="medium">
        <color indexed="64"/>
      </left>
      <right style="medium">
        <color indexed="64"/>
      </right>
      <top/>
      <bottom style="thin">
        <color indexed="64"/>
      </bottom>
      <diagonal/>
    </border>
    <border>
      <left style="thin">
        <color indexed="64"/>
      </left>
      <right style="medium">
        <color theme="0" tint="-0.499984740745262"/>
      </right>
      <top style="thin">
        <color indexed="64"/>
      </top>
      <bottom style="thin">
        <color indexed="64"/>
      </bottom>
      <diagonal/>
    </border>
    <border>
      <left style="thin">
        <color indexed="64"/>
      </left>
      <right style="medium">
        <color auto="1"/>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auto="1"/>
      </left>
      <right style="medium">
        <color auto="1"/>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double">
        <color indexed="64"/>
      </top>
      <bottom style="thin">
        <color indexed="64"/>
      </bottom>
      <diagonal/>
    </border>
    <border>
      <left/>
      <right style="thin">
        <color indexed="64"/>
      </right>
      <top style="double">
        <color indexed="64"/>
      </top>
      <bottom style="medium">
        <color indexed="64"/>
      </bottom>
      <diagonal/>
    </border>
    <border>
      <left style="medium">
        <color theme="0" tint="-0.499984740745262"/>
      </left>
      <right/>
      <top style="double">
        <color indexed="64"/>
      </top>
      <bottom style="medium">
        <color indexed="64"/>
      </bottom>
      <diagonal/>
    </border>
    <border>
      <left style="thin">
        <color indexed="64"/>
      </left>
      <right style="medium">
        <color theme="0" tint="-0.499984740745262"/>
      </right>
      <top style="double">
        <color indexed="64"/>
      </top>
      <bottom style="medium">
        <color indexed="64"/>
      </bottom>
      <diagonal/>
    </border>
    <border>
      <left style="medium">
        <color theme="0" tint="-0.499984740745262"/>
      </left>
      <right style="medium">
        <color theme="0" tint="-0.499984740745262"/>
      </right>
      <top style="double">
        <color indexed="64"/>
      </top>
      <bottom style="medium">
        <color indexed="64"/>
      </bottom>
      <diagonal/>
    </border>
    <border>
      <left style="medium">
        <color theme="0" tint="-0.499984740745262"/>
      </left>
      <right/>
      <top/>
      <bottom style="medium">
        <color indexed="64"/>
      </bottom>
      <diagonal/>
    </border>
    <border>
      <left/>
      <right/>
      <top style="thin">
        <color indexed="64"/>
      </top>
      <bottom style="medium">
        <color indexed="64"/>
      </bottom>
      <diagonal/>
    </border>
    <border>
      <left style="medium">
        <color indexed="64"/>
      </left>
      <right style="medium">
        <color indexed="64"/>
      </right>
      <top style="hair">
        <color auto="1"/>
      </top>
      <bottom style="medium">
        <color indexed="64"/>
      </bottom>
      <diagonal/>
    </border>
    <border>
      <left style="medium">
        <color indexed="64"/>
      </left>
      <right/>
      <top style="thin">
        <color indexed="64"/>
      </top>
      <bottom style="medium">
        <color indexed="64"/>
      </bottom>
      <diagonal/>
    </border>
    <border>
      <left style="medium">
        <color theme="0" tint="-0.499984740745262"/>
      </left>
      <right/>
      <top/>
      <bottom/>
      <diagonal/>
    </border>
    <border>
      <left style="medium">
        <color indexed="64"/>
      </left>
      <right style="medium">
        <color indexed="64"/>
      </right>
      <top style="hair">
        <color auto="1"/>
      </top>
      <bottom style="hair">
        <color indexed="64"/>
      </bottom>
      <diagonal/>
    </border>
    <border>
      <left/>
      <right style="medium">
        <color indexed="64"/>
      </right>
      <top style="thin">
        <color theme="0" tint="-0.499984740745262"/>
      </top>
      <bottom/>
      <diagonal/>
    </border>
    <border>
      <left/>
      <right style="thin">
        <color indexed="64"/>
      </right>
      <top style="thin">
        <color indexed="64"/>
      </top>
      <bottom style="hair">
        <color theme="0" tint="-0.499984740745262"/>
      </bottom>
      <diagonal/>
    </border>
    <border>
      <left style="medium">
        <color theme="0" tint="-0.499984740745262"/>
      </left>
      <right/>
      <top style="thin">
        <color indexed="64"/>
      </top>
      <bottom style="hair">
        <color theme="0" tint="-0.499984740745262"/>
      </bottom>
      <diagonal/>
    </border>
    <border>
      <left style="thin">
        <color indexed="64"/>
      </left>
      <right style="medium">
        <color theme="0" tint="-0.499984740745262"/>
      </right>
      <top style="thin">
        <color indexed="64"/>
      </top>
      <bottom/>
      <diagonal/>
    </border>
    <border>
      <left/>
      <right/>
      <top style="thin">
        <color indexed="64"/>
      </top>
      <bottom style="hair">
        <color theme="0" tint="-0.499984740745262"/>
      </bottom>
      <diagonal/>
    </border>
    <border>
      <left style="medium">
        <color theme="0" tint="-0.499984740745262"/>
      </left>
      <right style="thin">
        <color indexed="64"/>
      </right>
      <top style="thin">
        <color indexed="64"/>
      </top>
      <bottom style="thin">
        <color indexed="64"/>
      </bottom>
      <diagonal/>
    </border>
    <border>
      <left style="medium">
        <color theme="0" tint="-0.499984740745262"/>
      </left>
      <right style="medium">
        <color theme="0" tint="-0.499984740745262"/>
      </right>
      <top style="thin">
        <color indexed="64"/>
      </top>
      <bottom style="thin">
        <color indexed="64"/>
      </bottom>
      <diagonal/>
    </border>
    <border>
      <left/>
      <right style="thin">
        <color indexed="64"/>
      </right>
      <top style="medium">
        <color indexed="64"/>
      </top>
      <bottom style="double">
        <color indexed="64"/>
      </bottom>
      <diagonal/>
    </border>
    <border>
      <left style="thin">
        <color indexed="64"/>
      </left>
      <right style="medium">
        <color theme="0" tint="-0.499984740745262"/>
      </right>
      <top style="medium">
        <color indexed="64"/>
      </top>
      <bottom style="double">
        <color indexed="64"/>
      </bottom>
      <diagonal/>
    </border>
    <border>
      <left style="medium">
        <color theme="0" tint="-0.499984740745262"/>
      </left>
      <right style="thin">
        <color indexed="64"/>
      </right>
      <top style="medium">
        <color indexed="64"/>
      </top>
      <bottom style="double">
        <color indexed="64"/>
      </bottom>
      <diagonal/>
    </border>
    <border>
      <left style="medium">
        <color theme="0" tint="-0.499984740745262"/>
      </left>
      <right style="medium">
        <color theme="0" tint="-0.499984740745262"/>
      </right>
      <top style="medium">
        <color indexed="64"/>
      </top>
      <bottom style="double">
        <color indexed="64"/>
      </bottom>
      <diagonal/>
    </border>
    <border>
      <left style="medium">
        <color indexed="64"/>
      </left>
      <right/>
      <top style="medium">
        <color indexed="64"/>
      </top>
      <bottom style="double">
        <color indexed="64"/>
      </bottom>
      <diagonal/>
    </border>
    <border>
      <left style="medium">
        <color theme="0" tint="-0.499984740745262"/>
      </left>
      <right style="thin">
        <color indexed="64"/>
      </right>
      <top style="thin">
        <color indexed="64"/>
      </top>
      <bottom style="medium">
        <color indexed="64"/>
      </bottom>
      <diagonal/>
    </border>
    <border>
      <left style="thin">
        <color indexed="64"/>
      </left>
      <right style="medium">
        <color theme="0" tint="-0.499984740745262"/>
      </right>
      <top style="thin">
        <color indexed="64"/>
      </top>
      <bottom style="medium">
        <color indexed="64"/>
      </bottom>
      <diagonal/>
    </border>
    <border>
      <left/>
      <right style="thin">
        <color indexed="64"/>
      </right>
      <top style="thin">
        <color indexed="64"/>
      </top>
      <bottom style="medium">
        <color indexed="64"/>
      </bottom>
      <diagonal/>
    </border>
    <border>
      <left style="medium">
        <color theme="0" tint="-0.499984740745262"/>
      </left>
      <right style="medium">
        <color theme="0" tint="-0.499984740745262"/>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theme="0" tint="-0.499984740745262"/>
      </left>
      <right/>
      <top style="thin">
        <color indexed="64"/>
      </top>
      <bottom style="thin">
        <color indexed="64"/>
      </bottom>
      <diagonal/>
    </border>
    <border>
      <left/>
      <right style="medium">
        <color theme="0" tint="-0.499984740745262"/>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hair">
        <color auto="1"/>
      </top>
      <bottom/>
      <diagonal/>
    </border>
    <border>
      <left style="medium">
        <color indexed="64"/>
      </left>
      <right/>
      <top style="thin">
        <color indexed="64"/>
      </top>
      <bottom/>
      <diagonal/>
    </border>
    <border>
      <left style="thin">
        <color indexed="64"/>
      </left>
      <right style="medium">
        <color auto="1"/>
      </right>
      <top style="thin">
        <color indexed="64"/>
      </top>
      <bottom style="thin">
        <color theme="0" tint="-0.499984740745262"/>
      </bottom>
      <diagonal/>
    </border>
    <border>
      <left/>
      <right style="thin">
        <color indexed="64"/>
      </right>
      <top style="thin">
        <color indexed="64"/>
      </top>
      <bottom style="hair">
        <color theme="1"/>
      </bottom>
      <diagonal/>
    </border>
    <border>
      <left style="medium">
        <color theme="0" tint="-0.499984740745262"/>
      </left>
      <right/>
      <top style="thin">
        <color indexed="64"/>
      </top>
      <bottom style="hair">
        <color theme="1"/>
      </bottom>
      <diagonal/>
    </border>
    <border>
      <left style="thin">
        <color indexed="64"/>
      </left>
      <right style="medium">
        <color theme="0" tint="-0.499984740745262"/>
      </right>
      <top style="thin">
        <color indexed="64"/>
      </top>
      <bottom style="thin">
        <color theme="0" tint="-0.499984740745262"/>
      </bottom>
      <diagonal/>
    </border>
    <border>
      <left/>
      <right/>
      <top style="thin">
        <color indexed="64"/>
      </top>
      <bottom style="hair">
        <color theme="1"/>
      </bottom>
      <diagonal/>
    </border>
    <border>
      <left/>
      <right style="thin">
        <color indexed="64"/>
      </right>
      <top style="hair">
        <color theme="0" tint="-0.499984740745262"/>
      </top>
      <bottom style="hair">
        <color auto="1"/>
      </bottom>
      <diagonal/>
    </border>
    <border>
      <left style="medium">
        <color theme="0" tint="-0.499984740745262"/>
      </left>
      <right/>
      <top style="hair">
        <color theme="0" tint="-0.499984740745262"/>
      </top>
      <bottom style="hair">
        <color auto="1"/>
      </bottom>
      <diagonal/>
    </border>
    <border>
      <left style="medium">
        <color theme="0" tint="-0.499984740745262"/>
      </left>
      <right style="medium">
        <color theme="0" tint="-0.499984740745262"/>
      </right>
      <top style="hair">
        <color theme="0" tint="-0.499984740745262"/>
      </top>
      <bottom style="hair">
        <color auto="1"/>
      </bottom>
      <diagonal/>
    </border>
    <border>
      <left style="medium">
        <color theme="0" tint="-0.499984740745262"/>
      </left>
      <right style="medium">
        <color theme="0" tint="-0.499984740745262"/>
      </right>
      <top style="thin">
        <color indexed="64"/>
      </top>
      <bottom style="hair">
        <color theme="0" tint="-0.499984740745262"/>
      </bottom>
      <diagonal/>
    </border>
    <border>
      <left style="thin">
        <color indexed="64"/>
      </left>
      <right style="medium">
        <color auto="1"/>
      </right>
      <top/>
      <bottom style="thin">
        <color indexed="64"/>
      </bottom>
      <diagonal/>
    </border>
    <border>
      <left style="thin">
        <color indexed="64"/>
      </left>
      <right style="medium">
        <color theme="0" tint="-0.499984740745262"/>
      </right>
      <top/>
      <bottom style="thin">
        <color indexed="64"/>
      </bottom>
      <diagonal/>
    </border>
    <border>
      <left style="medium">
        <color theme="0" tint="-0.499984740745262"/>
      </left>
      <right style="thin">
        <color indexed="64"/>
      </right>
      <top/>
      <bottom style="thin">
        <color indexed="64"/>
      </bottom>
      <diagonal/>
    </border>
    <border>
      <left style="medium">
        <color theme="0" tint="-0.499984740745262"/>
      </left>
      <right style="medium">
        <color theme="0" tint="-0.499984740745262"/>
      </right>
      <top/>
      <bottom style="thin">
        <color indexed="64"/>
      </bottom>
      <diagonal/>
    </border>
    <border>
      <left style="medium">
        <color indexed="64"/>
      </left>
      <right/>
      <top/>
      <bottom style="thin">
        <color indexed="64"/>
      </bottom>
      <diagonal/>
    </border>
    <border>
      <left style="medium">
        <color rgb="FFFF0000"/>
      </left>
      <right style="thin">
        <color theme="1"/>
      </right>
      <top style="thin">
        <color theme="1"/>
      </top>
      <bottom style="medium">
        <color rgb="FFFF0000"/>
      </bottom>
      <diagonal/>
    </border>
    <border>
      <left style="thin">
        <color theme="1"/>
      </left>
      <right style="medium">
        <color rgb="FFFF0000"/>
      </right>
      <top style="thin">
        <color theme="1"/>
      </top>
      <bottom style="medium">
        <color rgb="FFFF0000"/>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right style="thin">
        <color theme="4"/>
      </right>
      <top/>
      <bottom/>
      <diagonal/>
    </border>
    <border>
      <left style="medium">
        <color theme="7"/>
      </left>
      <right style="thin">
        <color auto="1"/>
      </right>
      <top style="medium">
        <color theme="7"/>
      </top>
      <bottom/>
      <diagonal/>
    </border>
    <border>
      <left style="thin">
        <color auto="1"/>
      </left>
      <right/>
      <top style="medium">
        <color theme="7"/>
      </top>
      <bottom/>
      <diagonal/>
    </border>
    <border>
      <left/>
      <right/>
      <top style="medium">
        <color theme="7"/>
      </top>
      <bottom/>
      <diagonal/>
    </border>
    <border>
      <left/>
      <right style="medium">
        <color theme="7"/>
      </right>
      <top style="medium">
        <color theme="7"/>
      </top>
      <bottom/>
      <diagonal/>
    </border>
    <border>
      <left style="medium">
        <color theme="7"/>
      </left>
      <right style="thin">
        <color auto="1"/>
      </right>
      <top/>
      <bottom style="thin">
        <color auto="1"/>
      </bottom>
      <diagonal/>
    </border>
    <border>
      <left/>
      <right style="medium">
        <color theme="7"/>
      </right>
      <top/>
      <bottom style="thin">
        <color auto="1"/>
      </bottom>
      <diagonal/>
    </border>
    <border>
      <left style="medium">
        <color theme="7"/>
      </left>
      <right style="thin">
        <color auto="1"/>
      </right>
      <top/>
      <bottom/>
      <diagonal/>
    </border>
    <border>
      <left/>
      <right style="medium">
        <color theme="7"/>
      </right>
      <top/>
      <bottom/>
      <diagonal/>
    </border>
    <border>
      <left style="medium">
        <color theme="7"/>
      </left>
      <right style="thin">
        <color auto="1"/>
      </right>
      <top style="thin">
        <color auto="1"/>
      </top>
      <bottom/>
      <diagonal/>
    </border>
    <border>
      <left style="medium">
        <color theme="7"/>
      </left>
      <right/>
      <top style="medium">
        <color theme="7"/>
      </top>
      <bottom/>
      <diagonal/>
    </border>
    <border>
      <left style="medium">
        <color theme="7"/>
      </left>
      <right/>
      <top/>
      <bottom style="thin">
        <color auto="1"/>
      </bottom>
      <diagonal/>
    </border>
    <border>
      <left style="medium">
        <color theme="7"/>
      </left>
      <right/>
      <top/>
      <bottom/>
      <diagonal/>
    </border>
    <border>
      <left style="medium">
        <color theme="7"/>
      </left>
      <right/>
      <top/>
      <bottom style="medium">
        <color theme="7"/>
      </bottom>
      <diagonal/>
    </border>
    <border>
      <left/>
      <right style="thin">
        <color auto="1"/>
      </right>
      <top/>
      <bottom style="medium">
        <color theme="7"/>
      </bottom>
      <diagonal/>
    </border>
    <border>
      <left/>
      <right/>
      <top/>
      <bottom style="medium">
        <color theme="7"/>
      </bottom>
      <diagonal/>
    </border>
    <border>
      <left/>
      <right style="medium">
        <color theme="7"/>
      </right>
      <top/>
      <bottom style="medium">
        <color theme="7"/>
      </bottom>
      <diagonal/>
    </border>
    <border>
      <left style="medium">
        <color theme="7"/>
      </left>
      <right/>
      <top style="thin">
        <color auto="1"/>
      </top>
      <bottom/>
      <diagonal/>
    </border>
    <border>
      <left/>
      <right style="medium">
        <color theme="7"/>
      </right>
      <top style="thin">
        <color auto="1"/>
      </top>
      <bottom/>
      <diagonal/>
    </border>
    <border>
      <left/>
      <right style="thin">
        <color auto="1"/>
      </right>
      <top style="medium">
        <color theme="7"/>
      </top>
      <bottom/>
      <diagonal/>
    </border>
    <border>
      <left/>
      <right style="thin">
        <color indexed="64"/>
      </right>
      <top style="thin">
        <color theme="0" tint="-0.24994659260841701"/>
      </top>
      <bottom style="thin">
        <color theme="0" tint="-0.24994659260841701"/>
      </bottom>
      <diagonal/>
    </border>
    <border>
      <left style="medium">
        <color theme="7"/>
      </left>
      <right style="thin">
        <color theme="0" tint="-0.499984740745262"/>
      </right>
      <top/>
      <bottom style="medium">
        <color theme="7"/>
      </bottom>
      <diagonal/>
    </border>
    <border>
      <left style="thin">
        <color theme="0" tint="-0.499984740745262"/>
      </left>
      <right style="medium">
        <color theme="7"/>
      </right>
      <top/>
      <bottom style="medium">
        <color theme="7"/>
      </bottom>
      <diagonal/>
    </border>
  </borders>
  <cellStyleXfs count="449">
    <xf numFmtId="0" fontId="0" fillId="0" borderId="0"/>
    <xf numFmtId="43" fontId="11"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10" fillId="0" borderId="0"/>
    <xf numFmtId="0" fontId="9" fillId="0" borderId="0"/>
    <xf numFmtId="9" fontId="11" fillId="0" borderId="0" applyFont="0" applyFill="0" applyBorder="0" applyAlignment="0" applyProtection="0"/>
    <xf numFmtId="9" fontId="9"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0" fontId="9" fillId="0" borderId="0"/>
    <xf numFmtId="0" fontId="11" fillId="0" borderId="0"/>
    <xf numFmtId="0" fontId="11" fillId="0" borderId="0"/>
    <xf numFmtId="43" fontId="11" fillId="0" borderId="0" applyFont="0" applyFill="0" applyBorder="0" applyAlignment="0" applyProtection="0"/>
    <xf numFmtId="9" fontId="11" fillId="0" borderId="0" applyFont="0" applyFill="0" applyBorder="0" applyAlignment="0" applyProtection="0"/>
    <xf numFmtId="0" fontId="52" fillId="0" borderId="0"/>
    <xf numFmtId="0" fontId="56" fillId="0" borderId="0" applyNumberFormat="0" applyFill="0" applyBorder="0" applyAlignment="0" applyProtection="0"/>
    <xf numFmtId="0" fontId="57" fillId="0" borderId="89" applyNumberFormat="0" applyFill="0" applyAlignment="0" applyProtection="0"/>
    <xf numFmtId="0" fontId="58" fillId="0" borderId="90" applyNumberFormat="0" applyFill="0" applyAlignment="0" applyProtection="0"/>
    <xf numFmtId="0" fontId="59" fillId="0" borderId="91" applyNumberFormat="0" applyFill="0" applyAlignment="0" applyProtection="0"/>
    <xf numFmtId="0" fontId="59" fillId="0" borderId="0" applyNumberFormat="0" applyFill="0" applyBorder="0" applyAlignment="0" applyProtection="0"/>
    <xf numFmtId="0" fontId="60" fillId="11" borderId="0" applyNumberFormat="0" applyBorder="0" applyAlignment="0" applyProtection="0"/>
    <xf numFmtId="0" fontId="61" fillId="12" borderId="0" applyNumberFormat="0" applyBorder="0" applyAlignment="0" applyProtection="0"/>
    <xf numFmtId="0" fontId="62" fillId="13" borderId="0" applyNumberFormat="0" applyBorder="0" applyAlignment="0" applyProtection="0"/>
    <xf numFmtId="0" fontId="63" fillId="14" borderId="92" applyNumberFormat="0" applyAlignment="0" applyProtection="0"/>
    <xf numFmtId="0" fontId="64" fillId="15" borderId="93" applyNumberFormat="0" applyAlignment="0" applyProtection="0"/>
    <xf numFmtId="0" fontId="65" fillId="15" borderId="92" applyNumberFormat="0" applyAlignment="0" applyProtection="0"/>
    <xf numFmtId="0" fontId="66" fillId="0" borderId="94" applyNumberFormat="0" applyFill="0" applyAlignment="0" applyProtection="0"/>
    <xf numFmtId="0" fontId="44" fillId="16" borderId="95" applyNumberFormat="0" applyAlignment="0" applyProtection="0"/>
    <xf numFmtId="0" fontId="67" fillId="0" borderId="0" applyNumberFormat="0" applyFill="0" applyBorder="0" applyAlignment="0" applyProtection="0"/>
    <xf numFmtId="0" fontId="11" fillId="17" borderId="96" applyNumberFormat="0" applyFont="0" applyAlignment="0" applyProtection="0"/>
    <xf numFmtId="0" fontId="68" fillId="0" borderId="0" applyNumberFormat="0" applyFill="0" applyBorder="0" applyAlignment="0" applyProtection="0"/>
    <xf numFmtId="0" fontId="12" fillId="0" borderId="97" applyNumberFormat="0" applyFill="0" applyAlignment="0" applyProtection="0"/>
    <xf numFmtId="0" fontId="69"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69" fillId="21" borderId="0" applyNumberFormat="0" applyBorder="0" applyAlignment="0" applyProtection="0"/>
    <xf numFmtId="0" fontId="69" fillId="22" borderId="0" applyNumberFormat="0" applyBorder="0" applyAlignment="0" applyProtection="0"/>
    <xf numFmtId="0" fontId="11" fillId="23" borderId="0" applyNumberFormat="0" applyBorder="0" applyAlignment="0" applyProtection="0"/>
    <xf numFmtId="0" fontId="11" fillId="24" borderId="0" applyNumberFormat="0" applyBorder="0" applyAlignment="0" applyProtection="0"/>
    <xf numFmtId="0" fontId="69" fillId="25" borderId="0" applyNumberFormat="0" applyBorder="0" applyAlignment="0" applyProtection="0"/>
    <xf numFmtId="0" fontId="69" fillId="26" borderId="0" applyNumberFormat="0" applyBorder="0" applyAlignment="0" applyProtection="0"/>
    <xf numFmtId="0" fontId="11" fillId="27" borderId="0" applyNumberFormat="0" applyBorder="0" applyAlignment="0" applyProtection="0"/>
    <xf numFmtId="0" fontId="11" fillId="28" borderId="0" applyNumberFormat="0" applyBorder="0" applyAlignment="0" applyProtection="0"/>
    <xf numFmtId="0" fontId="69" fillId="29" borderId="0" applyNumberFormat="0" applyBorder="0" applyAlignment="0" applyProtection="0"/>
    <xf numFmtId="0" fontId="69" fillId="30" borderId="0" applyNumberFormat="0" applyBorder="0" applyAlignment="0" applyProtection="0"/>
    <xf numFmtId="0" fontId="11" fillId="31" borderId="0" applyNumberFormat="0" applyBorder="0" applyAlignment="0" applyProtection="0"/>
    <xf numFmtId="0" fontId="11" fillId="32" borderId="0" applyNumberFormat="0" applyBorder="0" applyAlignment="0" applyProtection="0"/>
    <xf numFmtId="0" fontId="69" fillId="33" borderId="0" applyNumberFormat="0" applyBorder="0" applyAlignment="0" applyProtection="0"/>
    <xf numFmtId="0" fontId="69" fillId="34" borderId="0" applyNumberFormat="0" applyBorder="0" applyAlignment="0" applyProtection="0"/>
    <xf numFmtId="0" fontId="11" fillId="35" borderId="0" applyNumberFormat="0" applyBorder="0" applyAlignment="0" applyProtection="0"/>
    <xf numFmtId="0" fontId="11" fillId="36" borderId="0" applyNumberFormat="0" applyBorder="0" applyAlignment="0" applyProtection="0"/>
    <xf numFmtId="0" fontId="69" fillId="37" borderId="0" applyNumberFormat="0" applyBorder="0" applyAlignment="0" applyProtection="0"/>
    <xf numFmtId="0" fontId="69" fillId="38" borderId="0" applyNumberFormat="0" applyBorder="0" applyAlignment="0" applyProtection="0"/>
    <xf numFmtId="0" fontId="11" fillId="39" borderId="0" applyNumberFormat="0" applyBorder="0" applyAlignment="0" applyProtection="0"/>
    <xf numFmtId="0" fontId="11" fillId="40" borderId="0" applyNumberFormat="0" applyBorder="0" applyAlignment="0" applyProtection="0"/>
    <xf numFmtId="0" fontId="69" fillId="41" borderId="0" applyNumberFormat="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9" fillId="0" borderId="0"/>
    <xf numFmtId="0" fontId="71" fillId="0" borderId="0" applyNumberFormat="0" applyFill="0" applyBorder="0" applyAlignment="0" applyProtection="0"/>
    <xf numFmtId="0" fontId="9" fillId="0" borderId="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9" fillId="0" borderId="0"/>
    <xf numFmtId="0" fontId="9" fillId="0" borderId="0"/>
    <xf numFmtId="0" fontId="71" fillId="0" borderId="0" applyNumberFormat="0" applyFill="0" applyBorder="0" applyAlignment="0" applyProtection="0"/>
    <xf numFmtId="0" fontId="71" fillId="0" borderId="0" applyNumberFormat="0" applyFill="0" applyBorder="0" applyAlignment="0" applyProtection="0"/>
    <xf numFmtId="0" fontId="9" fillId="0" borderId="0"/>
    <xf numFmtId="0" fontId="71" fillId="0" borderId="0" applyNumberFormat="0" applyFill="0" applyBorder="0" applyAlignment="0" applyProtection="0"/>
    <xf numFmtId="0" fontId="9" fillId="0" borderId="0"/>
    <xf numFmtId="0" fontId="9" fillId="0" borderId="0"/>
    <xf numFmtId="0" fontId="9" fillId="0" borderId="0"/>
    <xf numFmtId="43" fontId="11" fillId="0" borderId="0" applyFont="0" applyFill="0" applyBorder="0" applyAlignment="0" applyProtection="0"/>
    <xf numFmtId="9" fontId="11" fillId="0" borderId="0" applyFont="0" applyFill="0" applyBorder="0" applyAlignment="0" applyProtection="0"/>
    <xf numFmtId="0" fontId="73" fillId="0" borderId="0"/>
    <xf numFmtId="44" fontId="11" fillId="0" borderId="0" applyFont="0" applyFill="0" applyBorder="0" applyAlignment="0" applyProtection="0"/>
    <xf numFmtId="0" fontId="9" fillId="0" borderId="0"/>
    <xf numFmtId="0" fontId="9" fillId="0" borderId="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9" fillId="0" borderId="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9" fillId="0" borderId="0"/>
    <xf numFmtId="0" fontId="9" fillId="0" borderId="0"/>
    <xf numFmtId="0" fontId="9" fillId="0" borderId="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9" fillId="0" borderId="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9" fillId="0" borderId="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9" fillId="0" borderId="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71" fillId="0" borderId="0" applyNumberFormat="0" applyFill="0" applyBorder="0" applyAlignment="0" applyProtection="0"/>
    <xf numFmtId="0" fontId="9" fillId="0" borderId="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70" fillId="0" borderId="0" applyNumberFormat="0" applyFill="0" applyBorder="0" applyAlignment="0" applyProtection="0"/>
    <xf numFmtId="0" fontId="71" fillId="0" borderId="0" applyNumberFormat="0" applyFill="0" applyBorder="0" applyAlignment="0" applyProtection="0"/>
    <xf numFmtId="0" fontId="3" fillId="0" borderId="0"/>
    <xf numFmtId="0" fontId="11" fillId="0" borderId="0"/>
    <xf numFmtId="0" fontId="9" fillId="0" borderId="0"/>
    <xf numFmtId="190" fontId="9" fillId="0" borderId="0"/>
    <xf numFmtId="190" fontId="9" fillId="0" borderId="0"/>
    <xf numFmtId="0" fontId="83"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84" fillId="0" borderId="0" applyNumberFormat="0" applyFill="0" applyBorder="0" applyAlignment="0" applyProtection="0">
      <alignment vertical="top"/>
      <protection locked="0"/>
    </xf>
    <xf numFmtId="9" fontId="9" fillId="0" borderId="0" applyFont="0" applyFill="0" applyBorder="0" applyAlignment="0" applyProtection="0"/>
    <xf numFmtId="0" fontId="11" fillId="0" borderId="0"/>
    <xf numFmtId="0" fontId="85"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86" fillId="0" borderId="0"/>
    <xf numFmtId="0" fontId="86" fillId="0" borderId="0"/>
    <xf numFmtId="9" fontId="9" fillId="0" borderId="0" applyFont="0" applyFill="0" applyBorder="0" applyAlignment="0" applyProtection="0"/>
    <xf numFmtId="0" fontId="11" fillId="0" borderId="0"/>
    <xf numFmtId="0" fontId="9" fillId="0" borderId="0"/>
    <xf numFmtId="0" fontId="118" fillId="0" borderId="0"/>
    <xf numFmtId="0" fontId="19" fillId="0" borderId="0"/>
    <xf numFmtId="0" fontId="70" fillId="0" borderId="0" applyNumberFormat="0" applyFill="0" applyBorder="0" applyAlignment="0" applyProtection="0"/>
  </cellStyleXfs>
  <cellXfs count="4376">
    <xf numFmtId="0" fontId="0" fillId="0" borderId="0" xfId="0"/>
    <xf numFmtId="0" fontId="9" fillId="0" borderId="0" xfId="0" applyFont="1"/>
    <xf numFmtId="0" fontId="9" fillId="5" borderId="0" xfId="2" applyFill="1" applyAlignment="1">
      <alignment vertical="center"/>
    </xf>
    <xf numFmtId="0" fontId="24" fillId="0" borderId="0" xfId="0" applyFont="1" applyAlignment="1">
      <alignment vertical="center" wrapText="1"/>
    </xf>
    <xf numFmtId="0" fontId="24" fillId="0" borderId="0" xfId="0" applyFont="1" applyAlignment="1">
      <alignment vertical="center"/>
    </xf>
    <xf numFmtId="0" fontId="24" fillId="0" borderId="0" xfId="0" applyFont="1" applyAlignment="1">
      <alignment horizontal="center" vertical="center"/>
    </xf>
    <xf numFmtId="0" fontId="30" fillId="0" borderId="0" xfId="0" applyFont="1" applyAlignment="1">
      <alignment horizontal="center" vertical="center" wrapText="1"/>
    </xf>
    <xf numFmtId="0" fontId="30" fillId="0" borderId="0" xfId="0" applyFont="1" applyAlignment="1">
      <alignment vertical="top"/>
    </xf>
    <xf numFmtId="0" fontId="28" fillId="0" borderId="0" xfId="0" applyFont="1" applyAlignment="1">
      <alignment horizontal="left" vertical="top"/>
    </xf>
    <xf numFmtId="0" fontId="30" fillId="0" borderId="0" xfId="0" applyFont="1" applyAlignment="1">
      <alignment horizontal="left" vertical="top"/>
    </xf>
    <xf numFmtId="0" fontId="24" fillId="7" borderId="0" xfId="0" applyFont="1" applyFill="1" applyAlignment="1">
      <alignment vertical="center" wrapText="1"/>
    </xf>
    <xf numFmtId="0" fontId="24" fillId="7" borderId="0" xfId="0" applyFont="1" applyFill="1" applyAlignment="1">
      <alignment horizontal="center" vertical="center" wrapText="1"/>
    </xf>
    <xf numFmtId="0" fontId="24" fillId="0" borderId="0" xfId="0" applyFont="1"/>
    <xf numFmtId="0" fontId="28" fillId="0" borderId="0" xfId="0" applyFont="1" applyAlignment="1">
      <alignment vertical="center"/>
    </xf>
    <xf numFmtId="0" fontId="30" fillId="0" borderId="0" xfId="0" applyFont="1" applyAlignment="1">
      <alignment vertical="top" wrapText="1"/>
    </xf>
    <xf numFmtId="0" fontId="31" fillId="7" borderId="0" xfId="0" applyFont="1" applyFill="1" applyAlignment="1">
      <alignment vertical="center"/>
    </xf>
    <xf numFmtId="0" fontId="29" fillId="7" borderId="0" xfId="0" applyFont="1" applyFill="1" applyAlignment="1">
      <alignment vertical="center"/>
    </xf>
    <xf numFmtId="0" fontId="30" fillId="0" borderId="10" xfId="0" applyFont="1" applyBorder="1" applyAlignment="1">
      <alignment horizontal="left" vertical="top"/>
    </xf>
    <xf numFmtId="0" fontId="28" fillId="0" borderId="0" xfId="0" applyFont="1" applyAlignment="1">
      <alignment horizontal="left" vertical="top" wrapText="1"/>
    </xf>
    <xf numFmtId="0" fontId="24" fillId="0" borderId="0" xfId="0" applyFont="1" applyAlignment="1">
      <alignment wrapText="1"/>
    </xf>
    <xf numFmtId="0" fontId="36" fillId="0" borderId="0" xfId="0" applyFont="1"/>
    <xf numFmtId="0" fontId="28" fillId="0" borderId="0" xfId="0" applyFont="1" applyAlignment="1">
      <alignment horizontal="left" vertical="center" wrapText="1"/>
    </xf>
    <xf numFmtId="0" fontId="24" fillId="5" borderId="0" xfId="0" applyFont="1" applyFill="1" applyAlignment="1">
      <alignment horizontal="left" vertical="top" wrapText="1"/>
    </xf>
    <xf numFmtId="0" fontId="36" fillId="0" borderId="0" xfId="0" applyFont="1" applyAlignment="1">
      <alignment vertical="center"/>
    </xf>
    <xf numFmtId="0" fontId="37" fillId="0" borderId="0" xfId="0" applyFont="1" applyAlignment="1">
      <alignment vertical="top" wrapText="1"/>
    </xf>
    <xf numFmtId="0" fontId="30" fillId="0" borderId="0" xfId="0" applyFont="1" applyAlignment="1">
      <alignment horizontal="left"/>
    </xf>
    <xf numFmtId="0" fontId="28" fillId="5" borderId="0" xfId="0" applyFont="1" applyFill="1" applyAlignment="1">
      <alignment horizontal="right" vertical="center"/>
    </xf>
    <xf numFmtId="0" fontId="30" fillId="0" borderId="0" xfId="0" applyFont="1" applyAlignment="1">
      <alignment wrapText="1"/>
    </xf>
    <xf numFmtId="0" fontId="26" fillId="0" borderId="0" xfId="0" applyFont="1" applyAlignment="1">
      <alignment horizontal="left" vertical="center"/>
    </xf>
    <xf numFmtId="0" fontId="26" fillId="0" borderId="0" xfId="2" applyFont="1" applyAlignment="1">
      <alignment horizontal="center" vertical="center"/>
    </xf>
    <xf numFmtId="0" fontId="38" fillId="7" borderId="0" xfId="0" applyFont="1" applyFill="1" applyAlignment="1">
      <alignment vertical="center"/>
    </xf>
    <xf numFmtId="0" fontId="29" fillId="0" borderId="0" xfId="0" applyFont="1" applyAlignment="1">
      <alignment vertical="center"/>
    </xf>
    <xf numFmtId="0" fontId="9" fillId="0" borderId="0" xfId="0" applyFont="1" applyAlignment="1">
      <alignment horizontal="center" vertical="center" wrapText="1"/>
    </xf>
    <xf numFmtId="0" fontId="9" fillId="0" borderId="0" xfId="0" applyFont="1" applyAlignment="1">
      <alignment horizontal="left" vertical="center" wrapText="1"/>
    </xf>
    <xf numFmtId="0" fontId="8" fillId="0" borderId="0" xfId="0" applyFont="1" applyAlignment="1">
      <alignment vertical="center" wrapText="1"/>
    </xf>
    <xf numFmtId="0" fontId="9" fillId="0" borderId="0" xfId="0" applyFont="1" applyAlignment="1">
      <alignment horizontal="center" vertical="center"/>
    </xf>
    <xf numFmtId="0" fontId="30" fillId="0" borderId="0" xfId="0" applyFont="1" applyAlignment="1">
      <alignment horizontal="left" vertical="center" wrapText="1"/>
    </xf>
    <xf numFmtId="0" fontId="7" fillId="0" borderId="0" xfId="0" applyFont="1" applyAlignment="1">
      <alignment vertical="center" wrapText="1"/>
    </xf>
    <xf numFmtId="0" fontId="7" fillId="7" borderId="0" xfId="0" applyFont="1" applyFill="1" applyAlignment="1">
      <alignment vertical="center" wrapText="1"/>
    </xf>
    <xf numFmtId="0" fontId="7" fillId="7" borderId="0" xfId="0" applyFont="1" applyFill="1" applyAlignment="1">
      <alignment horizontal="center" vertical="center" wrapText="1"/>
    </xf>
    <xf numFmtId="0" fontId="7" fillId="0" borderId="0" xfId="0" applyFont="1"/>
    <xf numFmtId="0" fontId="7" fillId="0" borderId="0" xfId="0" applyFont="1" applyAlignment="1">
      <alignment horizontal="center" vertical="center" wrapText="1"/>
    </xf>
    <xf numFmtId="0" fontId="9" fillId="0" borderId="0" xfId="0" applyFont="1" applyAlignment="1">
      <alignment vertical="center" wrapText="1"/>
    </xf>
    <xf numFmtId="0" fontId="9" fillId="0" borderId="7" xfId="0" applyFont="1" applyBorder="1" applyAlignment="1">
      <alignment horizontal="center" vertical="center"/>
    </xf>
    <xf numFmtId="0" fontId="9" fillId="0" borderId="57" xfId="0" applyFont="1" applyBorder="1" applyAlignment="1">
      <alignment horizontal="center" vertical="center"/>
    </xf>
    <xf numFmtId="0" fontId="9" fillId="0" borderId="0" xfId="0" applyFont="1" applyAlignment="1">
      <alignment horizontal="left" vertical="center" indent="1"/>
    </xf>
    <xf numFmtId="0" fontId="9" fillId="0" borderId="0" xfId="13"/>
    <xf numFmtId="0" fontId="30" fillId="0" borderId="0" xfId="0" applyFont="1" applyAlignment="1">
      <alignment vertical="center"/>
    </xf>
    <xf numFmtId="0" fontId="25" fillId="0" borderId="0" xfId="0" applyFont="1" applyAlignment="1">
      <alignment vertical="center"/>
    </xf>
    <xf numFmtId="0" fontId="30" fillId="0" borderId="10" xfId="0" applyFont="1" applyBorder="1" applyAlignment="1">
      <alignment vertical="center"/>
    </xf>
    <xf numFmtId="0" fontId="45" fillId="3" borderId="12" xfId="14" quotePrefix="1" applyFont="1" applyFill="1" applyBorder="1" applyAlignment="1">
      <alignment horizontal="left" vertical="center"/>
    </xf>
    <xf numFmtId="3" fontId="41" fillId="0" borderId="60" xfId="13" applyNumberFormat="1" applyFont="1" applyBorder="1" applyAlignment="1">
      <alignment horizontal="left" vertical="center" wrapText="1"/>
    </xf>
    <xf numFmtId="3" fontId="9" fillId="10" borderId="0" xfId="13" applyNumberFormat="1" applyFill="1"/>
    <xf numFmtId="0" fontId="20" fillId="0" borderId="0" xfId="13" applyFont="1"/>
    <xf numFmtId="0" fontId="9" fillId="0" borderId="0" xfId="13" applyAlignment="1">
      <alignment horizontal="left"/>
    </xf>
    <xf numFmtId="2" fontId="9" fillId="0" borderId="0" xfId="13" applyNumberFormat="1"/>
    <xf numFmtId="0" fontId="9" fillId="0" borderId="65" xfId="13" applyBorder="1"/>
    <xf numFmtId="0" fontId="9" fillId="0" borderId="0" xfId="13" applyAlignment="1">
      <alignment wrapText="1"/>
    </xf>
    <xf numFmtId="0" fontId="20" fillId="0" borderId="0" xfId="13" applyFont="1" applyAlignment="1">
      <alignment wrapText="1"/>
    </xf>
    <xf numFmtId="0" fontId="11" fillId="0" borderId="0" xfId="15"/>
    <xf numFmtId="0" fontId="11" fillId="5" borderId="0" xfId="15" applyFill="1"/>
    <xf numFmtId="0" fontId="12" fillId="5" borderId="0" xfId="15" applyFont="1" applyFill="1"/>
    <xf numFmtId="165" fontId="12" fillId="5" borderId="65" xfId="15" applyNumberFormat="1" applyFont="1" applyFill="1" applyBorder="1"/>
    <xf numFmtId="2" fontId="12" fillId="5" borderId="65" xfId="15" applyNumberFormat="1" applyFont="1" applyFill="1" applyBorder="1"/>
    <xf numFmtId="171" fontId="12" fillId="5" borderId="65" xfId="12" applyNumberFormat="1" applyFont="1" applyFill="1" applyBorder="1"/>
    <xf numFmtId="165" fontId="11" fillId="5" borderId="0" xfId="15" applyNumberFormat="1" applyFill="1" applyAlignment="1">
      <alignment horizontal="right"/>
    </xf>
    <xf numFmtId="165" fontId="12" fillId="5" borderId="0" xfId="15" applyNumberFormat="1" applyFont="1" applyFill="1" applyAlignment="1">
      <alignment horizontal="left"/>
    </xf>
    <xf numFmtId="43" fontId="20" fillId="0" borderId="65" xfId="16" applyFont="1" applyBorder="1"/>
    <xf numFmtId="10" fontId="0" fillId="0" borderId="65" xfId="17" applyNumberFormat="1" applyFont="1" applyBorder="1"/>
    <xf numFmtId="171" fontId="0" fillId="0" borderId="65" xfId="16" applyNumberFormat="1" applyFont="1" applyBorder="1"/>
    <xf numFmtId="37" fontId="0" fillId="0" borderId="65" xfId="16" applyNumberFormat="1" applyFont="1" applyBorder="1"/>
    <xf numFmtId="0" fontId="11" fillId="0" borderId="63" xfId="15" applyBorder="1"/>
    <xf numFmtId="0" fontId="11" fillId="0" borderId="62" xfId="15" applyBorder="1"/>
    <xf numFmtId="0" fontId="11" fillId="0" borderId="67" xfId="15" applyBorder="1"/>
    <xf numFmtId="0" fontId="11" fillId="5" borderId="66" xfId="15" applyFill="1" applyBorder="1"/>
    <xf numFmtId="0" fontId="46" fillId="5" borderId="69" xfId="15" applyFont="1" applyFill="1" applyBorder="1"/>
    <xf numFmtId="178" fontId="46" fillId="5" borderId="64" xfId="15" applyNumberFormat="1" applyFont="1" applyFill="1" applyBorder="1"/>
    <xf numFmtId="0" fontId="12" fillId="5" borderId="61" xfId="15" applyFont="1" applyFill="1" applyBorder="1"/>
    <xf numFmtId="0" fontId="11" fillId="5" borderId="0" xfId="15" applyFill="1" applyAlignment="1">
      <alignment horizontal="center"/>
    </xf>
    <xf numFmtId="0" fontId="11" fillId="5" borderId="0" xfId="15" quotePrefix="1" applyFill="1"/>
    <xf numFmtId="0" fontId="11" fillId="5" borderId="83" xfId="15" applyFill="1" applyBorder="1"/>
    <xf numFmtId="0" fontId="11" fillId="5" borderId="68" xfId="15" applyFill="1" applyBorder="1"/>
    <xf numFmtId="0" fontId="12" fillId="5" borderId="71" xfId="15" applyFont="1" applyFill="1" applyBorder="1"/>
    <xf numFmtId="0" fontId="11" fillId="0" borderId="66" xfId="15" applyBorder="1"/>
    <xf numFmtId="3" fontId="11" fillId="0" borderId="0" xfId="15" applyNumberFormat="1"/>
    <xf numFmtId="179" fontId="11" fillId="0" borderId="61" xfId="15" applyNumberFormat="1" applyBorder="1"/>
    <xf numFmtId="179" fontId="11" fillId="5" borderId="61" xfId="15" applyNumberFormat="1" applyFill="1" applyBorder="1" applyAlignment="1">
      <alignment horizontal="left"/>
    </xf>
    <xf numFmtId="0" fontId="11" fillId="5" borderId="61" xfId="15" applyFill="1" applyBorder="1" applyAlignment="1">
      <alignment horizontal="left"/>
    </xf>
    <xf numFmtId="174" fontId="11" fillId="0" borderId="61" xfId="15" applyNumberFormat="1" applyBorder="1"/>
    <xf numFmtId="180" fontId="11" fillId="5" borderId="0" xfId="15" applyNumberFormat="1" applyFill="1"/>
    <xf numFmtId="171" fontId="11" fillId="5" borderId="61" xfId="15" applyNumberFormat="1" applyFill="1" applyBorder="1" applyAlignment="1">
      <alignment horizontal="left"/>
    </xf>
    <xf numFmtId="0" fontId="11" fillId="5" borderId="63" xfId="15" applyFill="1" applyBorder="1"/>
    <xf numFmtId="0" fontId="11" fillId="5" borderId="62" xfId="15" applyFill="1" applyBorder="1"/>
    <xf numFmtId="0" fontId="11" fillId="5" borderId="67" xfId="15" applyFill="1" applyBorder="1"/>
    <xf numFmtId="0" fontId="11" fillId="5" borderId="61" xfId="15" applyFill="1" applyBorder="1"/>
    <xf numFmtId="181" fontId="11" fillId="5" borderId="68" xfId="15" applyNumberFormat="1" applyFill="1" applyBorder="1"/>
    <xf numFmtId="0" fontId="11" fillId="5" borderId="71" xfId="15" applyFill="1" applyBorder="1"/>
    <xf numFmtId="0" fontId="47" fillId="5" borderId="0" xfId="15" applyFont="1" applyFill="1"/>
    <xf numFmtId="0" fontId="12" fillId="5" borderId="65" xfId="15" applyFont="1" applyFill="1" applyBorder="1"/>
    <xf numFmtId="165" fontId="11" fillId="5" borderId="68" xfId="15" applyNumberFormat="1" applyFill="1" applyBorder="1" applyAlignment="1">
      <alignment horizontal="right"/>
    </xf>
    <xf numFmtId="43" fontId="12" fillId="5" borderId="65" xfId="16" applyFont="1" applyFill="1" applyBorder="1"/>
    <xf numFmtId="174" fontId="12" fillId="5" borderId="65" xfId="15" applyNumberFormat="1" applyFont="1" applyFill="1" applyBorder="1"/>
    <xf numFmtId="182" fontId="11" fillId="5" borderId="65" xfId="15" applyNumberFormat="1" applyFill="1" applyBorder="1"/>
    <xf numFmtId="43" fontId="11" fillId="5" borderId="65" xfId="15" applyNumberFormat="1" applyFill="1" applyBorder="1"/>
    <xf numFmtId="174" fontId="11" fillId="5" borderId="65" xfId="15" applyNumberFormat="1" applyFill="1" applyBorder="1"/>
    <xf numFmtId="174" fontId="0" fillId="5" borderId="65" xfId="16" applyNumberFormat="1" applyFont="1" applyFill="1" applyBorder="1"/>
    <xf numFmtId="0" fontId="11" fillId="5" borderId="65" xfId="15" applyFill="1" applyBorder="1"/>
    <xf numFmtId="0" fontId="11" fillId="5" borderId="65" xfId="15" applyFill="1" applyBorder="1" applyAlignment="1">
      <alignment horizontal="center"/>
    </xf>
    <xf numFmtId="165" fontId="11" fillId="5" borderId="65" xfId="15" applyNumberFormat="1" applyFill="1" applyBorder="1"/>
    <xf numFmtId="0" fontId="11" fillId="0" borderId="65" xfId="15" applyBorder="1"/>
    <xf numFmtId="0" fontId="11" fillId="5" borderId="69" xfId="15" applyFill="1" applyBorder="1" applyAlignment="1">
      <alignment horizontal="center"/>
    </xf>
    <xf numFmtId="0" fontId="11" fillId="5" borderId="70" xfId="15" applyFill="1" applyBorder="1"/>
    <xf numFmtId="0" fontId="11" fillId="5" borderId="64" xfId="15" applyFill="1" applyBorder="1"/>
    <xf numFmtId="183" fontId="11" fillId="5" borderId="65" xfId="15" applyNumberFormat="1" applyFill="1" applyBorder="1"/>
    <xf numFmtId="182" fontId="46" fillId="5" borderId="64" xfId="15" applyNumberFormat="1" applyFont="1" applyFill="1" applyBorder="1"/>
    <xf numFmtId="0" fontId="46" fillId="5" borderId="64" xfId="15" applyFont="1" applyFill="1" applyBorder="1"/>
    <xf numFmtId="9" fontId="11" fillId="5" borderId="0" xfId="15" applyNumberFormat="1" applyFill="1"/>
    <xf numFmtId="183" fontId="11" fillId="5" borderId="0" xfId="15" applyNumberFormat="1" applyFill="1"/>
    <xf numFmtId="171" fontId="0" fillId="5" borderId="0" xfId="16" applyNumberFormat="1" applyFont="1" applyFill="1"/>
    <xf numFmtId="182" fontId="11" fillId="5" borderId="0" xfId="15" applyNumberFormat="1" applyFill="1"/>
    <xf numFmtId="171" fontId="0" fillId="5" borderId="65" xfId="16" applyNumberFormat="1" applyFont="1" applyFill="1" applyBorder="1"/>
    <xf numFmtId="0" fontId="11" fillId="5" borderId="65" xfId="15" applyFill="1" applyBorder="1" applyAlignment="1">
      <alignment horizontal="right"/>
    </xf>
    <xf numFmtId="171" fontId="0" fillId="5" borderId="0" xfId="16" applyNumberFormat="1" applyFont="1" applyFill="1" applyBorder="1"/>
    <xf numFmtId="0" fontId="6" fillId="7" borderId="0" xfId="0" applyFont="1" applyFill="1" applyAlignment="1">
      <alignment vertical="center" wrapText="1"/>
    </xf>
    <xf numFmtId="0" fontId="6" fillId="7" borderId="0" xfId="0" applyFont="1" applyFill="1" applyAlignment="1">
      <alignment horizontal="center" vertical="center" wrapText="1"/>
    </xf>
    <xf numFmtId="0" fontId="6" fillId="0" borderId="0" xfId="0" applyFont="1"/>
    <xf numFmtId="0" fontId="6" fillId="0" borderId="0" xfId="0" applyFont="1" applyAlignment="1">
      <alignment vertical="center" wrapText="1"/>
    </xf>
    <xf numFmtId="3" fontId="35" fillId="6" borderId="36" xfId="0" applyNumberFormat="1" applyFont="1" applyFill="1" applyBorder="1" applyAlignment="1" applyProtection="1">
      <alignment horizontal="right" vertical="center" wrapText="1"/>
      <protection locked="0"/>
    </xf>
    <xf numFmtId="0" fontId="9" fillId="4" borderId="27" xfId="0" applyFont="1" applyFill="1" applyBorder="1" applyAlignment="1">
      <alignment horizontal="center" vertical="center" wrapText="1"/>
    </xf>
    <xf numFmtId="0" fontId="21" fillId="0" borderId="0" xfId="0" applyFont="1" applyAlignment="1">
      <alignment vertical="center" wrapText="1"/>
    </xf>
    <xf numFmtId="0" fontId="9" fillId="0" borderId="5" xfId="0" applyFont="1" applyBorder="1" applyAlignment="1">
      <alignment vertical="center" wrapText="1"/>
    </xf>
    <xf numFmtId="0" fontId="9" fillId="0" borderId="5" xfId="0" applyFont="1" applyBorder="1" applyAlignment="1">
      <alignment horizontal="center" vertical="center" wrapText="1"/>
    </xf>
    <xf numFmtId="0" fontId="21" fillId="6" borderId="36" xfId="0" applyFont="1" applyFill="1" applyBorder="1" applyAlignment="1">
      <alignment vertical="center" wrapText="1"/>
    </xf>
    <xf numFmtId="0" fontId="9" fillId="4" borderId="22" xfId="0" applyFont="1" applyFill="1" applyBorder="1" applyAlignment="1">
      <alignment horizontal="center" vertical="center" wrapText="1"/>
    </xf>
    <xf numFmtId="0" fontId="9" fillId="4" borderId="47" xfId="0" applyFont="1" applyFill="1" applyBorder="1" applyAlignment="1">
      <alignment horizontal="center" vertical="center" textRotation="90" wrapText="1"/>
    </xf>
    <xf numFmtId="0" fontId="9" fillId="4" borderId="22" xfId="0" applyFont="1" applyFill="1" applyBorder="1" applyAlignment="1">
      <alignment horizontal="center" vertical="center" textRotation="90" wrapText="1"/>
    </xf>
    <xf numFmtId="0" fontId="9" fillId="4" borderId="32" xfId="0" applyFont="1" applyFill="1" applyBorder="1" applyAlignment="1">
      <alignment horizontal="center" vertical="center" textRotation="90" wrapText="1"/>
    </xf>
    <xf numFmtId="0" fontId="9" fillId="4" borderId="49" xfId="0" applyFont="1" applyFill="1" applyBorder="1" applyAlignment="1">
      <alignment horizontal="center" vertical="center" textRotation="90" wrapText="1"/>
    </xf>
    <xf numFmtId="0" fontId="9" fillId="4" borderId="48" xfId="0" applyFont="1" applyFill="1" applyBorder="1" applyAlignment="1">
      <alignment horizontal="center" vertical="center" textRotation="90" wrapText="1"/>
    </xf>
    <xf numFmtId="0" fontId="21" fillId="0" borderId="17" xfId="0" applyFont="1" applyBorder="1" applyAlignment="1">
      <alignment vertical="center" wrapText="1"/>
    </xf>
    <xf numFmtId="0" fontId="21" fillId="0" borderId="18" xfId="0" applyFont="1" applyBorder="1" applyAlignment="1">
      <alignment vertical="center" wrapText="1"/>
    </xf>
    <xf numFmtId="0" fontId="21" fillId="6" borderId="37" xfId="0" applyFont="1" applyFill="1" applyBorder="1" applyAlignment="1">
      <alignment vertical="center" wrapText="1"/>
    </xf>
    <xf numFmtId="0" fontId="21" fillId="0" borderId="36" xfId="0" applyFont="1" applyBorder="1" applyAlignment="1">
      <alignment vertical="center" wrapText="1"/>
    </xf>
    <xf numFmtId="0" fontId="21" fillId="0" borderId="37" xfId="0" applyFont="1" applyBorder="1" applyAlignment="1">
      <alignment vertical="center" wrapText="1"/>
    </xf>
    <xf numFmtId="0" fontId="9" fillId="6" borderId="20" xfId="0" applyFont="1" applyFill="1" applyBorder="1" applyAlignment="1">
      <alignment vertical="center" wrapText="1"/>
    </xf>
    <xf numFmtId="0" fontId="9" fillId="6" borderId="21" xfId="0" applyFont="1" applyFill="1" applyBorder="1" applyAlignment="1">
      <alignment vertical="center" wrapText="1"/>
    </xf>
    <xf numFmtId="0" fontId="21" fillId="0" borderId="33" xfId="0" applyFont="1" applyBorder="1" applyAlignment="1">
      <alignment horizontal="left" vertical="center" wrapText="1"/>
    </xf>
    <xf numFmtId="0" fontId="21" fillId="6" borderId="50" xfId="0" applyFont="1" applyFill="1" applyBorder="1" applyAlignment="1">
      <alignment horizontal="left" vertical="center" wrapText="1"/>
    </xf>
    <xf numFmtId="0" fontId="21" fillId="0" borderId="50" xfId="0" applyFont="1" applyBorder="1" applyAlignment="1">
      <alignment horizontal="left" vertical="center" wrapText="1"/>
    </xf>
    <xf numFmtId="0" fontId="9" fillId="6" borderId="52" xfId="0" applyFont="1" applyFill="1" applyBorder="1" applyAlignment="1">
      <alignment horizontal="left" vertical="center" wrapText="1"/>
    </xf>
    <xf numFmtId="0" fontId="21" fillId="0" borderId="28" xfId="0" applyFont="1" applyBorder="1" applyAlignment="1">
      <alignment vertical="center" wrapText="1"/>
    </xf>
    <xf numFmtId="0" fontId="21" fillId="6" borderId="39" xfId="0" applyFont="1" applyFill="1" applyBorder="1" applyAlignment="1">
      <alignment vertical="center" wrapText="1"/>
    </xf>
    <xf numFmtId="0" fontId="21" fillId="0" borderId="39" xfId="0" applyFont="1" applyBorder="1" applyAlignment="1">
      <alignment vertical="center" wrapText="1"/>
    </xf>
    <xf numFmtId="0" fontId="9" fillId="6" borderId="29" xfId="0" applyFont="1" applyFill="1" applyBorder="1" applyAlignment="1">
      <alignment vertical="center" wrapText="1"/>
    </xf>
    <xf numFmtId="0" fontId="5" fillId="0" borderId="0" xfId="0" applyFont="1" applyAlignment="1">
      <alignment vertical="center" wrapText="1"/>
    </xf>
    <xf numFmtId="0" fontId="9" fillId="4" borderId="86" xfId="0" applyFont="1" applyFill="1" applyBorder="1" applyAlignment="1">
      <alignment horizontal="center" vertical="center"/>
    </xf>
    <xf numFmtId="0" fontId="9" fillId="4" borderId="22" xfId="0" applyFont="1" applyFill="1" applyBorder="1" applyAlignment="1">
      <alignment horizontal="center" vertical="center"/>
    </xf>
    <xf numFmtId="0" fontId="9" fillId="4" borderId="32" xfId="0" applyFont="1" applyFill="1" applyBorder="1" applyAlignment="1">
      <alignment horizontal="center" vertical="center"/>
    </xf>
    <xf numFmtId="0" fontId="9" fillId="4" borderId="47" xfId="0" applyFont="1" applyFill="1" applyBorder="1" applyAlignment="1">
      <alignment horizontal="center" vertical="center" textRotation="90"/>
    </xf>
    <xf numFmtId="0" fontId="9" fillId="4" borderId="22" xfId="0" applyFont="1" applyFill="1" applyBorder="1" applyAlignment="1">
      <alignment horizontal="center" vertical="center" textRotation="90"/>
    </xf>
    <xf numFmtId="0" fontId="9" fillId="4" borderId="32" xfId="0" applyFont="1" applyFill="1" applyBorder="1" applyAlignment="1">
      <alignment horizontal="center" vertical="center" textRotation="90"/>
    </xf>
    <xf numFmtId="0" fontId="9" fillId="4" borderId="49" xfId="0" applyFont="1" applyFill="1" applyBorder="1" applyAlignment="1">
      <alignment horizontal="center" vertical="center" textRotation="90"/>
    </xf>
    <xf numFmtId="0" fontId="9" fillId="4" borderId="48" xfId="0" applyFont="1" applyFill="1" applyBorder="1" applyAlignment="1">
      <alignment horizontal="center" vertical="center" textRotation="90"/>
    </xf>
    <xf numFmtId="0" fontId="9" fillId="4" borderId="19" xfId="0" applyFont="1" applyFill="1" applyBorder="1" applyAlignment="1">
      <alignment horizontal="center" vertical="center" textRotation="90"/>
    </xf>
    <xf numFmtId="0" fontId="9" fillId="4" borderId="20" xfId="0" applyFont="1" applyFill="1" applyBorder="1" applyAlignment="1">
      <alignment horizontal="center" vertical="center" textRotation="90"/>
    </xf>
    <xf numFmtId="0" fontId="9" fillId="4" borderId="21" xfId="0" applyFont="1" applyFill="1" applyBorder="1" applyAlignment="1">
      <alignment horizontal="center" vertical="center" textRotation="90"/>
    </xf>
    <xf numFmtId="0" fontId="35" fillId="6" borderId="35" xfId="0" applyFont="1" applyFill="1" applyBorder="1" applyAlignment="1" applyProtection="1">
      <alignment horizontal="left" vertical="center" wrapText="1"/>
      <protection locked="0"/>
    </xf>
    <xf numFmtId="0" fontId="35" fillId="0" borderId="0" xfId="0" applyFont="1" applyAlignment="1">
      <alignment vertical="center" wrapText="1"/>
    </xf>
    <xf numFmtId="0" fontId="5" fillId="7" borderId="0" xfId="0" applyFont="1" applyFill="1" applyAlignment="1">
      <alignment vertical="center" wrapText="1"/>
    </xf>
    <xf numFmtId="0" fontId="5" fillId="7" borderId="0" xfId="0" applyFont="1" applyFill="1" applyAlignment="1">
      <alignment horizontal="center" vertical="center" wrapText="1"/>
    </xf>
    <xf numFmtId="0" fontId="5" fillId="0" borderId="0" xfId="0" applyFont="1" applyAlignment="1">
      <alignment horizontal="center" vertical="center" wrapText="1"/>
    </xf>
    <xf numFmtId="2" fontId="21" fillId="0" borderId="0" xfId="0" applyNumberFormat="1" applyFont="1" applyAlignment="1">
      <alignment vertical="center"/>
    </xf>
    <xf numFmtId="0" fontId="35" fillId="0" borderId="18" xfId="0" applyFont="1" applyBorder="1" applyAlignment="1">
      <alignment vertical="center"/>
    </xf>
    <xf numFmtId="0" fontId="35" fillId="0" borderId="0" xfId="0" applyFont="1" applyAlignment="1">
      <alignment vertical="center"/>
    </xf>
    <xf numFmtId="0" fontId="35" fillId="0" borderId="35" xfId="0" applyFont="1" applyBorder="1" applyAlignment="1">
      <alignment vertical="center"/>
    </xf>
    <xf numFmtId="0" fontId="35" fillId="0" borderId="37" xfId="0" applyFont="1" applyBorder="1" applyAlignment="1">
      <alignment vertical="center"/>
    </xf>
    <xf numFmtId="0" fontId="35" fillId="0" borderId="19" xfId="0" applyFont="1" applyBorder="1" applyAlignment="1">
      <alignment vertical="center"/>
    </xf>
    <xf numFmtId="0" fontId="35" fillId="0" borderId="21" xfId="0" applyFont="1" applyBorder="1" applyAlignment="1">
      <alignment vertical="center"/>
    </xf>
    <xf numFmtId="0" fontId="21" fillId="0" borderId="19" xfId="0" applyFont="1" applyBorder="1" applyAlignment="1">
      <alignment vertical="center"/>
    </xf>
    <xf numFmtId="2" fontId="21" fillId="0" borderId="20" xfId="0" applyNumberFormat="1" applyFont="1" applyBorder="1" applyAlignment="1">
      <alignment vertical="center"/>
    </xf>
    <xf numFmtId="2" fontId="21" fillId="0" borderId="27" xfId="0" applyNumberFormat="1" applyFont="1" applyBorder="1" applyAlignment="1">
      <alignment vertical="center"/>
    </xf>
    <xf numFmtId="0" fontId="21" fillId="0" borderId="0" xfId="0" applyFont="1" applyAlignment="1">
      <alignment vertical="center"/>
    </xf>
    <xf numFmtId="0" fontId="35" fillId="0" borderId="16" xfId="0" applyFont="1" applyBorder="1" applyAlignment="1">
      <alignment vertical="center"/>
    </xf>
    <xf numFmtId="0" fontId="14" fillId="0" borderId="0" xfId="0" applyFont="1"/>
    <xf numFmtId="0" fontId="9" fillId="0" borderId="0" xfId="0" applyFont="1" applyAlignment="1">
      <alignment vertical="center"/>
    </xf>
    <xf numFmtId="0" fontId="35" fillId="0" borderId="0" xfId="0" applyFont="1"/>
    <xf numFmtId="0" fontId="55" fillId="0" borderId="0" xfId="0" applyFont="1" applyAlignment="1">
      <alignment vertical="top" wrapText="1"/>
    </xf>
    <xf numFmtId="0" fontId="35" fillId="5" borderId="0" xfId="0" applyFont="1" applyFill="1" applyAlignment="1">
      <alignment horizontal="left" vertical="top" wrapText="1"/>
    </xf>
    <xf numFmtId="0" fontId="55" fillId="0" borderId="0" xfId="0" applyFont="1" applyAlignment="1">
      <alignment horizontal="left" vertical="top"/>
    </xf>
    <xf numFmtId="0" fontId="35" fillId="0" borderId="0" xfId="0" applyFont="1" applyAlignment="1">
      <alignment horizontal="center" wrapText="1"/>
    </xf>
    <xf numFmtId="0" fontId="35" fillId="0" borderId="0" xfId="0" applyFont="1" applyAlignment="1">
      <alignment horizontal="center" vertical="center"/>
    </xf>
    <xf numFmtId="0" fontId="35" fillId="6" borderId="37" xfId="0" applyFont="1" applyFill="1" applyBorder="1" applyAlignment="1" applyProtection="1">
      <alignment horizontal="center" vertical="center" wrapText="1"/>
      <protection locked="0"/>
    </xf>
    <xf numFmtId="4" fontId="35" fillId="6" borderId="36" xfId="0" applyNumberFormat="1" applyFont="1" applyFill="1" applyBorder="1" applyAlignment="1" applyProtection="1">
      <alignment horizontal="right" vertical="center" wrapText="1"/>
      <protection locked="0"/>
    </xf>
    <xf numFmtId="0" fontId="8" fillId="7" borderId="0" xfId="0" applyFont="1" applyFill="1" applyAlignment="1">
      <alignment vertical="center" wrapText="1"/>
    </xf>
    <xf numFmtId="0" fontId="8" fillId="7" borderId="0" xfId="0" applyFont="1" applyFill="1" applyAlignment="1">
      <alignment horizontal="center" vertical="center" wrapText="1"/>
    </xf>
    <xf numFmtId="0" fontId="8" fillId="0" borderId="0" xfId="0" applyFont="1"/>
    <xf numFmtId="0" fontId="25" fillId="0" borderId="0" xfId="0" applyFont="1" applyAlignment="1">
      <alignment vertical="top"/>
    </xf>
    <xf numFmtId="0" fontId="9" fillId="0" borderId="0" xfId="0" applyFont="1" applyAlignment="1">
      <alignment horizontal="left" vertical="center"/>
    </xf>
    <xf numFmtId="0" fontId="30" fillId="4" borderId="6" xfId="0" applyFont="1" applyFill="1" applyBorder="1" applyAlignment="1">
      <alignment horizontal="center" vertical="center" wrapText="1"/>
    </xf>
    <xf numFmtId="0" fontId="24" fillId="0" borderId="4" xfId="0" applyFont="1" applyBorder="1" applyAlignment="1">
      <alignment vertical="center"/>
    </xf>
    <xf numFmtId="0" fontId="4" fillId="4" borderId="6" xfId="0" applyFont="1" applyFill="1" applyBorder="1" applyAlignment="1">
      <alignment horizontal="left" vertical="center" wrapText="1" indent="1"/>
    </xf>
    <xf numFmtId="0" fontId="8" fillId="4" borderId="6" xfId="0" applyFont="1" applyFill="1" applyBorder="1" applyAlignment="1">
      <alignment horizontal="left" vertical="center" wrapText="1" indent="1"/>
    </xf>
    <xf numFmtId="0" fontId="4" fillId="8" borderId="21" xfId="0" applyFont="1" applyFill="1" applyBorder="1" applyAlignment="1">
      <alignment horizontal="center" vertical="center" wrapText="1"/>
    </xf>
    <xf numFmtId="0" fontId="35" fillId="0" borderId="44" xfId="0" applyFont="1" applyBorder="1" applyAlignment="1">
      <alignment horizontal="left" vertical="top" wrapText="1"/>
    </xf>
    <xf numFmtId="0" fontId="35" fillId="0" borderId="16" xfId="0" applyFont="1" applyBorder="1" applyAlignment="1">
      <alignment horizontal="left" vertical="top" wrapText="1"/>
    </xf>
    <xf numFmtId="0" fontId="35" fillId="0" borderId="18" xfId="0" applyFont="1" applyBorder="1" applyAlignment="1">
      <alignment horizontal="left" vertical="top" wrapText="1"/>
    </xf>
    <xf numFmtId="0" fontId="35" fillId="0" borderId="45" xfId="0" applyFont="1" applyBorder="1" applyAlignment="1">
      <alignment horizontal="left" vertical="top" wrapText="1"/>
    </xf>
    <xf numFmtId="0" fontId="35" fillId="0" borderId="45" xfId="0" applyFont="1" applyBorder="1" applyAlignment="1">
      <alignment horizontal="left" vertical="top"/>
    </xf>
    <xf numFmtId="0" fontId="35" fillId="0" borderId="35" xfId="0" applyFont="1" applyBorder="1" applyAlignment="1">
      <alignment horizontal="left" vertical="top" wrapText="1"/>
    </xf>
    <xf numFmtId="0" fontId="35" fillId="0" borderId="37" xfId="0" applyFont="1" applyBorder="1" applyAlignment="1">
      <alignment horizontal="left" vertical="top" wrapText="1"/>
    </xf>
    <xf numFmtId="0" fontId="35" fillId="0" borderId="35" xfId="0" applyFont="1" applyBorder="1" applyAlignment="1">
      <alignment horizontal="right" vertical="center"/>
    </xf>
    <xf numFmtId="0" fontId="35" fillId="0" borderId="88" xfId="0" applyFont="1" applyBorder="1" applyAlignment="1">
      <alignment horizontal="left" vertical="top" wrapText="1"/>
    </xf>
    <xf numFmtId="0" fontId="35" fillId="0" borderId="88" xfId="0" applyFont="1" applyBorder="1" applyAlignment="1">
      <alignment horizontal="left" vertical="top"/>
    </xf>
    <xf numFmtId="0" fontId="4" fillId="8" borderId="19" xfId="0" applyFont="1" applyFill="1" applyBorder="1" applyAlignment="1">
      <alignment horizontal="center" vertical="center" wrapText="1"/>
    </xf>
    <xf numFmtId="0" fontId="35" fillId="0" borderId="28" xfId="0" applyFont="1" applyBorder="1" applyAlignment="1">
      <alignment vertical="center"/>
    </xf>
    <xf numFmtId="0" fontId="35" fillId="0" borderId="39" xfId="0" applyFont="1" applyBorder="1" applyAlignment="1">
      <alignment vertical="center"/>
    </xf>
    <xf numFmtId="0" fontId="35" fillId="0" borderId="29" xfId="0" applyFont="1" applyBorder="1" applyAlignment="1">
      <alignment vertical="center"/>
    </xf>
    <xf numFmtId="0" fontId="35" fillId="0" borderId="26" xfId="0" applyFont="1" applyBorder="1" applyAlignment="1">
      <alignment vertical="center"/>
    </xf>
    <xf numFmtId="0" fontId="35" fillId="0" borderId="38" xfId="0" applyFont="1" applyBorder="1" applyAlignment="1">
      <alignment vertical="center"/>
    </xf>
    <xf numFmtId="0" fontId="35" fillId="0" borderId="27" xfId="0" applyFont="1" applyBorder="1" applyAlignment="1">
      <alignment vertical="center"/>
    </xf>
    <xf numFmtId="0" fontId="35" fillId="0" borderId="37" xfId="0" applyFont="1" applyBorder="1" applyAlignment="1">
      <alignment horizontal="right" vertical="center"/>
    </xf>
    <xf numFmtId="164" fontId="35" fillId="0" borderId="45" xfId="9" applyNumberFormat="1" applyFont="1" applyBorder="1" applyAlignment="1">
      <alignment horizontal="right" vertical="center"/>
    </xf>
    <xf numFmtId="0" fontId="35" fillId="0" borderId="87" xfId="0" applyFont="1" applyBorder="1" applyAlignment="1">
      <alignment horizontal="right" vertical="center"/>
    </xf>
    <xf numFmtId="164" fontId="35" fillId="0" borderId="87" xfId="9" applyNumberFormat="1" applyFont="1" applyBorder="1" applyAlignment="1">
      <alignment horizontal="right" vertical="center"/>
    </xf>
    <xf numFmtId="0" fontId="35" fillId="0" borderId="31" xfId="0" applyFont="1" applyBorder="1" applyAlignment="1">
      <alignment horizontal="right" vertical="center"/>
    </xf>
    <xf numFmtId="0" fontId="35" fillId="0" borderId="55" xfId="0" applyFont="1" applyBorder="1" applyAlignment="1">
      <alignment horizontal="right" vertical="center"/>
    </xf>
    <xf numFmtId="0" fontId="35" fillId="0" borderId="47" xfId="0" applyFont="1" applyBorder="1" applyAlignment="1">
      <alignment horizontal="right" vertical="center"/>
    </xf>
    <xf numFmtId="0" fontId="35" fillId="0" borderId="32" xfId="0" applyFont="1" applyBorder="1" applyAlignment="1">
      <alignment horizontal="right" vertical="center"/>
    </xf>
    <xf numFmtId="164" fontId="35" fillId="0" borderId="46" xfId="9" applyNumberFormat="1" applyFont="1" applyBorder="1" applyAlignment="1">
      <alignment horizontal="right" vertical="center"/>
    </xf>
    <xf numFmtId="3" fontId="35" fillId="5" borderId="0" xfId="0" applyNumberFormat="1" applyFont="1" applyFill="1" applyAlignment="1">
      <alignment horizontal="right" vertical="center" wrapText="1"/>
    </xf>
    <xf numFmtId="0" fontId="9" fillId="5" borderId="0" xfId="0" applyFont="1" applyFill="1" applyAlignment="1">
      <alignment horizontal="center" vertical="center"/>
    </xf>
    <xf numFmtId="0" fontId="9" fillId="5" borderId="0" xfId="0" applyFont="1" applyFill="1"/>
    <xf numFmtId="164" fontId="9" fillId="0" borderId="0" xfId="10" applyNumberFormat="1" applyFont="1" applyFill="1" applyBorder="1" applyAlignment="1">
      <alignment horizontal="center" vertical="center" wrapText="1"/>
    </xf>
    <xf numFmtId="164" fontId="9" fillId="42" borderId="0" xfId="10" applyNumberFormat="1" applyFont="1" applyFill="1"/>
    <xf numFmtId="0" fontId="35" fillId="6" borderId="36" xfId="0" applyFont="1" applyFill="1" applyBorder="1" applyAlignment="1" applyProtection="1">
      <alignment horizontal="left" vertical="center" wrapText="1"/>
      <protection locked="0"/>
    </xf>
    <xf numFmtId="0" fontId="9" fillId="0" borderId="0" xfId="2" applyAlignment="1">
      <alignment vertical="center"/>
    </xf>
    <xf numFmtId="0" fontId="4" fillId="8" borderId="16" xfId="0" applyFont="1" applyFill="1" applyBorder="1" applyAlignment="1">
      <alignment horizontal="center" vertical="center" wrapText="1"/>
    </xf>
    <xf numFmtId="0" fontId="49" fillId="0" borderId="4" xfId="0" applyFont="1" applyBorder="1" applyAlignment="1">
      <alignment horizontal="center" vertical="center"/>
    </xf>
    <xf numFmtId="0" fontId="35" fillId="0" borderId="16" xfId="0" applyFont="1" applyBorder="1" applyAlignment="1">
      <alignment horizontal="center" vertical="top" wrapText="1"/>
    </xf>
    <xf numFmtId="0" fontId="35" fillId="0" borderId="35" xfId="0" applyFont="1" applyBorder="1" applyAlignment="1">
      <alignment horizontal="center" vertical="top" wrapText="1"/>
    </xf>
    <xf numFmtId="0" fontId="4" fillId="0" borderId="0" xfId="0" applyFont="1" applyAlignment="1">
      <alignment vertical="center"/>
    </xf>
    <xf numFmtId="174" fontId="35" fillId="0" borderId="87" xfId="1" applyNumberFormat="1" applyFont="1" applyBorder="1" applyAlignment="1">
      <alignment horizontal="right" vertical="center"/>
    </xf>
    <xf numFmtId="0" fontId="9" fillId="5" borderId="0" xfId="2" applyFill="1" applyAlignment="1">
      <alignment horizontal="left" vertical="center"/>
    </xf>
    <xf numFmtId="0" fontId="9" fillId="0" borderId="0" xfId="2" applyAlignment="1">
      <alignment horizontal="left" vertical="center"/>
    </xf>
    <xf numFmtId="0" fontId="9" fillId="9" borderId="0" xfId="2" applyFill="1" applyAlignment="1">
      <alignment horizontal="left" vertical="center"/>
    </xf>
    <xf numFmtId="0" fontId="9" fillId="9" borderId="0" xfId="2" applyFill="1" applyAlignment="1">
      <alignment vertical="center"/>
    </xf>
    <xf numFmtId="3" fontId="9" fillId="9" borderId="0" xfId="2" applyNumberFormat="1" applyFill="1" applyAlignment="1">
      <alignment horizontal="left" vertical="center" wrapText="1"/>
    </xf>
    <xf numFmtId="0" fontId="9" fillId="0" borderId="0" xfId="2" applyAlignment="1">
      <alignment horizontal="right" vertical="center"/>
    </xf>
    <xf numFmtId="0" fontId="9" fillId="9" borderId="0" xfId="2" applyFill="1" applyAlignment="1">
      <alignment horizontal="center" vertical="center" wrapText="1"/>
    </xf>
    <xf numFmtId="0" fontId="9" fillId="0" borderId="0" xfId="2" applyAlignment="1">
      <alignment horizontal="center" vertical="center" wrapText="1"/>
    </xf>
    <xf numFmtId="167" fontId="9" fillId="0" borderId="0" xfId="12" applyNumberFormat="1" applyFont="1" applyFill="1" applyBorder="1" applyAlignment="1">
      <alignment horizontal="right" vertical="top"/>
    </xf>
    <xf numFmtId="170" fontId="9" fillId="0" borderId="0" xfId="11" applyNumberFormat="1" applyFont="1" applyFill="1" applyBorder="1" applyAlignment="1">
      <alignment horizontal="right" vertical="top"/>
    </xf>
    <xf numFmtId="177" fontId="9" fillId="0" borderId="0" xfId="2" applyNumberFormat="1" applyAlignment="1">
      <alignment vertical="center"/>
    </xf>
    <xf numFmtId="42" fontId="9" fillId="5" borderId="0" xfId="2" applyNumberFormat="1" applyFill="1" applyAlignment="1">
      <alignment horizontal="center" vertical="center" wrapText="1"/>
    </xf>
    <xf numFmtId="164" fontId="9" fillId="9" borderId="0" xfId="10" applyNumberFormat="1" applyFont="1" applyFill="1" applyBorder="1" applyAlignment="1">
      <alignment vertical="center" wrapText="1"/>
    </xf>
    <xf numFmtId="171" fontId="9" fillId="0" borderId="0" xfId="12" applyNumberFormat="1" applyFont="1" applyFill="1" applyBorder="1" applyAlignment="1">
      <alignment horizontal="right" vertical="top"/>
    </xf>
    <xf numFmtId="183" fontId="9" fillId="5" borderId="0" xfId="2" applyNumberFormat="1" applyFill="1" applyAlignment="1">
      <alignment horizontal="center" vertical="center" wrapText="1"/>
    </xf>
    <xf numFmtId="43" fontId="9" fillId="5" borderId="0" xfId="12" applyFont="1" applyFill="1" applyBorder="1" applyAlignment="1">
      <alignment horizontal="right" vertical="top"/>
    </xf>
    <xf numFmtId="44" fontId="9" fillId="5" borderId="0" xfId="11" applyFont="1" applyFill="1" applyBorder="1" applyAlignment="1">
      <alignment horizontal="center" vertical="center" wrapText="1"/>
    </xf>
    <xf numFmtId="49" fontId="9" fillId="5" borderId="0" xfId="2" applyNumberFormat="1" applyFill="1" applyAlignment="1">
      <alignment horizontal="left" vertical="center"/>
    </xf>
    <xf numFmtId="49" fontId="20" fillId="0" borderId="0" xfId="2" applyNumberFormat="1" applyFont="1" applyAlignment="1">
      <alignment horizontal="left" vertical="center"/>
    </xf>
    <xf numFmtId="0" fontId="9" fillId="0" borderId="0" xfId="2" applyAlignment="1">
      <alignment horizontal="left" vertical="center" wrapText="1"/>
    </xf>
    <xf numFmtId="0" fontId="20" fillId="9" borderId="0" xfId="2" applyFont="1" applyFill="1" applyAlignment="1">
      <alignment vertical="center"/>
    </xf>
    <xf numFmtId="173" fontId="9" fillId="0" borderId="0" xfId="2" applyNumberFormat="1" applyAlignment="1">
      <alignment vertical="center"/>
    </xf>
    <xf numFmtId="0" fontId="9" fillId="5" borderId="0" xfId="2" applyFill="1" applyAlignment="1">
      <alignment horizontal="left" vertical="center" wrapText="1"/>
    </xf>
    <xf numFmtId="49" fontId="9" fillId="0" borderId="0" xfId="2" applyNumberFormat="1" applyAlignment="1">
      <alignment horizontal="left" vertical="center" wrapText="1"/>
    </xf>
    <xf numFmtId="3" fontId="9" fillId="0" borderId="0" xfId="2" applyNumberFormat="1" applyAlignment="1">
      <alignment horizontal="left" vertical="top"/>
    </xf>
    <xf numFmtId="172" fontId="9" fillId="0" borderId="0" xfId="11" applyNumberFormat="1" applyFont="1" applyAlignment="1">
      <alignment vertical="center"/>
    </xf>
    <xf numFmtId="44" fontId="9" fillId="0" borderId="0" xfId="11" applyFont="1" applyAlignment="1">
      <alignment vertical="center"/>
    </xf>
    <xf numFmtId="186" fontId="9" fillId="0" borderId="0" xfId="96" applyNumberFormat="1" applyFont="1" applyAlignment="1">
      <alignment vertical="center"/>
    </xf>
    <xf numFmtId="172" fontId="9" fillId="0" borderId="0" xfId="11" applyNumberFormat="1" applyFont="1" applyBorder="1" applyAlignment="1">
      <alignment vertical="center"/>
    </xf>
    <xf numFmtId="44" fontId="9" fillId="0" borderId="0" xfId="11" applyFont="1" applyBorder="1" applyAlignment="1">
      <alignment vertical="center"/>
    </xf>
    <xf numFmtId="0" fontId="9" fillId="0" borderId="0" xfId="2" applyAlignment="1">
      <alignment vertical="center" wrapText="1"/>
    </xf>
    <xf numFmtId="184" fontId="9" fillId="0" borderId="0" xfId="2" applyNumberFormat="1" applyAlignment="1">
      <alignment vertical="center"/>
    </xf>
    <xf numFmtId="164" fontId="9" fillId="5" borderId="0" xfId="10" applyNumberFormat="1" applyFont="1" applyFill="1" applyBorder="1" applyAlignment="1">
      <alignment vertical="center" wrapText="1"/>
    </xf>
    <xf numFmtId="3" fontId="9" fillId="9" borderId="0" xfId="2" applyNumberFormat="1" applyFill="1" applyAlignment="1">
      <alignment horizontal="left" vertical="center"/>
    </xf>
    <xf numFmtId="0" fontId="9" fillId="7" borderId="0" xfId="0" applyFont="1" applyFill="1" applyAlignment="1">
      <alignment horizontal="center" vertical="center" wrapText="1"/>
    </xf>
    <xf numFmtId="176" fontId="9" fillId="0" borderId="0" xfId="12" applyNumberFormat="1" applyFont="1" applyFill="1" applyBorder="1" applyAlignment="1">
      <alignment horizontal="right" vertical="center" wrapText="1"/>
    </xf>
    <xf numFmtId="176" fontId="9" fillId="0" borderId="0" xfId="12" applyNumberFormat="1" applyFont="1" applyFill="1" applyBorder="1" applyAlignment="1">
      <alignment vertical="center" wrapText="1"/>
    </xf>
    <xf numFmtId="176" fontId="9" fillId="0" borderId="0" xfId="2" applyNumberFormat="1" applyAlignment="1">
      <alignment vertical="center"/>
    </xf>
    <xf numFmtId="0" fontId="9" fillId="7" borderId="0" xfId="0" applyFont="1" applyFill="1" applyAlignment="1">
      <alignment vertical="center"/>
    </xf>
    <xf numFmtId="49" fontId="9" fillId="0" borderId="0" xfId="2" applyNumberFormat="1" applyAlignment="1">
      <alignment horizontal="left" vertical="center"/>
    </xf>
    <xf numFmtId="49" fontId="9" fillId="9" borderId="0" xfId="2" applyNumberFormat="1" applyFill="1" applyAlignment="1">
      <alignment horizontal="center" vertical="center" wrapText="1"/>
    </xf>
    <xf numFmtId="49" fontId="9" fillId="5" borderId="0" xfId="2" applyNumberFormat="1" applyFill="1" applyAlignment="1">
      <alignment horizontal="center" vertical="center" wrapText="1"/>
    </xf>
    <xf numFmtId="44" fontId="9" fillId="5" borderId="0" xfId="11" applyFont="1" applyFill="1" applyBorder="1" applyAlignment="1">
      <alignment horizontal="right" vertical="top"/>
    </xf>
    <xf numFmtId="0" fontId="18" fillId="0" borderId="0" xfId="2" applyFont="1" applyAlignment="1">
      <alignment vertical="center"/>
    </xf>
    <xf numFmtId="0" fontId="18" fillId="5" borderId="0" xfId="2" applyFont="1" applyFill="1" applyAlignment="1">
      <alignment vertical="center"/>
    </xf>
    <xf numFmtId="0" fontId="20" fillId="0" borderId="0" xfId="2" applyFont="1" applyAlignment="1">
      <alignment vertical="top"/>
    </xf>
    <xf numFmtId="0" fontId="42" fillId="0" borderId="0" xfId="2" applyFont="1" applyAlignment="1">
      <alignment vertical="center"/>
    </xf>
    <xf numFmtId="172" fontId="9" fillId="0" borderId="0" xfId="11" applyNumberFormat="1" applyFont="1" applyFill="1" applyBorder="1" applyAlignment="1">
      <alignment vertical="center"/>
    </xf>
    <xf numFmtId="44" fontId="9" fillId="0" borderId="0" xfId="11" applyFont="1" applyFill="1" applyBorder="1" applyAlignment="1">
      <alignment vertical="center"/>
    </xf>
    <xf numFmtId="0" fontId="9" fillId="5" borderId="0" xfId="2" applyFill="1"/>
    <xf numFmtId="3" fontId="9" fillId="5" borderId="0" xfId="2" applyNumberFormat="1" applyFill="1" applyAlignment="1">
      <alignment horizontal="left" vertical="center"/>
    </xf>
    <xf numFmtId="164" fontId="9" fillId="0" borderId="0" xfId="10" applyNumberFormat="1" applyFont="1" applyFill="1" applyBorder="1" applyAlignment="1">
      <alignment horizontal="center" vertical="center"/>
    </xf>
    <xf numFmtId="42" fontId="9" fillId="0" borderId="0" xfId="2" applyNumberFormat="1" applyAlignment="1">
      <alignment horizontal="center" vertical="center" wrapText="1"/>
    </xf>
    <xf numFmtId="171" fontId="9" fillId="0" borderId="0" xfId="2" applyNumberFormat="1" applyAlignment="1">
      <alignment vertical="center"/>
    </xf>
    <xf numFmtId="43" fontId="9" fillId="0" borderId="0" xfId="2" applyNumberFormat="1" applyAlignment="1">
      <alignment vertical="center"/>
    </xf>
    <xf numFmtId="43" fontId="9" fillId="0" borderId="0" xfId="1" applyFont="1" applyFill="1" applyBorder="1" applyAlignment="1">
      <alignment horizontal="center" vertical="center" wrapText="1"/>
    </xf>
    <xf numFmtId="0" fontId="9" fillId="0" borderId="0" xfId="2" applyAlignment="1">
      <alignment horizontal="right" vertical="top"/>
    </xf>
    <xf numFmtId="0" fontId="9" fillId="5" borderId="0" xfId="0" applyFont="1" applyFill="1" applyAlignment="1">
      <alignment horizontal="center" vertical="center" wrapText="1"/>
    </xf>
    <xf numFmtId="175" fontId="9" fillId="0" borderId="0" xfId="2" applyNumberFormat="1" applyAlignment="1">
      <alignment vertical="center"/>
    </xf>
    <xf numFmtId="0" fontId="0" fillId="5" borderId="0" xfId="15" applyFont="1" applyFill="1"/>
    <xf numFmtId="189" fontId="9" fillId="9" borderId="0" xfId="96" applyNumberFormat="1" applyFont="1" applyFill="1" applyBorder="1" applyAlignment="1">
      <alignment vertical="center"/>
    </xf>
    <xf numFmtId="0" fontId="40" fillId="0" borderId="0" xfId="0" applyFont="1" applyAlignment="1">
      <alignment vertical="center" wrapText="1"/>
    </xf>
    <xf numFmtId="0" fontId="40" fillId="0" borderId="0" xfId="0" applyFont="1"/>
    <xf numFmtId="0" fontId="40" fillId="0" borderId="0" xfId="0" applyFont="1" applyAlignment="1">
      <alignment wrapText="1"/>
    </xf>
    <xf numFmtId="0" fontId="40" fillId="0" borderId="0" xfId="0" applyFont="1" applyAlignment="1">
      <alignment horizontal="center" vertical="center"/>
    </xf>
    <xf numFmtId="0" fontId="9" fillId="5" borderId="0" xfId="2" applyFill="1" applyAlignment="1">
      <alignment wrapText="1"/>
    </xf>
    <xf numFmtId="0" fontId="35" fillId="0" borderId="0" xfId="0" applyFont="1" applyAlignment="1">
      <alignment vertical="top"/>
    </xf>
    <xf numFmtId="0" fontId="30" fillId="0" borderId="0" xfId="0" applyFont="1" applyAlignment="1">
      <alignment horizontal="left" vertical="center"/>
    </xf>
    <xf numFmtId="0" fontId="18" fillId="0" borderId="0" xfId="2" applyFont="1" applyAlignment="1">
      <alignment vertical="top"/>
    </xf>
    <xf numFmtId="0" fontId="9" fillId="0" borderId="0" xfId="2" applyAlignment="1">
      <alignment horizontal="left" vertical="top" indent="4"/>
    </xf>
    <xf numFmtId="0" fontId="18" fillId="5" borderId="0" xfId="2" applyFont="1" applyFill="1" applyAlignment="1">
      <alignment vertical="top"/>
    </xf>
    <xf numFmtId="0" fontId="9" fillId="0" borderId="0" xfId="2" applyAlignment="1">
      <alignment horizontal="left" vertical="top" indent="3"/>
    </xf>
    <xf numFmtId="0" fontId="9" fillId="5" borderId="0" xfId="2" applyFill="1" applyAlignment="1">
      <alignment horizontal="left" vertical="top" wrapText="1" indent="4"/>
    </xf>
    <xf numFmtId="0" fontId="9" fillId="9" borderId="0" xfId="2" applyFill="1" applyAlignment="1">
      <alignment horizontal="left" vertical="top" indent="4"/>
    </xf>
    <xf numFmtId="0" fontId="0" fillId="6" borderId="0" xfId="0" applyFill="1"/>
    <xf numFmtId="0" fontId="9" fillId="6" borderId="0" xfId="298" applyFill="1" applyAlignment="1">
      <alignment vertical="center"/>
    </xf>
    <xf numFmtId="0" fontId="9" fillId="6" borderId="0" xfId="2" applyFill="1" applyAlignment="1">
      <alignment vertical="center"/>
    </xf>
    <xf numFmtId="0" fontId="77" fillId="0" borderId="0" xfId="298" applyFont="1" applyAlignment="1">
      <alignment horizontal="left" vertical="center"/>
    </xf>
    <xf numFmtId="0" fontId="9" fillId="0" borderId="0" xfId="298" applyAlignment="1">
      <alignment vertical="center"/>
    </xf>
    <xf numFmtId="49" fontId="17" fillId="0" borderId="0" xfId="298" applyNumberFormat="1" applyFont="1" applyAlignment="1">
      <alignment vertical="center"/>
    </xf>
    <xf numFmtId="49" fontId="23" fillId="0" borderId="0" xfId="298" applyNumberFormat="1" applyFont="1" applyAlignment="1">
      <alignment vertical="center" wrapText="1"/>
    </xf>
    <xf numFmtId="49" fontId="23" fillId="0" borderId="0" xfId="298" applyNumberFormat="1" applyFont="1" applyAlignment="1">
      <alignment vertical="center"/>
    </xf>
    <xf numFmtId="0" fontId="20" fillId="0" borderId="0" xfId="298" applyFont="1" applyAlignment="1">
      <alignment vertical="center"/>
    </xf>
    <xf numFmtId="0" fontId="9" fillId="0" borderId="14" xfId="2" applyBorder="1" applyAlignment="1">
      <alignment vertical="center"/>
    </xf>
    <xf numFmtId="0" fontId="78" fillId="0" borderId="0" xfId="298" applyFont="1" applyAlignment="1">
      <alignment vertical="center" wrapText="1"/>
    </xf>
    <xf numFmtId="0" fontId="21" fillId="0" borderId="108" xfId="0" applyFont="1" applyBorder="1" applyAlignment="1">
      <alignment vertical="center" wrapText="1"/>
    </xf>
    <xf numFmtId="0" fontId="9" fillId="0" borderId="108" xfId="0" applyFont="1" applyBorder="1" applyAlignment="1">
      <alignment vertical="center" wrapText="1"/>
    </xf>
    <xf numFmtId="0" fontId="9" fillId="0" borderId="0" xfId="2" applyAlignment="1">
      <alignment horizontal="left" vertical="top"/>
    </xf>
    <xf numFmtId="0" fontId="6" fillId="0" borderId="0" xfId="0" applyFont="1" applyProtection="1">
      <protection locked="0"/>
    </xf>
    <xf numFmtId="0" fontId="80" fillId="7" borderId="0" xfId="0" applyFont="1" applyFill="1" applyAlignment="1">
      <alignment vertical="center" wrapText="1"/>
    </xf>
    <xf numFmtId="164" fontId="9" fillId="0" borderId="0" xfId="10" applyNumberFormat="1" applyFont="1" applyFill="1" applyBorder="1" applyAlignment="1">
      <alignment horizontal="right" vertical="top"/>
    </xf>
    <xf numFmtId="0" fontId="3" fillId="0" borderId="0" xfId="0" applyFont="1" applyAlignment="1">
      <alignment vertical="top"/>
    </xf>
    <xf numFmtId="49" fontId="9" fillId="0" borderId="0" xfId="2" applyNumberFormat="1" applyAlignment="1">
      <alignment horizontal="center" vertical="center" wrapText="1"/>
    </xf>
    <xf numFmtId="164" fontId="9" fillId="0" borderId="0" xfId="10" applyNumberFormat="1" applyFont="1" applyFill="1" applyBorder="1" applyAlignment="1" applyProtection="1">
      <alignment horizontal="right" vertical="top"/>
    </xf>
    <xf numFmtId="171" fontId="9" fillId="0" borderId="0" xfId="12" applyNumberFormat="1" applyFont="1" applyFill="1" applyBorder="1" applyAlignment="1" applyProtection="1">
      <alignment horizontal="right" vertical="top"/>
    </xf>
    <xf numFmtId="170" fontId="9" fillId="0" borderId="0" xfId="11" applyNumberFormat="1" applyFont="1" applyFill="1" applyBorder="1" applyAlignment="1" applyProtection="1">
      <alignment horizontal="right" vertical="top"/>
    </xf>
    <xf numFmtId="167" fontId="9" fillId="0" borderId="0" xfId="12" applyNumberFormat="1" applyFont="1" applyFill="1" applyBorder="1" applyAlignment="1" applyProtection="1">
      <alignment horizontal="right" vertical="top"/>
    </xf>
    <xf numFmtId="0" fontId="3" fillId="0" borderId="0" xfId="0" applyFont="1"/>
    <xf numFmtId="0" fontId="30" fillId="0" borderId="0" xfId="0" applyFont="1" applyAlignment="1">
      <alignment horizontal="left" vertical="top" indent="1"/>
    </xf>
    <xf numFmtId="0" fontId="21" fillId="0" borderId="2" xfId="2" applyFont="1" applyBorder="1" applyAlignment="1">
      <alignment horizontal="left" vertical="center" indent="1"/>
    </xf>
    <xf numFmtId="0" fontId="9" fillId="5" borderId="0" xfId="2" applyFill="1" applyAlignment="1">
      <alignment vertical="top" wrapText="1"/>
    </xf>
    <xf numFmtId="0" fontId="35" fillId="0" borderId="0" xfId="0" applyFont="1" applyAlignment="1" applyProtection="1">
      <alignment horizontal="left" vertical="center" wrapText="1"/>
      <protection locked="0"/>
    </xf>
    <xf numFmtId="3" fontId="35" fillId="0" borderId="0" xfId="0" applyNumberFormat="1" applyFont="1" applyAlignment="1" applyProtection="1">
      <alignment horizontal="right" vertical="center" wrapText="1"/>
      <protection locked="0"/>
    </xf>
    <xf numFmtId="4" fontId="35" fillId="0" borderId="0" xfId="0" applyNumberFormat="1" applyFont="1" applyAlignment="1" applyProtection="1">
      <alignment horizontal="right" vertical="center" wrapText="1"/>
      <protection locked="0"/>
    </xf>
    <xf numFmtId="0" fontId="35" fillId="0" borderId="0" xfId="0" applyFont="1" applyAlignment="1" applyProtection="1">
      <alignment horizontal="center" vertical="center" wrapText="1"/>
      <protection locked="0"/>
    </xf>
    <xf numFmtId="0" fontId="3" fillId="0" borderId="0" xfId="0" applyFont="1" applyAlignment="1">
      <alignment vertical="center" wrapText="1"/>
    </xf>
    <xf numFmtId="0" fontId="40" fillId="5" borderId="0" xfId="0" applyFont="1" applyFill="1"/>
    <xf numFmtId="9" fontId="35" fillId="5" borderId="0" xfId="0" applyNumberFormat="1" applyFont="1" applyFill="1" applyAlignment="1" applyProtection="1">
      <alignment horizontal="right" vertical="center" wrapText="1"/>
      <protection locked="0"/>
    </xf>
    <xf numFmtId="0" fontId="30" fillId="5" borderId="0" xfId="0" applyFont="1" applyFill="1" applyAlignment="1">
      <alignment horizontal="left" vertical="top"/>
    </xf>
    <xf numFmtId="0" fontId="3" fillId="5" borderId="0" xfId="0" applyFont="1" applyFill="1" applyAlignment="1">
      <alignment vertical="center" wrapText="1"/>
    </xf>
    <xf numFmtId="0" fontId="3" fillId="0" borderId="0" xfId="0" applyFont="1" applyAlignment="1">
      <alignment horizontal="left" vertical="center"/>
    </xf>
    <xf numFmtId="0" fontId="3" fillId="5" borderId="0" xfId="0" applyFont="1" applyFill="1" applyAlignment="1">
      <alignment horizontal="center" vertical="center" wrapText="1"/>
    </xf>
    <xf numFmtId="0" fontId="0" fillId="5" borderId="0" xfId="0" applyFill="1"/>
    <xf numFmtId="0" fontId="9" fillId="8" borderId="26" xfId="0" applyFont="1" applyFill="1" applyBorder="1" applyAlignment="1">
      <alignment vertical="center" wrapText="1"/>
    </xf>
    <xf numFmtId="0" fontId="9" fillId="8" borderId="34" xfId="0" applyFont="1" applyFill="1" applyBorder="1" applyAlignment="1">
      <alignment vertical="center" wrapText="1"/>
    </xf>
    <xf numFmtId="0" fontId="25" fillId="5" borderId="0" xfId="0" applyFont="1" applyFill="1" applyAlignment="1">
      <alignment vertical="top"/>
    </xf>
    <xf numFmtId="169" fontId="35" fillId="5" borderId="0" xfId="1" applyNumberFormat="1" applyFont="1" applyFill="1" applyBorder="1" applyAlignment="1">
      <alignment vertical="center"/>
    </xf>
    <xf numFmtId="0" fontId="3" fillId="7" borderId="0" xfId="0" applyFont="1" applyFill="1" applyAlignment="1">
      <alignment horizontal="center" vertical="center" wrapText="1"/>
    </xf>
    <xf numFmtId="0" fontId="3" fillId="7" borderId="0" xfId="0" applyFont="1" applyFill="1" applyAlignment="1">
      <alignment vertical="center" wrapText="1"/>
    </xf>
    <xf numFmtId="0" fontId="9" fillId="5" borderId="0" xfId="2" applyFill="1" applyAlignment="1">
      <alignment horizontal="left" vertical="top"/>
    </xf>
    <xf numFmtId="0" fontId="21" fillId="5" borderId="4" xfId="2" applyFont="1" applyFill="1" applyBorder="1" applyAlignment="1">
      <alignment vertical="center"/>
    </xf>
    <xf numFmtId="0" fontId="21" fillId="5" borderId="0" xfId="2" applyFont="1" applyFill="1" applyAlignment="1">
      <alignment horizontal="left" vertical="center" indent="1"/>
    </xf>
    <xf numFmtId="3" fontId="9" fillId="5" borderId="11" xfId="1" applyNumberFormat="1" applyFont="1" applyFill="1" applyBorder="1" applyAlignment="1" applyProtection="1">
      <alignment horizontal="right" vertical="center"/>
    </xf>
    <xf numFmtId="4" fontId="9" fillId="5" borderId="11" xfId="2" applyNumberFormat="1" applyFill="1" applyBorder="1" applyAlignment="1">
      <alignment horizontal="right" vertical="center"/>
    </xf>
    <xf numFmtId="0" fontId="3" fillId="5" borderId="3" xfId="0" applyFont="1" applyFill="1" applyBorder="1"/>
    <xf numFmtId="166" fontId="35" fillId="5" borderId="0" xfId="0" applyNumberFormat="1" applyFont="1" applyFill="1" applyAlignment="1">
      <alignment horizontal="left" vertical="center" wrapText="1"/>
    </xf>
    <xf numFmtId="2" fontId="35" fillId="5" borderId="4" xfId="0" applyNumberFormat="1" applyFont="1" applyFill="1" applyBorder="1" applyAlignment="1">
      <alignment horizontal="center" vertical="center" wrapText="1"/>
    </xf>
    <xf numFmtId="4" fontId="35" fillId="5" borderId="4" xfId="0" applyNumberFormat="1" applyFont="1" applyFill="1" applyBorder="1" applyAlignment="1">
      <alignment horizontal="center" vertical="center" wrapText="1"/>
    </xf>
    <xf numFmtId="0" fontId="78" fillId="0" borderId="0" xfId="0" applyFont="1" applyAlignment="1">
      <alignment horizontal="left" vertical="top" wrapText="1"/>
    </xf>
    <xf numFmtId="3" fontId="21" fillId="5" borderId="4" xfId="2" applyNumberFormat="1" applyFont="1" applyFill="1" applyBorder="1" applyAlignment="1">
      <alignment horizontal="left" vertical="center"/>
    </xf>
    <xf numFmtId="3" fontId="35" fillId="5" borderId="4" xfId="0" applyNumberFormat="1" applyFont="1" applyFill="1" applyBorder="1" applyAlignment="1">
      <alignment horizontal="center" vertical="center" wrapText="1"/>
    </xf>
    <xf numFmtId="0" fontId="40" fillId="5" borderId="0" xfId="2" applyFont="1" applyFill="1"/>
    <xf numFmtId="0" fontId="40" fillId="5" borderId="0" xfId="2" applyFont="1" applyFill="1" applyAlignment="1">
      <alignment horizontal="center" vertical="center" wrapText="1"/>
    </xf>
    <xf numFmtId="0" fontId="5" fillId="5" borderId="0" xfId="0" applyFont="1" applyFill="1" applyAlignment="1">
      <alignment vertical="center" wrapText="1"/>
    </xf>
    <xf numFmtId="0" fontId="5" fillId="5" borderId="0" xfId="0" applyFont="1" applyFill="1" applyAlignment="1">
      <alignment horizontal="center" vertical="center" wrapText="1"/>
    </xf>
    <xf numFmtId="0" fontId="29" fillId="5" borderId="0" xfId="0" applyFont="1" applyFill="1" applyAlignment="1">
      <alignment vertical="center"/>
    </xf>
    <xf numFmtId="0" fontId="9" fillId="8" borderId="16" xfId="0" applyFont="1" applyFill="1" applyBorder="1" applyAlignment="1">
      <alignment horizontal="center" vertical="center" wrapText="1"/>
    </xf>
    <xf numFmtId="0" fontId="35" fillId="0" borderId="0" xfId="0" applyFont="1" applyAlignment="1" applyProtection="1">
      <alignment vertical="center" wrapText="1"/>
      <protection locked="0"/>
    </xf>
    <xf numFmtId="0" fontId="35" fillId="0" borderId="0" xfId="0" applyFont="1" applyAlignment="1">
      <alignment horizontal="left" vertical="top" wrapText="1"/>
    </xf>
    <xf numFmtId="0" fontId="35" fillId="0" borderId="0" xfId="0" applyFont="1" applyAlignment="1" applyProtection="1">
      <alignment vertical="center"/>
      <protection locked="0"/>
    </xf>
    <xf numFmtId="0" fontId="9" fillId="5" borderId="0" xfId="0" applyFont="1" applyFill="1" applyAlignment="1">
      <alignment vertical="center" wrapText="1"/>
    </xf>
    <xf numFmtId="0" fontId="80" fillId="5" borderId="0" xfId="0" applyFont="1" applyFill="1"/>
    <xf numFmtId="0" fontId="9" fillId="8" borderId="17" xfId="0" applyFont="1" applyFill="1" applyBorder="1" applyAlignment="1">
      <alignment horizontal="center" vertical="center" wrapText="1"/>
    </xf>
    <xf numFmtId="191" fontId="35" fillId="5" borderId="0" xfId="0" applyNumberFormat="1" applyFont="1" applyFill="1" applyAlignment="1">
      <alignment horizontal="right" vertical="center" wrapText="1"/>
    </xf>
    <xf numFmtId="0" fontId="24" fillId="5" borderId="0" xfId="0" applyFont="1" applyFill="1"/>
    <xf numFmtId="0" fontId="3" fillId="0" borderId="0" xfId="0" applyFont="1" applyAlignment="1">
      <alignment horizontal="center" vertical="center"/>
    </xf>
    <xf numFmtId="0" fontId="75" fillId="0" borderId="0" xfId="0" applyFont="1" applyAlignment="1">
      <alignment vertical="center"/>
    </xf>
    <xf numFmtId="0" fontId="24" fillId="5" borderId="0" xfId="0" applyFont="1" applyFill="1" applyAlignment="1">
      <alignment vertical="center" wrapText="1"/>
    </xf>
    <xf numFmtId="0" fontId="3" fillId="5" borderId="0" xfId="0" applyFont="1" applyFill="1"/>
    <xf numFmtId="0" fontId="36" fillId="0" borderId="0" xfId="0" applyFont="1" applyAlignment="1">
      <alignment vertical="center" wrapText="1"/>
    </xf>
    <xf numFmtId="0" fontId="35" fillId="0" borderId="0" xfId="0" applyFont="1" applyAlignment="1">
      <alignment horizontal="left" vertical="center"/>
    </xf>
    <xf numFmtId="166" fontId="3" fillId="0" borderId="0" xfId="0" applyNumberFormat="1" applyFont="1" applyAlignment="1">
      <alignment horizontal="center" vertical="center"/>
    </xf>
    <xf numFmtId="0" fontId="88" fillId="0" borderId="0" xfId="0" applyFont="1"/>
    <xf numFmtId="0" fontId="89" fillId="5" borderId="0" xfId="0" applyFont="1" applyFill="1"/>
    <xf numFmtId="0" fontId="3" fillId="0" borderId="0" xfId="0" applyFont="1" applyAlignment="1">
      <alignment vertical="center"/>
    </xf>
    <xf numFmtId="0" fontId="35" fillId="5" borderId="0" xfId="0" applyFont="1" applyFill="1" applyAlignment="1" applyProtection="1">
      <alignment horizontal="left" vertical="top"/>
      <protection locked="0"/>
    </xf>
    <xf numFmtId="0" fontId="0" fillId="5" borderId="0" xfId="0" applyFill="1" applyAlignment="1">
      <alignment wrapText="1"/>
    </xf>
    <xf numFmtId="0" fontId="9" fillId="5" borderId="0" xfId="2" applyFill="1" applyAlignment="1">
      <alignment horizontal="center" vertical="center" wrapText="1"/>
    </xf>
    <xf numFmtId="0" fontId="9" fillId="5" borderId="0" xfId="2" applyFill="1" applyAlignment="1">
      <alignment vertical="center" wrapText="1"/>
    </xf>
    <xf numFmtId="0" fontId="7" fillId="5" borderId="0" xfId="0" applyFont="1" applyFill="1" applyAlignment="1">
      <alignment horizontal="center" vertical="center" wrapText="1"/>
    </xf>
    <xf numFmtId="0" fontId="31" fillId="5" borderId="0" xfId="0" applyFont="1" applyFill="1" applyAlignment="1">
      <alignment vertical="center"/>
    </xf>
    <xf numFmtId="0" fontId="90" fillId="5" borderId="0" xfId="0" applyFont="1" applyFill="1"/>
    <xf numFmtId="0" fontId="40" fillId="5" borderId="0" xfId="0" applyFont="1" applyFill="1" applyAlignment="1">
      <alignment wrapText="1"/>
    </xf>
    <xf numFmtId="0" fontId="93" fillId="5" borderId="0" xfId="0" applyFont="1" applyFill="1"/>
    <xf numFmtId="0" fontId="21" fillId="5" borderId="4" xfId="2" applyFont="1" applyFill="1" applyBorder="1" applyAlignment="1">
      <alignment horizontal="centerContinuous" vertical="center"/>
    </xf>
    <xf numFmtId="2" fontId="21" fillId="5" borderId="4" xfId="0" applyNumberFormat="1" applyFont="1" applyFill="1" applyBorder="1" applyAlignment="1">
      <alignment horizontal="center" vertical="center" wrapText="1"/>
    </xf>
    <xf numFmtId="4" fontId="21" fillId="5" borderId="4" xfId="0" applyNumberFormat="1" applyFont="1" applyFill="1" applyBorder="1" applyAlignment="1">
      <alignment horizontal="center" vertical="center" wrapText="1"/>
    </xf>
    <xf numFmtId="0" fontId="40" fillId="0" borderId="0" xfId="2" applyFont="1" applyAlignment="1">
      <alignment vertical="center"/>
    </xf>
    <xf numFmtId="0" fontId="9" fillId="5" borderId="0" xfId="0" applyFont="1" applyFill="1" applyAlignment="1">
      <alignment horizontal="left" vertical="center" wrapText="1"/>
    </xf>
    <xf numFmtId="0" fontId="20" fillId="5" borderId="98" xfId="2" applyFont="1" applyFill="1" applyBorder="1" applyAlignment="1">
      <alignment horizontal="left" vertical="center"/>
    </xf>
    <xf numFmtId="0" fontId="20" fillId="5" borderId="0" xfId="2" applyFont="1" applyFill="1" applyAlignment="1">
      <alignment horizontal="left" vertical="center"/>
    </xf>
    <xf numFmtId="0" fontId="21" fillId="5" borderId="0" xfId="2" applyFont="1" applyFill="1" applyAlignment="1" applyProtection="1">
      <alignment vertical="center"/>
      <protection locked="0"/>
    </xf>
    <xf numFmtId="0" fontId="21" fillId="0" borderId="0" xfId="2" applyFont="1" applyAlignment="1">
      <alignment vertical="center"/>
    </xf>
    <xf numFmtId="0" fontId="22" fillId="4" borderId="65" xfId="2" applyFont="1" applyFill="1" applyBorder="1" applyAlignment="1">
      <alignment vertical="center"/>
    </xf>
    <xf numFmtId="0" fontId="9" fillId="0" borderId="65" xfId="2" applyBorder="1" applyAlignment="1">
      <alignment vertical="center"/>
    </xf>
    <xf numFmtId="170" fontId="9" fillId="5" borderId="1" xfId="0" applyNumberFormat="1" applyFont="1" applyFill="1" applyBorder="1" applyAlignment="1" applyProtection="1">
      <alignment horizontal="center"/>
      <protection locked="0"/>
    </xf>
    <xf numFmtId="170" fontId="0" fillId="5" borderId="0" xfId="0" applyNumberFormat="1" applyFill="1" applyAlignment="1" applyProtection="1">
      <alignment horizontal="center"/>
      <protection locked="0"/>
    </xf>
    <xf numFmtId="0" fontId="76" fillId="0" borderId="0" xfId="2" applyFont="1" applyAlignment="1">
      <alignment horizontal="left" vertical="center"/>
    </xf>
    <xf numFmtId="0" fontId="21" fillId="0" borderId="0" xfId="2" applyFont="1" applyAlignment="1">
      <alignment horizontal="left" vertical="center"/>
    </xf>
    <xf numFmtId="0" fontId="95" fillId="8" borderId="99" xfId="0" applyFont="1" applyFill="1" applyBorder="1" applyAlignment="1">
      <alignment vertical="center"/>
    </xf>
    <xf numFmtId="0" fontId="81" fillId="8" borderId="99" xfId="2" applyFont="1" applyFill="1" applyBorder="1" applyAlignment="1">
      <alignment horizontal="center" vertical="center" wrapText="1"/>
    </xf>
    <xf numFmtId="49" fontId="81" fillId="8" borderId="99" xfId="2" applyNumberFormat="1" applyFont="1" applyFill="1" applyBorder="1" applyAlignment="1">
      <alignment horizontal="center" vertical="center" wrapText="1"/>
    </xf>
    <xf numFmtId="49" fontId="21" fillId="0" borderId="0" xfId="2" applyNumberFormat="1" applyFont="1" applyAlignment="1">
      <alignment horizontal="center" vertical="center" wrapText="1"/>
    </xf>
    <xf numFmtId="49" fontId="21" fillId="5" borderId="0" xfId="2" applyNumberFormat="1" applyFont="1" applyFill="1" applyAlignment="1">
      <alignment horizontal="center" vertical="center" wrapText="1"/>
    </xf>
    <xf numFmtId="0" fontId="21" fillId="5" borderId="0" xfId="2" applyFont="1" applyFill="1" applyAlignment="1">
      <alignment vertical="center"/>
    </xf>
    <xf numFmtId="0" fontId="76" fillId="0" borderId="0" xfId="2" applyFont="1" applyAlignment="1">
      <alignment vertical="center"/>
    </xf>
    <xf numFmtId="173" fontId="21" fillId="0" borderId="0" xfId="2" applyNumberFormat="1" applyFont="1" applyAlignment="1">
      <alignment vertical="center"/>
    </xf>
    <xf numFmtId="170" fontId="21" fillId="5" borderId="0" xfId="11" applyNumberFormat="1" applyFont="1" applyFill="1" applyBorder="1" applyAlignment="1" applyProtection="1">
      <alignment horizontal="center" vertical="center" wrapText="1"/>
      <protection locked="0"/>
    </xf>
    <xf numFmtId="167" fontId="21" fillId="0" borderId="0" xfId="12" applyNumberFormat="1" applyFont="1" applyFill="1" applyBorder="1" applyAlignment="1">
      <alignment horizontal="center" vertical="center" wrapText="1"/>
    </xf>
    <xf numFmtId="167" fontId="21" fillId="5" borderId="0" xfId="12" applyNumberFormat="1" applyFont="1" applyFill="1" applyBorder="1" applyAlignment="1">
      <alignment horizontal="center" vertical="center" wrapText="1"/>
    </xf>
    <xf numFmtId="170" fontId="21" fillId="5" borderId="0" xfId="2" applyNumberFormat="1" applyFont="1" applyFill="1" applyAlignment="1">
      <alignment vertical="center"/>
    </xf>
    <xf numFmtId="0" fontId="40" fillId="9" borderId="0" xfId="2" applyFont="1" applyFill="1" applyAlignment="1">
      <alignment vertical="center"/>
    </xf>
    <xf numFmtId="0" fontId="9" fillId="5" borderId="0" xfId="0" applyFont="1" applyFill="1" applyAlignment="1">
      <alignment horizontal="left" vertical="center"/>
    </xf>
    <xf numFmtId="49" fontId="9" fillId="5" borderId="0" xfId="2" applyNumberFormat="1" applyFill="1" applyAlignment="1">
      <alignment horizontal="center" vertical="center"/>
    </xf>
    <xf numFmtId="0" fontId="9" fillId="5" borderId="0" xfId="2" applyFill="1" applyAlignment="1">
      <alignment horizontal="center" vertical="center"/>
    </xf>
    <xf numFmtId="49" fontId="21" fillId="5" borderId="0" xfId="2" applyNumberFormat="1" applyFont="1" applyFill="1" applyAlignment="1">
      <alignment horizontal="center" vertical="center"/>
    </xf>
    <xf numFmtId="168" fontId="9" fillId="0" borderId="0" xfId="2" applyNumberFormat="1" applyAlignment="1">
      <alignment vertical="center"/>
    </xf>
    <xf numFmtId="0" fontId="0" fillId="5" borderId="0" xfId="0" applyFill="1" applyAlignment="1">
      <alignment vertical="center"/>
    </xf>
    <xf numFmtId="167" fontId="9" fillId="5" borderId="0" xfId="12" applyNumberFormat="1" applyFont="1" applyFill="1" applyBorder="1" applyAlignment="1" applyProtection="1">
      <alignment horizontal="left" vertical="center"/>
    </xf>
    <xf numFmtId="167" fontId="9" fillId="5" borderId="0" xfId="12" applyNumberFormat="1" applyFont="1" applyFill="1" applyBorder="1" applyAlignment="1">
      <alignment horizontal="left" vertical="center"/>
    </xf>
    <xf numFmtId="170" fontId="9" fillId="5" borderId="0" xfId="11" applyNumberFormat="1" applyFont="1" applyFill="1" applyBorder="1" applyAlignment="1" applyProtection="1">
      <alignment vertical="center"/>
    </xf>
    <xf numFmtId="170" fontId="0" fillId="5" borderId="0" xfId="0" applyNumberFormat="1" applyFill="1" applyAlignment="1">
      <alignment vertical="center"/>
    </xf>
    <xf numFmtId="0" fontId="9" fillId="5" borderId="0" xfId="0" applyFont="1" applyFill="1" applyAlignment="1">
      <alignment vertical="center"/>
    </xf>
    <xf numFmtId="171" fontId="22" fillId="0" borderId="0" xfId="2" applyNumberFormat="1" applyFont="1" applyAlignment="1">
      <alignment horizontal="left" vertical="center"/>
    </xf>
    <xf numFmtId="0" fontId="22" fillId="0" borderId="0" xfId="2" applyFont="1" applyAlignment="1">
      <alignment horizontal="left" vertical="center"/>
    </xf>
    <xf numFmtId="0" fontId="22" fillId="5" borderId="0" xfId="2" applyFont="1" applyFill="1" applyAlignment="1">
      <alignment horizontal="left" vertical="center"/>
    </xf>
    <xf numFmtId="42" fontId="21" fillId="6" borderId="99" xfId="2" applyNumberFormat="1" applyFont="1" applyFill="1" applyBorder="1" applyAlignment="1" applyProtection="1">
      <alignment horizontal="center" vertical="center" wrapText="1"/>
      <protection locked="0"/>
    </xf>
    <xf numFmtId="173" fontId="9" fillId="5" borderId="0" xfId="2" applyNumberFormat="1" applyFill="1" applyAlignment="1">
      <alignment vertical="center"/>
    </xf>
    <xf numFmtId="172" fontId="9" fillId="5" borderId="0" xfId="11" applyNumberFormat="1" applyFont="1" applyFill="1" applyBorder="1" applyAlignment="1">
      <alignment vertical="center"/>
    </xf>
    <xf numFmtId="44" fontId="9" fillId="5" borderId="0" xfId="11" applyFont="1" applyFill="1" applyBorder="1" applyAlignment="1">
      <alignment vertical="center"/>
    </xf>
    <xf numFmtId="164" fontId="9" fillId="5" borderId="0" xfId="9" applyNumberFormat="1" applyFont="1" applyFill="1" applyBorder="1" applyAlignment="1">
      <alignment vertical="center"/>
    </xf>
    <xf numFmtId="188" fontId="9" fillId="5" borderId="0" xfId="11" applyNumberFormat="1" applyFont="1" applyFill="1" applyBorder="1" applyAlignment="1">
      <alignment vertical="center"/>
    </xf>
    <xf numFmtId="175" fontId="9" fillId="5" borderId="0" xfId="2" applyNumberFormat="1" applyFill="1" applyAlignment="1">
      <alignment vertical="center"/>
    </xf>
    <xf numFmtId="186" fontId="9" fillId="5" borderId="0" xfId="96" applyNumberFormat="1" applyFont="1" applyFill="1" applyBorder="1" applyAlignment="1">
      <alignment vertical="center"/>
    </xf>
    <xf numFmtId="0" fontId="9" fillId="0" borderId="104" xfId="2" applyBorder="1" applyAlignment="1">
      <alignment horizontal="center" vertical="center" wrapText="1"/>
    </xf>
    <xf numFmtId="167" fontId="9" fillId="0" borderId="104" xfId="12" applyNumberFormat="1" applyFont="1" applyFill="1" applyBorder="1" applyAlignment="1">
      <alignment horizontal="right" vertical="top"/>
    </xf>
    <xf numFmtId="42" fontId="9" fillId="0" borderId="104" xfId="2" applyNumberFormat="1" applyBorder="1" applyAlignment="1">
      <alignment horizontal="center" vertical="center" wrapText="1"/>
    </xf>
    <xf numFmtId="164" fontId="9" fillId="0" borderId="104" xfId="10" applyNumberFormat="1" applyFont="1" applyFill="1" applyBorder="1" applyAlignment="1">
      <alignment horizontal="right" vertical="top"/>
    </xf>
    <xf numFmtId="0" fontId="91" fillId="4" borderId="99" xfId="0" applyFont="1" applyFill="1" applyBorder="1" applyAlignment="1">
      <alignment horizontal="left" vertical="center"/>
    </xf>
    <xf numFmtId="0" fontId="22" fillId="4" borderId="99" xfId="2" applyFont="1" applyFill="1" applyBorder="1" applyAlignment="1">
      <alignment horizontal="left" vertical="center"/>
    </xf>
    <xf numFmtId="49" fontId="22" fillId="4" borderId="99" xfId="2" applyNumberFormat="1" applyFont="1" applyFill="1" applyBorder="1" applyAlignment="1">
      <alignment horizontal="left" vertical="center"/>
    </xf>
    <xf numFmtId="49" fontId="22" fillId="0" borderId="0" xfId="2" applyNumberFormat="1" applyFont="1" applyAlignment="1">
      <alignment horizontal="left" vertical="center"/>
    </xf>
    <xf numFmtId="0" fontId="22" fillId="4" borderId="65" xfId="2" applyFont="1" applyFill="1" applyBorder="1" applyAlignment="1">
      <alignment horizontal="left" vertical="center"/>
    </xf>
    <xf numFmtId="189" fontId="9" fillId="46" borderId="65" xfId="96" applyNumberFormat="1" applyFont="1" applyFill="1" applyBorder="1" applyAlignment="1">
      <alignment vertical="center"/>
    </xf>
    <xf numFmtId="189" fontId="9" fillId="0" borderId="65" xfId="96" applyNumberFormat="1" applyFont="1" applyBorder="1" applyAlignment="1">
      <alignment vertical="center"/>
    </xf>
    <xf numFmtId="0" fontId="22" fillId="8" borderId="111" xfId="2" applyFont="1" applyFill="1" applyBorder="1" applyAlignment="1">
      <alignment horizontal="left" vertical="center"/>
    </xf>
    <xf numFmtId="0" fontId="22" fillId="8" borderId="99" xfId="2" applyFont="1" applyFill="1" applyBorder="1" applyAlignment="1">
      <alignment horizontal="left" vertical="center"/>
    </xf>
    <xf numFmtId="49" fontId="22" fillId="8" borderId="99" xfId="2" applyNumberFormat="1" applyFont="1" applyFill="1" applyBorder="1" applyAlignment="1">
      <alignment horizontal="left" vertical="center"/>
    </xf>
    <xf numFmtId="49" fontId="22" fillId="8" borderId="112" xfId="2" applyNumberFormat="1" applyFont="1" applyFill="1" applyBorder="1" applyAlignment="1">
      <alignment horizontal="left" vertical="center"/>
    </xf>
    <xf numFmtId="171" fontId="9" fillId="5" borderId="0" xfId="12" applyNumberFormat="1" applyFont="1" applyFill="1" applyBorder="1" applyAlignment="1" applyProtection="1">
      <alignment horizontal="right" vertical="top"/>
      <protection locked="0"/>
    </xf>
    <xf numFmtId="0" fontId="12" fillId="5" borderId="85" xfId="123" applyFont="1" applyFill="1" applyBorder="1" applyAlignment="1">
      <alignment horizontal="center"/>
    </xf>
    <xf numFmtId="0" fontId="12" fillId="5" borderId="84" xfId="123" applyFont="1" applyFill="1" applyBorder="1"/>
    <xf numFmtId="0" fontId="12" fillId="5" borderId="0" xfId="123" applyFont="1" applyFill="1"/>
    <xf numFmtId="0" fontId="9" fillId="5" borderId="0" xfId="123" applyFill="1"/>
    <xf numFmtId="0" fontId="9" fillId="0" borderId="0" xfId="123"/>
    <xf numFmtId="0" fontId="9" fillId="5" borderId="65" xfId="123" applyFill="1" applyBorder="1"/>
    <xf numFmtId="0" fontId="9" fillId="0" borderId="65" xfId="123" applyBorder="1" applyAlignment="1">
      <alignment wrapText="1"/>
    </xf>
    <xf numFmtId="0" fontId="9" fillId="0" borderId="65" xfId="123" applyBorder="1"/>
    <xf numFmtId="0" fontId="20" fillId="0" borderId="65" xfId="123" applyFont="1" applyBorder="1"/>
    <xf numFmtId="9" fontId="9" fillId="0" borderId="65" xfId="123" applyNumberFormat="1" applyBorder="1"/>
    <xf numFmtId="165" fontId="20" fillId="0" borderId="65" xfId="123" applyNumberFormat="1" applyFont="1" applyBorder="1"/>
    <xf numFmtId="49" fontId="20" fillId="5" borderId="0" xfId="2" applyNumberFormat="1" applyFont="1" applyFill="1" applyAlignment="1">
      <alignment horizontal="left" vertical="center"/>
    </xf>
    <xf numFmtId="49" fontId="20" fillId="8" borderId="99" xfId="2" applyNumberFormat="1" applyFont="1" applyFill="1" applyBorder="1" applyAlignment="1">
      <alignment horizontal="left" vertical="center"/>
    </xf>
    <xf numFmtId="0" fontId="20" fillId="8" borderId="99" xfId="2" applyFont="1" applyFill="1" applyBorder="1" applyAlignment="1">
      <alignment horizontal="left" vertical="center"/>
    </xf>
    <xf numFmtId="0" fontId="20" fillId="4" borderId="99" xfId="2" applyFont="1" applyFill="1" applyBorder="1" applyAlignment="1">
      <alignment horizontal="left" vertical="center"/>
    </xf>
    <xf numFmtId="0" fontId="9" fillId="4" borderId="99" xfId="2" applyFill="1" applyBorder="1" applyAlignment="1">
      <alignment vertical="center"/>
    </xf>
    <xf numFmtId="0" fontId="21" fillId="6" borderId="99" xfId="2" applyFont="1" applyFill="1" applyBorder="1" applyAlignment="1" applyProtection="1">
      <alignment vertical="center"/>
      <protection locked="0"/>
    </xf>
    <xf numFmtId="49" fontId="81" fillId="4" borderId="99" xfId="2" applyNumberFormat="1" applyFont="1" applyFill="1" applyBorder="1" applyAlignment="1">
      <alignment horizontal="center" vertical="center"/>
    </xf>
    <xf numFmtId="0" fontId="81" fillId="4" borderId="99" xfId="2" applyFont="1" applyFill="1" applyBorder="1"/>
    <xf numFmtId="0" fontId="81" fillId="4" borderId="99" xfId="2" applyFont="1" applyFill="1" applyBorder="1" applyAlignment="1">
      <alignment horizontal="center" vertical="center"/>
    </xf>
    <xf numFmtId="0" fontId="81" fillId="4" borderId="99" xfId="0" applyFont="1" applyFill="1" applyBorder="1" applyAlignment="1">
      <alignment vertical="center"/>
    </xf>
    <xf numFmtId="0" fontId="81" fillId="4" borderId="99" xfId="0" applyFont="1" applyFill="1" applyBorder="1" applyAlignment="1">
      <alignment horizontal="center" vertical="center"/>
    </xf>
    <xf numFmtId="0" fontId="81" fillId="4" borderId="99" xfId="0" applyFont="1" applyFill="1" applyBorder="1"/>
    <xf numFmtId="0" fontId="95" fillId="4" borderId="99" xfId="0" applyFont="1" applyFill="1" applyBorder="1"/>
    <xf numFmtId="3" fontId="21" fillId="6" borderId="99" xfId="2" applyNumberFormat="1" applyFont="1" applyFill="1" applyBorder="1" applyAlignment="1" applyProtection="1">
      <alignment horizontal="left" vertical="center"/>
      <protection locked="0"/>
    </xf>
    <xf numFmtId="3" fontId="21" fillId="6" borderId="99" xfId="2" applyNumberFormat="1" applyFont="1" applyFill="1" applyBorder="1" applyAlignment="1" applyProtection="1">
      <alignment horizontal="right" vertical="center" wrapText="1"/>
      <protection locked="0"/>
    </xf>
    <xf numFmtId="0" fontId="21" fillId="9" borderId="99" xfId="2" applyFont="1" applyFill="1" applyBorder="1" applyAlignment="1">
      <alignment vertical="center"/>
    </xf>
    <xf numFmtId="0" fontId="21" fillId="9" borderId="99" xfId="2" applyFont="1" applyFill="1" applyBorder="1" applyAlignment="1">
      <alignment horizontal="left" vertical="center" indent="1"/>
    </xf>
    <xf numFmtId="0" fontId="81" fillId="4" borderId="99" xfId="2" applyFont="1" applyFill="1" applyBorder="1" applyAlignment="1">
      <alignment horizontal="left"/>
    </xf>
    <xf numFmtId="0" fontId="81" fillId="4" borderId="99" xfId="2" applyFont="1" applyFill="1" applyBorder="1" applyAlignment="1">
      <alignment horizontal="left" vertical="center"/>
    </xf>
    <xf numFmtId="49" fontId="81" fillId="4" borderId="99" xfId="2" applyNumberFormat="1" applyFont="1" applyFill="1" applyBorder="1" applyAlignment="1">
      <alignment horizontal="left" vertical="center"/>
    </xf>
    <xf numFmtId="0" fontId="81" fillId="4" borderId="99" xfId="0" applyFont="1" applyFill="1" applyBorder="1" applyAlignment="1">
      <alignment horizontal="left" vertical="center"/>
    </xf>
    <xf numFmtId="0" fontId="81" fillId="4" borderId="99" xfId="0" applyFont="1" applyFill="1" applyBorder="1" applyAlignment="1">
      <alignment horizontal="left"/>
    </xf>
    <xf numFmtId="0" fontId="95" fillId="4" borderId="99" xfId="0" applyFont="1" applyFill="1" applyBorder="1" applyAlignment="1">
      <alignment horizontal="left"/>
    </xf>
    <xf numFmtId="168" fontId="21" fillId="5" borderId="99" xfId="2" applyNumberFormat="1" applyFont="1" applyFill="1" applyBorder="1" applyAlignment="1">
      <alignment horizontal="center" vertical="center"/>
    </xf>
    <xf numFmtId="168" fontId="21" fillId="5" borderId="99" xfId="12" applyNumberFormat="1" applyFont="1" applyFill="1" applyBorder="1" applyAlignment="1">
      <alignment horizontal="center" vertical="center"/>
    </xf>
    <xf numFmtId="168" fontId="21" fillId="0" borderId="99" xfId="0" applyNumberFormat="1" applyFont="1" applyBorder="1" applyAlignment="1">
      <alignment horizontal="center" vertical="center"/>
    </xf>
    <xf numFmtId="0" fontId="81" fillId="8" borderId="99" xfId="0" applyFont="1" applyFill="1" applyBorder="1" applyAlignment="1">
      <alignment horizontal="center" vertical="center" wrapText="1"/>
    </xf>
    <xf numFmtId="167" fontId="21" fillId="6" borderId="99" xfId="12" applyNumberFormat="1" applyFont="1" applyFill="1" applyBorder="1" applyAlignment="1" applyProtection="1">
      <alignment horizontal="left" vertical="center" wrapText="1"/>
      <protection locked="0"/>
    </xf>
    <xf numFmtId="168" fontId="21" fillId="6" borderId="99" xfId="12" applyNumberFormat="1" applyFont="1" applyFill="1" applyBorder="1" applyAlignment="1" applyProtection="1">
      <alignment horizontal="center" vertical="center" wrapText="1"/>
      <protection locked="0"/>
    </xf>
    <xf numFmtId="168" fontId="21" fillId="5" borderId="99" xfId="12" applyNumberFormat="1" applyFont="1" applyFill="1" applyBorder="1" applyAlignment="1" applyProtection="1">
      <alignment horizontal="center" vertical="center" wrapText="1"/>
      <protection locked="0"/>
    </xf>
    <xf numFmtId="49" fontId="9" fillId="4" borderId="99" xfId="2" applyNumberFormat="1" applyFill="1" applyBorder="1" applyAlignment="1">
      <alignment horizontal="left" vertical="center" textRotation="90" wrapText="1"/>
    </xf>
    <xf numFmtId="49" fontId="9" fillId="4" borderId="99" xfId="2" applyNumberFormat="1" applyFill="1" applyBorder="1" applyAlignment="1">
      <alignment horizontal="centerContinuous" vertical="center" wrapText="1"/>
    </xf>
    <xf numFmtId="49" fontId="22" fillId="8" borderId="99" xfId="2" applyNumberFormat="1" applyFont="1" applyFill="1" applyBorder="1" applyAlignment="1">
      <alignment horizontal="left" vertical="center" textRotation="90"/>
    </xf>
    <xf numFmtId="0" fontId="22" fillId="8" borderId="99" xfId="2" applyFont="1" applyFill="1" applyBorder="1" applyAlignment="1">
      <alignment horizontal="center" vertical="center"/>
    </xf>
    <xf numFmtId="0" fontId="91" fillId="8" borderId="99" xfId="0" applyFont="1" applyFill="1" applyBorder="1" applyAlignment="1">
      <alignment horizontal="center" vertical="center"/>
    </xf>
    <xf numFmtId="168" fontId="21" fillId="6" borderId="99" xfId="2" applyNumberFormat="1" applyFont="1" applyFill="1" applyBorder="1" applyAlignment="1" applyProtection="1">
      <alignment horizontal="right" vertical="center"/>
      <protection locked="0"/>
    </xf>
    <xf numFmtId="168" fontId="21" fillId="6" borderId="99" xfId="12" applyNumberFormat="1" applyFont="1" applyFill="1" applyBorder="1" applyAlignment="1" applyProtection="1">
      <alignment horizontal="right" vertical="center" wrapText="1"/>
      <protection locked="0"/>
    </xf>
    <xf numFmtId="169" fontId="21" fillId="5" borderId="99" xfId="12" applyNumberFormat="1" applyFont="1" applyFill="1" applyBorder="1" applyAlignment="1">
      <alignment horizontal="right" vertical="center" wrapText="1"/>
    </xf>
    <xf numFmtId="169" fontId="21" fillId="5" borderId="99" xfId="12" applyNumberFormat="1" applyFont="1" applyFill="1" applyBorder="1" applyAlignment="1">
      <alignment horizontal="right" vertical="center"/>
    </xf>
    <xf numFmtId="49" fontId="9" fillId="8" borderId="99" xfId="2" applyNumberFormat="1" applyFill="1" applyBorder="1" applyAlignment="1">
      <alignment horizontal="centerContinuous" vertical="center" wrapText="1"/>
    </xf>
    <xf numFmtId="170" fontId="21" fillId="6" borderId="99" xfId="11" applyNumberFormat="1" applyFont="1" applyFill="1" applyBorder="1" applyAlignment="1" applyProtection="1">
      <alignment horizontal="right" vertical="center"/>
      <protection locked="0"/>
    </xf>
    <xf numFmtId="170" fontId="9" fillId="0" borderId="99" xfId="11" applyNumberFormat="1" applyFont="1" applyFill="1" applyBorder="1" applyAlignment="1" applyProtection="1">
      <alignment horizontal="right" vertical="center"/>
    </xf>
    <xf numFmtId="187" fontId="21" fillId="6" borderId="99" xfId="2" applyNumberFormat="1" applyFont="1" applyFill="1" applyBorder="1" applyAlignment="1" applyProtection="1">
      <alignment horizontal="right" vertical="center"/>
      <protection locked="0"/>
    </xf>
    <xf numFmtId="176" fontId="21" fillId="6" borderId="99" xfId="12" applyNumberFormat="1" applyFont="1" applyFill="1" applyBorder="1" applyAlignment="1" applyProtection="1">
      <alignment horizontal="right" vertical="center" wrapText="1"/>
      <protection locked="0"/>
    </xf>
    <xf numFmtId="168" fontId="21" fillId="0" borderId="99" xfId="12" applyNumberFormat="1" applyFont="1" applyFill="1" applyBorder="1" applyAlignment="1">
      <alignment horizontal="right" vertical="center"/>
    </xf>
    <xf numFmtId="170" fontId="21" fillId="6" borderId="99" xfId="11" applyNumberFormat="1" applyFont="1" applyFill="1" applyBorder="1" applyAlignment="1" applyProtection="1">
      <alignment horizontal="center" vertical="center" wrapText="1"/>
      <protection locked="0"/>
    </xf>
    <xf numFmtId="42" fontId="21" fillId="0" borderId="99" xfId="2" applyNumberFormat="1" applyFont="1" applyBorder="1" applyAlignment="1">
      <alignment horizontal="center" vertical="center" wrapText="1"/>
    </xf>
    <xf numFmtId="0" fontId="91" fillId="4" borderId="99" xfId="0" applyFont="1" applyFill="1" applyBorder="1" applyAlignment="1">
      <alignment horizontal="left"/>
    </xf>
    <xf numFmtId="0" fontId="9" fillId="0" borderId="108" xfId="2" applyBorder="1" applyAlignment="1">
      <alignment horizontal="center" vertical="center" wrapText="1"/>
    </xf>
    <xf numFmtId="49" fontId="9" fillId="0" borderId="108" xfId="2" applyNumberFormat="1" applyBorder="1" applyAlignment="1">
      <alignment horizontal="center" vertical="center" wrapText="1"/>
    </xf>
    <xf numFmtId="0" fontId="9" fillId="0" borderId="108" xfId="2" applyBorder="1" applyAlignment="1">
      <alignment vertical="center"/>
    </xf>
    <xf numFmtId="167" fontId="9" fillId="8" borderId="99" xfId="12" applyNumberFormat="1" applyFont="1" applyFill="1" applyBorder="1" applyAlignment="1">
      <alignment horizontal="right" vertical="top"/>
    </xf>
    <xf numFmtId="42" fontId="9" fillId="8" borderId="99" xfId="2" applyNumberFormat="1" applyFill="1" applyBorder="1" applyAlignment="1">
      <alignment horizontal="center" vertical="center" wrapText="1"/>
    </xf>
    <xf numFmtId="43" fontId="21" fillId="0" borderId="99" xfId="12" applyFont="1" applyFill="1" applyBorder="1" applyAlignment="1">
      <alignment horizontal="right" vertical="center"/>
    </xf>
    <xf numFmtId="167" fontId="21" fillId="0" borderId="99" xfId="12" applyNumberFormat="1" applyFont="1" applyFill="1" applyBorder="1" applyAlignment="1">
      <alignment horizontal="right" vertical="center"/>
    </xf>
    <xf numFmtId="167" fontId="21" fillId="4" borderId="99" xfId="12" applyNumberFormat="1" applyFont="1" applyFill="1" applyBorder="1" applyAlignment="1">
      <alignment horizontal="right" vertical="center"/>
    </xf>
    <xf numFmtId="167" fontId="9" fillId="8" borderId="99" xfId="12" applyNumberFormat="1" applyFont="1" applyFill="1" applyBorder="1" applyAlignment="1">
      <alignment horizontal="left" vertical="top" indent="1"/>
    </xf>
    <xf numFmtId="42" fontId="9" fillId="8" borderId="99" xfId="2" applyNumberFormat="1" applyFill="1" applyBorder="1" applyAlignment="1">
      <alignment horizontal="left" vertical="center" wrapText="1" indent="1"/>
    </xf>
    <xf numFmtId="3" fontId="21" fillId="0" borderId="99" xfId="2" applyNumberFormat="1" applyFont="1" applyBorder="1" applyAlignment="1">
      <alignment horizontal="left" vertical="center" wrapText="1"/>
    </xf>
    <xf numFmtId="43" fontId="21" fillId="6" borderId="99" xfId="12" applyFont="1" applyFill="1" applyBorder="1" applyAlignment="1" applyProtection="1">
      <alignment horizontal="right" vertical="center"/>
    </xf>
    <xf numFmtId="167" fontId="21" fillId="6" borderId="99" xfId="12" applyNumberFormat="1" applyFont="1" applyFill="1" applyBorder="1" applyAlignment="1" applyProtection="1">
      <alignment horizontal="right" vertical="center"/>
    </xf>
    <xf numFmtId="174" fontId="21" fillId="6" borderId="99" xfId="12" applyNumberFormat="1" applyFont="1" applyFill="1" applyBorder="1" applyAlignment="1" applyProtection="1">
      <alignment horizontal="right" vertical="center"/>
    </xf>
    <xf numFmtId="0" fontId="9" fillId="5" borderId="0" xfId="2" applyFill="1" applyAlignment="1" applyProtection="1">
      <alignment vertical="center"/>
      <protection locked="0"/>
    </xf>
    <xf numFmtId="164" fontId="9" fillId="5" borderId="0" xfId="10" applyNumberFormat="1" applyFont="1" applyFill="1" applyBorder="1" applyAlignment="1" applyProtection="1">
      <alignment vertical="center"/>
      <protection locked="0"/>
    </xf>
    <xf numFmtId="167" fontId="21" fillId="0" borderId="99" xfId="12" applyNumberFormat="1" applyFont="1" applyFill="1" applyBorder="1" applyAlignment="1" applyProtection="1">
      <alignment horizontal="right" vertical="center"/>
    </xf>
    <xf numFmtId="171" fontId="21" fillId="6" borderId="99" xfId="12" applyNumberFormat="1" applyFont="1" applyFill="1" applyBorder="1" applyAlignment="1" applyProtection="1">
      <alignment horizontal="right" vertical="center"/>
      <protection locked="0"/>
    </xf>
    <xf numFmtId="49" fontId="9" fillId="8" borderId="112" xfId="2" applyNumberFormat="1" applyFill="1" applyBorder="1" applyAlignment="1">
      <alignment horizontal="center" vertical="center" wrapText="1"/>
    </xf>
    <xf numFmtId="165" fontId="21" fillId="0" borderId="114" xfId="12" applyNumberFormat="1" applyFont="1" applyFill="1" applyBorder="1" applyAlignment="1" applyProtection="1">
      <alignment horizontal="right" vertical="center"/>
    </xf>
    <xf numFmtId="165" fontId="21" fillId="0" borderId="114" xfId="12" applyNumberFormat="1" applyFont="1" applyFill="1" applyBorder="1" applyAlignment="1">
      <alignment horizontal="right" vertical="center"/>
    </xf>
    <xf numFmtId="42" fontId="21" fillId="0" borderId="114" xfId="2" applyNumberFormat="1" applyFont="1" applyBorder="1" applyAlignment="1">
      <alignment horizontal="center" vertical="center" wrapText="1"/>
    </xf>
    <xf numFmtId="164" fontId="21" fillId="0" borderId="115" xfId="10" applyNumberFormat="1" applyFont="1" applyFill="1" applyBorder="1" applyAlignment="1">
      <alignment horizontal="center" vertical="center"/>
    </xf>
    <xf numFmtId="164" fontId="21" fillId="5" borderId="99" xfId="10" applyNumberFormat="1" applyFont="1" applyFill="1" applyBorder="1" applyAlignment="1">
      <alignment horizontal="center" vertical="center"/>
    </xf>
    <xf numFmtId="168" fontId="21" fillId="0" borderId="99" xfId="12" applyNumberFormat="1" applyFont="1" applyFill="1" applyBorder="1" applyAlignment="1" applyProtection="1">
      <alignment horizontal="right" vertical="center"/>
    </xf>
    <xf numFmtId="168" fontId="21" fillId="6" borderId="99" xfId="12" applyNumberFormat="1" applyFont="1" applyFill="1" applyBorder="1" applyAlignment="1" applyProtection="1">
      <alignment horizontal="right" vertical="center"/>
      <protection locked="0"/>
    </xf>
    <xf numFmtId="3" fontId="21" fillId="0" borderId="99" xfId="12" applyNumberFormat="1" applyFont="1" applyFill="1" applyBorder="1" applyAlignment="1">
      <alignment horizontal="right" vertical="center"/>
    </xf>
    <xf numFmtId="168" fontId="9" fillId="4" borderId="99" xfId="12" applyNumberFormat="1" applyFont="1" applyFill="1" applyBorder="1" applyAlignment="1">
      <alignment horizontal="right" vertical="top"/>
    </xf>
    <xf numFmtId="3" fontId="9" fillId="4" borderId="99" xfId="12" applyNumberFormat="1" applyFont="1" applyFill="1" applyBorder="1" applyAlignment="1">
      <alignment horizontal="right" vertical="top"/>
    </xf>
    <xf numFmtId="164" fontId="21" fillId="0" borderId="99" xfId="2" applyNumberFormat="1" applyFont="1" applyBorder="1" applyAlignment="1">
      <alignment horizontal="center" vertical="center"/>
    </xf>
    <xf numFmtId="192" fontId="21" fillId="5" borderId="99" xfId="2" applyNumberFormat="1" applyFont="1" applyFill="1" applyBorder="1" applyAlignment="1" applyProtection="1">
      <alignment vertical="center"/>
      <protection locked="0"/>
    </xf>
    <xf numFmtId="187" fontId="21" fillId="5" borderId="0" xfId="2" applyNumberFormat="1" applyFont="1" applyFill="1" applyAlignment="1">
      <alignment horizontal="right" vertical="center"/>
    </xf>
    <xf numFmtId="176" fontId="21" fillId="5" borderId="0" xfId="12" applyNumberFormat="1" applyFont="1" applyFill="1" applyBorder="1" applyAlignment="1">
      <alignment horizontal="right" vertical="center" wrapText="1"/>
    </xf>
    <xf numFmtId="0" fontId="0" fillId="5" borderId="104" xfId="0" applyFill="1" applyBorder="1"/>
    <xf numFmtId="171" fontId="21" fillId="0" borderId="99" xfId="12" applyNumberFormat="1" applyFont="1" applyFill="1" applyBorder="1" applyAlignment="1">
      <alignment horizontal="left" vertical="center"/>
    </xf>
    <xf numFmtId="171" fontId="21" fillId="0" borderId="99" xfId="12" applyNumberFormat="1" applyFont="1" applyFill="1" applyBorder="1" applyAlignment="1" applyProtection="1">
      <alignment horizontal="right" vertical="center"/>
    </xf>
    <xf numFmtId="3" fontId="21" fillId="0" borderId="118" xfId="2" applyNumberFormat="1" applyFont="1" applyBorder="1" applyAlignment="1">
      <alignment horizontal="left" vertical="center" wrapText="1"/>
    </xf>
    <xf numFmtId="165" fontId="21" fillId="0" borderId="99" xfId="12" applyNumberFormat="1" applyFont="1" applyFill="1" applyBorder="1" applyAlignment="1" applyProtection="1">
      <alignment horizontal="right" vertical="center"/>
    </xf>
    <xf numFmtId="164" fontId="21" fillId="0" borderId="112" xfId="10" applyNumberFormat="1" applyFont="1" applyFill="1" applyBorder="1" applyAlignment="1" applyProtection="1">
      <alignment horizontal="center" vertical="center"/>
    </xf>
    <xf numFmtId="164" fontId="21" fillId="5" borderId="99" xfId="10" applyNumberFormat="1" applyFont="1" applyFill="1" applyBorder="1" applyAlignment="1" applyProtection="1">
      <alignment horizontal="center" vertical="center"/>
    </xf>
    <xf numFmtId="168" fontId="21" fillId="5" borderId="99" xfId="12" applyNumberFormat="1" applyFont="1" applyFill="1" applyBorder="1" applyAlignment="1" applyProtection="1">
      <alignment horizontal="right" vertical="center"/>
    </xf>
    <xf numFmtId="170" fontId="21" fillId="0" borderId="99" xfId="11" applyNumberFormat="1" applyFont="1" applyFill="1" applyBorder="1" applyAlignment="1" applyProtection="1">
      <alignment horizontal="right" vertical="center"/>
    </xf>
    <xf numFmtId="3" fontId="21" fillId="5" borderId="99" xfId="2" applyNumberFormat="1" applyFont="1" applyFill="1" applyBorder="1" applyAlignment="1" applyProtection="1">
      <alignment horizontal="left" vertical="center" wrapText="1"/>
      <protection locked="0"/>
    </xf>
    <xf numFmtId="0" fontId="21" fillId="5" borderId="99" xfId="2" applyFont="1" applyFill="1" applyBorder="1" applyAlignment="1" applyProtection="1">
      <alignment vertical="center"/>
      <protection locked="0"/>
    </xf>
    <xf numFmtId="0" fontId="21" fillId="0" borderId="0" xfId="0" applyFont="1"/>
    <xf numFmtId="0" fontId="40" fillId="5" borderId="0" xfId="2" applyFont="1" applyFill="1" applyAlignment="1">
      <alignment vertical="center"/>
    </xf>
    <xf numFmtId="3" fontId="21" fillId="0" borderId="99" xfId="2" applyNumberFormat="1" applyFont="1" applyBorder="1" applyAlignment="1">
      <alignment horizontal="left" vertical="center" wrapText="1" indent="1"/>
    </xf>
    <xf numFmtId="164" fontId="21" fillId="0" borderId="99" xfId="10" applyNumberFormat="1" applyFont="1" applyFill="1" applyBorder="1" applyAlignment="1">
      <alignment horizontal="center" vertical="center"/>
    </xf>
    <xf numFmtId="0" fontId="9" fillId="4" borderId="99" xfId="2" applyFill="1" applyBorder="1" applyAlignment="1">
      <alignment horizontal="center" vertical="center" wrapText="1"/>
    </xf>
    <xf numFmtId="49" fontId="9" fillId="4" borderId="99" xfId="2" applyNumberFormat="1" applyFill="1" applyBorder="1" applyAlignment="1">
      <alignment horizontal="center" vertical="center" wrapText="1"/>
    </xf>
    <xf numFmtId="3" fontId="9" fillId="5" borderId="0" xfId="2" applyNumberFormat="1" applyFill="1" applyAlignment="1">
      <alignment horizontal="left" vertical="center" wrapText="1"/>
    </xf>
    <xf numFmtId="49" fontId="9" fillId="8" borderId="99" xfId="2" applyNumberFormat="1" applyFill="1" applyBorder="1" applyAlignment="1">
      <alignment horizontal="center" vertical="center" wrapText="1"/>
    </xf>
    <xf numFmtId="0" fontId="20" fillId="0" borderId="0" xfId="2" applyFont="1" applyAlignment="1">
      <alignment horizontal="left" vertical="top"/>
    </xf>
    <xf numFmtId="0" fontId="9" fillId="8" borderId="99" xfId="2" applyFill="1" applyBorder="1" applyAlignment="1">
      <alignment horizontal="center" vertical="center" wrapText="1"/>
    </xf>
    <xf numFmtId="3" fontId="21" fillId="5" borderId="99" xfId="2" applyNumberFormat="1" applyFont="1" applyFill="1" applyBorder="1" applyAlignment="1">
      <alignment horizontal="left" vertical="center" wrapText="1" indent="1"/>
    </xf>
    <xf numFmtId="168" fontId="21" fillId="5" borderId="99" xfId="12" applyNumberFormat="1" applyFont="1" applyFill="1" applyBorder="1" applyAlignment="1">
      <alignment horizontal="right" vertical="center"/>
    </xf>
    <xf numFmtId="164" fontId="21" fillId="5" borderId="99" xfId="10" applyNumberFormat="1" applyFont="1" applyFill="1" applyBorder="1" applyAlignment="1">
      <alignment horizontal="right" vertical="center"/>
    </xf>
    <xf numFmtId="0" fontId="9" fillId="0" borderId="0" xfId="2" applyAlignment="1">
      <alignment horizontal="center" vertical="center"/>
    </xf>
    <xf numFmtId="3" fontId="9" fillId="0" borderId="0" xfId="2" applyNumberFormat="1" applyAlignment="1">
      <alignment horizontal="left" vertical="center" wrapText="1"/>
    </xf>
    <xf numFmtId="187" fontId="21" fillId="44" borderId="99" xfId="2" applyNumberFormat="1" applyFont="1" applyFill="1" applyBorder="1" applyAlignment="1">
      <alignment horizontal="right" vertical="center"/>
    </xf>
    <xf numFmtId="176" fontId="21" fillId="44" borderId="99" xfId="12" applyNumberFormat="1" applyFont="1" applyFill="1" applyBorder="1" applyAlignment="1" applyProtection="1">
      <alignment horizontal="right" vertical="center" wrapText="1"/>
    </xf>
    <xf numFmtId="164" fontId="21" fillId="9" borderId="99" xfId="10" applyNumberFormat="1" applyFont="1" applyFill="1" applyBorder="1" applyAlignment="1" applyProtection="1">
      <alignment vertical="center" wrapText="1"/>
    </xf>
    <xf numFmtId="42" fontId="21" fillId="44" borderId="99" xfId="2" applyNumberFormat="1" applyFont="1" applyFill="1" applyBorder="1" applyAlignment="1">
      <alignment horizontal="center" vertical="center" wrapText="1"/>
    </xf>
    <xf numFmtId="0" fontId="21" fillId="5" borderId="99" xfId="2" applyFont="1" applyFill="1" applyBorder="1" applyAlignment="1">
      <alignment horizontal="left" vertical="center" indent="1"/>
    </xf>
    <xf numFmtId="187" fontId="21" fillId="5" borderId="99" xfId="2" applyNumberFormat="1" applyFont="1" applyFill="1" applyBorder="1" applyAlignment="1" applyProtection="1">
      <alignment horizontal="right" vertical="center"/>
      <protection locked="0"/>
    </xf>
    <xf numFmtId="176" fontId="21" fillId="5" borderId="99" xfId="12" applyNumberFormat="1" applyFont="1" applyFill="1" applyBorder="1" applyAlignment="1" applyProtection="1">
      <alignment horizontal="right" vertical="center" wrapText="1"/>
      <protection locked="0"/>
    </xf>
    <xf numFmtId="164" fontId="21" fillId="5" borderId="99" xfId="10" applyNumberFormat="1" applyFont="1" applyFill="1" applyBorder="1" applyAlignment="1">
      <alignment vertical="center" wrapText="1"/>
    </xf>
    <xf numFmtId="42" fontId="21" fillId="5" borderId="99" xfId="2" applyNumberFormat="1" applyFont="1" applyFill="1" applyBorder="1" applyAlignment="1" applyProtection="1">
      <alignment horizontal="center" vertical="center" wrapText="1"/>
      <protection locked="0"/>
    </xf>
    <xf numFmtId="170" fontId="21" fillId="5" borderId="99" xfId="11" applyNumberFormat="1" applyFont="1" applyFill="1" applyBorder="1" applyAlignment="1" applyProtection="1">
      <alignment horizontal="center" vertical="center" wrapText="1"/>
      <protection locked="0"/>
    </xf>
    <xf numFmtId="0" fontId="76" fillId="5" borderId="0" xfId="2" applyFont="1" applyFill="1" applyAlignment="1">
      <alignment horizontal="left" vertical="center" indent="1"/>
    </xf>
    <xf numFmtId="0" fontId="22" fillId="5" borderId="0" xfId="2" applyFont="1" applyFill="1" applyAlignment="1">
      <alignment vertical="center"/>
    </xf>
    <xf numFmtId="2" fontId="9" fillId="0" borderId="0" xfId="9" applyNumberFormat="1" applyFont="1" applyAlignment="1">
      <alignment horizontal="center" vertical="center"/>
    </xf>
    <xf numFmtId="2" fontId="9" fillId="0" borderId="0" xfId="9" applyNumberFormat="1" applyFont="1" applyAlignment="1">
      <alignment horizontal="centerContinuous" vertical="center"/>
    </xf>
    <xf numFmtId="0" fontId="9" fillId="0" borderId="0" xfId="2" applyAlignment="1">
      <alignment horizontal="centerContinuous" vertical="center" wrapText="1"/>
    </xf>
    <xf numFmtId="0" fontId="21" fillId="0" borderId="0" xfId="2" applyFont="1" applyAlignment="1">
      <alignment vertical="center" wrapText="1"/>
    </xf>
    <xf numFmtId="0" fontId="21" fillId="5" borderId="0" xfId="2" applyFont="1" applyFill="1" applyAlignment="1">
      <alignment vertical="center" wrapText="1"/>
    </xf>
    <xf numFmtId="0" fontId="40" fillId="0" borderId="0" xfId="2" applyFont="1" applyAlignment="1">
      <alignment horizontal="left" vertical="center" wrapText="1"/>
    </xf>
    <xf numFmtId="0" fontId="21" fillId="0" borderId="0" xfId="2" applyFont="1" applyAlignment="1">
      <alignment vertical="top" wrapText="1"/>
    </xf>
    <xf numFmtId="0" fontId="20" fillId="5" borderId="0" xfId="2" applyFont="1" applyFill="1" applyAlignment="1">
      <alignment horizontal="center" vertical="center" wrapText="1"/>
    </xf>
    <xf numFmtId="0" fontId="20" fillId="5" borderId="0" xfId="2" applyFont="1" applyFill="1" applyAlignment="1">
      <alignment horizontal="left" vertical="center" wrapText="1"/>
    </xf>
    <xf numFmtId="49" fontId="20" fillId="0" borderId="0" xfId="2" applyNumberFormat="1" applyFont="1" applyAlignment="1">
      <alignment vertical="center"/>
    </xf>
    <xf numFmtId="0" fontId="35" fillId="5" borderId="0" xfId="0" applyFont="1" applyFill="1" applyAlignment="1" applyProtection="1">
      <alignment horizontal="left"/>
      <protection locked="0"/>
    </xf>
    <xf numFmtId="0" fontId="35" fillId="5" borderId="0" xfId="0" applyFont="1" applyFill="1" applyAlignment="1" applyProtection="1">
      <alignment horizontal="center"/>
      <protection locked="0"/>
    </xf>
    <xf numFmtId="0" fontId="9" fillId="6" borderId="36" xfId="0" applyFont="1" applyFill="1" applyBorder="1" applyProtection="1">
      <protection locked="0"/>
    </xf>
    <xf numFmtId="0" fontId="9" fillId="6" borderId="36" xfId="0" applyFont="1" applyFill="1" applyBorder="1" applyAlignment="1" applyProtection="1">
      <alignment horizontal="center" vertical="center" wrapText="1"/>
      <protection locked="0"/>
    </xf>
    <xf numFmtId="0" fontId="9" fillId="6" borderId="36" xfId="2" applyFill="1" applyBorder="1" applyAlignment="1" applyProtection="1">
      <alignment horizontal="center" vertical="center" wrapText="1"/>
      <protection locked="0"/>
    </xf>
    <xf numFmtId="0" fontId="9" fillId="6" borderId="36" xfId="0" applyFont="1" applyFill="1" applyBorder="1" applyAlignment="1" applyProtection="1">
      <alignment horizontal="center" vertical="center"/>
      <protection locked="0"/>
    </xf>
    <xf numFmtId="0" fontId="9" fillId="6" borderId="36" xfId="2" applyFill="1" applyBorder="1" applyAlignment="1" applyProtection="1">
      <alignment horizontal="center" vertical="center"/>
      <protection locked="0"/>
    </xf>
    <xf numFmtId="0" fontId="9" fillId="6" borderId="99" xfId="0" applyFont="1" applyFill="1" applyBorder="1" applyAlignment="1" applyProtection="1">
      <alignment horizontal="center" vertical="center"/>
      <protection locked="0"/>
    </xf>
    <xf numFmtId="0" fontId="17" fillId="6" borderId="99" xfId="0" applyFont="1" applyFill="1" applyBorder="1" applyAlignment="1" applyProtection="1">
      <alignment vertical="center" wrapText="1"/>
      <protection locked="0"/>
    </xf>
    <xf numFmtId="0" fontId="9" fillId="6" borderId="65" xfId="0" applyFont="1" applyFill="1" applyBorder="1" applyProtection="1">
      <protection locked="0"/>
    </xf>
    <xf numFmtId="0" fontId="20" fillId="6" borderId="65" xfId="0" applyFont="1" applyFill="1" applyBorder="1" applyProtection="1">
      <protection locked="0"/>
    </xf>
    <xf numFmtId="0" fontId="9" fillId="0" borderId="129" xfId="0" applyFont="1" applyBorder="1" applyAlignment="1">
      <alignment horizontal="center" vertical="center"/>
    </xf>
    <xf numFmtId="0" fontId="9" fillId="0" borderId="130" xfId="0" applyFont="1" applyBorder="1" applyAlignment="1">
      <alignment horizontal="center" vertical="center"/>
    </xf>
    <xf numFmtId="0" fontId="9" fillId="0" borderId="131" xfId="0" applyFont="1" applyBorder="1" applyAlignment="1">
      <alignment horizontal="center" vertical="center"/>
    </xf>
    <xf numFmtId="0" fontId="9" fillId="6" borderId="65" xfId="0" applyFont="1" applyFill="1" applyBorder="1" applyAlignment="1" applyProtection="1">
      <alignment horizontal="center" vertical="center"/>
      <protection locked="0"/>
    </xf>
    <xf numFmtId="0" fontId="9" fillId="6" borderId="65" xfId="2" applyFill="1" applyBorder="1" applyAlignment="1" applyProtection="1">
      <alignment vertical="center"/>
      <protection locked="0"/>
    </xf>
    <xf numFmtId="0" fontId="22" fillId="4" borderId="85" xfId="2" applyFont="1" applyFill="1" applyBorder="1" applyAlignment="1">
      <alignment vertical="center"/>
    </xf>
    <xf numFmtId="170" fontId="9" fillId="6" borderId="65" xfId="11" applyNumberFormat="1" applyFont="1" applyFill="1" applyBorder="1" applyAlignment="1" applyProtection="1">
      <alignment horizontal="center" vertical="center"/>
      <protection locked="0"/>
    </xf>
    <xf numFmtId="0" fontId="9" fillId="6" borderId="65" xfId="2" applyFill="1" applyBorder="1" applyAlignment="1" applyProtection="1">
      <alignment horizontal="right" vertical="center"/>
      <protection locked="0"/>
    </xf>
    <xf numFmtId="0" fontId="9" fillId="6" borderId="65" xfId="2" applyFill="1" applyBorder="1" applyAlignment="1" applyProtection="1">
      <alignment horizontal="left" vertical="center"/>
      <protection locked="0"/>
    </xf>
    <xf numFmtId="164" fontId="9" fillId="6" borderId="65" xfId="9" applyNumberFormat="1" applyFont="1" applyFill="1" applyBorder="1" applyAlignment="1" applyProtection="1">
      <alignment vertical="center"/>
      <protection locked="0"/>
    </xf>
    <xf numFmtId="0" fontId="21" fillId="6" borderId="65" xfId="2" applyFont="1" applyFill="1" applyBorder="1" applyAlignment="1" applyProtection="1">
      <alignment vertical="center"/>
      <protection locked="0"/>
    </xf>
    <xf numFmtId="170" fontId="21" fillId="6" borderId="65" xfId="11" applyNumberFormat="1" applyFont="1" applyFill="1" applyBorder="1" applyAlignment="1" applyProtection="1">
      <alignment vertical="center" wrapText="1"/>
      <protection locked="0"/>
    </xf>
    <xf numFmtId="0" fontId="22" fillId="6" borderId="65" xfId="2" applyFont="1" applyFill="1" applyBorder="1" applyAlignment="1" applyProtection="1">
      <alignment vertical="center"/>
      <protection locked="0"/>
    </xf>
    <xf numFmtId="177" fontId="9" fillId="6" borderId="65" xfId="2" applyNumberFormat="1" applyFill="1" applyBorder="1" applyAlignment="1" applyProtection="1">
      <alignment vertical="center"/>
      <protection locked="0"/>
    </xf>
    <xf numFmtId="0" fontId="21" fillId="6" borderId="65" xfId="2" applyFont="1" applyFill="1" applyBorder="1" applyAlignment="1" applyProtection="1">
      <alignment horizontal="center" vertical="center" wrapText="1"/>
      <protection locked="0"/>
    </xf>
    <xf numFmtId="49" fontId="79" fillId="6" borderId="65" xfId="2" applyNumberFormat="1" applyFont="1" applyFill="1" applyBorder="1" applyAlignment="1" applyProtection="1">
      <alignment horizontal="center" vertical="center" wrapText="1"/>
      <protection locked="0"/>
    </xf>
    <xf numFmtId="0" fontId="35" fillId="6" borderId="65" xfId="0" applyFont="1" applyFill="1" applyBorder="1" applyAlignment="1" applyProtection="1">
      <alignment horizontal="left" vertical="top" wrapText="1"/>
      <protection locked="0"/>
    </xf>
    <xf numFmtId="0" fontId="19" fillId="0" borderId="0" xfId="18" applyFont="1" applyAlignment="1">
      <alignment horizontal="left" vertical="center" wrapText="1"/>
    </xf>
    <xf numFmtId="0" fontId="21" fillId="0" borderId="0" xfId="2" applyFont="1" applyAlignment="1">
      <alignment horizontal="left" vertical="center" indent="1"/>
    </xf>
    <xf numFmtId="0" fontId="21" fillId="0" borderId="12" xfId="2" applyFont="1" applyBorder="1" applyAlignment="1">
      <alignment horizontal="left" vertical="center" indent="1"/>
    </xf>
    <xf numFmtId="0" fontId="96" fillId="6" borderId="99" xfId="0" applyFont="1" applyFill="1" applyBorder="1" applyAlignment="1" applyProtection="1">
      <alignment horizontal="center" vertical="center"/>
      <protection locked="0"/>
    </xf>
    <xf numFmtId="0" fontId="30" fillId="5" borderId="0" xfId="0" applyFont="1" applyFill="1" applyAlignment="1">
      <alignment vertical="top" wrapText="1"/>
    </xf>
    <xf numFmtId="0" fontId="0" fillId="6" borderId="65" xfId="0" applyFill="1" applyBorder="1" applyProtection="1">
      <protection locked="0"/>
    </xf>
    <xf numFmtId="0" fontId="21" fillId="6" borderId="99" xfId="2" applyFont="1" applyFill="1" applyBorder="1" applyAlignment="1" applyProtection="1">
      <alignment horizontal="center" vertical="center" wrapText="1"/>
      <protection locked="0"/>
    </xf>
    <xf numFmtId="49" fontId="20" fillId="0" borderId="0" xfId="2" applyNumberFormat="1" applyFont="1" applyAlignment="1">
      <alignment horizontal="left" vertical="top"/>
    </xf>
    <xf numFmtId="3" fontId="21" fillId="6" borderId="99" xfId="2" applyNumberFormat="1" applyFont="1" applyFill="1" applyBorder="1" applyAlignment="1" applyProtection="1">
      <alignment horizontal="left" vertical="center" wrapText="1"/>
      <protection locked="0"/>
    </xf>
    <xf numFmtId="0" fontId="81" fillId="8" borderId="99" xfId="0" applyFont="1" applyFill="1" applyBorder="1" applyAlignment="1">
      <alignment vertical="center"/>
    </xf>
    <xf numFmtId="3" fontId="21" fillId="0" borderId="99" xfId="2" applyNumberFormat="1" applyFont="1" applyBorder="1" applyAlignment="1">
      <alignment horizontal="left" vertical="center" indent="1"/>
    </xf>
    <xf numFmtId="0" fontId="21" fillId="5" borderId="99" xfId="2" applyFont="1" applyFill="1" applyBorder="1" applyAlignment="1">
      <alignment vertical="center"/>
    </xf>
    <xf numFmtId="0" fontId="9" fillId="0" borderId="0" xfId="0" applyFont="1" applyAlignment="1">
      <alignment horizontal="left"/>
    </xf>
    <xf numFmtId="42" fontId="21" fillId="4" borderId="99" xfId="2" applyNumberFormat="1" applyFont="1" applyFill="1" applyBorder="1" applyAlignment="1">
      <alignment horizontal="center" vertical="center" wrapText="1"/>
    </xf>
    <xf numFmtId="0" fontId="21" fillId="5" borderId="99" xfId="2" applyFont="1" applyFill="1" applyBorder="1" applyAlignment="1">
      <alignment horizontal="center" vertical="center"/>
    </xf>
    <xf numFmtId="0" fontId="20" fillId="4" borderId="0" xfId="2" applyFont="1" applyFill="1" applyAlignment="1">
      <alignment vertical="center" wrapText="1"/>
    </xf>
    <xf numFmtId="3" fontId="21" fillId="5" borderId="99" xfId="2" applyNumberFormat="1" applyFont="1" applyFill="1" applyBorder="1" applyAlignment="1">
      <alignment horizontal="left" vertical="center" wrapText="1"/>
    </xf>
    <xf numFmtId="168" fontId="15" fillId="0" borderId="99" xfId="0" applyNumberFormat="1" applyFont="1" applyBorder="1" applyAlignment="1">
      <alignment horizontal="center" vertical="center"/>
    </xf>
    <xf numFmtId="164" fontId="21" fillId="9" borderId="99" xfId="10" applyNumberFormat="1" applyFont="1" applyFill="1" applyBorder="1" applyAlignment="1" applyProtection="1">
      <alignment horizontal="right" vertical="center"/>
    </xf>
    <xf numFmtId="164" fontId="21" fillId="0" borderId="99" xfId="10" applyNumberFormat="1" applyFont="1" applyFill="1" applyBorder="1" applyAlignment="1" applyProtection="1">
      <alignment horizontal="center" vertical="center"/>
    </xf>
    <xf numFmtId="0" fontId="0" fillId="7" borderId="0" xfId="0" applyFill="1"/>
    <xf numFmtId="0" fontId="3" fillId="5" borderId="0" xfId="0" applyFont="1" applyFill="1" applyAlignment="1">
      <alignment vertical="center"/>
    </xf>
    <xf numFmtId="9" fontId="3" fillId="5" borderId="0" xfId="9" applyFont="1" applyFill="1" applyBorder="1" applyAlignment="1">
      <alignment vertical="center"/>
    </xf>
    <xf numFmtId="2" fontId="3" fillId="5" borderId="0" xfId="0" applyNumberFormat="1" applyFont="1" applyFill="1" applyAlignment="1">
      <alignment vertical="center"/>
    </xf>
    <xf numFmtId="3" fontId="3" fillId="5" borderId="0" xfId="0" applyNumberFormat="1" applyFont="1" applyFill="1" applyAlignment="1">
      <alignment vertical="center"/>
    </xf>
    <xf numFmtId="1" fontId="3" fillId="5" borderId="4" xfId="0" applyNumberFormat="1" applyFont="1" applyFill="1" applyBorder="1" applyAlignment="1">
      <alignment vertical="center"/>
    </xf>
    <xf numFmtId="1" fontId="3" fillId="5" borderId="0" xfId="0" applyNumberFormat="1" applyFont="1" applyFill="1" applyAlignment="1">
      <alignment vertical="center"/>
    </xf>
    <xf numFmtId="0" fontId="30" fillId="5" borderId="0" xfId="0" applyFont="1" applyFill="1" applyAlignment="1">
      <alignment vertical="center"/>
    </xf>
    <xf numFmtId="0" fontId="25" fillId="5" borderId="0" xfId="0" applyFont="1" applyFill="1" applyAlignment="1">
      <alignment vertical="center"/>
    </xf>
    <xf numFmtId="0" fontId="3" fillId="5" borderId="1" xfId="0" applyFont="1" applyFill="1" applyBorder="1" applyAlignment="1" applyProtection="1">
      <alignment vertical="center"/>
      <protection locked="0"/>
    </xf>
    <xf numFmtId="0" fontId="3" fillId="5" borderId="0" xfId="0" applyFont="1" applyFill="1" applyAlignment="1" applyProtection="1">
      <alignment vertical="center"/>
      <protection locked="0"/>
    </xf>
    <xf numFmtId="0" fontId="9" fillId="4" borderId="47" xfId="0" applyFont="1" applyFill="1" applyBorder="1" applyAlignment="1">
      <alignment horizontal="center" vertical="center" wrapText="1"/>
    </xf>
    <xf numFmtId="0" fontId="9" fillId="4" borderId="32" xfId="0" applyFont="1" applyFill="1" applyBorder="1" applyAlignment="1">
      <alignment horizontal="center" vertical="center" wrapText="1"/>
    </xf>
    <xf numFmtId="168" fontId="21" fillId="5" borderId="99" xfId="2" applyNumberFormat="1" applyFont="1" applyFill="1" applyBorder="1" applyAlignment="1">
      <alignment horizontal="right" vertical="center"/>
    </xf>
    <xf numFmtId="0" fontId="98" fillId="5" borderId="0" xfId="0" applyFont="1" applyFill="1" applyAlignment="1">
      <alignment vertical="center"/>
    </xf>
    <xf numFmtId="0" fontId="40" fillId="0" borderId="0" xfId="0" applyFont="1" applyAlignment="1">
      <alignment vertical="center"/>
    </xf>
    <xf numFmtId="0" fontId="20" fillId="0" borderId="0" xfId="0" applyFont="1" applyAlignment="1">
      <alignment vertical="center" wrapText="1"/>
    </xf>
    <xf numFmtId="0" fontId="3" fillId="0" borderId="4" xfId="0" applyFont="1" applyBorder="1" applyAlignment="1">
      <alignment horizontal="left" vertical="center" wrapText="1" indent="1"/>
    </xf>
    <xf numFmtId="0" fontId="35" fillId="5" borderId="0" xfId="0" applyFont="1" applyFill="1" applyAlignment="1">
      <alignment horizontal="left" vertical="center" wrapText="1"/>
    </xf>
    <xf numFmtId="3" fontId="35" fillId="5" borderId="0" xfId="0" applyNumberFormat="1" applyFont="1" applyFill="1" applyAlignment="1">
      <alignment horizontal="left" vertical="center" wrapText="1"/>
    </xf>
    <xf numFmtId="168" fontId="35" fillId="5" borderId="0" xfId="0" applyNumberFormat="1" applyFont="1" applyFill="1" applyAlignment="1">
      <alignment horizontal="right" vertical="center" wrapText="1"/>
    </xf>
    <xf numFmtId="168" fontId="35" fillId="5" borderId="0" xfId="0" quotePrefix="1" applyNumberFormat="1" applyFont="1" applyFill="1" applyAlignment="1">
      <alignment horizontal="right" vertical="center" wrapText="1"/>
    </xf>
    <xf numFmtId="166" fontId="35" fillId="5" borderId="0" xfId="0" applyNumberFormat="1" applyFont="1" applyFill="1" applyAlignment="1">
      <alignment horizontal="right" vertical="center" wrapText="1"/>
    </xf>
    <xf numFmtId="1" fontId="35" fillId="5" borderId="0" xfId="0" applyNumberFormat="1" applyFont="1" applyFill="1" applyAlignment="1" applyProtection="1">
      <alignment horizontal="right" vertical="center" wrapText="1"/>
      <protection locked="0"/>
    </xf>
    <xf numFmtId="9" fontId="3" fillId="5" borderId="0" xfId="0" applyNumberFormat="1" applyFont="1" applyFill="1" applyAlignment="1">
      <alignment horizontal="center" vertical="center" wrapText="1"/>
    </xf>
    <xf numFmtId="192" fontId="21" fillId="5" borderId="99" xfId="2" applyNumberFormat="1" applyFont="1" applyFill="1" applyBorder="1" applyAlignment="1">
      <alignment horizontal="right" vertical="center"/>
    </xf>
    <xf numFmtId="0" fontId="21" fillId="6" borderId="99" xfId="2" applyFont="1" applyFill="1" applyBorder="1" applyAlignment="1" applyProtection="1">
      <alignment horizontal="left" vertical="center" wrapText="1"/>
      <protection locked="0"/>
    </xf>
    <xf numFmtId="0" fontId="21" fillId="5" borderId="99" xfId="2" applyFont="1" applyFill="1" applyBorder="1" applyAlignment="1">
      <alignment horizontal="left" vertical="center"/>
    </xf>
    <xf numFmtId="168" fontId="21" fillId="5" borderId="99" xfId="12" applyNumberFormat="1" applyFont="1" applyFill="1" applyBorder="1" applyAlignment="1" applyProtection="1">
      <alignment horizontal="right" vertical="center" wrapText="1"/>
      <protection locked="0"/>
    </xf>
    <xf numFmtId="0" fontId="21" fillId="6" borderId="106" xfId="2" applyFont="1" applyFill="1" applyBorder="1" applyAlignment="1" applyProtection="1">
      <alignment horizontal="left" vertical="center" wrapText="1"/>
      <protection locked="0"/>
    </xf>
    <xf numFmtId="167" fontId="21" fillId="6" borderId="106" xfId="12" applyNumberFormat="1" applyFont="1" applyFill="1" applyBorder="1" applyAlignment="1" applyProtection="1">
      <alignment horizontal="left" vertical="center" wrapText="1"/>
      <protection locked="0"/>
    </xf>
    <xf numFmtId="168" fontId="21" fillId="6" borderId="106" xfId="12" applyNumberFormat="1" applyFont="1" applyFill="1" applyBorder="1" applyAlignment="1" applyProtection="1">
      <alignment horizontal="right" vertical="center" wrapText="1"/>
      <protection locked="0"/>
    </xf>
    <xf numFmtId="0" fontId="21" fillId="5" borderId="106" xfId="2" applyFont="1" applyFill="1" applyBorder="1" applyAlignment="1">
      <alignment horizontal="left" vertical="center"/>
    </xf>
    <xf numFmtId="168" fontId="21" fillId="5" borderId="106" xfId="12" applyNumberFormat="1" applyFont="1" applyFill="1" applyBorder="1" applyAlignment="1" applyProtection="1">
      <alignment horizontal="right" vertical="center" wrapText="1"/>
      <protection locked="0"/>
    </xf>
    <xf numFmtId="0" fontId="81" fillId="8" borderId="103" xfId="0" applyFont="1" applyFill="1" applyBorder="1" applyAlignment="1">
      <alignment horizontal="center" vertical="center" wrapText="1"/>
    </xf>
    <xf numFmtId="0" fontId="81" fillId="8" borderId="103" xfId="0" applyFont="1" applyFill="1" applyBorder="1" applyAlignment="1">
      <alignment vertical="center"/>
    </xf>
    <xf numFmtId="0" fontId="95" fillId="8" borderId="103" xfId="0" applyFont="1" applyFill="1" applyBorder="1" applyAlignment="1">
      <alignment vertical="center"/>
    </xf>
    <xf numFmtId="0" fontId="95" fillId="8" borderId="103" xfId="0" applyFont="1" applyFill="1" applyBorder="1" applyAlignment="1">
      <alignment horizontal="right" vertical="center"/>
    </xf>
    <xf numFmtId="0" fontId="95" fillId="8" borderId="103" xfId="0" applyFont="1" applyFill="1" applyBorder="1" applyAlignment="1">
      <alignment horizontal="left" vertical="center"/>
    </xf>
    <xf numFmtId="0" fontId="81" fillId="4" borderId="103" xfId="0" applyFont="1" applyFill="1" applyBorder="1" applyAlignment="1">
      <alignment horizontal="right" vertical="center"/>
    </xf>
    <xf numFmtId="0" fontId="81" fillId="8" borderId="103" xfId="2" applyFont="1" applyFill="1" applyBorder="1" applyAlignment="1">
      <alignment horizontal="right" vertical="center" wrapText="1"/>
    </xf>
    <xf numFmtId="49" fontId="81" fillId="8" borderId="103" xfId="2" applyNumberFormat="1" applyFont="1" applyFill="1" applyBorder="1" applyAlignment="1">
      <alignment horizontal="center" vertical="center" wrapText="1"/>
    </xf>
    <xf numFmtId="0" fontId="9" fillId="4" borderId="12" xfId="2" applyFill="1" applyBorder="1" applyAlignment="1">
      <alignment horizontal="left" vertical="center"/>
    </xf>
    <xf numFmtId="168" fontId="9" fillId="4" borderId="12" xfId="2" applyNumberFormat="1" applyFill="1" applyBorder="1" applyAlignment="1">
      <alignment horizontal="right" vertical="center" wrapText="1"/>
    </xf>
    <xf numFmtId="49" fontId="9" fillId="4" borderId="12" xfId="2" applyNumberFormat="1" applyFill="1" applyBorder="1" applyAlignment="1">
      <alignment horizontal="left" vertical="center" wrapText="1"/>
    </xf>
    <xf numFmtId="168" fontId="9" fillId="4" borderId="12" xfId="2" applyNumberFormat="1" applyFill="1" applyBorder="1" applyAlignment="1">
      <alignment horizontal="right" vertical="center"/>
    </xf>
    <xf numFmtId="0" fontId="9" fillId="4" borderId="12" xfId="2" applyFill="1" applyBorder="1" applyAlignment="1">
      <alignment vertical="center"/>
    </xf>
    <xf numFmtId="0" fontId="9" fillId="4" borderId="11" xfId="2" applyFill="1" applyBorder="1" applyAlignment="1">
      <alignment vertical="center"/>
    </xf>
    <xf numFmtId="168" fontId="21" fillId="5" borderId="106" xfId="2" applyNumberFormat="1" applyFont="1" applyFill="1" applyBorder="1" applyAlignment="1">
      <alignment horizontal="right" vertical="center"/>
    </xf>
    <xf numFmtId="168" fontId="21" fillId="5" borderId="102" xfId="12" applyNumberFormat="1" applyFont="1" applyFill="1" applyBorder="1" applyAlignment="1" applyProtection="1">
      <alignment horizontal="right" vertical="center"/>
    </xf>
    <xf numFmtId="0" fontId="9" fillId="8" borderId="12" xfId="2" applyFill="1" applyBorder="1" applyAlignment="1">
      <alignment horizontal="right" vertical="center"/>
    </xf>
    <xf numFmtId="0" fontId="9" fillId="8" borderId="11" xfId="2" applyFill="1" applyBorder="1" applyAlignment="1">
      <alignment horizontal="left" vertical="center"/>
    </xf>
    <xf numFmtId="0" fontId="9" fillId="8" borderId="11" xfId="2" applyFill="1" applyBorder="1" applyAlignment="1">
      <alignment vertical="center"/>
    </xf>
    <xf numFmtId="0" fontId="9" fillId="0" borderId="36" xfId="2" applyBorder="1" applyAlignment="1">
      <alignment horizontal="center" vertical="center"/>
    </xf>
    <xf numFmtId="0" fontId="9" fillId="47" borderId="36" xfId="2" applyFill="1" applyBorder="1" applyAlignment="1">
      <alignment vertical="center"/>
    </xf>
    <xf numFmtId="0" fontId="9" fillId="47" borderId="36" xfId="2" applyFill="1" applyBorder="1" applyAlignment="1">
      <alignment horizontal="centerContinuous" vertical="center"/>
    </xf>
    <xf numFmtId="0" fontId="9" fillId="0" borderId="36" xfId="2" applyBorder="1" applyAlignment="1">
      <alignment horizontal="centerContinuous" vertical="center"/>
    </xf>
    <xf numFmtId="2" fontId="9" fillId="0" borderId="36" xfId="9" applyNumberFormat="1" applyFont="1" applyBorder="1" applyAlignment="1">
      <alignment horizontal="centerContinuous" vertical="center"/>
    </xf>
    <xf numFmtId="0" fontId="9" fillId="0" borderId="37" xfId="2" applyBorder="1" applyAlignment="1">
      <alignment horizontal="center" vertical="center"/>
    </xf>
    <xf numFmtId="2" fontId="9" fillId="47" borderId="36" xfId="9" applyNumberFormat="1" applyFont="1" applyFill="1" applyBorder="1" applyAlignment="1">
      <alignment horizontal="centerContinuous" vertical="center"/>
    </xf>
    <xf numFmtId="0" fontId="9" fillId="0" borderId="20" xfId="2" applyBorder="1" applyAlignment="1">
      <alignment horizontal="centerContinuous" vertical="center"/>
    </xf>
    <xf numFmtId="2" fontId="9" fillId="0" borderId="38" xfId="9" applyNumberFormat="1" applyFont="1" applyBorder="1" applyAlignment="1">
      <alignment horizontal="center" vertical="center"/>
    </xf>
    <xf numFmtId="0" fontId="9" fillId="0" borderId="38" xfId="2" applyBorder="1" applyAlignment="1">
      <alignment horizontal="centerContinuous" vertical="center"/>
    </xf>
    <xf numFmtId="0" fontId="9" fillId="0" borderId="27" xfId="2" applyBorder="1" applyAlignment="1">
      <alignment horizontal="centerContinuous" vertical="center"/>
    </xf>
    <xf numFmtId="0" fontId="9" fillId="0" borderId="22" xfId="2" applyBorder="1" applyAlignment="1">
      <alignment horizontal="center" vertical="center"/>
    </xf>
    <xf numFmtId="0" fontId="9" fillId="0" borderId="22" xfId="2" applyBorder="1" applyAlignment="1">
      <alignment horizontal="centerContinuous" vertical="center"/>
    </xf>
    <xf numFmtId="0" fontId="9" fillId="0" borderId="32" xfId="2" applyBorder="1" applyAlignment="1">
      <alignment horizontal="center" vertical="center"/>
    </xf>
    <xf numFmtId="2" fontId="9" fillId="0" borderId="22" xfId="9" applyNumberFormat="1" applyFont="1" applyBorder="1" applyAlignment="1">
      <alignment horizontal="center" vertical="center"/>
    </xf>
    <xf numFmtId="0" fontId="9" fillId="0" borderId="48" xfId="2" applyBorder="1" applyAlignment="1">
      <alignment horizontal="centerContinuous" vertical="center"/>
    </xf>
    <xf numFmtId="2" fontId="9" fillId="0" borderId="38" xfId="2" applyNumberFormat="1" applyBorder="1" applyAlignment="1">
      <alignment horizontal="centerContinuous" vertical="center"/>
    </xf>
    <xf numFmtId="0" fontId="9" fillId="0" borderId="39" xfId="2" applyBorder="1" applyAlignment="1">
      <alignment horizontal="centerContinuous" vertical="center"/>
    </xf>
    <xf numFmtId="0" fontId="9" fillId="47" borderId="23" xfId="2" applyFill="1" applyBorder="1" applyAlignment="1">
      <alignment horizontal="centerContinuous" vertical="center"/>
    </xf>
    <xf numFmtId="2" fontId="100" fillId="47" borderId="24" xfId="9" applyNumberFormat="1" applyFont="1" applyFill="1" applyBorder="1" applyAlignment="1">
      <alignment horizontal="centerContinuous" vertical="center"/>
    </xf>
    <xf numFmtId="0" fontId="100" fillId="47" borderId="24" xfId="2" applyFont="1" applyFill="1" applyBorder="1" applyAlignment="1">
      <alignment horizontal="centerContinuous" vertical="center"/>
    </xf>
    <xf numFmtId="0" fontId="9" fillId="47" borderId="24" xfId="2" applyFill="1" applyBorder="1" applyAlignment="1">
      <alignment horizontal="centerContinuous" vertical="center"/>
    </xf>
    <xf numFmtId="0" fontId="9" fillId="47" borderId="25" xfId="2" applyFill="1" applyBorder="1" applyAlignment="1">
      <alignment horizontal="centerContinuous" vertical="center"/>
    </xf>
    <xf numFmtId="0" fontId="9" fillId="47" borderId="132" xfId="2" applyFill="1" applyBorder="1" applyAlignment="1">
      <alignment horizontal="center" vertical="center" wrapText="1"/>
    </xf>
    <xf numFmtId="0" fontId="9" fillId="47" borderId="132" xfId="2" applyFill="1" applyBorder="1" applyAlignment="1">
      <alignment horizontal="centerContinuous" vertical="center" wrapText="1"/>
    </xf>
    <xf numFmtId="2" fontId="9" fillId="47" borderId="132" xfId="9" applyNumberFormat="1" applyFont="1" applyFill="1" applyBorder="1" applyAlignment="1">
      <alignment horizontal="center" vertical="center" wrapText="1"/>
    </xf>
    <xf numFmtId="0" fontId="9" fillId="47" borderId="133" xfId="2" applyFill="1" applyBorder="1" applyAlignment="1">
      <alignment vertical="center"/>
    </xf>
    <xf numFmtId="0" fontId="9" fillId="47" borderId="134" xfId="2" applyFill="1" applyBorder="1" applyAlignment="1">
      <alignment vertical="center"/>
    </xf>
    <xf numFmtId="0" fontId="9" fillId="47" borderId="135" xfId="2" applyFill="1" applyBorder="1" applyAlignment="1">
      <alignment vertical="center"/>
    </xf>
    <xf numFmtId="0" fontId="9" fillId="47" borderId="136" xfId="2" applyFill="1" applyBorder="1" applyAlignment="1">
      <alignment vertical="center"/>
    </xf>
    <xf numFmtId="0" fontId="9" fillId="47" borderId="137" xfId="2" applyFill="1" applyBorder="1" applyAlignment="1">
      <alignment vertical="center"/>
    </xf>
    <xf numFmtId="0" fontId="9" fillId="47" borderId="138" xfId="2" applyFill="1" applyBorder="1" applyAlignment="1">
      <alignment vertical="center"/>
    </xf>
    <xf numFmtId="0" fontId="20" fillId="47" borderId="134" xfId="2" applyFont="1" applyFill="1" applyBorder="1" applyAlignment="1">
      <alignment horizontal="center" vertical="center"/>
    </xf>
    <xf numFmtId="0" fontId="9" fillId="47" borderId="38" xfId="2" applyFill="1" applyBorder="1" applyAlignment="1">
      <alignment horizontal="center" vertical="center"/>
    </xf>
    <xf numFmtId="0" fontId="9" fillId="47" borderId="139" xfId="2" applyFill="1" applyBorder="1" applyAlignment="1">
      <alignment vertical="center"/>
    </xf>
    <xf numFmtId="0" fontId="9" fillId="47" borderId="140" xfId="2" applyFill="1" applyBorder="1" applyAlignment="1">
      <alignment vertical="center"/>
    </xf>
    <xf numFmtId="0" fontId="9" fillId="47" borderId="133" xfId="2" applyFill="1" applyBorder="1" applyAlignment="1">
      <alignment horizontal="center" vertical="center"/>
    </xf>
    <xf numFmtId="0" fontId="9" fillId="47" borderId="134" xfId="2" applyFill="1" applyBorder="1" applyAlignment="1">
      <alignment horizontal="center" vertical="center"/>
    </xf>
    <xf numFmtId="0" fontId="9" fillId="47" borderId="135" xfId="2" applyFill="1" applyBorder="1" applyAlignment="1">
      <alignment horizontal="center" vertical="center"/>
    </xf>
    <xf numFmtId="0" fontId="9" fillId="47" borderId="136" xfId="2" applyFill="1" applyBorder="1" applyAlignment="1">
      <alignment horizontal="center" vertical="center"/>
    </xf>
    <xf numFmtId="0" fontId="9" fillId="47" borderId="137" xfId="2" applyFill="1" applyBorder="1" applyAlignment="1">
      <alignment horizontal="center" vertical="center"/>
    </xf>
    <xf numFmtId="0" fontId="9" fillId="47" borderId="138" xfId="2" applyFill="1" applyBorder="1" applyAlignment="1">
      <alignment horizontal="center" vertical="center"/>
    </xf>
    <xf numFmtId="2" fontId="9" fillId="47" borderId="133" xfId="9" applyNumberFormat="1" applyFont="1" applyFill="1" applyBorder="1" applyAlignment="1">
      <alignment horizontal="center" vertical="center"/>
    </xf>
    <xf numFmtId="2" fontId="9" fillId="47" borderId="134" xfId="9" applyNumberFormat="1" applyFont="1" applyFill="1" applyBorder="1" applyAlignment="1">
      <alignment horizontal="center" vertical="center"/>
    </xf>
    <xf numFmtId="2" fontId="9" fillId="47" borderId="136" xfId="9" applyNumberFormat="1" applyFont="1" applyFill="1" applyBorder="1" applyAlignment="1">
      <alignment horizontal="center" vertical="center"/>
    </xf>
    <xf numFmtId="2" fontId="9" fillId="47" borderId="137" xfId="9" applyNumberFormat="1" applyFont="1" applyFill="1" applyBorder="1" applyAlignment="1">
      <alignment horizontal="center" vertical="center"/>
    </xf>
    <xf numFmtId="0" fontId="9" fillId="47" borderId="38" xfId="2" applyFill="1" applyBorder="1" applyAlignment="1">
      <alignment horizontal="centerContinuous" vertical="center"/>
    </xf>
    <xf numFmtId="0" fontId="9" fillId="47" borderId="141" xfId="2" applyFill="1" applyBorder="1" applyAlignment="1">
      <alignment horizontal="center" vertical="center" wrapText="1"/>
    </xf>
    <xf numFmtId="0" fontId="9" fillId="0" borderId="39" xfId="2" applyBorder="1" applyAlignment="1">
      <alignment horizontal="center" vertical="center"/>
    </xf>
    <xf numFmtId="0" fontId="9" fillId="47" borderId="39" xfId="2" applyFill="1" applyBorder="1" applyAlignment="1">
      <alignment horizontal="center" vertical="center"/>
    </xf>
    <xf numFmtId="9" fontId="9" fillId="0" borderId="39" xfId="9" applyFont="1" applyBorder="1" applyAlignment="1">
      <alignment horizontal="center" vertical="center"/>
    </xf>
    <xf numFmtId="9" fontId="9" fillId="47" borderId="141" xfId="9" applyFont="1" applyFill="1" applyBorder="1" applyAlignment="1">
      <alignment horizontal="center" vertical="center" wrapText="1"/>
    </xf>
    <xf numFmtId="2" fontId="9" fillId="0" borderId="39" xfId="9" applyNumberFormat="1" applyFont="1" applyBorder="1" applyAlignment="1">
      <alignment horizontal="center" vertical="center"/>
    </xf>
    <xf numFmtId="2" fontId="9" fillId="47" borderId="39" xfId="9" applyNumberFormat="1" applyFont="1" applyFill="1" applyBorder="1" applyAlignment="1">
      <alignment horizontal="center" vertical="center"/>
    </xf>
    <xf numFmtId="0" fontId="9" fillId="0" borderId="29" xfId="2" applyBorder="1" applyAlignment="1">
      <alignment horizontal="center" vertical="center"/>
    </xf>
    <xf numFmtId="2" fontId="9" fillId="0" borderId="36" xfId="2" applyNumberFormat="1" applyBorder="1" applyAlignment="1">
      <alignment horizontal="center" vertical="center"/>
    </xf>
    <xf numFmtId="2" fontId="9" fillId="0" borderId="22" xfId="2" applyNumberFormat="1" applyBorder="1" applyAlignment="1">
      <alignment horizontal="center" vertical="center"/>
    </xf>
    <xf numFmtId="0" fontId="9" fillId="0" borderId="48" xfId="2" applyBorder="1" applyAlignment="1">
      <alignment horizontal="center" vertical="center"/>
    </xf>
    <xf numFmtId="0" fontId="9" fillId="47" borderId="138" xfId="2" applyFill="1" applyBorder="1" applyAlignment="1">
      <alignment horizontal="center" vertical="center" wrapText="1"/>
    </xf>
    <xf numFmtId="0" fontId="9" fillId="47" borderId="4" xfId="2" applyFill="1" applyBorder="1" applyAlignment="1">
      <alignment horizontal="center" vertical="center"/>
    </xf>
    <xf numFmtId="0" fontId="9" fillId="0" borderId="4" xfId="2" applyBorder="1" applyAlignment="1">
      <alignment horizontal="center" vertical="center"/>
    </xf>
    <xf numFmtId="2" fontId="9" fillId="0" borderId="38" xfId="2" applyNumberFormat="1" applyBorder="1" applyAlignment="1">
      <alignment horizontal="center" vertical="center"/>
    </xf>
    <xf numFmtId="0" fontId="99" fillId="5" borderId="0" xfId="0" applyFont="1" applyFill="1"/>
    <xf numFmtId="0" fontId="9" fillId="47" borderId="10" xfId="2" applyFill="1" applyBorder="1" applyAlignment="1">
      <alignment horizontal="center" vertical="center" wrapText="1"/>
    </xf>
    <xf numFmtId="0" fontId="9" fillId="47" borderId="15" xfId="2" applyFill="1" applyBorder="1" applyAlignment="1">
      <alignment vertical="center"/>
    </xf>
    <xf numFmtId="0" fontId="9" fillId="47" borderId="4" xfId="2" applyFill="1" applyBorder="1" applyAlignment="1">
      <alignment horizontal="centerContinuous" vertical="center" wrapText="1"/>
    </xf>
    <xf numFmtId="0" fontId="9" fillId="47" borderId="4" xfId="2" applyFill="1" applyBorder="1" applyAlignment="1">
      <alignment horizontal="centerContinuous" vertical="center"/>
    </xf>
    <xf numFmtId="0" fontId="9" fillId="47" borderId="4" xfId="2" applyFill="1" applyBorder="1" applyAlignment="1">
      <alignment horizontal="center" vertical="center" wrapText="1"/>
    </xf>
    <xf numFmtId="0" fontId="9" fillId="5" borderId="4" xfId="2" applyFill="1" applyBorder="1" applyAlignment="1">
      <alignment horizontal="center" vertical="center" wrapText="1"/>
    </xf>
    <xf numFmtId="0" fontId="9" fillId="0" borderId="4" xfId="2" applyBorder="1" applyAlignment="1">
      <alignment horizontal="centerContinuous" vertical="center" wrapText="1"/>
    </xf>
    <xf numFmtId="0" fontId="9" fillId="0" borderId="4" xfId="2" applyBorder="1" applyAlignment="1">
      <alignment horizontal="centerContinuous" vertical="center"/>
    </xf>
    <xf numFmtId="0" fontId="9" fillId="0" borderId="4" xfId="2" applyBorder="1" applyAlignment="1">
      <alignment horizontal="center" vertical="center" wrapText="1"/>
    </xf>
    <xf numFmtId="0" fontId="9" fillId="5" borderId="4" xfId="2" applyFill="1" applyBorder="1" applyAlignment="1">
      <alignment horizontal="centerContinuous" vertical="center" wrapText="1"/>
    </xf>
    <xf numFmtId="0" fontId="20" fillId="47" borderId="8" xfId="2" applyFont="1" applyFill="1" applyBorder="1" applyAlignment="1">
      <alignment horizontal="center" vertical="center"/>
    </xf>
    <xf numFmtId="0" fontId="20" fillId="47" borderId="2" xfId="2" applyFont="1" applyFill="1" applyBorder="1" applyAlignment="1">
      <alignment horizontal="center" vertical="center"/>
    </xf>
    <xf numFmtId="0" fontId="9" fillId="47" borderId="13" xfId="2" applyFill="1" applyBorder="1" applyAlignment="1">
      <alignment vertical="center"/>
    </xf>
    <xf numFmtId="0" fontId="9" fillId="47" borderId="9" xfId="2" applyFill="1" applyBorder="1" applyAlignment="1">
      <alignment horizontal="center" vertical="center" wrapText="1"/>
    </xf>
    <xf numFmtId="0" fontId="9" fillId="6" borderId="2" xfId="298" applyFill="1" applyBorder="1" applyAlignment="1">
      <alignment vertical="center"/>
    </xf>
    <xf numFmtId="0" fontId="20" fillId="6" borderId="2" xfId="298" applyFont="1" applyFill="1" applyBorder="1" applyAlignment="1">
      <alignment vertical="center"/>
    </xf>
    <xf numFmtId="39" fontId="21" fillId="6" borderId="2" xfId="298" applyNumberFormat="1" applyFont="1" applyFill="1" applyBorder="1" applyAlignment="1">
      <alignment horizontal="right" vertical="center"/>
    </xf>
    <xf numFmtId="49" fontId="75" fillId="6" borderId="2" xfId="298" applyNumberFormat="1" applyFont="1" applyFill="1" applyBorder="1" applyAlignment="1">
      <alignment vertical="center" wrapText="1"/>
    </xf>
    <xf numFmtId="0" fontId="22" fillId="6" borderId="0" xfId="298" applyFont="1" applyFill="1" applyAlignment="1">
      <alignment vertical="center"/>
    </xf>
    <xf numFmtId="0" fontId="20" fillId="6" borderId="0" xfId="298" applyFont="1" applyFill="1" applyAlignment="1">
      <alignment vertical="center"/>
    </xf>
    <xf numFmtId="39" fontId="21" fillId="6" borderId="0" xfId="298" applyNumberFormat="1" applyFont="1" applyFill="1" applyAlignment="1">
      <alignment horizontal="right" vertical="center"/>
    </xf>
    <xf numFmtId="49" fontId="75" fillId="6" borderId="0" xfId="298" applyNumberFormat="1" applyFont="1" applyFill="1" applyAlignment="1">
      <alignment vertical="center" wrapText="1"/>
    </xf>
    <xf numFmtId="43" fontId="21" fillId="6" borderId="99" xfId="12" applyFont="1" applyFill="1" applyBorder="1" applyAlignment="1" applyProtection="1">
      <alignment horizontal="right" vertical="center"/>
      <protection locked="0"/>
    </xf>
    <xf numFmtId="167" fontId="21" fillId="6" borderId="99" xfId="12" applyNumberFormat="1" applyFont="1" applyFill="1" applyBorder="1" applyAlignment="1" applyProtection="1">
      <alignment horizontal="right" vertical="center"/>
      <protection locked="0"/>
    </xf>
    <xf numFmtId="174" fontId="21" fillId="6" borderId="99" xfId="12" applyNumberFormat="1" applyFont="1" applyFill="1" applyBorder="1" applyAlignment="1" applyProtection="1">
      <alignment horizontal="right" vertical="center"/>
      <protection locked="0"/>
    </xf>
    <xf numFmtId="0" fontId="12" fillId="5" borderId="0" xfId="0" applyFont="1" applyFill="1" applyAlignment="1">
      <alignment vertical="center"/>
    </xf>
    <xf numFmtId="0" fontId="0" fillId="5" borderId="0" xfId="0" applyFill="1" applyAlignment="1">
      <alignment vertical="center" wrapText="1"/>
    </xf>
    <xf numFmtId="0" fontId="9" fillId="0" borderId="142" xfId="0" applyFont="1" applyBorder="1" applyAlignment="1">
      <alignment horizontal="center" vertical="center"/>
    </xf>
    <xf numFmtId="0" fontId="9" fillId="6" borderId="4" xfId="2" applyFill="1" applyBorder="1" applyAlignment="1" applyProtection="1">
      <alignment vertical="center"/>
      <protection locked="0"/>
    </xf>
    <xf numFmtId="0" fontId="21" fillId="6" borderId="4" xfId="2" applyFont="1" applyFill="1" applyBorder="1" applyAlignment="1" applyProtection="1">
      <alignment vertical="center"/>
      <protection locked="0"/>
    </xf>
    <xf numFmtId="0" fontId="75" fillId="0" borderId="0" xfId="0" applyFont="1" applyAlignment="1">
      <alignment vertical="center" wrapText="1"/>
    </xf>
    <xf numFmtId="0" fontId="75" fillId="4" borderId="19" xfId="0" applyFont="1" applyFill="1" applyBorder="1" applyAlignment="1">
      <alignment horizontal="center" vertical="center" textRotation="90"/>
    </xf>
    <xf numFmtId="0" fontId="75" fillId="4" borderId="20" xfId="0" applyFont="1" applyFill="1" applyBorder="1" applyAlignment="1">
      <alignment horizontal="center" vertical="center" textRotation="90"/>
    </xf>
    <xf numFmtId="0" fontId="75" fillId="4" borderId="21" xfId="0" applyFont="1" applyFill="1" applyBorder="1" applyAlignment="1">
      <alignment horizontal="center" vertical="center" textRotation="90"/>
    </xf>
    <xf numFmtId="0" fontId="75" fillId="8" borderId="19" xfId="0" applyFont="1" applyFill="1" applyBorder="1" applyAlignment="1">
      <alignment horizontal="center" vertical="center" wrapText="1"/>
    </xf>
    <xf numFmtId="0" fontId="75" fillId="8" borderId="20" xfId="0" applyFont="1" applyFill="1" applyBorder="1" applyAlignment="1">
      <alignment horizontal="center" vertical="center" wrapText="1"/>
    </xf>
    <xf numFmtId="0" fontId="75" fillId="0" borderId="65" xfId="0" applyFont="1" applyBorder="1" applyAlignment="1">
      <alignment horizontal="center" vertical="center" wrapText="1"/>
    </xf>
    <xf numFmtId="0" fontId="82" fillId="0" borderId="65" xfId="0" applyFont="1" applyBorder="1" applyAlignment="1">
      <alignment vertical="center" wrapText="1"/>
    </xf>
    <xf numFmtId="2" fontId="82" fillId="0" borderId="65" xfId="9" applyNumberFormat="1" applyFont="1" applyBorder="1" applyAlignment="1">
      <alignment vertical="center" wrapText="1"/>
    </xf>
    <xf numFmtId="0" fontId="82" fillId="0" borderId="50" xfId="0" applyFont="1" applyBorder="1" applyAlignment="1">
      <alignment horizontal="left" vertical="center" wrapText="1"/>
    </xf>
    <xf numFmtId="0" fontId="82" fillId="0" borderId="39" xfId="0" applyFont="1" applyBorder="1" applyAlignment="1">
      <alignment vertical="center" wrapText="1"/>
    </xf>
    <xf numFmtId="0" fontId="82" fillId="0" borderId="36" xfId="0" applyFont="1" applyBorder="1" applyAlignment="1">
      <alignment vertical="center" wrapText="1"/>
    </xf>
    <xf numFmtId="0" fontId="82" fillId="0" borderId="37" xfId="0" applyFont="1" applyBorder="1" applyAlignment="1">
      <alignment vertical="center" wrapText="1"/>
    </xf>
    <xf numFmtId="0" fontId="82" fillId="6" borderId="50" xfId="0" applyFont="1" applyFill="1" applyBorder="1" applyAlignment="1">
      <alignment horizontal="left" vertical="center" wrapText="1"/>
    </xf>
    <xf numFmtId="0" fontId="82" fillId="6" borderId="39" xfId="0" applyFont="1" applyFill="1" applyBorder="1" applyAlignment="1">
      <alignment vertical="center" wrapText="1"/>
    </xf>
    <xf numFmtId="0" fontId="82" fillId="6" borderId="36" xfId="0" applyFont="1" applyFill="1" applyBorder="1" applyAlignment="1">
      <alignment vertical="center" wrapText="1"/>
    </xf>
    <xf numFmtId="0" fontId="82" fillId="6" borderId="37" xfId="0" applyFont="1" applyFill="1" applyBorder="1" applyAlignment="1">
      <alignment vertical="center" wrapText="1"/>
    </xf>
    <xf numFmtId="0" fontId="82" fillId="0" borderId="108" xfId="0" applyFont="1" applyBorder="1" applyAlignment="1">
      <alignment vertical="center" wrapText="1"/>
    </xf>
    <xf numFmtId="2" fontId="21" fillId="0" borderId="0" xfId="0" applyNumberFormat="1" applyFont="1" applyAlignment="1" applyProtection="1">
      <alignment horizontal="right" vertical="center" wrapText="1"/>
      <protection locked="0"/>
    </xf>
    <xf numFmtId="2" fontId="21" fillId="0" borderId="0" xfId="0" applyNumberFormat="1" applyFont="1" applyAlignment="1">
      <alignment horizontal="left" vertical="center" wrapText="1" indent="1"/>
    </xf>
    <xf numFmtId="0" fontId="9" fillId="0" borderId="0" xfId="0" applyFont="1" applyAlignment="1" applyProtection="1">
      <alignment vertical="center" wrapText="1"/>
      <protection locked="0"/>
    </xf>
    <xf numFmtId="2" fontId="82" fillId="0" borderId="17" xfId="0" applyNumberFormat="1" applyFont="1" applyBorder="1" applyAlignment="1">
      <alignment vertical="center"/>
    </xf>
    <xf numFmtId="2" fontId="82" fillId="0" borderId="36" xfId="0" applyNumberFormat="1" applyFont="1" applyBorder="1" applyAlignment="1">
      <alignment horizontal="right" vertical="center"/>
    </xf>
    <xf numFmtId="0" fontId="82" fillId="0" borderId="35" xfId="0" applyFont="1" applyBorder="1" applyAlignment="1">
      <alignment vertical="center"/>
    </xf>
    <xf numFmtId="2" fontId="82" fillId="0" borderId="36" xfId="0" applyNumberFormat="1" applyFont="1" applyBorder="1" applyAlignment="1">
      <alignment vertical="center"/>
    </xf>
    <xf numFmtId="0" fontId="82" fillId="0" borderId="20" xfId="0" applyFont="1" applyBorder="1" applyAlignment="1">
      <alignment horizontal="right" vertical="center"/>
    </xf>
    <xf numFmtId="0" fontId="82" fillId="0" borderId="19" xfId="0" applyFont="1" applyBorder="1" applyAlignment="1">
      <alignment vertical="center"/>
    </xf>
    <xf numFmtId="2" fontId="82" fillId="0" borderId="20" xfId="0" applyNumberFormat="1" applyFont="1" applyBorder="1" applyAlignment="1">
      <alignment vertical="center"/>
    </xf>
    <xf numFmtId="0" fontId="75" fillId="4" borderId="22" xfId="0" applyFont="1" applyFill="1" applyBorder="1" applyAlignment="1">
      <alignment horizontal="center" vertical="center" wrapText="1"/>
    </xf>
    <xf numFmtId="0" fontId="75" fillId="4" borderId="47" xfId="0" applyFont="1" applyFill="1" applyBorder="1" applyAlignment="1">
      <alignment horizontal="center" vertical="center" wrapText="1"/>
    </xf>
    <xf numFmtId="0" fontId="82" fillId="0" borderId="23" xfId="0" applyFont="1" applyBorder="1" applyAlignment="1">
      <alignment horizontal="left" vertical="center" wrapText="1"/>
    </xf>
    <xf numFmtId="0" fontId="82" fillId="0" borderId="24" xfId="0" applyFont="1" applyBorder="1" applyAlignment="1">
      <alignment horizontal="left" vertical="center" wrapText="1"/>
    </xf>
    <xf numFmtId="0" fontId="82" fillId="0" borderId="37" xfId="0" applyFont="1" applyBorder="1" applyAlignment="1">
      <alignment vertical="center"/>
    </xf>
    <xf numFmtId="0" fontId="82" fillId="0" borderId="0" xfId="0" applyFont="1" applyAlignment="1">
      <alignment vertical="center"/>
    </xf>
    <xf numFmtId="0" fontId="82" fillId="0" borderId="45" xfId="0" applyFont="1" applyBorder="1" applyAlignment="1">
      <alignment horizontal="left" vertical="top" wrapText="1"/>
    </xf>
    <xf numFmtId="0" fontId="82" fillId="0" borderId="45" xfId="0" applyFont="1" applyBorder="1" applyAlignment="1">
      <alignment horizontal="left" vertical="top"/>
    </xf>
    <xf numFmtId="0" fontId="82" fillId="0" borderId="35" xfId="0" applyFont="1" applyBorder="1" applyAlignment="1">
      <alignment horizontal="center" vertical="top" wrapText="1"/>
    </xf>
    <xf numFmtId="0" fontId="82" fillId="0" borderId="35" xfId="0" applyFont="1" applyBorder="1" applyAlignment="1">
      <alignment horizontal="left" vertical="top" wrapText="1"/>
    </xf>
    <xf numFmtId="0" fontId="82" fillId="0" borderId="37" xfId="0" applyFont="1" applyBorder="1" applyAlignment="1">
      <alignment horizontal="left" vertical="top" wrapText="1"/>
    </xf>
    <xf numFmtId="0" fontId="82" fillId="0" borderId="88" xfId="0" applyFont="1" applyBorder="1" applyAlignment="1">
      <alignment horizontal="left" vertical="top" wrapText="1"/>
    </xf>
    <xf numFmtId="0" fontId="82" fillId="0" borderId="88" xfId="0" applyFont="1" applyBorder="1" applyAlignment="1">
      <alignment horizontal="left" vertical="top"/>
    </xf>
    <xf numFmtId="186" fontId="82" fillId="0" borderId="35" xfId="0" applyNumberFormat="1" applyFont="1" applyBorder="1" applyAlignment="1">
      <alignment vertical="center"/>
    </xf>
    <xf numFmtId="0" fontId="82" fillId="0" borderId="39" xfId="0" applyFont="1" applyBorder="1" applyAlignment="1">
      <alignment vertical="center"/>
    </xf>
    <xf numFmtId="0" fontId="82" fillId="0" borderId="38" xfId="0" applyFont="1" applyBorder="1" applyAlignment="1">
      <alignment vertical="center"/>
    </xf>
    <xf numFmtId="164" fontId="82" fillId="0" borderId="45" xfId="9" applyNumberFormat="1" applyFont="1" applyBorder="1" applyAlignment="1">
      <alignment horizontal="right" vertical="center"/>
    </xf>
    <xf numFmtId="0" fontId="82" fillId="0" borderId="47" xfId="0" applyFont="1" applyBorder="1" applyAlignment="1">
      <alignment horizontal="right" vertical="center"/>
    </xf>
    <xf numFmtId="0" fontId="82" fillId="0" borderId="32" xfId="0" applyFont="1" applyBorder="1" applyAlignment="1">
      <alignment horizontal="right" vertical="center"/>
    </xf>
    <xf numFmtId="164" fontId="82" fillId="0" borderId="46" xfId="9" applyNumberFormat="1" applyFont="1" applyBorder="1" applyAlignment="1">
      <alignment horizontal="right" vertical="center"/>
    </xf>
    <xf numFmtId="174" fontId="82" fillId="0" borderId="87" xfId="1" applyNumberFormat="1" applyFont="1" applyBorder="1" applyAlignment="1">
      <alignment horizontal="right" vertical="center"/>
    </xf>
    <xf numFmtId="0" fontId="89" fillId="0" borderId="0" xfId="444" applyFont="1"/>
    <xf numFmtId="0" fontId="3" fillId="0" borderId="0" xfId="444" applyFont="1"/>
    <xf numFmtId="0" fontId="107" fillId="0" borderId="0" xfId="444" applyFont="1"/>
    <xf numFmtId="165" fontId="89" fillId="0" borderId="0" xfId="444" applyNumberFormat="1" applyFont="1"/>
    <xf numFmtId="9" fontId="89" fillId="0" borderId="0" xfId="9" applyFont="1" applyProtection="1"/>
    <xf numFmtId="0" fontId="9" fillId="0" borderId="0" xfId="444" applyFont="1"/>
    <xf numFmtId="0" fontId="108" fillId="5" borderId="0" xfId="0" applyFont="1" applyFill="1"/>
    <xf numFmtId="0" fontId="108" fillId="5" borderId="0" xfId="0" applyFont="1" applyFill="1" applyAlignment="1">
      <alignment vertical="top" wrapText="1"/>
    </xf>
    <xf numFmtId="0" fontId="110" fillId="5" borderId="0" xfId="0" applyFont="1" applyFill="1" applyAlignment="1">
      <alignment wrapText="1"/>
    </xf>
    <xf numFmtId="0" fontId="105" fillId="5" borderId="0" xfId="0" applyFont="1" applyFill="1" applyAlignment="1">
      <alignment horizontal="right" indent="1"/>
    </xf>
    <xf numFmtId="0" fontId="105" fillId="5" borderId="0" xfId="0" applyFont="1" applyFill="1"/>
    <xf numFmtId="0" fontId="89" fillId="0" borderId="0" xfId="0" applyFont="1"/>
    <xf numFmtId="0" fontId="111" fillId="0" borderId="0" xfId="0" applyFont="1"/>
    <xf numFmtId="0" fontId="20" fillId="4" borderId="36" xfId="0" applyFont="1" applyFill="1" applyBorder="1" applyAlignment="1">
      <alignment horizontal="left" vertical="center" wrapText="1"/>
    </xf>
    <xf numFmtId="0" fontId="112" fillId="0" borderId="0" xfId="444" applyFont="1"/>
    <xf numFmtId="0" fontId="113" fillId="0" borderId="0" xfId="444" applyFont="1" applyAlignment="1" applyProtection="1">
      <alignment vertical="center" wrapText="1"/>
      <protection locked="0"/>
    </xf>
    <xf numFmtId="0" fontId="89" fillId="0" borderId="0" xfId="444" applyFont="1" applyAlignment="1">
      <alignment vertical="center"/>
    </xf>
    <xf numFmtId="0" fontId="89" fillId="0" borderId="0" xfId="444" applyFont="1" applyProtection="1">
      <protection locked="0"/>
    </xf>
    <xf numFmtId="0" fontId="114" fillId="0" borderId="0" xfId="444" applyFont="1" applyAlignment="1">
      <alignment vertical="center"/>
    </xf>
    <xf numFmtId="0" fontId="114" fillId="0" borderId="0" xfId="444" applyFont="1" applyAlignment="1">
      <alignment vertical="center" wrapText="1"/>
    </xf>
    <xf numFmtId="0" fontId="20" fillId="4" borderId="22" xfId="0" applyFont="1" applyFill="1" applyBorder="1" applyAlignment="1">
      <alignment horizontal="left" vertical="center" wrapText="1"/>
    </xf>
    <xf numFmtId="49" fontId="89" fillId="0" borderId="0" xfId="444" applyNumberFormat="1" applyFont="1"/>
    <xf numFmtId="0" fontId="21" fillId="0" borderId="0" xfId="0" applyFont="1" applyAlignment="1">
      <alignment horizontal="left" vertical="center" wrapText="1" indent="1"/>
    </xf>
    <xf numFmtId="0" fontId="21" fillId="0" borderId="0" xfId="0" applyFont="1" applyAlignment="1">
      <alignment horizontal="left" vertical="center" wrapText="1"/>
    </xf>
    <xf numFmtId="3" fontId="21" fillId="0" borderId="0" xfId="0" applyNumberFormat="1" applyFont="1" applyAlignment="1" applyProtection="1">
      <alignment horizontal="right" vertical="center" wrapText="1"/>
      <protection locked="0"/>
    </xf>
    <xf numFmtId="2" fontId="35" fillId="0" borderId="0" xfId="0" applyNumberFormat="1" applyFont="1" applyAlignment="1" applyProtection="1">
      <alignment horizontal="right" vertical="center" wrapText="1"/>
      <protection locked="0"/>
    </xf>
    <xf numFmtId="3" fontId="9" fillId="0" borderId="0" xfId="0" applyNumberFormat="1" applyFont="1" applyAlignment="1">
      <alignment horizontal="center" vertical="center" wrapText="1"/>
    </xf>
    <xf numFmtId="3" fontId="21" fillId="0" borderId="0" xfId="0" applyNumberFormat="1" applyFont="1" applyAlignment="1">
      <alignment horizontal="right" vertical="center" wrapText="1"/>
    </xf>
    <xf numFmtId="2" fontId="35" fillId="0" borderId="0" xfId="0" applyNumberFormat="1" applyFont="1" applyAlignment="1">
      <alignment horizontal="right" vertical="center" wrapText="1"/>
    </xf>
    <xf numFmtId="3" fontId="22" fillId="0" borderId="0" xfId="0" applyNumberFormat="1" applyFont="1" applyAlignment="1">
      <alignment horizontal="center" vertical="center" wrapText="1"/>
    </xf>
    <xf numFmtId="2" fontId="21" fillId="0" borderId="0" xfId="0" applyNumberFormat="1" applyFont="1" applyAlignment="1">
      <alignment horizontal="right" vertical="center" wrapText="1"/>
    </xf>
    <xf numFmtId="0" fontId="90" fillId="0" borderId="0" xfId="0" applyFont="1"/>
    <xf numFmtId="0" fontId="28" fillId="0" borderId="0" xfId="0" applyFont="1" applyAlignment="1">
      <alignment horizontal="center" vertical="center" wrapText="1"/>
    </xf>
    <xf numFmtId="0" fontId="94" fillId="0" borderId="0" xfId="0" applyFont="1"/>
    <xf numFmtId="0" fontId="23" fillId="0" borderId="0" xfId="0" applyFont="1" applyAlignment="1">
      <alignment horizontal="center" vertical="center"/>
    </xf>
    <xf numFmtId="0" fontId="23" fillId="0" borderId="0" xfId="0" applyFont="1"/>
    <xf numFmtId="0" fontId="20" fillId="0" borderId="0" xfId="0" applyFont="1" applyAlignment="1">
      <alignment horizontal="center" vertical="center" wrapText="1"/>
    </xf>
    <xf numFmtId="0" fontId="35" fillId="0" borderId="0" xfId="0" applyFont="1" applyAlignment="1">
      <alignment horizontal="left" vertical="center" wrapText="1"/>
    </xf>
    <xf numFmtId="2" fontId="21" fillId="0" borderId="0" xfId="0" applyNumberFormat="1" applyFont="1" applyAlignment="1" applyProtection="1">
      <alignment vertical="center" wrapText="1"/>
      <protection hidden="1"/>
    </xf>
    <xf numFmtId="2" fontId="21" fillId="0" borderId="0" xfId="0" applyNumberFormat="1" applyFont="1" applyAlignment="1">
      <alignment vertical="center" wrapText="1"/>
    </xf>
    <xf numFmtId="4" fontId="35" fillId="0" borderId="0" xfId="0" applyNumberFormat="1" applyFont="1" applyAlignment="1">
      <alignment horizontal="right" vertical="center" wrapText="1"/>
    </xf>
    <xf numFmtId="9" fontId="21" fillId="0" borderId="0" xfId="0" applyNumberFormat="1" applyFont="1" applyAlignment="1">
      <alignment horizontal="center" vertical="center" wrapText="1"/>
    </xf>
    <xf numFmtId="0" fontId="21" fillId="0" borderId="0" xfId="0" applyFont="1" applyAlignment="1" applyProtection="1">
      <alignment horizontal="left" vertical="top" wrapText="1"/>
      <protection locked="0"/>
    </xf>
    <xf numFmtId="9" fontId="54" fillId="0" borderId="0" xfId="0" applyNumberFormat="1" applyFont="1" applyAlignment="1">
      <alignment vertical="center" wrapText="1"/>
    </xf>
    <xf numFmtId="9" fontId="81" fillId="0" borderId="0" xfId="0" applyNumberFormat="1" applyFont="1" applyAlignment="1">
      <alignment vertical="center" wrapText="1"/>
    </xf>
    <xf numFmtId="0" fontId="94" fillId="0" borderId="0" xfId="0" applyFont="1" applyAlignment="1">
      <alignment vertical="center"/>
    </xf>
    <xf numFmtId="0" fontId="28" fillId="0" borderId="0" xfId="0" applyFont="1" applyAlignment="1">
      <alignment horizontal="left" vertical="center"/>
    </xf>
    <xf numFmtId="0" fontId="97" fillId="0" borderId="0" xfId="0" applyFont="1" applyAlignment="1">
      <alignment horizontal="center" vertical="center" wrapText="1"/>
    </xf>
    <xf numFmtId="0" fontId="97" fillId="0" borderId="0" xfId="0" applyFont="1" applyAlignment="1">
      <alignment horizontal="left" vertical="top" wrapText="1"/>
    </xf>
    <xf numFmtId="0" fontId="97" fillId="0" borderId="0" xfId="0" applyFont="1" applyAlignment="1">
      <alignment vertical="top" wrapText="1"/>
    </xf>
    <xf numFmtId="171" fontId="21" fillId="0" borderId="0" xfId="1" applyNumberFormat="1" applyFont="1" applyFill="1" applyBorder="1" applyAlignment="1" applyProtection="1">
      <alignment horizontal="right" vertical="center"/>
      <protection locked="0"/>
    </xf>
    <xf numFmtId="168" fontId="35" fillId="0" borderId="0" xfId="1" applyNumberFormat="1" applyFont="1" applyFill="1" applyBorder="1" applyAlignment="1">
      <alignment horizontal="right" vertical="center" wrapText="1"/>
    </xf>
    <xf numFmtId="0" fontId="21" fillId="0" borderId="0" xfId="0" applyFont="1" applyAlignment="1" applyProtection="1">
      <alignment horizontal="left" vertical="center" wrapText="1" indent="1"/>
      <protection locked="0"/>
    </xf>
    <xf numFmtId="0" fontId="3" fillId="0" borderId="0" xfId="444" applyFont="1" applyAlignment="1">
      <alignment vertical="center"/>
    </xf>
    <xf numFmtId="9" fontId="30" fillId="4" borderId="36" xfId="9" applyFont="1" applyFill="1" applyBorder="1" applyProtection="1"/>
    <xf numFmtId="9" fontId="3" fillId="0" borderId="0" xfId="9" applyFont="1" applyProtection="1"/>
    <xf numFmtId="0" fontId="3" fillId="0" borderId="147" xfId="444" applyFont="1" applyBorder="1"/>
    <xf numFmtId="9" fontId="20" fillId="4" borderId="36" xfId="9" applyFont="1" applyFill="1" applyBorder="1" applyAlignment="1" applyProtection="1">
      <alignment horizontal="center" vertical="center" wrapText="1"/>
    </xf>
    <xf numFmtId="0" fontId="3" fillId="6" borderId="65" xfId="0" applyFont="1" applyFill="1" applyBorder="1" applyAlignment="1" applyProtection="1">
      <alignment horizontal="center" vertical="center"/>
      <protection locked="0"/>
    </xf>
    <xf numFmtId="0" fontId="9" fillId="6" borderId="0" xfId="2" applyFill="1" applyAlignment="1" applyProtection="1">
      <alignment vertical="center"/>
      <protection locked="0"/>
    </xf>
    <xf numFmtId="43" fontId="21" fillId="0" borderId="99" xfId="1" applyFont="1" applyFill="1" applyBorder="1" applyAlignment="1">
      <alignment horizontal="center" vertical="center"/>
    </xf>
    <xf numFmtId="0" fontId="75" fillId="6" borderId="65" xfId="0" applyFont="1" applyFill="1" applyBorder="1" applyAlignment="1" applyProtection="1">
      <alignment horizontal="center" vertical="center"/>
      <protection locked="0"/>
    </xf>
    <xf numFmtId="2" fontId="89" fillId="0" borderId="36" xfId="9" applyNumberFormat="1" applyFont="1" applyFill="1" applyBorder="1" applyAlignment="1" applyProtection="1">
      <alignment horizontal="center"/>
    </xf>
    <xf numFmtId="0" fontId="0" fillId="49" borderId="61" xfId="0" applyFill="1" applyBorder="1"/>
    <xf numFmtId="0" fontId="0" fillId="49" borderId="61" xfId="0" applyFill="1" applyBorder="1" applyAlignment="1">
      <alignment wrapText="1"/>
    </xf>
    <xf numFmtId="0" fontId="0" fillId="49" borderId="0" xfId="0" applyFill="1"/>
    <xf numFmtId="0" fontId="0" fillId="49" borderId="67" xfId="0" applyFill="1" applyBorder="1"/>
    <xf numFmtId="0" fontId="0" fillId="49" borderId="62" xfId="0" applyFill="1" applyBorder="1" applyAlignment="1">
      <alignment wrapText="1"/>
    </xf>
    <xf numFmtId="0" fontId="0" fillId="49" borderId="62" xfId="0" applyFill="1" applyBorder="1"/>
    <xf numFmtId="0" fontId="0" fillId="49" borderId="0" xfId="0" applyFill="1" applyAlignment="1">
      <alignment wrapText="1"/>
    </xf>
    <xf numFmtId="0" fontId="67" fillId="49" borderId="0" xfId="0" quotePrefix="1" applyFont="1" applyFill="1"/>
    <xf numFmtId="0" fontId="67" fillId="49" borderId="66" xfId="0" quotePrefix="1" applyFont="1" applyFill="1" applyBorder="1"/>
    <xf numFmtId="0" fontId="67" fillId="49" borderId="0" xfId="0" applyFont="1" applyFill="1"/>
    <xf numFmtId="0" fontId="67" fillId="49" borderId="66" xfId="0" applyFont="1" applyFill="1" applyBorder="1"/>
    <xf numFmtId="0" fontId="67" fillId="49" borderId="62" xfId="0" applyFont="1" applyFill="1" applyBorder="1"/>
    <xf numFmtId="0" fontId="67" fillId="49" borderId="63" xfId="0" applyFont="1" applyFill="1" applyBorder="1"/>
    <xf numFmtId="0" fontId="12" fillId="48" borderId="71" xfId="0" applyFont="1" applyFill="1" applyBorder="1"/>
    <xf numFmtId="0" fontId="12" fillId="48" borderId="68" xfId="0" applyFont="1" applyFill="1" applyBorder="1"/>
    <xf numFmtId="0" fontId="12" fillId="48" borderId="83" xfId="0" applyFont="1" applyFill="1" applyBorder="1"/>
    <xf numFmtId="0" fontId="0" fillId="48" borderId="61" xfId="0" applyFill="1" applyBorder="1"/>
    <xf numFmtId="0" fontId="0" fillId="48" borderId="0" xfId="0" applyFill="1" applyAlignment="1">
      <alignment wrapText="1"/>
    </xf>
    <xf numFmtId="0" fontId="0" fillId="48" borderId="0" xfId="0" applyFill="1"/>
    <xf numFmtId="0" fontId="0" fillId="48" borderId="66" xfId="0" applyFill="1" applyBorder="1"/>
    <xf numFmtId="0" fontId="13" fillId="0" borderId="0" xfId="0" applyFont="1" applyAlignment="1">
      <alignment wrapText="1"/>
    </xf>
    <xf numFmtId="0" fontId="0" fillId="0" borderId="0" xfId="0" applyAlignment="1">
      <alignment vertical="center"/>
    </xf>
    <xf numFmtId="0" fontId="104" fillId="0" borderId="0" xfId="0" applyFont="1" applyAlignment="1">
      <alignment vertical="center" wrapText="1"/>
    </xf>
    <xf numFmtId="0" fontId="104" fillId="0" borderId="0" xfId="0" applyFont="1" applyAlignment="1">
      <alignment vertical="center"/>
    </xf>
    <xf numFmtId="0" fontId="115" fillId="0" borderId="0" xfId="0" applyFont="1"/>
    <xf numFmtId="0" fontId="115" fillId="0" borderId="0" xfId="0" applyFont="1" applyAlignment="1">
      <alignment wrapText="1"/>
    </xf>
    <xf numFmtId="0" fontId="101" fillId="0" borderId="0" xfId="0" applyFont="1" applyAlignment="1">
      <alignment vertical="center"/>
    </xf>
    <xf numFmtId="0" fontId="67" fillId="0" borderId="0" xfId="0" applyFont="1" applyAlignment="1">
      <alignment vertical="center" wrapText="1"/>
    </xf>
    <xf numFmtId="0" fontId="67" fillId="0" borderId="0" xfId="0" applyFont="1" applyAlignment="1">
      <alignment vertical="center"/>
    </xf>
    <xf numFmtId="0" fontId="20" fillId="6" borderId="4" xfId="0" applyFont="1" applyFill="1" applyBorder="1" applyAlignment="1" applyProtection="1">
      <alignment horizontal="center" vertical="center" wrapText="1"/>
      <protection locked="0"/>
    </xf>
    <xf numFmtId="0" fontId="29" fillId="7" borderId="0" xfId="0" applyFont="1" applyFill="1" applyAlignment="1">
      <alignment horizontal="center" vertical="center"/>
    </xf>
    <xf numFmtId="0" fontId="115" fillId="0" borderId="0" xfId="0" applyFont="1" applyAlignment="1">
      <alignment horizontal="center"/>
    </xf>
    <xf numFmtId="0" fontId="115" fillId="0" borderId="0" xfId="0" applyFont="1" applyAlignment="1">
      <alignment horizontal="center" wrapText="1"/>
    </xf>
    <xf numFmtId="0" fontId="75" fillId="5" borderId="85" xfId="0" applyFont="1" applyFill="1" applyBorder="1" applyAlignment="1">
      <alignment horizontal="center" vertical="center"/>
    </xf>
    <xf numFmtId="0" fontId="3" fillId="0" borderId="0" xfId="0" applyFont="1" applyAlignment="1">
      <alignment horizontal="center"/>
    </xf>
    <xf numFmtId="0" fontId="3" fillId="5" borderId="0" xfId="0" applyFont="1" applyFill="1" applyAlignment="1">
      <alignment horizontal="center" vertical="top" wrapText="1"/>
    </xf>
    <xf numFmtId="0" fontId="3" fillId="6" borderId="65" xfId="0" applyFont="1" applyFill="1" applyBorder="1" applyProtection="1">
      <protection locked="0"/>
    </xf>
    <xf numFmtId="0" fontId="67" fillId="49" borderId="0" xfId="0" quotePrefix="1" applyFont="1" applyFill="1" applyAlignment="1">
      <alignment horizontal="center"/>
    </xf>
    <xf numFmtId="0" fontId="67" fillId="49" borderId="0" xfId="0" applyFont="1" applyFill="1" applyAlignment="1">
      <alignment horizontal="center"/>
    </xf>
    <xf numFmtId="0" fontId="67" fillId="49" borderId="62" xfId="0" applyFont="1" applyFill="1" applyBorder="1" applyAlignment="1">
      <alignment horizontal="center"/>
    </xf>
    <xf numFmtId="1" fontId="9" fillId="0" borderId="39" xfId="9" applyNumberFormat="1" applyFont="1" applyBorder="1" applyAlignment="1">
      <alignment horizontal="center" vertical="center"/>
    </xf>
    <xf numFmtId="0" fontId="0" fillId="49" borderId="62" xfId="0" quotePrefix="1" applyFill="1" applyBorder="1"/>
    <xf numFmtId="0" fontId="0" fillId="49" borderId="0" xfId="0" quotePrefix="1" applyFill="1"/>
    <xf numFmtId="0" fontId="9" fillId="0" borderId="0" xfId="421"/>
    <xf numFmtId="0" fontId="116" fillId="0" borderId="0" xfId="446" applyFont="1"/>
    <xf numFmtId="0" fontId="34" fillId="0" borderId="0" xfId="421" applyFont="1"/>
    <xf numFmtId="0" fontId="31" fillId="7" borderId="0" xfId="0" applyFont="1" applyFill="1" applyAlignment="1">
      <alignment horizontal="left" vertical="center" indent="1"/>
    </xf>
    <xf numFmtId="0" fontId="117" fillId="4" borderId="159" xfId="446" applyFont="1" applyFill="1" applyBorder="1" applyAlignment="1">
      <alignment horizontal="center" vertical="center" wrapText="1"/>
    </xf>
    <xf numFmtId="0" fontId="117" fillId="4" borderId="160" xfId="446" applyFont="1" applyFill="1" applyBorder="1" applyAlignment="1">
      <alignment horizontal="center" vertical="center" wrapText="1"/>
    </xf>
    <xf numFmtId="0" fontId="117" fillId="4" borderId="161" xfId="446" applyFont="1" applyFill="1" applyBorder="1" applyAlignment="1">
      <alignment horizontal="center" vertical="center" wrapText="1"/>
    </xf>
    <xf numFmtId="0" fontId="116" fillId="6" borderId="65" xfId="446" applyFont="1" applyFill="1" applyBorder="1" applyProtection="1">
      <protection locked="0"/>
    </xf>
    <xf numFmtId="0" fontId="34" fillId="0" borderId="65" xfId="421" applyFont="1" applyBorder="1"/>
    <xf numFmtId="0" fontId="34" fillId="6" borderId="65" xfId="421" applyFont="1" applyFill="1" applyBorder="1"/>
    <xf numFmtId="0" fontId="116" fillId="6" borderId="156" xfId="446" applyFont="1" applyFill="1" applyBorder="1" applyProtection="1">
      <protection locked="0"/>
    </xf>
    <xf numFmtId="0" fontId="116" fillId="6" borderId="158" xfId="446" applyFont="1" applyFill="1" applyBorder="1" applyProtection="1">
      <protection locked="0"/>
    </xf>
    <xf numFmtId="0" fontId="34" fillId="0" borderId="158" xfId="421" applyFont="1" applyBorder="1"/>
    <xf numFmtId="0" fontId="116" fillId="6" borderId="157" xfId="446" applyFont="1" applyFill="1" applyBorder="1" applyProtection="1">
      <protection locked="0"/>
    </xf>
    <xf numFmtId="0" fontId="116" fillId="6" borderId="151" xfId="446" applyFont="1" applyFill="1" applyBorder="1" applyProtection="1">
      <protection locked="0"/>
    </xf>
    <xf numFmtId="0" fontId="116" fillId="6" borderId="152" xfId="446" applyFont="1" applyFill="1" applyBorder="1" applyProtection="1">
      <protection locked="0"/>
    </xf>
    <xf numFmtId="0" fontId="34" fillId="6" borderId="151" xfId="421" applyFont="1" applyFill="1" applyBorder="1"/>
    <xf numFmtId="0" fontId="34" fillId="6" borderId="152" xfId="421" applyFont="1" applyFill="1" applyBorder="1"/>
    <xf numFmtId="0" fontId="34" fillId="6" borderId="153" xfId="421" applyFont="1" applyFill="1" applyBorder="1"/>
    <xf numFmtId="0" fontId="34" fillId="6" borderId="154" xfId="421" applyFont="1" applyFill="1" applyBorder="1"/>
    <xf numFmtId="0" fontId="34" fillId="0" borderId="154" xfId="421" applyFont="1" applyBorder="1"/>
    <xf numFmtId="0" fontId="34" fillId="6" borderId="155" xfId="421" applyFont="1" applyFill="1" applyBorder="1"/>
    <xf numFmtId="0" fontId="9" fillId="6" borderId="4" xfId="2" applyFill="1" applyBorder="1" applyAlignment="1">
      <alignment horizontal="center" vertical="center"/>
    </xf>
    <xf numFmtId="0" fontId="9" fillId="4" borderId="20" xfId="0" applyFont="1" applyFill="1" applyBorder="1" applyAlignment="1">
      <alignment horizontal="center" vertical="center" wrapText="1"/>
    </xf>
    <xf numFmtId="0" fontId="9" fillId="4" borderId="0" xfId="0" applyFont="1" applyFill="1" applyAlignment="1">
      <alignment horizontal="center" vertical="center" wrapText="1"/>
    </xf>
    <xf numFmtId="0" fontId="9" fillId="4" borderId="17" xfId="0" applyFont="1" applyFill="1" applyBorder="1" applyAlignment="1">
      <alignment horizontal="center" vertical="center" wrapText="1"/>
    </xf>
    <xf numFmtId="0" fontId="75" fillId="4" borderId="17" xfId="0" applyFont="1" applyFill="1" applyBorder="1" applyAlignment="1">
      <alignment horizontal="center" vertical="center" wrapText="1"/>
    </xf>
    <xf numFmtId="0" fontId="123" fillId="0" borderId="0" xfId="2" applyFont="1"/>
    <xf numFmtId="0" fontId="12" fillId="0" borderId="0" xfId="0" applyFont="1"/>
    <xf numFmtId="0" fontId="0" fillId="0" borderId="0" xfId="0" applyAlignment="1">
      <alignment wrapText="1"/>
    </xf>
    <xf numFmtId="14" fontId="12" fillId="0" borderId="0" xfId="0" applyNumberFormat="1" applyFont="1"/>
    <xf numFmtId="14" fontId="0" fillId="0" borderId="0" xfId="0" applyNumberFormat="1"/>
    <xf numFmtId="0" fontId="124" fillId="0" borderId="0" xfId="0" applyFont="1"/>
    <xf numFmtId="0" fontId="0" fillId="0" borderId="0" xfId="0" quotePrefix="1"/>
    <xf numFmtId="0" fontId="0" fillId="0" borderId="0" xfId="0" applyAlignment="1">
      <alignment horizontal="left"/>
    </xf>
    <xf numFmtId="0" fontId="31" fillId="0" borderId="0" xfId="0" applyFont="1" applyAlignment="1">
      <alignment vertical="center"/>
    </xf>
    <xf numFmtId="0" fontId="78"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3" fontId="9" fillId="0" borderId="4" xfId="444" applyNumberFormat="1" applyFont="1" applyBorder="1" applyAlignment="1">
      <alignment horizontal="center" vertical="center" wrapText="1"/>
    </xf>
    <xf numFmtId="2" fontId="9" fillId="0" borderId="4" xfId="444" applyNumberFormat="1" applyFont="1" applyBorder="1" applyAlignment="1">
      <alignment horizontal="center" vertical="center" wrapText="1"/>
    </xf>
    <xf numFmtId="0" fontId="24" fillId="0" borderId="0" xfId="0" applyFont="1" applyAlignment="1">
      <alignment horizontal="center" vertical="center" wrapText="1"/>
    </xf>
    <xf numFmtId="0" fontId="35" fillId="5" borderId="0" xfId="0" applyFont="1" applyFill="1" applyAlignment="1" applyProtection="1">
      <alignment horizontal="center" vertical="center" wrapText="1"/>
      <protection locked="0"/>
    </xf>
    <xf numFmtId="2" fontId="82" fillId="6" borderId="36" xfId="0" applyNumberFormat="1" applyFont="1" applyFill="1" applyBorder="1" applyAlignment="1">
      <alignment vertical="center" wrapText="1"/>
    </xf>
    <xf numFmtId="2" fontId="82" fillId="6" borderId="37" xfId="0" applyNumberFormat="1" applyFont="1" applyFill="1" applyBorder="1" applyAlignment="1">
      <alignment vertical="center" wrapText="1"/>
    </xf>
    <xf numFmtId="2" fontId="67" fillId="0" borderId="0" xfId="0" applyNumberFormat="1" applyFont="1" applyAlignment="1">
      <alignment vertical="center" wrapText="1"/>
    </xf>
    <xf numFmtId="2" fontId="82" fillId="0" borderId="36" xfId="0" applyNumberFormat="1" applyFont="1" applyBorder="1" applyAlignment="1">
      <alignment vertical="center" wrapText="1"/>
    </xf>
    <xf numFmtId="2" fontId="82" fillId="0" borderId="37" xfId="0" applyNumberFormat="1" applyFont="1" applyBorder="1" applyAlignment="1">
      <alignment vertical="center" wrapText="1"/>
    </xf>
    <xf numFmtId="0" fontId="75" fillId="0" borderId="0" xfId="0" applyFont="1"/>
    <xf numFmtId="0" fontId="21" fillId="0" borderId="0" xfId="0" applyFont="1" applyAlignment="1">
      <alignment horizontal="right" vertical="center" wrapText="1"/>
    </xf>
    <xf numFmtId="0" fontId="78" fillId="5" borderId="0" xfId="0" applyFont="1" applyFill="1" applyAlignment="1">
      <alignment horizontal="center" vertical="center" wrapText="1"/>
    </xf>
    <xf numFmtId="0" fontId="75" fillId="5" borderId="0" xfId="0" applyFont="1" applyFill="1" applyAlignment="1">
      <alignment vertical="center" wrapText="1"/>
    </xf>
    <xf numFmtId="0" fontId="82" fillId="5" borderId="0" xfId="0" applyFont="1" applyFill="1" applyAlignment="1" applyProtection="1">
      <alignment horizontal="center" vertical="center" wrapText="1"/>
      <protection locked="0"/>
    </xf>
    <xf numFmtId="0" fontId="21" fillId="6" borderId="65" xfId="0" applyFont="1" applyFill="1" applyBorder="1" applyAlignment="1" applyProtection="1">
      <alignment horizontal="right" vertical="center" wrapText="1"/>
      <protection locked="0"/>
    </xf>
    <xf numFmtId="0" fontId="21" fillId="6" borderId="64" xfId="0" applyFont="1" applyFill="1" applyBorder="1" applyAlignment="1" applyProtection="1">
      <alignment horizontal="right" vertical="center" wrapText="1"/>
      <protection locked="0"/>
    </xf>
    <xf numFmtId="0" fontId="97" fillId="45" borderId="65" xfId="0" applyFont="1" applyFill="1" applyBorder="1" applyAlignment="1">
      <alignment horizontal="center" vertical="center" wrapText="1"/>
    </xf>
    <xf numFmtId="0" fontId="82" fillId="0" borderId="0" xfId="0" applyFont="1" applyAlignment="1">
      <alignment vertical="center" wrapText="1"/>
    </xf>
    <xf numFmtId="0" fontId="120" fillId="0" borderId="0" xfId="0" applyFont="1"/>
    <xf numFmtId="185" fontId="9" fillId="0" borderId="0" xfId="13" applyNumberFormat="1"/>
    <xf numFmtId="3" fontId="9" fillId="0" borderId="0" xfId="13" applyNumberFormat="1"/>
    <xf numFmtId="9" fontId="14" fillId="0" borderId="0" xfId="10" applyFont="1"/>
    <xf numFmtId="9" fontId="9" fillId="0" borderId="0" xfId="13" applyNumberFormat="1"/>
    <xf numFmtId="164" fontId="14" fillId="0" borderId="0" xfId="10" applyNumberFormat="1" applyFont="1"/>
    <xf numFmtId="0" fontId="9" fillId="0" borderId="80" xfId="13" applyBorder="1"/>
    <xf numFmtId="49" fontId="9" fillId="0" borderId="0" xfId="13" applyNumberFormat="1" applyAlignment="1">
      <alignment horizontal="right"/>
    </xf>
    <xf numFmtId="4" fontId="9" fillId="0" borderId="0" xfId="13" applyNumberFormat="1"/>
    <xf numFmtId="168" fontId="9" fillId="0" borderId="0" xfId="13" applyNumberFormat="1"/>
    <xf numFmtId="165" fontId="9" fillId="0" borderId="0" xfId="13" applyNumberFormat="1"/>
    <xf numFmtId="164" fontId="9" fillId="0" borderId="0" xfId="13" applyNumberFormat="1"/>
    <xf numFmtId="0" fontId="9" fillId="10" borderId="0" xfId="13" applyFill="1"/>
    <xf numFmtId="0" fontId="53" fillId="0" borderId="0" xfId="14" applyFont="1" applyAlignment="1">
      <alignment vertical="center" wrapText="1"/>
    </xf>
    <xf numFmtId="0" fontId="127" fillId="3" borderId="3" xfId="14" applyFont="1" applyFill="1" applyBorder="1" applyAlignment="1">
      <alignment horizontal="left" vertical="center" wrapText="1"/>
    </xf>
    <xf numFmtId="0" fontId="125" fillId="3" borderId="12" xfId="14" applyFont="1" applyFill="1" applyBorder="1" applyAlignment="1">
      <alignment horizontal="left" vertical="top"/>
    </xf>
    <xf numFmtId="0" fontId="120" fillId="3" borderId="12" xfId="14" applyFont="1" applyFill="1" applyBorder="1" applyAlignment="1">
      <alignment horizontal="left" vertical="top"/>
    </xf>
    <xf numFmtId="0" fontId="120" fillId="3" borderId="11" xfId="14" applyFont="1" applyFill="1" applyBorder="1" applyAlignment="1">
      <alignment horizontal="left" vertical="top"/>
    </xf>
    <xf numFmtId="0" fontId="53" fillId="0" borderId="0" xfId="14" applyFont="1" applyAlignment="1">
      <alignment vertical="center"/>
    </xf>
    <xf numFmtId="0" fontId="128" fillId="3" borderId="2" xfId="14" applyFont="1" applyFill="1" applyBorder="1" applyAlignment="1">
      <alignment horizontal="center" vertical="center" wrapText="1"/>
    </xf>
    <xf numFmtId="0" fontId="129" fillId="2" borderId="72" xfId="14" applyFont="1" applyFill="1" applyBorder="1" applyAlignment="1">
      <alignment horizontal="left" vertical="center" wrapText="1"/>
    </xf>
    <xf numFmtId="0" fontId="122" fillId="0" borderId="0" xfId="14" applyFont="1" applyAlignment="1">
      <alignment vertical="center"/>
    </xf>
    <xf numFmtId="0" fontId="123" fillId="0" borderId="12" xfId="14" applyFont="1" applyBorder="1" applyAlignment="1">
      <alignment horizontal="center" vertical="center" wrapText="1"/>
    </xf>
    <xf numFmtId="0" fontId="128" fillId="3" borderId="12" xfId="14" applyFont="1" applyFill="1" applyBorder="1" applyAlignment="1">
      <alignment horizontal="center" vertical="center" wrapText="1"/>
    </xf>
    <xf numFmtId="0" fontId="128" fillId="3" borderId="4" xfId="14" applyFont="1" applyFill="1" applyBorder="1" applyAlignment="1">
      <alignment horizontal="center" vertical="center" wrapText="1"/>
    </xf>
    <xf numFmtId="0" fontId="123" fillId="0" borderId="3" xfId="14" applyFont="1" applyBorder="1" applyAlignment="1">
      <alignment horizontal="center" vertical="center" wrapText="1"/>
    </xf>
    <xf numFmtId="3" fontId="123" fillId="2" borderId="72" xfId="14" applyNumberFormat="1" applyFont="1" applyFill="1" applyBorder="1" applyAlignment="1">
      <alignment horizontal="center" vertical="center" wrapText="1"/>
    </xf>
    <xf numFmtId="164" fontId="123" fillId="0" borderId="4" xfId="14" applyNumberFormat="1" applyFont="1" applyBorder="1" applyAlignment="1">
      <alignment horizontal="center" vertical="center" wrapText="1"/>
    </xf>
    <xf numFmtId="0" fontId="128" fillId="0" borderId="3" xfId="14" applyFont="1" applyBorder="1" applyAlignment="1">
      <alignment horizontal="center" vertical="center" wrapText="1"/>
    </xf>
    <xf numFmtId="0" fontId="128" fillId="0" borderId="12" xfId="14" applyFont="1" applyBorder="1" applyAlignment="1">
      <alignment horizontal="center" vertical="center" wrapText="1"/>
    </xf>
    <xf numFmtId="3" fontId="128" fillId="0" borderId="72" xfId="14" applyNumberFormat="1" applyFont="1" applyBorder="1" applyAlignment="1">
      <alignment horizontal="center" vertical="center" wrapText="1"/>
    </xf>
    <xf numFmtId="164" fontId="128" fillId="0" borderId="4" xfId="14" applyNumberFormat="1" applyFont="1" applyBorder="1" applyAlignment="1">
      <alignment horizontal="center" vertical="center" wrapText="1"/>
    </xf>
    <xf numFmtId="0" fontId="123" fillId="0" borderId="0" xfId="14" applyFont="1" applyAlignment="1">
      <alignment vertical="center"/>
    </xf>
    <xf numFmtId="0" fontId="123" fillId="0" borderId="0" xfId="14" applyFont="1" applyAlignment="1">
      <alignment horizontal="center" vertical="center" wrapText="1"/>
    </xf>
    <xf numFmtId="0" fontId="123" fillId="0" borderId="0" xfId="14" applyFont="1" applyAlignment="1">
      <alignment vertical="center" wrapText="1"/>
    </xf>
    <xf numFmtId="0" fontId="21" fillId="0" borderId="16" xfId="0" applyFont="1" applyBorder="1" applyAlignment="1">
      <alignment vertical="center"/>
    </xf>
    <xf numFmtId="2" fontId="21" fillId="0" borderId="17" xfId="0" applyNumberFormat="1" applyFont="1" applyBorder="1" applyAlignment="1">
      <alignment vertical="center"/>
    </xf>
    <xf numFmtId="2" fontId="21" fillId="0" borderId="36" xfId="0" applyNumberFormat="1" applyFont="1" applyBorder="1" applyAlignment="1">
      <alignment horizontal="right" vertical="center"/>
    </xf>
    <xf numFmtId="0" fontId="21" fillId="0" borderId="35" xfId="0" applyFont="1" applyBorder="1" applyAlignment="1">
      <alignment horizontal="left" vertical="center"/>
    </xf>
    <xf numFmtId="0" fontId="21" fillId="0" borderId="23" xfId="0" applyFont="1" applyBorder="1" applyAlignment="1">
      <alignment horizontal="left" vertical="center" wrapText="1"/>
    </xf>
    <xf numFmtId="0" fontId="21" fillId="0" borderId="107" xfId="0" applyFont="1" applyBorder="1" applyAlignment="1">
      <alignment horizontal="left" vertical="center" wrapText="1"/>
    </xf>
    <xf numFmtId="0" fontId="21" fillId="0" borderId="24" xfId="0" applyFont="1" applyBorder="1" applyAlignment="1">
      <alignment horizontal="left" vertical="center" wrapText="1"/>
    </xf>
    <xf numFmtId="0" fontId="21" fillId="0" borderId="35" xfId="0" applyFont="1" applyBorder="1" applyAlignment="1">
      <alignment vertical="center"/>
    </xf>
    <xf numFmtId="2" fontId="21" fillId="0" borderId="36" xfId="0" applyNumberFormat="1" applyFont="1" applyBorder="1" applyAlignment="1">
      <alignment vertical="center"/>
    </xf>
    <xf numFmtId="0" fontId="21" fillId="0" borderId="31" xfId="0" applyFont="1" applyBorder="1" applyAlignment="1">
      <alignment vertical="center"/>
    </xf>
    <xf numFmtId="0" fontId="21" fillId="0" borderId="55" xfId="0" applyFont="1" applyBorder="1" applyAlignment="1">
      <alignment vertical="center"/>
    </xf>
    <xf numFmtId="0" fontId="21" fillId="0" borderId="54" xfId="0" applyFont="1" applyBorder="1" applyAlignment="1">
      <alignment vertical="center"/>
    </xf>
    <xf numFmtId="0" fontId="21" fillId="0" borderId="37" xfId="0" applyFont="1" applyBorder="1" applyAlignment="1">
      <alignment vertical="center"/>
    </xf>
    <xf numFmtId="0" fontId="21" fillId="0" borderId="36" xfId="0" applyFont="1" applyBorder="1" applyAlignment="1">
      <alignment vertical="center"/>
    </xf>
    <xf numFmtId="0" fontId="21" fillId="0" borderId="20" xfId="0" applyFont="1" applyBorder="1" applyAlignment="1">
      <alignment horizontal="right" vertical="center"/>
    </xf>
    <xf numFmtId="0" fontId="21" fillId="0" borderId="19" xfId="0" applyFont="1" applyBorder="1" applyAlignment="1">
      <alignment horizontal="left" vertical="center"/>
    </xf>
    <xf numFmtId="0" fontId="75" fillId="4" borderId="20" xfId="0" applyFont="1" applyFill="1" applyBorder="1" applyAlignment="1">
      <alignment horizontal="center" vertical="center" wrapText="1"/>
    </xf>
    <xf numFmtId="0" fontId="75" fillId="4" borderId="27" xfId="0" applyFont="1" applyFill="1" applyBorder="1" applyAlignment="1">
      <alignment horizontal="center" vertical="center" wrapText="1"/>
    </xf>
    <xf numFmtId="2" fontId="82" fillId="0" borderId="0" xfId="0" applyNumberFormat="1" applyFont="1" applyAlignment="1">
      <alignment vertical="center"/>
    </xf>
    <xf numFmtId="0" fontId="82" fillId="0" borderId="107" xfId="0" applyFont="1" applyBorder="1" applyAlignment="1">
      <alignment horizontal="left" vertical="center" wrapText="1"/>
    </xf>
    <xf numFmtId="2" fontId="82" fillId="0" borderId="27" xfId="0" applyNumberFormat="1" applyFont="1" applyBorder="1" applyAlignment="1">
      <alignment vertical="center"/>
    </xf>
    <xf numFmtId="2" fontId="132" fillId="0" borderId="36" xfId="0" applyNumberFormat="1" applyFont="1" applyBorder="1" applyAlignment="1">
      <alignment horizontal="right" vertical="center"/>
    </xf>
    <xf numFmtId="3" fontId="9" fillId="0" borderId="4" xfId="1" applyNumberFormat="1" applyFont="1" applyFill="1" applyBorder="1" applyAlignment="1">
      <alignment horizontal="center" vertical="center" wrapText="1"/>
    </xf>
    <xf numFmtId="1" fontId="21" fillId="0" borderId="0" xfId="0" applyNumberFormat="1" applyFont="1" applyAlignment="1">
      <alignment vertical="center"/>
    </xf>
    <xf numFmtId="0" fontId="82" fillId="0" borderId="54" xfId="0" applyFont="1" applyBorder="1" applyAlignment="1">
      <alignment horizontal="center" vertical="center"/>
    </xf>
    <xf numFmtId="0" fontId="82" fillId="0" borderId="31" xfId="0" applyFont="1" applyBorder="1" applyAlignment="1">
      <alignment horizontal="center" vertical="center"/>
    </xf>
    <xf numFmtId="2" fontId="82" fillId="0" borderId="35" xfId="0" applyNumberFormat="1" applyFont="1" applyBorder="1" applyAlignment="1">
      <alignment horizontal="center" vertical="center"/>
    </xf>
    <xf numFmtId="0" fontId="82" fillId="0" borderId="36" xfId="0" applyFont="1" applyBorder="1" applyAlignment="1">
      <alignment horizontal="center" vertical="center"/>
    </xf>
    <xf numFmtId="0" fontId="132" fillId="0" borderId="36" xfId="0" applyFont="1" applyBorder="1" applyAlignment="1">
      <alignment horizontal="center" vertical="center"/>
    </xf>
    <xf numFmtId="0" fontId="82" fillId="0" borderId="35" xfId="0" applyFont="1" applyBorder="1" applyAlignment="1">
      <alignment horizontal="center" vertical="center"/>
    </xf>
    <xf numFmtId="0" fontId="82" fillId="0" borderId="22" xfId="0" applyFont="1" applyBorder="1" applyAlignment="1">
      <alignment horizontal="center" vertical="center"/>
    </xf>
    <xf numFmtId="0" fontId="82" fillId="0" borderId="47" xfId="0" applyFont="1" applyBorder="1" applyAlignment="1">
      <alignment horizontal="center" vertical="center"/>
    </xf>
    <xf numFmtId="2" fontId="82" fillId="0" borderId="54" xfId="0" applyNumberFormat="1" applyFont="1" applyBorder="1" applyAlignment="1">
      <alignment vertical="center"/>
    </xf>
    <xf numFmtId="2" fontId="82" fillId="0" borderId="38" xfId="0" applyNumberFormat="1" applyFont="1" applyBorder="1" applyAlignment="1">
      <alignment horizontal="right" vertical="center"/>
    </xf>
    <xf numFmtId="0" fontId="82" fillId="0" borderId="65" xfId="0" applyFont="1" applyBorder="1" applyAlignment="1">
      <alignment vertical="center"/>
    </xf>
    <xf numFmtId="0" fontId="9" fillId="8" borderId="21" xfId="0" applyFont="1" applyFill="1" applyBorder="1" applyAlignment="1">
      <alignment horizontal="center" vertical="center" wrapText="1"/>
    </xf>
    <xf numFmtId="0" fontId="9" fillId="8" borderId="19" xfId="0" applyFont="1" applyFill="1" applyBorder="1" applyAlignment="1">
      <alignment horizontal="center" vertical="center" wrapText="1"/>
    </xf>
    <xf numFmtId="0" fontId="14" fillId="0" borderId="0" xfId="0" applyFont="1" applyAlignment="1">
      <alignment vertical="center"/>
    </xf>
    <xf numFmtId="0" fontId="20" fillId="4" borderId="6" xfId="0" applyFont="1" applyFill="1" applyBorder="1" applyAlignment="1">
      <alignment horizontal="center" vertical="center" wrapText="1"/>
    </xf>
    <xf numFmtId="0" fontId="9" fillId="0" borderId="4" xfId="0" applyFont="1" applyBorder="1" applyAlignment="1">
      <alignment vertical="center"/>
    </xf>
    <xf numFmtId="0" fontId="14" fillId="49" borderId="61" xfId="0" applyFont="1" applyFill="1" applyBorder="1"/>
    <xf numFmtId="0" fontId="14" fillId="49" borderId="61" xfId="0" applyFont="1" applyFill="1" applyBorder="1" applyAlignment="1">
      <alignment wrapText="1"/>
    </xf>
    <xf numFmtId="0" fontId="14" fillId="49" borderId="0" xfId="0" applyFont="1" applyFill="1"/>
    <xf numFmtId="0" fontId="9" fillId="4" borderId="6" xfId="0" applyFont="1" applyFill="1" applyBorder="1" applyAlignment="1">
      <alignment horizontal="left" vertical="center" wrapText="1" indent="1"/>
    </xf>
    <xf numFmtId="0" fontId="21" fillId="0" borderId="44" xfId="0" applyFont="1" applyBorder="1" applyAlignment="1">
      <alignment horizontal="left" vertical="top" wrapText="1"/>
    </xf>
    <xf numFmtId="0" fontId="21" fillId="0" borderId="16" xfId="0" applyFont="1" applyBorder="1" applyAlignment="1">
      <alignment horizontal="center" vertical="top" wrapText="1"/>
    </xf>
    <xf numFmtId="0" fontId="21" fillId="0" borderId="16" xfId="0" applyFont="1" applyBorder="1" applyAlignment="1">
      <alignment horizontal="left" vertical="top" wrapText="1"/>
    </xf>
    <xf numFmtId="0" fontId="21" fillId="0" borderId="18" xfId="0" applyFont="1" applyBorder="1" applyAlignment="1">
      <alignment horizontal="left" vertical="top" wrapText="1"/>
    </xf>
    <xf numFmtId="0" fontId="21" fillId="0" borderId="18" xfId="0" applyFont="1" applyBorder="1" applyAlignment="1">
      <alignment vertical="center"/>
    </xf>
    <xf numFmtId="0" fontId="21" fillId="0" borderId="31" xfId="0" applyFont="1" applyBorder="1" applyAlignment="1">
      <alignment horizontal="right" vertical="center"/>
    </xf>
    <xf numFmtId="0" fontId="21" fillId="0" borderId="55" xfId="0" applyFont="1" applyBorder="1" applyAlignment="1">
      <alignment horizontal="right" vertical="center"/>
    </xf>
    <xf numFmtId="0" fontId="21" fillId="0" borderId="87" xfId="0" applyFont="1" applyBorder="1" applyAlignment="1">
      <alignment horizontal="right" vertical="center"/>
    </xf>
    <xf numFmtId="164" fontId="21" fillId="0" borderId="87" xfId="9" applyNumberFormat="1" applyFont="1" applyBorder="1" applyAlignment="1">
      <alignment horizontal="right" vertical="center"/>
    </xf>
    <xf numFmtId="174" fontId="21" fillId="0" borderId="87" xfId="1" applyNumberFormat="1" applyFont="1" applyBorder="1" applyAlignment="1">
      <alignment horizontal="right" vertical="center"/>
    </xf>
    <xf numFmtId="0" fontId="14" fillId="49" borderId="67" xfId="0" applyFont="1" applyFill="1" applyBorder="1"/>
    <xf numFmtId="0" fontId="14" fillId="49" borderId="62" xfId="0" applyFont="1" applyFill="1" applyBorder="1" applyAlignment="1">
      <alignment wrapText="1"/>
    </xf>
    <xf numFmtId="0" fontId="14" fillId="49" borderId="62" xfId="0" applyFont="1" applyFill="1" applyBorder="1"/>
    <xf numFmtId="0" fontId="21" fillId="0" borderId="45" xfId="0" applyFont="1" applyBorder="1" applyAlignment="1">
      <alignment horizontal="left" vertical="top" wrapText="1"/>
    </xf>
    <xf numFmtId="0" fontId="21" fillId="0" borderId="45" xfId="0" applyFont="1" applyBorder="1" applyAlignment="1">
      <alignment horizontal="left" vertical="top"/>
    </xf>
    <xf numFmtId="0" fontId="21" fillId="0" borderId="35" xfId="0" applyFont="1" applyBorder="1" applyAlignment="1">
      <alignment horizontal="center" vertical="top" wrapText="1"/>
    </xf>
    <xf numFmtId="0" fontId="21" fillId="0" borderId="35" xfId="0" applyFont="1" applyBorder="1" applyAlignment="1">
      <alignment horizontal="left" vertical="top" wrapText="1"/>
    </xf>
    <xf numFmtId="0" fontId="21" fillId="0" borderId="37" xfId="0" applyFont="1" applyBorder="1" applyAlignment="1">
      <alignment horizontal="left" vertical="top" wrapText="1"/>
    </xf>
    <xf numFmtId="0" fontId="21" fillId="0" borderId="35" xfId="0" applyFont="1" applyBorder="1" applyAlignment="1">
      <alignment horizontal="right" vertical="center"/>
    </xf>
    <xf numFmtId="0" fontId="21" fillId="0" borderId="37" xfId="0" applyFont="1" applyBorder="1" applyAlignment="1">
      <alignment horizontal="right" vertical="center"/>
    </xf>
    <xf numFmtId="164" fontId="21" fillId="0" borderId="45" xfId="9" applyNumberFormat="1" applyFont="1" applyBorder="1" applyAlignment="1">
      <alignment horizontal="right" vertical="center"/>
    </xf>
    <xf numFmtId="0" fontId="14" fillId="49" borderId="0" xfId="0" applyFont="1" applyFill="1" applyAlignment="1">
      <alignment wrapText="1"/>
    </xf>
    <xf numFmtId="186" fontId="21" fillId="0" borderId="35" xfId="0" applyNumberFormat="1" applyFont="1" applyBorder="1" applyAlignment="1">
      <alignment vertical="center"/>
    </xf>
    <xf numFmtId="0" fontId="21" fillId="0" borderId="47" xfId="0" applyFont="1" applyBorder="1" applyAlignment="1">
      <alignment horizontal="right" vertical="center"/>
    </xf>
    <xf numFmtId="0" fontId="21" fillId="0" borderId="32" xfId="0" applyFont="1" applyBorder="1" applyAlignment="1">
      <alignment horizontal="right" vertical="center"/>
    </xf>
    <xf numFmtId="164" fontId="21" fillId="0" borderId="46" xfId="9" applyNumberFormat="1" applyFont="1" applyBorder="1" applyAlignment="1">
      <alignment horizontal="right" vertical="center"/>
    </xf>
    <xf numFmtId="0" fontId="21" fillId="0" borderId="88" xfId="0" applyFont="1" applyBorder="1" applyAlignment="1">
      <alignment horizontal="left" vertical="top" wrapText="1"/>
    </xf>
    <xf numFmtId="0" fontId="21" fillId="0" borderId="88" xfId="0" applyFont="1" applyBorder="1" applyAlignment="1">
      <alignment horizontal="left" vertical="top"/>
    </xf>
    <xf numFmtId="0" fontId="21" fillId="0" borderId="21" xfId="0" applyFont="1" applyBorder="1" applyAlignment="1">
      <alignment vertical="center"/>
    </xf>
    <xf numFmtId="0" fontId="14" fillId="48" borderId="0" xfId="0" applyFont="1" applyFill="1" applyAlignment="1">
      <alignment wrapText="1"/>
    </xf>
    <xf numFmtId="0" fontId="14" fillId="48" borderId="0" xfId="0" applyFont="1" applyFill="1"/>
    <xf numFmtId="0" fontId="14" fillId="48" borderId="66" xfId="0" applyFont="1" applyFill="1" applyBorder="1"/>
    <xf numFmtId="0" fontId="14" fillId="48" borderId="62" xfId="0" applyFont="1" applyFill="1" applyBorder="1" applyAlignment="1">
      <alignment wrapText="1"/>
    </xf>
    <xf numFmtId="0" fontId="14" fillId="48" borderId="62" xfId="0" applyFont="1" applyFill="1" applyBorder="1"/>
    <xf numFmtId="0" fontId="14" fillId="48" borderId="63" xfId="0" applyFont="1" applyFill="1" applyBorder="1"/>
    <xf numFmtId="0" fontId="120" fillId="0" borderId="0" xfId="0" applyFont="1" applyAlignment="1">
      <alignment vertical="center"/>
    </xf>
    <xf numFmtId="0" fontId="14" fillId="0" borderId="0" xfId="0" applyFont="1" applyAlignment="1">
      <alignment vertical="center" wrapText="1"/>
    </xf>
    <xf numFmtId="186" fontId="21" fillId="0" borderId="37" xfId="0" applyNumberFormat="1" applyFont="1" applyBorder="1" applyAlignment="1">
      <alignment vertical="center"/>
    </xf>
    <xf numFmtId="186" fontId="82" fillId="0" borderId="37" xfId="0" applyNumberFormat="1" applyFont="1" applyBorder="1" applyAlignment="1">
      <alignment vertical="center"/>
    </xf>
    <xf numFmtId="0" fontId="82" fillId="0" borderId="28" xfId="0" applyFont="1" applyBorder="1" applyAlignment="1">
      <alignment vertical="center"/>
    </xf>
    <xf numFmtId="0" fontId="82" fillId="0" borderId="26" xfId="0" applyFont="1" applyBorder="1" applyAlignment="1">
      <alignment vertical="center"/>
    </xf>
    <xf numFmtId="0" fontId="82" fillId="0" borderId="16" xfId="0" applyFont="1" applyBorder="1" applyAlignment="1">
      <alignment vertical="center"/>
    </xf>
    <xf numFmtId="0" fontId="82" fillId="0" borderId="29" xfId="0" applyFont="1" applyBorder="1" applyAlignment="1">
      <alignment vertical="center"/>
    </xf>
    <xf numFmtId="0" fontId="82" fillId="0" borderId="27" xfId="0" applyFont="1" applyBorder="1" applyAlignment="1">
      <alignment vertical="center"/>
    </xf>
    <xf numFmtId="0" fontId="120" fillId="49" borderId="64" xfId="0" applyFont="1" applyFill="1" applyBorder="1"/>
    <xf numFmtId="0" fontId="120" fillId="49" borderId="70" xfId="0" applyFont="1" applyFill="1" applyBorder="1"/>
    <xf numFmtId="0" fontId="120" fillId="49" borderId="69" xfId="0" applyFont="1" applyFill="1" applyBorder="1"/>
    <xf numFmtId="0" fontId="14" fillId="49" borderId="67" xfId="0" applyFont="1" applyFill="1" applyBorder="1" applyAlignment="1">
      <alignment wrapText="1"/>
    </xf>
    <xf numFmtId="0" fontId="120" fillId="49" borderId="65" xfId="0" applyFont="1" applyFill="1" applyBorder="1"/>
    <xf numFmtId="0" fontId="14" fillId="49" borderId="80" xfId="0" applyFont="1" applyFill="1" applyBorder="1"/>
    <xf numFmtId="0" fontId="14" fillId="49" borderId="84" xfId="0" applyFont="1" applyFill="1" applyBorder="1"/>
    <xf numFmtId="0" fontId="14" fillId="49" borderId="85" xfId="0" applyFont="1" applyFill="1" applyBorder="1"/>
    <xf numFmtId="0" fontId="67" fillId="49" borderId="62" xfId="0" quotePrefix="1" applyFont="1" applyFill="1" applyBorder="1"/>
    <xf numFmtId="0" fontId="35" fillId="0" borderId="4" xfId="0" applyFont="1" applyBorder="1" applyAlignment="1" applyProtection="1">
      <alignment horizontal="center" vertical="center" wrapText="1"/>
      <protection locked="0"/>
    </xf>
    <xf numFmtId="164" fontId="21" fillId="0" borderId="4" xfId="9" applyNumberFormat="1" applyFont="1" applyFill="1" applyBorder="1" applyAlignment="1">
      <alignment horizontal="center" vertical="center" wrapText="1"/>
    </xf>
    <xf numFmtId="0" fontId="9" fillId="8" borderId="20" xfId="0" applyFont="1" applyFill="1" applyBorder="1" applyAlignment="1">
      <alignment horizontal="center" vertical="center" wrapText="1"/>
    </xf>
    <xf numFmtId="0" fontId="9" fillId="0" borderId="0" xfId="2" applyAlignment="1" applyProtection="1">
      <alignment horizontal="left" vertical="center" wrapText="1" indent="1"/>
      <protection locked="0"/>
    </xf>
    <xf numFmtId="0" fontId="75" fillId="0" borderId="0" xfId="0" applyFont="1" applyAlignment="1" applyProtection="1">
      <alignment vertical="center" wrapText="1"/>
      <protection locked="0"/>
    </xf>
    <xf numFmtId="165" fontId="89" fillId="0" borderId="0" xfId="444" applyNumberFormat="1" applyFont="1" applyProtection="1">
      <protection locked="0"/>
    </xf>
    <xf numFmtId="9" fontId="89" fillId="0" borderId="0" xfId="9" applyFont="1" applyProtection="1">
      <protection locked="0"/>
    </xf>
    <xf numFmtId="0" fontId="97" fillId="45" borderId="4" xfId="0" applyFont="1" applyFill="1" applyBorder="1" applyAlignment="1">
      <alignment horizontal="center" vertical="center" wrapText="1"/>
    </xf>
    <xf numFmtId="0" fontId="0" fillId="0" borderId="65" xfId="0" applyBorder="1"/>
    <xf numFmtId="0" fontId="0" fillId="4" borderId="65" xfId="0" applyFill="1" applyBorder="1"/>
    <xf numFmtId="0" fontId="0" fillId="4" borderId="65" xfId="0" applyFill="1" applyBorder="1" applyAlignment="1">
      <alignment wrapText="1"/>
    </xf>
    <xf numFmtId="4" fontId="3" fillId="6" borderId="4" xfId="1" applyNumberFormat="1" applyFont="1" applyFill="1" applyBorder="1" applyAlignment="1" applyProtection="1">
      <alignment horizontal="right" vertical="center"/>
      <protection locked="0"/>
    </xf>
    <xf numFmtId="0" fontId="31" fillId="7" borderId="0" xfId="0" applyFont="1" applyFill="1" applyAlignment="1">
      <alignment horizontal="center" vertical="center"/>
    </xf>
    <xf numFmtId="0" fontId="30" fillId="0" borderId="0" xfId="0" applyFont="1" applyAlignment="1">
      <alignment horizontal="center" vertical="top" wrapText="1"/>
    </xf>
    <xf numFmtId="0" fontId="20" fillId="0" borderId="0" xfId="0" applyFont="1" applyAlignment="1">
      <alignment horizontal="left" vertical="top"/>
    </xf>
    <xf numFmtId="0" fontId="20" fillId="5" borderId="0" xfId="0" applyFont="1" applyFill="1" applyAlignment="1">
      <alignment horizontal="left" vertical="top"/>
    </xf>
    <xf numFmtId="0" fontId="30" fillId="0" borderId="162" xfId="0" applyFont="1" applyBorder="1" applyAlignment="1">
      <alignment horizontal="left" vertical="top"/>
    </xf>
    <xf numFmtId="0" fontId="30" fillId="0" borderId="143" xfId="0" applyFont="1" applyBorder="1" applyAlignment="1">
      <alignment horizontal="left" vertical="top"/>
    </xf>
    <xf numFmtId="0" fontId="30" fillId="0" borderId="163" xfId="0" applyFont="1" applyBorder="1" applyAlignment="1">
      <alignment horizontal="left" vertical="top"/>
    </xf>
    <xf numFmtId="0" fontId="30" fillId="0" borderId="164" xfId="0" applyFont="1" applyBorder="1" applyAlignment="1">
      <alignment horizontal="left" vertical="top"/>
    </xf>
    <xf numFmtId="193" fontId="21" fillId="6" borderId="99" xfId="2" applyNumberFormat="1" applyFont="1" applyFill="1" applyBorder="1" applyAlignment="1" applyProtection="1">
      <alignment vertical="center"/>
      <protection locked="0"/>
    </xf>
    <xf numFmtId="0" fontId="134" fillId="0" borderId="0" xfId="2" applyFont="1" applyAlignment="1">
      <alignment vertical="center"/>
    </xf>
    <xf numFmtId="0" fontId="135" fillId="0" borderId="0" xfId="0" applyFont="1" applyAlignment="1">
      <alignment horizontal="left" vertical="top" wrapText="1"/>
    </xf>
    <xf numFmtId="0" fontId="75" fillId="0" borderId="0" xfId="13" applyFont="1"/>
    <xf numFmtId="182" fontId="35" fillId="0" borderId="0" xfId="0" applyNumberFormat="1" applyFont="1" applyAlignment="1">
      <alignment horizontal="center" vertical="center" wrapText="1"/>
    </xf>
    <xf numFmtId="0" fontId="78" fillId="0" borderId="0" xfId="0" applyFont="1" applyAlignment="1">
      <alignment vertical="center" wrapText="1"/>
    </xf>
    <xf numFmtId="0" fontId="75" fillId="0" borderId="0" xfId="0" applyFont="1" applyAlignment="1">
      <alignment horizontal="center" vertical="center" wrapText="1"/>
    </xf>
    <xf numFmtId="0" fontId="21" fillId="42" borderId="0" xfId="0" applyFont="1" applyFill="1" applyAlignment="1">
      <alignment vertical="center" wrapText="1"/>
    </xf>
    <xf numFmtId="0" fontId="82" fillId="42" borderId="0" xfId="0" applyFont="1" applyFill="1" applyAlignment="1">
      <alignment vertical="center" wrapText="1"/>
    </xf>
    <xf numFmtId="0" fontId="0" fillId="0" borderId="65" xfId="0" applyBorder="1" applyAlignment="1">
      <alignment horizontal="center"/>
    </xf>
    <xf numFmtId="0" fontId="21" fillId="5" borderId="0" xfId="0" applyFont="1" applyFill="1" applyAlignment="1">
      <alignment horizontal="center" vertical="center" wrapText="1"/>
    </xf>
    <xf numFmtId="0" fontId="0" fillId="49" borderId="67" xfId="0" applyFill="1" applyBorder="1" applyAlignment="1">
      <alignment wrapText="1"/>
    </xf>
    <xf numFmtId="0" fontId="0" fillId="48" borderId="71" xfId="0" applyFill="1" applyBorder="1"/>
    <xf numFmtId="0" fontId="0" fillId="48" borderId="68" xfId="0" applyFill="1" applyBorder="1" applyAlignment="1">
      <alignment wrapText="1"/>
    </xf>
    <xf numFmtId="0" fontId="0" fillId="48" borderId="68" xfId="0" applyFill="1" applyBorder="1"/>
    <xf numFmtId="0" fontId="24" fillId="42" borderId="0" xfId="0" applyFont="1" applyFill="1" applyAlignment="1">
      <alignment vertical="center"/>
    </xf>
    <xf numFmtId="0" fontId="0" fillId="48" borderId="83" xfId="0" applyFill="1" applyBorder="1"/>
    <xf numFmtId="0" fontId="14" fillId="48" borderId="61" xfId="0" applyFont="1" applyFill="1" applyBorder="1"/>
    <xf numFmtId="0" fontId="14" fillId="48" borderId="67" xfId="0" applyFont="1" applyFill="1" applyBorder="1"/>
    <xf numFmtId="0" fontId="14" fillId="48" borderId="71" xfId="0" applyFont="1" applyFill="1" applyBorder="1" applyAlignment="1">
      <alignment wrapText="1"/>
    </xf>
    <xf numFmtId="0" fontId="14" fillId="48" borderId="68" xfId="0" applyFont="1" applyFill="1" applyBorder="1" applyAlignment="1">
      <alignment wrapText="1"/>
    </xf>
    <xf numFmtId="0" fontId="14" fillId="48" borderId="68" xfId="0" applyFont="1" applyFill="1" applyBorder="1"/>
    <xf numFmtId="0" fontId="14" fillId="48" borderId="83" xfId="0" applyFont="1" applyFill="1" applyBorder="1"/>
    <xf numFmtId="0" fontId="14" fillId="48" borderId="71" xfId="0" applyFont="1" applyFill="1" applyBorder="1"/>
    <xf numFmtId="0" fontId="14" fillId="48" borderId="61" xfId="0" applyFont="1" applyFill="1" applyBorder="1" applyAlignment="1">
      <alignment wrapText="1"/>
    </xf>
    <xf numFmtId="2" fontId="132" fillId="0" borderId="36" xfId="0" applyNumberFormat="1" applyFont="1" applyBorder="1" applyAlignment="1">
      <alignment horizontal="left" vertical="center"/>
    </xf>
    <xf numFmtId="2" fontId="132" fillId="0" borderId="36" xfId="0" applyNumberFormat="1" applyFont="1" applyBorder="1" applyAlignment="1">
      <alignment horizontal="right" vertical="center" wrapText="1"/>
    </xf>
    <xf numFmtId="0" fontId="137" fillId="0" borderId="0" xfId="0" applyFont="1" applyAlignment="1">
      <alignment vertical="center"/>
    </xf>
    <xf numFmtId="0" fontId="138" fillId="0" borderId="0" xfId="0" applyFont="1" applyAlignment="1">
      <alignment vertical="center"/>
    </xf>
    <xf numFmtId="0" fontId="9" fillId="0" borderId="4" xfId="0" applyFont="1" applyBorder="1" applyAlignment="1">
      <alignment horizontal="center" vertical="center" wrapText="1"/>
    </xf>
    <xf numFmtId="1" fontId="9" fillId="6" borderId="36" xfId="0" applyNumberFormat="1" applyFont="1" applyFill="1" applyBorder="1" applyAlignment="1" applyProtection="1">
      <alignment horizontal="center" vertical="center"/>
      <protection locked="0"/>
    </xf>
    <xf numFmtId="164" fontId="21" fillId="0" borderId="4" xfId="0" applyNumberFormat="1" applyFont="1" applyBorder="1" applyAlignment="1">
      <alignment horizontal="center" vertical="center" wrapText="1"/>
    </xf>
    <xf numFmtId="0" fontId="20" fillId="0" borderId="0" xfId="0" applyFont="1" applyAlignment="1">
      <alignment vertical="center"/>
    </xf>
    <xf numFmtId="0" fontId="9" fillId="6" borderId="0" xfId="0" applyFont="1" applyFill="1" applyAlignment="1" applyProtection="1">
      <alignment vertical="center" wrapText="1"/>
      <protection locked="0"/>
    </xf>
    <xf numFmtId="0" fontId="20" fillId="6" borderId="0" xfId="0" applyFont="1" applyFill="1" applyAlignment="1" applyProtection="1">
      <alignment vertical="top" wrapText="1"/>
      <protection locked="0"/>
    </xf>
    <xf numFmtId="0" fontId="20" fillId="6" borderId="0" xfId="0" applyFont="1" applyFill="1" applyAlignment="1" applyProtection="1">
      <alignment vertical="center" wrapText="1"/>
      <protection locked="0"/>
    </xf>
    <xf numFmtId="0" fontId="20" fillId="0" borderId="0" xfId="0" applyFont="1" applyAlignment="1">
      <alignment vertical="top" wrapText="1"/>
    </xf>
    <xf numFmtId="0" fontId="9" fillId="6" borderId="65" xfId="0" applyFont="1" applyFill="1" applyBorder="1" applyAlignment="1" applyProtection="1">
      <alignment vertical="center" wrapText="1"/>
      <protection locked="0"/>
    </xf>
    <xf numFmtId="0" fontId="9" fillId="50" borderId="65" xfId="0" applyFont="1" applyFill="1" applyBorder="1" applyAlignment="1" applyProtection="1">
      <alignment vertical="center" wrapText="1"/>
      <protection locked="0"/>
    </xf>
    <xf numFmtId="182" fontId="21" fillId="0" borderId="0" xfId="0" applyNumberFormat="1" applyFont="1" applyAlignment="1">
      <alignment horizontal="center" vertical="center" wrapText="1"/>
    </xf>
    <xf numFmtId="0" fontId="21" fillId="8" borderId="4" xfId="0" applyFont="1" applyFill="1" applyBorder="1" applyAlignment="1">
      <alignment vertical="center" wrapText="1"/>
    </xf>
    <xf numFmtId="0" fontId="9" fillId="0" borderId="0" xfId="0" applyFont="1" applyAlignment="1">
      <alignment vertical="top" wrapText="1"/>
    </xf>
    <xf numFmtId="0" fontId="21" fillId="6" borderId="65" xfId="0" applyFont="1" applyFill="1" applyBorder="1" applyAlignment="1" applyProtection="1">
      <alignment vertical="center" wrapText="1"/>
      <protection locked="0"/>
    </xf>
    <xf numFmtId="0" fontId="9" fillId="6" borderId="64" xfId="0" applyFont="1" applyFill="1" applyBorder="1" applyAlignment="1" applyProtection="1">
      <alignment vertical="center" wrapText="1"/>
      <protection locked="0"/>
    </xf>
    <xf numFmtId="0" fontId="9" fillId="52" borderId="0" xfId="0" applyFont="1" applyFill="1" applyAlignment="1">
      <alignment vertical="center" wrapText="1"/>
    </xf>
    <xf numFmtId="0" fontId="9" fillId="50" borderId="65" xfId="0" applyFont="1" applyFill="1" applyBorder="1"/>
    <xf numFmtId="2" fontId="9" fillId="50" borderId="65" xfId="0" applyNumberFormat="1" applyFont="1" applyFill="1" applyBorder="1"/>
    <xf numFmtId="0" fontId="20" fillId="4" borderId="80" xfId="0" applyFont="1" applyFill="1" applyBorder="1" applyAlignment="1">
      <alignment horizontal="center" vertical="center" wrapText="1"/>
    </xf>
    <xf numFmtId="0" fontId="20" fillId="4" borderId="63" xfId="0" applyFont="1" applyFill="1" applyBorder="1" applyAlignment="1">
      <alignment horizontal="center" vertical="center" wrapText="1"/>
    </xf>
    <xf numFmtId="2" fontId="9" fillId="50" borderId="80" xfId="0" applyNumberFormat="1" applyFont="1" applyFill="1" applyBorder="1"/>
    <xf numFmtId="4" fontId="9" fillId="6" borderId="65" xfId="0" applyNumberFormat="1" applyFont="1" applyFill="1" applyBorder="1" applyProtection="1">
      <protection locked="0"/>
    </xf>
    <xf numFmtId="3" fontId="9" fillId="6" borderId="65" xfId="0" applyNumberFormat="1" applyFont="1" applyFill="1" applyBorder="1" applyProtection="1">
      <protection locked="0"/>
    </xf>
    <xf numFmtId="4" fontId="20" fillId="6" borderId="65" xfId="0" applyNumberFormat="1" applyFont="1" applyFill="1" applyBorder="1" applyProtection="1">
      <protection locked="0"/>
    </xf>
    <xf numFmtId="3" fontId="20" fillId="6" borderId="65" xfId="0" applyNumberFormat="1" applyFont="1" applyFill="1" applyBorder="1" applyProtection="1">
      <protection locked="0"/>
    </xf>
    <xf numFmtId="0" fontId="9" fillId="6" borderId="65" xfId="0" applyFont="1" applyFill="1" applyBorder="1" applyAlignment="1" applyProtection="1">
      <alignment wrapText="1"/>
      <protection locked="0"/>
    </xf>
    <xf numFmtId="2" fontId="21" fillId="0" borderId="4" xfId="0" applyNumberFormat="1" applyFont="1" applyBorder="1" applyAlignment="1" applyProtection="1">
      <alignment horizontal="right" vertical="center" wrapText="1"/>
      <protection hidden="1"/>
    </xf>
    <xf numFmtId="0" fontId="20" fillId="0" borderId="0" xfId="0" applyFont="1" applyAlignment="1">
      <alignment wrapText="1"/>
    </xf>
    <xf numFmtId="0" fontId="9" fillId="0" borderId="0" xfId="0" applyFont="1" applyAlignment="1">
      <alignment wrapText="1"/>
    </xf>
    <xf numFmtId="0" fontId="18" fillId="0" borderId="0" xfId="0" applyFont="1" applyAlignment="1">
      <alignment vertical="top"/>
    </xf>
    <xf numFmtId="3" fontId="21" fillId="0" borderId="4" xfId="0" applyNumberFormat="1" applyFont="1" applyBorder="1" applyAlignment="1">
      <alignment horizontal="right" vertical="center" indent="1"/>
    </xf>
    <xf numFmtId="4" fontId="21" fillId="0" borderId="4" xfId="0" applyNumberFormat="1" applyFont="1" applyBorder="1" applyAlignment="1">
      <alignment horizontal="right" vertical="center" indent="1"/>
    </xf>
    <xf numFmtId="0" fontId="9" fillId="0" borderId="4" xfId="0" applyFont="1" applyBorder="1" applyAlignment="1">
      <alignment wrapText="1"/>
    </xf>
    <xf numFmtId="0" fontId="9" fillId="6" borderId="4" xfId="0" applyFont="1" applyFill="1" applyBorder="1" applyAlignment="1">
      <alignment wrapText="1"/>
    </xf>
    <xf numFmtId="0" fontId="20" fillId="7" borderId="0" xfId="0" applyFont="1" applyFill="1" applyAlignment="1">
      <alignment horizontal="center" vertical="center"/>
    </xf>
    <xf numFmtId="0" fontId="20" fillId="0" borderId="0" xfId="0" applyFont="1" applyAlignment="1">
      <alignment horizontal="center" vertical="center"/>
    </xf>
    <xf numFmtId="193" fontId="21" fillId="0" borderId="99" xfId="2" applyNumberFormat="1" applyFont="1" applyBorder="1" applyAlignment="1" applyProtection="1">
      <alignment vertical="center"/>
      <protection locked="0"/>
    </xf>
    <xf numFmtId="0" fontId="20" fillId="0" borderId="0" xfId="2" applyFont="1" applyAlignment="1">
      <alignment vertical="center"/>
    </xf>
    <xf numFmtId="171" fontId="21" fillId="0" borderId="112" xfId="1" applyNumberFormat="1" applyFont="1" applyFill="1" applyBorder="1" applyAlignment="1" applyProtection="1">
      <alignment horizontal="center" vertical="center"/>
    </xf>
    <xf numFmtId="43" fontId="21" fillId="0" borderId="112" xfId="1" applyFont="1" applyFill="1" applyBorder="1" applyAlignment="1" applyProtection="1">
      <alignment horizontal="center" vertical="center"/>
    </xf>
    <xf numFmtId="43" fontId="21" fillId="0" borderId="0" xfId="1" applyFont="1" applyFill="1" applyBorder="1" applyAlignment="1" applyProtection="1">
      <alignment horizontal="center" vertical="center"/>
    </xf>
    <xf numFmtId="0" fontId="9" fillId="0" borderId="0" xfId="0" applyFont="1" applyAlignment="1">
      <alignment vertical="top"/>
    </xf>
    <xf numFmtId="0" fontId="97" fillId="45" borderId="4" xfId="0" applyFont="1" applyFill="1" applyBorder="1" applyAlignment="1">
      <alignment horizontal="left" vertical="top" wrapText="1"/>
    </xf>
    <xf numFmtId="2" fontId="21" fillId="5" borderId="4" xfId="0" applyNumberFormat="1" applyFont="1" applyFill="1" applyBorder="1" applyAlignment="1">
      <alignment horizontal="right" vertical="center" wrapText="1"/>
    </xf>
    <xf numFmtId="165" fontId="21" fillId="5" borderId="4" xfId="0" applyNumberFormat="1" applyFont="1" applyFill="1" applyBorder="1" applyAlignment="1">
      <alignment horizontal="right" vertical="center" wrapText="1"/>
    </xf>
    <xf numFmtId="1" fontId="21" fillId="5" borderId="4" xfId="0" applyNumberFormat="1" applyFont="1" applyFill="1" applyBorder="1" applyAlignment="1">
      <alignment horizontal="right" vertical="center" wrapText="1"/>
    </xf>
    <xf numFmtId="0" fontId="35" fillId="6" borderId="4" xfId="0" applyFont="1" applyFill="1" applyBorder="1" applyAlignment="1" applyProtection="1">
      <alignment vertical="center"/>
      <protection locked="0"/>
    </xf>
    <xf numFmtId="0" fontId="9" fillId="0" borderId="4" xfId="0" applyFont="1" applyBorder="1" applyAlignment="1">
      <alignment horizontal="left" vertical="center" wrapText="1" indent="1"/>
    </xf>
    <xf numFmtId="0" fontId="35" fillId="0" borderId="4" xfId="0" applyFont="1" applyBorder="1" applyAlignment="1">
      <alignment horizontal="center" vertical="center" wrapText="1"/>
    </xf>
    <xf numFmtId="0" fontId="9" fillId="8" borderId="4" xfId="0" applyFont="1" applyFill="1" applyBorder="1" applyAlignment="1">
      <alignment vertical="center" wrapText="1"/>
    </xf>
    <xf numFmtId="0" fontId="35" fillId="6" borderId="12" xfId="0" applyFont="1" applyFill="1" applyBorder="1" applyAlignment="1" applyProtection="1">
      <alignment horizontal="left" vertical="center" wrapText="1"/>
      <protection locked="0"/>
    </xf>
    <xf numFmtId="0" fontId="9" fillId="5" borderId="4" xfId="2" applyFill="1" applyBorder="1" applyAlignment="1">
      <alignment horizontal="center" vertical="center"/>
    </xf>
    <xf numFmtId="171" fontId="9" fillId="5" borderId="4" xfId="1" applyNumberFormat="1" applyFont="1" applyFill="1" applyBorder="1" applyAlignment="1">
      <alignment horizontal="left" vertical="center" indent="1"/>
    </xf>
    <xf numFmtId="9" fontId="9" fillId="5" borderId="4" xfId="9" applyFont="1" applyFill="1" applyBorder="1" applyAlignment="1">
      <alignment horizontal="center" vertical="center"/>
    </xf>
    <xf numFmtId="9" fontId="9" fillId="5" borderId="4" xfId="9" applyFont="1" applyFill="1" applyBorder="1" applyAlignment="1">
      <alignment horizontal="centerContinuous" vertical="center"/>
    </xf>
    <xf numFmtId="0" fontId="9" fillId="5" borderId="4" xfId="2" applyFill="1" applyBorder="1" applyAlignment="1">
      <alignment horizontal="centerContinuous" vertical="center"/>
    </xf>
    <xf numFmtId="0" fontId="9" fillId="44" borderId="4" xfId="2" applyFill="1" applyBorder="1" applyAlignment="1">
      <alignment horizontal="left" vertical="center" indent="1"/>
    </xf>
    <xf numFmtId="0" fontId="9" fillId="6" borderId="4" xfId="2" applyFill="1" applyBorder="1" applyAlignment="1" applyProtection="1">
      <alignment horizontal="left" vertical="center" indent="1"/>
      <protection locked="0"/>
    </xf>
    <xf numFmtId="9" fontId="9" fillId="6" borderId="4" xfId="9" applyFont="1" applyFill="1" applyBorder="1" applyAlignment="1" applyProtection="1">
      <alignment horizontal="left" vertical="center" indent="1"/>
      <protection locked="0"/>
    </xf>
    <xf numFmtId="0" fontId="9" fillId="44" borderId="4" xfId="2" applyFill="1" applyBorder="1" applyAlignment="1" applyProtection="1">
      <alignment horizontal="left" vertical="center" indent="1"/>
      <protection locked="0"/>
    </xf>
    <xf numFmtId="0" fontId="9" fillId="6" borderId="4" xfId="2" applyFill="1" applyBorder="1" applyAlignment="1" applyProtection="1">
      <alignment horizontal="center" vertical="center"/>
      <protection locked="0"/>
    </xf>
    <xf numFmtId="171" fontId="9" fillId="6" borderId="4" xfId="1" applyNumberFormat="1" applyFont="1" applyFill="1" applyBorder="1" applyAlignment="1" applyProtection="1">
      <alignment horizontal="left" vertical="center" indent="1"/>
      <protection locked="0"/>
    </xf>
    <xf numFmtId="9" fontId="9" fillId="6" borderId="4" xfId="9" applyFont="1" applyFill="1" applyBorder="1" applyAlignment="1" applyProtection="1">
      <alignment horizontal="center" vertical="center"/>
      <protection locked="0"/>
    </xf>
    <xf numFmtId="0" fontId="3" fillId="5" borderId="4" xfId="0" applyFont="1" applyFill="1" applyBorder="1" applyAlignment="1">
      <alignment horizontal="left" vertical="center" indent="1"/>
    </xf>
    <xf numFmtId="1" fontId="3" fillId="6" borderId="4" xfId="9" applyNumberFormat="1" applyFont="1" applyFill="1" applyBorder="1" applyAlignment="1" applyProtection="1">
      <alignment horizontal="center" vertical="center"/>
      <protection locked="0"/>
    </xf>
    <xf numFmtId="2" fontId="3" fillId="5" borderId="4" xfId="0" applyNumberFormat="1" applyFont="1" applyFill="1" applyBorder="1" applyAlignment="1">
      <alignment vertical="center"/>
    </xf>
    <xf numFmtId="3" fontId="3" fillId="5" borderId="4" xfId="0" applyNumberFormat="1" applyFont="1" applyFill="1" applyBorder="1" applyAlignment="1">
      <alignment vertical="center"/>
    </xf>
    <xf numFmtId="9" fontId="3" fillId="6" borderId="4" xfId="9" applyFont="1" applyFill="1" applyBorder="1" applyAlignment="1" applyProtection="1">
      <alignment horizontal="center" vertical="center"/>
      <protection locked="0"/>
    </xf>
    <xf numFmtId="9" fontId="3" fillId="6" borderId="4" xfId="9" applyFont="1" applyFill="1" applyBorder="1" applyAlignment="1" applyProtection="1">
      <alignment vertical="center"/>
      <protection locked="0"/>
    </xf>
    <xf numFmtId="165" fontId="3" fillId="5" borderId="4" xfId="9" applyNumberFormat="1" applyFont="1" applyFill="1" applyBorder="1" applyAlignment="1">
      <alignment vertical="center"/>
    </xf>
    <xf numFmtId="164" fontId="3" fillId="5" borderId="4" xfId="9" applyNumberFormat="1" applyFont="1" applyFill="1" applyBorder="1" applyAlignment="1">
      <alignment vertical="center"/>
    </xf>
    <xf numFmtId="9" fontId="3" fillId="5" borderId="4" xfId="9" applyFont="1" applyFill="1" applyBorder="1" applyAlignment="1">
      <alignment vertical="center"/>
    </xf>
    <xf numFmtId="1" fontId="3" fillId="5" borderId="4" xfId="9" applyNumberFormat="1" applyFont="1" applyFill="1" applyBorder="1" applyAlignment="1">
      <alignment vertical="center"/>
    </xf>
    <xf numFmtId="0" fontId="20" fillId="3" borderId="4" xfId="0" applyFont="1" applyFill="1" applyBorder="1" applyAlignment="1">
      <alignment horizontal="center" vertical="center" wrapText="1"/>
    </xf>
    <xf numFmtId="0" fontId="35" fillId="5" borderId="4" xfId="0" applyFont="1" applyFill="1" applyBorder="1" applyAlignment="1">
      <alignment horizontal="left" vertical="top"/>
    </xf>
    <xf numFmtId="0" fontId="51" fillId="5" borderId="4" xfId="0" applyFont="1" applyFill="1" applyBorder="1" applyAlignment="1">
      <alignment horizontal="left" vertical="center" indent="1"/>
    </xf>
    <xf numFmtId="0" fontId="35" fillId="0" borderId="4" xfId="0" applyFont="1" applyBorder="1"/>
    <xf numFmtId="3" fontId="21" fillId="6" borderId="4" xfId="2" applyNumberFormat="1" applyFont="1" applyFill="1" applyBorder="1" applyAlignment="1" applyProtection="1">
      <alignment horizontal="left" vertical="center"/>
      <protection locked="0"/>
    </xf>
    <xf numFmtId="0" fontId="35" fillId="5" borderId="4" xfId="0" applyFont="1" applyFill="1" applyBorder="1" applyAlignment="1">
      <alignment horizontal="center" vertical="center" wrapText="1"/>
    </xf>
    <xf numFmtId="0" fontId="35" fillId="5" borderId="4" xfId="0" applyFont="1" applyFill="1" applyBorder="1" applyAlignment="1">
      <alignment horizontal="center" vertical="center"/>
    </xf>
    <xf numFmtId="3" fontId="35" fillId="5" borderId="4" xfId="0" applyNumberFormat="1" applyFont="1" applyFill="1" applyBorder="1" applyAlignment="1">
      <alignment horizontal="center" vertical="center"/>
    </xf>
    <xf numFmtId="2" fontId="35" fillId="5" borderId="4" xfId="0" applyNumberFormat="1" applyFont="1" applyFill="1" applyBorder="1" applyAlignment="1">
      <alignment horizontal="center" vertical="center"/>
    </xf>
    <xf numFmtId="3" fontId="21" fillId="5" borderId="4" xfId="2" applyNumberFormat="1" applyFont="1" applyFill="1" applyBorder="1" applyAlignment="1">
      <alignment horizontal="centerContinuous" vertical="center"/>
    </xf>
    <xf numFmtId="0" fontId="3" fillId="0" borderId="4" xfId="444" applyFont="1" applyBorder="1"/>
    <xf numFmtId="9" fontId="3" fillId="0" borderId="6" xfId="9" applyFont="1" applyBorder="1" applyProtection="1">
      <protection locked="0"/>
    </xf>
    <xf numFmtId="165" fontId="3" fillId="0" borderId="6" xfId="444" applyNumberFormat="1" applyFont="1" applyBorder="1"/>
    <xf numFmtId="0" fontId="3" fillId="0" borderId="5" xfId="444" applyFont="1" applyBorder="1"/>
    <xf numFmtId="0" fontId="9" fillId="3" borderId="0" xfId="2" applyFill="1" applyAlignment="1">
      <alignment horizontal="center" vertical="center"/>
    </xf>
    <xf numFmtId="0" fontId="9" fillId="3" borderId="0" xfId="2" applyFill="1" applyAlignment="1">
      <alignment vertical="center"/>
    </xf>
    <xf numFmtId="0" fontId="22" fillId="3" borderId="85" xfId="2" applyFont="1" applyFill="1" applyBorder="1" applyAlignment="1">
      <alignment vertical="center"/>
    </xf>
    <xf numFmtId="3" fontId="21" fillId="6" borderId="4" xfId="2" applyNumberFormat="1" applyFont="1" applyFill="1" applyBorder="1" applyAlignment="1" applyProtection="1">
      <alignment horizontal="right" vertical="center" wrapText="1"/>
      <protection locked="0"/>
    </xf>
    <xf numFmtId="0" fontId="21" fillId="9" borderId="4" xfId="2" applyFont="1" applyFill="1" applyBorder="1" applyAlignment="1">
      <alignment vertical="center"/>
    </xf>
    <xf numFmtId="168" fontId="21" fillId="5" borderId="4" xfId="2" applyNumberFormat="1" applyFont="1" applyFill="1" applyBorder="1" applyAlignment="1">
      <alignment horizontal="center" vertical="center"/>
    </xf>
    <xf numFmtId="168" fontId="21" fillId="5" borderId="4" xfId="12" applyNumberFormat="1" applyFont="1" applyFill="1" applyBorder="1" applyAlignment="1">
      <alignment horizontal="center" vertical="center"/>
    </xf>
    <xf numFmtId="168" fontId="21" fillId="0" borderId="4" xfId="0" applyNumberFormat="1" applyFont="1" applyBorder="1" applyAlignment="1">
      <alignment horizontal="center" vertical="center"/>
    </xf>
    <xf numFmtId="193" fontId="21" fillId="6" borderId="4" xfId="2" applyNumberFormat="1" applyFont="1" applyFill="1" applyBorder="1" applyAlignment="1" applyProtection="1">
      <alignment vertical="center"/>
      <protection locked="0"/>
    </xf>
    <xf numFmtId="0" fontId="21" fillId="6" borderId="4" xfId="2" applyFont="1" applyFill="1" applyBorder="1" applyAlignment="1" applyProtection="1">
      <alignment vertical="center" wrapText="1"/>
      <protection locked="0"/>
    </xf>
    <xf numFmtId="167" fontId="21" fillId="6" borderId="4" xfId="12" applyNumberFormat="1" applyFont="1" applyFill="1" applyBorder="1" applyAlignment="1" applyProtection="1">
      <alignment horizontal="left" vertical="center" wrapText="1"/>
      <protection locked="0"/>
    </xf>
    <xf numFmtId="168" fontId="21" fillId="6" borderId="4" xfId="12" applyNumberFormat="1" applyFont="1" applyFill="1" applyBorder="1" applyAlignment="1" applyProtection="1">
      <alignment horizontal="right" vertical="center" wrapText="1"/>
      <protection locked="0"/>
    </xf>
    <xf numFmtId="0" fontId="21" fillId="5" borderId="4" xfId="2" applyFont="1" applyFill="1" applyBorder="1" applyAlignment="1">
      <alignment horizontal="left" vertical="center"/>
    </xf>
    <xf numFmtId="168" fontId="21" fillId="5" borderId="4" xfId="12" applyNumberFormat="1" applyFont="1" applyFill="1" applyBorder="1" applyAlignment="1" applyProtection="1">
      <alignment horizontal="right" vertical="center" wrapText="1"/>
      <protection locked="0"/>
    </xf>
    <xf numFmtId="0" fontId="21" fillId="9" borderId="4" xfId="2" applyFont="1" applyFill="1" applyBorder="1" applyAlignment="1">
      <alignment horizontal="left" vertical="center" indent="1"/>
    </xf>
    <xf numFmtId="168" fontId="21" fillId="6" borderId="4" xfId="2" applyNumberFormat="1" applyFont="1" applyFill="1" applyBorder="1" applyAlignment="1" applyProtection="1">
      <alignment horizontal="right" vertical="center"/>
      <protection locked="0"/>
    </xf>
    <xf numFmtId="49" fontId="22" fillId="8" borderId="4" xfId="2" applyNumberFormat="1" applyFont="1" applyFill="1" applyBorder="1" applyAlignment="1">
      <alignment horizontal="left" vertical="center"/>
    </xf>
    <xf numFmtId="49" fontId="22" fillId="8" borderId="4" xfId="2" applyNumberFormat="1" applyFont="1" applyFill="1" applyBorder="1" applyAlignment="1">
      <alignment horizontal="left" vertical="center" textRotation="90"/>
    </xf>
    <xf numFmtId="0" fontId="22" fillId="8" borderId="4" xfId="2" applyFont="1" applyFill="1" applyBorder="1" applyAlignment="1">
      <alignment horizontal="center" vertical="center"/>
    </xf>
    <xf numFmtId="169" fontId="21" fillId="5" borderId="4" xfId="12" applyNumberFormat="1" applyFont="1" applyFill="1" applyBorder="1" applyAlignment="1">
      <alignment horizontal="right" vertical="center" wrapText="1"/>
    </xf>
    <xf numFmtId="169" fontId="21" fillId="5" borderId="4" xfId="12" applyNumberFormat="1" applyFont="1" applyFill="1" applyBorder="1" applyAlignment="1">
      <alignment horizontal="right" vertical="center"/>
    </xf>
    <xf numFmtId="170" fontId="21" fillId="6" borderId="4" xfId="11" applyNumberFormat="1" applyFont="1" applyFill="1" applyBorder="1" applyAlignment="1" applyProtection="1">
      <alignment horizontal="right" vertical="center"/>
      <protection locked="0"/>
    </xf>
    <xf numFmtId="170" fontId="9" fillId="0" borderId="4" xfId="11" applyNumberFormat="1" applyFont="1" applyFill="1" applyBorder="1" applyAlignment="1" applyProtection="1">
      <alignment horizontal="right" vertical="center"/>
    </xf>
    <xf numFmtId="164" fontId="21" fillId="9" borderId="4" xfId="10" applyNumberFormat="1" applyFont="1" applyFill="1" applyBorder="1" applyAlignment="1" applyProtection="1">
      <alignment vertical="center" wrapText="1"/>
    </xf>
    <xf numFmtId="168" fontId="21" fillId="0" borderId="4" xfId="12" applyNumberFormat="1" applyFont="1" applyFill="1" applyBorder="1" applyAlignment="1" applyProtection="1">
      <alignment horizontal="right" vertical="center"/>
    </xf>
    <xf numFmtId="168" fontId="21" fillId="0" borderId="4" xfId="12" applyNumberFormat="1" applyFont="1" applyFill="1" applyBorder="1" applyAlignment="1">
      <alignment horizontal="right" vertical="center"/>
    </xf>
    <xf numFmtId="3" fontId="21" fillId="0" borderId="4" xfId="2" applyNumberFormat="1" applyFont="1" applyBorder="1" applyAlignment="1">
      <alignment horizontal="left" vertical="center" wrapText="1"/>
    </xf>
    <xf numFmtId="42" fontId="21" fillId="0" borderId="4" xfId="2" applyNumberFormat="1" applyFont="1" applyBorder="1" applyAlignment="1">
      <alignment horizontal="center" vertical="center" wrapText="1"/>
    </xf>
    <xf numFmtId="167" fontId="21" fillId="0" borderId="4" xfId="12" applyNumberFormat="1" applyFont="1" applyFill="1" applyBorder="1" applyAlignment="1" applyProtection="1">
      <alignment horizontal="right" vertical="center"/>
    </xf>
    <xf numFmtId="171" fontId="21" fillId="0" borderId="4" xfId="12" applyNumberFormat="1" applyFont="1" applyFill="1" applyBorder="1" applyAlignment="1">
      <alignment horizontal="left" vertical="center"/>
    </xf>
    <xf numFmtId="43" fontId="21" fillId="0" borderId="4" xfId="12" applyFont="1" applyFill="1" applyBorder="1" applyAlignment="1">
      <alignment horizontal="right" vertical="center"/>
    </xf>
    <xf numFmtId="167" fontId="21" fillId="0" borderId="4" xfId="12" applyNumberFormat="1" applyFont="1" applyFill="1" applyBorder="1" applyAlignment="1">
      <alignment horizontal="right" vertical="center"/>
    </xf>
    <xf numFmtId="167" fontId="21" fillId="4" borderId="4" xfId="12" applyNumberFormat="1" applyFont="1" applyFill="1" applyBorder="1" applyAlignment="1">
      <alignment horizontal="right" vertical="center"/>
    </xf>
    <xf numFmtId="42" fontId="21" fillId="4" borderId="4" xfId="2" applyNumberFormat="1" applyFont="1" applyFill="1" applyBorder="1" applyAlignment="1">
      <alignment horizontal="center" vertical="center" wrapText="1"/>
    </xf>
    <xf numFmtId="43" fontId="21" fillId="6" borderId="4" xfId="12" applyFont="1" applyFill="1" applyBorder="1" applyAlignment="1" applyProtection="1">
      <alignment horizontal="right" vertical="center"/>
      <protection locked="0"/>
    </xf>
    <xf numFmtId="167" fontId="21" fillId="6" borderId="4" xfId="12" applyNumberFormat="1" applyFont="1" applyFill="1" applyBorder="1" applyAlignment="1" applyProtection="1">
      <alignment horizontal="right" vertical="center"/>
      <protection locked="0"/>
    </xf>
    <xf numFmtId="174" fontId="21" fillId="6" borderId="4" xfId="12" applyNumberFormat="1" applyFont="1" applyFill="1" applyBorder="1" applyAlignment="1" applyProtection="1">
      <alignment horizontal="right" vertical="center"/>
      <protection locked="0"/>
    </xf>
    <xf numFmtId="171" fontId="21" fillId="6" borderId="4" xfId="12" applyNumberFormat="1" applyFont="1" applyFill="1" applyBorder="1" applyAlignment="1" applyProtection="1">
      <alignment horizontal="right" vertical="center"/>
      <protection locked="0"/>
    </xf>
    <xf numFmtId="171" fontId="21" fillId="0" borderId="4" xfId="12" applyNumberFormat="1" applyFont="1" applyFill="1" applyBorder="1" applyAlignment="1" applyProtection="1">
      <alignment horizontal="right" vertical="center"/>
    </xf>
    <xf numFmtId="165" fontId="21" fillId="0" borderId="4" xfId="12" applyNumberFormat="1" applyFont="1" applyFill="1" applyBorder="1" applyAlignment="1" applyProtection="1">
      <alignment horizontal="right" vertical="center"/>
    </xf>
    <xf numFmtId="0" fontId="29" fillId="0" borderId="0" xfId="0" applyFont="1" applyAlignment="1">
      <alignment horizontal="center" vertical="center"/>
    </xf>
    <xf numFmtId="0" fontId="106" fillId="0" borderId="0" xfId="0" applyFont="1" applyAlignment="1">
      <alignment horizontal="center" vertical="center"/>
    </xf>
    <xf numFmtId="3" fontId="21" fillId="0" borderId="3" xfId="0" applyNumberFormat="1" applyFont="1" applyBorder="1" applyAlignment="1">
      <alignment horizontal="center" vertical="center"/>
    </xf>
    <xf numFmtId="168" fontId="21" fillId="0" borderId="3" xfId="0" applyNumberFormat="1" applyFont="1" applyBorder="1" applyAlignment="1">
      <alignment horizontal="center" vertical="center"/>
    </xf>
    <xf numFmtId="0" fontId="21" fillId="6" borderId="12" xfId="0" applyFont="1" applyFill="1" applyBorder="1" applyAlignment="1" applyProtection="1">
      <alignment horizontal="center" vertical="center" wrapText="1"/>
      <protection locked="0"/>
    </xf>
    <xf numFmtId="3" fontId="21" fillId="0" borderId="12" xfId="0" applyNumberFormat="1" applyFont="1" applyBorder="1" applyAlignment="1">
      <alignment horizontal="center" vertical="center" wrapText="1"/>
    </xf>
    <xf numFmtId="0" fontId="21" fillId="0" borderId="12" xfId="0" applyFont="1" applyBorder="1" applyAlignment="1">
      <alignment horizontal="center" vertical="center"/>
    </xf>
    <xf numFmtId="0" fontId="21" fillId="5" borderId="12" xfId="0" applyFont="1" applyFill="1" applyBorder="1" applyAlignment="1" applyProtection="1">
      <alignment horizontal="center" vertical="center" wrapText="1"/>
      <protection locked="0"/>
    </xf>
    <xf numFmtId="166" fontId="21" fillId="5" borderId="12" xfId="0" applyNumberFormat="1" applyFont="1" applyFill="1" applyBorder="1" applyAlignment="1">
      <alignment horizontal="center" vertical="center" wrapText="1"/>
    </xf>
    <xf numFmtId="3" fontId="21" fillId="0" borderId="11" xfId="0" applyNumberFormat="1" applyFont="1" applyBorder="1" applyAlignment="1">
      <alignment horizontal="center" vertical="center"/>
    </xf>
    <xf numFmtId="0" fontId="49" fillId="0" borderId="12" xfId="0" applyFont="1" applyBorder="1" applyAlignment="1">
      <alignment horizontal="center" vertical="center"/>
    </xf>
    <xf numFmtId="0" fontId="35" fillId="0" borderId="12" xfId="0" applyFont="1" applyBorder="1" applyAlignment="1">
      <alignment horizontal="center" vertical="center" wrapText="1"/>
    </xf>
    <xf numFmtId="0" fontId="35" fillId="0" borderId="12" xfId="0" applyFont="1" applyBorder="1" applyAlignment="1" applyProtection="1">
      <alignment horizontal="center" vertical="center" wrapText="1"/>
      <protection locked="0"/>
    </xf>
    <xf numFmtId="0" fontId="20" fillId="5" borderId="12" xfId="0" applyFont="1" applyFill="1" applyBorder="1" applyAlignment="1">
      <alignment horizontal="center" vertical="center" wrapText="1"/>
    </xf>
    <xf numFmtId="0" fontId="21" fillId="0" borderId="12" xfId="0" applyFont="1" applyBorder="1" applyAlignment="1" applyProtection="1">
      <alignment horizontal="center" vertical="center" wrapText="1"/>
      <protection locked="0"/>
    </xf>
    <xf numFmtId="164" fontId="21" fillId="0" borderId="3" xfId="0" applyNumberFormat="1" applyFont="1" applyBorder="1" applyAlignment="1">
      <alignment horizontal="center" vertical="center" wrapText="1"/>
    </xf>
    <xf numFmtId="2" fontId="21" fillId="6" borderId="3" xfId="0" applyNumberFormat="1" applyFont="1" applyFill="1" applyBorder="1" applyAlignment="1" applyProtection="1">
      <alignment horizontal="center" vertical="center" wrapText="1"/>
      <protection locked="0"/>
    </xf>
    <xf numFmtId="0" fontId="20" fillId="45" borderId="85" xfId="0" applyFont="1" applyFill="1" applyBorder="1" applyAlignment="1">
      <alignment horizontal="center" vertical="center" wrapText="1"/>
    </xf>
    <xf numFmtId="0" fontId="21" fillId="6" borderId="40" xfId="0" applyFont="1" applyFill="1" applyBorder="1" applyAlignment="1" applyProtection="1">
      <alignment horizontal="center" vertical="center" wrapText="1"/>
      <protection locked="0"/>
    </xf>
    <xf numFmtId="0" fontId="21" fillId="5" borderId="4" xfId="0" applyFont="1" applyFill="1" applyBorder="1" applyAlignment="1">
      <alignment horizontal="center" vertical="center" wrapText="1"/>
    </xf>
    <xf numFmtId="3" fontId="35" fillId="6" borderId="4" xfId="0" applyNumberFormat="1" applyFont="1" applyFill="1" applyBorder="1" applyAlignment="1" applyProtection="1">
      <alignment horizontal="right" vertical="center" wrapText="1"/>
      <protection locked="0"/>
    </xf>
    <xf numFmtId="0" fontId="30" fillId="0" borderId="0" xfId="0" applyFont="1" applyAlignment="1">
      <alignment horizontal="center" vertical="top"/>
    </xf>
    <xf numFmtId="0" fontId="21" fillId="6" borderId="11" xfId="0" applyFont="1" applyFill="1" applyBorder="1" applyAlignment="1" applyProtection="1">
      <alignment horizontal="center" vertical="center" wrapText="1"/>
      <protection locked="0"/>
    </xf>
    <xf numFmtId="3" fontId="21" fillId="0" borderId="11" xfId="0" applyNumberFormat="1" applyFont="1" applyBorder="1" applyAlignment="1" applyProtection="1">
      <alignment horizontal="center" vertical="center" wrapText="1"/>
      <protection locked="0"/>
    </xf>
    <xf numFmtId="3" fontId="21" fillId="0" borderId="4" xfId="0" applyNumberFormat="1" applyFont="1" applyBorder="1" applyAlignment="1" applyProtection="1">
      <alignment horizontal="center" vertical="center" wrapText="1"/>
      <protection locked="0"/>
    </xf>
    <xf numFmtId="3" fontId="21" fillId="0" borderId="11" xfId="0" applyNumberFormat="1" applyFont="1" applyBorder="1" applyAlignment="1">
      <alignment horizontal="center" vertical="center" wrapText="1"/>
    </xf>
    <xf numFmtId="9" fontId="21" fillId="6" borderId="3" xfId="9" applyFont="1" applyFill="1" applyBorder="1" applyAlignment="1" applyProtection="1">
      <alignment horizontal="center" vertical="center" wrapText="1"/>
      <protection locked="0"/>
    </xf>
    <xf numFmtId="168" fontId="21" fillId="0" borderId="3" xfId="0" applyNumberFormat="1" applyFont="1" applyBorder="1" applyAlignment="1">
      <alignment horizontal="center" vertical="center" wrapText="1"/>
    </xf>
    <xf numFmtId="0" fontId="20" fillId="45" borderId="65" xfId="0" applyFont="1" applyFill="1" applyBorder="1" applyAlignment="1">
      <alignment vertical="center" wrapText="1"/>
    </xf>
    <xf numFmtId="0" fontId="3" fillId="47" borderId="4" xfId="0" applyFont="1" applyFill="1" applyBorder="1" applyAlignment="1">
      <alignment horizontal="center" vertical="center" wrapText="1"/>
    </xf>
    <xf numFmtId="0" fontId="3" fillId="47" borderId="4" xfId="0" quotePrefix="1" applyFont="1" applyFill="1" applyBorder="1" applyAlignment="1">
      <alignment horizontal="center" vertical="center" wrapText="1"/>
    </xf>
    <xf numFmtId="0" fontId="3" fillId="47" borderId="4" xfId="0" applyFont="1" applyFill="1" applyBorder="1" applyAlignment="1">
      <alignment horizontal="center" vertical="center"/>
    </xf>
    <xf numFmtId="0" fontId="3" fillId="47" borderId="4" xfId="0" quotePrefix="1" applyFont="1" applyFill="1" applyBorder="1" applyAlignment="1">
      <alignment horizontal="center" vertical="center"/>
    </xf>
    <xf numFmtId="0" fontId="20" fillId="47" borderId="4" xfId="2" applyFont="1" applyFill="1" applyBorder="1" applyAlignment="1">
      <alignment horizontal="center" vertical="center" wrapText="1"/>
    </xf>
    <xf numFmtId="0" fontId="20" fillId="47" borderId="4" xfId="2" applyFont="1" applyFill="1" applyBorder="1" applyAlignment="1">
      <alignment horizontal="centerContinuous" vertical="center" wrapText="1"/>
    </xf>
    <xf numFmtId="0" fontId="3" fillId="47" borderId="4" xfId="0" applyFont="1" applyFill="1" applyBorder="1" applyAlignment="1">
      <alignment horizontal="centerContinuous" vertical="center"/>
    </xf>
    <xf numFmtId="0" fontId="75" fillId="47" borderId="4" xfId="0" applyFont="1" applyFill="1" applyBorder="1" applyAlignment="1">
      <alignment horizontal="centerContinuous" vertical="center"/>
    </xf>
    <xf numFmtId="0" fontId="9" fillId="47" borderId="4" xfId="0" applyFont="1" applyFill="1" applyBorder="1" applyAlignment="1">
      <alignment horizontal="centerContinuous" vertical="center" wrapText="1"/>
    </xf>
    <xf numFmtId="0" fontId="30" fillId="47" borderId="4" xfId="0" applyFont="1" applyFill="1" applyBorder="1" applyAlignment="1">
      <alignment wrapText="1"/>
    </xf>
    <xf numFmtId="0" fontId="30" fillId="47" borderId="4" xfId="0" applyFont="1" applyFill="1" applyBorder="1" applyAlignment="1">
      <alignment horizontal="center" wrapText="1"/>
    </xf>
    <xf numFmtId="0" fontId="21" fillId="47" borderId="4" xfId="0" applyFont="1" applyFill="1" applyBorder="1" applyAlignment="1">
      <alignment horizontal="left" vertical="center" wrapText="1"/>
    </xf>
    <xf numFmtId="3" fontId="35" fillId="47" borderId="4" xfId="0" applyNumberFormat="1" applyFont="1" applyFill="1" applyBorder="1" applyAlignment="1">
      <alignment horizontal="left" vertical="center" wrapText="1"/>
    </xf>
    <xf numFmtId="0" fontId="20" fillId="47" borderId="4" xfId="0" applyFont="1" applyFill="1" applyBorder="1" applyAlignment="1">
      <alignment horizontal="left" vertical="center" wrapText="1"/>
    </xf>
    <xf numFmtId="0" fontId="30" fillId="47" borderId="4" xfId="0" applyFont="1" applyFill="1" applyBorder="1"/>
    <xf numFmtId="0" fontId="30" fillId="47" borderId="4" xfId="0" applyFont="1" applyFill="1" applyBorder="1" applyAlignment="1">
      <alignment vertical="center"/>
    </xf>
    <xf numFmtId="0" fontId="30" fillId="47" borderId="4" xfId="0" applyFont="1" applyFill="1" applyBorder="1" applyAlignment="1">
      <alignment horizontal="center" vertical="center" wrapText="1"/>
    </xf>
    <xf numFmtId="0" fontId="20" fillId="47" borderId="5" xfId="0" applyFont="1" applyFill="1" applyBorder="1" applyAlignment="1">
      <alignment horizontal="center" vertical="center" wrapText="1"/>
    </xf>
    <xf numFmtId="0" fontId="9" fillId="47" borderId="5" xfId="0" applyFont="1" applyFill="1" applyBorder="1" applyAlignment="1">
      <alignment vertical="center" wrapText="1"/>
    </xf>
    <xf numFmtId="0" fontId="20" fillId="47" borderId="6" xfId="0" applyFont="1" applyFill="1" applyBorder="1" applyAlignment="1">
      <alignment vertical="center" wrapText="1"/>
    </xf>
    <xf numFmtId="0" fontId="20" fillId="47" borderId="5" xfId="0" applyFont="1" applyFill="1" applyBorder="1" applyAlignment="1">
      <alignment vertical="center" wrapText="1"/>
    </xf>
    <xf numFmtId="0" fontId="9" fillId="47" borderId="40" xfId="0" applyFont="1" applyFill="1" applyBorder="1" applyAlignment="1">
      <alignment vertical="center" wrapText="1"/>
    </xf>
    <xf numFmtId="0" fontId="30" fillId="47" borderId="6" xfId="0" applyFont="1" applyFill="1" applyBorder="1" applyAlignment="1">
      <alignment vertical="center"/>
    </xf>
    <xf numFmtId="0" fontId="30" fillId="47" borderId="5" xfId="0" applyFont="1" applyFill="1" applyBorder="1" applyAlignment="1">
      <alignment vertical="center"/>
    </xf>
    <xf numFmtId="0" fontId="97" fillId="47" borderId="4" xfId="0" applyFont="1" applyFill="1" applyBorder="1" applyAlignment="1">
      <alignment horizontal="center" vertical="center" wrapText="1"/>
    </xf>
    <xf numFmtId="0" fontId="97" fillId="47" borderId="3" xfId="0" applyFont="1" applyFill="1" applyBorder="1" applyAlignment="1">
      <alignment horizontal="center" vertical="center" wrapText="1"/>
    </xf>
    <xf numFmtId="0" fontId="97" fillId="47" borderId="11" xfId="0" applyFont="1" applyFill="1" applyBorder="1" applyAlignment="1">
      <alignment horizontal="center" vertical="center" wrapText="1"/>
    </xf>
    <xf numFmtId="0" fontId="9" fillId="47" borderId="11" xfId="0" applyFont="1" applyFill="1" applyBorder="1" applyAlignment="1">
      <alignment horizontal="center" vertical="center" wrapText="1"/>
    </xf>
    <xf numFmtId="0" fontId="79" fillId="47" borderId="5" xfId="0" applyFont="1" applyFill="1" applyBorder="1" applyAlignment="1">
      <alignment vertical="center" wrapText="1"/>
    </xf>
    <xf numFmtId="0" fontId="21" fillId="47" borderId="5" xfId="0" applyFont="1" applyFill="1" applyBorder="1" applyAlignment="1">
      <alignment vertical="center" wrapText="1"/>
    </xf>
    <xf numFmtId="0" fontId="3" fillId="47" borderId="4" xfId="444" applyFont="1" applyFill="1" applyBorder="1"/>
    <xf numFmtId="49" fontId="3" fillId="47" borderId="4" xfId="444" applyNumberFormat="1" applyFont="1" applyFill="1" applyBorder="1"/>
    <xf numFmtId="0" fontId="30" fillId="47" borderId="4" xfId="444" applyFont="1" applyFill="1" applyBorder="1" applyAlignment="1">
      <alignment horizontal="center" vertical="center" wrapText="1"/>
    </xf>
    <xf numFmtId="9" fontId="20" fillId="47" borderId="4" xfId="9" applyFont="1" applyFill="1" applyBorder="1" applyAlignment="1" applyProtection="1">
      <alignment horizontal="center" vertical="center" wrapText="1"/>
      <protection locked="0"/>
    </xf>
    <xf numFmtId="165" fontId="30" fillId="47" borderId="4" xfId="444" applyNumberFormat="1" applyFont="1" applyFill="1" applyBorder="1" applyAlignment="1">
      <alignment horizontal="center" vertical="center" wrapText="1"/>
    </xf>
    <xf numFmtId="9" fontId="30" fillId="47" borderId="4" xfId="9" applyFont="1" applyFill="1" applyBorder="1" applyAlignment="1" applyProtection="1">
      <alignment wrapText="1"/>
    </xf>
    <xf numFmtId="3" fontId="20" fillId="47" borderId="4" xfId="444" applyNumberFormat="1" applyFont="1" applyFill="1" applyBorder="1" applyAlignment="1">
      <alignment horizontal="center" vertical="center" wrapText="1"/>
    </xf>
    <xf numFmtId="2" fontId="20" fillId="47" borderId="4" xfId="444" applyNumberFormat="1" applyFont="1" applyFill="1" applyBorder="1" applyAlignment="1">
      <alignment horizontal="center" vertical="center" wrapText="1"/>
    </xf>
    <xf numFmtId="3" fontId="20" fillId="47" borderId="4" xfId="1" applyNumberFormat="1" applyFont="1" applyFill="1" applyBorder="1" applyAlignment="1">
      <alignment horizontal="center" vertical="center" wrapText="1"/>
    </xf>
    <xf numFmtId="0" fontId="9" fillId="47" borderId="4" xfId="0" applyFont="1" applyFill="1" applyBorder="1"/>
    <xf numFmtId="0" fontId="20" fillId="47" borderId="4" xfId="0" applyFont="1" applyFill="1" applyBorder="1" applyAlignment="1">
      <alignment horizontal="center"/>
    </xf>
    <xf numFmtId="0" fontId="20" fillId="47" borderId="4" xfId="0" applyFont="1" applyFill="1" applyBorder="1"/>
    <xf numFmtId="0" fontId="97" fillId="47" borderId="4" xfId="0" applyFont="1" applyFill="1" applyBorder="1" applyAlignment="1">
      <alignment vertical="top" wrapText="1"/>
    </xf>
    <xf numFmtId="0" fontId="22" fillId="47" borderId="4" xfId="0" applyFont="1" applyFill="1" applyBorder="1" applyAlignment="1">
      <alignment horizontal="center" vertical="center" wrapText="1"/>
    </xf>
    <xf numFmtId="0" fontId="22" fillId="47" borderId="3" xfId="0" applyFont="1" applyFill="1" applyBorder="1" applyAlignment="1">
      <alignment horizontal="center" vertical="center" wrapText="1"/>
    </xf>
    <xf numFmtId="0" fontId="22" fillId="47" borderId="11" xfId="0" applyFont="1" applyFill="1" applyBorder="1" applyAlignment="1">
      <alignment horizontal="center" vertical="center" wrapText="1"/>
    </xf>
    <xf numFmtId="9" fontId="9" fillId="47" borderId="15" xfId="0" applyNumberFormat="1" applyFont="1" applyFill="1" applyBorder="1" applyAlignment="1">
      <alignment horizontal="center" vertical="center" wrapText="1"/>
    </xf>
    <xf numFmtId="0" fontId="22" fillId="47" borderId="14" xfId="0" applyFont="1" applyFill="1" applyBorder="1" applyAlignment="1">
      <alignment horizontal="center" vertical="center" wrapText="1"/>
    </xf>
    <xf numFmtId="0" fontId="9" fillId="47" borderId="5" xfId="0" applyFont="1" applyFill="1" applyBorder="1" applyAlignment="1">
      <alignment horizontal="center" vertical="center" wrapText="1"/>
    </xf>
    <xf numFmtId="3" fontId="21" fillId="47" borderId="5" xfId="0" applyNumberFormat="1" applyFont="1" applyFill="1" applyBorder="1" applyAlignment="1">
      <alignment horizontal="center" vertical="center" wrapText="1"/>
    </xf>
    <xf numFmtId="0" fontId="21" fillId="47" borderId="5" xfId="0" applyFont="1" applyFill="1" applyBorder="1" applyAlignment="1">
      <alignment horizontal="center" vertical="center"/>
    </xf>
    <xf numFmtId="0" fontId="21" fillId="47" borderId="5" xfId="0" applyFont="1" applyFill="1" applyBorder="1" applyAlignment="1">
      <alignment horizontal="center" vertical="center" wrapText="1"/>
    </xf>
    <xf numFmtId="166" fontId="21" fillId="47" borderId="5" xfId="0" applyNumberFormat="1" applyFont="1" applyFill="1" applyBorder="1" applyAlignment="1">
      <alignment horizontal="center" vertical="center" wrapText="1"/>
    </xf>
    <xf numFmtId="0" fontId="21" fillId="47" borderId="40" xfId="0" applyFont="1" applyFill="1" applyBorder="1" applyAlignment="1">
      <alignment horizontal="center" vertical="center" wrapText="1"/>
    </xf>
    <xf numFmtId="0" fontId="9" fillId="47" borderId="5" xfId="0" applyFont="1" applyFill="1" applyBorder="1" applyAlignment="1">
      <alignment horizontal="center" vertical="center"/>
    </xf>
    <xf numFmtId="0" fontId="140" fillId="7" borderId="0" xfId="0" applyFont="1" applyFill="1" applyAlignment="1">
      <alignment horizontal="center" vertical="center" wrapText="1"/>
    </xf>
    <xf numFmtId="0" fontId="141" fillId="47" borderId="6" xfId="0" applyFont="1" applyFill="1" applyBorder="1" applyAlignment="1">
      <alignment horizontal="center" vertical="center"/>
    </xf>
    <xf numFmtId="166" fontId="142" fillId="47" borderId="5" xfId="0" applyNumberFormat="1" applyFont="1" applyFill="1" applyBorder="1" applyAlignment="1">
      <alignment horizontal="center" vertical="center" wrapText="1"/>
    </xf>
    <xf numFmtId="0" fontId="142" fillId="47" borderId="40" xfId="0" applyFont="1" applyFill="1" applyBorder="1" applyAlignment="1">
      <alignment horizontal="center" vertical="center" wrapText="1"/>
    </xf>
    <xf numFmtId="0" fontId="140" fillId="0" borderId="0" xfId="0" applyFont="1" applyAlignment="1">
      <alignment horizontal="center" vertical="center"/>
    </xf>
    <xf numFmtId="0" fontId="20" fillId="47" borderId="12" xfId="0" applyFont="1" applyFill="1" applyBorder="1" applyAlignment="1">
      <alignment horizontal="center" vertical="center" wrapText="1"/>
    </xf>
    <xf numFmtId="0" fontId="99" fillId="47" borderId="3" xfId="0" applyFont="1" applyFill="1" applyBorder="1" applyAlignment="1">
      <alignment horizontal="left" vertical="center" wrapText="1" indent="1"/>
    </xf>
    <xf numFmtId="0" fontId="17" fillId="47" borderId="3" xfId="0" applyFont="1" applyFill="1" applyBorder="1" applyAlignment="1">
      <alignment horizontal="left" vertical="center" wrapText="1" indent="1"/>
    </xf>
    <xf numFmtId="0" fontId="35" fillId="47" borderId="5" xfId="0" applyFont="1" applyFill="1" applyBorder="1" applyAlignment="1">
      <alignment horizontal="left" vertical="center" wrapText="1" indent="1"/>
    </xf>
    <xf numFmtId="0" fontId="35" fillId="47" borderId="5" xfId="0" applyFont="1" applyFill="1" applyBorder="1" applyAlignment="1">
      <alignment horizontal="left" vertical="center" wrapText="1"/>
    </xf>
    <xf numFmtId="0" fontId="35" fillId="47" borderId="40" xfId="0" applyFont="1" applyFill="1" applyBorder="1" applyAlignment="1">
      <alignment horizontal="left" vertical="center" wrapText="1"/>
    </xf>
    <xf numFmtId="0" fontId="20" fillId="47" borderId="8" xfId="0" applyFont="1" applyFill="1" applyBorder="1" applyAlignment="1">
      <alignment horizontal="center" vertical="center" wrapText="1"/>
    </xf>
    <xf numFmtId="0" fontId="20" fillId="47" borderId="13" xfId="0" applyFont="1" applyFill="1" applyBorder="1" applyAlignment="1">
      <alignment horizontal="center" vertical="center" wrapText="1"/>
    </xf>
    <xf numFmtId="0" fontId="21" fillId="47" borderId="1" xfId="0" applyFont="1" applyFill="1" applyBorder="1" applyAlignment="1" applyProtection="1">
      <alignment horizontal="center" vertical="center" wrapText="1"/>
      <protection locked="0"/>
    </xf>
    <xf numFmtId="0" fontId="21" fillId="47" borderId="14" xfId="0" applyFont="1" applyFill="1" applyBorder="1" applyAlignment="1">
      <alignment horizontal="center" vertical="center" wrapText="1"/>
    </xf>
    <xf numFmtId="0" fontId="20" fillId="47" borderId="8" xfId="0" applyFont="1" applyFill="1" applyBorder="1" applyAlignment="1">
      <alignment horizontal="center" vertical="center"/>
    </xf>
    <xf numFmtId="0" fontId="20" fillId="47" borderId="2" xfId="0" applyFont="1" applyFill="1" applyBorder="1" applyAlignment="1">
      <alignment horizontal="center" vertical="center" wrapText="1"/>
    </xf>
    <xf numFmtId="0" fontId="21" fillId="47" borderId="0" xfId="0" applyFont="1" applyFill="1" applyAlignment="1">
      <alignment horizontal="center" vertical="center" wrapText="1"/>
    </xf>
    <xf numFmtId="0" fontId="9" fillId="47" borderId="5" xfId="9" applyNumberFormat="1" applyFont="1" applyFill="1" applyBorder="1" applyAlignment="1" applyProtection="1">
      <alignment horizontal="center" vertical="center"/>
    </xf>
    <xf numFmtId="0" fontId="3" fillId="47" borderId="3" xfId="0" applyFont="1" applyFill="1" applyBorder="1" applyAlignment="1">
      <alignment horizontal="left" vertical="center" wrapText="1" indent="1"/>
    </xf>
    <xf numFmtId="49" fontId="20" fillId="47" borderId="4" xfId="2" applyNumberFormat="1" applyFont="1" applyFill="1" applyBorder="1" applyAlignment="1">
      <alignment horizontal="left" vertical="center"/>
    </xf>
    <xf numFmtId="0" fontId="9" fillId="47" borderId="4" xfId="2" applyFill="1" applyBorder="1" applyAlignment="1">
      <alignment vertical="center"/>
    </xf>
    <xf numFmtId="49" fontId="81" fillId="47" borderId="4" xfId="2" applyNumberFormat="1" applyFont="1" applyFill="1" applyBorder="1" applyAlignment="1">
      <alignment horizontal="center" vertical="center"/>
    </xf>
    <xf numFmtId="0" fontId="81" fillId="47" borderId="4" xfId="2" applyFont="1" applyFill="1" applyBorder="1"/>
    <xf numFmtId="0" fontId="81" fillId="47" borderId="4" xfId="2" applyFont="1" applyFill="1" applyBorder="1" applyAlignment="1">
      <alignment horizontal="center" vertical="center"/>
    </xf>
    <xf numFmtId="0" fontId="81" fillId="47" borderId="4" xfId="0" applyFont="1" applyFill="1" applyBorder="1" applyAlignment="1">
      <alignment vertical="center"/>
    </xf>
    <xf numFmtId="0" fontId="81" fillId="47" borderId="4" xfId="0" applyFont="1" applyFill="1" applyBorder="1" applyAlignment="1">
      <alignment horizontal="center" vertical="center"/>
    </xf>
    <xf numFmtId="0" fontId="81" fillId="47" borderId="4" xfId="0" applyFont="1" applyFill="1" applyBorder="1"/>
    <xf numFmtId="0" fontId="81" fillId="47" borderId="4" xfId="2" applyFont="1" applyFill="1" applyBorder="1" applyAlignment="1">
      <alignment horizontal="left"/>
    </xf>
    <xf numFmtId="0" fontId="81" fillId="47" borderId="4" xfId="2" applyFont="1" applyFill="1" applyBorder="1" applyAlignment="1">
      <alignment horizontal="left" vertical="center"/>
    </xf>
    <xf numFmtId="49" fontId="81" fillId="47" borderId="4" xfId="2" applyNumberFormat="1" applyFont="1" applyFill="1" applyBorder="1" applyAlignment="1">
      <alignment horizontal="left" vertical="center"/>
    </xf>
    <xf numFmtId="0" fontId="81" fillId="47" borderId="4" xfId="0" applyFont="1" applyFill="1" applyBorder="1" applyAlignment="1">
      <alignment horizontal="left" vertical="center"/>
    </xf>
    <xf numFmtId="0" fontId="81" fillId="47" borderId="4" xfId="0" applyFont="1" applyFill="1" applyBorder="1" applyAlignment="1">
      <alignment horizontal="left"/>
    </xf>
    <xf numFmtId="168" fontId="9" fillId="47" borderId="4" xfId="2" applyNumberFormat="1" applyFill="1" applyBorder="1" applyAlignment="1">
      <alignment horizontal="right" vertical="center" wrapText="1"/>
    </xf>
    <xf numFmtId="49" fontId="9" fillId="47" borderId="4" xfId="2" applyNumberFormat="1" applyFill="1" applyBorder="1" applyAlignment="1">
      <alignment horizontal="left" vertical="center" wrapText="1"/>
    </xf>
    <xf numFmtId="0" fontId="9" fillId="47" borderId="4" xfId="2" applyFill="1" applyBorder="1" applyAlignment="1">
      <alignment horizontal="right" vertical="center"/>
    </xf>
    <xf numFmtId="0" fontId="81" fillId="47" borderId="4" xfId="0" applyFont="1" applyFill="1" applyBorder="1" applyAlignment="1">
      <alignment horizontal="center" vertical="center" wrapText="1"/>
    </xf>
    <xf numFmtId="49" fontId="22" fillId="47" borderId="4" xfId="2" applyNumberFormat="1" applyFont="1" applyFill="1" applyBorder="1" applyAlignment="1">
      <alignment horizontal="left" vertical="center" textRotation="90"/>
    </xf>
    <xf numFmtId="0" fontId="81" fillId="47" borderId="4" xfId="2" applyFont="1" applyFill="1" applyBorder="1" applyAlignment="1">
      <alignment horizontal="center" vertical="center" wrapText="1"/>
    </xf>
    <xf numFmtId="49" fontId="81" fillId="47" borderId="4" xfId="2" applyNumberFormat="1" applyFont="1" applyFill="1" applyBorder="1" applyAlignment="1">
      <alignment horizontal="center" vertical="center" wrapText="1"/>
    </xf>
    <xf numFmtId="0" fontId="81" fillId="47" borderId="4" xfId="0" applyFont="1" applyFill="1" applyBorder="1" applyAlignment="1">
      <alignment horizontal="right" vertical="center"/>
    </xf>
    <xf numFmtId="0" fontId="81" fillId="47" borderId="4" xfId="2" applyFont="1" applyFill="1" applyBorder="1" applyAlignment="1">
      <alignment horizontal="right" vertical="center" wrapText="1"/>
    </xf>
    <xf numFmtId="49" fontId="9" fillId="47" borderId="4" xfId="2" applyNumberFormat="1" applyFill="1" applyBorder="1" applyAlignment="1">
      <alignment horizontal="left" vertical="center" textRotation="90" wrapText="1"/>
    </xf>
    <xf numFmtId="49" fontId="22" fillId="47" borderId="4" xfId="2" applyNumberFormat="1" applyFont="1" applyFill="1" applyBorder="1" applyAlignment="1">
      <alignment horizontal="left" vertical="center"/>
    </xf>
    <xf numFmtId="0" fontId="22" fillId="47" borderId="4" xfId="2" applyFont="1" applyFill="1" applyBorder="1" applyAlignment="1">
      <alignment horizontal="center" vertical="center"/>
    </xf>
    <xf numFmtId="0" fontId="22" fillId="47" borderId="4" xfId="2" applyFont="1" applyFill="1" applyBorder="1" applyAlignment="1">
      <alignment horizontal="left" vertical="center"/>
    </xf>
    <xf numFmtId="167" fontId="9" fillId="47" borderId="4" xfId="12" applyNumberFormat="1" applyFont="1" applyFill="1" applyBorder="1" applyAlignment="1">
      <alignment horizontal="right" vertical="top"/>
    </xf>
    <xf numFmtId="42" fontId="9" fillId="47" borderId="4" xfId="2" applyNumberFormat="1" applyFill="1" applyBorder="1" applyAlignment="1">
      <alignment horizontal="center" vertical="center" wrapText="1"/>
    </xf>
    <xf numFmtId="167" fontId="9" fillId="47" borderId="4" xfId="12" applyNumberFormat="1" applyFont="1" applyFill="1" applyBorder="1" applyAlignment="1">
      <alignment horizontal="left" vertical="top" indent="1"/>
    </xf>
    <xf numFmtId="42" fontId="9" fillId="47" borderId="4" xfId="2" applyNumberFormat="1" applyFill="1" applyBorder="1" applyAlignment="1">
      <alignment horizontal="left" vertical="center" wrapText="1" indent="1"/>
    </xf>
    <xf numFmtId="0" fontId="3" fillId="47" borderId="4" xfId="0" applyFont="1" applyFill="1" applyBorder="1" applyAlignment="1">
      <alignment horizontal="left" vertical="center"/>
    </xf>
    <xf numFmtId="0" fontId="3" fillId="47" borderId="4" xfId="0" applyFont="1" applyFill="1" applyBorder="1" applyAlignment="1">
      <alignment horizontal="left"/>
    </xf>
    <xf numFmtId="0" fontId="3" fillId="47" borderId="4" xfId="0" applyFont="1" applyFill="1" applyBorder="1" applyAlignment="1">
      <alignment horizontal="centerContinuous"/>
    </xf>
    <xf numFmtId="0" fontId="3" fillId="47" borderId="4" xfId="0" applyFont="1" applyFill="1" applyBorder="1" applyAlignment="1">
      <alignment horizontal="centerContinuous" vertical="center" wrapText="1"/>
    </xf>
    <xf numFmtId="0" fontId="3" fillId="47" borderId="4" xfId="0" applyFont="1" applyFill="1" applyBorder="1" applyAlignment="1">
      <alignment horizontal="centerContinuous" wrapText="1"/>
    </xf>
    <xf numFmtId="0" fontId="94" fillId="47" borderId="4" xfId="0" applyFont="1" applyFill="1" applyBorder="1" applyAlignment="1">
      <alignment horizontal="left"/>
    </xf>
    <xf numFmtId="0" fontId="28" fillId="47" borderId="4" xfId="0" applyFont="1" applyFill="1" applyBorder="1" applyAlignment="1">
      <alignment horizontal="left"/>
    </xf>
    <xf numFmtId="0" fontId="20" fillId="47" borderId="5" xfId="0" applyFont="1" applyFill="1" applyBorder="1" applyAlignment="1">
      <alignment horizontal="left" vertical="center" wrapText="1"/>
    </xf>
    <xf numFmtId="0" fontId="9" fillId="3" borderId="0" xfId="0" applyFont="1" applyFill="1" applyAlignment="1">
      <alignment vertical="center" wrapText="1"/>
    </xf>
    <xf numFmtId="0" fontId="14" fillId="49" borderId="65" xfId="0" applyFont="1" applyFill="1" applyBorder="1"/>
    <xf numFmtId="0" fontId="14" fillId="49" borderId="64" xfId="0" applyFont="1" applyFill="1" applyBorder="1" applyAlignment="1">
      <alignment wrapText="1"/>
    </xf>
    <xf numFmtId="0" fontId="14" fillId="49" borderId="70" xfId="0" applyFont="1" applyFill="1" applyBorder="1"/>
    <xf numFmtId="0" fontId="67" fillId="49" borderId="70" xfId="0" applyFont="1" applyFill="1" applyBorder="1" applyAlignment="1">
      <alignment horizontal="center"/>
    </xf>
    <xf numFmtId="0" fontId="0" fillId="49" borderId="70" xfId="0" applyFill="1" applyBorder="1"/>
    <xf numFmtId="0" fontId="0" fillId="49" borderId="70" xfId="0" quotePrefix="1" applyFill="1" applyBorder="1"/>
    <xf numFmtId="0" fontId="67" fillId="49" borderId="69" xfId="0" quotePrefix="1" applyFont="1" applyFill="1" applyBorder="1"/>
    <xf numFmtId="0" fontId="9" fillId="3" borderId="0" xfId="0" applyFont="1" applyFill="1" applyAlignment="1">
      <alignment horizontal="center" vertical="center" wrapText="1"/>
    </xf>
    <xf numFmtId="0" fontId="20" fillId="3" borderId="0" xfId="0" applyFont="1" applyFill="1" applyAlignment="1">
      <alignment horizontal="center" vertical="top"/>
    </xf>
    <xf numFmtId="174" fontId="9" fillId="0" borderId="0" xfId="12" applyNumberFormat="1" applyFont="1" applyFill="1" applyBorder="1" applyAlignment="1">
      <alignment horizontal="right" vertical="top"/>
    </xf>
    <xf numFmtId="182" fontId="9" fillId="6" borderId="65" xfId="2" applyNumberFormat="1" applyFill="1" applyBorder="1" applyAlignment="1" applyProtection="1">
      <alignment vertical="center"/>
      <protection locked="0"/>
    </xf>
    <xf numFmtId="9" fontId="0" fillId="48" borderId="68" xfId="0" applyNumberFormat="1" applyFill="1" applyBorder="1"/>
    <xf numFmtId="9" fontId="0" fillId="48" borderId="0" xfId="0" applyNumberFormat="1" applyFill="1"/>
    <xf numFmtId="9" fontId="14" fillId="48" borderId="0" xfId="0" applyNumberFormat="1" applyFont="1" applyFill="1"/>
    <xf numFmtId="9" fontId="14" fillId="48" borderId="68" xfId="0" applyNumberFormat="1" applyFont="1" applyFill="1" applyBorder="1"/>
    <xf numFmtId="9" fontId="14" fillId="48" borderId="62" xfId="0" applyNumberFormat="1" applyFont="1" applyFill="1" applyBorder="1"/>
    <xf numFmtId="182" fontId="82" fillId="6" borderId="36" xfId="0" applyNumberFormat="1" applyFont="1" applyFill="1" applyBorder="1" applyAlignment="1">
      <alignment vertical="center" wrapText="1"/>
    </xf>
    <xf numFmtId="182" fontId="82" fillId="0" borderId="36" xfId="0" applyNumberFormat="1" applyFont="1" applyBorder="1" applyAlignment="1">
      <alignment vertical="center" wrapText="1"/>
    </xf>
    <xf numFmtId="0" fontId="25" fillId="0" borderId="0" xfId="0" applyFont="1" applyAlignment="1">
      <alignment horizontal="left" vertical="top" wrapText="1"/>
    </xf>
    <xf numFmtId="0" fontId="9" fillId="5" borderId="0" xfId="2" applyFill="1" applyAlignment="1">
      <alignment horizontal="left" vertical="top" wrapText="1"/>
    </xf>
    <xf numFmtId="0" fontId="3" fillId="47" borderId="4" xfId="0" applyFont="1" applyFill="1" applyBorder="1" applyAlignment="1">
      <alignment horizontal="left" vertical="center" indent="1"/>
    </xf>
    <xf numFmtId="0" fontId="3" fillId="5" borderId="4" xfId="0" applyFont="1" applyFill="1" applyBorder="1" applyAlignment="1">
      <alignment vertical="center"/>
    </xf>
    <xf numFmtId="0" fontId="3" fillId="47" borderId="4" xfId="0" applyFont="1" applyFill="1" applyBorder="1" applyAlignment="1">
      <alignment vertical="center"/>
    </xf>
    <xf numFmtId="0" fontId="9" fillId="47" borderId="4" xfId="0" applyFont="1" applyFill="1" applyBorder="1" applyAlignment="1">
      <alignment horizontal="center" vertical="center" wrapText="1"/>
    </xf>
    <xf numFmtId="0" fontId="3" fillId="5" borderId="0" xfId="0" applyFont="1" applyFill="1" applyAlignment="1">
      <alignment horizontal="left" vertical="top" wrapText="1"/>
    </xf>
    <xf numFmtId="0" fontId="35" fillId="5" borderId="4" xfId="0" applyFont="1" applyFill="1" applyBorder="1" applyAlignment="1">
      <alignment horizontal="left" vertical="center" wrapText="1" indent="1"/>
    </xf>
    <xf numFmtId="0" fontId="35" fillId="5" borderId="4" xfId="0" applyFont="1" applyFill="1" applyBorder="1" applyAlignment="1">
      <alignment horizontal="left" vertical="center"/>
    </xf>
    <xf numFmtId="0" fontId="3" fillId="5" borderId="0" xfId="0" applyFont="1" applyFill="1" applyAlignment="1">
      <alignment wrapText="1"/>
    </xf>
    <xf numFmtId="0" fontId="3" fillId="0" borderId="0" xfId="0" applyFont="1" applyAlignment="1">
      <alignment wrapText="1"/>
    </xf>
    <xf numFmtId="0" fontId="20" fillId="47" borderId="4" xfId="0" applyFont="1" applyFill="1" applyBorder="1" applyAlignment="1">
      <alignment horizontal="center" vertical="center" wrapText="1"/>
    </xf>
    <xf numFmtId="0" fontId="21" fillId="6" borderId="4" xfId="0" applyFont="1" applyFill="1" applyBorder="1" applyAlignment="1" applyProtection="1">
      <alignment horizontal="center" vertical="center" wrapText="1"/>
      <protection locked="0"/>
    </xf>
    <xf numFmtId="0" fontId="20" fillId="47" borderId="11" xfId="0" applyFont="1" applyFill="1" applyBorder="1" applyAlignment="1">
      <alignment horizontal="center" vertical="center" wrapText="1"/>
    </xf>
    <xf numFmtId="0" fontId="20" fillId="47" borderId="3" xfId="0" applyFont="1" applyFill="1" applyBorder="1" applyAlignment="1">
      <alignment horizontal="center" vertical="center" wrapText="1"/>
    </xf>
    <xf numFmtId="0" fontId="9" fillId="47" borderId="6" xfId="0" applyFont="1" applyFill="1" applyBorder="1" applyAlignment="1">
      <alignment horizontal="center" vertical="center" wrapText="1"/>
    </xf>
    <xf numFmtId="0" fontId="20" fillId="45" borderId="65" xfId="0" applyFont="1" applyFill="1" applyBorder="1" applyAlignment="1">
      <alignment horizontal="center" vertical="center" wrapText="1"/>
    </xf>
    <xf numFmtId="0" fontId="9" fillId="47" borderId="3" xfId="0" applyFont="1" applyFill="1" applyBorder="1" applyAlignment="1">
      <alignment horizontal="center" vertical="center" wrapText="1"/>
    </xf>
    <xf numFmtId="0" fontId="30" fillId="0" borderId="0" xfId="0" applyFont="1" applyAlignment="1">
      <alignment horizontal="left" vertical="top" wrapText="1"/>
    </xf>
    <xf numFmtId="0" fontId="3" fillId="5" borderId="0" xfId="0" applyFont="1" applyFill="1" applyAlignment="1">
      <alignment horizontal="left" vertical="center" wrapText="1"/>
    </xf>
    <xf numFmtId="0" fontId="3" fillId="6" borderId="4" xfId="0" applyFont="1" applyFill="1" applyBorder="1" applyAlignment="1" applyProtection="1">
      <alignment horizontal="center" vertical="center" wrapText="1"/>
      <protection locked="0"/>
    </xf>
    <xf numFmtId="0" fontId="20" fillId="47" borderId="4" xfId="0" applyFont="1" applyFill="1" applyBorder="1" applyAlignment="1">
      <alignment horizontal="center" vertical="center"/>
    </xf>
    <xf numFmtId="0" fontId="35" fillId="6" borderId="4" xfId="0" applyFont="1" applyFill="1" applyBorder="1" applyAlignment="1" applyProtection="1">
      <alignment horizontal="left" vertical="center" wrapText="1"/>
      <protection locked="0"/>
    </xf>
    <xf numFmtId="0" fontId="3" fillId="6" borderId="4" xfId="0" applyFont="1" applyFill="1" applyBorder="1" applyAlignment="1" applyProtection="1">
      <alignment horizontal="center" vertical="center"/>
      <protection locked="0"/>
    </xf>
    <xf numFmtId="0" fontId="35" fillId="6" borderId="4" xfId="0" applyFont="1" applyFill="1" applyBorder="1" applyAlignment="1" applyProtection="1">
      <alignment horizontal="center" vertical="center"/>
      <protection locked="0"/>
    </xf>
    <xf numFmtId="0" fontId="3" fillId="0" borderId="0" xfId="0" applyFont="1" applyAlignment="1">
      <alignment horizontal="center" vertical="center" wrapText="1"/>
    </xf>
    <xf numFmtId="2" fontId="21" fillId="0" borderId="0" xfId="0" applyNumberFormat="1" applyFont="1" applyAlignment="1" applyProtection="1">
      <alignment horizontal="center" vertical="center" wrapText="1"/>
      <protection locked="0"/>
    </xf>
    <xf numFmtId="0" fontId="21" fillId="0" borderId="0" xfId="0" applyFont="1" applyAlignment="1" applyProtection="1">
      <alignment horizontal="left" vertical="center"/>
      <protection locked="0"/>
    </xf>
    <xf numFmtId="0" fontId="35" fillId="0" borderId="0" xfId="0" applyFont="1" applyAlignment="1" applyProtection="1">
      <alignment horizontal="center" vertical="center"/>
      <protection locked="0"/>
    </xf>
    <xf numFmtId="3" fontId="21" fillId="6" borderId="4" xfId="0" applyNumberFormat="1" applyFont="1" applyFill="1" applyBorder="1" applyAlignment="1" applyProtection="1">
      <alignment horizontal="center" vertical="center" wrapText="1"/>
      <protection locked="0"/>
    </xf>
    <xf numFmtId="0" fontId="9" fillId="47" borderId="4" xfId="0" applyFont="1" applyFill="1" applyBorder="1" applyAlignment="1">
      <alignment horizontal="center" vertical="center"/>
    </xf>
    <xf numFmtId="0" fontId="35" fillId="6" borderId="4" xfId="0" applyFont="1" applyFill="1" applyBorder="1" applyAlignment="1" applyProtection="1">
      <alignment horizontal="center" vertical="center" wrapText="1"/>
      <protection locked="0"/>
    </xf>
    <xf numFmtId="3" fontId="35" fillId="0" borderId="0" xfId="0" applyNumberFormat="1" applyFont="1" applyAlignment="1">
      <alignment horizontal="center" vertical="center" wrapText="1"/>
    </xf>
    <xf numFmtId="3" fontId="35" fillId="0" borderId="0" xfId="0" applyNumberFormat="1" applyFont="1" applyAlignment="1">
      <alignment horizontal="left" vertical="center" wrapText="1"/>
    </xf>
    <xf numFmtId="0" fontId="3" fillId="0" borderId="0" xfId="0" applyFont="1" applyAlignment="1">
      <alignment horizontal="left" vertical="top" wrapText="1"/>
    </xf>
    <xf numFmtId="0" fontId="3" fillId="0" borderId="0" xfId="0" applyFont="1" applyAlignment="1">
      <alignment horizontal="left" vertical="center" wrapText="1"/>
    </xf>
    <xf numFmtId="0" fontId="35" fillId="6" borderId="3" xfId="0" applyFont="1" applyFill="1" applyBorder="1" applyAlignment="1" applyProtection="1">
      <alignment horizontal="center" vertical="center" wrapText="1"/>
      <protection locked="0"/>
    </xf>
    <xf numFmtId="0" fontId="35" fillId="6" borderId="12" xfId="0" applyFont="1" applyFill="1" applyBorder="1" applyAlignment="1" applyProtection="1">
      <alignment horizontal="center" vertical="center" wrapText="1"/>
      <protection locked="0"/>
    </xf>
    <xf numFmtId="0" fontId="26" fillId="5" borderId="0" xfId="0" applyFont="1" applyFill="1" applyAlignment="1">
      <alignment horizontal="left" vertical="top" wrapText="1"/>
    </xf>
    <xf numFmtId="0" fontId="20" fillId="47" borderId="5" xfId="0" applyFont="1" applyFill="1" applyBorder="1" applyAlignment="1">
      <alignment horizontal="center" vertical="center"/>
    </xf>
    <xf numFmtId="0" fontId="20" fillId="47" borderId="6" xfId="0" applyFont="1" applyFill="1" applyBorder="1" applyAlignment="1">
      <alignment horizontal="center" vertical="center"/>
    </xf>
    <xf numFmtId="170" fontId="113" fillId="5" borderId="0" xfId="0" applyNumberFormat="1" applyFont="1" applyFill="1" applyAlignment="1" applyProtection="1">
      <alignment horizontal="center"/>
      <protection locked="0"/>
    </xf>
    <xf numFmtId="0" fontId="113" fillId="5" borderId="0" xfId="0" applyFont="1" applyFill="1" applyAlignment="1">
      <alignment vertical="center"/>
    </xf>
    <xf numFmtId="170" fontId="113" fillId="5" borderId="0" xfId="0" applyNumberFormat="1" applyFont="1" applyFill="1" applyAlignment="1">
      <alignment vertical="center"/>
    </xf>
    <xf numFmtId="0" fontId="144" fillId="47" borderId="4" xfId="0" applyFont="1" applyFill="1" applyBorder="1" applyAlignment="1">
      <alignment horizontal="center" vertical="center"/>
    </xf>
    <xf numFmtId="0" fontId="144" fillId="8" borderId="4" xfId="0" applyFont="1" applyFill="1" applyBorder="1" applyAlignment="1">
      <alignment horizontal="center" vertical="center"/>
    </xf>
    <xf numFmtId="0" fontId="144" fillId="47" borderId="4" xfId="0" applyFont="1" applyFill="1" applyBorder="1" applyAlignment="1">
      <alignment horizontal="left" vertical="center"/>
    </xf>
    <xf numFmtId="0" fontId="144" fillId="47" borderId="4" xfId="0" applyFont="1" applyFill="1" applyBorder="1" applyAlignment="1">
      <alignment horizontal="left"/>
    </xf>
    <xf numFmtId="0" fontId="144" fillId="4" borderId="99" xfId="0" applyFont="1" applyFill="1" applyBorder="1" applyAlignment="1">
      <alignment horizontal="left" vertical="center"/>
    </xf>
    <xf numFmtId="0" fontId="51" fillId="0" borderId="0" xfId="446" applyFont="1" applyAlignment="1">
      <alignment horizontal="left"/>
    </xf>
    <xf numFmtId="0" fontId="126" fillId="0" borderId="0" xfId="446" applyFont="1"/>
    <xf numFmtId="0" fontId="145" fillId="0" borderId="0" xfId="446" applyFont="1"/>
    <xf numFmtId="0" fontId="51" fillId="0" borderId="0" xfId="446" applyFont="1"/>
    <xf numFmtId="0" fontId="145" fillId="47" borderId="4" xfId="446" applyFont="1" applyFill="1" applyBorder="1" applyAlignment="1">
      <alignment horizontal="center" vertical="center" wrapText="1"/>
    </xf>
    <xf numFmtId="0" fontId="146" fillId="5" borderId="4" xfId="421" applyFont="1" applyFill="1" applyBorder="1" applyProtection="1">
      <protection locked="0"/>
    </xf>
    <xf numFmtId="0" fontId="3" fillId="47" borderId="5" xfId="0" applyFont="1" applyFill="1" applyBorder="1" applyAlignment="1">
      <alignment horizontal="left" vertical="center" wrapText="1" indent="1"/>
    </xf>
    <xf numFmtId="1" fontId="9" fillId="0" borderId="11" xfId="0" applyNumberFormat="1" applyFont="1" applyBorder="1" applyAlignment="1">
      <alignment horizontal="center" vertical="center" wrapText="1"/>
    </xf>
    <xf numFmtId="0" fontId="3" fillId="47" borderId="5" xfId="0" applyFont="1" applyFill="1" applyBorder="1" applyAlignment="1">
      <alignment horizontal="left" vertical="center" wrapText="1"/>
    </xf>
    <xf numFmtId="182" fontId="9" fillId="0" borderId="11" xfId="0" applyNumberFormat="1" applyFont="1" applyBorder="1" applyAlignment="1">
      <alignment horizontal="center" vertical="center" wrapText="1"/>
    </xf>
    <xf numFmtId="0" fontId="3" fillId="47" borderId="40" xfId="0" applyFont="1" applyFill="1" applyBorder="1" applyAlignment="1">
      <alignment horizontal="left" vertical="center" wrapText="1"/>
    </xf>
    <xf numFmtId="0" fontId="113" fillId="0" borderId="0" xfId="0" applyFont="1" applyAlignment="1">
      <alignment horizontal="center" vertical="center"/>
    </xf>
    <xf numFmtId="0" fontId="3" fillId="47" borderId="1" xfId="0" applyFont="1" applyFill="1" applyBorder="1" applyAlignment="1">
      <alignment horizontal="left" vertical="center" wrapText="1"/>
    </xf>
    <xf numFmtId="0" fontId="3" fillId="47" borderId="9" xfId="0" applyFont="1" applyFill="1" applyBorder="1" applyAlignment="1">
      <alignment horizontal="left" vertical="center" wrapText="1"/>
    </xf>
    <xf numFmtId="0" fontId="3" fillId="5" borderId="4" xfId="0" applyFont="1" applyFill="1" applyBorder="1" applyAlignment="1">
      <alignment horizontal="left" vertical="center" wrapText="1" indent="1"/>
    </xf>
    <xf numFmtId="0" fontId="89" fillId="0" borderId="0" xfId="0" applyFont="1" applyAlignment="1">
      <alignment horizontal="center" vertical="top" wrapText="1"/>
    </xf>
    <xf numFmtId="0" fontId="147" fillId="0" borderId="0" xfId="0" applyFont="1" applyAlignment="1">
      <alignment horizontal="center" vertical="top" wrapText="1"/>
    </xf>
    <xf numFmtId="1" fontId="9" fillId="5" borderId="4" xfId="0" applyNumberFormat="1" applyFont="1" applyFill="1" applyBorder="1" applyAlignment="1">
      <alignment horizontal="center" vertical="center" wrapText="1"/>
    </xf>
    <xf numFmtId="0" fontId="113" fillId="0" borderId="0" xfId="0" applyFont="1"/>
    <xf numFmtId="0" fontId="3" fillId="0" borderId="0" xfId="0" applyFont="1" applyAlignment="1">
      <alignment vertical="top" wrapText="1"/>
    </xf>
    <xf numFmtId="0" fontId="3" fillId="6" borderId="65" xfId="0" applyFont="1" applyFill="1" applyBorder="1" applyAlignment="1" applyProtection="1">
      <alignment vertical="center" wrapText="1"/>
      <protection locked="0"/>
    </xf>
    <xf numFmtId="1" fontId="9" fillId="6" borderId="4" xfId="0" applyNumberFormat="1" applyFont="1" applyFill="1" applyBorder="1" applyAlignment="1">
      <alignment horizontal="center" vertical="center" wrapText="1"/>
    </xf>
    <xf numFmtId="0" fontId="89" fillId="0" borderId="0" xfId="0" applyFont="1" applyAlignment="1">
      <alignment wrapText="1"/>
    </xf>
    <xf numFmtId="0" fontId="3" fillId="6" borderId="36" xfId="0" applyFont="1" applyFill="1" applyBorder="1" applyAlignment="1" applyProtection="1">
      <alignment horizontal="center" vertical="center"/>
      <protection locked="0"/>
    </xf>
    <xf numFmtId="3" fontId="3" fillId="0" borderId="0" xfId="0" applyNumberFormat="1" applyFont="1" applyAlignment="1">
      <alignment horizontal="center" vertical="center"/>
    </xf>
    <xf numFmtId="4" fontId="3" fillId="0" borderId="0" xfId="0" applyNumberFormat="1" applyFont="1" applyAlignment="1">
      <alignment horizontal="center" vertical="center"/>
    </xf>
    <xf numFmtId="167" fontId="3" fillId="5" borderId="0" xfId="1" applyNumberFormat="1" applyFont="1" applyFill="1" applyBorder="1" applyAlignment="1">
      <alignment vertical="center"/>
    </xf>
    <xf numFmtId="0" fontId="3" fillId="5" borderId="0" xfId="0" applyFont="1" applyFill="1" applyAlignment="1">
      <alignment horizontal="left" vertical="center" indent="1"/>
    </xf>
    <xf numFmtId="0" fontId="3" fillId="0" borderId="4" xfId="0" applyFont="1" applyBorder="1"/>
    <xf numFmtId="0" fontId="89" fillId="0" borderId="0" xfId="0" applyFont="1" applyProtection="1">
      <protection locked="0"/>
    </xf>
    <xf numFmtId="0" fontId="89" fillId="0" borderId="0" xfId="0" applyFont="1" applyAlignment="1" applyProtection="1">
      <alignment vertical="center"/>
      <protection locked="0"/>
    </xf>
    <xf numFmtId="0" fontId="100" fillId="52" borderId="0" xfId="0" applyFont="1" applyFill="1"/>
    <xf numFmtId="0" fontId="89" fillId="0" borderId="0" xfId="0" applyFont="1" applyAlignment="1">
      <alignment vertical="center"/>
    </xf>
    <xf numFmtId="0" fontId="93" fillId="0" borderId="0" xfId="0" applyFont="1"/>
    <xf numFmtId="0" fontId="35" fillId="0" borderId="0" xfId="0" applyFont="1" applyAlignment="1">
      <alignment horizontal="left" indent="1"/>
    </xf>
    <xf numFmtId="0" fontId="114" fillId="0" borderId="0" xfId="0" applyFont="1"/>
    <xf numFmtId="0" fontId="3" fillId="0" borderId="0" xfId="0" applyFont="1" applyAlignment="1">
      <alignment horizontal="left" vertical="center" wrapText="1" indent="1"/>
    </xf>
    <xf numFmtId="0" fontId="3" fillId="5" borderId="0" xfId="0" applyFont="1" applyFill="1" applyAlignment="1">
      <alignment horizontal="left" vertical="center" wrapText="1" indent="1"/>
    </xf>
    <xf numFmtId="0" fontId="89" fillId="0" borderId="0" xfId="0" applyFont="1" applyAlignment="1">
      <alignment horizontal="center"/>
    </xf>
    <xf numFmtId="0" fontId="148" fillId="0" borderId="4" xfId="0" applyFont="1" applyBorder="1"/>
    <xf numFmtId="0" fontId="113" fillId="0" borderId="4" xfId="0" applyFont="1" applyBorder="1"/>
    <xf numFmtId="0" fontId="89" fillId="0" borderId="0" xfId="0" applyFont="1" applyAlignment="1" applyProtection="1">
      <alignment vertical="center" wrapText="1"/>
      <protection locked="0"/>
    </xf>
    <xf numFmtId="0" fontId="3" fillId="0" borderId="0" xfId="0" applyFont="1" applyAlignment="1">
      <alignment horizontal="center" vertical="top"/>
    </xf>
    <xf numFmtId="0" fontId="3" fillId="0" borderId="0" xfId="0" applyFont="1" applyAlignment="1">
      <alignment horizontal="left" vertical="top" wrapText="1" indent="1"/>
    </xf>
    <xf numFmtId="0" fontId="3" fillId="0" borderId="0" xfId="0" applyFont="1" applyAlignment="1">
      <alignment horizontal="right" vertical="center" wrapText="1" indent="2"/>
    </xf>
    <xf numFmtId="0" fontId="3" fillId="0" borderId="0" xfId="0" applyFont="1" applyAlignment="1">
      <alignment horizontal="right" vertical="top"/>
    </xf>
    <xf numFmtId="0" fontId="3" fillId="0" borderId="0" xfId="0" applyFont="1" applyAlignment="1">
      <alignment horizontal="left" vertical="top" indent="1"/>
    </xf>
    <xf numFmtId="0" fontId="112" fillId="0" borderId="0" xfId="0" applyFont="1"/>
    <xf numFmtId="0" fontId="3" fillId="0" borderId="0" xfId="0" applyFont="1" applyAlignment="1">
      <alignment horizontal="left" vertical="center" indent="2"/>
    </xf>
    <xf numFmtId="0" fontId="3" fillId="0" borderId="0" xfId="0" applyFont="1" applyAlignment="1">
      <alignment horizontal="left" vertical="top" indent="2"/>
    </xf>
    <xf numFmtId="0" fontId="89" fillId="0" borderId="0" xfId="0" applyFont="1" applyAlignment="1">
      <alignment vertical="top" wrapText="1"/>
    </xf>
    <xf numFmtId="0" fontId="89" fillId="0" borderId="0" xfId="0" applyFont="1" applyAlignment="1" applyProtection="1">
      <alignment wrapText="1"/>
      <protection locked="0"/>
    </xf>
    <xf numFmtId="0" fontId="3" fillId="0" borderId="0" xfId="0" applyFont="1" applyAlignment="1">
      <alignment horizontal="center" vertical="top" wrapText="1"/>
    </xf>
    <xf numFmtId="0" fontId="21" fillId="0" borderId="0" xfId="0" applyFont="1" applyAlignment="1">
      <alignment horizontal="left"/>
    </xf>
    <xf numFmtId="0" fontId="21" fillId="0" borderId="0" xfId="0" applyFont="1" applyAlignment="1">
      <alignment horizontal="right"/>
    </xf>
    <xf numFmtId="0" fontId="149" fillId="0" borderId="0" xfId="0" applyFont="1" applyAlignment="1">
      <alignment vertical="top"/>
    </xf>
    <xf numFmtId="0" fontId="149" fillId="0" borderId="0" xfId="0" applyFont="1"/>
    <xf numFmtId="0" fontId="3" fillId="5" borderId="10" xfId="0" applyFont="1" applyFill="1" applyBorder="1" applyAlignment="1">
      <alignment horizontal="center" vertical="center" wrapText="1"/>
    </xf>
    <xf numFmtId="0" fontId="3" fillId="47" borderId="6" xfId="0" applyFont="1" applyFill="1" applyBorder="1" applyAlignment="1">
      <alignment vertical="center" wrapText="1"/>
    </xf>
    <xf numFmtId="1" fontId="75" fillId="0" borderId="0" xfId="0" applyNumberFormat="1" applyFont="1" applyAlignment="1">
      <alignment horizontal="center" vertical="center" wrapText="1"/>
    </xf>
    <xf numFmtId="1" fontId="75" fillId="5" borderId="0" xfId="0" applyNumberFormat="1" applyFont="1" applyFill="1" applyAlignment="1">
      <alignment horizontal="center" vertical="center" wrapText="1"/>
    </xf>
    <xf numFmtId="2" fontId="3" fillId="0" borderId="0" xfId="0" applyNumberFormat="1" applyFont="1" applyAlignment="1">
      <alignment vertical="center" wrapText="1"/>
    </xf>
    <xf numFmtId="0" fontId="89" fillId="5" borderId="0" xfId="0" applyFont="1" applyFill="1" applyAlignment="1">
      <alignment horizontal="left"/>
    </xf>
    <xf numFmtId="3" fontId="89" fillId="5" borderId="0" xfId="0" applyNumberFormat="1" applyFont="1" applyFill="1"/>
    <xf numFmtId="4" fontId="89" fillId="5" borderId="0" xfId="0" applyNumberFormat="1" applyFont="1" applyFill="1"/>
    <xf numFmtId="0" fontId="112" fillId="5" borderId="0" xfId="0" applyFont="1" applyFill="1"/>
    <xf numFmtId="0" fontId="89" fillId="47" borderId="4" xfId="0" applyFont="1" applyFill="1" applyBorder="1" applyAlignment="1">
      <alignment vertical="center"/>
    </xf>
    <xf numFmtId="0" fontId="89" fillId="5" borderId="0" xfId="0" applyFont="1" applyFill="1" applyAlignment="1">
      <alignment horizontal="left" vertical="top" wrapText="1"/>
    </xf>
    <xf numFmtId="0" fontId="89" fillId="47" borderId="4" xfId="0" applyFont="1" applyFill="1" applyBorder="1" applyAlignment="1">
      <alignment horizontal="center" vertical="center" wrapText="1"/>
    </xf>
    <xf numFmtId="0" fontId="89" fillId="47" borderId="4" xfId="0" applyFont="1" applyFill="1" applyBorder="1" applyAlignment="1">
      <alignment horizontal="left" vertical="center" wrapText="1"/>
    </xf>
    <xf numFmtId="0" fontId="114" fillId="47" borderId="4" xfId="0" applyFont="1" applyFill="1" applyBorder="1" applyAlignment="1">
      <alignment horizontal="left" vertical="center" wrapText="1"/>
    </xf>
    <xf numFmtId="4" fontId="35" fillId="5" borderId="4" xfId="0" applyNumberFormat="1" applyFont="1" applyFill="1" applyBorder="1" applyAlignment="1">
      <alignment horizontal="center"/>
    </xf>
    <xf numFmtId="0" fontId="149" fillId="5" borderId="0" xfId="0" applyFont="1" applyFill="1"/>
    <xf numFmtId="0" fontId="89" fillId="5" borderId="0" xfId="0" applyFont="1" applyFill="1" applyAlignment="1">
      <alignment horizontal="center" vertical="center"/>
    </xf>
    <xf numFmtId="0" fontId="89" fillId="0" borderId="0" xfId="0" applyFont="1" applyAlignment="1">
      <alignment horizontal="left" vertical="center" wrapText="1"/>
    </xf>
    <xf numFmtId="0" fontId="3" fillId="0" borderId="0" xfId="0" applyFont="1" applyAlignment="1" applyProtection="1">
      <alignment horizontal="left"/>
      <protection locked="0"/>
    </xf>
    <xf numFmtId="0" fontId="3" fillId="6" borderId="36" xfId="0" applyFont="1" applyFill="1" applyBorder="1" applyProtection="1">
      <protection locked="0"/>
    </xf>
    <xf numFmtId="0" fontId="3" fillId="6" borderId="36" xfId="0" applyFont="1" applyFill="1" applyBorder="1" applyAlignment="1" applyProtection="1">
      <alignment vertical="center"/>
      <protection locked="0"/>
    </xf>
    <xf numFmtId="0" fontId="3" fillId="0" borderId="0" xfId="0" applyFont="1" applyAlignment="1">
      <alignment horizontal="center" wrapText="1"/>
    </xf>
    <xf numFmtId="0" fontId="9" fillId="0" borderId="0" xfId="18" applyFont="1" applyAlignment="1">
      <alignment vertical="center"/>
    </xf>
    <xf numFmtId="0" fontId="9" fillId="0" borderId="0" xfId="18" applyFont="1" applyAlignment="1">
      <alignment horizontal="left" vertical="center" wrapText="1"/>
    </xf>
    <xf numFmtId="3" fontId="9" fillId="0" borderId="0" xfId="18" applyNumberFormat="1" applyFont="1" applyAlignment="1">
      <alignment horizontal="left" vertical="center" wrapText="1"/>
    </xf>
    <xf numFmtId="3" fontId="9" fillId="5" borderId="0" xfId="18" applyNumberFormat="1" applyFont="1" applyFill="1" applyAlignment="1">
      <alignment horizontal="left" vertical="center" wrapText="1"/>
    </xf>
    <xf numFmtId="0" fontId="3" fillId="0" borderId="10" xfId="0" applyFont="1" applyBorder="1" applyAlignment="1">
      <alignment horizontal="center" vertical="center"/>
    </xf>
    <xf numFmtId="0" fontId="3" fillId="6" borderId="3" xfId="0" applyFont="1" applyFill="1" applyBorder="1" applyAlignment="1">
      <alignment horizontal="left" vertical="center"/>
    </xf>
    <xf numFmtId="0" fontId="3" fillId="6" borderId="12" xfId="0" applyFont="1" applyFill="1" applyBorder="1" applyAlignment="1">
      <alignment horizontal="left" vertical="center"/>
    </xf>
    <xf numFmtId="0" fontId="3" fillId="6" borderId="11" xfId="0" applyFont="1" applyFill="1" applyBorder="1" applyAlignment="1">
      <alignment horizontal="left" vertical="center"/>
    </xf>
    <xf numFmtId="0" fontId="3" fillId="0" borderId="0" xfId="0" applyFont="1" applyAlignment="1" applyProtection="1">
      <alignment horizontal="left" vertical="center" wrapText="1" indent="1"/>
      <protection locked="0"/>
    </xf>
    <xf numFmtId="0" fontId="89" fillId="0" borderId="0" xfId="0" applyFont="1" applyAlignment="1">
      <alignment horizontal="left" vertical="center" wrapText="1" indent="1"/>
    </xf>
    <xf numFmtId="0" fontId="3" fillId="0" borderId="0" xfId="0" applyFont="1" applyProtection="1">
      <protection locked="0"/>
    </xf>
    <xf numFmtId="10" fontId="35" fillId="0" borderId="0" xfId="0" applyNumberFormat="1" applyFont="1" applyAlignment="1">
      <alignment horizontal="center" vertical="center"/>
    </xf>
    <xf numFmtId="3" fontId="3" fillId="0" borderId="4" xfId="1" applyNumberFormat="1" applyFont="1" applyFill="1" applyBorder="1" applyAlignment="1" applyProtection="1">
      <alignment horizontal="center" vertical="center"/>
    </xf>
    <xf numFmtId="39" fontId="35" fillId="0" borderId="0" xfId="1" applyNumberFormat="1" applyFont="1" applyFill="1" applyBorder="1" applyAlignment="1" applyProtection="1">
      <alignment horizontal="center" vertical="center"/>
    </xf>
    <xf numFmtId="3" fontId="3" fillId="6" borderId="4" xfId="1" applyNumberFormat="1" applyFont="1" applyFill="1" applyBorder="1" applyAlignment="1" applyProtection="1">
      <alignment horizontal="center" vertical="center"/>
      <protection locked="0"/>
    </xf>
    <xf numFmtId="0" fontId="20" fillId="47" borderId="4" xfId="2" applyFont="1" applyFill="1" applyBorder="1" applyAlignment="1">
      <alignment horizontal="left" vertical="center" wrapText="1"/>
    </xf>
    <xf numFmtId="0" fontId="87" fillId="8" borderId="4" xfId="2" applyFont="1" applyFill="1" applyBorder="1" applyAlignment="1">
      <alignment horizontal="left" vertical="center"/>
    </xf>
    <xf numFmtId="0" fontId="21" fillId="8" borderId="4" xfId="2" applyFont="1" applyFill="1" applyBorder="1" applyAlignment="1">
      <alignment horizontal="left" vertical="center"/>
    </xf>
    <xf numFmtId="3" fontId="21" fillId="6" borderId="4" xfId="2" applyNumberFormat="1" applyFont="1" applyFill="1" applyBorder="1" applyAlignment="1" applyProtection="1">
      <alignment horizontal="center" vertical="center"/>
      <protection locked="0"/>
    </xf>
    <xf numFmtId="165" fontId="21" fillId="6" borderId="4" xfId="2" applyNumberFormat="1" applyFont="1" applyFill="1" applyBorder="1" applyAlignment="1" applyProtection="1">
      <alignment horizontal="center" vertical="center"/>
      <protection locked="0"/>
    </xf>
    <xf numFmtId="0" fontId="89" fillId="47" borderId="4" xfId="0" applyFont="1" applyFill="1" applyBorder="1" applyAlignment="1">
      <alignment horizontal="center"/>
    </xf>
    <xf numFmtId="0" fontId="35" fillId="47" borderId="4" xfId="0" applyFont="1" applyFill="1" applyBorder="1" applyAlignment="1">
      <alignment horizontal="center"/>
    </xf>
    <xf numFmtId="2" fontId="35" fillId="6" borderId="4" xfId="0" applyNumberFormat="1" applyFont="1" applyFill="1" applyBorder="1" applyAlignment="1" applyProtection="1">
      <alignment horizontal="center"/>
      <protection locked="0"/>
    </xf>
    <xf numFmtId="0" fontId="35" fillId="47" borderId="40" xfId="0" applyFont="1" applyFill="1" applyBorder="1" applyAlignment="1">
      <alignment horizontal="center" vertical="center" wrapText="1"/>
    </xf>
    <xf numFmtId="0" fontId="35" fillId="47" borderId="5" xfId="0" applyFont="1" applyFill="1" applyBorder="1" applyAlignment="1">
      <alignment horizontal="center" vertical="center" wrapText="1"/>
    </xf>
    <xf numFmtId="0" fontId="21" fillId="6" borderId="3" xfId="0" applyFont="1" applyFill="1" applyBorder="1" applyAlignment="1" applyProtection="1">
      <alignment horizontal="center" vertical="center" wrapText="1"/>
      <protection locked="0"/>
    </xf>
    <xf numFmtId="0" fontId="21" fillId="0" borderId="11" xfId="0" applyFont="1" applyBorder="1" applyAlignment="1">
      <alignment horizontal="center" vertical="center" wrapText="1"/>
    </xf>
    <xf numFmtId="182" fontId="21" fillId="6" borderId="3" xfId="0" applyNumberFormat="1" applyFont="1" applyFill="1" applyBorder="1" applyAlignment="1" applyProtection="1">
      <alignment horizontal="center" vertical="center" wrapText="1"/>
      <protection locked="0"/>
    </xf>
    <xf numFmtId="0" fontId="21" fillId="6" borderId="9" xfId="0" applyFont="1" applyFill="1" applyBorder="1" applyAlignment="1" applyProtection="1">
      <alignment horizontal="center" vertical="center" wrapText="1"/>
      <protection locked="0"/>
    </xf>
    <xf numFmtId="0" fontId="21" fillId="0" borderId="15" xfId="0" applyFont="1" applyBorder="1" applyAlignment="1">
      <alignment horizontal="center" vertical="center" wrapText="1"/>
    </xf>
    <xf numFmtId="0" fontId="21" fillId="0" borderId="40" xfId="0" applyFont="1" applyBorder="1" applyAlignment="1">
      <alignment horizontal="center" vertical="center" wrapText="1"/>
    </xf>
    <xf numFmtId="182" fontId="21" fillId="6" borderId="9" xfId="0" applyNumberFormat="1" applyFont="1" applyFill="1" applyBorder="1" applyAlignment="1" applyProtection="1">
      <alignment horizontal="center" vertical="center" wrapText="1"/>
      <protection locked="0"/>
    </xf>
    <xf numFmtId="0" fontId="3" fillId="6" borderId="4" xfId="0" applyFont="1" applyFill="1" applyBorder="1" applyAlignment="1" applyProtection="1">
      <alignment horizontal="left" wrapText="1"/>
      <protection locked="0"/>
    </xf>
    <xf numFmtId="0" fontId="97" fillId="47" borderId="4" xfId="0" applyFont="1" applyFill="1" applyBorder="1" applyAlignment="1">
      <alignment horizontal="center" vertical="top" wrapText="1"/>
    </xf>
    <xf numFmtId="0" fontId="114" fillId="0" borderId="4" xfId="0" applyFont="1" applyBorder="1" applyAlignment="1">
      <alignment horizontal="center"/>
    </xf>
    <xf numFmtId="3" fontId="35" fillId="6" borderId="4" xfId="0" applyNumberFormat="1" applyFont="1" applyFill="1" applyBorder="1" applyAlignment="1" applyProtection="1">
      <alignment horizontal="center" vertical="center"/>
      <protection locked="0"/>
    </xf>
    <xf numFmtId="4" fontId="21" fillId="6" borderId="4" xfId="0" applyNumberFormat="1" applyFont="1" applyFill="1" applyBorder="1" applyAlignment="1" applyProtection="1">
      <alignment horizontal="center" vertical="center" wrapText="1"/>
      <protection locked="0"/>
    </xf>
    <xf numFmtId="0" fontId="35" fillId="44" borderId="4" xfId="0" applyFont="1" applyFill="1" applyBorder="1" applyAlignment="1">
      <alignment horizontal="center" vertical="center" wrapText="1"/>
    </xf>
    <xf numFmtId="1" fontId="21" fillId="6" borderId="3" xfId="0" applyNumberFormat="1" applyFont="1" applyFill="1" applyBorder="1" applyAlignment="1" applyProtection="1">
      <alignment horizontal="center" vertical="center" wrapText="1"/>
      <protection locked="0"/>
    </xf>
    <xf numFmtId="0" fontId="140" fillId="0" borderId="0" xfId="0" applyFont="1" applyAlignment="1">
      <alignment horizontal="center"/>
    </xf>
    <xf numFmtId="0" fontId="140" fillId="0" borderId="0" xfId="0" applyFont="1" applyAlignment="1">
      <alignment horizontal="center" vertical="center" wrapText="1"/>
    </xf>
    <xf numFmtId="0" fontId="9" fillId="3" borderId="0" xfId="0" applyFont="1" applyFill="1" applyAlignment="1">
      <alignment horizontal="center" vertical="center"/>
    </xf>
    <xf numFmtId="2" fontId="141" fillId="47" borderId="5" xfId="0" applyNumberFormat="1" applyFont="1" applyFill="1" applyBorder="1" applyAlignment="1">
      <alignment horizontal="center" vertical="center"/>
    </xf>
    <xf numFmtId="0" fontId="9" fillId="0" borderId="0" xfId="0" applyFont="1" applyAlignment="1">
      <alignment horizontal="center"/>
    </xf>
    <xf numFmtId="0" fontId="123" fillId="0" borderId="0" xfId="0" applyFont="1" applyAlignment="1">
      <alignment horizontal="center"/>
    </xf>
    <xf numFmtId="0" fontId="3" fillId="47" borderId="4" xfId="0" applyFont="1" applyFill="1" applyBorder="1"/>
    <xf numFmtId="10" fontId="3" fillId="6" borderId="4" xfId="0" applyNumberFormat="1" applyFont="1" applyFill="1" applyBorder="1" applyAlignment="1" applyProtection="1">
      <alignment horizontal="left" vertical="center"/>
      <protection locked="0"/>
    </xf>
    <xf numFmtId="0" fontId="20" fillId="47" borderId="14" xfId="0" applyFont="1" applyFill="1" applyBorder="1" applyAlignment="1">
      <alignment horizontal="center" vertical="center" wrapText="1"/>
    </xf>
    <xf numFmtId="0" fontId="9" fillId="47" borderId="40" xfId="0" applyFont="1" applyFill="1" applyBorder="1" applyAlignment="1">
      <alignment horizontal="center" vertical="center" wrapText="1"/>
    </xf>
    <xf numFmtId="0" fontId="21" fillId="6" borderId="4" xfId="0" applyFont="1" applyFill="1" applyBorder="1" applyAlignment="1" applyProtection="1">
      <alignment horizontal="left" vertical="center" wrapText="1"/>
      <protection locked="0"/>
    </xf>
    <xf numFmtId="0" fontId="0" fillId="6" borderId="4" xfId="0" applyFill="1" applyBorder="1" applyAlignment="1" applyProtection="1">
      <alignment horizontal="center"/>
      <protection locked="0"/>
    </xf>
    <xf numFmtId="0" fontId="89" fillId="0" borderId="0" xfId="0" applyFont="1" applyAlignment="1" applyProtection="1">
      <alignment horizontal="center"/>
      <protection locked="0"/>
    </xf>
    <xf numFmtId="0" fontId="21" fillId="6" borderId="11" xfId="0" applyFont="1" applyFill="1" applyBorder="1" applyAlignment="1" applyProtection="1">
      <alignment vertical="center" wrapText="1"/>
      <protection locked="0"/>
    </xf>
    <xf numFmtId="1" fontId="21" fillId="6" borderId="4" xfId="0" applyNumberFormat="1" applyFont="1" applyFill="1" applyBorder="1" applyAlignment="1" applyProtection="1">
      <alignment horizontal="center" vertical="center" wrapText="1"/>
      <protection locked="0"/>
    </xf>
    <xf numFmtId="0" fontId="9" fillId="47" borderId="9" xfId="0" applyFont="1" applyFill="1" applyBorder="1" applyAlignment="1">
      <alignment horizontal="center" vertical="center" wrapText="1"/>
    </xf>
    <xf numFmtId="3" fontId="21" fillId="0" borderId="4" xfId="2" applyNumberFormat="1" applyFont="1" applyBorder="1" applyAlignment="1">
      <alignment horizontal="left" vertical="center" wrapText="1" indent="1"/>
    </xf>
    <xf numFmtId="49" fontId="9" fillId="47" borderId="4" xfId="2" applyNumberFormat="1" applyFill="1" applyBorder="1" applyAlignment="1">
      <alignment horizontal="center" vertical="center" wrapText="1"/>
    </xf>
    <xf numFmtId="164" fontId="21" fillId="0" borderId="4" xfId="10" applyNumberFormat="1" applyFont="1" applyFill="1" applyBorder="1" applyAlignment="1">
      <alignment horizontal="center" vertical="center"/>
    </xf>
    <xf numFmtId="3" fontId="21" fillId="0" borderId="4" xfId="2" applyNumberFormat="1" applyFont="1" applyBorder="1" applyAlignment="1">
      <alignment horizontal="left" vertical="center" indent="1"/>
    </xf>
    <xf numFmtId="168" fontId="21" fillId="5" borderId="4" xfId="2" applyNumberFormat="1" applyFont="1" applyFill="1" applyBorder="1" applyAlignment="1">
      <alignment horizontal="right" vertical="center"/>
    </xf>
    <xf numFmtId="3" fontId="21" fillId="6" borderId="4" xfId="2" applyNumberFormat="1" applyFont="1" applyFill="1" applyBorder="1" applyAlignment="1" applyProtection="1">
      <alignment horizontal="left" vertical="center" wrapText="1"/>
      <protection locked="0"/>
    </xf>
    <xf numFmtId="0" fontId="21" fillId="6" borderId="4" xfId="2" applyFont="1" applyFill="1" applyBorder="1" applyAlignment="1" applyProtection="1">
      <alignment horizontal="left" vertical="center" wrapText="1"/>
      <protection locked="0"/>
    </xf>
    <xf numFmtId="171" fontId="21" fillId="0" borderId="112" xfId="1" applyNumberFormat="1" applyFont="1" applyFill="1" applyBorder="1" applyAlignment="1" applyProtection="1">
      <alignment horizontal="right" vertical="center"/>
    </xf>
    <xf numFmtId="2" fontId="0" fillId="0" borderId="65" xfId="0" applyNumberFormat="1" applyBorder="1"/>
    <xf numFmtId="39" fontId="3" fillId="5" borderId="4" xfId="1" applyNumberFormat="1" applyFont="1" applyFill="1" applyBorder="1" applyAlignment="1" applyProtection="1">
      <alignment horizontal="center" vertical="center"/>
      <protection locked="0"/>
    </xf>
    <xf numFmtId="0" fontId="136" fillId="0" borderId="0" xfId="0" applyFont="1" applyAlignment="1">
      <alignment vertical="top" wrapText="1"/>
    </xf>
    <xf numFmtId="37" fontId="3" fillId="6" borderId="4" xfId="1" applyNumberFormat="1" applyFont="1" applyFill="1" applyBorder="1" applyAlignment="1" applyProtection="1">
      <alignment horizontal="center" vertical="center"/>
      <protection locked="0"/>
    </xf>
    <xf numFmtId="0" fontId="9" fillId="0" borderId="0" xfId="13" applyAlignment="1">
      <alignment horizontal="left" wrapText="1"/>
    </xf>
    <xf numFmtId="193" fontId="9" fillId="6" borderId="65" xfId="2" applyNumberFormat="1" applyFill="1" applyBorder="1" applyAlignment="1" applyProtection="1">
      <alignment vertical="center"/>
      <protection locked="0"/>
    </xf>
    <xf numFmtId="0" fontId="30" fillId="5" borderId="0" xfId="0" applyFont="1" applyFill="1" applyAlignment="1">
      <alignment horizontal="left" vertical="center" wrapText="1"/>
    </xf>
    <xf numFmtId="0" fontId="30" fillId="5" borderId="10" xfId="0" applyFont="1" applyFill="1" applyBorder="1" applyAlignment="1">
      <alignment horizontal="left" vertical="center" wrapText="1"/>
    </xf>
    <xf numFmtId="0" fontId="30" fillId="0" borderId="0" xfId="0" applyFont="1" applyAlignment="1">
      <alignment vertical="center" wrapText="1"/>
    </xf>
    <xf numFmtId="1" fontId="9" fillId="5" borderId="4" xfId="0" applyNumberFormat="1" applyFont="1" applyFill="1" applyBorder="1" applyAlignment="1" applyProtection="1">
      <alignment horizontal="center" vertical="center" wrapText="1"/>
      <protection locked="0"/>
    </xf>
    <xf numFmtId="43" fontId="21" fillId="6" borderId="12" xfId="1" applyFont="1" applyFill="1" applyBorder="1" applyAlignment="1" applyProtection="1">
      <alignment horizontal="center" vertical="center" wrapText="1"/>
      <protection locked="0"/>
    </xf>
    <xf numFmtId="43" fontId="21" fillId="0" borderId="11" xfId="1" applyFont="1" applyFill="1" applyBorder="1" applyAlignment="1" applyProtection="1">
      <alignment horizontal="center" vertical="center" wrapText="1"/>
      <protection locked="0"/>
    </xf>
    <xf numFmtId="43" fontId="21" fillId="6" borderId="11" xfId="1" applyFont="1" applyFill="1" applyBorder="1" applyAlignment="1" applyProtection="1">
      <alignment horizontal="center" vertical="center" wrapText="1"/>
      <protection locked="0"/>
    </xf>
    <xf numFmtId="43" fontId="21" fillId="5" borderId="11" xfId="1" applyFont="1" applyFill="1" applyBorder="1" applyAlignment="1">
      <alignment horizontal="center" vertical="center" wrapText="1"/>
    </xf>
    <xf numFmtId="43" fontId="21" fillId="5" borderId="11" xfId="1" applyFont="1" applyFill="1" applyBorder="1" applyAlignment="1" applyProtection="1">
      <alignment horizontal="center" vertical="center"/>
      <protection locked="0"/>
    </xf>
    <xf numFmtId="43" fontId="21" fillId="5" borderId="11" xfId="1" applyFont="1" applyFill="1" applyBorder="1" applyAlignment="1" applyProtection="1">
      <alignment horizontal="center" vertical="center" wrapText="1"/>
      <protection locked="0"/>
    </xf>
    <xf numFmtId="43" fontId="21" fillId="5" borderId="3" xfId="1" applyFont="1" applyFill="1" applyBorder="1" applyAlignment="1">
      <alignment horizontal="center" vertical="center" wrapText="1"/>
    </xf>
    <xf numFmtId="43" fontId="9" fillId="5" borderId="4" xfId="1" applyFont="1" applyFill="1" applyBorder="1" applyAlignment="1">
      <alignment horizontal="center" vertical="center"/>
    </xf>
    <xf numFmtId="43" fontId="21" fillId="5" borderId="4" xfId="1" applyFont="1" applyFill="1" applyBorder="1" applyAlignment="1">
      <alignment horizontal="center" vertical="center" wrapText="1"/>
    </xf>
    <xf numFmtId="43" fontId="21" fillId="6" borderId="4" xfId="1" applyFont="1" applyFill="1" applyBorder="1" applyAlignment="1" applyProtection="1">
      <alignment horizontal="center" vertical="center" wrapText="1"/>
      <protection locked="0"/>
    </xf>
    <xf numFmtId="43" fontId="21" fillId="0" borderId="4" xfId="1" applyFont="1" applyFill="1" applyBorder="1" applyAlignment="1">
      <alignment horizontal="center" vertical="center" wrapText="1"/>
    </xf>
    <xf numFmtId="43" fontId="9" fillId="0" borderId="0" xfId="1" applyFont="1" applyAlignment="1">
      <alignment vertical="center" wrapText="1"/>
    </xf>
    <xf numFmtId="43" fontId="3" fillId="7" borderId="0" xfId="1" applyFont="1" applyFill="1" applyAlignment="1">
      <alignment horizontal="center" vertical="center" wrapText="1"/>
    </xf>
    <xf numFmtId="43" fontId="140" fillId="7" borderId="0" xfId="1" applyFont="1" applyFill="1" applyAlignment="1">
      <alignment horizontal="center" vertical="center" wrapText="1"/>
    </xf>
    <xf numFmtId="43" fontId="9" fillId="0" borderId="0" xfId="1" applyFont="1" applyBorder="1"/>
    <xf numFmtId="43" fontId="3" fillId="0" borderId="0" xfId="1" applyFont="1" applyBorder="1" applyAlignment="1">
      <alignment horizontal="center"/>
    </xf>
    <xf numFmtId="43" fontId="140" fillId="0" borderId="0" xfId="1" applyFont="1" applyBorder="1" applyAlignment="1">
      <alignment horizontal="center"/>
    </xf>
    <xf numFmtId="43" fontId="9" fillId="0" borderId="0" xfId="1" applyFont="1" applyBorder="1" applyAlignment="1">
      <alignment horizontal="center"/>
    </xf>
    <xf numFmtId="43" fontId="9" fillId="0" borderId="0" xfId="1" applyFont="1" applyBorder="1" applyAlignment="1">
      <alignment horizontal="center" vertical="center"/>
    </xf>
    <xf numFmtId="43" fontId="89" fillId="0" borderId="0" xfId="1" applyFont="1" applyBorder="1" applyAlignment="1">
      <alignment horizontal="center" vertical="top" wrapText="1"/>
    </xf>
    <xf numFmtId="43" fontId="147" fillId="0" borderId="0" xfId="1" applyFont="1" applyBorder="1" applyAlignment="1">
      <alignment horizontal="center" vertical="top" wrapText="1"/>
    </xf>
    <xf numFmtId="43" fontId="3" fillId="0" borderId="0" xfId="1" applyFont="1" applyBorder="1" applyAlignment="1">
      <alignment horizontal="center" vertical="top" wrapText="1"/>
    </xf>
    <xf numFmtId="43" fontId="113" fillId="0" borderId="0" xfId="1" applyFont="1" applyBorder="1" applyAlignment="1">
      <alignment horizontal="center" vertical="top" wrapText="1"/>
    </xf>
    <xf numFmtId="43" fontId="140" fillId="0" borderId="0" xfId="1" applyFont="1" applyAlignment="1">
      <alignment horizontal="center" vertical="center" wrapText="1"/>
    </xf>
    <xf numFmtId="43" fontId="9" fillId="0" borderId="0" xfId="1" applyFont="1" applyAlignment="1">
      <alignment horizontal="center" vertical="center" wrapText="1"/>
    </xf>
    <xf numFmtId="43" fontId="9" fillId="3" borderId="0" xfId="1" applyFont="1" applyFill="1" applyAlignment="1">
      <alignment horizontal="center" vertical="center" wrapText="1"/>
    </xf>
    <xf numFmtId="43" fontId="20" fillId="3" borderId="0" xfId="1" applyFont="1" applyFill="1" applyBorder="1" applyAlignment="1">
      <alignment horizontal="center" vertical="top"/>
    </xf>
    <xf numFmtId="43" fontId="9" fillId="0" borderId="0" xfId="1" applyFont="1" applyAlignment="1">
      <alignment horizontal="center" vertical="center"/>
    </xf>
    <xf numFmtId="43" fontId="3" fillId="0" borderId="0" xfId="1" applyFont="1" applyAlignment="1">
      <alignment horizontal="center" vertical="center"/>
    </xf>
    <xf numFmtId="43" fontId="141" fillId="47" borderId="6" xfId="1" applyFont="1" applyFill="1" applyBorder="1" applyAlignment="1" applyProtection="1">
      <alignment horizontal="center" vertical="center"/>
    </xf>
    <xf numFmtId="43" fontId="141" fillId="47" borderId="13" xfId="1" applyFont="1" applyFill="1" applyBorder="1" applyAlignment="1" applyProtection="1">
      <alignment horizontal="center" vertical="center"/>
    </xf>
    <xf numFmtId="43" fontId="9" fillId="6" borderId="4" xfId="1" applyFont="1" applyFill="1" applyBorder="1" applyAlignment="1" applyProtection="1">
      <alignment horizontal="center" vertical="center" wrapText="1"/>
      <protection locked="0"/>
    </xf>
    <xf numFmtId="43" fontId="9" fillId="0" borderId="7" xfId="1" applyFont="1" applyBorder="1" applyAlignment="1">
      <alignment horizontal="center" vertical="center"/>
    </xf>
    <xf numFmtId="43" fontId="142" fillId="47" borderId="5" xfId="1" applyFont="1" applyFill="1" applyBorder="1" applyAlignment="1" applyProtection="1">
      <alignment horizontal="center" vertical="center" wrapText="1"/>
    </xf>
    <xf numFmtId="43" fontId="21" fillId="0" borderId="4" xfId="1" applyFont="1" applyFill="1" applyBorder="1" applyAlignment="1" applyProtection="1">
      <alignment horizontal="center" vertical="center" wrapText="1"/>
      <protection locked="0"/>
    </xf>
    <xf numFmtId="43" fontId="21" fillId="5" borderId="4" xfId="1" applyFont="1" applyFill="1" applyBorder="1" applyAlignment="1" applyProtection="1">
      <alignment horizontal="center" vertical="center" wrapText="1"/>
    </xf>
    <xf numFmtId="43" fontId="21" fillId="0" borderId="12" xfId="1" applyFont="1" applyFill="1" applyBorder="1" applyAlignment="1" applyProtection="1">
      <alignment horizontal="center" vertical="center"/>
    </xf>
    <xf numFmtId="43" fontId="21" fillId="5" borderId="4" xfId="1" applyFont="1" applyFill="1" applyBorder="1" applyAlignment="1" applyProtection="1">
      <alignment horizontal="center" vertical="center" wrapText="1"/>
      <protection locked="0"/>
    </xf>
    <xf numFmtId="43" fontId="9" fillId="0" borderId="0" xfId="1" applyFont="1"/>
    <xf numFmtId="43" fontId="3" fillId="0" borderId="0" xfId="1" applyFont="1" applyAlignment="1">
      <alignment horizontal="center"/>
    </xf>
    <xf numFmtId="43" fontId="140" fillId="0" borderId="2" xfId="1" applyFont="1" applyBorder="1" applyAlignment="1">
      <alignment horizontal="center" vertical="center"/>
    </xf>
    <xf numFmtId="43" fontId="140" fillId="0" borderId="0" xfId="1" applyFont="1" applyAlignment="1">
      <alignment horizontal="center"/>
    </xf>
    <xf numFmtId="43" fontId="9" fillId="0" borderId="0" xfId="1" applyFont="1" applyAlignment="1">
      <alignment horizontal="center"/>
    </xf>
    <xf numFmtId="43" fontId="9" fillId="47" borderId="4" xfId="1" applyFont="1" applyFill="1" applyBorder="1" applyAlignment="1">
      <alignment horizontal="center" vertical="center"/>
    </xf>
    <xf numFmtId="43" fontId="9" fillId="47" borderId="4" xfId="1" applyFont="1" applyFill="1" applyBorder="1" applyAlignment="1">
      <alignment vertical="center"/>
    </xf>
    <xf numFmtId="43" fontId="9" fillId="0" borderId="4" xfId="1" applyFont="1" applyBorder="1" applyAlignment="1">
      <alignment horizontal="center" vertical="center"/>
    </xf>
    <xf numFmtId="43" fontId="9" fillId="47" borderId="4" xfId="1" applyFont="1" applyFill="1" applyBorder="1" applyAlignment="1">
      <alignment horizontal="center" vertical="center" wrapText="1"/>
    </xf>
    <xf numFmtId="43" fontId="9" fillId="47" borderId="4" xfId="1" applyFont="1" applyFill="1" applyBorder="1" applyAlignment="1">
      <alignment horizontal="centerContinuous" vertical="center" wrapText="1"/>
    </xf>
    <xf numFmtId="43" fontId="20" fillId="47" borderId="4" xfId="1" applyFont="1" applyFill="1" applyBorder="1" applyAlignment="1">
      <alignment horizontal="center" vertical="center"/>
    </xf>
    <xf numFmtId="43" fontId="9" fillId="0" borderId="4" xfId="1" applyFont="1" applyFill="1" applyBorder="1" applyAlignment="1">
      <alignment horizontal="centerContinuous" vertical="center"/>
    </xf>
    <xf numFmtId="43" fontId="9" fillId="0" borderId="4" xfId="1" applyFont="1" applyFill="1" applyBorder="1" applyAlignment="1">
      <alignment horizontal="center" vertical="center"/>
    </xf>
    <xf numFmtId="43" fontId="9" fillId="47" borderId="4" xfId="1" applyFont="1" applyFill="1" applyBorder="1" applyAlignment="1">
      <alignment horizontal="centerContinuous" vertical="center"/>
    </xf>
    <xf numFmtId="43" fontId="21" fillId="47" borderId="1" xfId="1" applyFont="1" applyFill="1" applyBorder="1" applyAlignment="1" applyProtection="1">
      <alignment horizontal="center" vertical="center" wrapText="1"/>
      <protection locked="0"/>
    </xf>
    <xf numFmtId="43" fontId="21" fillId="47" borderId="14" xfId="1" applyFont="1" applyFill="1" applyBorder="1" applyAlignment="1" applyProtection="1">
      <alignment horizontal="center" vertical="center" wrapText="1"/>
    </xf>
    <xf numFmtId="43" fontId="9" fillId="47" borderId="5" xfId="1" applyFont="1" applyFill="1" applyBorder="1" applyAlignment="1" applyProtection="1">
      <alignment horizontal="center" vertical="center"/>
    </xf>
    <xf numFmtId="43" fontId="9" fillId="0" borderId="11" xfId="1" applyFont="1" applyFill="1" applyBorder="1" applyAlignment="1">
      <alignment horizontal="center" vertical="center" wrapText="1"/>
    </xf>
    <xf numFmtId="43" fontId="21" fillId="47" borderId="9" xfId="1" applyFont="1" applyFill="1" applyBorder="1" applyAlignment="1" applyProtection="1">
      <alignment horizontal="center" vertical="center" wrapText="1"/>
      <protection locked="0"/>
    </xf>
    <xf numFmtId="43" fontId="21" fillId="47" borderId="15" xfId="1" applyFont="1" applyFill="1" applyBorder="1" applyAlignment="1" applyProtection="1">
      <alignment horizontal="center" vertical="center" wrapText="1"/>
    </xf>
    <xf numFmtId="43" fontId="9" fillId="47" borderId="40" xfId="1" applyFont="1" applyFill="1" applyBorder="1" applyAlignment="1" applyProtection="1">
      <alignment horizontal="center" vertical="center"/>
    </xf>
    <xf numFmtId="43" fontId="21" fillId="47" borderId="0" xfId="1" applyFont="1" applyFill="1" applyBorder="1" applyAlignment="1" applyProtection="1">
      <alignment horizontal="center" vertical="center" wrapText="1"/>
    </xf>
    <xf numFmtId="43" fontId="9" fillId="0" borderId="11" xfId="1" applyFont="1" applyFill="1" applyBorder="1" applyAlignment="1" applyProtection="1">
      <alignment horizontal="center" vertical="center" wrapText="1"/>
      <protection locked="0"/>
    </xf>
    <xf numFmtId="43" fontId="21" fillId="47" borderId="10" xfId="1" applyFont="1" applyFill="1" applyBorder="1" applyAlignment="1" applyProtection="1">
      <alignment horizontal="center" vertical="center" wrapText="1"/>
    </xf>
    <xf numFmtId="43" fontId="21" fillId="47" borderId="1" xfId="1" applyFont="1" applyFill="1" applyBorder="1" applyAlignment="1" applyProtection="1">
      <alignment horizontal="center" vertical="center"/>
    </xf>
    <xf numFmtId="43" fontId="21" fillId="47" borderId="14" xfId="1" applyFont="1" applyFill="1" applyBorder="1" applyAlignment="1" applyProtection="1">
      <alignment horizontal="center" vertical="center"/>
    </xf>
    <xf numFmtId="43" fontId="21" fillId="47" borderId="9" xfId="1" applyFont="1" applyFill="1" applyBorder="1" applyAlignment="1" applyProtection="1">
      <alignment horizontal="center" vertical="center"/>
    </xf>
    <xf numFmtId="43" fontId="21" fillId="47" borderId="15" xfId="1" applyFont="1" applyFill="1" applyBorder="1" applyAlignment="1" applyProtection="1">
      <alignment horizontal="center" vertical="center"/>
    </xf>
    <xf numFmtId="0" fontId="0" fillId="5" borderId="0" xfId="0" applyFill="1" applyAlignment="1">
      <alignment horizontal="left" wrapText="1"/>
    </xf>
    <xf numFmtId="0" fontId="21" fillId="6" borderId="4" xfId="2" applyFont="1" applyFill="1" applyBorder="1" applyAlignment="1" applyProtection="1">
      <alignment horizontal="left" vertical="center"/>
      <protection locked="0"/>
    </xf>
    <xf numFmtId="10" fontId="9" fillId="6" borderId="165" xfId="0" applyNumberFormat="1" applyFont="1" applyFill="1" applyBorder="1" applyAlignment="1" applyProtection="1">
      <alignment horizontal="left" vertical="center"/>
      <protection locked="0"/>
    </xf>
    <xf numFmtId="0" fontId="35" fillId="47" borderId="4" xfId="0" applyFont="1" applyFill="1" applyBorder="1" applyAlignment="1">
      <alignment horizontal="center" vertical="center"/>
    </xf>
    <xf numFmtId="2" fontId="35" fillId="47" borderId="4" xfId="0" applyNumberFormat="1" applyFont="1" applyFill="1" applyBorder="1" applyAlignment="1">
      <alignment horizontal="center" vertical="center" wrapText="1"/>
    </xf>
    <xf numFmtId="0" fontId="40" fillId="5" borderId="0" xfId="0" applyFont="1" applyFill="1" applyAlignment="1">
      <alignment horizontal="center"/>
    </xf>
    <xf numFmtId="168" fontId="35" fillId="5" borderId="4" xfId="0" applyNumberFormat="1" applyFont="1" applyFill="1" applyBorder="1" applyAlignment="1">
      <alignment horizontal="center" vertical="center" wrapText="1"/>
    </xf>
    <xf numFmtId="0" fontId="89" fillId="5" borderId="0" xfId="0" applyFont="1" applyFill="1" applyAlignment="1">
      <alignment horizontal="center"/>
    </xf>
    <xf numFmtId="0" fontId="35" fillId="6" borderId="4" xfId="0" applyFont="1" applyFill="1" applyBorder="1" applyAlignment="1" applyProtection="1">
      <alignment vertical="center" wrapText="1"/>
      <protection locked="0"/>
    </xf>
    <xf numFmtId="4" fontId="21" fillId="6" borderId="4" xfId="0" applyNumberFormat="1" applyFont="1" applyFill="1" applyBorder="1" applyAlignment="1" applyProtection="1">
      <alignment horizontal="right" vertical="center" wrapText="1"/>
      <protection locked="0"/>
    </xf>
    <xf numFmtId="3" fontId="35" fillId="0" borderId="4" xfId="0" applyNumberFormat="1" applyFont="1" applyBorder="1" applyAlignment="1">
      <alignment horizontal="center" vertical="center"/>
    </xf>
    <xf numFmtId="4" fontId="21" fillId="0" borderId="4" xfId="0" applyNumberFormat="1" applyFont="1" applyBorder="1" applyAlignment="1">
      <alignment horizontal="center" vertical="center"/>
    </xf>
    <xf numFmtId="0" fontId="28" fillId="47" borderId="4" xfId="0" applyFont="1" applyFill="1" applyBorder="1" applyAlignment="1">
      <alignment vertical="center"/>
    </xf>
    <xf numFmtId="0" fontId="28" fillId="47" borderId="3" xfId="0" applyFont="1" applyFill="1" applyBorder="1" applyAlignment="1">
      <alignment vertical="center"/>
    </xf>
    <xf numFmtId="0" fontId="28" fillId="47" borderId="12" xfId="0" applyFont="1" applyFill="1" applyBorder="1" applyAlignment="1">
      <alignment vertical="center"/>
    </xf>
    <xf numFmtId="0" fontId="28" fillId="47" borderId="11" xfId="0" applyFont="1" applyFill="1" applyBorder="1" applyAlignment="1">
      <alignment vertical="center"/>
    </xf>
    <xf numFmtId="0" fontId="30" fillId="4" borderId="4" xfId="0" applyFont="1" applyFill="1" applyBorder="1" applyAlignment="1">
      <alignment horizontal="center" vertical="center" wrapText="1"/>
    </xf>
    <xf numFmtId="0" fontId="89" fillId="6" borderId="4" xfId="0" applyFont="1" applyFill="1" applyBorder="1" applyAlignment="1" applyProtection="1">
      <alignment horizontal="left" wrapText="1"/>
      <protection locked="0"/>
    </xf>
    <xf numFmtId="0" fontId="89" fillId="6" borderId="4" xfId="0" applyFont="1" applyFill="1" applyBorder="1" applyAlignment="1" applyProtection="1">
      <alignment horizontal="center" vertical="center" wrapText="1"/>
      <protection locked="0"/>
    </xf>
    <xf numFmtId="0" fontId="89" fillId="0" borderId="0" xfId="444" applyFont="1" applyAlignment="1">
      <alignment wrapText="1"/>
    </xf>
    <xf numFmtId="0" fontId="89" fillId="0" borderId="0" xfId="444" applyFont="1" applyAlignment="1" applyProtection="1">
      <alignment wrapText="1"/>
      <protection locked="0"/>
    </xf>
    <xf numFmtId="43" fontId="3" fillId="0" borderId="0" xfId="444" applyNumberFormat="1" applyFont="1" applyAlignment="1">
      <alignment vertical="center" wrapText="1"/>
    </xf>
    <xf numFmtId="0" fontId="3" fillId="0" borderId="0" xfId="444" applyFont="1" applyAlignment="1">
      <alignment wrapText="1"/>
    </xf>
    <xf numFmtId="0" fontId="31" fillId="5" borderId="0" xfId="0" applyFont="1" applyFill="1" applyAlignment="1">
      <alignment vertical="center" wrapText="1"/>
    </xf>
    <xf numFmtId="0" fontId="0" fillId="6" borderId="4" xfId="0" applyFill="1" applyBorder="1" applyAlignment="1" applyProtection="1">
      <alignment horizontal="left" wrapText="1"/>
      <protection locked="0"/>
    </xf>
    <xf numFmtId="0" fontId="89" fillId="5" borderId="0" xfId="0" applyFont="1" applyFill="1" applyAlignment="1">
      <alignment horizontal="left" wrapText="1"/>
    </xf>
    <xf numFmtId="0" fontId="93" fillId="5" borderId="0" xfId="0" applyFont="1" applyFill="1" applyAlignment="1">
      <alignment horizontal="left" wrapText="1"/>
    </xf>
    <xf numFmtId="0" fontId="21" fillId="6" borderId="4" xfId="1" applyNumberFormat="1" applyFont="1" applyFill="1" applyBorder="1" applyAlignment="1" applyProtection="1">
      <alignment horizontal="center" vertical="center" wrapText="1"/>
      <protection locked="0"/>
    </xf>
    <xf numFmtId="2" fontId="21" fillId="6" borderId="4" xfId="1" applyNumberFormat="1" applyFont="1" applyFill="1" applyBorder="1" applyAlignment="1" applyProtection="1">
      <alignment horizontal="center" vertical="center" wrapText="1"/>
      <protection locked="0"/>
    </xf>
    <xf numFmtId="176" fontId="21" fillId="44" borderId="4" xfId="2" applyNumberFormat="1" applyFont="1" applyFill="1" applyBorder="1" applyAlignment="1">
      <alignment horizontal="right" vertical="center"/>
    </xf>
    <xf numFmtId="176" fontId="21" fillId="6" borderId="4" xfId="2" applyNumberFormat="1" applyFont="1" applyFill="1" applyBorder="1" applyAlignment="1" applyProtection="1">
      <alignment horizontal="right" vertical="center"/>
      <protection locked="0"/>
    </xf>
    <xf numFmtId="0" fontId="21" fillId="6" borderId="12" xfId="1" applyNumberFormat="1" applyFont="1" applyFill="1" applyBorder="1" applyAlignment="1" applyProtection="1">
      <alignment horizontal="center" vertical="center"/>
      <protection locked="0"/>
    </xf>
    <xf numFmtId="0" fontId="9" fillId="6" borderId="4" xfId="2" applyFill="1" applyBorder="1" applyAlignment="1" applyProtection="1">
      <alignment horizontal="center" vertical="center" wrapText="1"/>
      <protection locked="0"/>
    </xf>
    <xf numFmtId="0" fontId="141" fillId="47" borderId="5" xfId="0" applyFont="1" applyFill="1" applyBorder="1" applyAlignment="1">
      <alignment horizontal="center" vertical="center"/>
    </xf>
    <xf numFmtId="0" fontId="9" fillId="47" borderId="6" xfId="0" applyFont="1" applyFill="1" applyBorder="1" applyAlignment="1">
      <alignment vertical="center" wrapText="1"/>
    </xf>
    <xf numFmtId="0" fontId="139" fillId="5" borderId="4" xfId="0" applyFont="1" applyFill="1" applyBorder="1" applyAlignment="1">
      <alignment horizontal="left" vertical="center" wrapText="1" indent="1"/>
    </xf>
    <xf numFmtId="0" fontId="21" fillId="5" borderId="4" xfId="0" applyFont="1" applyFill="1" applyBorder="1" applyAlignment="1">
      <alignment horizontal="left" vertical="center" wrapText="1" indent="1"/>
    </xf>
    <xf numFmtId="3" fontId="17" fillId="47" borderId="3" xfId="0" applyNumberFormat="1" applyFont="1" applyFill="1" applyBorder="1" applyAlignment="1">
      <alignment horizontal="left" vertical="center" wrapText="1" indent="1"/>
    </xf>
    <xf numFmtId="3" fontId="17" fillId="47" borderId="3" xfId="0" applyNumberFormat="1" applyFont="1" applyFill="1" applyBorder="1" applyAlignment="1" applyProtection="1">
      <alignment horizontal="left" vertical="center" wrapText="1" indent="1"/>
      <protection locked="0"/>
    </xf>
    <xf numFmtId="14" fontId="0" fillId="0" borderId="0" xfId="0" applyNumberFormat="1" applyAlignment="1">
      <alignment horizontal="center" vertical="center"/>
    </xf>
    <xf numFmtId="0" fontId="152" fillId="0" borderId="0" xfId="0" applyFont="1"/>
    <xf numFmtId="0" fontId="152" fillId="0" borderId="0" xfId="0" applyFont="1" applyAlignment="1">
      <alignment wrapText="1"/>
    </xf>
    <xf numFmtId="0" fontId="152" fillId="0" borderId="0" xfId="0" applyFont="1" applyAlignment="1">
      <alignment vertical="top" wrapText="1"/>
    </xf>
    <xf numFmtId="0" fontId="136" fillId="0" borderId="0" xfId="0" applyFont="1" applyAlignment="1">
      <alignment wrapText="1"/>
    </xf>
    <xf numFmtId="0" fontId="152" fillId="0" borderId="0" xfId="0" applyFont="1" applyAlignment="1">
      <alignment horizontal="left" wrapText="1" indent="1"/>
    </xf>
    <xf numFmtId="0" fontId="28" fillId="8" borderId="39" xfId="0" applyFont="1" applyFill="1" applyBorder="1" applyAlignment="1">
      <alignment horizontal="center" vertical="center" wrapText="1"/>
    </xf>
    <xf numFmtId="0" fontId="3" fillId="6" borderId="4" xfId="0" applyFont="1" applyFill="1" applyBorder="1" applyAlignment="1" applyProtection="1">
      <alignment vertical="center" wrapText="1"/>
      <protection locked="0"/>
    </xf>
    <xf numFmtId="0" fontId="0" fillId="0" borderId="0" xfId="0" quotePrefix="1" applyAlignment="1">
      <alignment wrapText="1"/>
    </xf>
    <xf numFmtId="0" fontId="12" fillId="0" borderId="65" xfId="0" applyFont="1" applyBorder="1" applyAlignment="1">
      <alignment horizontal="center"/>
    </xf>
    <xf numFmtId="0" fontId="3" fillId="6" borderId="4" xfId="0" applyFont="1" applyFill="1" applyBorder="1" applyAlignment="1" applyProtection="1">
      <alignment horizontal="left" vertical="center" wrapText="1"/>
      <protection locked="0"/>
    </xf>
    <xf numFmtId="0" fontId="20" fillId="3" borderId="6" xfId="0" applyFont="1" applyFill="1" applyBorder="1" applyAlignment="1">
      <alignment horizontal="center" vertical="center" wrapText="1"/>
    </xf>
    <xf numFmtId="0" fontId="9" fillId="6" borderId="36" xfId="0" applyFont="1" applyFill="1" applyBorder="1" applyAlignment="1" applyProtection="1">
      <alignment horizontal="center"/>
      <protection locked="0"/>
    </xf>
    <xf numFmtId="0" fontId="154" fillId="0" borderId="0" xfId="421" applyFont="1"/>
    <xf numFmtId="0" fontId="153" fillId="0" borderId="0" xfId="0" applyFont="1" applyAlignment="1">
      <alignment vertical="top" wrapText="1"/>
    </xf>
    <xf numFmtId="0" fontId="153" fillId="0" borderId="0" xfId="0" applyFont="1"/>
    <xf numFmtId="0" fontId="125" fillId="0" borderId="0" xfId="0" applyFont="1" applyAlignment="1">
      <alignment vertical="top" wrapText="1"/>
    </xf>
    <xf numFmtId="0" fontId="153" fillId="0" borderId="0" xfId="0" applyFont="1" applyAlignment="1">
      <alignment wrapText="1"/>
    </xf>
    <xf numFmtId="0" fontId="20" fillId="3" borderId="65" xfId="0" applyFont="1" applyFill="1" applyBorder="1" applyAlignment="1">
      <alignment horizontal="center" vertical="center" wrapText="1"/>
    </xf>
    <xf numFmtId="0" fontId="0" fillId="47" borderId="65" xfId="0" applyFill="1" applyBorder="1"/>
    <xf numFmtId="0" fontId="156" fillId="0" borderId="65" xfId="0" applyFont="1" applyBorder="1" applyAlignment="1">
      <alignment horizontal="left" vertical="center" wrapText="1"/>
    </xf>
    <xf numFmtId="0" fontId="0" fillId="0" borderId="65" xfId="0" applyBorder="1" applyAlignment="1">
      <alignment horizontal="center" vertical="center"/>
    </xf>
    <xf numFmtId="0" fontId="156" fillId="0" borderId="65" xfId="0" applyFont="1" applyBorder="1" applyAlignment="1">
      <alignment wrapText="1"/>
    </xf>
    <xf numFmtId="3" fontId="0" fillId="0" borderId="65" xfId="0" applyNumberFormat="1" applyBorder="1" applyAlignment="1">
      <alignment horizontal="center" vertical="center"/>
    </xf>
    <xf numFmtId="168" fontId="21" fillId="0" borderId="11" xfId="0" applyNumberFormat="1" applyFont="1" applyBorder="1" applyAlignment="1">
      <alignment horizontal="center" vertical="center"/>
    </xf>
    <xf numFmtId="0" fontId="30" fillId="6" borderId="4" xfId="0" applyFont="1" applyFill="1" applyBorder="1" applyAlignment="1" applyProtection="1">
      <alignment horizontal="center" vertical="center" wrapText="1"/>
      <protection locked="0"/>
    </xf>
    <xf numFmtId="1" fontId="20" fillId="5" borderId="4" xfId="0" applyNumberFormat="1" applyFont="1" applyFill="1" applyBorder="1" applyAlignment="1" applyProtection="1">
      <alignment horizontal="center" vertical="center" wrapText="1"/>
      <protection locked="0"/>
    </xf>
    <xf numFmtId="168" fontId="21" fillId="0" borderId="0" xfId="0" applyNumberFormat="1" applyFont="1" applyAlignment="1">
      <alignment horizontal="center" vertical="center"/>
    </xf>
    <xf numFmtId="194" fontId="21" fillId="0" borderId="11" xfId="0" applyNumberFormat="1" applyFont="1" applyBorder="1" applyAlignment="1">
      <alignment horizontal="center" vertical="center"/>
    </xf>
    <xf numFmtId="194" fontId="9" fillId="5" borderId="4" xfId="0" applyNumberFormat="1" applyFont="1" applyFill="1" applyBorder="1" applyAlignment="1" applyProtection="1">
      <alignment horizontal="center" vertical="center" wrapText="1"/>
      <protection locked="0"/>
    </xf>
    <xf numFmtId="0" fontId="78" fillId="0" borderId="0" xfId="0" applyFont="1" applyAlignment="1">
      <alignment horizontal="left" vertical="center" wrapText="1"/>
    </xf>
    <xf numFmtId="0" fontId="3" fillId="6" borderId="4" xfId="0" applyFont="1" applyFill="1" applyBorder="1" applyAlignment="1" applyProtection="1">
      <alignment horizontal="left" vertical="center"/>
      <protection locked="0"/>
    </xf>
    <xf numFmtId="0" fontId="3" fillId="6" borderId="4" xfId="0" applyFont="1" applyFill="1" applyBorder="1" applyAlignment="1" applyProtection="1">
      <alignment horizontal="left"/>
      <protection locked="0"/>
    </xf>
    <xf numFmtId="1" fontId="3" fillId="6" borderId="4" xfId="0" applyNumberFormat="1" applyFont="1" applyFill="1" applyBorder="1" applyAlignment="1" applyProtection="1">
      <alignment horizontal="left" vertical="center"/>
      <protection locked="0"/>
    </xf>
    <xf numFmtId="0" fontId="20" fillId="47" borderId="6" xfId="0" applyFont="1" applyFill="1" applyBorder="1" applyAlignment="1">
      <alignment horizontal="center" vertical="center" wrapText="1"/>
    </xf>
    <xf numFmtId="0" fontId="8" fillId="0" borderId="0" xfId="0" applyFont="1" applyAlignment="1">
      <alignment vertical="center"/>
    </xf>
    <xf numFmtId="43" fontId="21" fillId="47" borderId="14" xfId="1" applyFont="1" applyFill="1" applyBorder="1" applyAlignment="1" applyProtection="1">
      <alignment horizontal="center" vertical="center" wrapText="1"/>
      <protection locked="0"/>
    </xf>
    <xf numFmtId="43" fontId="21" fillId="47" borderId="15" xfId="1" applyFont="1" applyFill="1" applyBorder="1" applyAlignment="1" applyProtection="1">
      <alignment horizontal="center" vertical="center" wrapText="1"/>
      <protection locked="0"/>
    </xf>
    <xf numFmtId="0" fontId="9" fillId="6" borderId="0" xfId="84" applyFill="1"/>
    <xf numFmtId="0" fontId="34" fillId="6" borderId="36" xfId="84" applyFont="1" applyFill="1" applyBorder="1" applyAlignment="1">
      <alignment vertical="center"/>
    </xf>
    <xf numFmtId="0" fontId="15" fillId="0" borderId="36" xfId="0" applyFont="1" applyBorder="1" applyAlignment="1">
      <alignment horizontal="left" vertical="center"/>
    </xf>
    <xf numFmtId="0" fontId="34" fillId="0" borderId="36" xfId="84" applyFont="1" applyBorder="1" applyAlignment="1">
      <alignment horizontal="left" vertical="top" wrapText="1"/>
    </xf>
    <xf numFmtId="0" fontId="157" fillId="42" borderId="0" xfId="0" applyFont="1" applyFill="1" applyAlignment="1">
      <alignment vertical="center"/>
    </xf>
    <xf numFmtId="0" fontId="9" fillId="4" borderId="0" xfId="0" applyFont="1" applyFill="1" applyAlignment="1">
      <alignment vertical="center" wrapText="1"/>
    </xf>
    <xf numFmtId="1" fontId="21" fillId="6" borderId="12" xfId="1" applyNumberFormat="1" applyFont="1" applyFill="1" applyBorder="1" applyAlignment="1" applyProtection="1">
      <alignment horizontal="center" vertical="center" wrapText="1"/>
      <protection locked="0"/>
    </xf>
    <xf numFmtId="1" fontId="21" fillId="6" borderId="4" xfId="1" applyNumberFormat="1" applyFont="1" applyFill="1" applyBorder="1" applyAlignment="1" applyProtection="1">
      <alignment horizontal="center" vertical="center" wrapText="1"/>
      <protection locked="0"/>
    </xf>
    <xf numFmtId="1" fontId="21" fillId="6" borderId="11" xfId="1" applyNumberFormat="1" applyFont="1" applyFill="1" applyBorder="1" applyAlignment="1" applyProtection="1">
      <alignment horizontal="center" vertical="center" wrapText="1"/>
      <protection locked="0"/>
    </xf>
    <xf numFmtId="1" fontId="9" fillId="0" borderId="11" xfId="1" applyNumberFormat="1" applyFont="1" applyFill="1" applyBorder="1" applyAlignment="1">
      <alignment horizontal="center" vertical="center" wrapText="1"/>
    </xf>
    <xf numFmtId="1" fontId="21" fillId="0" borderId="12" xfId="1" applyNumberFormat="1" applyFont="1" applyFill="1" applyBorder="1" applyAlignment="1" applyProtection="1">
      <alignment horizontal="center" vertical="center"/>
    </xf>
    <xf numFmtId="0" fontId="158" fillId="0" borderId="0" xfId="448" applyFont="1" applyAlignment="1">
      <alignment vertical="top" wrapText="1"/>
    </xf>
    <xf numFmtId="0" fontId="158" fillId="0" borderId="0" xfId="448" applyFont="1"/>
    <xf numFmtId="0" fontId="11" fillId="0" borderId="0" xfId="0" applyFont="1"/>
    <xf numFmtId="0" fontId="9" fillId="47" borderId="3" xfId="2" applyFill="1" applyBorder="1" applyAlignment="1">
      <alignment horizontal="center" vertical="center" wrapText="1"/>
    </xf>
    <xf numFmtId="0" fontId="0" fillId="5" borderId="0" xfId="0" applyFill="1" applyAlignment="1">
      <alignment horizontal="center" vertical="center"/>
    </xf>
    <xf numFmtId="0" fontId="89" fillId="5" borderId="1" xfId="0" applyFont="1" applyFill="1" applyBorder="1" applyAlignment="1">
      <alignment horizontal="center" vertical="center"/>
    </xf>
    <xf numFmtId="0" fontId="89" fillId="5" borderId="0" xfId="0" applyFont="1" applyFill="1" applyAlignment="1">
      <alignment horizontal="center" vertical="center" wrapText="1"/>
    </xf>
    <xf numFmtId="188" fontId="21" fillId="0" borderId="4" xfId="96" applyNumberFormat="1" applyFont="1" applyBorder="1" applyAlignment="1">
      <alignment horizontal="center" vertical="center"/>
    </xf>
    <xf numFmtId="44" fontId="3" fillId="6" borderId="4" xfId="96" applyFont="1" applyFill="1" applyBorder="1" applyAlignment="1" applyProtection="1">
      <alignment horizontal="left" vertical="center" wrapText="1"/>
      <protection locked="0"/>
    </xf>
    <xf numFmtId="0" fontId="0" fillId="0" borderId="0" xfId="0" applyAlignment="1">
      <alignment horizontal="center" vertical="center"/>
    </xf>
    <xf numFmtId="0" fontId="129" fillId="5" borderId="12" xfId="14" applyFont="1" applyFill="1" applyBorder="1" applyAlignment="1">
      <alignment horizontal="left" vertical="center" wrapText="1" indent="3"/>
    </xf>
    <xf numFmtId="164" fontId="21" fillId="0" borderId="4" xfId="10" applyNumberFormat="1" applyFont="1" applyFill="1" applyBorder="1" applyAlignment="1" applyProtection="1">
      <alignment vertical="center"/>
    </xf>
    <xf numFmtId="164" fontId="21" fillId="0" borderId="4" xfId="10" applyNumberFormat="1" applyFont="1" applyFill="1" applyBorder="1" applyAlignment="1">
      <alignment vertical="center"/>
    </xf>
    <xf numFmtId="164" fontId="21" fillId="0" borderId="4" xfId="10" applyNumberFormat="1" applyFont="1" applyFill="1" applyBorder="1" applyAlignment="1" applyProtection="1">
      <alignment vertical="center" wrapText="1"/>
    </xf>
    <xf numFmtId="0" fontId="155" fillId="0" borderId="0" xfId="2" applyFont="1" applyAlignment="1">
      <alignment vertical="center" wrapText="1"/>
    </xf>
    <xf numFmtId="174" fontId="21" fillId="0" borderId="112" xfId="1" applyNumberFormat="1" applyFont="1" applyFill="1" applyBorder="1" applyAlignment="1" applyProtection="1">
      <alignment horizontal="center" vertical="center"/>
    </xf>
    <xf numFmtId="180" fontId="21" fillId="0" borderId="112" xfId="1" applyNumberFormat="1" applyFont="1" applyFill="1" applyBorder="1" applyAlignment="1" applyProtection="1">
      <alignment horizontal="center" vertical="center"/>
    </xf>
    <xf numFmtId="0" fontId="0" fillId="0" borderId="0" xfId="0" applyAlignment="1">
      <alignment horizontal="left" vertical="center" wrapText="1"/>
    </xf>
    <xf numFmtId="0" fontId="47" fillId="0" borderId="0" xfId="0" applyFont="1"/>
    <xf numFmtId="0" fontId="0" fillId="0" borderId="65" xfId="0" applyBorder="1" applyAlignment="1">
      <alignment wrapText="1"/>
    </xf>
    <xf numFmtId="0" fontId="12" fillId="0" borderId="65" xfId="0" applyFont="1" applyBorder="1" applyAlignment="1">
      <alignment horizontal="center" vertical="center"/>
    </xf>
    <xf numFmtId="3" fontId="9" fillId="5" borderId="0" xfId="18" applyNumberFormat="1" applyFont="1" applyFill="1" applyAlignment="1">
      <alignment horizontal="left" vertical="top" wrapText="1" indent="4"/>
    </xf>
    <xf numFmtId="0" fontId="20" fillId="47" borderId="40" xfId="0" applyFont="1" applyFill="1" applyBorder="1" applyAlignment="1">
      <alignment horizontal="center" vertical="center" wrapText="1"/>
    </xf>
    <xf numFmtId="0" fontId="21" fillId="0" borderId="3" xfId="0" applyFont="1" applyBorder="1" applyAlignment="1">
      <alignment horizontal="center" vertical="center" wrapText="1"/>
    </xf>
    <xf numFmtId="3" fontId="21" fillId="0" borderId="4" xfId="0" applyNumberFormat="1" applyFont="1" applyBorder="1" applyAlignment="1">
      <alignment horizontal="center" vertical="center" wrapText="1"/>
    </xf>
    <xf numFmtId="0" fontId="154" fillId="0" borderId="0" xfId="0" applyFont="1" applyAlignment="1">
      <alignment horizontal="left" vertical="top" indent="1"/>
    </xf>
    <xf numFmtId="0" fontId="78" fillId="0" borderId="0" xfId="0" applyFont="1"/>
    <xf numFmtId="0" fontId="154" fillId="0" borderId="0" xfId="0" applyFont="1"/>
    <xf numFmtId="9" fontId="3" fillId="0" borderId="4" xfId="9" applyFont="1" applyFill="1" applyBorder="1" applyAlignment="1" applyProtection="1">
      <alignment horizontal="center" vertical="center"/>
    </xf>
    <xf numFmtId="182" fontId="21" fillId="6" borderId="40" xfId="0" applyNumberFormat="1" applyFont="1" applyFill="1" applyBorder="1" applyAlignment="1" applyProtection="1">
      <alignment horizontal="center" vertical="center" wrapText="1"/>
      <protection locked="0"/>
    </xf>
    <xf numFmtId="182" fontId="21" fillId="6" borderId="4" xfId="0" applyNumberFormat="1" applyFont="1" applyFill="1" applyBorder="1" applyAlignment="1" applyProtection="1">
      <alignment horizontal="center" vertical="center" wrapText="1"/>
      <protection locked="0"/>
    </xf>
    <xf numFmtId="0" fontId="21" fillId="5" borderId="9" xfId="0" applyFont="1" applyFill="1" applyBorder="1" applyAlignment="1">
      <alignment vertical="center" wrapText="1"/>
    </xf>
    <xf numFmtId="0" fontId="21" fillId="5" borderId="10" xfId="0" applyFont="1" applyFill="1" applyBorder="1" applyAlignment="1">
      <alignment vertical="center" wrapText="1"/>
    </xf>
    <xf numFmtId="0" fontId="21" fillId="5" borderId="15" xfId="0" applyFont="1" applyFill="1" applyBorder="1" applyAlignment="1">
      <alignment vertical="center" wrapText="1"/>
    </xf>
    <xf numFmtId="1" fontId="21" fillId="6" borderId="10" xfId="0" applyNumberFormat="1" applyFont="1" applyFill="1" applyBorder="1" applyAlignment="1" applyProtection="1">
      <alignment horizontal="center" vertical="center" wrapText="1"/>
      <protection locked="0"/>
    </xf>
    <xf numFmtId="0" fontId="20" fillId="47" borderId="6" xfId="0" applyFont="1" applyFill="1" applyBorder="1" applyAlignment="1">
      <alignment vertical="center"/>
    </xf>
    <xf numFmtId="164" fontId="21" fillId="9" borderId="4" xfId="10" applyNumberFormat="1" applyFont="1" applyFill="1" applyBorder="1" applyAlignment="1" applyProtection="1">
      <alignment horizontal="right" vertical="center"/>
    </xf>
    <xf numFmtId="0" fontId="21" fillId="47" borderId="3" xfId="0" applyFont="1" applyFill="1" applyBorder="1" applyAlignment="1" applyProtection="1">
      <alignment horizontal="center" vertical="center" wrapText="1"/>
      <protection locked="0"/>
    </xf>
    <xf numFmtId="164" fontId="21" fillId="0" borderId="4" xfId="10" applyNumberFormat="1" applyFont="1" applyBorder="1" applyAlignment="1" applyProtection="1">
      <alignment horizontal="center" vertical="center"/>
    </xf>
    <xf numFmtId="164" fontId="21" fillId="5" borderId="8" xfId="10" applyNumberFormat="1" applyFont="1" applyFill="1" applyBorder="1" applyAlignment="1" applyProtection="1">
      <alignment horizontal="right" vertical="center"/>
    </xf>
    <xf numFmtId="49" fontId="9" fillId="47" borderId="3" xfId="2" applyNumberFormat="1" applyFill="1" applyBorder="1" applyAlignment="1">
      <alignment horizontal="center" vertical="center" wrapText="1"/>
    </xf>
    <xf numFmtId="195" fontId="21" fillId="44" borderId="4" xfId="2" applyNumberFormat="1" applyFont="1" applyFill="1" applyBorder="1" applyAlignment="1">
      <alignment horizontal="right" vertical="center"/>
    </xf>
    <xf numFmtId="176" fontId="21" fillId="50" borderId="4" xfId="2" applyNumberFormat="1" applyFont="1" applyFill="1" applyBorder="1" applyAlignment="1">
      <alignment horizontal="right" vertical="center"/>
    </xf>
    <xf numFmtId="176" fontId="21" fillId="10" borderId="4" xfId="2" applyNumberFormat="1" applyFont="1" applyFill="1" applyBorder="1" applyAlignment="1">
      <alignment horizontal="right" vertical="center"/>
    </xf>
    <xf numFmtId="196" fontId="21" fillId="44" borderId="4" xfId="2" applyNumberFormat="1" applyFont="1" applyFill="1" applyBorder="1" applyAlignment="1">
      <alignment horizontal="right" vertical="center"/>
    </xf>
    <xf numFmtId="170" fontId="21" fillId="10" borderId="4" xfId="96" applyNumberFormat="1" applyFont="1" applyFill="1" applyBorder="1" applyAlignment="1" applyProtection="1">
      <alignment horizontal="right" vertical="center"/>
    </xf>
    <xf numFmtId="170" fontId="21" fillId="50" borderId="4" xfId="96" applyNumberFormat="1" applyFont="1" applyFill="1" applyBorder="1" applyAlignment="1" applyProtection="1">
      <alignment horizontal="right" vertical="center"/>
    </xf>
    <xf numFmtId="197" fontId="21" fillId="10" borderId="4" xfId="2" applyNumberFormat="1" applyFont="1" applyFill="1" applyBorder="1" applyAlignment="1">
      <alignment horizontal="right" vertical="center"/>
    </xf>
    <xf numFmtId="197" fontId="21" fillId="50" borderId="4" xfId="2" applyNumberFormat="1" applyFont="1" applyFill="1" applyBorder="1" applyAlignment="1">
      <alignment horizontal="right" vertical="center"/>
    </xf>
    <xf numFmtId="164" fontId="21" fillId="50" borderId="4" xfId="9" applyNumberFormat="1" applyFont="1" applyFill="1" applyBorder="1" applyAlignment="1" applyProtection="1">
      <alignment horizontal="right" vertical="center"/>
    </xf>
    <xf numFmtId="49" fontId="9" fillId="47" borderId="4" xfId="2" applyNumberFormat="1" applyFill="1" applyBorder="1" applyAlignment="1">
      <alignment vertical="center" wrapText="1"/>
    </xf>
    <xf numFmtId="171" fontId="35" fillId="6" borderId="3" xfId="1" applyNumberFormat="1" applyFont="1" applyFill="1" applyBorder="1" applyAlignment="1" applyProtection="1">
      <alignment horizontal="center" vertical="center" wrapText="1"/>
      <protection locked="0"/>
    </xf>
    <xf numFmtId="0" fontId="35" fillId="6" borderId="3" xfId="1" applyNumberFormat="1" applyFont="1" applyFill="1" applyBorder="1" applyAlignment="1" applyProtection="1">
      <alignment horizontal="center" vertical="center" wrapText="1"/>
      <protection locked="0"/>
    </xf>
    <xf numFmtId="0" fontId="35" fillId="6" borderId="4" xfId="1" applyNumberFormat="1" applyFont="1" applyFill="1" applyBorder="1" applyAlignment="1" applyProtection="1">
      <alignment horizontal="center" vertical="center" wrapText="1"/>
      <protection locked="0"/>
    </xf>
    <xf numFmtId="0" fontId="75" fillId="0" borderId="0" xfId="2" applyFont="1" applyAlignment="1">
      <alignment vertical="center"/>
    </xf>
    <xf numFmtId="0" fontId="67" fillId="0" borderId="0" xfId="0" applyFont="1"/>
    <xf numFmtId="49" fontId="9" fillId="47" borderId="3" xfId="2" applyNumberFormat="1" applyFill="1" applyBorder="1" applyAlignment="1">
      <alignment vertical="center" wrapText="1"/>
    </xf>
    <xf numFmtId="193" fontId="21" fillId="0" borderId="4" xfId="2" applyNumberFormat="1" applyFont="1" applyBorder="1" applyAlignment="1">
      <alignment horizontal="left" vertical="center" wrapText="1" indent="1"/>
    </xf>
    <xf numFmtId="198" fontId="21" fillId="10" borderId="4" xfId="2" applyNumberFormat="1" applyFont="1" applyFill="1" applyBorder="1" applyAlignment="1">
      <alignment horizontal="right" vertical="center"/>
    </xf>
    <xf numFmtId="198" fontId="21" fillId="50" borderId="4" xfId="2" applyNumberFormat="1" applyFont="1" applyFill="1" applyBorder="1" applyAlignment="1">
      <alignment horizontal="right" vertical="center"/>
    </xf>
    <xf numFmtId="187" fontId="21" fillId="10" borderId="4" xfId="2" applyNumberFormat="1" applyFont="1" applyFill="1" applyBorder="1" applyAlignment="1">
      <alignment horizontal="right" vertical="center"/>
    </xf>
    <xf numFmtId="187" fontId="21" fillId="50" borderId="4" xfId="2" applyNumberFormat="1" applyFont="1" applyFill="1" applyBorder="1" applyAlignment="1">
      <alignment horizontal="right" vertical="center"/>
    </xf>
    <xf numFmtId="0" fontId="67" fillId="0" borderId="0" xfId="0" applyFont="1" applyAlignment="1">
      <alignment vertical="top" wrapText="1"/>
    </xf>
    <xf numFmtId="0" fontId="159" fillId="0" borderId="65" xfId="0" applyFont="1" applyBorder="1" applyAlignment="1">
      <alignment horizontal="center" vertical="center" wrapText="1"/>
    </xf>
    <xf numFmtId="0" fontId="0" fillId="0" borderId="65" xfId="0" applyBorder="1" applyAlignment="1">
      <alignment horizontal="center" vertical="center" wrapText="1"/>
    </xf>
    <xf numFmtId="0" fontId="0" fillId="0" borderId="68" xfId="0" applyBorder="1"/>
    <xf numFmtId="182" fontId="159" fillId="0" borderId="68" xfId="0" applyNumberFormat="1" applyFont="1" applyBorder="1" applyAlignment="1">
      <alignment horizontal="center"/>
    </xf>
    <xf numFmtId="182" fontId="0" fillId="0" borderId="68" xfId="0" applyNumberFormat="1" applyBorder="1" applyAlignment="1">
      <alignment horizontal="center"/>
    </xf>
    <xf numFmtId="164" fontId="0" fillId="0" borderId="68" xfId="9" applyNumberFormat="1" applyFont="1" applyBorder="1" applyAlignment="1">
      <alignment horizontal="center"/>
    </xf>
    <xf numFmtId="0" fontId="0" fillId="0" borderId="62" xfId="0" applyBorder="1"/>
    <xf numFmtId="182" fontId="159" fillId="0" borderId="62" xfId="0" applyNumberFormat="1" applyFont="1" applyBorder="1" applyAlignment="1">
      <alignment horizontal="center"/>
    </xf>
    <xf numFmtId="182" fontId="0" fillId="0" borderId="62" xfId="0" applyNumberFormat="1" applyBorder="1" applyAlignment="1">
      <alignment horizontal="center"/>
    </xf>
    <xf numFmtId="164" fontId="0" fillId="0" borderId="62" xfId="9" applyNumberFormat="1" applyFont="1" applyBorder="1" applyAlignment="1">
      <alignment horizontal="center"/>
    </xf>
    <xf numFmtId="0" fontId="0" fillId="0" borderId="62" xfId="0" applyBorder="1" applyAlignment="1">
      <alignment horizontal="left"/>
    </xf>
    <xf numFmtId="182" fontId="159" fillId="0" borderId="0" xfId="0" applyNumberFormat="1" applyFont="1" applyAlignment="1">
      <alignment horizontal="center"/>
    </xf>
    <xf numFmtId="182" fontId="0" fillId="0" borderId="0" xfId="0" applyNumberFormat="1" applyAlignment="1">
      <alignment horizontal="center"/>
    </xf>
    <xf numFmtId="164" fontId="0" fillId="0" borderId="0" xfId="9" applyNumberFormat="1" applyFont="1" applyBorder="1" applyAlignment="1">
      <alignment horizontal="center"/>
    </xf>
    <xf numFmtId="182" fontId="0" fillId="0" borderId="0" xfId="0" applyNumberFormat="1"/>
    <xf numFmtId="0" fontId="12" fillId="10" borderId="65" xfId="0" applyFont="1" applyFill="1" applyBorder="1" applyAlignment="1">
      <alignment horizontal="center" vertical="center" wrapText="1"/>
    </xf>
    <xf numFmtId="0" fontId="0" fillId="0" borderId="64" xfId="0" applyBorder="1" applyAlignment="1">
      <alignment horizontal="center" vertical="center" wrapText="1"/>
    </xf>
    <xf numFmtId="0" fontId="0" fillId="0" borderId="69" xfId="0" applyBorder="1" applyAlignment="1">
      <alignment horizontal="center" vertical="center" wrapText="1"/>
    </xf>
    <xf numFmtId="182" fontId="0" fillId="10" borderId="65" xfId="0" applyNumberFormat="1" applyFill="1" applyBorder="1" applyAlignment="1">
      <alignment horizontal="center"/>
    </xf>
    <xf numFmtId="193" fontId="9" fillId="47" borderId="4" xfId="2" applyNumberFormat="1" applyFill="1" applyBorder="1" applyAlignment="1">
      <alignment horizontal="center" vertical="center" wrapText="1"/>
    </xf>
    <xf numFmtId="4" fontId="21" fillId="0" borderId="4" xfId="0" applyNumberFormat="1" applyFont="1" applyBorder="1" applyAlignment="1">
      <alignment horizontal="center" vertical="center" wrapText="1"/>
    </xf>
    <xf numFmtId="193" fontId="9" fillId="47" borderId="3" xfId="2" applyNumberFormat="1" applyFill="1" applyBorder="1" applyAlignment="1">
      <alignment horizontal="center" vertical="center" wrapText="1"/>
    </xf>
    <xf numFmtId="193" fontId="9" fillId="47" borderId="166" xfId="2" applyNumberFormat="1" applyFill="1" applyBorder="1" applyAlignment="1">
      <alignment horizontal="center" vertical="center" wrapText="1"/>
    </xf>
    <xf numFmtId="193" fontId="9" fillId="47" borderId="167" xfId="2" applyNumberFormat="1" applyFill="1" applyBorder="1" applyAlignment="1">
      <alignment horizontal="center" vertical="center" wrapText="1"/>
    </xf>
    <xf numFmtId="193" fontId="9" fillId="47" borderId="168" xfId="2" applyNumberFormat="1" applyFill="1" applyBorder="1" applyAlignment="1">
      <alignment horizontal="center" vertical="center" wrapText="1"/>
    </xf>
    <xf numFmtId="0" fontId="9" fillId="47" borderId="168" xfId="2" applyFill="1" applyBorder="1" applyAlignment="1">
      <alignment horizontal="center" vertical="center" wrapText="1"/>
    </xf>
    <xf numFmtId="164" fontId="21" fillId="50" borderId="3" xfId="9" applyNumberFormat="1" applyFont="1" applyFill="1" applyBorder="1" applyAlignment="1" applyProtection="1">
      <alignment horizontal="right" vertical="center"/>
    </xf>
    <xf numFmtId="176" fontId="21" fillId="50" borderId="3" xfId="2" applyNumberFormat="1" applyFont="1" applyFill="1" applyBorder="1" applyAlignment="1">
      <alignment horizontal="right" vertical="center"/>
    </xf>
    <xf numFmtId="193" fontId="9" fillId="47" borderId="171" xfId="2" applyNumberFormat="1" applyFill="1" applyBorder="1" applyAlignment="1">
      <alignment horizontal="center" vertical="center" wrapText="1"/>
    </xf>
    <xf numFmtId="0" fontId="9" fillId="47" borderId="171" xfId="2" applyFill="1" applyBorder="1" applyAlignment="1">
      <alignment horizontal="center" vertical="center" wrapText="1"/>
    </xf>
    <xf numFmtId="164" fontId="21" fillId="9" borderId="3" xfId="10" applyNumberFormat="1" applyFont="1" applyFill="1" applyBorder="1" applyAlignment="1" applyProtection="1">
      <alignment horizontal="left" vertical="center"/>
    </xf>
    <xf numFmtId="164" fontId="21" fillId="10" borderId="4" xfId="9" applyNumberFormat="1" applyFont="1" applyFill="1" applyBorder="1" applyAlignment="1" applyProtection="1">
      <alignment horizontal="right" vertical="center"/>
    </xf>
    <xf numFmtId="3" fontId="3" fillId="0" borderId="0" xfId="0" applyNumberFormat="1" applyFont="1"/>
    <xf numFmtId="3" fontId="89" fillId="0" borderId="0" xfId="0" applyNumberFormat="1" applyFont="1"/>
    <xf numFmtId="37" fontId="3" fillId="0" borderId="0" xfId="0" applyNumberFormat="1" applyFont="1"/>
    <xf numFmtId="2" fontId="35" fillId="6" borderId="4" xfId="0" applyNumberFormat="1" applyFont="1" applyFill="1" applyBorder="1" applyAlignment="1" applyProtection="1">
      <alignment horizontal="center" vertical="center" wrapText="1"/>
      <protection locked="0"/>
    </xf>
    <xf numFmtId="2" fontId="35" fillId="6" borderId="3" xfId="0" applyNumberFormat="1" applyFont="1" applyFill="1" applyBorder="1" applyAlignment="1" applyProtection="1">
      <alignment horizontal="center" vertical="center" wrapText="1"/>
      <protection locked="0"/>
    </xf>
    <xf numFmtId="2" fontId="3" fillId="0" borderId="0" xfId="0" applyNumberFormat="1" applyFont="1"/>
    <xf numFmtId="2" fontId="21" fillId="6" borderId="11" xfId="0" applyNumberFormat="1" applyFont="1" applyFill="1" applyBorder="1" applyAlignment="1" applyProtection="1">
      <alignment horizontal="center" vertical="center" wrapText="1"/>
      <protection locked="0"/>
    </xf>
    <xf numFmtId="2" fontId="3" fillId="0" borderId="0" xfId="0" applyNumberFormat="1" applyFont="1" applyAlignment="1">
      <alignment horizontal="center" vertical="center" wrapText="1"/>
    </xf>
    <xf numFmtId="171" fontId="21" fillId="6" borderId="4" xfId="1" applyNumberFormat="1" applyFont="1" applyFill="1" applyBorder="1" applyAlignment="1" applyProtection="1">
      <alignment horizontal="center" vertical="center" wrapText="1"/>
      <protection locked="0"/>
    </xf>
    <xf numFmtId="171" fontId="21" fillId="6" borderId="11" xfId="1" applyNumberFormat="1" applyFont="1" applyFill="1" applyBorder="1" applyAlignment="1" applyProtection="1">
      <alignment horizontal="center" vertical="center" wrapText="1"/>
      <protection locked="0"/>
    </xf>
    <xf numFmtId="49" fontId="20" fillId="47" borderId="3" xfId="2" applyNumberFormat="1" applyFont="1" applyFill="1" applyBorder="1" applyAlignment="1">
      <alignment vertical="center" wrapText="1"/>
    </xf>
    <xf numFmtId="164" fontId="21" fillId="9" borderId="4" xfId="10" applyNumberFormat="1" applyFont="1" applyFill="1" applyBorder="1" applyAlignment="1" applyProtection="1">
      <alignment horizontal="left" vertical="center"/>
    </xf>
    <xf numFmtId="198" fontId="21" fillId="6" borderId="4" xfId="2" applyNumberFormat="1" applyFont="1" applyFill="1" applyBorder="1" applyAlignment="1">
      <alignment horizontal="right" vertical="center"/>
    </xf>
    <xf numFmtId="198" fontId="21" fillId="56" borderId="4" xfId="2" applyNumberFormat="1" applyFont="1" applyFill="1" applyBorder="1" applyAlignment="1">
      <alignment horizontal="right" vertical="center"/>
    </xf>
    <xf numFmtId="9" fontId="21" fillId="6" borderId="4" xfId="9" applyFont="1" applyFill="1" applyBorder="1" applyAlignment="1" applyProtection="1">
      <alignment horizontal="right" vertical="center"/>
    </xf>
    <xf numFmtId="9" fontId="21" fillId="56" borderId="4" xfId="9" applyFont="1" applyFill="1" applyBorder="1" applyAlignment="1" applyProtection="1">
      <alignment horizontal="right" vertical="center"/>
    </xf>
    <xf numFmtId="164" fontId="21" fillId="9" borderId="4" xfId="10" applyNumberFormat="1" applyFont="1" applyFill="1" applyBorder="1" applyAlignment="1" applyProtection="1">
      <alignment vertical="center"/>
    </xf>
    <xf numFmtId="164" fontId="21" fillId="50" borderId="4" xfId="9" applyNumberFormat="1" applyFont="1" applyFill="1" applyBorder="1" applyAlignment="1" applyProtection="1">
      <alignment vertical="center"/>
    </xf>
    <xf numFmtId="3" fontId="3" fillId="0" borderId="0" xfId="0" applyNumberFormat="1" applyFont="1" applyAlignment="1">
      <alignment vertical="top" wrapText="1"/>
    </xf>
    <xf numFmtId="0" fontId="9" fillId="0" borderId="65" xfId="0" applyFont="1" applyBorder="1" applyAlignment="1">
      <alignment vertical="center" wrapText="1"/>
    </xf>
    <xf numFmtId="0" fontId="85" fillId="0" borderId="0" xfId="0" applyFont="1" applyAlignment="1">
      <alignment horizontal="left" vertical="top" indent="12"/>
    </xf>
    <xf numFmtId="0" fontId="113" fillId="47" borderId="4" xfId="0" applyFont="1" applyFill="1" applyBorder="1" applyAlignment="1">
      <alignment horizontal="center" vertical="center" wrapText="1"/>
    </xf>
    <xf numFmtId="2" fontId="21" fillId="6" borderId="4" xfId="0" applyNumberFormat="1" applyFont="1" applyFill="1" applyBorder="1" applyAlignment="1" applyProtection="1">
      <alignment horizontal="center" vertical="center" wrapText="1"/>
      <protection locked="0"/>
    </xf>
    <xf numFmtId="171" fontId="9" fillId="0" borderId="4" xfId="1" applyNumberFormat="1" applyFont="1" applyFill="1" applyBorder="1" applyAlignment="1">
      <alignment horizontal="center" vertical="center" wrapText="1"/>
    </xf>
    <xf numFmtId="0" fontId="89" fillId="0" borderId="0" xfId="0" applyFont="1" applyAlignment="1" applyProtection="1">
      <alignment horizontal="left" vertical="center"/>
      <protection locked="0"/>
    </xf>
    <xf numFmtId="0" fontId="35" fillId="5" borderId="0" xfId="0" applyFont="1" applyFill="1" applyAlignment="1">
      <alignment horizontal="left" vertical="center" indent="1"/>
    </xf>
    <xf numFmtId="0" fontId="114" fillId="0" borderId="0" xfId="0" applyFont="1" applyAlignment="1">
      <alignment horizontal="center"/>
    </xf>
    <xf numFmtId="0" fontId="113" fillId="0" borderId="0" xfId="0" applyFont="1" applyProtection="1">
      <protection locked="0"/>
    </xf>
    <xf numFmtId="0" fontId="148" fillId="47" borderId="1" xfId="0" applyFont="1" applyFill="1" applyBorder="1"/>
    <xf numFmtId="0" fontId="148" fillId="47" borderId="40" xfId="0" applyFont="1" applyFill="1" applyBorder="1"/>
    <xf numFmtId="0" fontId="148" fillId="47" borderId="9" xfId="0" applyFont="1" applyFill="1" applyBorder="1"/>
    <xf numFmtId="2" fontId="89" fillId="0" borderId="0" xfId="0" applyNumberFormat="1" applyFont="1"/>
    <xf numFmtId="2" fontId="21" fillId="6" borderId="9" xfId="0" applyNumberFormat="1" applyFont="1" applyFill="1" applyBorder="1" applyAlignment="1" applyProtection="1">
      <alignment horizontal="center" vertical="center" wrapText="1"/>
      <protection locked="0"/>
    </xf>
    <xf numFmtId="167" fontId="21" fillId="6" borderId="11" xfId="1" applyNumberFormat="1" applyFont="1" applyFill="1" applyBorder="1" applyAlignment="1" applyProtection="1">
      <alignment horizontal="center" vertical="center" wrapText="1"/>
      <protection locked="0"/>
    </xf>
    <xf numFmtId="0" fontId="21" fillId="6" borderId="11" xfId="1" applyNumberFormat="1" applyFont="1" applyFill="1" applyBorder="1" applyAlignment="1" applyProtection="1">
      <alignment horizontal="center" vertical="center" wrapText="1"/>
      <protection locked="0"/>
    </xf>
    <xf numFmtId="167" fontId="21" fillId="6" borderId="4" xfId="1" applyNumberFormat="1" applyFont="1" applyFill="1" applyBorder="1" applyAlignment="1" applyProtection="1">
      <alignment horizontal="center" vertical="center" wrapText="1"/>
      <protection locked="0"/>
    </xf>
    <xf numFmtId="10" fontId="9" fillId="6" borderId="174" xfId="0" applyNumberFormat="1" applyFont="1" applyFill="1" applyBorder="1" applyAlignment="1" applyProtection="1">
      <alignment horizontal="left" vertical="center" wrapText="1"/>
      <protection locked="0"/>
    </xf>
    <xf numFmtId="10" fontId="75" fillId="6" borderId="4" xfId="0" applyNumberFormat="1" applyFont="1" applyFill="1" applyBorder="1" applyAlignment="1" applyProtection="1">
      <alignment horizontal="left" vertical="center"/>
      <protection locked="0"/>
    </xf>
    <xf numFmtId="0" fontId="9" fillId="50" borderId="69" xfId="0" applyFont="1" applyFill="1" applyBorder="1" applyAlignment="1" applyProtection="1">
      <alignment horizontal="center" vertical="center" wrapText="1"/>
      <protection locked="0"/>
    </xf>
    <xf numFmtId="0" fontId="21" fillId="5" borderId="3" xfId="0" applyFont="1" applyFill="1" applyBorder="1" applyAlignment="1">
      <alignment horizontal="left" vertical="center" wrapText="1" indent="1"/>
    </xf>
    <xf numFmtId="0" fontId="21" fillId="5" borderId="11" xfId="0" applyFont="1" applyFill="1" applyBorder="1" applyAlignment="1">
      <alignment horizontal="left" vertical="center" wrapText="1" indent="1"/>
    </xf>
    <xf numFmtId="1" fontId="9" fillId="6" borderId="64" xfId="0" applyNumberFormat="1" applyFont="1" applyFill="1" applyBorder="1" applyAlignment="1" applyProtection="1">
      <alignment vertical="center" wrapText="1"/>
      <protection locked="0"/>
    </xf>
    <xf numFmtId="0" fontId="9" fillId="4" borderId="19" xfId="0" applyFont="1" applyFill="1" applyBorder="1" applyAlignment="1">
      <alignment horizontal="center" vertical="center" textRotation="90" wrapText="1"/>
    </xf>
    <xf numFmtId="0" fontId="9" fillId="4" borderId="20" xfId="0" applyFont="1" applyFill="1" applyBorder="1" applyAlignment="1">
      <alignment horizontal="center" vertical="center" textRotation="90" wrapText="1"/>
    </xf>
    <xf numFmtId="0" fontId="9" fillId="4" borderId="21" xfId="0" applyFont="1" applyFill="1" applyBorder="1" applyAlignment="1">
      <alignment horizontal="center" vertical="center" textRotation="90" wrapText="1"/>
    </xf>
    <xf numFmtId="182" fontId="67" fillId="0" borderId="0" xfId="0" applyNumberFormat="1" applyFont="1" applyAlignment="1">
      <alignment vertical="center" wrapText="1"/>
    </xf>
    <xf numFmtId="182" fontId="9" fillId="50" borderId="65" xfId="0" applyNumberFormat="1" applyFont="1" applyFill="1" applyBorder="1" applyAlignment="1" applyProtection="1">
      <alignment vertical="center" wrapText="1"/>
      <protection locked="0"/>
    </xf>
    <xf numFmtId="171" fontId="21" fillId="6" borderId="4" xfId="1" applyNumberFormat="1" applyFont="1" applyFill="1" applyBorder="1" applyAlignment="1" applyProtection="1">
      <alignment horizontal="center" vertical="center"/>
      <protection locked="0"/>
    </xf>
    <xf numFmtId="0" fontId="20" fillId="47" borderId="12" xfId="444" applyFont="1" applyFill="1" applyBorder="1" applyAlignment="1" applyProtection="1">
      <alignment vertical="center" wrapText="1"/>
      <protection locked="0"/>
    </xf>
    <xf numFmtId="193" fontId="21" fillId="44" borderId="4" xfId="2" applyNumberFormat="1" applyFont="1" applyFill="1" applyBorder="1" applyAlignment="1">
      <alignment horizontal="center" vertical="center"/>
    </xf>
    <xf numFmtId="193" fontId="21" fillId="44" borderId="4" xfId="2" applyNumberFormat="1" applyFont="1" applyFill="1" applyBorder="1" applyAlignment="1">
      <alignment horizontal="left" vertical="center" wrapText="1" indent="1"/>
    </xf>
    <xf numFmtId="182" fontId="21" fillId="3" borderId="6" xfId="2" applyNumberFormat="1" applyFont="1" applyFill="1" applyBorder="1" applyAlignment="1">
      <alignment horizontal="center" vertical="center" wrapText="1"/>
    </xf>
    <xf numFmtId="182" fontId="21" fillId="3" borderId="8" xfId="2" applyNumberFormat="1" applyFont="1" applyFill="1" applyBorder="1" applyAlignment="1">
      <alignment horizontal="center" vertical="center" wrapText="1"/>
    </xf>
    <xf numFmtId="182" fontId="21" fillId="3" borderId="172" xfId="2" applyNumberFormat="1" applyFont="1" applyFill="1" applyBorder="1" applyAlignment="1">
      <alignment horizontal="center" vertical="center" wrapText="1"/>
    </xf>
    <xf numFmtId="182" fontId="21" fillId="3" borderId="169" xfId="2" applyNumberFormat="1" applyFont="1" applyFill="1" applyBorder="1" applyAlignment="1">
      <alignment horizontal="center" vertical="center" wrapText="1"/>
    </xf>
    <xf numFmtId="193" fontId="21" fillId="0" borderId="6" xfId="2" applyNumberFormat="1" applyFont="1" applyBorder="1" applyAlignment="1">
      <alignment horizontal="left" vertical="center" wrapText="1" indent="1"/>
    </xf>
    <xf numFmtId="0" fontId="9" fillId="0" borderId="4" xfId="2" applyBorder="1" applyAlignment="1">
      <alignment vertical="center" wrapText="1"/>
    </xf>
    <xf numFmtId="0" fontId="49" fillId="0" borderId="0" xfId="2" applyFont="1" applyAlignment="1">
      <alignment horizontal="left" vertical="center" wrapText="1"/>
    </xf>
    <xf numFmtId="0" fontId="21" fillId="5" borderId="0" xfId="2" applyFont="1" applyFill="1" applyAlignment="1">
      <alignment horizontal="left" vertical="center" wrapText="1"/>
    </xf>
    <xf numFmtId="0" fontId="148" fillId="0" borderId="0" xfId="0" applyFont="1"/>
    <xf numFmtId="49" fontId="9" fillId="5" borderId="4" xfId="2" applyNumberFormat="1" applyFill="1" applyBorder="1" applyAlignment="1">
      <alignment horizontal="center" vertical="center" wrapText="1"/>
    </xf>
    <xf numFmtId="187" fontId="21" fillId="5" borderId="4" xfId="2" applyNumberFormat="1" applyFont="1" applyFill="1" applyBorder="1" applyAlignment="1">
      <alignment horizontal="right" vertical="center"/>
    </xf>
    <xf numFmtId="0" fontId="160" fillId="5" borderId="0" xfId="0" applyFont="1" applyFill="1"/>
    <xf numFmtId="164" fontId="21" fillId="6" borderId="3" xfId="10" applyNumberFormat="1" applyFont="1" applyFill="1" applyBorder="1" applyAlignment="1" applyProtection="1">
      <alignment vertical="center"/>
    </xf>
    <xf numFmtId="164" fontId="21" fillId="6" borderId="11" xfId="10" applyNumberFormat="1" applyFont="1" applyFill="1" applyBorder="1" applyAlignment="1" applyProtection="1">
      <alignment vertical="center"/>
    </xf>
    <xf numFmtId="164" fontId="21" fillId="56" borderId="3" xfId="10" applyNumberFormat="1" applyFont="1" applyFill="1" applyBorder="1" applyAlignment="1" applyProtection="1">
      <alignment vertical="center"/>
    </xf>
    <xf numFmtId="164" fontId="21" fillId="56" borderId="11" xfId="10" applyNumberFormat="1" applyFont="1" applyFill="1" applyBorder="1" applyAlignment="1" applyProtection="1">
      <alignment vertical="center"/>
    </xf>
    <xf numFmtId="1" fontId="21" fillId="6" borderId="4" xfId="2" applyNumberFormat="1" applyFont="1" applyFill="1" applyBorder="1" applyAlignment="1">
      <alignment horizontal="center" vertical="center"/>
    </xf>
    <xf numFmtId="1" fontId="21" fillId="56" borderId="4" xfId="2" applyNumberFormat="1" applyFont="1" applyFill="1" applyBorder="1" applyAlignment="1">
      <alignment horizontal="center" vertical="center"/>
    </xf>
    <xf numFmtId="164" fontId="89" fillId="0" borderId="0" xfId="0" applyNumberFormat="1" applyFont="1"/>
    <xf numFmtId="0" fontId="9" fillId="6" borderId="0" xfId="0" applyFont="1" applyFill="1" applyAlignment="1" applyProtection="1">
      <alignment horizontal="center" vertical="center"/>
      <protection locked="0"/>
    </xf>
    <xf numFmtId="0" fontId="17" fillId="6" borderId="0" xfId="0" applyFont="1" applyFill="1" applyAlignment="1" applyProtection="1">
      <alignment vertical="center" wrapText="1"/>
      <protection locked="0"/>
    </xf>
    <xf numFmtId="171" fontId="9" fillId="0" borderId="4" xfId="1" applyNumberFormat="1" applyFont="1" applyBorder="1" applyAlignment="1">
      <alignment horizontal="center" vertical="center" wrapText="1"/>
    </xf>
    <xf numFmtId="0" fontId="133" fillId="0" borderId="175" xfId="0" applyFont="1" applyBorder="1" applyAlignment="1">
      <alignment vertical="center"/>
    </xf>
    <xf numFmtId="0" fontId="133" fillId="0" borderId="176" xfId="0" applyFont="1" applyBorder="1" applyAlignment="1">
      <alignment vertical="center"/>
    </xf>
    <xf numFmtId="0" fontId="50" fillId="57" borderId="176" xfId="0" applyFont="1" applyFill="1" applyBorder="1" applyAlignment="1">
      <alignment vertical="center"/>
    </xf>
    <xf numFmtId="0" fontId="50" fillId="0" borderId="176" xfId="0" applyFont="1" applyBorder="1" applyAlignment="1">
      <alignment vertical="center"/>
    </xf>
    <xf numFmtId="0" fontId="50" fillId="0" borderId="179" xfId="0" applyFont="1" applyBorder="1" applyAlignment="1">
      <alignment horizontal="center" vertical="center"/>
    </xf>
    <xf numFmtId="0" fontId="50" fillId="57" borderId="179" xfId="0" applyFont="1" applyFill="1" applyBorder="1" applyAlignment="1">
      <alignment horizontal="center" vertical="center"/>
    </xf>
    <xf numFmtId="0" fontId="89" fillId="0" borderId="175" xfId="0" applyFont="1" applyBorder="1"/>
    <xf numFmtId="3" fontId="3" fillId="6" borderId="4" xfId="1" applyNumberFormat="1" applyFont="1" applyFill="1" applyBorder="1" applyAlignment="1" applyProtection="1">
      <alignment horizontal="right" vertical="center"/>
      <protection locked="0"/>
    </xf>
    <xf numFmtId="9" fontId="9" fillId="0" borderId="4" xfId="9" applyFont="1" applyBorder="1" applyAlignment="1">
      <alignment horizontal="center" vertical="center" wrapText="1"/>
    </xf>
    <xf numFmtId="4" fontId="3" fillId="5" borderId="0" xfId="1" applyNumberFormat="1" applyFont="1" applyFill="1" applyBorder="1" applyAlignment="1" applyProtection="1">
      <alignment horizontal="center" vertical="center" wrapText="1"/>
      <protection locked="0"/>
    </xf>
    <xf numFmtId="0" fontId="164" fillId="44" borderId="179" xfId="0" applyFont="1" applyFill="1" applyBorder="1" applyAlignment="1">
      <alignment horizontal="center" vertical="center" wrapText="1"/>
    </xf>
    <xf numFmtId="0" fontId="165" fillId="44" borderId="177" xfId="0" applyFont="1" applyFill="1" applyBorder="1" applyAlignment="1">
      <alignment vertical="center" wrapText="1"/>
    </xf>
    <xf numFmtId="0" fontId="70" fillId="44" borderId="177" xfId="448" applyFill="1" applyBorder="1" applyAlignment="1">
      <alignment vertical="center" wrapText="1"/>
    </xf>
    <xf numFmtId="0" fontId="165" fillId="57" borderId="179" xfId="0" applyFont="1" applyFill="1" applyBorder="1" applyAlignment="1">
      <alignment horizontal="center" vertical="center" wrapText="1"/>
    </xf>
    <xf numFmtId="0" fontId="165" fillId="44" borderId="179" xfId="0" applyFont="1" applyFill="1" applyBorder="1" applyAlignment="1">
      <alignment horizontal="center" vertical="center" wrapText="1"/>
    </xf>
    <xf numFmtId="0" fontId="165" fillId="42" borderId="177" xfId="0" applyFont="1" applyFill="1" applyBorder="1" applyAlignment="1">
      <alignment vertical="center" wrapText="1"/>
    </xf>
    <xf numFmtId="0" fontId="165" fillId="42" borderId="179" xfId="0" applyFont="1" applyFill="1" applyBorder="1" applyAlignment="1">
      <alignment horizontal="center" vertical="center" wrapText="1"/>
    </xf>
    <xf numFmtId="3" fontId="9" fillId="0" borderId="4" xfId="2" applyNumberFormat="1" applyBorder="1" applyAlignment="1">
      <alignment horizontal="center" vertical="center" wrapText="1"/>
    </xf>
    <xf numFmtId="3" fontId="21" fillId="0" borderId="4" xfId="2" applyNumberFormat="1" applyFont="1" applyBorder="1" applyAlignment="1">
      <alignment horizontal="center" vertical="center"/>
    </xf>
    <xf numFmtId="0" fontId="166" fillId="0" borderId="0" xfId="0" applyFont="1" applyAlignment="1">
      <alignment vertical="center"/>
    </xf>
    <xf numFmtId="0" fontId="9" fillId="0" borderId="6" xfId="2" applyBorder="1" applyAlignment="1">
      <alignment horizontal="center" vertical="center" wrapText="1"/>
    </xf>
    <xf numFmtId="0" fontId="9" fillId="0" borderId="40" xfId="2" applyBorder="1" applyAlignment="1">
      <alignment horizontal="center" vertical="center" wrapText="1"/>
    </xf>
    <xf numFmtId="1" fontId="3" fillId="6" borderId="4" xfId="0" applyNumberFormat="1" applyFont="1" applyFill="1" applyBorder="1" applyAlignment="1" applyProtection="1">
      <alignment horizontal="center" vertical="center" wrapText="1"/>
      <protection locked="0"/>
    </xf>
    <xf numFmtId="9" fontId="3" fillId="6" borderId="4" xfId="9" applyFont="1" applyFill="1" applyBorder="1" applyAlignment="1" applyProtection="1">
      <alignment horizontal="center" vertical="center" wrapText="1"/>
      <protection locked="0"/>
    </xf>
    <xf numFmtId="9" fontId="9" fillId="0" borderId="4" xfId="9" applyFont="1" applyBorder="1" applyAlignment="1">
      <alignment horizontal="center" vertical="center"/>
    </xf>
    <xf numFmtId="1" fontId="50" fillId="57" borderId="179" xfId="0" applyNumberFormat="1" applyFont="1" applyFill="1" applyBorder="1" applyAlignment="1">
      <alignment horizontal="center" vertical="center"/>
    </xf>
    <xf numFmtId="1" fontId="50" fillId="0" borderId="179" xfId="0" applyNumberFormat="1" applyFont="1" applyBorder="1" applyAlignment="1">
      <alignment horizontal="center" vertical="center"/>
    </xf>
    <xf numFmtId="0" fontId="21" fillId="5" borderId="4" xfId="0" applyFont="1" applyFill="1" applyBorder="1" applyAlignment="1">
      <alignment vertical="center" wrapText="1"/>
    </xf>
    <xf numFmtId="43" fontId="3" fillId="0" borderId="0" xfId="1" applyFont="1" applyAlignment="1">
      <alignment horizontal="center" vertical="center" wrapText="1"/>
    </xf>
    <xf numFmtId="0" fontId="142" fillId="47" borderId="5" xfId="0" applyFont="1" applyFill="1" applyBorder="1" applyAlignment="1">
      <alignment horizontal="center" vertical="center" wrapText="1"/>
    </xf>
    <xf numFmtId="0" fontId="21" fillId="0" borderId="11" xfId="0" applyFont="1" applyBorder="1" applyAlignment="1">
      <alignment horizontal="center" vertical="center"/>
    </xf>
    <xf numFmtId="182" fontId="21" fillId="0" borderId="4" xfId="0" applyNumberFormat="1" applyFont="1" applyBorder="1" applyAlignment="1">
      <alignment horizontal="center" vertical="center" wrapText="1"/>
    </xf>
    <xf numFmtId="0" fontId="20" fillId="47" borderId="4" xfId="444" applyFont="1" applyFill="1" applyBorder="1" applyAlignment="1">
      <alignment horizontal="center" vertical="center" wrapText="1"/>
    </xf>
    <xf numFmtId="0" fontId="9" fillId="0" borderId="4" xfId="0" applyFont="1" applyBorder="1" applyAlignment="1">
      <alignment horizontal="left" vertical="center" wrapText="1"/>
    </xf>
    <xf numFmtId="49" fontId="20" fillId="47" borderId="4" xfId="2" applyNumberFormat="1" applyFont="1" applyFill="1" applyBorder="1" applyAlignment="1">
      <alignment horizontal="center" vertical="center" wrapText="1"/>
    </xf>
    <xf numFmtId="0" fontId="139" fillId="5" borderId="4" xfId="0" applyFont="1" applyFill="1" applyBorder="1" applyAlignment="1">
      <alignment vertical="center" wrapText="1"/>
    </xf>
    <xf numFmtId="171" fontId="9" fillId="0" borderId="4" xfId="2" applyNumberFormat="1" applyBorder="1" applyAlignment="1">
      <alignment horizontal="center" vertical="center"/>
    </xf>
    <xf numFmtId="0" fontId="21" fillId="5" borderId="4" xfId="2" applyFont="1" applyFill="1" applyBorder="1" applyAlignment="1">
      <alignment vertical="center" wrapText="1"/>
    </xf>
    <xf numFmtId="1" fontId="3" fillId="6" borderId="4" xfId="0" applyNumberFormat="1" applyFont="1" applyFill="1" applyBorder="1" applyAlignment="1" applyProtection="1">
      <alignment horizontal="center" vertical="center"/>
      <protection locked="0"/>
    </xf>
    <xf numFmtId="0" fontId="89" fillId="6" borderId="4" xfId="444" applyFont="1" applyFill="1" applyBorder="1" applyAlignment="1" applyProtection="1">
      <alignment horizontal="center" vertical="center" wrapText="1"/>
      <protection locked="0"/>
    </xf>
    <xf numFmtId="0" fontId="3" fillId="6" borderId="6" xfId="444" applyFont="1" applyFill="1" applyBorder="1" applyAlignment="1" applyProtection="1">
      <alignment horizontal="center" vertical="center" wrapText="1"/>
      <protection locked="0"/>
    </xf>
    <xf numFmtId="0" fontId="30" fillId="0" borderId="0" xfId="444" applyFont="1" applyAlignment="1">
      <alignment horizontal="center" vertical="center"/>
    </xf>
    <xf numFmtId="165" fontId="89" fillId="6" borderId="4" xfId="444" applyNumberFormat="1" applyFont="1" applyFill="1" applyBorder="1" applyAlignment="1" applyProtection="1">
      <alignment horizontal="center" vertical="center" wrapText="1"/>
      <protection locked="0"/>
    </xf>
    <xf numFmtId="0" fontId="89" fillId="6" borderId="4" xfId="444" applyFont="1" applyFill="1" applyBorder="1" applyAlignment="1" applyProtection="1">
      <alignment horizontal="center" vertical="center"/>
      <protection locked="0"/>
    </xf>
    <xf numFmtId="0" fontId="89" fillId="0" borderId="0" xfId="444" applyFont="1" applyAlignment="1" applyProtection="1">
      <alignment horizontal="center" vertical="center"/>
      <protection locked="0"/>
    </xf>
    <xf numFmtId="171" fontId="20" fillId="5" borderId="4" xfId="1" applyNumberFormat="1" applyFont="1" applyFill="1" applyBorder="1" applyAlignment="1" applyProtection="1">
      <alignment horizontal="center" vertical="center"/>
    </xf>
    <xf numFmtId="0" fontId="30" fillId="0" borderId="0" xfId="444" applyFont="1" applyAlignment="1">
      <alignment horizontal="center" vertical="center" wrapText="1"/>
    </xf>
    <xf numFmtId="0" fontId="89" fillId="0" borderId="0" xfId="444" applyFont="1" applyAlignment="1">
      <alignment horizontal="center" vertical="center"/>
    </xf>
    <xf numFmtId="165" fontId="89" fillId="0" borderId="0" xfId="444" applyNumberFormat="1" applyFont="1" applyAlignment="1">
      <alignment wrapText="1"/>
    </xf>
    <xf numFmtId="9" fontId="89" fillId="0" borderId="0" xfId="9" applyFont="1" applyAlignment="1" applyProtection="1">
      <alignment wrapText="1"/>
    </xf>
    <xf numFmtId="165" fontId="3" fillId="0" borderId="4" xfId="444" applyNumberFormat="1" applyFont="1" applyBorder="1" applyAlignment="1">
      <alignment wrapText="1"/>
    </xf>
    <xf numFmtId="171" fontId="89" fillId="0" borderId="0" xfId="1" applyNumberFormat="1" applyFont="1" applyProtection="1"/>
    <xf numFmtId="171" fontId="89" fillId="0" borderId="0" xfId="1" applyNumberFormat="1" applyFont="1" applyFill="1" applyBorder="1" applyProtection="1"/>
    <xf numFmtId="171" fontId="113" fillId="0" borderId="0" xfId="1" applyNumberFormat="1" applyFont="1" applyFill="1" applyBorder="1" applyAlignment="1" applyProtection="1">
      <alignment horizontal="center" vertical="center" wrapText="1"/>
      <protection locked="0"/>
    </xf>
    <xf numFmtId="171" fontId="89" fillId="0" borderId="0" xfId="1" applyNumberFormat="1" applyFont="1" applyFill="1" applyBorder="1" applyAlignment="1" applyProtection="1">
      <alignment horizontal="center" vertical="center"/>
      <protection locked="0"/>
    </xf>
    <xf numFmtId="171" fontId="30" fillId="0" borderId="0" xfId="1" applyNumberFormat="1" applyFont="1" applyFill="1" applyBorder="1" applyAlignment="1" applyProtection="1">
      <alignment horizontal="center" vertical="center"/>
    </xf>
    <xf numFmtId="171" fontId="3" fillId="0" borderId="4" xfId="1" applyNumberFormat="1" applyFont="1" applyBorder="1" applyProtection="1"/>
    <xf numFmtId="171" fontId="20" fillId="47" borderId="4" xfId="1" applyNumberFormat="1" applyFont="1" applyFill="1" applyBorder="1" applyAlignment="1" applyProtection="1">
      <alignment horizontal="center" vertical="center" wrapText="1"/>
    </xf>
    <xf numFmtId="171" fontId="113" fillId="0" borderId="0" xfId="1" applyNumberFormat="1" applyFont="1" applyFill="1" applyBorder="1" applyAlignment="1" applyProtection="1">
      <alignment vertical="center" wrapText="1"/>
      <protection locked="0"/>
    </xf>
    <xf numFmtId="171" fontId="89" fillId="0" borderId="0" xfId="1" applyNumberFormat="1" applyFont="1" applyFill="1" applyBorder="1" applyProtection="1">
      <protection locked="0"/>
    </xf>
    <xf numFmtId="171" fontId="30" fillId="0" borderId="0" xfId="1" applyNumberFormat="1" applyFont="1" applyFill="1" applyBorder="1" applyAlignment="1" applyProtection="1">
      <alignment horizontal="center" vertical="center" wrapText="1"/>
    </xf>
    <xf numFmtId="171" fontId="30" fillId="47" borderId="4" xfId="1" applyNumberFormat="1" applyFont="1" applyFill="1" applyBorder="1" applyAlignment="1" applyProtection="1">
      <alignment horizontal="center" vertical="center" wrapText="1"/>
    </xf>
    <xf numFmtId="171" fontId="3" fillId="0" borderId="6" xfId="1" applyNumberFormat="1" applyFont="1" applyBorder="1" applyProtection="1"/>
    <xf numFmtId="171" fontId="89" fillId="0" borderId="0" xfId="1" applyNumberFormat="1" applyFont="1" applyFill="1" applyProtection="1"/>
    <xf numFmtId="171" fontId="114" fillId="0" borderId="0" xfId="1" applyNumberFormat="1" applyFont="1" applyFill="1" applyBorder="1" applyAlignment="1" applyProtection="1">
      <alignment vertical="center"/>
    </xf>
    <xf numFmtId="171" fontId="3" fillId="0" borderId="0" xfId="1" applyNumberFormat="1" applyFont="1" applyProtection="1"/>
    <xf numFmtId="171" fontId="3" fillId="0" borderId="5" xfId="1" applyNumberFormat="1" applyFont="1" applyBorder="1" applyProtection="1"/>
    <xf numFmtId="0" fontId="35" fillId="0" borderId="4" xfId="0" applyFont="1" applyBorder="1" applyAlignment="1">
      <alignment horizontal="left" vertical="center"/>
    </xf>
    <xf numFmtId="0" fontId="55" fillId="0" borderId="0" xfId="0" applyFont="1" applyAlignment="1">
      <alignment horizontal="left" vertical="center"/>
    </xf>
    <xf numFmtId="0" fontId="35" fillId="0" borderId="4" xfId="0" applyFont="1" applyBorder="1" applyAlignment="1">
      <alignment horizontal="left" vertical="center" wrapText="1"/>
    </xf>
    <xf numFmtId="0" fontId="21" fillId="0" borderId="4" xfId="0" applyFont="1" applyBorder="1" applyAlignment="1">
      <alignment horizontal="left" vertical="center" wrapText="1"/>
    </xf>
    <xf numFmtId="0" fontId="9" fillId="0" borderId="4" xfId="0" applyFont="1" applyBorder="1" applyAlignment="1">
      <alignment vertical="center" wrapText="1"/>
    </xf>
    <xf numFmtId="0" fontId="18" fillId="3" borderId="0" xfId="0" applyFont="1" applyFill="1" applyAlignment="1">
      <alignment vertical="center"/>
    </xf>
    <xf numFmtId="0" fontId="115" fillId="0" borderId="0" xfId="0" applyFont="1" applyAlignment="1">
      <alignment vertical="center"/>
    </xf>
    <xf numFmtId="3" fontId="17" fillId="47" borderId="3" xfId="0" applyNumberFormat="1" applyFont="1" applyFill="1" applyBorder="1" applyAlignment="1" applyProtection="1">
      <alignment horizontal="left" vertical="center" wrapText="1"/>
      <protection locked="0"/>
    </xf>
    <xf numFmtId="171" fontId="3" fillId="5" borderId="4" xfId="1" applyNumberFormat="1" applyFont="1" applyFill="1" applyBorder="1" applyAlignment="1">
      <alignment horizontal="left" indent="1"/>
    </xf>
    <xf numFmtId="171" fontId="3" fillId="5" borderId="4" xfId="1" applyNumberFormat="1" applyFont="1" applyFill="1" applyBorder="1" applyAlignment="1" applyProtection="1">
      <alignment horizontal="right" vertical="center"/>
    </xf>
    <xf numFmtId="171" fontId="3" fillId="5" borderId="4" xfId="1" applyNumberFormat="1" applyFont="1" applyFill="1" applyBorder="1"/>
    <xf numFmtId="171" fontId="9" fillId="5" borderId="4" xfId="1" applyNumberFormat="1" applyFont="1" applyFill="1" applyBorder="1" applyAlignment="1" applyProtection="1">
      <alignment horizontal="right" vertical="center"/>
    </xf>
    <xf numFmtId="4" fontId="21" fillId="5" borderId="4" xfId="2" applyNumberFormat="1" applyFont="1" applyFill="1" applyBorder="1" applyAlignment="1">
      <alignment horizontal="centerContinuous" vertical="center"/>
    </xf>
    <xf numFmtId="3" fontId="89" fillId="5" borderId="0" xfId="0" applyNumberFormat="1" applyFont="1" applyFill="1" applyAlignment="1">
      <alignment horizontal="center"/>
    </xf>
    <xf numFmtId="171" fontId="35" fillId="5" borderId="4" xfId="1" applyNumberFormat="1" applyFont="1" applyFill="1" applyBorder="1" applyAlignment="1" applyProtection="1">
      <alignment horizontal="center" vertical="center" wrapText="1"/>
    </xf>
    <xf numFmtId="171" fontId="9" fillId="47" borderId="4" xfId="1" applyNumberFormat="1" applyFont="1" applyFill="1" applyBorder="1" applyAlignment="1">
      <alignment horizontal="center" vertical="center" wrapText="1"/>
    </xf>
    <xf numFmtId="171" fontId="20" fillId="47" borderId="4" xfId="1" applyNumberFormat="1" applyFont="1" applyFill="1" applyBorder="1" applyAlignment="1">
      <alignment horizontal="center" vertical="center" wrapText="1"/>
    </xf>
    <xf numFmtId="171" fontId="35" fillId="5" borderId="4" xfId="1" applyNumberFormat="1" applyFont="1" applyFill="1" applyBorder="1" applyAlignment="1" applyProtection="1">
      <alignment horizontal="center" vertical="center"/>
    </xf>
    <xf numFmtId="171" fontId="89" fillId="5" borderId="0" xfId="1" applyNumberFormat="1" applyFont="1" applyFill="1"/>
    <xf numFmtId="171" fontId="89" fillId="6" borderId="4" xfId="1" applyNumberFormat="1" applyFont="1" applyFill="1" applyBorder="1" applyAlignment="1" applyProtection="1">
      <alignment horizontal="center" vertical="center" wrapText="1"/>
      <protection locked="0"/>
    </xf>
    <xf numFmtId="1" fontId="35" fillId="6" borderId="4" xfId="0" applyNumberFormat="1" applyFont="1" applyFill="1" applyBorder="1" applyAlignment="1" applyProtection="1">
      <alignment horizontal="center"/>
      <protection locked="0"/>
    </xf>
    <xf numFmtId="1" fontId="35" fillId="5" borderId="4" xfId="0" applyNumberFormat="1" applyFont="1" applyFill="1" applyBorder="1" applyAlignment="1">
      <alignment horizontal="center"/>
    </xf>
    <xf numFmtId="171" fontId="35" fillId="5" borderId="4" xfId="1" applyNumberFormat="1" applyFont="1" applyFill="1" applyBorder="1" applyAlignment="1" applyProtection="1">
      <alignment horizontal="center"/>
    </xf>
    <xf numFmtId="171" fontId="21" fillId="5" borderId="4" xfId="1" applyNumberFormat="1" applyFont="1" applyFill="1" applyBorder="1" applyAlignment="1" applyProtection="1">
      <alignment horizontal="center" vertical="center" wrapText="1"/>
    </xf>
    <xf numFmtId="9" fontId="21" fillId="0" borderId="4" xfId="9" applyFont="1" applyFill="1" applyBorder="1" applyAlignment="1">
      <alignment horizontal="center" vertical="center" wrapText="1"/>
    </xf>
    <xf numFmtId="9" fontId="21" fillId="0" borderId="3" xfId="0" applyNumberFormat="1" applyFont="1" applyBorder="1" applyAlignment="1">
      <alignment horizontal="center" vertical="center" wrapText="1"/>
    </xf>
    <xf numFmtId="2" fontId="35" fillId="0" borderId="4" xfId="0" applyNumberFormat="1" applyFont="1" applyBorder="1" applyAlignment="1">
      <alignment horizontal="center" vertical="center" wrapText="1"/>
    </xf>
    <xf numFmtId="171" fontId="3" fillId="0" borderId="0" xfId="1" applyNumberFormat="1" applyFont="1" applyAlignment="1">
      <alignment horizontal="center"/>
    </xf>
    <xf numFmtId="171" fontId="3" fillId="0" borderId="0" xfId="1" applyNumberFormat="1" applyFont="1"/>
    <xf numFmtId="182" fontId="89" fillId="0" borderId="0" xfId="0" applyNumberFormat="1" applyFont="1"/>
    <xf numFmtId="171" fontId="89" fillId="0" borderId="0" xfId="1" applyNumberFormat="1" applyFont="1"/>
    <xf numFmtId="171" fontId="29" fillId="7" borderId="0" xfId="1" applyNumberFormat="1" applyFont="1" applyFill="1" applyBorder="1" applyAlignment="1">
      <alignment vertical="center"/>
    </xf>
    <xf numFmtId="171" fontId="3" fillId="7" borderId="0" xfId="1" applyNumberFormat="1" applyFont="1" applyFill="1" applyBorder="1" applyAlignment="1">
      <alignment horizontal="center" vertical="center" wrapText="1"/>
    </xf>
    <xf numFmtId="171" fontId="9" fillId="0" borderId="0" xfId="1" applyNumberFormat="1" applyFont="1" applyAlignment="1">
      <alignment horizontal="center" vertical="center"/>
    </xf>
    <xf numFmtId="171" fontId="9" fillId="0" borderId="0" xfId="1" applyNumberFormat="1" applyFont="1"/>
    <xf numFmtId="171" fontId="21" fillId="6" borderId="4" xfId="1" applyNumberFormat="1" applyFont="1" applyFill="1" applyBorder="1" applyAlignment="1" applyProtection="1">
      <alignment horizontal="right" vertical="center" wrapText="1"/>
      <protection locked="0"/>
    </xf>
    <xf numFmtId="39" fontId="35" fillId="5" borderId="40" xfId="1" applyNumberFormat="1" applyFont="1" applyFill="1" applyBorder="1" applyAlignment="1">
      <alignment horizontal="center" vertical="center"/>
    </xf>
    <xf numFmtId="2" fontId="35" fillId="6" borderId="4" xfId="0" applyNumberFormat="1" applyFont="1" applyFill="1" applyBorder="1" applyAlignment="1" applyProtection="1">
      <alignment horizontal="right" vertical="center" wrapText="1"/>
      <protection locked="0"/>
    </xf>
    <xf numFmtId="2" fontId="28" fillId="5" borderId="0" xfId="0" applyNumberFormat="1" applyFont="1" applyFill="1" applyAlignment="1">
      <alignment horizontal="right" vertical="center"/>
    </xf>
    <xf numFmtId="171" fontId="9" fillId="5" borderId="4" xfId="1" applyNumberFormat="1" applyFont="1" applyFill="1" applyBorder="1" applyAlignment="1">
      <alignment horizontal="center" vertical="center" wrapText="1"/>
    </xf>
    <xf numFmtId="171" fontId="3" fillId="0" borderId="0" xfId="1" applyNumberFormat="1" applyFont="1" applyFill="1" applyBorder="1" applyAlignment="1">
      <alignment horizontal="center" vertical="center" wrapText="1"/>
    </xf>
    <xf numFmtId="171" fontId="21" fillId="0" borderId="4" xfId="1" applyNumberFormat="1" applyFont="1" applyFill="1" applyBorder="1" applyAlignment="1" applyProtection="1">
      <alignment horizontal="center" vertical="center" wrapText="1"/>
    </xf>
    <xf numFmtId="171" fontId="21" fillId="0" borderId="4" xfId="1" quotePrefix="1" applyNumberFormat="1" applyFont="1" applyFill="1" applyBorder="1" applyAlignment="1" applyProtection="1">
      <alignment horizontal="center" vertical="center" wrapText="1"/>
    </xf>
    <xf numFmtId="171" fontId="21" fillId="5" borderId="4" xfId="1" quotePrefix="1" applyNumberFormat="1" applyFont="1" applyFill="1" applyBorder="1" applyAlignment="1" applyProtection="1">
      <alignment horizontal="center" vertical="center" wrapText="1"/>
    </xf>
    <xf numFmtId="44" fontId="21" fillId="6" borderId="12" xfId="96" applyFont="1" applyFill="1" applyBorder="1" applyAlignment="1" applyProtection="1">
      <alignment horizontal="center" vertical="center" wrapText="1"/>
      <protection locked="0"/>
    </xf>
    <xf numFmtId="44" fontId="21" fillId="47" borderId="1" xfId="96" applyFont="1" applyFill="1" applyBorder="1" applyAlignment="1" applyProtection="1">
      <alignment horizontal="center" vertical="center" wrapText="1"/>
      <protection locked="0"/>
    </xf>
    <xf numFmtId="44" fontId="21" fillId="47" borderId="14" xfId="96" applyFont="1" applyFill="1" applyBorder="1" applyAlignment="1" applyProtection="1">
      <alignment horizontal="center" vertical="center" wrapText="1"/>
    </xf>
    <xf numFmtId="44" fontId="21" fillId="6" borderId="4" xfId="96" applyFont="1" applyFill="1" applyBorder="1" applyAlignment="1" applyProtection="1">
      <alignment horizontal="center" vertical="center" wrapText="1"/>
      <protection locked="0"/>
    </xf>
    <xf numFmtId="43" fontId="21" fillId="47" borderId="1" xfId="0" applyNumberFormat="1" applyFont="1" applyFill="1" applyBorder="1" applyAlignment="1" applyProtection="1">
      <alignment horizontal="center" vertical="center" wrapText="1"/>
      <protection locked="0"/>
    </xf>
    <xf numFmtId="43" fontId="21" fillId="47" borderId="14" xfId="0" applyNumberFormat="1" applyFont="1" applyFill="1" applyBorder="1" applyAlignment="1">
      <alignment horizontal="center" vertical="center" wrapText="1"/>
    </xf>
    <xf numFmtId="43" fontId="21" fillId="0" borderId="12" xfId="1" applyFont="1" applyFill="1" applyBorder="1" applyAlignment="1" applyProtection="1">
      <alignment horizontal="center" vertical="center" wrapText="1"/>
    </xf>
    <xf numFmtId="43" fontId="21" fillId="0" borderId="12" xfId="0" applyNumberFormat="1" applyFont="1" applyBorder="1" applyAlignment="1">
      <alignment horizontal="center" vertical="center" wrapText="1"/>
    </xf>
    <xf numFmtId="43" fontId="21" fillId="6" borderId="4" xfId="0" applyNumberFormat="1" applyFont="1" applyFill="1" applyBorder="1" applyAlignment="1" applyProtection="1">
      <alignment horizontal="center" vertical="center" wrapText="1"/>
      <protection locked="0"/>
    </xf>
    <xf numFmtId="2" fontId="21" fillId="6" borderId="12" xfId="0" applyNumberFormat="1" applyFont="1" applyFill="1" applyBorder="1" applyAlignment="1" applyProtection="1">
      <alignment horizontal="center" vertical="center" wrapText="1"/>
      <protection locked="0"/>
    </xf>
    <xf numFmtId="2" fontId="21" fillId="47" borderId="1" xfId="0" applyNumberFormat="1" applyFont="1" applyFill="1" applyBorder="1" applyAlignment="1" applyProtection="1">
      <alignment horizontal="center" vertical="center" wrapText="1"/>
      <protection locked="0"/>
    </xf>
    <xf numFmtId="2" fontId="21" fillId="47" borderId="14" xfId="0" applyNumberFormat="1" applyFont="1" applyFill="1" applyBorder="1" applyAlignment="1">
      <alignment horizontal="center" vertical="center" wrapText="1"/>
    </xf>
    <xf numFmtId="2" fontId="21" fillId="6" borderId="12" xfId="1" applyNumberFormat="1" applyFont="1" applyFill="1" applyBorder="1" applyAlignment="1" applyProtection="1">
      <alignment horizontal="center" vertical="center" wrapText="1"/>
      <protection locked="0"/>
    </xf>
    <xf numFmtId="2" fontId="21" fillId="47" borderId="1" xfId="1" applyNumberFormat="1" applyFont="1" applyFill="1" applyBorder="1" applyAlignment="1" applyProtection="1">
      <alignment horizontal="center" vertical="center" wrapText="1"/>
      <protection locked="0"/>
    </xf>
    <xf numFmtId="2" fontId="21" fillId="47" borderId="14" xfId="1" applyNumberFormat="1" applyFont="1" applyFill="1" applyBorder="1" applyAlignment="1" applyProtection="1">
      <alignment horizontal="center" vertical="center" wrapText="1"/>
    </xf>
    <xf numFmtId="44" fontId="9" fillId="0" borderId="11" xfId="96" applyFont="1" applyFill="1" applyBorder="1" applyAlignment="1">
      <alignment horizontal="center" vertical="center" wrapText="1"/>
    </xf>
    <xf numFmtId="1" fontId="21" fillId="47" borderId="1" xfId="1" applyNumberFormat="1" applyFont="1" applyFill="1" applyBorder="1" applyAlignment="1" applyProtection="1">
      <alignment horizontal="center" vertical="center" wrapText="1"/>
      <protection locked="0"/>
    </xf>
    <xf numFmtId="1" fontId="21" fillId="47" borderId="0" xfId="1" applyNumberFormat="1" applyFont="1" applyFill="1" applyBorder="1" applyAlignment="1" applyProtection="1">
      <alignment horizontal="center" vertical="center" wrapText="1"/>
    </xf>
    <xf numFmtId="0" fontId="6" fillId="0" borderId="0" xfId="0" applyFont="1" applyAlignment="1">
      <alignment horizontal="left" vertical="center" wrapText="1"/>
    </xf>
    <xf numFmtId="0" fontId="0" fillId="5" borderId="0" xfId="0" applyFill="1" applyAlignment="1">
      <alignment horizontal="left" vertical="center" wrapText="1"/>
    </xf>
    <xf numFmtId="0" fontId="89" fillId="5" borderId="0" xfId="0" applyFont="1" applyFill="1" applyAlignment="1">
      <alignment horizontal="left" vertical="center" wrapText="1"/>
    </xf>
    <xf numFmtId="165" fontId="21" fillId="6" borderId="4" xfId="2" applyNumberFormat="1" applyFont="1" applyFill="1" applyBorder="1" applyAlignment="1" applyProtection="1">
      <alignment horizontal="left" vertical="center" wrapText="1"/>
      <protection locked="0"/>
    </xf>
    <xf numFmtId="0" fontId="89" fillId="6" borderId="4" xfId="0" applyFont="1" applyFill="1" applyBorder="1" applyAlignment="1" applyProtection="1">
      <alignment horizontal="left" vertical="center" wrapText="1"/>
      <protection locked="0"/>
    </xf>
    <xf numFmtId="0" fontId="89" fillId="5" borderId="4" xfId="0" applyFont="1" applyFill="1" applyBorder="1" applyAlignment="1">
      <alignment horizontal="left" vertical="center" wrapText="1"/>
    </xf>
    <xf numFmtId="0" fontId="5" fillId="0" borderId="0" xfId="0" applyFont="1" applyAlignment="1">
      <alignment horizontal="left" vertical="center" wrapText="1"/>
    </xf>
    <xf numFmtId="0" fontId="7" fillId="0" borderId="0" xfId="0" applyFont="1" applyAlignment="1">
      <alignment horizontal="left" vertical="center" wrapText="1"/>
    </xf>
    <xf numFmtId="0" fontId="24" fillId="0" borderId="0" xfId="0" applyFont="1" applyAlignment="1">
      <alignment horizontal="left" vertical="center" wrapText="1"/>
    </xf>
    <xf numFmtId="0" fontId="3" fillId="0" borderId="4" xfId="0" applyFont="1" applyBorder="1" applyAlignment="1" applyProtection="1">
      <alignment horizontal="left" vertical="center" wrapText="1"/>
      <protection locked="0"/>
    </xf>
    <xf numFmtId="0" fontId="94" fillId="0" borderId="0" xfId="0" applyFont="1" applyAlignment="1">
      <alignment horizontal="left" vertical="center" wrapText="1"/>
    </xf>
    <xf numFmtId="0" fontId="3" fillId="0" borderId="0" xfId="0" applyFont="1" applyAlignment="1" applyProtection="1">
      <alignment horizontal="left" vertical="center" wrapText="1"/>
      <protection locked="0"/>
    </xf>
    <xf numFmtId="0" fontId="113" fillId="0" borderId="0" xfId="0" applyFont="1" applyAlignment="1">
      <alignment horizontal="left" vertical="center" wrapText="1"/>
    </xf>
    <xf numFmtId="0" fontId="9" fillId="6" borderId="4" xfId="0" applyFont="1" applyFill="1" applyBorder="1" applyAlignment="1" applyProtection="1">
      <alignment horizontal="left" vertical="center" wrapText="1"/>
      <protection locked="0"/>
    </xf>
    <xf numFmtId="0" fontId="8" fillId="0" borderId="0" xfId="0" applyFont="1" applyAlignment="1">
      <alignment horizontal="left" vertical="center" wrapText="1"/>
    </xf>
    <xf numFmtId="0" fontId="9" fillId="0" borderId="4" xfId="2" applyBorder="1" applyAlignment="1">
      <alignment horizontal="left" vertical="center" wrapText="1"/>
    </xf>
    <xf numFmtId="0" fontId="9" fillId="6" borderId="4" xfId="2" applyFill="1" applyBorder="1" applyAlignment="1" applyProtection="1">
      <alignment horizontal="left" vertical="center" wrapText="1"/>
      <protection locked="0"/>
    </xf>
    <xf numFmtId="0" fontId="9" fillId="9" borderId="0" xfId="2" applyFill="1" applyAlignment="1">
      <alignment horizontal="left" vertical="center" wrapText="1"/>
    </xf>
    <xf numFmtId="0" fontId="21" fillId="0" borderId="4" xfId="2" applyFont="1" applyBorder="1" applyAlignment="1">
      <alignment horizontal="left" vertical="center" wrapText="1"/>
    </xf>
    <xf numFmtId="0" fontId="21" fillId="0" borderId="0" xfId="2" applyFont="1" applyAlignment="1">
      <alignment horizontal="left" vertical="center" wrapText="1"/>
    </xf>
    <xf numFmtId="0" fontId="9" fillId="3" borderId="4" xfId="2" applyFill="1" applyBorder="1" applyAlignment="1">
      <alignment horizontal="left" vertical="center" wrapText="1"/>
    </xf>
    <xf numFmtId="0" fontId="20" fillId="0" borderId="0" xfId="2" applyFont="1" applyAlignment="1">
      <alignment horizontal="left" vertical="center" wrapText="1"/>
    </xf>
    <xf numFmtId="0" fontId="19" fillId="0" borderId="0" xfId="2" applyFont="1" applyAlignment="1">
      <alignment horizontal="left" vertical="center" wrapText="1"/>
    </xf>
    <xf numFmtId="0" fontId="23" fillId="0" borderId="4" xfId="2" applyFont="1" applyBorder="1" applyAlignment="1">
      <alignment horizontal="left" vertical="center" wrapText="1"/>
    </xf>
    <xf numFmtId="0" fontId="23" fillId="0" borderId="0" xfId="2" applyFont="1" applyAlignment="1">
      <alignment horizontal="left" vertical="center" wrapText="1"/>
    </xf>
    <xf numFmtId="0" fontId="29" fillId="0" borderId="0" xfId="2" applyFont="1" applyAlignment="1">
      <alignment vertical="center"/>
    </xf>
    <xf numFmtId="0" fontId="20" fillId="5" borderId="0" xfId="2" applyFont="1" applyFill="1" applyAlignment="1">
      <alignment vertical="center"/>
    </xf>
    <xf numFmtId="0" fontId="29" fillId="9" borderId="0" xfId="2" applyFont="1" applyFill="1" applyAlignment="1">
      <alignment vertical="center"/>
    </xf>
    <xf numFmtId="49" fontId="20" fillId="47" borderId="4" xfId="2" applyNumberFormat="1" applyFont="1" applyFill="1" applyBorder="1" applyAlignment="1">
      <alignment horizontal="center" vertical="center" textRotation="90" wrapText="1"/>
    </xf>
    <xf numFmtId="49" fontId="20" fillId="47" borderId="4" xfId="2" applyNumberFormat="1" applyFont="1" applyFill="1" applyBorder="1" applyAlignment="1">
      <alignment horizontal="centerContinuous" vertical="center" wrapText="1"/>
    </xf>
    <xf numFmtId="49" fontId="20" fillId="47" borderId="99" xfId="2" applyNumberFormat="1" applyFont="1" applyFill="1" applyBorder="1" applyAlignment="1">
      <alignment horizontal="center" vertical="center" wrapText="1"/>
    </xf>
    <xf numFmtId="49" fontId="20" fillId="4" borderId="99" xfId="2" applyNumberFormat="1" applyFont="1" applyFill="1" applyBorder="1" applyAlignment="1">
      <alignment horizontal="center" vertical="center" wrapText="1"/>
    </xf>
    <xf numFmtId="49" fontId="20" fillId="47" borderId="4" xfId="2" applyNumberFormat="1" applyFont="1" applyFill="1" applyBorder="1" applyAlignment="1">
      <alignment horizontal="left" vertical="center" textRotation="90" wrapText="1"/>
    </xf>
    <xf numFmtId="0" fontId="20" fillId="6" borderId="65" xfId="2" applyFont="1" applyFill="1" applyBorder="1" applyAlignment="1" applyProtection="1">
      <alignment vertical="center"/>
      <protection locked="0"/>
    </xf>
    <xf numFmtId="0" fontId="20" fillId="6" borderId="65" xfId="2" applyFont="1" applyFill="1" applyBorder="1" applyAlignment="1" applyProtection="1">
      <alignment vertical="center" wrapText="1"/>
      <protection locked="0"/>
    </xf>
    <xf numFmtId="49" fontId="20" fillId="0" borderId="0" xfId="2" applyNumberFormat="1" applyFont="1" applyAlignment="1">
      <alignment horizontal="center" vertical="center" wrapText="1"/>
    </xf>
    <xf numFmtId="49" fontId="20" fillId="5" borderId="0" xfId="2" applyNumberFormat="1" applyFont="1" applyFill="1" applyAlignment="1">
      <alignment horizontal="center" vertical="center" wrapText="1"/>
    </xf>
    <xf numFmtId="0" fontId="21" fillId="5" borderId="4" xfId="2" applyFont="1" applyFill="1" applyBorder="1" applyAlignment="1">
      <alignment horizontal="center" vertical="center" wrapText="1"/>
    </xf>
    <xf numFmtId="0" fontId="79" fillId="5" borderId="4" xfId="2" applyFont="1" applyFill="1" applyBorder="1" applyAlignment="1">
      <alignment horizontal="center" vertical="center" wrapText="1"/>
    </xf>
    <xf numFmtId="167" fontId="9" fillId="0" borderId="4" xfId="1" applyNumberFormat="1" applyFont="1" applyFill="1" applyBorder="1" applyAlignment="1">
      <alignment horizontal="center" vertical="center" wrapText="1"/>
    </xf>
    <xf numFmtId="3" fontId="17" fillId="47" borderId="3" xfId="0" applyNumberFormat="1" applyFont="1" applyFill="1" applyBorder="1" applyAlignment="1">
      <alignment horizontal="left" vertical="center" wrapText="1"/>
    </xf>
    <xf numFmtId="0" fontId="9" fillId="5" borderId="85" xfId="0" applyFont="1" applyFill="1" applyBorder="1" applyAlignment="1">
      <alignment horizontal="center" vertical="center"/>
    </xf>
    <xf numFmtId="0" fontId="9" fillId="5" borderId="65" xfId="0" applyFont="1" applyFill="1" applyBorder="1" applyAlignment="1">
      <alignment horizontal="center" vertical="center"/>
    </xf>
    <xf numFmtId="44" fontId="9" fillId="0" borderId="4" xfId="96" applyFont="1" applyBorder="1" applyAlignment="1">
      <alignment horizontal="center" vertical="center" wrapText="1"/>
    </xf>
    <xf numFmtId="201" fontId="9" fillId="0" borderId="4" xfId="1" applyNumberFormat="1" applyFont="1" applyBorder="1" applyAlignment="1">
      <alignment horizontal="center" vertical="center" wrapText="1"/>
    </xf>
    <xf numFmtId="44" fontId="9" fillId="0" borderId="4" xfId="96" applyFont="1" applyFill="1" applyBorder="1" applyAlignment="1">
      <alignment horizontal="center" vertical="center" wrapText="1"/>
    </xf>
    <xf numFmtId="0" fontId="20" fillId="47" borderId="12" xfId="0" applyFont="1" applyFill="1" applyBorder="1" applyAlignment="1">
      <alignment vertical="center"/>
    </xf>
    <xf numFmtId="0" fontId="20" fillId="47" borderId="12" xfId="0" applyFont="1" applyFill="1" applyBorder="1" applyAlignment="1">
      <alignment horizontal="center" vertical="center"/>
    </xf>
    <xf numFmtId="0" fontId="9" fillId="47" borderId="3" xfId="0" applyFont="1" applyFill="1" applyBorder="1" applyAlignment="1">
      <alignment vertical="center" wrapText="1"/>
    </xf>
    <xf numFmtId="0" fontId="21" fillId="0" borderId="4" xfId="0" applyFont="1" applyBorder="1" applyAlignment="1">
      <alignment horizontal="center" vertical="center"/>
    </xf>
    <xf numFmtId="0" fontId="21" fillId="5" borderId="4" xfId="0" applyFont="1" applyFill="1" applyBorder="1" applyAlignment="1" applyProtection="1">
      <alignment horizontal="center" vertical="center" wrapText="1"/>
      <protection locked="0"/>
    </xf>
    <xf numFmtId="166" fontId="21" fillId="5" borderId="4" xfId="0" applyNumberFormat="1" applyFont="1" applyFill="1" applyBorder="1" applyAlignment="1">
      <alignment horizontal="center" vertical="center" wrapText="1"/>
    </xf>
    <xf numFmtId="43" fontId="20" fillId="47" borderId="4" xfId="1" applyFont="1" applyFill="1" applyBorder="1" applyAlignment="1">
      <alignment horizontal="center" vertical="center" wrapText="1"/>
    </xf>
    <xf numFmtId="43" fontId="141" fillId="47" borderId="5" xfId="1" applyFont="1" applyFill="1" applyBorder="1" applyAlignment="1" applyProtection="1">
      <alignment horizontal="center" vertical="center"/>
    </xf>
    <xf numFmtId="165" fontId="21" fillId="0" borderId="11" xfId="0" applyNumberFormat="1" applyFont="1" applyBorder="1" applyAlignment="1">
      <alignment horizontal="center" vertical="center" wrapText="1"/>
    </xf>
    <xf numFmtId="0" fontId="140" fillId="3" borderId="0" xfId="0" applyFont="1" applyFill="1" applyAlignment="1">
      <alignment horizontal="center" vertical="center"/>
    </xf>
    <xf numFmtId="43" fontId="21" fillId="0" borderId="3" xfId="1" applyFont="1" applyBorder="1" applyAlignment="1">
      <alignment horizontal="center" vertical="center"/>
    </xf>
    <xf numFmtId="0" fontId="89" fillId="0" borderId="0" xfId="0" applyFont="1" applyAlignment="1">
      <alignment horizontal="center" vertical="center" wrapText="1"/>
    </xf>
    <xf numFmtId="0" fontId="147" fillId="0" borderId="0" xfId="0" applyFont="1" applyAlignment="1">
      <alignment horizontal="center" vertical="center" wrapText="1"/>
    </xf>
    <xf numFmtId="0" fontId="115" fillId="0" borderId="0" xfId="0" applyFont="1" applyAlignment="1">
      <alignment horizontal="center" vertical="center"/>
    </xf>
    <xf numFmtId="0" fontId="115" fillId="0" borderId="0" xfId="0" applyFont="1" applyAlignment="1">
      <alignment horizontal="center" vertical="center" wrapText="1"/>
    </xf>
    <xf numFmtId="43" fontId="21" fillId="47" borderId="4" xfId="1" applyFont="1" applyFill="1" applyBorder="1" applyAlignment="1" applyProtection="1">
      <alignment horizontal="center" vertical="center" wrapText="1"/>
      <protection locked="0"/>
    </xf>
    <xf numFmtId="43" fontId="141" fillId="47" borderId="14" xfId="1" applyFont="1" applyFill="1" applyBorder="1" applyAlignment="1" applyProtection="1">
      <alignment horizontal="center" vertical="center"/>
    </xf>
    <xf numFmtId="0" fontId="20" fillId="47" borderId="11" xfId="0" applyFont="1" applyFill="1" applyBorder="1" applyAlignment="1">
      <alignment vertical="center"/>
    </xf>
    <xf numFmtId="0" fontId="20" fillId="47" borderId="3" xfId="0" applyFont="1" applyFill="1" applyBorder="1" applyAlignment="1">
      <alignment vertical="center" wrapText="1"/>
    </xf>
    <xf numFmtId="0" fontId="20" fillId="47" borderId="3" xfId="0" applyFont="1" applyFill="1" applyBorder="1" applyAlignment="1">
      <alignment vertical="center"/>
    </xf>
    <xf numFmtId="0" fontId="20" fillId="47" borderId="4" xfId="0" applyFont="1" applyFill="1" applyBorder="1" applyAlignment="1">
      <alignment vertical="center" wrapText="1"/>
    </xf>
    <xf numFmtId="0" fontId="20" fillId="47" borderId="11" xfId="0" applyFont="1" applyFill="1" applyBorder="1" applyAlignment="1">
      <alignment vertical="center" wrapText="1"/>
    </xf>
    <xf numFmtId="43" fontId="21" fillId="0" borderId="12" xfId="1" applyFont="1" applyFill="1" applyBorder="1" applyAlignment="1" applyProtection="1">
      <alignment horizontal="center" vertical="center" wrapText="1"/>
      <protection locked="0"/>
    </xf>
    <xf numFmtId="0" fontId="21" fillId="0" borderId="4" xfId="0" applyFont="1" applyBorder="1" applyAlignment="1">
      <alignment horizontal="center" vertical="center" wrapText="1"/>
    </xf>
    <xf numFmtId="166" fontId="21" fillId="0" borderId="4" xfId="0" applyNumberFormat="1" applyFont="1" applyBorder="1" applyAlignment="1">
      <alignment horizontal="center" vertical="center" wrapText="1"/>
    </xf>
    <xf numFmtId="43" fontId="3" fillId="0" borderId="0" xfId="1" applyFont="1" applyAlignment="1">
      <alignment vertical="center" wrapText="1"/>
    </xf>
    <xf numFmtId="0" fontId="140" fillId="0" borderId="0" xfId="0" applyFont="1"/>
    <xf numFmtId="0" fontId="140" fillId="0" borderId="0" xfId="0" applyFont="1" applyAlignment="1">
      <alignment vertical="center" wrapText="1"/>
    </xf>
    <xf numFmtId="43" fontId="21" fillId="5" borderId="4" xfId="1" applyFont="1" applyFill="1" applyBorder="1" applyAlignment="1" applyProtection="1">
      <alignment horizontal="center" vertical="center"/>
      <protection locked="0"/>
    </xf>
    <xf numFmtId="0" fontId="141" fillId="7" borderId="0" xfId="0" applyFont="1" applyFill="1" applyAlignment="1">
      <alignment vertical="center"/>
    </xf>
    <xf numFmtId="0" fontId="140" fillId="47" borderId="5" xfId="0" applyFont="1" applyFill="1" applyBorder="1" applyAlignment="1">
      <alignment horizontal="center" vertical="center" wrapText="1"/>
    </xf>
    <xf numFmtId="3" fontId="142" fillId="47" borderId="5" xfId="0" applyNumberFormat="1" applyFont="1" applyFill="1" applyBorder="1" applyAlignment="1">
      <alignment horizontal="center" vertical="center" wrapText="1"/>
    </xf>
    <xf numFmtId="0" fontId="142" fillId="47" borderId="5" xfId="0" applyFont="1" applyFill="1" applyBorder="1" applyAlignment="1">
      <alignment horizontal="center" vertical="center"/>
    </xf>
    <xf numFmtId="0" fontId="142" fillId="47" borderId="5" xfId="0" applyFont="1" applyFill="1" applyBorder="1" applyAlignment="1">
      <alignment horizontal="left" vertical="center" wrapText="1"/>
    </xf>
    <xf numFmtId="0" fontId="169" fillId="0" borderId="0" xfId="0" applyFont="1"/>
    <xf numFmtId="167" fontId="21" fillId="5" borderId="11" xfId="1" applyNumberFormat="1" applyFont="1" applyFill="1" applyBorder="1" applyAlignment="1">
      <alignment horizontal="center" vertical="center" wrapText="1"/>
    </xf>
    <xf numFmtId="167" fontId="21" fillId="0" borderId="4" xfId="1" applyNumberFormat="1" applyFont="1" applyFill="1" applyBorder="1" applyAlignment="1">
      <alignment horizontal="center" vertical="center" wrapText="1"/>
    </xf>
    <xf numFmtId="167" fontId="21" fillId="5" borderId="4" xfId="1" applyNumberFormat="1" applyFont="1" applyFill="1" applyBorder="1" applyAlignment="1">
      <alignment horizontal="center" vertical="center" wrapText="1"/>
    </xf>
    <xf numFmtId="43" fontId="21" fillId="6" borderId="3" xfId="1" applyFont="1" applyFill="1" applyBorder="1" applyAlignment="1" applyProtection="1">
      <alignment horizontal="center" vertical="center" wrapText="1"/>
      <protection locked="0"/>
    </xf>
    <xf numFmtId="43" fontId="21" fillId="0" borderId="3" xfId="1" applyFont="1" applyFill="1" applyBorder="1" applyAlignment="1">
      <alignment horizontal="center" vertical="center"/>
    </xf>
    <xf numFmtId="43" fontId="21" fillId="0" borderId="3" xfId="1" applyFont="1" applyFill="1" applyBorder="1" applyAlignment="1">
      <alignment horizontal="center" vertical="center" wrapText="1"/>
    </xf>
    <xf numFmtId="43" fontId="21" fillId="0" borderId="3" xfId="1" applyFont="1" applyFill="1" applyBorder="1" applyAlignment="1" applyProtection="1">
      <alignment horizontal="center" vertical="center" wrapText="1"/>
    </xf>
    <xf numFmtId="43" fontId="9" fillId="0" borderId="57" xfId="1" applyFont="1" applyBorder="1" applyAlignment="1">
      <alignment horizontal="center" vertical="center"/>
    </xf>
    <xf numFmtId="43" fontId="140" fillId="3" borderId="0" xfId="1" applyFont="1" applyFill="1" applyAlignment="1">
      <alignment horizontal="center" vertical="center"/>
    </xf>
    <xf numFmtId="168" fontId="142" fillId="47" borderId="5" xfId="0" applyNumberFormat="1" applyFont="1" applyFill="1" applyBorder="1" applyAlignment="1">
      <alignment horizontal="center" vertical="center" wrapText="1"/>
    </xf>
    <xf numFmtId="0" fontId="140" fillId="3" borderId="0" xfId="0" applyFont="1" applyFill="1" applyAlignment="1">
      <alignment vertical="center" wrapText="1"/>
    </xf>
    <xf numFmtId="3" fontId="140" fillId="47" borderId="5" xfId="0" applyNumberFormat="1" applyFont="1" applyFill="1" applyBorder="1" applyAlignment="1">
      <alignment horizontal="center" vertical="center" wrapText="1"/>
    </xf>
    <xf numFmtId="0" fontId="140" fillId="47" borderId="5" xfId="0" applyFont="1" applyFill="1" applyBorder="1" applyAlignment="1">
      <alignment horizontal="left" vertical="center" wrapText="1"/>
    </xf>
    <xf numFmtId="166" fontId="140" fillId="47" borderId="5" xfId="0" applyNumberFormat="1" applyFont="1" applyFill="1" applyBorder="1" applyAlignment="1">
      <alignment horizontal="center" vertical="center" wrapText="1"/>
    </xf>
    <xf numFmtId="0" fontId="141" fillId="47" borderId="5" xfId="0" applyFont="1" applyFill="1" applyBorder="1" applyAlignment="1">
      <alignment horizontal="center" vertical="center" wrapText="1"/>
    </xf>
    <xf numFmtId="0" fontId="141" fillId="47" borderId="6" xfId="0" applyFont="1" applyFill="1" applyBorder="1" applyAlignment="1">
      <alignment horizontal="center" vertical="center" wrapText="1"/>
    </xf>
    <xf numFmtId="0" fontId="140" fillId="0" borderId="0" xfId="0" applyFont="1" applyAlignment="1">
      <alignment horizontal="center" wrapText="1"/>
    </xf>
    <xf numFmtId="0" fontId="141" fillId="7" borderId="0" xfId="0" applyFont="1" applyFill="1" applyAlignment="1">
      <alignment vertical="center" wrapText="1"/>
    </xf>
    <xf numFmtId="0" fontId="140" fillId="0" borderId="0" xfId="0" applyFont="1" applyAlignment="1">
      <alignment wrapText="1"/>
    </xf>
    <xf numFmtId="0" fontId="169" fillId="0" borderId="0" xfId="0" applyFont="1" applyAlignment="1">
      <alignment wrapText="1"/>
    </xf>
    <xf numFmtId="9" fontId="3" fillId="0" borderId="0" xfId="9" applyFont="1" applyAlignment="1">
      <alignment horizontal="center"/>
    </xf>
    <xf numFmtId="0" fontId="9" fillId="0" borderId="3" xfId="2" applyBorder="1" applyAlignment="1">
      <alignment vertical="center" wrapText="1"/>
    </xf>
    <xf numFmtId="0" fontId="9" fillId="0" borderId="12" xfId="2" applyBorder="1" applyAlignment="1">
      <alignment vertical="center" wrapText="1"/>
    </xf>
    <xf numFmtId="0" fontId="9" fillId="0" borderId="11" xfId="2" applyBorder="1" applyAlignment="1">
      <alignment vertical="center" wrapText="1"/>
    </xf>
    <xf numFmtId="0" fontId="0" fillId="0" borderId="3" xfId="0" applyBorder="1"/>
    <xf numFmtId="0" fontId="170" fillId="47" borderId="5" xfId="0" applyFont="1" applyFill="1" applyBorder="1" applyAlignment="1">
      <alignment horizontal="center" vertical="center" wrapText="1"/>
    </xf>
    <xf numFmtId="43" fontId="170" fillId="47" borderId="14" xfId="1" applyFont="1" applyFill="1" applyBorder="1" applyAlignment="1" applyProtection="1">
      <alignment horizontal="center" vertical="center"/>
    </xf>
    <xf numFmtId="0" fontId="79" fillId="0" borderId="0" xfId="0" applyFont="1" applyAlignment="1">
      <alignment horizontal="center" vertical="center"/>
    </xf>
    <xf numFmtId="0" fontId="55" fillId="0" borderId="0" xfId="0" applyFont="1" applyAlignment="1">
      <alignment horizontal="center" vertical="center"/>
    </xf>
    <xf numFmtId="43" fontId="79" fillId="0" borderId="0" xfId="1" applyFont="1" applyAlignment="1">
      <alignment horizontal="center" vertical="center"/>
    </xf>
    <xf numFmtId="0" fontId="79" fillId="0" borderId="57" xfId="0" applyFont="1" applyBorder="1" applyAlignment="1">
      <alignment horizontal="center" vertical="center"/>
    </xf>
    <xf numFmtId="0" fontId="79" fillId="0" borderId="7" xfId="0" applyFont="1" applyBorder="1" applyAlignment="1">
      <alignment horizontal="center" vertical="center"/>
    </xf>
    <xf numFmtId="0" fontId="79" fillId="0" borderId="142" xfId="0" applyFont="1" applyBorder="1" applyAlignment="1">
      <alignment horizontal="center" vertical="center"/>
    </xf>
    <xf numFmtId="0" fontId="79" fillId="0" borderId="129" xfId="0" applyFont="1" applyBorder="1" applyAlignment="1">
      <alignment horizontal="center" vertical="center"/>
    </xf>
    <xf numFmtId="43" fontId="79" fillId="0" borderId="7" xfId="1" applyFont="1" applyBorder="1" applyAlignment="1">
      <alignment horizontal="center" vertical="center"/>
    </xf>
    <xf numFmtId="43" fontId="170" fillId="47" borderId="5" xfId="1" applyFont="1" applyFill="1" applyBorder="1" applyAlignment="1" applyProtection="1">
      <alignment horizontal="center" vertical="center"/>
    </xf>
    <xf numFmtId="0" fontId="21" fillId="0" borderId="0" xfId="0" applyFont="1" applyAlignment="1">
      <alignment horizontal="center" vertical="center"/>
    </xf>
    <xf numFmtId="0" fontId="21" fillId="0" borderId="7" xfId="0" applyFont="1" applyBorder="1" applyAlignment="1">
      <alignment horizontal="center" vertical="center"/>
    </xf>
    <xf numFmtId="0" fontId="21" fillId="0" borderId="142" xfId="0" applyFont="1" applyBorder="1" applyAlignment="1">
      <alignment horizontal="center" vertical="center"/>
    </xf>
    <xf numFmtId="43" fontId="79" fillId="0" borderId="57" xfId="1" applyFont="1" applyBorder="1" applyAlignment="1">
      <alignment horizontal="center" vertical="center"/>
    </xf>
    <xf numFmtId="164" fontId="21" fillId="6" borderId="4" xfId="9" applyNumberFormat="1" applyFont="1" applyFill="1" applyBorder="1" applyAlignment="1" applyProtection="1">
      <alignment horizontal="center" vertical="center" wrapText="1"/>
      <protection locked="0"/>
    </xf>
    <xf numFmtId="193" fontId="21" fillId="0" borderId="3" xfId="2" applyNumberFormat="1" applyFont="1" applyBorder="1" applyAlignment="1">
      <alignment horizontal="left" vertical="center" wrapText="1" indent="1"/>
    </xf>
    <xf numFmtId="193" fontId="21" fillId="0" borderId="65" xfId="2" applyNumberFormat="1" applyFont="1" applyBorder="1" applyAlignment="1">
      <alignment horizontal="left" vertical="center" wrapText="1" indent="1"/>
    </xf>
    <xf numFmtId="9" fontId="21" fillId="0" borderId="65" xfId="9" applyFont="1" applyFill="1" applyBorder="1" applyAlignment="1" applyProtection="1">
      <alignment horizontal="left" vertical="center" wrapText="1" indent="1"/>
    </xf>
    <xf numFmtId="187" fontId="21" fillId="44" borderId="65" xfId="2" applyNumberFormat="1" applyFont="1" applyFill="1" applyBorder="1" applyAlignment="1">
      <alignment horizontal="right" vertical="center"/>
    </xf>
    <xf numFmtId="165" fontId="9" fillId="0" borderId="4" xfId="2" applyNumberFormat="1" applyBorder="1" applyAlignment="1">
      <alignment horizontal="center" vertical="center" wrapText="1"/>
    </xf>
    <xf numFmtId="0" fontId="3" fillId="0" borderId="65" xfId="0" applyFont="1" applyBorder="1" applyAlignment="1">
      <alignment horizontal="center" wrapText="1"/>
    </xf>
    <xf numFmtId="0" fontId="3" fillId="0" borderId="65" xfId="0" applyFont="1" applyBorder="1" applyAlignment="1">
      <alignment horizontal="center" vertical="center"/>
    </xf>
    <xf numFmtId="0" fontId="0" fillId="58" borderId="4" xfId="0" applyFill="1" applyBorder="1"/>
    <xf numFmtId="0" fontId="0" fillId="47" borderId="4" xfId="0" applyFill="1" applyBorder="1"/>
    <xf numFmtId="0" fontId="0" fillId="59" borderId="4" xfId="0" applyFill="1" applyBorder="1"/>
    <xf numFmtId="0" fontId="79" fillId="47" borderId="5" xfId="0" applyFont="1" applyFill="1" applyBorder="1" applyAlignment="1">
      <alignment horizontal="center" vertical="center" wrapText="1"/>
    </xf>
    <xf numFmtId="0" fontId="105" fillId="0" borderId="0" xfId="0" applyFont="1" applyAlignment="1">
      <alignment vertical="center" wrapText="1"/>
    </xf>
    <xf numFmtId="0" fontId="172" fillId="3" borderId="0" xfId="0" applyFont="1" applyFill="1" applyAlignment="1">
      <alignment vertical="top"/>
    </xf>
    <xf numFmtId="0" fontId="105" fillId="3" borderId="0" xfId="0" applyFont="1" applyFill="1" applyAlignment="1">
      <alignment vertical="center" wrapText="1"/>
    </xf>
    <xf numFmtId="0" fontId="105" fillId="3" borderId="0" xfId="0" applyFont="1" applyFill="1" applyAlignment="1">
      <alignment horizontal="center" vertical="center" wrapText="1"/>
    </xf>
    <xf numFmtId="0" fontId="105" fillId="3" borderId="0" xfId="0" applyFont="1" applyFill="1" applyAlignment="1">
      <alignment horizontal="center" vertical="center"/>
    </xf>
    <xf numFmtId="0" fontId="171" fillId="3" borderId="0" xfId="0" applyFont="1" applyFill="1" applyAlignment="1">
      <alignment horizontal="center" vertical="top" wrapText="1"/>
    </xf>
    <xf numFmtId="0" fontId="171" fillId="3" borderId="0" xfId="0" applyFont="1" applyFill="1" applyAlignment="1">
      <alignment horizontal="center" vertical="center"/>
    </xf>
    <xf numFmtId="43" fontId="105" fillId="3" borderId="0" xfId="1" applyFont="1" applyFill="1" applyAlignment="1">
      <alignment horizontal="center" vertical="center"/>
    </xf>
    <xf numFmtId="0" fontId="105" fillId="0" borderId="0" xfId="0" applyFont="1" applyAlignment="1">
      <alignment horizontal="left" vertical="center" wrapText="1"/>
    </xf>
    <xf numFmtId="43" fontId="105" fillId="0" borderId="0" xfId="1" applyFont="1" applyAlignment="1">
      <alignment vertical="center" wrapText="1"/>
    </xf>
    <xf numFmtId="0" fontId="9" fillId="0" borderId="65" xfId="0" applyFont="1" applyBorder="1" applyAlignment="1" applyProtection="1">
      <alignment vertical="center"/>
      <protection locked="0"/>
    </xf>
    <xf numFmtId="0" fontId="0" fillId="60" borderId="4" xfId="0" applyFill="1" applyBorder="1"/>
    <xf numFmtId="43" fontId="0" fillId="0" borderId="0" xfId="0" applyNumberFormat="1"/>
    <xf numFmtId="185" fontId="9" fillId="0" borderId="0" xfId="2" applyNumberFormat="1" applyAlignment="1">
      <alignment vertical="center"/>
    </xf>
    <xf numFmtId="180" fontId="21" fillId="5" borderId="4" xfId="2" applyNumberFormat="1" applyFont="1" applyFill="1" applyBorder="1" applyAlignment="1">
      <alignment vertical="center" wrapText="1"/>
    </xf>
    <xf numFmtId="43" fontId="21" fillId="0" borderId="4" xfId="2" applyNumberFormat="1" applyFont="1" applyBorder="1" applyAlignment="1">
      <alignment horizontal="center" vertical="center"/>
    </xf>
    <xf numFmtId="0" fontId="21" fillId="6" borderId="65" xfId="2" applyFont="1" applyFill="1" applyBorder="1" applyAlignment="1" applyProtection="1">
      <alignment horizontal="left" vertical="center" indent="1"/>
      <protection locked="0"/>
    </xf>
    <xf numFmtId="171" fontId="89" fillId="6" borderId="4" xfId="0" applyNumberFormat="1" applyFont="1" applyFill="1" applyBorder="1" applyAlignment="1" applyProtection="1">
      <alignment horizontal="left" vertical="center" wrapText="1"/>
      <protection locked="0"/>
    </xf>
    <xf numFmtId="166" fontId="21" fillId="5" borderId="2" xfId="0" applyNumberFormat="1" applyFont="1" applyFill="1" applyBorder="1" applyAlignment="1">
      <alignment horizontal="center" vertical="center" wrapText="1"/>
    </xf>
    <xf numFmtId="43" fontId="21" fillId="0" borderId="6" xfId="1" applyFont="1" applyFill="1" applyBorder="1" applyAlignment="1">
      <alignment horizontal="center" vertical="center" wrapText="1"/>
    </xf>
    <xf numFmtId="3" fontId="21" fillId="0" borderId="0" xfId="0" applyNumberFormat="1" applyFont="1" applyAlignment="1">
      <alignment horizontal="center" vertical="center"/>
    </xf>
    <xf numFmtId="0" fontId="3" fillId="47" borderId="4" xfId="0" applyFont="1" applyFill="1" applyBorder="1" applyAlignment="1">
      <alignment horizontal="centerContinuous" vertical="top" wrapText="1"/>
    </xf>
    <xf numFmtId="0" fontId="173" fillId="9" borderId="0" xfId="421" applyFont="1" applyFill="1" applyAlignment="1">
      <alignment vertical="center"/>
    </xf>
    <xf numFmtId="0" fontId="174" fillId="9" borderId="68" xfId="421" applyFont="1" applyFill="1" applyBorder="1" applyAlignment="1">
      <alignment vertical="center"/>
    </xf>
    <xf numFmtId="0" fontId="175" fillId="9" borderId="0" xfId="421" applyFont="1" applyFill="1" applyAlignment="1">
      <alignment vertical="center"/>
    </xf>
    <xf numFmtId="0" fontId="176" fillId="9" borderId="0" xfId="421" applyFont="1" applyFill="1" applyAlignment="1">
      <alignment vertical="center"/>
    </xf>
    <xf numFmtId="0" fontId="177" fillId="0" borderId="0" xfId="446" applyFont="1"/>
    <xf numFmtId="0" fontId="178" fillId="0" borderId="0" xfId="446" applyFont="1"/>
    <xf numFmtId="0" fontId="179" fillId="9" borderId="0" xfId="421" applyFont="1" applyFill="1" applyAlignment="1">
      <alignment vertical="center"/>
    </xf>
    <xf numFmtId="0" fontId="178" fillId="0" borderId="0" xfId="446" applyFont="1" applyAlignment="1">
      <alignment horizontal="center"/>
    </xf>
    <xf numFmtId="0" fontId="180" fillId="0" borderId="0" xfId="421" applyFont="1"/>
    <xf numFmtId="0" fontId="181" fillId="0" borderId="0" xfId="421" applyFont="1"/>
    <xf numFmtId="0" fontId="182" fillId="0" borderId="0" xfId="421" applyFont="1"/>
    <xf numFmtId="0" fontId="180" fillId="0" borderId="0" xfId="421" applyFont="1" applyAlignment="1">
      <alignment horizontal="left"/>
    </xf>
    <xf numFmtId="0" fontId="183" fillId="0" borderId="0" xfId="421" applyFont="1"/>
    <xf numFmtId="0" fontId="181" fillId="0" borderId="0" xfId="421" applyFont="1" applyAlignment="1">
      <alignment horizontal="left"/>
    </xf>
    <xf numFmtId="0" fontId="12" fillId="4" borderId="65" xfId="0" applyFont="1" applyFill="1" applyBorder="1"/>
    <xf numFmtId="0" fontId="12" fillId="4" borderId="65" xfId="0" applyFont="1" applyFill="1" applyBorder="1" applyAlignment="1">
      <alignment horizontal="center"/>
    </xf>
    <xf numFmtId="0" fontId="0" fillId="0" borderId="65" xfId="0" applyBorder="1" applyAlignment="1">
      <alignment horizontal="left" vertical="center" wrapText="1"/>
    </xf>
    <xf numFmtId="14" fontId="0" fillId="0" borderId="0" xfId="0" applyNumberFormat="1" applyAlignment="1">
      <alignment horizontal="center"/>
    </xf>
    <xf numFmtId="0" fontId="184" fillId="4" borderId="65" xfId="421" applyFont="1" applyFill="1" applyBorder="1" applyAlignment="1">
      <alignment horizontal="center" vertical="center" wrapText="1"/>
    </xf>
    <xf numFmtId="0" fontId="184" fillId="56" borderId="65" xfId="421" applyFont="1" applyFill="1" applyBorder="1" applyAlignment="1">
      <alignment horizontal="left" vertical="center" wrapText="1"/>
    </xf>
    <xf numFmtId="0" fontId="181" fillId="0" borderId="0" xfId="421" applyFont="1" applyAlignment="1" applyProtection="1">
      <alignment horizontal="left"/>
      <protection locked="0"/>
    </xf>
    <xf numFmtId="0" fontId="181" fillId="0" borderId="0" xfId="421" applyFont="1" applyProtection="1">
      <protection locked="0"/>
    </xf>
    <xf numFmtId="0" fontId="181" fillId="0" borderId="0" xfId="421" applyFont="1" applyAlignment="1" applyProtection="1">
      <alignment horizontal="center" vertical="center"/>
      <protection locked="0"/>
    </xf>
    <xf numFmtId="0" fontId="181" fillId="61" borderId="0" xfId="421" applyFont="1" applyFill="1" applyAlignment="1" applyProtection="1">
      <alignment horizontal="left"/>
      <protection locked="0"/>
    </xf>
    <xf numFmtId="0" fontId="181" fillId="61" borderId="0" xfId="421" applyFont="1" applyFill="1" applyProtection="1">
      <protection locked="0"/>
    </xf>
    <xf numFmtId="0" fontId="181" fillId="0" borderId="0" xfId="421" applyFont="1" applyAlignment="1">
      <alignment vertical="top" wrapText="1"/>
    </xf>
    <xf numFmtId="0" fontId="181" fillId="0" borderId="0" xfId="421" applyFont="1" applyAlignment="1">
      <alignment horizontal="left" vertical="top" wrapText="1"/>
    </xf>
    <xf numFmtId="4" fontId="3" fillId="0" borderId="0" xfId="0" applyNumberFormat="1" applyFont="1"/>
    <xf numFmtId="0" fontId="184" fillId="4" borderId="65" xfId="421" applyFont="1" applyFill="1" applyBorder="1" applyAlignment="1" applyProtection="1">
      <alignment horizontal="center" vertical="center" wrapText="1"/>
      <protection locked="0"/>
    </xf>
    <xf numFmtId="0" fontId="75" fillId="4" borderId="32" xfId="0" applyFont="1" applyFill="1" applyBorder="1" applyAlignment="1">
      <alignment horizontal="center" vertical="center" wrapText="1"/>
    </xf>
    <xf numFmtId="0" fontId="184" fillId="0" borderId="65" xfId="421" applyFont="1" applyBorder="1" applyAlignment="1">
      <alignment horizontal="center" vertical="center" wrapText="1"/>
    </xf>
    <xf numFmtId="3" fontId="181" fillId="0" borderId="65" xfId="421" applyNumberFormat="1" applyFont="1" applyBorder="1" applyAlignment="1" applyProtection="1">
      <alignment horizontal="center" vertical="center"/>
      <protection locked="0"/>
    </xf>
    <xf numFmtId="0" fontId="181" fillId="0" borderId="65" xfId="421" applyFont="1" applyBorder="1" applyAlignment="1" applyProtection="1">
      <alignment horizontal="center" vertical="center"/>
      <protection locked="0"/>
    </xf>
    <xf numFmtId="37" fontId="181" fillId="0" borderId="65" xfId="421" applyNumberFormat="1" applyFont="1" applyBorder="1" applyAlignment="1" applyProtection="1">
      <alignment horizontal="center" vertical="center"/>
      <protection locked="0"/>
    </xf>
    <xf numFmtId="3" fontId="181" fillId="62" borderId="65" xfId="421" applyNumberFormat="1" applyFont="1" applyFill="1" applyBorder="1" applyAlignment="1" applyProtection="1">
      <alignment horizontal="center" vertical="center"/>
      <protection locked="0"/>
    </xf>
    <xf numFmtId="0" fontId="82" fillId="0" borderId="33" xfId="0" applyFont="1" applyBorder="1" applyAlignment="1">
      <alignment horizontal="left" vertical="center" wrapText="1"/>
    </xf>
    <xf numFmtId="0" fontId="82" fillId="0" borderId="28" xfId="0" applyFont="1" applyBorder="1" applyAlignment="1">
      <alignment vertical="center" wrapText="1"/>
    </xf>
    <xf numFmtId="0" fontId="82" fillId="0" borderId="17" xfId="0" applyFont="1" applyBorder="1" applyAlignment="1">
      <alignment vertical="center" wrapText="1"/>
    </xf>
    <xf numFmtId="0" fontId="82" fillId="0" borderId="18" xfId="0" applyFont="1" applyBorder="1" applyAlignment="1">
      <alignment vertical="center" wrapText="1"/>
    </xf>
    <xf numFmtId="0" fontId="75" fillId="6" borderId="52" xfId="0" applyFont="1" applyFill="1" applyBorder="1" applyAlignment="1">
      <alignment horizontal="left" vertical="center" wrapText="1"/>
    </xf>
    <xf numFmtId="0" fontId="75" fillId="6" borderId="29" xfId="0" applyFont="1" applyFill="1" applyBorder="1" applyAlignment="1">
      <alignment vertical="center" wrapText="1"/>
    </xf>
    <xf numFmtId="0" fontId="75" fillId="6" borderId="20" xfId="0" applyFont="1" applyFill="1" applyBorder="1" applyAlignment="1">
      <alignment vertical="center" wrapText="1"/>
    </xf>
    <xf numFmtId="0" fontId="75" fillId="0" borderId="108" xfId="0" applyFont="1" applyBorder="1" applyAlignment="1">
      <alignment vertical="center" wrapText="1"/>
    </xf>
    <xf numFmtId="0" fontId="75" fillId="6" borderId="21" xfId="0" applyFont="1" applyFill="1" applyBorder="1" applyAlignment="1">
      <alignment vertical="center" wrapText="1"/>
    </xf>
    <xf numFmtId="0" fontId="75" fillId="4" borderId="86" xfId="0" applyFont="1" applyFill="1" applyBorder="1" applyAlignment="1">
      <alignment horizontal="center" vertical="center"/>
    </xf>
    <xf numFmtId="0" fontId="75" fillId="4" borderId="22" xfId="0" applyFont="1" applyFill="1" applyBorder="1" applyAlignment="1">
      <alignment horizontal="center" vertical="center"/>
    </xf>
    <xf numFmtId="0" fontId="75" fillId="4" borderId="32" xfId="0" applyFont="1" applyFill="1" applyBorder="1" applyAlignment="1">
      <alignment horizontal="center" vertical="center"/>
    </xf>
    <xf numFmtId="0" fontId="75" fillId="4" borderId="47" xfId="0" applyFont="1" applyFill="1" applyBorder="1" applyAlignment="1">
      <alignment horizontal="center" vertical="center" textRotation="90" wrapText="1"/>
    </xf>
    <xf numFmtId="0" fontId="75" fillId="4" borderId="22" xfId="0" applyFont="1" applyFill="1" applyBorder="1" applyAlignment="1">
      <alignment horizontal="center" vertical="center" textRotation="90" wrapText="1"/>
    </xf>
    <xf numFmtId="0" fontId="75" fillId="4" borderId="32" xfId="0" applyFont="1" applyFill="1" applyBorder="1" applyAlignment="1">
      <alignment horizontal="center" vertical="center" textRotation="90" wrapText="1"/>
    </xf>
    <xf numFmtId="0" fontId="75" fillId="4" borderId="49" xfId="0" applyFont="1" applyFill="1" applyBorder="1" applyAlignment="1">
      <alignment horizontal="center" vertical="center" textRotation="90" wrapText="1"/>
    </xf>
    <xf numFmtId="0" fontId="75" fillId="4" borderId="48" xfId="0" applyFont="1" applyFill="1" applyBorder="1" applyAlignment="1">
      <alignment horizontal="center" vertical="center" textRotation="90" wrapText="1"/>
    </xf>
    <xf numFmtId="0" fontId="75" fillId="4" borderId="47" xfId="0" applyFont="1" applyFill="1" applyBorder="1" applyAlignment="1">
      <alignment horizontal="center" vertical="center" textRotation="90"/>
    </xf>
    <xf numFmtId="0" fontId="75" fillId="4" borderId="22" xfId="0" applyFont="1" applyFill="1" applyBorder="1" applyAlignment="1">
      <alignment horizontal="center" vertical="center" textRotation="90"/>
    </xf>
    <xf numFmtId="0" fontId="75" fillId="4" borderId="32" xfId="0" applyFont="1" applyFill="1" applyBorder="1" applyAlignment="1">
      <alignment horizontal="center" vertical="center" textRotation="90"/>
    </xf>
    <xf numFmtId="0" fontId="75" fillId="4" borderId="49" xfId="0" applyFont="1" applyFill="1" applyBorder="1" applyAlignment="1">
      <alignment horizontal="center" vertical="center" textRotation="90"/>
    </xf>
    <xf numFmtId="0" fontId="75" fillId="4" borderId="48" xfId="0" applyFont="1" applyFill="1" applyBorder="1" applyAlignment="1">
      <alignment horizontal="center" vertical="center" textRotation="90"/>
    </xf>
    <xf numFmtId="182" fontId="75" fillId="6" borderId="20" xfId="0" applyNumberFormat="1" applyFont="1" applyFill="1" applyBorder="1" applyAlignment="1">
      <alignment vertical="center" wrapText="1"/>
    </xf>
    <xf numFmtId="0" fontId="9" fillId="0" borderId="0" xfId="2" applyAlignment="1">
      <alignment horizontal="left" vertical="top" wrapText="1"/>
    </xf>
    <xf numFmtId="0" fontId="9" fillId="47" borderId="8" xfId="0" applyFont="1" applyFill="1" applyBorder="1" applyAlignment="1">
      <alignment horizontal="center" vertical="center" wrapText="1"/>
    </xf>
    <xf numFmtId="0" fontId="9" fillId="47" borderId="1" xfId="0" applyFont="1" applyFill="1" applyBorder="1" applyAlignment="1">
      <alignment horizontal="center" vertical="center" wrapText="1"/>
    </xf>
    <xf numFmtId="0" fontId="20" fillId="47" borderId="15" xfId="0" applyFont="1" applyFill="1" applyBorder="1" applyAlignment="1">
      <alignment horizontal="center" vertical="center" wrapText="1"/>
    </xf>
    <xf numFmtId="0" fontId="21" fillId="5" borderId="40" xfId="0" applyFont="1" applyFill="1" applyBorder="1" applyAlignment="1">
      <alignment horizontal="center" vertical="center" wrapText="1"/>
    </xf>
    <xf numFmtId="0" fontId="20" fillId="47" borderId="3" xfId="2" applyFont="1" applyFill="1" applyBorder="1" applyAlignment="1">
      <alignment horizontal="center" vertical="center" wrapText="1"/>
    </xf>
    <xf numFmtId="49" fontId="20" fillId="47" borderId="3" xfId="2" applyNumberFormat="1" applyFont="1" applyFill="1" applyBorder="1" applyAlignment="1">
      <alignment horizontal="center" vertical="center" wrapText="1"/>
    </xf>
    <xf numFmtId="49" fontId="20" fillId="47" borderId="11" xfId="2" applyNumberFormat="1" applyFont="1" applyFill="1" applyBorder="1" applyAlignment="1">
      <alignment horizontal="center" vertical="center" wrapText="1"/>
    </xf>
    <xf numFmtId="49" fontId="9" fillId="47" borderId="11" xfId="2" applyNumberFormat="1" applyFill="1" applyBorder="1" applyAlignment="1">
      <alignment horizontal="center" vertical="center" wrapText="1"/>
    </xf>
    <xf numFmtId="0" fontId="114" fillId="5" borderId="0" xfId="0" applyFont="1" applyFill="1" applyAlignment="1">
      <alignment vertical="center"/>
    </xf>
    <xf numFmtId="14" fontId="0" fillId="0" borderId="0" xfId="0" applyNumberFormat="1" applyAlignment="1">
      <alignment vertical="top"/>
    </xf>
    <xf numFmtId="0" fontId="9" fillId="47" borderId="1" xfId="0" applyFont="1" applyFill="1" applyBorder="1" applyAlignment="1">
      <alignment vertical="center" wrapText="1"/>
    </xf>
    <xf numFmtId="0" fontId="21" fillId="0" borderId="13" xfId="0" applyFont="1" applyBorder="1" applyAlignment="1" applyProtection="1">
      <alignment horizontal="center" vertical="center" wrapText="1"/>
      <protection locked="0"/>
    </xf>
    <xf numFmtId="0" fontId="9" fillId="47" borderId="14" xfId="0" applyFont="1" applyFill="1" applyBorder="1" applyAlignment="1">
      <alignment vertical="center" wrapText="1"/>
    </xf>
    <xf numFmtId="0" fontId="21" fillId="6" borderId="15" xfId="0" applyFont="1" applyFill="1" applyBorder="1" applyAlignment="1" applyProtection="1">
      <alignment horizontal="center" vertical="center" wrapText="1"/>
      <protection locked="0"/>
    </xf>
    <xf numFmtId="3" fontId="3" fillId="6" borderId="3" xfId="1" applyNumberFormat="1" applyFont="1" applyFill="1" applyBorder="1" applyAlignment="1" applyProtection="1">
      <alignment horizontal="center" vertical="center"/>
      <protection locked="0"/>
    </xf>
    <xf numFmtId="0" fontId="0" fillId="4" borderId="0" xfId="0" applyFill="1"/>
    <xf numFmtId="0" fontId="0" fillId="0" borderId="211" xfId="0" applyBorder="1"/>
    <xf numFmtId="0" fontId="12" fillId="4" borderId="0" xfId="0" applyFont="1" applyFill="1"/>
    <xf numFmtId="0" fontId="21" fillId="6" borderId="3" xfId="2" applyFont="1" applyFill="1" applyBorder="1" applyAlignment="1" applyProtection="1">
      <alignment vertical="center"/>
      <protection locked="0"/>
    </xf>
    <xf numFmtId="0" fontId="21" fillId="6" borderId="3" xfId="2" applyFont="1" applyFill="1" applyBorder="1" applyAlignment="1" applyProtection="1">
      <alignment vertical="center" wrapText="1"/>
      <protection locked="0"/>
    </xf>
    <xf numFmtId="49" fontId="20" fillId="47" borderId="3" xfId="2" applyNumberFormat="1" applyFont="1" applyFill="1" applyBorder="1" applyAlignment="1">
      <alignment horizontal="left" vertical="center"/>
    </xf>
    <xf numFmtId="0" fontId="9" fillId="47" borderId="11" xfId="2" applyFill="1" applyBorder="1" applyAlignment="1">
      <alignment vertical="center"/>
    </xf>
    <xf numFmtId="183" fontId="21" fillId="6" borderId="11" xfId="2" applyNumberFormat="1" applyFont="1" applyFill="1" applyBorder="1" applyAlignment="1" applyProtection="1">
      <alignment vertical="center" wrapText="1"/>
      <protection locked="0"/>
    </xf>
    <xf numFmtId="0" fontId="21" fillId="6" borderId="199" xfId="2" applyFont="1" applyFill="1" applyBorder="1" applyAlignment="1" applyProtection="1">
      <alignment vertical="center" wrapText="1"/>
      <protection locked="0"/>
    </xf>
    <xf numFmtId="0" fontId="21" fillId="6" borderId="192" xfId="2" applyFont="1" applyFill="1" applyBorder="1" applyAlignment="1" applyProtection="1">
      <alignment vertical="center" wrapText="1"/>
      <protection locked="0"/>
    </xf>
    <xf numFmtId="192" fontId="21" fillId="5" borderId="3" xfId="2" applyNumberFormat="1" applyFont="1" applyFill="1" applyBorder="1" applyAlignment="1">
      <alignment horizontal="right" vertical="center"/>
    </xf>
    <xf numFmtId="0" fontId="20" fillId="47" borderId="3" xfId="2" applyFont="1" applyFill="1" applyBorder="1" applyAlignment="1">
      <alignment horizontal="left" vertical="center"/>
    </xf>
    <xf numFmtId="3" fontId="9" fillId="47" borderId="10" xfId="2" applyNumberFormat="1" applyFill="1" applyBorder="1" applyAlignment="1">
      <alignment vertical="center" wrapText="1"/>
    </xf>
    <xf numFmtId="3" fontId="9" fillId="47" borderId="15" xfId="2" applyNumberFormat="1" applyFill="1" applyBorder="1" applyAlignment="1">
      <alignment vertical="center" wrapText="1"/>
    </xf>
    <xf numFmtId="0" fontId="0" fillId="0" borderId="4" xfId="0" applyBorder="1"/>
    <xf numFmtId="178" fontId="0" fillId="0" borderId="0" xfId="0" applyNumberFormat="1"/>
    <xf numFmtId="3" fontId="0" fillId="0" borderId="4" xfId="0" applyNumberFormat="1" applyBorder="1"/>
    <xf numFmtId="0" fontId="9" fillId="0" borderId="217" xfId="2" applyBorder="1" applyAlignment="1">
      <alignment vertical="center"/>
    </xf>
    <xf numFmtId="168" fontId="21" fillId="6" borderId="203" xfId="2" applyNumberFormat="1" applyFont="1" applyFill="1" applyBorder="1" applyAlignment="1" applyProtection="1">
      <alignment horizontal="right" vertical="center"/>
      <protection locked="0"/>
    </xf>
    <xf numFmtId="168" fontId="21" fillId="6" borderId="204" xfId="2" applyNumberFormat="1" applyFont="1" applyFill="1" applyBorder="1" applyAlignment="1" applyProtection="1">
      <alignment horizontal="right" vertical="center"/>
      <protection locked="0"/>
    </xf>
    <xf numFmtId="168" fontId="21" fillId="6" borderId="205" xfId="2" applyNumberFormat="1" applyFont="1" applyFill="1" applyBorder="1" applyAlignment="1" applyProtection="1">
      <alignment horizontal="right" vertical="center"/>
      <protection locked="0"/>
    </xf>
    <xf numFmtId="168" fontId="21" fillId="6" borderId="213" xfId="2" applyNumberFormat="1" applyFont="1" applyFill="1" applyBorder="1" applyAlignment="1" applyProtection="1">
      <alignment horizontal="right" vertical="center"/>
      <protection locked="0"/>
    </xf>
    <xf numFmtId="168" fontId="21" fillId="6" borderId="214" xfId="2" applyNumberFormat="1" applyFont="1" applyFill="1" applyBorder="1" applyAlignment="1" applyProtection="1">
      <alignment horizontal="right" vertical="center"/>
      <protection locked="0"/>
    </xf>
    <xf numFmtId="168" fontId="21" fillId="6" borderId="206" xfId="2" applyNumberFormat="1" applyFont="1" applyFill="1" applyBorder="1" applyAlignment="1" applyProtection="1">
      <alignment horizontal="right" vertical="center"/>
      <protection locked="0"/>
    </xf>
    <xf numFmtId="168" fontId="21" fillId="6" borderId="207" xfId="2" applyNumberFormat="1" applyFont="1" applyFill="1" applyBorder="1" applyAlignment="1" applyProtection="1">
      <alignment horizontal="right" vertical="center"/>
      <protection locked="0"/>
    </xf>
    <xf numFmtId="168" fontId="21" fillId="6" borderId="208" xfId="2" applyNumberFormat="1" applyFont="1" applyFill="1" applyBorder="1" applyAlignment="1" applyProtection="1">
      <alignment horizontal="right" vertical="center"/>
      <protection locked="0"/>
    </xf>
    <xf numFmtId="49" fontId="20" fillId="47" borderId="200" xfId="2" applyNumberFormat="1" applyFont="1" applyFill="1" applyBorder="1" applyAlignment="1">
      <alignment horizontal="center" vertical="center" wrapText="1"/>
    </xf>
    <xf numFmtId="49" fontId="20" fillId="47" borderId="201" xfId="2" applyNumberFormat="1" applyFont="1" applyFill="1" applyBorder="1" applyAlignment="1">
      <alignment horizontal="center" vertical="center" wrapText="1"/>
    </xf>
    <xf numFmtId="49" fontId="20" fillId="47" borderId="202" xfId="2" applyNumberFormat="1" applyFont="1" applyFill="1" applyBorder="1" applyAlignment="1">
      <alignment horizontal="center" vertical="center" wrapText="1"/>
    </xf>
    <xf numFmtId="166" fontId="21" fillId="6" borderId="203" xfId="2" applyNumberFormat="1" applyFont="1" applyFill="1" applyBorder="1" applyAlignment="1" applyProtection="1">
      <alignment horizontal="right" vertical="center"/>
      <protection locked="0"/>
    </xf>
    <xf numFmtId="166" fontId="21" fillId="6" borderId="213" xfId="2" applyNumberFormat="1" applyFont="1" applyFill="1" applyBorder="1" applyAlignment="1" applyProtection="1">
      <alignment horizontal="right" vertical="center"/>
      <protection locked="0"/>
    </xf>
    <xf numFmtId="166" fontId="21" fillId="6" borderId="206" xfId="2" applyNumberFormat="1" applyFont="1" applyFill="1" applyBorder="1" applyAlignment="1" applyProtection="1">
      <alignment horizontal="right" vertical="center"/>
      <protection locked="0"/>
    </xf>
    <xf numFmtId="0" fontId="20" fillId="0" borderId="188" xfId="2" applyFont="1" applyBorder="1" applyAlignment="1">
      <alignment vertical="center"/>
    </xf>
    <xf numFmtId="168" fontId="20" fillId="0" borderId="190" xfId="2" applyNumberFormat="1" applyFont="1" applyBorder="1" applyAlignment="1">
      <alignment vertical="center"/>
    </xf>
    <xf numFmtId="168" fontId="20" fillId="0" borderId="189" xfId="2" applyNumberFormat="1" applyFont="1" applyBorder="1" applyAlignment="1">
      <alignment vertical="center"/>
    </xf>
    <xf numFmtId="168" fontId="21" fillId="6" borderId="40" xfId="2" applyNumberFormat="1" applyFont="1" applyFill="1" applyBorder="1" applyAlignment="1" applyProtection="1">
      <alignment horizontal="right" vertical="center"/>
      <protection locked="0"/>
    </xf>
    <xf numFmtId="168" fontId="21" fillId="6" borderId="212" xfId="2" applyNumberFormat="1" applyFont="1" applyFill="1" applyBorder="1" applyAlignment="1" applyProtection="1">
      <alignment horizontal="right" vertical="center"/>
      <protection locked="0"/>
    </xf>
    <xf numFmtId="0" fontId="9" fillId="6" borderId="64" xfId="2" applyFill="1" applyBorder="1" applyAlignment="1" applyProtection="1">
      <alignment vertical="center"/>
      <protection locked="0"/>
    </xf>
    <xf numFmtId="0" fontId="9" fillId="6" borderId="218" xfId="2" applyFill="1" applyBorder="1" applyAlignment="1" applyProtection="1">
      <alignment vertical="center"/>
      <protection locked="0"/>
    </xf>
    <xf numFmtId="0" fontId="9" fillId="6" borderId="219" xfId="2" applyFill="1" applyBorder="1" applyAlignment="1" applyProtection="1">
      <alignment vertical="center"/>
      <protection locked="0"/>
    </xf>
    <xf numFmtId="0" fontId="9" fillId="6" borderId="220" xfId="2" applyFill="1" applyBorder="1" applyAlignment="1" applyProtection="1">
      <alignment vertical="center"/>
      <protection locked="0"/>
    </xf>
    <xf numFmtId="49" fontId="22" fillId="47" borderId="3" xfId="2" applyNumberFormat="1" applyFont="1" applyFill="1" applyBorder="1" applyAlignment="1">
      <alignment horizontal="left" vertical="center"/>
    </xf>
    <xf numFmtId="170" fontId="21" fillId="0" borderId="3" xfId="11" applyNumberFormat="1" applyFont="1" applyFill="1" applyBorder="1" applyAlignment="1" applyProtection="1">
      <alignment horizontal="right" vertical="center"/>
    </xf>
    <xf numFmtId="42" fontId="21" fillId="0" borderId="3" xfId="2" applyNumberFormat="1" applyFont="1" applyBorder="1" applyAlignment="1">
      <alignment horizontal="center" vertical="center" wrapText="1"/>
    </xf>
    <xf numFmtId="49" fontId="22" fillId="47" borderId="11" xfId="2" applyNumberFormat="1" applyFont="1" applyFill="1" applyBorder="1" applyAlignment="1">
      <alignment horizontal="left" vertical="center"/>
    </xf>
    <xf numFmtId="168" fontId="21" fillId="0" borderId="11" xfId="12" applyNumberFormat="1" applyFont="1" applyFill="1" applyBorder="1" applyAlignment="1" applyProtection="1">
      <alignment horizontal="right" vertical="center"/>
    </xf>
    <xf numFmtId="167" fontId="21" fillId="0" borderId="11" xfId="12" applyNumberFormat="1" applyFont="1" applyFill="1" applyBorder="1" applyAlignment="1" applyProtection="1">
      <alignment horizontal="right" vertical="center"/>
    </xf>
    <xf numFmtId="168" fontId="21" fillId="0" borderId="3" xfId="12" applyNumberFormat="1" applyFont="1" applyFill="1" applyBorder="1" applyAlignment="1" applyProtection="1">
      <alignment horizontal="right" vertical="center"/>
    </xf>
    <xf numFmtId="164" fontId="21" fillId="0" borderId="11" xfId="10" applyNumberFormat="1" applyFont="1" applyFill="1" applyBorder="1" applyAlignment="1" applyProtection="1">
      <alignment vertical="center"/>
    </xf>
    <xf numFmtId="164" fontId="21" fillId="0" borderId="11" xfId="10" applyNumberFormat="1" applyFont="1" applyFill="1" applyBorder="1" applyAlignment="1">
      <alignment vertical="center"/>
    </xf>
    <xf numFmtId="0" fontId="9" fillId="9" borderId="195" xfId="2" applyFill="1" applyBorder="1" applyAlignment="1">
      <alignment vertical="center"/>
    </xf>
    <xf numFmtId="0" fontId="9" fillId="9" borderId="209" xfId="2" applyFill="1" applyBorder="1" applyAlignment="1">
      <alignment vertical="center"/>
    </xf>
    <xf numFmtId="49" fontId="9" fillId="8" borderId="221" xfId="2" applyNumberFormat="1" applyFill="1" applyBorder="1" applyAlignment="1">
      <alignment horizontal="center" vertical="center" wrapText="1"/>
    </xf>
    <xf numFmtId="0" fontId="9" fillId="9" borderId="196" xfId="2" applyFill="1" applyBorder="1" applyAlignment="1">
      <alignment vertical="center"/>
    </xf>
    <xf numFmtId="49" fontId="9" fillId="8" borderId="222" xfId="2" applyNumberFormat="1" applyFill="1" applyBorder="1" applyAlignment="1">
      <alignment horizontal="center" vertical="center" wrapText="1"/>
    </xf>
    <xf numFmtId="171" fontId="21" fillId="0" borderId="222" xfId="1" applyNumberFormat="1" applyFont="1" applyFill="1" applyBorder="1" applyAlignment="1" applyProtection="1">
      <alignment horizontal="center" vertical="center"/>
    </xf>
    <xf numFmtId="0" fontId="21" fillId="0" borderId="223" xfId="1" applyNumberFormat="1" applyFont="1" applyFill="1" applyBorder="1" applyAlignment="1" applyProtection="1">
      <alignment horizontal="center" vertical="center"/>
    </xf>
    <xf numFmtId="43" fontId="21" fillId="0" borderId="222" xfId="1" applyFont="1" applyFill="1" applyBorder="1" applyAlignment="1" applyProtection="1">
      <alignment horizontal="center" vertical="center"/>
    </xf>
    <xf numFmtId="43" fontId="21" fillId="0" borderId="223" xfId="1" applyFont="1" applyFill="1" applyBorder="1" applyAlignment="1" applyProtection="1">
      <alignment horizontal="center" vertical="center"/>
    </xf>
    <xf numFmtId="0" fontId="9" fillId="9" borderId="217" xfId="2" applyFill="1" applyBorder="1" applyAlignment="1">
      <alignment vertical="center"/>
    </xf>
    <xf numFmtId="43" fontId="21" fillId="0" borderId="224" xfId="1" applyFont="1" applyFill="1" applyBorder="1" applyAlignment="1" applyProtection="1">
      <alignment horizontal="center" vertical="center"/>
    </xf>
    <xf numFmtId="49" fontId="9" fillId="8" borderId="225" xfId="2" applyNumberFormat="1" applyFill="1" applyBorder="1" applyAlignment="1">
      <alignment horizontal="center" vertical="center" wrapText="1"/>
    </xf>
    <xf numFmtId="171" fontId="21" fillId="0" borderId="225" xfId="1" applyNumberFormat="1" applyFont="1" applyFill="1" applyBorder="1" applyAlignment="1" applyProtection="1">
      <alignment horizontal="center" vertical="center"/>
    </xf>
    <xf numFmtId="180" fontId="21" fillId="0" borderId="225" xfId="1" applyNumberFormat="1" applyFont="1" applyFill="1" applyBorder="1" applyAlignment="1" applyProtection="1">
      <alignment horizontal="center" vertical="center"/>
    </xf>
    <xf numFmtId="171" fontId="21" fillId="0" borderId="226" xfId="1" applyNumberFormat="1" applyFont="1" applyFill="1" applyBorder="1" applyAlignment="1" applyProtection="1">
      <alignment horizontal="center" vertical="center"/>
    </xf>
    <xf numFmtId="164" fontId="21" fillId="0" borderId="11" xfId="10" applyNumberFormat="1" applyFont="1" applyFill="1" applyBorder="1" applyAlignment="1" applyProtection="1">
      <alignment vertical="center" wrapText="1"/>
    </xf>
    <xf numFmtId="164" fontId="21" fillId="5" borderId="3" xfId="10" applyNumberFormat="1" applyFont="1" applyFill="1" applyBorder="1" applyAlignment="1" applyProtection="1">
      <alignment horizontal="center" vertical="center"/>
    </xf>
    <xf numFmtId="168" fontId="21" fillId="0" borderId="6" xfId="12" applyNumberFormat="1" applyFont="1" applyFill="1" applyBorder="1" applyAlignment="1" applyProtection="1">
      <alignment horizontal="right" vertical="center"/>
    </xf>
    <xf numFmtId="168" fontId="21" fillId="0" borderId="13" xfId="12" applyNumberFormat="1" applyFont="1" applyFill="1" applyBorder="1" applyAlignment="1" applyProtection="1">
      <alignment horizontal="right" vertical="center"/>
    </xf>
    <xf numFmtId="164" fontId="21" fillId="0" borderId="6" xfId="10" applyNumberFormat="1" applyFont="1" applyFill="1" applyBorder="1" applyAlignment="1" applyProtection="1">
      <alignment vertical="center" wrapText="1"/>
    </xf>
    <xf numFmtId="165" fontId="21" fillId="0" borderId="11" xfId="12" applyNumberFormat="1" applyFont="1" applyFill="1" applyBorder="1" applyAlignment="1" applyProtection="1">
      <alignment horizontal="right" vertical="center"/>
    </xf>
    <xf numFmtId="164" fontId="21" fillId="0" borderId="3" xfId="10" applyNumberFormat="1" applyFont="1" applyFill="1" applyBorder="1" applyAlignment="1" applyProtection="1">
      <alignment horizontal="center" vertical="center"/>
    </xf>
    <xf numFmtId="164" fontId="21" fillId="0" borderId="3" xfId="10" applyNumberFormat="1" applyFont="1" applyFill="1" applyBorder="1" applyAlignment="1">
      <alignment horizontal="center" vertical="center"/>
    </xf>
    <xf numFmtId="3" fontId="21" fillId="0" borderId="6" xfId="2" applyNumberFormat="1" applyFont="1" applyBorder="1" applyAlignment="1">
      <alignment horizontal="left" vertical="center" wrapText="1"/>
    </xf>
    <xf numFmtId="165" fontId="21" fillId="0" borderId="6" xfId="12" applyNumberFormat="1" applyFont="1" applyFill="1" applyBorder="1" applyAlignment="1" applyProtection="1">
      <alignment horizontal="right" vertical="center"/>
    </xf>
    <xf numFmtId="42" fontId="21" fillId="0" borderId="8" xfId="2" applyNumberFormat="1" applyFont="1" applyBorder="1" applyAlignment="1">
      <alignment horizontal="center" vertical="center" wrapText="1"/>
    </xf>
    <xf numFmtId="165" fontId="21" fillId="0" borderId="13" xfId="12" applyNumberFormat="1" applyFont="1" applyFill="1" applyBorder="1" applyAlignment="1" applyProtection="1">
      <alignment horizontal="right" vertical="center"/>
    </xf>
    <xf numFmtId="164" fontId="21" fillId="0" borderId="13" xfId="10" applyNumberFormat="1" applyFont="1" applyFill="1" applyBorder="1" applyAlignment="1" applyProtection="1">
      <alignment vertical="center"/>
    </xf>
    <xf numFmtId="164" fontId="21" fillId="0" borderId="6" xfId="10" applyNumberFormat="1" applyFont="1" applyFill="1" applyBorder="1" applyAlignment="1" applyProtection="1">
      <alignment vertical="center"/>
    </xf>
    <xf numFmtId="164" fontId="21" fillId="0" borderId="8" xfId="10" applyNumberFormat="1" applyFont="1" applyFill="1" applyBorder="1" applyAlignment="1" applyProtection="1">
      <alignment horizontal="center" vertical="center"/>
    </xf>
    <xf numFmtId="168" fontId="21" fillId="0" borderId="11" xfId="12" applyNumberFormat="1" applyFont="1" applyFill="1" applyBorder="1" applyAlignment="1">
      <alignment horizontal="right" vertical="center"/>
    </xf>
    <xf numFmtId="170" fontId="21" fillId="6" borderId="3" xfId="11" applyNumberFormat="1" applyFont="1" applyFill="1" applyBorder="1" applyAlignment="1" applyProtection="1">
      <alignment horizontal="center" vertical="center" wrapText="1"/>
      <protection locked="0"/>
    </xf>
    <xf numFmtId="0" fontId="9" fillId="6" borderId="0" xfId="2" applyFill="1" applyAlignment="1" applyProtection="1">
      <alignment horizontal="center" vertical="center" wrapText="1"/>
      <protection locked="0"/>
    </xf>
    <xf numFmtId="0" fontId="9" fillId="6" borderId="0" xfId="2" applyFill="1" applyAlignment="1">
      <alignment horizontal="center" vertical="center"/>
    </xf>
    <xf numFmtId="0" fontId="9" fillId="0" borderId="0" xfId="2" applyAlignment="1" applyProtection="1">
      <alignment vertical="center"/>
      <protection locked="0"/>
    </xf>
    <xf numFmtId="0" fontId="81" fillId="47" borderId="3" xfId="0" applyFont="1" applyFill="1" applyBorder="1"/>
    <xf numFmtId="0" fontId="81" fillId="47" borderId="3" xfId="0" applyFont="1" applyFill="1" applyBorder="1" applyAlignment="1">
      <alignment horizontal="center" vertical="center"/>
    </xf>
    <xf numFmtId="0" fontId="21" fillId="9" borderId="3" xfId="2" applyFont="1" applyFill="1" applyBorder="1" applyAlignment="1">
      <alignment horizontal="left" vertical="center" indent="1"/>
    </xf>
    <xf numFmtId="49" fontId="81" fillId="47" borderId="11" xfId="2" applyNumberFormat="1" applyFont="1" applyFill="1" applyBorder="1" applyAlignment="1">
      <alignment horizontal="center" vertical="center"/>
    </xf>
    <xf numFmtId="0" fontId="81" fillId="47" borderId="3" xfId="0" applyFont="1" applyFill="1" applyBorder="1" applyAlignment="1">
      <alignment vertical="center"/>
    </xf>
    <xf numFmtId="49" fontId="20" fillId="0" borderId="0" xfId="2" applyNumberFormat="1" applyFont="1" applyAlignment="1">
      <alignment vertical="center" wrapText="1"/>
    </xf>
    <xf numFmtId="0" fontId="81" fillId="0" borderId="0" xfId="0" applyFont="1"/>
    <xf numFmtId="0" fontId="81" fillId="0" borderId="0" xfId="0" applyFont="1" applyAlignment="1">
      <alignment horizontal="left"/>
    </xf>
    <xf numFmtId="182" fontId="21" fillId="9" borderId="4" xfId="2" applyNumberFormat="1" applyFont="1" applyFill="1" applyBorder="1" applyAlignment="1">
      <alignment horizontal="right" vertical="center"/>
    </xf>
    <xf numFmtId="167" fontId="21" fillId="0" borderId="0" xfId="12" applyNumberFormat="1" applyFont="1" applyFill="1" applyBorder="1" applyAlignment="1" applyProtection="1">
      <alignment horizontal="right" vertical="center"/>
    </xf>
    <xf numFmtId="168" fontId="21" fillId="0" borderId="0" xfId="12" applyNumberFormat="1" applyFont="1" applyFill="1" applyBorder="1" applyAlignment="1">
      <alignment horizontal="right" vertical="center"/>
    </xf>
    <xf numFmtId="42" fontId="21" fillId="0" borderId="0" xfId="2" applyNumberFormat="1" applyFont="1" applyAlignment="1">
      <alignment horizontal="center" vertical="center" wrapText="1"/>
    </xf>
    <xf numFmtId="1" fontId="21" fillId="0" borderId="0" xfId="11" applyNumberFormat="1" applyFont="1" applyFill="1" applyBorder="1" applyAlignment="1" applyProtection="1">
      <alignment horizontal="right" vertical="center"/>
    </xf>
    <xf numFmtId="164" fontId="21" fillId="0" borderId="0" xfId="10" applyNumberFormat="1" applyFont="1" applyFill="1" applyBorder="1" applyAlignment="1">
      <alignment vertical="center"/>
    </xf>
    <xf numFmtId="164" fontId="21" fillId="0" borderId="0" xfId="10" applyNumberFormat="1" applyFont="1" applyFill="1" applyBorder="1" applyAlignment="1" applyProtection="1">
      <alignment vertical="center"/>
    </xf>
    <xf numFmtId="164" fontId="21" fillId="0" borderId="0" xfId="10" applyNumberFormat="1" applyFont="1" applyFill="1" applyBorder="1" applyAlignment="1">
      <alignment horizontal="center" vertical="center"/>
    </xf>
    <xf numFmtId="3" fontId="9" fillId="0" borderId="0" xfId="2" applyNumberFormat="1" applyAlignment="1">
      <alignment vertical="center"/>
    </xf>
    <xf numFmtId="168" fontId="21" fillId="0" borderId="0" xfId="12" applyNumberFormat="1" applyFont="1" applyFill="1" applyBorder="1" applyAlignment="1" applyProtection="1">
      <alignment horizontal="right" vertical="center"/>
    </xf>
    <xf numFmtId="164" fontId="21" fillId="0" borderId="0" xfId="10" applyNumberFormat="1" applyFont="1" applyFill="1" applyBorder="1" applyAlignment="1">
      <alignment vertical="center" wrapText="1"/>
    </xf>
    <xf numFmtId="164" fontId="21" fillId="0" borderId="0" xfId="10" applyNumberFormat="1" applyFont="1" applyFill="1" applyBorder="1" applyAlignment="1" applyProtection="1">
      <alignment vertical="center" wrapText="1"/>
    </xf>
    <xf numFmtId="0" fontId="22" fillId="4" borderId="80" xfId="2" applyFont="1" applyFill="1" applyBorder="1" applyAlignment="1">
      <alignment vertical="center"/>
    </xf>
    <xf numFmtId="171" fontId="21" fillId="0" borderId="0" xfId="1" applyNumberFormat="1" applyFont="1" applyFill="1" applyBorder="1" applyAlignment="1" applyProtection="1">
      <alignment horizontal="center" vertical="center"/>
    </xf>
    <xf numFmtId="180" fontId="21" fillId="0" borderId="0" xfId="1" applyNumberFormat="1" applyFont="1" applyFill="1" applyBorder="1" applyAlignment="1" applyProtection="1">
      <alignment horizontal="center" vertical="center"/>
    </xf>
    <xf numFmtId="171" fontId="21" fillId="63" borderId="112" xfId="1" applyNumberFormat="1" applyFont="1" applyFill="1" applyBorder="1" applyAlignment="1" applyProtection="1">
      <alignment horizontal="center" vertical="center"/>
    </xf>
    <xf numFmtId="9" fontId="9" fillId="0" borderId="0" xfId="9" applyFont="1" applyAlignment="1">
      <alignment vertical="center"/>
    </xf>
    <xf numFmtId="164" fontId="21" fillId="0" borderId="13" xfId="10" applyNumberFormat="1" applyFont="1" applyFill="1" applyBorder="1" applyAlignment="1" applyProtection="1">
      <alignment vertical="center" wrapText="1"/>
    </xf>
    <xf numFmtId="164" fontId="21" fillId="5" borderId="8" xfId="10" applyNumberFormat="1" applyFont="1" applyFill="1" applyBorder="1" applyAlignment="1" applyProtection="1">
      <alignment horizontal="center" vertical="center"/>
    </xf>
    <xf numFmtId="164" fontId="21" fillId="0" borderId="0" xfId="298" applyNumberFormat="1" applyFont="1" applyAlignment="1">
      <alignment horizontal="right" vertical="center"/>
    </xf>
    <xf numFmtId="3" fontId="9" fillId="47" borderId="9" xfId="2" applyNumberFormat="1" applyFill="1" applyBorder="1" applyAlignment="1">
      <alignment vertical="center"/>
    </xf>
    <xf numFmtId="0" fontId="9" fillId="0" borderId="0" xfId="0" applyFont="1" applyAlignment="1" applyProtection="1">
      <alignment horizontal="left" vertical="center"/>
      <protection locked="0"/>
    </xf>
    <xf numFmtId="0" fontId="9" fillId="0" borderId="0" xfId="0" applyFont="1" applyProtection="1">
      <protection locked="0"/>
    </xf>
    <xf numFmtId="0" fontId="9" fillId="0" borderId="0" xfId="0" applyFont="1" applyAlignment="1" applyProtection="1">
      <alignment horizontal="center"/>
      <protection locked="0"/>
    </xf>
    <xf numFmtId="0" fontId="9" fillId="0" borderId="3" xfId="0" applyFont="1" applyBorder="1" applyAlignment="1">
      <alignment horizontal="center" vertical="center" wrapText="1"/>
    </xf>
    <xf numFmtId="0" fontId="9" fillId="0" borderId="11" xfId="0" applyFont="1" applyBorder="1" applyAlignment="1">
      <alignment horizontal="center" vertical="center" wrapText="1"/>
    </xf>
    <xf numFmtId="168" fontId="21" fillId="0" borderId="0" xfId="2" applyNumberFormat="1" applyFont="1" applyAlignment="1" applyProtection="1">
      <alignment horizontal="right" vertical="center"/>
      <protection locked="0"/>
    </xf>
    <xf numFmtId="0" fontId="9" fillId="3" borderId="216" xfId="2" applyFill="1" applyBorder="1" applyAlignment="1">
      <alignment vertical="center"/>
    </xf>
    <xf numFmtId="0" fontId="9" fillId="3" borderId="217" xfId="2" applyFill="1" applyBorder="1" applyAlignment="1">
      <alignment vertical="center"/>
    </xf>
    <xf numFmtId="168" fontId="20" fillId="0" borderId="188" xfId="2" applyNumberFormat="1" applyFont="1" applyBorder="1" applyAlignment="1">
      <alignment vertical="center"/>
    </xf>
    <xf numFmtId="3" fontId="21" fillId="6" borderId="11" xfId="0" applyNumberFormat="1" applyFont="1" applyFill="1" applyBorder="1" applyAlignment="1" applyProtection="1">
      <alignment horizontal="center" vertical="center" wrapText="1"/>
      <protection locked="0"/>
    </xf>
    <xf numFmtId="0" fontId="75" fillId="0" borderId="32" xfId="0" applyFont="1" applyBorder="1" applyAlignment="1">
      <alignment horizontal="center" vertical="center" textRotation="90" wrapText="1"/>
    </xf>
    <xf numFmtId="0" fontId="75" fillId="0" borderId="20" xfId="0" applyFont="1" applyBorder="1" applyAlignment="1">
      <alignment vertical="center" wrapText="1"/>
    </xf>
    <xf numFmtId="0" fontId="9" fillId="6" borderId="22" xfId="0" applyFont="1" applyFill="1" applyBorder="1" applyAlignment="1" applyProtection="1">
      <alignment horizontal="center" vertical="center"/>
      <protection locked="0"/>
    </xf>
    <xf numFmtId="0" fontId="9" fillId="6" borderId="187" xfId="0" applyFont="1" applyFill="1" applyBorder="1" applyAlignment="1" applyProtection="1">
      <alignment horizontal="center" vertical="center"/>
      <protection locked="0"/>
    </xf>
    <xf numFmtId="0" fontId="9" fillId="6" borderId="100" xfId="0" applyFont="1" applyFill="1" applyBorder="1" applyAlignment="1" applyProtection="1">
      <alignment horizontal="center" vertical="center"/>
      <protection locked="0"/>
    </xf>
    <xf numFmtId="0" fontId="17" fillId="6" borderId="103" xfId="0" applyFont="1" applyFill="1" applyBorder="1" applyAlignment="1" applyProtection="1">
      <alignment vertical="center" wrapText="1"/>
      <protection locked="0"/>
    </xf>
    <xf numFmtId="0" fontId="21" fillId="47" borderId="9" xfId="0" applyFont="1" applyFill="1" applyBorder="1" applyAlignment="1">
      <alignment horizontal="center" vertical="center" wrapText="1"/>
    </xf>
    <xf numFmtId="0" fontId="21" fillId="47" borderId="1" xfId="0" applyFont="1" applyFill="1" applyBorder="1" applyAlignment="1">
      <alignment horizontal="center" vertical="center" wrapText="1"/>
    </xf>
    <xf numFmtId="0" fontId="34" fillId="6" borderId="22" xfId="7" applyFont="1" applyFill="1" applyBorder="1" applyAlignment="1">
      <alignment vertical="center"/>
    </xf>
    <xf numFmtId="0" fontId="34" fillId="0" borderId="234" xfId="0" applyFont="1" applyBorder="1" applyAlignment="1">
      <alignment horizontal="left" vertical="center"/>
    </xf>
    <xf numFmtId="0" fontId="9" fillId="0" borderId="196" xfId="13" applyBorder="1"/>
    <xf numFmtId="0" fontId="34" fillId="0" borderId="235" xfId="0" applyFont="1" applyBorder="1" applyAlignment="1">
      <alignment horizontal="left" vertical="center"/>
    </xf>
    <xf numFmtId="0" fontId="9" fillId="0" borderId="217" xfId="13" applyBorder="1"/>
    <xf numFmtId="0" fontId="9" fillId="0" borderId="216" xfId="13" applyBorder="1"/>
    <xf numFmtId="0" fontId="9" fillId="0" borderId="197" xfId="13" applyBorder="1"/>
    <xf numFmtId="0" fontId="9" fillId="0" borderId="198" xfId="13" applyBorder="1"/>
    <xf numFmtId="0" fontId="9" fillId="0" borderId="191" xfId="13" applyBorder="1"/>
    <xf numFmtId="0" fontId="9" fillId="0" borderId="193" xfId="13" applyBorder="1"/>
    <xf numFmtId="0" fontId="30" fillId="47" borderId="3" xfId="444" applyFont="1" applyFill="1" applyBorder="1" applyAlignment="1">
      <alignment horizontal="center" vertical="center" wrapText="1"/>
    </xf>
    <xf numFmtId="0" fontId="3" fillId="6" borderId="11" xfId="0" applyFont="1" applyFill="1" applyBorder="1" applyAlignment="1" applyProtection="1">
      <alignment horizontal="center" vertical="center" wrapText="1"/>
      <protection locked="0"/>
    </xf>
    <xf numFmtId="0" fontId="112" fillId="0" borderId="0" xfId="0" applyFont="1" applyAlignment="1" applyProtection="1">
      <alignment vertical="center"/>
      <protection locked="0"/>
    </xf>
    <xf numFmtId="2" fontId="9" fillId="0" borderId="0" xfId="0" applyNumberFormat="1" applyFont="1" applyAlignment="1">
      <alignment vertical="center" wrapText="1"/>
    </xf>
    <xf numFmtId="0" fontId="21" fillId="0" borderId="33" xfId="0" applyFont="1" applyBorder="1" applyAlignment="1">
      <alignment vertical="center"/>
    </xf>
    <xf numFmtId="0" fontId="21" fillId="0" borderId="50" xfId="0" applyFont="1" applyBorder="1" applyAlignment="1">
      <alignment vertical="center"/>
    </xf>
    <xf numFmtId="0" fontId="21" fillId="0" borderId="52" xfId="0" applyFont="1" applyBorder="1" applyAlignment="1">
      <alignment vertical="center"/>
    </xf>
    <xf numFmtId="2" fontId="82" fillId="0" borderId="39" xfId="0" applyNumberFormat="1" applyFont="1" applyBorder="1" applyAlignment="1">
      <alignment horizontal="right" vertical="center"/>
    </xf>
    <xf numFmtId="2" fontId="21" fillId="42" borderId="236" xfId="0" applyNumberFormat="1" applyFont="1" applyFill="1" applyBorder="1" applyAlignment="1">
      <alignment vertical="center"/>
    </xf>
    <xf numFmtId="2" fontId="21" fillId="42" borderId="237" xfId="0" applyNumberFormat="1" applyFont="1" applyFill="1" applyBorder="1" applyAlignment="1">
      <alignment vertical="center"/>
    </xf>
    <xf numFmtId="2" fontId="21" fillId="42" borderId="238" xfId="0" applyNumberFormat="1" applyFont="1" applyFill="1" applyBorder="1" applyAlignment="1">
      <alignment vertical="center"/>
    </xf>
    <xf numFmtId="2" fontId="82" fillId="42" borderId="36" xfId="0" applyNumberFormat="1" applyFont="1" applyFill="1" applyBorder="1" applyAlignment="1">
      <alignment horizontal="right" vertical="center"/>
    </xf>
    <xf numFmtId="0" fontId="21" fillId="42" borderId="35" xfId="0" applyFont="1" applyFill="1" applyBorder="1" applyAlignment="1">
      <alignment horizontal="left" vertical="center"/>
    </xf>
    <xf numFmtId="2" fontId="132" fillId="42" borderId="36" xfId="0" applyNumberFormat="1" applyFont="1" applyFill="1" applyBorder="1" applyAlignment="1">
      <alignment horizontal="right" vertical="center"/>
    </xf>
    <xf numFmtId="2" fontId="82" fillId="42" borderId="38" xfId="0" applyNumberFormat="1" applyFont="1" applyFill="1" applyBorder="1" applyAlignment="1">
      <alignment horizontal="right" vertical="center"/>
    </xf>
    <xf numFmtId="0" fontId="82" fillId="42" borderId="20" xfId="0" applyFont="1" applyFill="1" applyBorder="1" applyAlignment="1">
      <alignment horizontal="right" vertical="center"/>
    </xf>
    <xf numFmtId="0" fontId="21" fillId="63" borderId="36" xfId="0" applyFont="1" applyFill="1" applyBorder="1" applyAlignment="1">
      <alignment vertical="center"/>
    </xf>
    <xf numFmtId="0" fontId="21" fillId="63" borderId="54" xfId="0" applyFont="1" applyFill="1" applyBorder="1" applyAlignment="1">
      <alignment vertical="center"/>
    </xf>
    <xf numFmtId="0" fontId="21" fillId="63" borderId="35" xfId="0" applyFont="1" applyFill="1" applyBorder="1" applyAlignment="1">
      <alignment vertical="center"/>
    </xf>
    <xf numFmtId="3" fontId="9" fillId="0" borderId="3" xfId="444" applyNumberFormat="1" applyFont="1" applyBorder="1" applyAlignment="1">
      <alignment horizontal="center" vertical="center" wrapText="1"/>
    </xf>
    <xf numFmtId="3" fontId="20" fillId="47" borderId="3" xfId="444" applyNumberFormat="1" applyFont="1" applyFill="1" applyBorder="1" applyAlignment="1">
      <alignment horizontal="center" vertical="center" wrapText="1"/>
    </xf>
    <xf numFmtId="3" fontId="21" fillId="6" borderId="64" xfId="0" applyNumberFormat="1" applyFont="1" applyFill="1" applyBorder="1" applyAlignment="1">
      <alignment vertical="center" wrapText="1"/>
    </xf>
    <xf numFmtId="2" fontId="9" fillId="50" borderId="69" xfId="0" applyNumberFormat="1" applyFont="1" applyFill="1" applyBorder="1"/>
    <xf numFmtId="0" fontId="20" fillId="4" borderId="239" xfId="0" applyFont="1" applyFill="1" applyBorder="1" applyAlignment="1">
      <alignment horizontal="center" vertical="center" wrapText="1"/>
    </xf>
    <xf numFmtId="0" fontId="20" fillId="4" borderId="240" xfId="0" applyFont="1" applyFill="1" applyBorder="1" applyAlignment="1">
      <alignment horizontal="center" vertical="center" wrapText="1"/>
    </xf>
    <xf numFmtId="2" fontId="9" fillId="50" borderId="231" xfId="0" applyNumberFormat="1" applyFont="1" applyFill="1" applyBorder="1"/>
    <xf numFmtId="2" fontId="9" fillId="50" borderId="232" xfId="0" applyNumberFormat="1" applyFont="1" applyFill="1" applyBorder="1"/>
    <xf numFmtId="2" fontId="9" fillId="50" borderId="233" xfId="0" applyNumberFormat="1" applyFont="1" applyFill="1" applyBorder="1"/>
    <xf numFmtId="2" fontId="9" fillId="50" borderId="241" xfId="0" applyNumberFormat="1" applyFont="1" applyFill="1" applyBorder="1"/>
    <xf numFmtId="0" fontId="9" fillId="47" borderId="9" xfId="0" applyFont="1" applyFill="1" applyBorder="1" applyAlignment="1">
      <alignment vertical="center" wrapText="1"/>
    </xf>
    <xf numFmtId="2" fontId="9" fillId="50" borderId="84" xfId="0" applyNumberFormat="1" applyFont="1" applyFill="1" applyBorder="1"/>
    <xf numFmtId="2" fontId="9" fillId="50" borderId="218" xfId="0" applyNumberFormat="1" applyFont="1" applyFill="1" applyBorder="1"/>
    <xf numFmtId="2" fontId="9" fillId="50" borderId="219" xfId="0" applyNumberFormat="1" applyFont="1" applyFill="1" applyBorder="1"/>
    <xf numFmtId="2" fontId="9" fillId="50" borderId="220" xfId="0" applyNumberFormat="1" applyFont="1" applyFill="1" applyBorder="1"/>
    <xf numFmtId="171" fontId="9" fillId="0" borderId="40" xfId="1" applyNumberFormat="1" applyFont="1" applyFill="1" applyBorder="1" applyAlignment="1">
      <alignment horizontal="center" vertical="center" wrapText="1"/>
    </xf>
    <xf numFmtId="43" fontId="21" fillId="5" borderId="12" xfId="1" applyFont="1" applyFill="1" applyBorder="1" applyAlignment="1" applyProtection="1">
      <alignment horizontal="center" vertical="center"/>
    </xf>
    <xf numFmtId="43" fontId="21" fillId="0" borderId="11" xfId="1" applyFont="1" applyFill="1" applyBorder="1" applyAlignment="1" applyProtection="1">
      <alignment horizontal="center" vertical="center"/>
    </xf>
    <xf numFmtId="43" fontId="21" fillId="0" borderId="11" xfId="1" applyFont="1" applyFill="1" applyBorder="1" applyAlignment="1">
      <alignment horizontal="center" vertical="center" wrapText="1"/>
    </xf>
    <xf numFmtId="43" fontId="21" fillId="0" borderId="3" xfId="1" applyFont="1" applyFill="1" applyBorder="1" applyAlignment="1" applyProtection="1">
      <alignment horizontal="center" vertical="center" wrapText="1"/>
      <protection locked="0"/>
    </xf>
    <xf numFmtId="43" fontId="21" fillId="0" borderId="12" xfId="1" applyFont="1" applyFill="1" applyBorder="1" applyAlignment="1">
      <alignment horizontal="center" vertical="center" wrapText="1"/>
    </xf>
    <xf numFmtId="3" fontId="21" fillId="0" borderId="12" xfId="0" applyNumberFormat="1" applyFont="1" applyBorder="1" applyAlignment="1">
      <alignment horizontal="center" vertical="center"/>
    </xf>
    <xf numFmtId="0" fontId="0" fillId="4" borderId="231" xfId="0" applyFill="1" applyBorder="1" applyAlignment="1">
      <alignment wrapText="1"/>
    </xf>
    <xf numFmtId="0" fontId="0" fillId="4" borderId="232" xfId="0" applyFill="1" applyBorder="1" applyAlignment="1">
      <alignment wrapText="1"/>
    </xf>
    <xf numFmtId="0" fontId="0" fillId="4" borderId="231" xfId="0" applyFill="1" applyBorder="1"/>
    <xf numFmtId="0" fontId="0" fillId="0" borderId="232" xfId="0" applyBorder="1"/>
    <xf numFmtId="0" fontId="0" fillId="0" borderId="216" xfId="0" applyBorder="1"/>
    <xf numFmtId="0" fontId="0" fillId="0" borderId="217" xfId="0" applyBorder="1"/>
    <xf numFmtId="0" fontId="34" fillId="0" borderId="244" xfId="0" applyFont="1" applyBorder="1" applyAlignment="1">
      <alignment horizontal="left" vertical="center"/>
    </xf>
    <xf numFmtId="0" fontId="0" fillId="0" borderId="210" xfId="0" applyBorder="1"/>
    <xf numFmtId="0" fontId="0" fillId="0" borderId="198" xfId="0" applyBorder="1"/>
    <xf numFmtId="0" fontId="35" fillId="47" borderId="9" xfId="0" applyFont="1" applyFill="1" applyBorder="1" applyAlignment="1">
      <alignment horizontal="center" vertical="center" wrapText="1"/>
    </xf>
    <xf numFmtId="1" fontId="9" fillId="0" borderId="15" xfId="0" applyNumberFormat="1" applyFont="1" applyBorder="1" applyAlignment="1">
      <alignment horizontal="center" vertical="center" wrapText="1"/>
    </xf>
    <xf numFmtId="1" fontId="9" fillId="6" borderId="11" xfId="0" applyNumberFormat="1" applyFont="1" applyFill="1" applyBorder="1" applyAlignment="1">
      <alignment horizontal="center" vertical="center" wrapText="1"/>
    </xf>
    <xf numFmtId="1" fontId="9" fillId="6" borderId="15" xfId="0" applyNumberFormat="1" applyFont="1" applyFill="1" applyBorder="1" applyAlignment="1">
      <alignment horizontal="center" vertical="center" wrapText="1"/>
    </xf>
    <xf numFmtId="0" fontId="9" fillId="0" borderId="194" xfId="2" applyBorder="1" applyAlignment="1">
      <alignment vertical="center"/>
    </xf>
    <xf numFmtId="0" fontId="20" fillId="0" borderId="0" xfId="2" applyFont="1" applyAlignment="1">
      <alignment horizontal="center" vertical="center" wrapText="1"/>
    </xf>
    <xf numFmtId="0" fontId="9" fillId="6" borderId="218" xfId="2" applyFill="1" applyBorder="1" applyAlignment="1" applyProtection="1">
      <alignment horizontal="left" vertical="center"/>
      <protection locked="0"/>
    </xf>
    <xf numFmtId="0" fontId="22" fillId="0" borderId="65" xfId="2" applyFont="1" applyBorder="1" applyAlignment="1">
      <alignment vertical="center"/>
    </xf>
    <xf numFmtId="0" fontId="22" fillId="0" borderId="85" xfId="2" applyFont="1" applyBorder="1" applyAlignment="1">
      <alignment vertical="center"/>
    </xf>
    <xf numFmtId="0" fontId="9" fillId="0" borderId="65" xfId="2" applyBorder="1" applyAlignment="1" applyProtection="1">
      <alignment vertical="center"/>
      <protection locked="0"/>
    </xf>
    <xf numFmtId="170" fontId="9" fillId="0" borderId="65" xfId="11" applyNumberFormat="1" applyFont="1" applyFill="1" applyBorder="1" applyAlignment="1" applyProtection="1">
      <alignment horizontal="center" vertical="center"/>
      <protection locked="0"/>
    </xf>
    <xf numFmtId="164" fontId="9" fillId="0" borderId="65" xfId="9" applyNumberFormat="1" applyFont="1" applyFill="1" applyBorder="1" applyAlignment="1" applyProtection="1">
      <alignment vertical="center"/>
      <protection locked="0"/>
    </xf>
    <xf numFmtId="0" fontId="9" fillId="0" borderId="218" xfId="2" applyBorder="1" applyAlignment="1" applyProtection="1">
      <alignment vertical="center"/>
      <protection locked="0"/>
    </xf>
    <xf numFmtId="170" fontId="9" fillId="0" borderId="1" xfId="0" applyNumberFormat="1" applyFont="1" applyBorder="1" applyAlignment="1" applyProtection="1">
      <alignment horizontal="center"/>
      <protection locked="0"/>
    </xf>
    <xf numFmtId="0" fontId="9" fillId="0" borderId="219" xfId="2" applyBorder="1" applyAlignment="1" applyProtection="1">
      <alignment vertical="center"/>
      <protection locked="0"/>
    </xf>
    <xf numFmtId="0" fontId="9" fillId="0" borderId="220" xfId="2" applyBorder="1" applyAlignment="1" applyProtection="1">
      <alignment vertical="center"/>
      <protection locked="0"/>
    </xf>
    <xf numFmtId="168" fontId="21" fillId="6" borderId="6" xfId="2" applyNumberFormat="1" applyFont="1" applyFill="1" applyBorder="1" applyAlignment="1" applyProtection="1">
      <alignment horizontal="right" vertical="center"/>
      <protection locked="0"/>
    </xf>
    <xf numFmtId="168" fontId="20" fillId="0" borderId="0" xfId="2" applyNumberFormat="1" applyFont="1" applyAlignment="1">
      <alignment vertical="center"/>
    </xf>
    <xf numFmtId="168" fontId="79" fillId="6" borderId="206" xfId="2" applyNumberFormat="1" applyFont="1" applyFill="1" applyBorder="1" applyAlignment="1" applyProtection="1">
      <alignment horizontal="right" vertical="center"/>
      <protection locked="0"/>
    </xf>
    <xf numFmtId="168" fontId="79" fillId="6" borderId="207" xfId="2" applyNumberFormat="1" applyFont="1" applyFill="1" applyBorder="1" applyAlignment="1" applyProtection="1">
      <alignment horizontal="right" vertical="center"/>
      <protection locked="0"/>
    </xf>
    <xf numFmtId="168" fontId="79" fillId="6" borderId="208" xfId="2" applyNumberFormat="1" applyFont="1" applyFill="1" applyBorder="1" applyAlignment="1" applyProtection="1">
      <alignment horizontal="right" vertical="center"/>
      <protection locked="0"/>
    </xf>
    <xf numFmtId="166" fontId="21" fillId="0" borderId="0" xfId="2" applyNumberFormat="1" applyFont="1" applyAlignment="1" applyProtection="1">
      <alignment horizontal="right" vertical="center"/>
      <protection locked="0"/>
    </xf>
    <xf numFmtId="166" fontId="21" fillId="6" borderId="227" xfId="2" applyNumberFormat="1" applyFont="1" applyFill="1" applyBorder="1" applyAlignment="1" applyProtection="1">
      <alignment horizontal="right" vertical="center"/>
      <protection locked="0"/>
    </xf>
    <xf numFmtId="168" fontId="21" fillId="6" borderId="245" xfId="2" applyNumberFormat="1" applyFont="1" applyFill="1" applyBorder="1" applyAlignment="1" applyProtection="1">
      <alignment horizontal="right" vertical="center"/>
      <protection locked="0"/>
    </xf>
    <xf numFmtId="168" fontId="79" fillId="0" borderId="0" xfId="2" applyNumberFormat="1" applyFont="1" applyAlignment="1" applyProtection="1">
      <alignment horizontal="right" vertical="center"/>
      <protection locked="0"/>
    </xf>
    <xf numFmtId="9" fontId="9" fillId="0" borderId="0" xfId="9" applyFont="1" applyFill="1" applyBorder="1" applyAlignment="1">
      <alignment vertical="center"/>
    </xf>
    <xf numFmtId="168" fontId="21" fillId="6" borderId="227" xfId="2" applyNumberFormat="1" applyFont="1" applyFill="1" applyBorder="1" applyAlignment="1" applyProtection="1">
      <alignment horizontal="right" vertical="center"/>
      <protection locked="0"/>
    </xf>
    <xf numFmtId="168" fontId="21" fillId="0" borderId="188" xfId="2" applyNumberFormat="1" applyFont="1" applyBorder="1" applyAlignment="1" applyProtection="1">
      <alignment horizontal="right" vertical="center"/>
      <protection locked="0"/>
    </xf>
    <xf numFmtId="168" fontId="21" fillId="0" borderId="190" xfId="2" applyNumberFormat="1" applyFont="1" applyBorder="1" applyAlignment="1" applyProtection="1">
      <alignment horizontal="right" vertical="center"/>
      <protection locked="0"/>
    </xf>
    <xf numFmtId="9" fontId="9" fillId="0" borderId="189" xfId="9" applyFont="1" applyBorder="1" applyAlignment="1">
      <alignment vertical="center"/>
    </xf>
    <xf numFmtId="168" fontId="79" fillId="6" borderId="227" xfId="2" applyNumberFormat="1" applyFont="1" applyFill="1" applyBorder="1" applyAlignment="1" applyProtection="1">
      <alignment horizontal="right" vertical="center"/>
      <protection locked="0"/>
    </xf>
    <xf numFmtId="168" fontId="79" fillId="6" borderId="6" xfId="2" applyNumberFormat="1" applyFont="1" applyFill="1" applyBorder="1" applyAlignment="1" applyProtection="1">
      <alignment horizontal="right" vertical="center"/>
      <protection locked="0"/>
    </xf>
    <xf numFmtId="168" fontId="79" fillId="6" borderId="245" xfId="2" applyNumberFormat="1" applyFont="1" applyFill="1" applyBorder="1" applyAlignment="1" applyProtection="1">
      <alignment horizontal="right" vertical="center"/>
      <protection locked="0"/>
    </xf>
    <xf numFmtId="166" fontId="21" fillId="0" borderId="188" xfId="2" applyNumberFormat="1" applyFont="1" applyBorder="1" applyAlignment="1" applyProtection="1">
      <alignment horizontal="right" vertical="center"/>
      <protection locked="0"/>
    </xf>
    <xf numFmtId="0" fontId="91" fillId="0" borderId="216" xfId="0" applyFont="1" applyBorder="1"/>
    <xf numFmtId="0" fontId="109" fillId="6" borderId="0" xfId="298" applyFont="1" applyFill="1" applyAlignment="1">
      <alignment vertical="center"/>
    </xf>
    <xf numFmtId="0" fontId="167" fillId="6" borderId="0" xfId="298" applyFont="1" applyFill="1" applyAlignment="1">
      <alignment vertical="center"/>
    </xf>
    <xf numFmtId="49" fontId="81" fillId="47" borderId="6" xfId="2" applyNumberFormat="1" applyFont="1" applyFill="1" applyBorder="1" applyAlignment="1">
      <alignment horizontal="left" vertical="center"/>
    </xf>
    <xf numFmtId="0" fontId="81" fillId="47" borderId="6" xfId="0" applyFont="1" applyFill="1" applyBorder="1" applyAlignment="1">
      <alignment horizontal="left"/>
    </xf>
    <xf numFmtId="0" fontId="81" fillId="47" borderId="8" xfId="0" applyFont="1" applyFill="1" applyBorder="1" applyAlignment="1">
      <alignment horizontal="left"/>
    </xf>
    <xf numFmtId="164" fontId="21" fillId="0" borderId="0" xfId="10" applyNumberFormat="1" applyFont="1" applyFill="1" applyBorder="1" applyAlignment="1" applyProtection="1">
      <alignment horizontal="center" vertical="center"/>
    </xf>
    <xf numFmtId="9" fontId="21" fillId="0" borderId="0" xfId="9" applyFont="1" applyFill="1" applyBorder="1" applyAlignment="1" applyProtection="1">
      <alignment horizontal="center" vertical="center" wrapText="1"/>
    </xf>
    <xf numFmtId="164" fontId="21" fillId="0" borderId="0" xfId="10" applyNumberFormat="1" applyFont="1" applyFill="1" applyBorder="1" applyAlignment="1" applyProtection="1">
      <alignment horizontal="center" vertical="center" wrapText="1"/>
    </xf>
    <xf numFmtId="164" fontId="21" fillId="0" borderId="0" xfId="10" applyNumberFormat="1" applyFont="1" applyFill="1" applyBorder="1" applyAlignment="1">
      <alignment horizontal="center" vertical="center" wrapText="1"/>
    </xf>
    <xf numFmtId="171" fontId="21" fillId="0" borderId="0" xfId="1" applyNumberFormat="1" applyFont="1" applyFill="1" applyBorder="1" applyAlignment="1" applyProtection="1">
      <alignment horizontal="right" vertical="center"/>
    </xf>
    <xf numFmtId="171" fontId="21" fillId="0" borderId="0" xfId="96" applyNumberFormat="1" applyFont="1" applyFill="1" applyBorder="1" applyAlignment="1" applyProtection="1">
      <alignment horizontal="right" vertical="center"/>
    </xf>
    <xf numFmtId="43" fontId="21" fillId="0" borderId="0" xfId="1" applyFont="1" applyFill="1" applyBorder="1" applyAlignment="1" applyProtection="1">
      <alignment horizontal="right" vertical="center"/>
    </xf>
    <xf numFmtId="164" fontId="21" fillId="0" borderId="0" xfId="9" applyNumberFormat="1" applyFont="1" applyFill="1" applyBorder="1" applyAlignment="1" applyProtection="1">
      <alignment horizontal="right" vertical="center"/>
    </xf>
    <xf numFmtId="49" fontId="9" fillId="0" borderId="0" xfId="2" applyNumberFormat="1" applyAlignment="1">
      <alignment horizontal="center" vertical="center"/>
    </xf>
    <xf numFmtId="49" fontId="22" fillId="0" borderId="0" xfId="2" applyNumberFormat="1" applyFont="1" applyAlignment="1">
      <alignment horizontal="center" vertical="center"/>
    </xf>
    <xf numFmtId="0" fontId="3" fillId="0" borderId="191" xfId="0" applyFont="1" applyBorder="1" applyAlignment="1">
      <alignment horizontal="left" vertical="top"/>
    </xf>
    <xf numFmtId="0" fontId="9" fillId="0" borderId="0" xfId="2" applyAlignment="1">
      <alignment horizontal="left" vertical="center" indent="1"/>
    </xf>
    <xf numFmtId="169" fontId="21" fillId="0" borderId="0" xfId="12" applyNumberFormat="1" applyFont="1" applyFill="1" applyBorder="1" applyAlignment="1">
      <alignment horizontal="right" vertical="center"/>
    </xf>
    <xf numFmtId="0" fontId="9" fillId="0" borderId="0" xfId="2" applyAlignment="1" applyProtection="1">
      <alignment horizontal="left" vertical="center" wrapText="1"/>
      <protection locked="0"/>
    </xf>
    <xf numFmtId="0" fontId="9" fillId="0" borderId="0" xfId="2" applyAlignment="1" applyProtection="1">
      <alignment horizontal="center" vertical="center" wrapText="1"/>
      <protection locked="0"/>
    </xf>
    <xf numFmtId="0" fontId="9" fillId="6" borderId="65" xfId="2" applyFill="1" applyBorder="1" applyAlignment="1">
      <alignment vertical="center"/>
    </xf>
    <xf numFmtId="0" fontId="22" fillId="4" borderId="247" xfId="2" applyFont="1" applyFill="1" applyBorder="1" applyAlignment="1">
      <alignment horizontal="left" vertical="center"/>
    </xf>
    <xf numFmtId="0" fontId="22" fillId="4" borderId="248" xfId="2" applyFont="1" applyFill="1" applyBorder="1" applyAlignment="1">
      <alignment horizontal="left" vertical="center"/>
    </xf>
    <xf numFmtId="0" fontId="9" fillId="6" borderId="249" xfId="2" applyFill="1" applyBorder="1" applyAlignment="1">
      <alignment vertical="center"/>
    </xf>
    <xf numFmtId="0" fontId="9" fillId="6" borderId="250" xfId="2" applyFill="1" applyBorder="1" applyAlignment="1">
      <alignment vertical="center"/>
    </xf>
    <xf numFmtId="0" fontId="9" fillId="0" borderId="4" xfId="2" applyBorder="1" applyAlignment="1">
      <alignment vertical="center"/>
    </xf>
    <xf numFmtId="0" fontId="144" fillId="47" borderId="3" xfId="0" applyFont="1" applyFill="1" applyBorder="1" applyAlignment="1">
      <alignment horizontal="left"/>
    </xf>
    <xf numFmtId="9" fontId="185" fillId="0" borderId="0" xfId="0" applyNumberFormat="1" applyFont="1" applyAlignment="1">
      <alignment horizontal="center"/>
    </xf>
    <xf numFmtId="0" fontId="114" fillId="0" borderId="0" xfId="0" applyFont="1" applyAlignment="1">
      <alignment horizontal="right"/>
    </xf>
    <xf numFmtId="9" fontId="185" fillId="4" borderId="251" xfId="0" applyNumberFormat="1" applyFont="1" applyFill="1" applyBorder="1" applyAlignment="1">
      <alignment horizontal="center"/>
    </xf>
    <xf numFmtId="9" fontId="185" fillId="4" borderId="252" xfId="0" applyNumberFormat="1" applyFont="1" applyFill="1" applyBorder="1" applyAlignment="1">
      <alignment horizontal="center"/>
    </xf>
    <xf numFmtId="9" fontId="185" fillId="4" borderId="253" xfId="0" applyNumberFormat="1" applyFont="1" applyFill="1" applyBorder="1" applyAlignment="1">
      <alignment horizontal="center"/>
    </xf>
    <xf numFmtId="9" fontId="185" fillId="4" borderId="254" xfId="0" applyNumberFormat="1" applyFont="1" applyFill="1" applyBorder="1" applyAlignment="1">
      <alignment horizontal="center"/>
    </xf>
    <xf numFmtId="0" fontId="114" fillId="4" borderId="255" xfId="0" applyFont="1" applyFill="1" applyBorder="1" applyAlignment="1">
      <alignment horizontal="right"/>
    </xf>
    <xf numFmtId="0" fontId="185" fillId="5" borderId="256" xfId="0" applyFont="1" applyFill="1" applyBorder="1" applyAlignment="1">
      <alignment horizontal="center"/>
    </xf>
    <xf numFmtId="0" fontId="185" fillId="5" borderId="257" xfId="0" applyFont="1" applyFill="1" applyBorder="1" applyAlignment="1">
      <alignment horizontal="center"/>
    </xf>
    <xf numFmtId="0" fontId="185" fillId="5" borderId="258" xfId="0" applyFont="1" applyFill="1" applyBorder="1" applyAlignment="1">
      <alignment horizontal="center"/>
    </xf>
    <xf numFmtId="9" fontId="185" fillId="5" borderId="259" xfId="0" applyNumberFormat="1" applyFont="1" applyFill="1" applyBorder="1" applyAlignment="1">
      <alignment horizontal="center" vertical="center" wrapText="1"/>
    </xf>
    <xf numFmtId="0" fontId="114" fillId="5" borderId="260" xfId="0" applyFont="1" applyFill="1" applyBorder="1"/>
    <xf numFmtId="0" fontId="185" fillId="5" borderId="147" xfId="0" applyFont="1" applyFill="1" applyBorder="1" applyAlignment="1">
      <alignment horizontal="center"/>
    </xf>
    <xf numFmtId="0" fontId="185" fillId="5" borderId="0" xfId="0" applyFont="1" applyFill="1" applyAlignment="1">
      <alignment horizontal="center"/>
    </xf>
    <xf numFmtId="0" fontId="185" fillId="5" borderId="172" xfId="0" applyFont="1" applyFill="1" applyBorder="1" applyAlignment="1">
      <alignment horizontal="center"/>
    </xf>
    <xf numFmtId="9" fontId="185" fillId="5" borderId="147" xfId="9" applyFont="1" applyFill="1" applyBorder="1" applyAlignment="1">
      <alignment horizontal="center"/>
    </xf>
    <xf numFmtId="0" fontId="185" fillId="5" borderId="68" xfId="0" applyFont="1" applyFill="1" applyBorder="1" applyAlignment="1">
      <alignment horizontal="center"/>
    </xf>
    <xf numFmtId="9" fontId="185" fillId="5" borderId="71" xfId="9" applyFont="1" applyFill="1" applyBorder="1" applyAlignment="1">
      <alignment horizontal="center"/>
    </xf>
    <xf numFmtId="9" fontId="185" fillId="5" borderId="261" xfId="9" applyFont="1" applyFill="1" applyBorder="1" applyAlignment="1">
      <alignment horizontal="center"/>
    </xf>
    <xf numFmtId="9" fontId="185" fillId="5" borderId="262" xfId="9" quotePrefix="1" applyFont="1" applyFill="1" applyBorder="1" applyAlignment="1">
      <alignment horizontal="center"/>
    </xf>
    <xf numFmtId="9" fontId="185" fillId="5" borderId="65" xfId="0" applyNumberFormat="1" applyFont="1" applyFill="1" applyBorder="1" applyAlignment="1">
      <alignment horizontal="center" vertical="center" wrapText="1"/>
    </xf>
    <xf numFmtId="9" fontId="185" fillId="5" borderId="64" xfId="9" applyFont="1" applyFill="1" applyBorder="1" applyAlignment="1">
      <alignment horizontal="center" vertical="center" wrapText="1"/>
    </xf>
    <xf numFmtId="9" fontId="185" fillId="5" borderId="151" xfId="9" quotePrefix="1" applyFont="1" applyFill="1" applyBorder="1" applyAlignment="1">
      <alignment horizontal="center"/>
    </xf>
    <xf numFmtId="0" fontId="114" fillId="5" borderId="259" xfId="0" applyFont="1" applyFill="1" applyBorder="1"/>
    <xf numFmtId="9" fontId="185" fillId="5" borderId="152" xfId="9" applyFont="1" applyFill="1" applyBorder="1" applyAlignment="1">
      <alignment horizontal="center" vertical="center" wrapText="1"/>
    </xf>
    <xf numFmtId="9" fontId="185" fillId="5" borderId="65" xfId="9" applyFont="1" applyFill="1" applyBorder="1" applyAlignment="1">
      <alignment horizontal="center" vertical="center" wrapText="1"/>
    </xf>
    <xf numFmtId="9" fontId="185" fillId="5" borderId="151" xfId="9" applyFont="1" applyFill="1" applyBorder="1" applyAlignment="1">
      <alignment horizontal="center" vertical="center" wrapText="1"/>
    </xf>
    <xf numFmtId="9" fontId="185" fillId="5" borderId="263" xfId="0" applyNumberFormat="1" applyFont="1" applyFill="1" applyBorder="1" applyAlignment="1">
      <alignment horizontal="center" vertical="center" wrapText="1"/>
    </xf>
    <xf numFmtId="0" fontId="185" fillId="5" borderId="264" xfId="0" quotePrefix="1" applyFont="1" applyFill="1" applyBorder="1" applyAlignment="1">
      <alignment horizontal="center"/>
    </xf>
    <xf numFmtId="0" fontId="0" fillId="4" borderId="265" xfId="0" applyFill="1" applyBorder="1" applyAlignment="1">
      <alignment horizontal="center" vertical="center"/>
    </xf>
    <xf numFmtId="9" fontId="186" fillId="4" borderId="266" xfId="0" applyNumberFormat="1" applyFont="1" applyFill="1" applyBorder="1" applyAlignment="1">
      <alignment horizontal="center" vertical="center" wrapText="1"/>
    </xf>
    <xf numFmtId="9" fontId="186" fillId="4" borderId="267" xfId="0" applyNumberFormat="1" applyFont="1" applyFill="1" applyBorder="1" applyAlignment="1">
      <alignment horizontal="center" vertical="center" wrapText="1"/>
    </xf>
    <xf numFmtId="9" fontId="186" fillId="4" borderId="268" xfId="0" applyNumberFormat="1" applyFont="1" applyFill="1" applyBorder="1" applyAlignment="1">
      <alignment horizontal="center" vertical="center" wrapText="1"/>
    </xf>
    <xf numFmtId="0" fontId="30" fillId="4" borderId="268" xfId="0" applyFont="1" applyFill="1" applyBorder="1" applyAlignment="1">
      <alignment horizontal="center" vertical="center"/>
    </xf>
    <xf numFmtId="0" fontId="185" fillId="47" borderId="155" xfId="0" applyFont="1" applyFill="1" applyBorder="1" applyAlignment="1">
      <alignment horizontal="center" vertical="center" wrapText="1"/>
    </xf>
    <xf numFmtId="0" fontId="185" fillId="47" borderId="85" xfId="0" applyFont="1" applyFill="1" applyBorder="1" applyAlignment="1">
      <alignment horizontal="center" vertical="center" wrapText="1"/>
    </xf>
    <xf numFmtId="0" fontId="185" fillId="47" borderId="154" xfId="0" applyFont="1" applyFill="1" applyBorder="1" applyAlignment="1">
      <alignment horizontal="center" vertical="center" wrapText="1"/>
    </xf>
    <xf numFmtId="0" fontId="185" fillId="47" borderId="153" xfId="0" applyFont="1" applyFill="1" applyBorder="1" applyAlignment="1">
      <alignment horizontal="center" vertical="center" wrapText="1"/>
    </xf>
    <xf numFmtId="0" fontId="185" fillId="47" borderId="269" xfId="0" applyFont="1" applyFill="1" applyBorder="1" applyAlignment="1">
      <alignment horizontal="center" vertical="center" wrapText="1"/>
    </xf>
    <xf numFmtId="0" fontId="0" fillId="47" borderId="157" xfId="0" applyFill="1" applyBorder="1" applyAlignment="1">
      <alignment horizontal="centerContinuous"/>
    </xf>
    <xf numFmtId="0" fontId="0" fillId="47" borderId="158" xfId="0" applyFill="1" applyBorder="1" applyAlignment="1">
      <alignment horizontal="centerContinuous"/>
    </xf>
    <xf numFmtId="0" fontId="0" fillId="47" borderId="160" xfId="0" applyFill="1" applyBorder="1" applyAlignment="1">
      <alignment horizontal="centerContinuous"/>
    </xf>
    <xf numFmtId="0" fontId="185" fillId="47" borderId="156" xfId="0" applyFont="1" applyFill="1" applyBorder="1" applyAlignment="1">
      <alignment horizontal="centerContinuous" vertical="center" wrapText="1"/>
    </xf>
    <xf numFmtId="0" fontId="185" fillId="47" borderId="270" xfId="0" applyFont="1" applyFill="1" applyBorder="1" applyAlignment="1">
      <alignment horizontal="center" vertical="center" wrapText="1"/>
    </xf>
    <xf numFmtId="9" fontId="185" fillId="5" borderId="259" xfId="9" applyFont="1" applyFill="1" applyBorder="1" applyAlignment="1">
      <alignment horizontal="center" vertical="center" wrapText="1"/>
    </xf>
    <xf numFmtId="9" fontId="185" fillId="5" borderId="263" xfId="9" applyFont="1" applyFill="1" applyBorder="1" applyAlignment="1">
      <alignment horizontal="center" vertical="center" wrapText="1"/>
    </xf>
    <xf numFmtId="9" fontId="185" fillId="5" borderId="271" xfId="9" quotePrefix="1" applyFont="1" applyFill="1" applyBorder="1" applyAlignment="1">
      <alignment horizontal="center"/>
    </xf>
    <xf numFmtId="9" fontId="3" fillId="8" borderId="251" xfId="0" applyNumberFormat="1" applyFont="1" applyFill="1" applyBorder="1" applyAlignment="1">
      <alignment horizontal="center"/>
    </xf>
    <xf numFmtId="9" fontId="3" fillId="8" borderId="274" xfId="0" applyNumberFormat="1" applyFont="1" applyFill="1" applyBorder="1" applyAlignment="1">
      <alignment horizontal="center"/>
    </xf>
    <xf numFmtId="9" fontId="3" fillId="8" borderId="275" xfId="0" applyNumberFormat="1" applyFont="1" applyFill="1" applyBorder="1" applyAlignment="1">
      <alignment horizontal="center"/>
    </xf>
    <xf numFmtId="9" fontId="187" fillId="8" borderId="255" xfId="0" applyNumberFormat="1" applyFont="1" applyFill="1" applyBorder="1" applyAlignment="1">
      <alignment horizontal="center" vertical="center" wrapText="1"/>
    </xf>
    <xf numFmtId="9" fontId="3" fillId="8" borderId="254" xfId="0" applyNumberFormat="1" applyFont="1" applyFill="1" applyBorder="1" applyAlignment="1">
      <alignment horizontal="center"/>
    </xf>
    <xf numFmtId="0" fontId="114" fillId="8" borderId="255" xfId="0" applyFont="1" applyFill="1" applyBorder="1" applyAlignment="1">
      <alignment horizontal="right"/>
    </xf>
    <xf numFmtId="0" fontId="3" fillId="5" borderId="179" xfId="0" applyFont="1" applyFill="1" applyBorder="1" applyAlignment="1">
      <alignment horizontal="center"/>
    </xf>
    <xf numFmtId="0" fontId="3" fillId="5" borderId="246" xfId="0" applyFont="1" applyFill="1" applyBorder="1" applyAlignment="1">
      <alignment horizontal="center"/>
    </xf>
    <xf numFmtId="0" fontId="3" fillId="5" borderId="276" xfId="0" applyFont="1" applyFill="1" applyBorder="1" applyAlignment="1">
      <alignment horizontal="center"/>
    </xf>
    <xf numFmtId="9" fontId="187" fillId="5" borderId="277" xfId="0" applyNumberFormat="1" applyFont="1" applyFill="1" applyBorder="1" applyAlignment="1">
      <alignment horizontal="center" vertical="center" wrapText="1"/>
    </xf>
    <xf numFmtId="0" fontId="3" fillId="5" borderId="278" xfId="0" applyFont="1" applyFill="1" applyBorder="1" applyAlignment="1">
      <alignment horizontal="center"/>
    </xf>
    <xf numFmtId="0" fontId="114" fillId="5" borderId="279" xfId="0" applyFont="1" applyFill="1" applyBorder="1"/>
    <xf numFmtId="0" fontId="3" fillId="5" borderId="147" xfId="0" applyFont="1" applyFill="1" applyBorder="1" applyAlignment="1">
      <alignment horizontal="center"/>
    </xf>
    <xf numFmtId="0" fontId="3" fillId="5" borderId="0" xfId="0" applyFont="1" applyFill="1" applyAlignment="1">
      <alignment horizontal="center"/>
    </xf>
    <xf numFmtId="0" fontId="3" fillId="5" borderId="280" xfId="0" applyFont="1" applyFill="1" applyBorder="1" applyAlignment="1">
      <alignment horizontal="center"/>
    </xf>
    <xf numFmtId="9" fontId="187" fillId="5" borderId="70" xfId="0" applyNumberFormat="1" applyFont="1" applyFill="1" applyBorder="1" applyAlignment="1">
      <alignment horizontal="center" vertical="center" wrapText="1"/>
    </xf>
    <xf numFmtId="0" fontId="3" fillId="5" borderId="281" xfId="0" applyFont="1" applyFill="1" applyBorder="1" applyAlignment="1">
      <alignment horizontal="center"/>
    </xf>
    <xf numFmtId="9" fontId="187" fillId="5" borderId="259" xfId="0" applyNumberFormat="1" applyFont="1" applyFill="1" applyBorder="1" applyAlignment="1">
      <alignment horizontal="center" vertical="center" wrapText="1"/>
    </xf>
    <xf numFmtId="0" fontId="3" fillId="5" borderId="282" xfId="0" applyFont="1" applyFill="1" applyBorder="1" applyAlignment="1">
      <alignment horizontal="center"/>
    </xf>
    <xf numFmtId="0" fontId="3" fillId="5" borderId="2" xfId="0" applyFont="1" applyFill="1" applyBorder="1" applyAlignment="1">
      <alignment horizontal="center"/>
    </xf>
    <xf numFmtId="9" fontId="187" fillId="5" borderId="262" xfId="0" applyNumberFormat="1" applyFont="1" applyFill="1" applyBorder="1" applyAlignment="1">
      <alignment horizontal="center" vertical="center" wrapText="1"/>
    </xf>
    <xf numFmtId="0" fontId="3" fillId="5" borderId="283" xfId="0" applyFont="1" applyFill="1" applyBorder="1" applyAlignment="1">
      <alignment horizontal="center"/>
    </xf>
    <xf numFmtId="0" fontId="3" fillId="5" borderId="284" xfId="0" applyFont="1" applyFill="1" applyBorder="1" applyAlignment="1">
      <alignment horizontal="center"/>
    </xf>
    <xf numFmtId="9" fontId="187" fillId="5" borderId="285" xfId="0" applyNumberFormat="1" applyFont="1" applyFill="1" applyBorder="1" applyAlignment="1">
      <alignment horizontal="center" vertical="center" wrapText="1"/>
    </xf>
    <xf numFmtId="0" fontId="3" fillId="5" borderId="286" xfId="0" applyFont="1" applyFill="1" applyBorder="1" applyAlignment="1">
      <alignment horizontal="center"/>
    </xf>
    <xf numFmtId="9" fontId="187" fillId="5" borderId="152" xfId="0" applyNumberFormat="1" applyFont="1" applyFill="1" applyBorder="1" applyAlignment="1">
      <alignment horizontal="center" vertical="center" wrapText="1"/>
    </xf>
    <xf numFmtId="0" fontId="0" fillId="5" borderId="65" xfId="0" quotePrefix="1" applyFill="1" applyBorder="1" applyAlignment="1">
      <alignment horizontal="center"/>
    </xf>
    <xf numFmtId="9" fontId="187" fillId="5" borderId="69" xfId="0" applyNumberFormat="1" applyFont="1" applyFill="1" applyBorder="1" applyAlignment="1">
      <alignment horizontal="center" vertical="center" wrapText="1"/>
    </xf>
    <xf numFmtId="9" fontId="187" fillId="5" borderId="264" xfId="0" applyNumberFormat="1" applyFont="1" applyFill="1" applyBorder="1" applyAlignment="1">
      <alignment horizontal="center" vertical="center" wrapText="1"/>
    </xf>
    <xf numFmtId="9" fontId="187" fillId="5" borderId="287" xfId="0" applyNumberFormat="1" applyFont="1" applyFill="1" applyBorder="1" applyAlignment="1">
      <alignment horizontal="center" vertical="center" wrapText="1"/>
    </xf>
    <xf numFmtId="9" fontId="187" fillId="5" borderId="288" xfId="0" applyNumberFormat="1" applyFont="1" applyFill="1" applyBorder="1" applyAlignment="1">
      <alignment horizontal="center" vertical="center" wrapText="1"/>
    </xf>
    <xf numFmtId="9" fontId="187" fillId="5" borderId="260" xfId="0" applyNumberFormat="1" applyFont="1" applyFill="1" applyBorder="1" applyAlignment="1">
      <alignment horizontal="center" vertical="center" wrapText="1"/>
    </xf>
    <xf numFmtId="9" fontId="187" fillId="5" borderId="263" xfId="0" applyNumberFormat="1" applyFont="1" applyFill="1" applyBorder="1" applyAlignment="1">
      <alignment horizontal="center" vertical="center" wrapText="1"/>
    </xf>
    <xf numFmtId="9" fontId="3" fillId="5" borderId="152" xfId="0" quotePrefix="1" applyNumberFormat="1" applyFont="1" applyFill="1" applyBorder="1" applyAlignment="1">
      <alignment horizontal="center"/>
    </xf>
    <xf numFmtId="9" fontId="0" fillId="5" borderId="264" xfId="0" quotePrefix="1" applyNumberFormat="1" applyFill="1" applyBorder="1" applyAlignment="1">
      <alignment horizontal="center"/>
    </xf>
    <xf numFmtId="0" fontId="0" fillId="5" borderId="264" xfId="0" quotePrefix="1" applyFill="1" applyBorder="1" applyAlignment="1">
      <alignment horizontal="center"/>
    </xf>
    <xf numFmtId="9" fontId="186" fillId="4" borderId="265" xfId="0" applyNumberFormat="1" applyFont="1" applyFill="1" applyBorder="1" applyAlignment="1">
      <alignment horizontal="center" vertical="center" wrapText="1"/>
    </xf>
    <xf numFmtId="9" fontId="186" fillId="4" borderId="290" xfId="0" applyNumberFormat="1" applyFont="1" applyFill="1" applyBorder="1" applyAlignment="1">
      <alignment horizontal="center" vertical="center" wrapText="1"/>
    </xf>
    <xf numFmtId="9" fontId="186" fillId="4" borderId="292" xfId="0" applyNumberFormat="1" applyFont="1" applyFill="1" applyBorder="1" applyAlignment="1">
      <alignment horizontal="center" vertical="top" wrapText="1"/>
    </xf>
    <xf numFmtId="9" fontId="186" fillId="4" borderId="293" xfId="0" applyNumberFormat="1" applyFont="1" applyFill="1" applyBorder="1" applyAlignment="1">
      <alignment horizontal="center" vertical="center" wrapText="1"/>
    </xf>
    <xf numFmtId="9" fontId="186" fillId="4" borderId="268" xfId="0" applyNumberFormat="1" applyFont="1" applyFill="1" applyBorder="1" applyAlignment="1">
      <alignment horizontal="center" vertical="top" wrapText="1"/>
    </xf>
    <xf numFmtId="0" fontId="30" fillId="4" borderId="268" xfId="0" applyFont="1" applyFill="1" applyBorder="1"/>
    <xf numFmtId="0" fontId="185" fillId="47" borderId="294" xfId="0" applyFont="1" applyFill="1" applyBorder="1" applyAlignment="1">
      <alignment horizontal="center" vertical="center" wrapText="1"/>
    </xf>
    <xf numFmtId="0" fontId="185" fillId="47" borderId="295" xfId="0" applyFont="1" applyFill="1" applyBorder="1" applyAlignment="1">
      <alignment horizontal="center" vertical="center" wrapText="1"/>
    </xf>
    <xf numFmtId="0" fontId="185" fillId="47" borderId="296" xfId="0" applyFont="1" applyFill="1" applyBorder="1" applyAlignment="1">
      <alignment horizontal="center" vertical="center" wrapText="1"/>
    </xf>
    <xf numFmtId="9" fontId="3" fillId="8" borderId="251" xfId="9" applyFont="1" applyFill="1" applyBorder="1" applyAlignment="1">
      <alignment horizontal="center"/>
    </xf>
    <xf numFmtId="9" fontId="3" fillId="8" borderId="252" xfId="9" applyFont="1" applyFill="1" applyBorder="1" applyAlignment="1">
      <alignment horizontal="center"/>
    </xf>
    <xf numFmtId="9" fontId="3" fillId="8" borderId="272" xfId="9" applyFont="1" applyFill="1" applyBorder="1" applyAlignment="1">
      <alignment horizontal="center"/>
    </xf>
    <xf numFmtId="9" fontId="3" fillId="8" borderId="274" xfId="9" applyFont="1" applyFill="1" applyBorder="1" applyAlignment="1">
      <alignment horizontal="center"/>
    </xf>
    <xf numFmtId="9" fontId="3" fillId="8" borderId="275" xfId="9" applyFont="1" applyFill="1" applyBorder="1" applyAlignment="1">
      <alignment horizontal="center"/>
    </xf>
    <xf numFmtId="9" fontId="187" fillId="5" borderId="68" xfId="0" applyNumberFormat="1" applyFont="1" applyFill="1" applyBorder="1" applyAlignment="1">
      <alignment horizontal="center" vertical="center" wrapText="1"/>
    </xf>
    <xf numFmtId="0" fontId="3" fillId="5" borderId="305" xfId="0" applyFont="1" applyFill="1" applyBorder="1" applyAlignment="1">
      <alignment horizontal="center"/>
    </xf>
    <xf numFmtId="0" fontId="114" fillId="5" borderId="306" xfId="0" applyFont="1" applyFill="1" applyBorder="1"/>
    <xf numFmtId="9" fontId="3" fillId="5" borderId="281" xfId="0" applyNumberFormat="1" applyFont="1" applyFill="1" applyBorder="1" applyAlignment="1">
      <alignment horizontal="center"/>
    </xf>
    <xf numFmtId="9" fontId="187" fillId="5" borderId="307" xfId="0" applyNumberFormat="1" applyFont="1" applyFill="1" applyBorder="1" applyAlignment="1">
      <alignment horizontal="center" vertical="center" wrapText="1"/>
    </xf>
    <xf numFmtId="0" fontId="3" fillId="5" borderId="308" xfId="0" applyFont="1" applyFill="1" applyBorder="1" applyAlignment="1">
      <alignment horizontal="center"/>
    </xf>
    <xf numFmtId="0" fontId="3" fillId="5" borderId="309" xfId="0" applyFont="1" applyFill="1" applyBorder="1" applyAlignment="1">
      <alignment horizontal="center"/>
    </xf>
    <xf numFmtId="9" fontId="187" fillId="5" borderId="310" xfId="0" applyNumberFormat="1" applyFont="1" applyFill="1" applyBorder="1" applyAlignment="1">
      <alignment horizontal="center" vertical="center" wrapText="1"/>
    </xf>
    <xf numFmtId="0" fontId="3" fillId="5" borderId="311" xfId="0" applyFont="1" applyFill="1" applyBorder="1" applyAlignment="1">
      <alignment horizontal="center"/>
    </xf>
    <xf numFmtId="9" fontId="3" fillId="8" borderId="252" xfId="0" applyNumberFormat="1" applyFont="1" applyFill="1" applyBorder="1" applyAlignment="1">
      <alignment horizontal="center"/>
    </xf>
    <xf numFmtId="9" fontId="3" fillId="8" borderId="272" xfId="0" applyNumberFormat="1" applyFont="1" applyFill="1" applyBorder="1" applyAlignment="1">
      <alignment horizontal="center"/>
    </xf>
    <xf numFmtId="9" fontId="3" fillId="5" borderId="259" xfId="0" applyNumberFormat="1" applyFont="1" applyFill="1" applyBorder="1" applyAlignment="1">
      <alignment horizontal="center"/>
    </xf>
    <xf numFmtId="0" fontId="0" fillId="5" borderId="0" xfId="0" applyFill="1" applyAlignment="1">
      <alignment horizontal="center"/>
    </xf>
    <xf numFmtId="0" fontId="3" fillId="5" borderId="312" xfId="0" applyFont="1" applyFill="1" applyBorder="1" applyAlignment="1">
      <alignment horizontal="center"/>
    </xf>
    <xf numFmtId="0" fontId="3" fillId="5" borderId="313" xfId="0" applyFont="1" applyFill="1" applyBorder="1" applyAlignment="1">
      <alignment horizontal="center"/>
    </xf>
    <xf numFmtId="0" fontId="3" fillId="5" borderId="314" xfId="0" applyFont="1" applyFill="1" applyBorder="1" applyAlignment="1">
      <alignment horizontal="center"/>
    </xf>
    <xf numFmtId="0" fontId="3" fillId="5" borderId="315" xfId="0" applyFont="1" applyFill="1" applyBorder="1" applyAlignment="1">
      <alignment horizontal="center"/>
    </xf>
    <xf numFmtId="9" fontId="187" fillId="5" borderId="259" xfId="0" quotePrefix="1" applyNumberFormat="1" applyFont="1" applyFill="1" applyBorder="1" applyAlignment="1">
      <alignment horizontal="center" vertical="center" wrapText="1"/>
    </xf>
    <xf numFmtId="0" fontId="0" fillId="5" borderId="152" xfId="0" quotePrefix="1" applyFill="1" applyBorder="1" applyAlignment="1">
      <alignment horizontal="center"/>
    </xf>
    <xf numFmtId="0" fontId="0" fillId="5" borderId="316" xfId="0" quotePrefix="1" applyFill="1" applyBorder="1" applyAlignment="1">
      <alignment horizontal="center"/>
    </xf>
    <xf numFmtId="0" fontId="0" fillId="5" borderId="317" xfId="0" quotePrefix="1" applyFill="1" applyBorder="1" applyAlignment="1">
      <alignment horizontal="center"/>
    </xf>
    <xf numFmtId="9" fontId="187" fillId="5" borderId="319" xfId="0" applyNumberFormat="1" applyFont="1" applyFill="1" applyBorder="1" applyAlignment="1">
      <alignment horizontal="center" vertical="center" wrapText="1"/>
    </xf>
    <xf numFmtId="9" fontId="187" fillId="5" borderId="320" xfId="0" applyNumberFormat="1" applyFont="1" applyFill="1" applyBorder="1" applyAlignment="1">
      <alignment horizontal="center" vertical="center" wrapText="1"/>
    </xf>
    <xf numFmtId="0" fontId="114" fillId="5" borderId="263" xfId="0" applyFont="1" applyFill="1" applyBorder="1"/>
    <xf numFmtId="0" fontId="20" fillId="6" borderId="0" xfId="2" applyFont="1" applyFill="1" applyAlignment="1">
      <alignment horizontal="left" vertical="top"/>
    </xf>
    <xf numFmtId="49" fontId="23" fillId="6" borderId="0" xfId="298" applyNumberFormat="1" applyFont="1" applyFill="1" applyAlignment="1">
      <alignment vertical="center"/>
    </xf>
    <xf numFmtId="0" fontId="78" fillId="6" borderId="0" xfId="298" applyFont="1" applyFill="1" applyAlignment="1">
      <alignment vertical="center" wrapText="1"/>
    </xf>
    <xf numFmtId="49" fontId="23" fillId="6" borderId="0" xfId="298" applyNumberFormat="1" applyFont="1" applyFill="1" applyAlignment="1">
      <alignment vertical="center" wrapText="1"/>
    </xf>
    <xf numFmtId="0" fontId="109" fillId="0" borderId="0" xfId="298" applyFont="1" applyAlignment="1">
      <alignment vertical="center"/>
    </xf>
    <xf numFmtId="0" fontId="22" fillId="0" borderId="0" xfId="2" applyFont="1" applyAlignment="1">
      <alignment vertical="center"/>
    </xf>
    <xf numFmtId="169" fontId="21" fillId="0" borderId="6" xfId="12" applyNumberFormat="1" applyFont="1" applyFill="1" applyBorder="1" applyAlignment="1">
      <alignment horizontal="right" vertical="center"/>
    </xf>
    <xf numFmtId="0" fontId="3" fillId="6" borderId="3" xfId="0" applyFont="1" applyFill="1" applyBorder="1" applyAlignment="1" applyProtection="1">
      <alignment horizontal="left" vertical="center" wrapText="1"/>
      <protection locked="0"/>
    </xf>
    <xf numFmtId="0" fontId="9" fillId="6" borderId="321" xfId="2" applyFill="1" applyBorder="1" applyAlignment="1">
      <alignment vertical="center"/>
    </xf>
    <xf numFmtId="0" fontId="9" fillId="6" borderId="322" xfId="2" applyFill="1" applyBorder="1" applyAlignment="1">
      <alignment vertical="center"/>
    </xf>
    <xf numFmtId="0" fontId="3" fillId="0" borderId="215" xfId="0" applyFont="1" applyBorder="1" applyAlignment="1">
      <alignment vertical="center"/>
    </xf>
    <xf numFmtId="0" fontId="3" fillId="0" borderId="193" xfId="0" applyFont="1" applyBorder="1" applyAlignment="1">
      <alignment vertical="center"/>
    </xf>
    <xf numFmtId="0" fontId="3" fillId="0" borderId="0" xfId="0" applyFont="1" applyAlignment="1">
      <alignment horizontal="left" vertical="top"/>
    </xf>
    <xf numFmtId="3" fontId="3" fillId="6" borderId="0" xfId="1" applyNumberFormat="1" applyFont="1" applyFill="1" applyBorder="1" applyAlignment="1" applyProtection="1">
      <alignment horizontal="right" vertical="center"/>
      <protection locked="0"/>
    </xf>
    <xf numFmtId="0" fontId="3" fillId="0" borderId="0" xfId="0" applyFont="1" applyAlignment="1">
      <alignment horizontal="right"/>
    </xf>
    <xf numFmtId="0" fontId="3" fillId="0" borderId="2" xfId="0" applyFont="1" applyBorder="1" applyAlignment="1" applyProtection="1">
      <alignment horizontal="left" vertical="center" wrapText="1"/>
      <protection locked="0"/>
    </xf>
    <xf numFmtId="0" fontId="3" fillId="0" borderId="1" xfId="0" applyFont="1" applyBorder="1"/>
    <xf numFmtId="0" fontId="3" fillId="0" borderId="2" xfId="0" applyFont="1" applyBorder="1"/>
    <xf numFmtId="2" fontId="3" fillId="0" borderId="4" xfId="0" applyNumberFormat="1" applyFont="1" applyBorder="1" applyAlignment="1">
      <alignment horizontal="right" vertical="center"/>
    </xf>
    <xf numFmtId="3" fontId="3" fillId="6" borderId="80" xfId="1" applyNumberFormat="1" applyFont="1" applyFill="1" applyBorder="1" applyAlignment="1" applyProtection="1">
      <alignment horizontal="right" vertical="center"/>
      <protection locked="0"/>
    </xf>
    <xf numFmtId="0" fontId="91" fillId="0" borderId="0" xfId="0" applyFont="1"/>
    <xf numFmtId="0" fontId="0" fillId="0" borderId="323" xfId="0" applyBorder="1"/>
    <xf numFmtId="0" fontId="0" fillId="0" borderId="324" xfId="0" applyBorder="1"/>
    <xf numFmtId="0" fontId="0" fillId="0" borderId="0" xfId="0" applyAlignment="1">
      <alignment horizontal="center"/>
    </xf>
    <xf numFmtId="2" fontId="0" fillId="0" borderId="0" xfId="0" applyNumberFormat="1"/>
    <xf numFmtId="2" fontId="0" fillId="4" borderId="0" xfId="0" applyNumberFormat="1" applyFill="1"/>
    <xf numFmtId="0" fontId="9" fillId="0" borderId="191" xfId="2" applyBorder="1" applyAlignment="1">
      <alignment vertical="center"/>
    </xf>
    <xf numFmtId="0" fontId="9" fillId="0" borderId="215" xfId="2" applyBorder="1" applyAlignment="1">
      <alignment vertical="center"/>
    </xf>
    <xf numFmtId="0" fontId="9" fillId="0" borderId="193" xfId="2" applyBorder="1" applyAlignment="1">
      <alignment vertical="center"/>
    </xf>
    <xf numFmtId="0" fontId="20" fillId="0" borderId="195" xfId="2" applyFont="1" applyBorder="1" applyAlignment="1">
      <alignment vertical="center"/>
    </xf>
    <xf numFmtId="0" fontId="20" fillId="0" borderId="209" xfId="2" applyFont="1" applyBorder="1" applyAlignment="1">
      <alignment vertical="center"/>
    </xf>
    <xf numFmtId="0" fontId="22" fillId="0" borderId="209" xfId="2" applyFont="1" applyBorder="1" applyAlignment="1">
      <alignment vertical="center"/>
    </xf>
    <xf numFmtId="0" fontId="20" fillId="0" borderId="196" xfId="2" applyFont="1" applyBorder="1" applyAlignment="1">
      <alignment vertical="center"/>
    </xf>
    <xf numFmtId="0" fontId="9" fillId="0" borderId="216" xfId="2" applyBorder="1" applyAlignment="1">
      <alignment vertical="center"/>
    </xf>
    <xf numFmtId="0" fontId="9" fillId="0" borderId="197" xfId="2" applyBorder="1" applyAlignment="1">
      <alignment vertical="center"/>
    </xf>
    <xf numFmtId="0" fontId="9" fillId="0" borderId="210" xfId="2" applyBorder="1" applyAlignment="1">
      <alignment vertical="center"/>
    </xf>
    <xf numFmtId="0" fontId="9" fillId="0" borderId="198" xfId="2" applyBorder="1" applyAlignment="1">
      <alignment vertical="center"/>
    </xf>
    <xf numFmtId="0" fontId="9" fillId="6" borderId="3" xfId="2" applyFill="1" applyBorder="1" applyAlignment="1" applyProtection="1">
      <alignment horizontal="left" vertical="center" wrapText="1"/>
      <protection locked="0"/>
    </xf>
    <xf numFmtId="0" fontId="20" fillId="47" borderId="1" xfId="0" applyFont="1" applyFill="1" applyBorder="1" applyAlignment="1">
      <alignment horizontal="center" vertical="center" wrapText="1"/>
    </xf>
    <xf numFmtId="0" fontId="21" fillId="0" borderId="4" xfId="0" applyFont="1" applyBorder="1" applyAlignment="1">
      <alignment horizontal="left" vertical="center" wrapText="1" indent="1"/>
    </xf>
    <xf numFmtId="171" fontId="21" fillId="5" borderId="4" xfId="1" applyNumberFormat="1" applyFont="1" applyFill="1" applyBorder="1" applyAlignment="1">
      <alignment horizontal="center" vertical="center" wrapText="1"/>
    </xf>
    <xf numFmtId="0" fontId="21" fillId="6" borderId="12" xfId="1" applyNumberFormat="1" applyFont="1" applyFill="1" applyBorder="1" applyAlignment="1" applyProtection="1">
      <alignment horizontal="center" vertical="center" wrapText="1"/>
      <protection locked="0"/>
    </xf>
    <xf numFmtId="0" fontId="14" fillId="48" borderId="68" xfId="0" applyFont="1" applyFill="1" applyBorder="1" applyAlignment="1">
      <alignment horizontal="center"/>
    </xf>
    <xf numFmtId="0" fontId="14" fillId="48" borderId="0" xfId="0" applyFont="1" applyFill="1" applyAlignment="1">
      <alignment horizontal="center"/>
    </xf>
    <xf numFmtId="0" fontId="14" fillId="48" borderId="62" xfId="0" applyFont="1" applyFill="1" applyBorder="1" applyAlignment="1">
      <alignment horizontal="center"/>
    </xf>
    <xf numFmtId="0" fontId="14" fillId="48" borderId="68" xfId="0" applyFont="1" applyFill="1" applyBorder="1" applyAlignment="1">
      <alignment horizontal="center" wrapText="1"/>
    </xf>
    <xf numFmtId="0" fontId="14" fillId="48" borderId="0" xfId="0" applyFont="1" applyFill="1" applyAlignment="1">
      <alignment horizontal="center" wrapText="1"/>
    </xf>
    <xf numFmtId="0" fontId="14" fillId="48" borderId="62" xfId="0" applyFont="1" applyFill="1" applyBorder="1" applyAlignment="1">
      <alignment horizontal="center" wrapText="1"/>
    </xf>
    <xf numFmtId="176" fontId="21" fillId="44" borderId="4" xfId="12" applyNumberFormat="1" applyFont="1" applyFill="1" applyBorder="1" applyAlignment="1" applyProtection="1">
      <alignment horizontal="right" vertical="center" wrapText="1"/>
    </xf>
    <xf numFmtId="42" fontId="21" fillId="44" borderId="3" xfId="2" applyNumberFormat="1" applyFont="1" applyFill="1" applyBorder="1" applyAlignment="1">
      <alignment horizontal="center" vertical="center" wrapText="1"/>
    </xf>
    <xf numFmtId="0" fontId="9" fillId="0" borderId="6" xfId="0" applyFont="1" applyBorder="1" applyAlignment="1">
      <alignment horizontal="center" vertical="center" wrapText="1"/>
    </xf>
    <xf numFmtId="171" fontId="35" fillId="0" borderId="4" xfId="1" applyNumberFormat="1" applyFont="1" applyFill="1" applyBorder="1" applyAlignment="1" applyProtection="1">
      <alignment horizontal="center" vertical="center" wrapText="1"/>
    </xf>
    <xf numFmtId="0" fontId="21" fillId="5" borderId="4" xfId="0" applyFont="1" applyFill="1" applyBorder="1" applyAlignment="1">
      <alignment horizontal="left" vertical="center" wrapText="1"/>
    </xf>
    <xf numFmtId="1" fontId="9" fillId="0" borderId="4" xfId="0" applyNumberFormat="1" applyFont="1" applyBorder="1" applyAlignment="1">
      <alignment horizontal="center" vertical="center" wrapText="1"/>
    </xf>
    <xf numFmtId="2" fontId="9" fillId="0" borderId="4" xfId="0" applyNumberFormat="1" applyFont="1" applyBorder="1" applyAlignment="1">
      <alignment horizontal="center" vertical="center" wrapText="1"/>
    </xf>
    <xf numFmtId="2" fontId="20" fillId="0" borderId="4" xfId="444" applyNumberFormat="1" applyFont="1" applyBorder="1" applyAlignment="1">
      <alignment horizontal="center" vertical="center" wrapText="1"/>
    </xf>
    <xf numFmtId="0" fontId="25" fillId="0" borderId="214" xfId="0" applyFont="1" applyBorder="1" applyAlignment="1">
      <alignment vertical="top"/>
    </xf>
    <xf numFmtId="0" fontId="30" fillId="0" borderId="12" xfId="0" applyFont="1" applyBorder="1" applyAlignment="1">
      <alignment horizontal="left" vertical="top"/>
    </xf>
    <xf numFmtId="0" fontId="3" fillId="0" borderId="11" xfId="0" applyFont="1" applyBorder="1" applyAlignment="1">
      <alignment vertical="center" wrapText="1"/>
    </xf>
    <xf numFmtId="0" fontId="20" fillId="47" borderId="4" xfId="2" applyFont="1" applyFill="1" applyBorder="1" applyAlignment="1">
      <alignment horizontal="left" vertical="center"/>
    </xf>
    <xf numFmtId="4" fontId="21" fillId="0" borderId="40" xfId="2" applyNumberFormat="1" applyFont="1" applyBorder="1" applyAlignment="1">
      <alignment horizontal="right" vertical="center"/>
    </xf>
    <xf numFmtId="166" fontId="21" fillId="5" borderId="40" xfId="2" applyNumberFormat="1" applyFont="1" applyFill="1" applyBorder="1" applyAlignment="1">
      <alignment horizontal="right" vertical="center"/>
    </xf>
    <xf numFmtId="4" fontId="21" fillId="0" borderId="4" xfId="2" applyNumberFormat="1" applyFont="1" applyBorder="1" applyAlignment="1">
      <alignment horizontal="right" vertical="center"/>
    </xf>
    <xf numFmtId="168" fontId="21" fillId="0" borderId="6" xfId="0" applyNumberFormat="1" applyFont="1" applyBorder="1" applyAlignment="1">
      <alignment horizontal="center" vertical="center"/>
    </xf>
    <xf numFmtId="182" fontId="21" fillId="9" borderId="4" xfId="2" applyNumberFormat="1" applyFont="1" applyFill="1" applyBorder="1" applyAlignment="1">
      <alignment horizontal="left" vertical="center" indent="1"/>
    </xf>
    <xf numFmtId="0" fontId="81" fillId="47" borderId="6" xfId="0" applyFont="1" applyFill="1" applyBorder="1"/>
    <xf numFmtId="0" fontId="21" fillId="0" borderId="14" xfId="2" applyFont="1" applyBorder="1" applyAlignment="1">
      <alignment vertical="center"/>
    </xf>
    <xf numFmtId="0" fontId="21" fillId="0" borderId="14" xfId="2" applyFont="1" applyBorder="1" applyAlignment="1">
      <alignment horizontal="left" vertical="center"/>
    </xf>
    <xf numFmtId="168" fontId="21" fillId="0" borderId="4" xfId="12" applyNumberFormat="1" applyFont="1" applyFill="1" applyBorder="1" applyAlignment="1" applyProtection="1">
      <alignment horizontal="right" vertical="center" wrapText="1"/>
      <protection locked="0"/>
    </xf>
    <xf numFmtId="168" fontId="21" fillId="0" borderId="4" xfId="2" applyNumberFormat="1" applyFont="1" applyBorder="1" applyAlignment="1">
      <alignment horizontal="right" vertical="center"/>
    </xf>
    <xf numFmtId="168" fontId="21" fillId="47" borderId="4" xfId="12" applyNumberFormat="1" applyFont="1" applyFill="1" applyBorder="1" applyAlignment="1" applyProtection="1">
      <alignment horizontal="right" vertical="center"/>
    </xf>
    <xf numFmtId="0" fontId="20" fillId="47" borderId="4" xfId="2" applyFont="1" applyFill="1" applyBorder="1" applyAlignment="1">
      <alignment vertical="center"/>
    </xf>
    <xf numFmtId="42" fontId="21" fillId="6" borderId="3" xfId="2" applyNumberFormat="1" applyFont="1" applyFill="1" applyBorder="1" applyAlignment="1" applyProtection="1">
      <alignment horizontal="center" vertical="center" wrapText="1"/>
      <protection locked="0"/>
    </xf>
    <xf numFmtId="171" fontId="21" fillId="6" borderId="11" xfId="12" applyNumberFormat="1" applyFont="1" applyFill="1" applyBorder="1" applyAlignment="1" applyProtection="1">
      <alignment horizontal="right" vertical="center"/>
      <protection locked="0"/>
    </xf>
    <xf numFmtId="165" fontId="21" fillId="0" borderId="4" xfId="12" applyNumberFormat="1" applyFont="1" applyFill="1" applyBorder="1" applyAlignment="1">
      <alignment horizontal="right" vertical="center"/>
    </xf>
    <xf numFmtId="164" fontId="21" fillId="0" borderId="3" xfId="10" applyNumberFormat="1" applyFont="1" applyFill="1" applyBorder="1" applyAlignment="1" applyProtection="1">
      <alignment vertical="center"/>
    </xf>
    <xf numFmtId="165" fontId="21" fillId="0" borderId="11" xfId="12" applyNumberFormat="1" applyFont="1" applyFill="1" applyBorder="1" applyAlignment="1">
      <alignment horizontal="right" vertical="center"/>
    </xf>
    <xf numFmtId="164" fontId="21" fillId="0" borderId="11" xfId="10" applyNumberFormat="1" applyFont="1" applyFill="1" applyBorder="1" applyAlignment="1">
      <alignment horizontal="center" vertical="center"/>
    </xf>
    <xf numFmtId="9" fontId="21" fillId="0" borderId="4" xfId="9" applyFont="1" applyFill="1" applyBorder="1" applyAlignment="1" applyProtection="1">
      <alignment horizontal="center" vertical="center" wrapText="1"/>
    </xf>
    <xf numFmtId="164" fontId="21" fillId="0" borderId="4" xfId="10" applyNumberFormat="1" applyFont="1" applyFill="1" applyBorder="1" applyAlignment="1">
      <alignment vertical="center" wrapText="1"/>
    </xf>
    <xf numFmtId="164" fontId="21" fillId="5" borderId="4" xfId="10" applyNumberFormat="1" applyFont="1" applyFill="1" applyBorder="1" applyAlignment="1">
      <alignment horizontal="center" vertical="center"/>
    </xf>
    <xf numFmtId="167" fontId="21" fillId="0" borderId="4" xfId="1" applyNumberFormat="1" applyFont="1" applyFill="1" applyBorder="1" applyAlignment="1" applyProtection="1">
      <alignment horizontal="right" vertical="center"/>
    </xf>
    <xf numFmtId="0" fontId="9" fillId="47" borderId="4" xfId="2" applyFill="1" applyBorder="1" applyAlignment="1">
      <alignment vertical="center" wrapText="1"/>
    </xf>
    <xf numFmtId="171" fontId="21" fillId="0" borderId="4" xfId="1" applyNumberFormat="1" applyFont="1" applyFill="1" applyBorder="1" applyAlignment="1" applyProtection="1">
      <alignment horizontal="right" vertical="center"/>
    </xf>
    <xf numFmtId="170" fontId="21" fillId="0" borderId="4" xfId="96" applyNumberFormat="1" applyFont="1" applyFill="1" applyBorder="1" applyAlignment="1" applyProtection="1">
      <alignment horizontal="right" vertical="center"/>
    </xf>
    <xf numFmtId="171" fontId="21" fillId="0" borderId="4" xfId="96" applyNumberFormat="1" applyFont="1" applyFill="1" applyBorder="1" applyAlignment="1" applyProtection="1">
      <alignment horizontal="right" vertical="center"/>
    </xf>
    <xf numFmtId="0" fontId="21" fillId="0" borderId="4" xfId="96" applyNumberFormat="1" applyFont="1" applyFill="1" applyBorder="1" applyAlignment="1" applyProtection="1">
      <alignment horizontal="right" vertical="center"/>
    </xf>
    <xf numFmtId="43" fontId="21" fillId="0" borderId="4" xfId="1" applyFont="1" applyFill="1" applyBorder="1" applyAlignment="1" applyProtection="1">
      <alignment horizontal="right" vertical="center"/>
    </xf>
    <xf numFmtId="164" fontId="21" fillId="0" borderId="4" xfId="9" applyNumberFormat="1" applyFont="1" applyFill="1" applyBorder="1" applyAlignment="1" applyProtection="1">
      <alignment horizontal="right" vertical="center"/>
    </xf>
    <xf numFmtId="0" fontId="9" fillId="0" borderId="3" xfId="2" applyBorder="1" applyAlignment="1">
      <alignment horizontal="left" vertical="center" wrapText="1"/>
    </xf>
    <xf numFmtId="0" fontId="9" fillId="6" borderId="11" xfId="2" applyFill="1" applyBorder="1" applyAlignment="1" applyProtection="1">
      <alignment horizontal="center" vertical="center" wrapText="1"/>
      <protection locked="0"/>
    </xf>
    <xf numFmtId="49" fontId="20" fillId="47" borderId="102" xfId="2" applyNumberFormat="1" applyFont="1" applyFill="1" applyBorder="1" applyAlignment="1">
      <alignment horizontal="center" vertical="center" wrapText="1"/>
    </xf>
    <xf numFmtId="0" fontId="23" fillId="0" borderId="5" xfId="2" applyFont="1" applyBorder="1" applyAlignment="1">
      <alignment horizontal="left" vertical="center" wrapText="1"/>
    </xf>
    <xf numFmtId="3" fontId="9" fillId="47" borderId="3" xfId="2" applyNumberFormat="1" applyFill="1" applyBorder="1" applyAlignment="1">
      <alignment horizontal="left" vertical="center" indent="1"/>
    </xf>
    <xf numFmtId="0" fontId="9" fillId="47" borderId="12" xfId="2" applyFill="1" applyBorder="1" applyAlignment="1">
      <alignment horizontal="left" vertical="center" indent="1"/>
    </xf>
    <xf numFmtId="169" fontId="21" fillId="5" borderId="4" xfId="12" applyNumberFormat="1" applyFont="1" applyFill="1" applyBorder="1" applyAlignment="1" applyProtection="1">
      <alignment horizontal="right" vertical="center"/>
    </xf>
    <xf numFmtId="0" fontId="9" fillId="0" borderId="8" xfId="298" applyBorder="1" applyAlignment="1">
      <alignment vertical="center"/>
    </xf>
    <xf numFmtId="0" fontId="9" fillId="0" borderId="2" xfId="298" applyBorder="1" applyAlignment="1">
      <alignment vertical="center"/>
    </xf>
    <xf numFmtId="0" fontId="9" fillId="0" borderId="13" xfId="298" applyBorder="1" applyAlignment="1">
      <alignment vertical="center"/>
    </xf>
    <xf numFmtId="0" fontId="9" fillId="0" borderId="1" xfId="298" applyBorder="1" applyAlignment="1">
      <alignment vertical="center"/>
    </xf>
    <xf numFmtId="0" fontId="20" fillId="0" borderId="14" xfId="298" applyFont="1" applyBorder="1" applyAlignment="1">
      <alignment vertical="center"/>
    </xf>
    <xf numFmtId="0" fontId="9" fillId="0" borderId="14" xfId="298" applyBorder="1" applyAlignment="1">
      <alignment vertical="center"/>
    </xf>
    <xf numFmtId="0" fontId="9" fillId="6" borderId="8" xfId="298" applyFill="1" applyBorder="1" applyAlignment="1">
      <alignment vertical="center"/>
    </xf>
    <xf numFmtId="0" fontId="9" fillId="6" borderId="13" xfId="298" applyFill="1" applyBorder="1" applyAlignment="1">
      <alignment horizontal="left" vertical="center" wrapText="1"/>
    </xf>
    <xf numFmtId="0" fontId="9" fillId="6" borderId="1" xfId="298" applyFill="1" applyBorder="1" applyAlignment="1">
      <alignment vertical="center"/>
    </xf>
    <xf numFmtId="0" fontId="9" fillId="6" borderId="14" xfId="298" applyFill="1" applyBorder="1" applyAlignment="1">
      <alignment vertical="center"/>
    </xf>
    <xf numFmtId="0" fontId="9" fillId="6" borderId="14" xfId="298" applyFill="1" applyBorder="1" applyAlignment="1">
      <alignment horizontal="left" vertical="center" wrapText="1"/>
    </xf>
    <xf numFmtId="0" fontId="9" fillId="6" borderId="9" xfId="298" applyFill="1" applyBorder="1" applyAlignment="1">
      <alignment vertical="center"/>
    </xf>
    <xf numFmtId="0" fontId="9" fillId="6" borderId="10" xfId="298" applyFill="1" applyBorder="1" applyAlignment="1">
      <alignment vertical="center"/>
    </xf>
    <xf numFmtId="49" fontId="23" fillId="6" borderId="10" xfId="298" applyNumberFormat="1" applyFont="1" applyFill="1" applyBorder="1" applyAlignment="1">
      <alignment vertical="center" wrapText="1"/>
    </xf>
    <xf numFmtId="49" fontId="23" fillId="6" borderId="10" xfId="298" applyNumberFormat="1" applyFont="1" applyFill="1" applyBorder="1" applyAlignment="1">
      <alignment vertical="center"/>
    </xf>
    <xf numFmtId="0" fontId="78" fillId="6" borderId="10" xfId="298" applyFont="1" applyFill="1" applyBorder="1" applyAlignment="1">
      <alignment vertical="center" wrapText="1"/>
    </xf>
    <xf numFmtId="0" fontId="9" fillId="6" borderId="15" xfId="298" applyFill="1" applyBorder="1" applyAlignment="1">
      <alignment vertical="center"/>
    </xf>
    <xf numFmtId="0" fontId="20" fillId="47" borderId="8" xfId="0" applyFont="1" applyFill="1" applyBorder="1" applyAlignment="1">
      <alignment vertical="center" wrapText="1"/>
    </xf>
    <xf numFmtId="3" fontId="17" fillId="47" borderId="1" xfId="0" applyNumberFormat="1" applyFont="1" applyFill="1" applyBorder="1" applyAlignment="1">
      <alignment horizontal="left" vertical="center" wrapText="1" indent="1"/>
    </xf>
    <xf numFmtId="3" fontId="17" fillId="47" borderId="1" xfId="0" applyNumberFormat="1" applyFont="1" applyFill="1" applyBorder="1" applyAlignment="1" applyProtection="1">
      <alignment horizontal="left" vertical="center" wrapText="1" indent="1"/>
      <protection locked="0"/>
    </xf>
    <xf numFmtId="3" fontId="17" fillId="47" borderId="1" xfId="0" applyNumberFormat="1" applyFont="1" applyFill="1" applyBorder="1" applyAlignment="1">
      <alignment horizontal="left" vertical="center" wrapText="1"/>
    </xf>
    <xf numFmtId="3" fontId="17" fillId="47" borderId="9" xfId="0" applyNumberFormat="1" applyFont="1" applyFill="1" applyBorder="1" applyAlignment="1">
      <alignment horizontal="left" vertical="center" wrapText="1"/>
    </xf>
    <xf numFmtId="0" fontId="9" fillId="3" borderId="5" xfId="2" applyFill="1" applyBorder="1" applyAlignment="1">
      <alignment vertical="center"/>
    </xf>
    <xf numFmtId="0" fontId="9" fillId="6" borderId="40" xfId="2" applyFill="1" applyBorder="1" applyAlignment="1" applyProtection="1">
      <alignment horizontal="left" vertical="center" wrapText="1"/>
      <protection locked="0"/>
    </xf>
    <xf numFmtId="3" fontId="17" fillId="47" borderId="8" xfId="0" applyNumberFormat="1" applyFont="1" applyFill="1" applyBorder="1" applyAlignment="1">
      <alignment horizontal="left" vertical="center" wrapText="1" indent="1"/>
    </xf>
    <xf numFmtId="3" fontId="21" fillId="0" borderId="13" xfId="0" applyNumberFormat="1" applyFont="1" applyBorder="1" applyAlignment="1">
      <alignment horizontal="center" vertical="center"/>
    </xf>
    <xf numFmtId="171" fontId="21" fillId="6" borderId="13" xfId="1" applyNumberFormat="1" applyFont="1" applyFill="1" applyBorder="1" applyAlignment="1" applyProtection="1">
      <alignment horizontal="center" vertical="center" wrapText="1"/>
      <protection locked="0"/>
    </xf>
    <xf numFmtId="3" fontId="21" fillId="6" borderId="6" xfId="0" applyNumberFormat="1" applyFont="1" applyFill="1" applyBorder="1" applyAlignment="1" applyProtection="1">
      <alignment horizontal="center" vertical="center" wrapText="1"/>
      <protection locked="0"/>
    </xf>
    <xf numFmtId="0" fontId="9" fillId="0" borderId="40" xfId="0" applyFont="1" applyBorder="1" applyAlignment="1">
      <alignment vertical="center" wrapText="1"/>
    </xf>
    <xf numFmtId="3" fontId="17" fillId="47" borderId="9" xfId="0" applyNumberFormat="1" applyFont="1" applyFill="1" applyBorder="1" applyAlignment="1" applyProtection="1">
      <alignment horizontal="left" vertical="center" wrapText="1" indent="1"/>
      <protection locked="0"/>
    </xf>
    <xf numFmtId="3" fontId="21" fillId="0" borderId="15" xfId="0" applyNumberFormat="1" applyFont="1" applyBorder="1" applyAlignment="1">
      <alignment horizontal="center" vertical="center"/>
    </xf>
    <xf numFmtId="43" fontId="21" fillId="6" borderId="15" xfId="1" applyFont="1" applyFill="1" applyBorder="1" applyAlignment="1" applyProtection="1">
      <alignment horizontal="center" vertical="center" wrapText="1"/>
      <protection locked="0"/>
    </xf>
    <xf numFmtId="43" fontId="21" fillId="5" borderId="40" xfId="1" applyFont="1" applyFill="1" applyBorder="1" applyAlignment="1" applyProtection="1">
      <alignment horizontal="center" vertical="center" wrapText="1"/>
    </xf>
    <xf numFmtId="3" fontId="17" fillId="47" borderId="4" xfId="0" applyNumberFormat="1" applyFont="1" applyFill="1" applyBorder="1" applyAlignment="1">
      <alignment horizontal="left" vertical="center" wrapText="1" indent="1"/>
    </xf>
    <xf numFmtId="3" fontId="142" fillId="47" borderId="4" xfId="0" applyNumberFormat="1" applyFont="1" applyFill="1" applyBorder="1" applyAlignment="1">
      <alignment horizontal="center" vertical="center" wrapText="1"/>
    </xf>
    <xf numFmtId="3" fontId="21" fillId="0" borderId="4" xfId="0" applyNumberFormat="1" applyFont="1" applyBorder="1" applyAlignment="1">
      <alignment horizontal="center" vertical="center"/>
    </xf>
    <xf numFmtId="3" fontId="21" fillId="47" borderId="4" xfId="0" applyNumberFormat="1" applyFont="1" applyFill="1" applyBorder="1" applyAlignment="1">
      <alignment horizontal="center" vertical="center" wrapText="1"/>
    </xf>
    <xf numFmtId="9" fontId="21" fillId="5" borderId="12" xfId="9" applyFont="1" applyFill="1" applyBorder="1" applyAlignment="1" applyProtection="1">
      <alignment horizontal="center" vertical="center"/>
    </xf>
    <xf numFmtId="9" fontId="21" fillId="5" borderId="3" xfId="9" applyFont="1" applyFill="1" applyBorder="1" applyAlignment="1" applyProtection="1">
      <alignment horizontal="center" vertical="center"/>
    </xf>
    <xf numFmtId="0" fontId="21" fillId="0" borderId="11" xfId="0" applyFont="1" applyBorder="1" applyAlignment="1" applyProtection="1">
      <alignment horizontal="center" vertical="center" wrapText="1"/>
      <protection locked="0"/>
    </xf>
    <xf numFmtId="43" fontId="30" fillId="47" borderId="5" xfId="1" applyFont="1" applyFill="1" applyBorder="1" applyAlignment="1" applyProtection="1">
      <alignment horizontal="center" vertical="center"/>
    </xf>
    <xf numFmtId="0" fontId="12" fillId="49" borderId="326" xfId="0" applyFont="1" applyFill="1" applyBorder="1"/>
    <xf numFmtId="0" fontId="12" fillId="49" borderId="327" xfId="0" applyFont="1" applyFill="1" applyBorder="1"/>
    <xf numFmtId="0" fontId="12" fillId="49" borderId="328" xfId="0" applyFont="1" applyFill="1" applyBorder="1"/>
    <xf numFmtId="0" fontId="12" fillId="49" borderId="329" xfId="0" applyFont="1" applyFill="1" applyBorder="1"/>
    <xf numFmtId="0" fontId="0" fillId="49" borderId="330" xfId="0" applyFill="1" applyBorder="1"/>
    <xf numFmtId="0" fontId="67" fillId="49" borderId="331" xfId="0" quotePrefix="1" applyFont="1" applyFill="1" applyBorder="1"/>
    <xf numFmtId="0" fontId="0" fillId="49" borderId="332" xfId="0" applyFill="1" applyBorder="1"/>
    <xf numFmtId="0" fontId="67" fillId="49" borderId="333" xfId="0" applyFont="1" applyFill="1" applyBorder="1"/>
    <xf numFmtId="0" fontId="67" fillId="49" borderId="331" xfId="0" applyFont="1" applyFill="1" applyBorder="1"/>
    <xf numFmtId="0" fontId="0" fillId="49" borderId="334" xfId="0" applyFill="1" applyBorder="1"/>
    <xf numFmtId="0" fontId="67" fillId="49" borderId="333" xfId="0" quotePrefix="1" applyFont="1" applyFill="1" applyBorder="1"/>
    <xf numFmtId="0" fontId="189" fillId="0" borderId="0" xfId="0" applyFont="1" applyAlignment="1">
      <alignment vertical="center"/>
    </xf>
    <xf numFmtId="0" fontId="12" fillId="10" borderId="335" xfId="0" applyFont="1" applyFill="1" applyBorder="1"/>
    <xf numFmtId="0" fontId="12" fillId="10" borderId="328" xfId="0" applyFont="1" applyFill="1" applyBorder="1"/>
    <xf numFmtId="0" fontId="12" fillId="10" borderId="329" xfId="0" applyFont="1" applyFill="1" applyBorder="1"/>
    <xf numFmtId="0" fontId="190" fillId="10" borderId="336" xfId="0" applyFont="1" applyFill="1" applyBorder="1" applyAlignment="1">
      <alignment horizontal="center"/>
    </xf>
    <xf numFmtId="0" fontId="190" fillId="10" borderId="62" xfId="0" applyFont="1" applyFill="1" applyBorder="1"/>
    <xf numFmtId="0" fontId="190" fillId="10" borderId="62" xfId="0" quotePrefix="1" applyFont="1" applyFill="1" applyBorder="1"/>
    <xf numFmtId="0" fontId="190" fillId="10" borderId="331" xfId="0" quotePrefix="1" applyFont="1" applyFill="1" applyBorder="1"/>
    <xf numFmtId="0" fontId="190" fillId="10" borderId="337" xfId="0" applyFont="1" applyFill="1" applyBorder="1" applyAlignment="1">
      <alignment horizontal="center"/>
    </xf>
    <xf numFmtId="0" fontId="190" fillId="10" borderId="0" xfId="0" applyFont="1" applyFill="1"/>
    <xf numFmtId="0" fontId="190" fillId="10" borderId="0" xfId="0" quotePrefix="1" applyFont="1" applyFill="1"/>
    <xf numFmtId="0" fontId="190" fillId="10" borderId="333" xfId="0" applyFont="1" applyFill="1" applyBorder="1"/>
    <xf numFmtId="0" fontId="190" fillId="10" borderId="331" xfId="0" applyFont="1" applyFill="1" applyBorder="1"/>
    <xf numFmtId="0" fontId="190" fillId="10" borderId="337" xfId="0" applyFont="1" applyFill="1" applyBorder="1"/>
    <xf numFmtId="0" fontId="190" fillId="10" borderId="66" xfId="0" applyFont="1" applyFill="1" applyBorder="1"/>
    <xf numFmtId="0" fontId="190" fillId="10" borderId="336" xfId="0" applyFont="1" applyFill="1" applyBorder="1"/>
    <xf numFmtId="0" fontId="190" fillId="10" borderId="63" xfId="0" applyFont="1" applyFill="1" applyBorder="1"/>
    <xf numFmtId="0" fontId="190" fillId="10" borderId="333" xfId="0" quotePrefix="1" applyFont="1" applyFill="1" applyBorder="1"/>
    <xf numFmtId="0" fontId="190" fillId="10" borderId="338" xfId="0" applyFont="1" applyFill="1" applyBorder="1"/>
    <xf numFmtId="0" fontId="190" fillId="10" borderId="339" xfId="0" applyFont="1" applyFill="1" applyBorder="1"/>
    <xf numFmtId="0" fontId="190" fillId="10" borderId="340" xfId="0" applyFont="1" applyFill="1" applyBorder="1"/>
    <xf numFmtId="0" fontId="190" fillId="10" borderId="341" xfId="0" applyFont="1" applyFill="1" applyBorder="1"/>
    <xf numFmtId="0" fontId="67" fillId="0" borderId="0" xfId="0" quotePrefix="1" applyFont="1"/>
    <xf numFmtId="0" fontId="12" fillId="48" borderId="342" xfId="0" applyFont="1" applyFill="1" applyBorder="1"/>
    <xf numFmtId="0" fontId="0" fillId="48" borderId="342" xfId="0" applyFill="1" applyBorder="1"/>
    <xf numFmtId="9" fontId="0" fillId="10" borderId="342" xfId="0" applyNumberFormat="1" applyFill="1" applyBorder="1"/>
    <xf numFmtId="0" fontId="0" fillId="10" borderId="343" xfId="0" applyFill="1" applyBorder="1"/>
    <xf numFmtId="0" fontId="0" fillId="48" borderId="337" xfId="0" applyFill="1" applyBorder="1"/>
    <xf numFmtId="9" fontId="0" fillId="10" borderId="337" xfId="0" applyNumberFormat="1" applyFill="1" applyBorder="1"/>
    <xf numFmtId="0" fontId="0" fillId="10" borderId="333" xfId="0" applyFill="1" applyBorder="1"/>
    <xf numFmtId="0" fontId="14" fillId="48" borderId="342" xfId="0" applyFont="1" applyFill="1" applyBorder="1"/>
    <xf numFmtId="0" fontId="14" fillId="10" borderId="342" xfId="0" applyFont="1" applyFill="1" applyBorder="1"/>
    <xf numFmtId="0" fontId="14" fillId="10" borderId="343" xfId="0" applyFont="1" applyFill="1" applyBorder="1"/>
    <xf numFmtId="0" fontId="14" fillId="48" borderId="336" xfId="0" applyFont="1" applyFill="1" applyBorder="1"/>
    <xf numFmtId="0" fontId="14" fillId="10" borderId="336" xfId="0" applyFont="1" applyFill="1" applyBorder="1"/>
    <xf numFmtId="0" fontId="14" fillId="10" borderId="331" xfId="0" applyFont="1" applyFill="1" applyBorder="1"/>
    <xf numFmtId="0" fontId="14" fillId="48" borderId="337" xfId="0" applyFont="1" applyFill="1" applyBorder="1" applyAlignment="1">
      <alignment wrapText="1"/>
    </xf>
    <xf numFmtId="0" fontId="14" fillId="10" borderId="337" xfId="0" applyFont="1" applyFill="1" applyBorder="1"/>
    <xf numFmtId="0" fontId="14" fillId="10" borderId="333" xfId="0" applyFont="1" applyFill="1" applyBorder="1"/>
    <xf numFmtId="9" fontId="14" fillId="10" borderId="337" xfId="0" applyNumberFormat="1" applyFont="1" applyFill="1" applyBorder="1"/>
    <xf numFmtId="0" fontId="14" fillId="10" borderId="342" xfId="0" applyFont="1" applyFill="1" applyBorder="1" applyAlignment="1">
      <alignment wrapText="1"/>
    </xf>
    <xf numFmtId="0" fontId="14" fillId="48" borderId="337" xfId="0" applyFont="1" applyFill="1" applyBorder="1"/>
    <xf numFmtId="0" fontId="14" fillId="10" borderId="337" xfId="0" applyFont="1" applyFill="1" applyBorder="1" applyAlignment="1">
      <alignment wrapText="1"/>
    </xf>
    <xf numFmtId="0" fontId="14" fillId="48" borderId="335" xfId="0" applyFont="1" applyFill="1" applyBorder="1"/>
    <xf numFmtId="0" fontId="14" fillId="48" borderId="328" xfId="0" applyFont="1" applyFill="1" applyBorder="1" applyAlignment="1">
      <alignment wrapText="1"/>
    </xf>
    <xf numFmtId="0" fontId="14" fillId="48" borderId="328" xfId="0" applyFont="1" applyFill="1" applyBorder="1"/>
    <xf numFmtId="0" fontId="14" fillId="48" borderId="344" xfId="0" applyFont="1" applyFill="1" applyBorder="1"/>
    <xf numFmtId="0" fontId="3" fillId="0" borderId="328" xfId="0" applyFont="1" applyBorder="1" applyAlignment="1">
      <alignment vertical="center"/>
    </xf>
    <xf numFmtId="0" fontId="14" fillId="10" borderId="335" xfId="0" applyFont="1" applyFill="1" applyBorder="1" applyAlignment="1">
      <alignment wrapText="1"/>
    </xf>
    <xf numFmtId="0" fontId="14" fillId="10" borderId="329" xfId="0" applyFont="1" applyFill="1" applyBorder="1"/>
    <xf numFmtId="0" fontId="14" fillId="48" borderId="338" xfId="0" applyFont="1" applyFill="1" applyBorder="1"/>
    <xf numFmtId="0" fontId="14" fillId="48" borderId="340" xfId="0" applyFont="1" applyFill="1" applyBorder="1" applyAlignment="1">
      <alignment wrapText="1"/>
    </xf>
    <xf numFmtId="0" fontId="14" fillId="48" borderId="340" xfId="0" applyFont="1" applyFill="1" applyBorder="1"/>
    <xf numFmtId="0" fontId="14" fillId="48" borderId="339" xfId="0" applyFont="1" applyFill="1" applyBorder="1"/>
    <xf numFmtId="0" fontId="14" fillId="10" borderId="338" xfId="0" applyFont="1" applyFill="1" applyBorder="1" applyAlignment="1">
      <alignment wrapText="1"/>
    </xf>
    <xf numFmtId="0" fontId="14" fillId="10" borderId="341" xfId="0" applyFont="1" applyFill="1" applyBorder="1"/>
    <xf numFmtId="0" fontId="14" fillId="48" borderId="342" xfId="0" applyFont="1" applyFill="1" applyBorder="1" applyAlignment="1">
      <alignment wrapText="1"/>
    </xf>
    <xf numFmtId="0" fontId="14" fillId="48" borderId="340" xfId="0" applyFont="1" applyFill="1" applyBorder="1" applyAlignment="1">
      <alignment horizontal="center"/>
    </xf>
    <xf numFmtId="9" fontId="14" fillId="48" borderId="340" xfId="0" applyNumberFormat="1" applyFont="1" applyFill="1" applyBorder="1"/>
    <xf numFmtId="0" fontId="3" fillId="0" borderId="340" xfId="0" applyFont="1" applyBorder="1" applyAlignment="1">
      <alignment vertical="center"/>
    </xf>
    <xf numFmtId="9" fontId="0" fillId="10" borderId="338" xfId="0" applyNumberFormat="1" applyFill="1" applyBorder="1"/>
    <xf numFmtId="171" fontId="21" fillId="5" borderId="3" xfId="1" applyNumberFormat="1" applyFont="1" applyFill="1" applyBorder="1" applyAlignment="1">
      <alignment horizontal="center" vertical="center" wrapText="1"/>
    </xf>
    <xf numFmtId="171" fontId="21" fillId="5" borderId="8" xfId="1" applyNumberFormat="1" applyFont="1" applyFill="1" applyBorder="1" applyAlignment="1">
      <alignment horizontal="center" vertical="center" wrapText="1"/>
    </xf>
    <xf numFmtId="43" fontId="21" fillId="5" borderId="9" xfId="1" applyFont="1" applyFill="1" applyBorder="1" applyAlignment="1">
      <alignment horizontal="center" vertical="center" wrapText="1"/>
    </xf>
    <xf numFmtId="43" fontId="21" fillId="5" borderId="8" xfId="1" applyFont="1" applyFill="1" applyBorder="1" applyAlignment="1">
      <alignment horizontal="center" vertical="center" wrapText="1"/>
    </xf>
    <xf numFmtId="167" fontId="21" fillId="5" borderId="9" xfId="1" applyNumberFormat="1" applyFont="1" applyFill="1" applyBorder="1" applyAlignment="1">
      <alignment horizontal="center" vertical="center" wrapText="1"/>
    </xf>
    <xf numFmtId="167" fontId="21" fillId="5" borderId="3" xfId="1" applyNumberFormat="1" applyFont="1" applyFill="1" applyBorder="1" applyAlignment="1">
      <alignment horizontal="center" vertical="center" wrapText="1"/>
    </xf>
    <xf numFmtId="0" fontId="21" fillId="5" borderId="3" xfId="1" applyNumberFormat="1" applyFont="1" applyFill="1" applyBorder="1" applyAlignment="1">
      <alignment horizontal="center" vertical="center" wrapText="1"/>
    </xf>
    <xf numFmtId="43" fontId="21" fillId="5" borderId="40" xfId="1" applyFont="1" applyFill="1" applyBorder="1" applyAlignment="1">
      <alignment horizontal="center" vertical="center" wrapText="1"/>
    </xf>
    <xf numFmtId="43" fontId="21" fillId="5" borderId="6" xfId="1" applyFont="1" applyFill="1" applyBorder="1" applyAlignment="1">
      <alignment horizontal="center" vertical="center" wrapText="1"/>
    </xf>
    <xf numFmtId="167" fontId="21" fillId="5" borderId="40" xfId="1" applyNumberFormat="1" applyFont="1" applyFill="1" applyBorder="1" applyAlignment="1">
      <alignment horizontal="center" vertical="center" wrapText="1"/>
    </xf>
    <xf numFmtId="0" fontId="21" fillId="5" borderId="4" xfId="1" applyNumberFormat="1" applyFont="1" applyFill="1" applyBorder="1" applyAlignment="1">
      <alignment horizontal="center" vertical="center" wrapText="1"/>
    </xf>
    <xf numFmtId="0" fontId="3" fillId="6" borderId="11" xfId="0" applyFont="1" applyFill="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6" borderId="3" xfId="0" applyFont="1" applyFill="1" applyBorder="1" applyAlignment="1" applyProtection="1">
      <alignment horizontal="left" vertical="center"/>
      <protection locked="0"/>
    </xf>
    <xf numFmtId="0" fontId="35" fillId="6" borderId="8" xfId="1" applyNumberFormat="1" applyFont="1" applyFill="1" applyBorder="1" applyAlignment="1" applyProtection="1">
      <alignment horizontal="center" vertical="center" wrapText="1"/>
      <protection locked="0"/>
    </xf>
    <xf numFmtId="0" fontId="9" fillId="0" borderId="2" xfId="0" applyFont="1" applyBorder="1" applyAlignment="1">
      <alignment vertical="center" wrapText="1"/>
    </xf>
    <xf numFmtId="165" fontId="3" fillId="6" borderId="4" xfId="0" applyNumberFormat="1" applyFont="1" applyFill="1" applyBorder="1" applyAlignment="1" applyProtection="1">
      <alignment horizontal="center" vertical="center" wrapText="1"/>
      <protection locked="0"/>
    </xf>
    <xf numFmtId="164" fontId="21" fillId="0" borderId="4" xfId="10" applyNumberFormat="1" applyFont="1" applyFill="1" applyBorder="1" applyAlignment="1" applyProtection="1">
      <alignment horizontal="center" vertical="center"/>
    </xf>
    <xf numFmtId="190" fontId="153" fillId="0" borderId="0" xfId="0" applyNumberFormat="1" applyFont="1" applyAlignment="1">
      <alignment horizontal="left"/>
    </xf>
    <xf numFmtId="0" fontId="21" fillId="5" borderId="4" xfId="2" applyFont="1" applyFill="1" applyBorder="1" applyAlignment="1" applyProtection="1">
      <alignment vertical="center" wrapText="1"/>
      <protection locked="0"/>
    </xf>
    <xf numFmtId="0" fontId="191" fillId="6" borderId="0" xfId="416" applyFont="1" applyFill="1" applyAlignment="1">
      <alignment horizontal="right" vertical="center"/>
    </xf>
    <xf numFmtId="0" fontId="191" fillId="6" borderId="0" xfId="2" applyFont="1" applyFill="1" applyAlignment="1">
      <alignment horizontal="right" vertical="center"/>
    </xf>
    <xf numFmtId="171" fontId="21" fillId="5" borderId="4" xfId="1" applyNumberFormat="1" applyFont="1" applyFill="1" applyBorder="1" applyAlignment="1" applyProtection="1">
      <alignment horizontal="center" vertical="center"/>
    </xf>
    <xf numFmtId="4" fontId="21" fillId="47" borderId="4" xfId="2" applyNumberFormat="1" applyFont="1" applyFill="1" applyBorder="1" applyAlignment="1" applyProtection="1">
      <alignment horizontal="center" vertical="center"/>
      <protection locked="0"/>
    </xf>
    <xf numFmtId="3" fontId="21" fillId="8" borderId="4" xfId="2" applyNumberFormat="1" applyFont="1" applyFill="1" applyBorder="1" applyAlignment="1">
      <alignment horizontal="center" vertical="center"/>
    </xf>
    <xf numFmtId="165" fontId="21" fillId="8" borderId="4" xfId="2" applyNumberFormat="1" applyFont="1" applyFill="1" applyBorder="1" applyAlignment="1">
      <alignment horizontal="center" vertical="center"/>
    </xf>
    <xf numFmtId="0" fontId="171" fillId="47" borderId="6" xfId="0" applyFont="1" applyFill="1" applyBorder="1" applyAlignment="1">
      <alignment horizontal="center" vertical="center"/>
    </xf>
    <xf numFmtId="0" fontId="192" fillId="47" borderId="5" xfId="0" applyFont="1" applyFill="1" applyBorder="1" applyAlignment="1">
      <alignment horizontal="center" vertical="center"/>
    </xf>
    <xf numFmtId="0" fontId="171" fillId="47" borderId="5" xfId="0" applyFont="1" applyFill="1" applyBorder="1" applyAlignment="1">
      <alignment horizontal="center" vertical="center"/>
    </xf>
    <xf numFmtId="3" fontId="49" fillId="47" borderId="5" xfId="0" applyNumberFormat="1" applyFont="1" applyFill="1" applyBorder="1" applyAlignment="1">
      <alignment horizontal="center" vertical="center" wrapText="1"/>
    </xf>
    <xf numFmtId="2" fontId="171" fillId="47" borderId="5" xfId="0" applyNumberFormat="1" applyFont="1" applyFill="1" applyBorder="1" applyAlignment="1">
      <alignment horizontal="center" vertical="center"/>
    </xf>
    <xf numFmtId="166" fontId="49" fillId="47" borderId="5" xfId="0" applyNumberFormat="1" applyFont="1" applyFill="1" applyBorder="1" applyAlignment="1">
      <alignment horizontal="center" vertical="center" wrapText="1"/>
    </xf>
    <xf numFmtId="0" fontId="49" fillId="47" borderId="5" xfId="0" applyFont="1" applyFill="1" applyBorder="1" applyAlignment="1">
      <alignment horizontal="center" vertical="center" wrapText="1"/>
    </xf>
    <xf numFmtId="0" fontId="9" fillId="5" borderId="0" xfId="0" applyFont="1" applyFill="1" applyAlignment="1">
      <alignment vertical="top"/>
    </xf>
    <xf numFmtId="39" fontId="35" fillId="0" borderId="4" xfId="1" applyNumberFormat="1" applyFont="1" applyFill="1" applyBorder="1" applyAlignment="1">
      <alignment horizontal="center" vertical="center"/>
    </xf>
    <xf numFmtId="0" fontId="67" fillId="42" borderId="65" xfId="0" applyFont="1" applyFill="1" applyBorder="1"/>
    <xf numFmtId="0" fontId="67" fillId="42" borderId="232" xfId="0" applyFont="1" applyFill="1" applyBorder="1"/>
    <xf numFmtId="0" fontId="30" fillId="0" borderId="0" xfId="0" applyFont="1" applyAlignment="1">
      <alignment horizontal="left" vertical="center" wrapText="1" indent="4"/>
    </xf>
    <xf numFmtId="4" fontId="3" fillId="5" borderId="6" xfId="1" applyNumberFormat="1" applyFont="1" applyFill="1" applyBorder="1" applyAlignment="1" applyProtection="1">
      <alignment horizontal="center" vertical="center" wrapText="1"/>
      <protection locked="0"/>
    </xf>
    <xf numFmtId="4" fontId="3" fillId="5" borderId="5" xfId="1" applyNumberFormat="1" applyFont="1" applyFill="1" applyBorder="1" applyAlignment="1" applyProtection="1">
      <alignment horizontal="center" vertical="center" wrapText="1"/>
      <protection locked="0"/>
    </xf>
    <xf numFmtId="4" fontId="3" fillId="5" borderId="40" xfId="1" applyNumberFormat="1" applyFont="1" applyFill="1" applyBorder="1" applyAlignment="1" applyProtection="1">
      <alignment horizontal="center" vertical="center" wrapText="1"/>
      <protection locked="0"/>
    </xf>
    <xf numFmtId="0" fontId="3" fillId="0" borderId="0" xfId="0" applyFont="1" applyAlignment="1" applyProtection="1">
      <alignment horizontal="center" vertical="center"/>
      <protection locked="0"/>
    </xf>
    <xf numFmtId="0" fontId="3" fillId="6" borderId="346" xfId="0" applyFont="1" applyFill="1" applyBorder="1" applyAlignment="1" applyProtection="1">
      <alignment horizontal="left" vertical="center"/>
      <protection locked="0"/>
    </xf>
    <xf numFmtId="0" fontId="3" fillId="6" borderId="347" xfId="0" applyFont="1" applyFill="1" applyBorder="1" applyAlignment="1" applyProtection="1">
      <alignment horizontal="left" vertical="center"/>
      <protection locked="0"/>
    </xf>
    <xf numFmtId="3" fontId="193" fillId="47" borderId="1" xfId="0" applyNumberFormat="1" applyFont="1" applyFill="1" applyBorder="1" applyAlignment="1">
      <alignment horizontal="left" vertical="center" wrapText="1" indent="1"/>
    </xf>
    <xf numFmtId="166" fontId="82" fillId="47" borderId="5" xfId="0" applyNumberFormat="1" applyFont="1" applyFill="1" applyBorder="1" applyAlignment="1">
      <alignment horizontal="center" vertical="center" wrapText="1"/>
    </xf>
    <xf numFmtId="0" fontId="3" fillId="0" borderId="0" xfId="0" applyFont="1" applyAlignment="1" applyProtection="1">
      <alignment horizontal="center" vertical="center" wrapText="1"/>
      <protection locked="0"/>
    </xf>
    <xf numFmtId="0" fontId="6" fillId="0" borderId="0" xfId="0" applyFont="1" applyAlignment="1">
      <alignment horizontal="center" vertical="center" wrapText="1"/>
    </xf>
    <xf numFmtId="39" fontId="9" fillId="0" borderId="0" xfId="1" applyNumberFormat="1" applyFont="1" applyFill="1" applyBorder="1" applyAlignment="1" applyProtection="1">
      <alignment horizontal="center" vertical="center"/>
      <protection locked="0"/>
    </xf>
    <xf numFmtId="3" fontId="3" fillId="0" borderId="0" xfId="1" applyNumberFormat="1" applyFont="1" applyFill="1" applyBorder="1" applyAlignment="1" applyProtection="1">
      <alignment horizontal="center" vertical="center"/>
      <protection locked="0"/>
    </xf>
    <xf numFmtId="4" fontId="3" fillId="0" borderId="0" xfId="1" applyNumberFormat="1" applyFont="1" applyFill="1" applyBorder="1" applyAlignment="1" applyProtection="1">
      <alignment horizontal="right" vertical="center"/>
      <protection locked="0"/>
    </xf>
    <xf numFmtId="0" fontId="9" fillId="0" borderId="0" xfId="2" applyAlignment="1" applyProtection="1">
      <alignment horizontal="left" vertical="center" indent="1"/>
      <protection locked="0"/>
    </xf>
    <xf numFmtId="0" fontId="21" fillId="0" borderId="0" xfId="2" applyFont="1" applyAlignment="1" applyProtection="1">
      <alignment horizontal="left" vertical="center" wrapText="1"/>
      <protection locked="0"/>
    </xf>
    <xf numFmtId="3" fontId="9" fillId="0" borderId="0" xfId="18" applyNumberFormat="1" applyFont="1" applyAlignment="1">
      <alignment horizontal="left" vertical="top" wrapText="1" indent="4"/>
    </xf>
    <xf numFmtId="0" fontId="26" fillId="0" borderId="0" xfId="2" applyFont="1" applyAlignment="1">
      <alignment horizontal="left" vertical="center" indent="1"/>
    </xf>
    <xf numFmtId="0" fontId="26" fillId="0" borderId="0" xfId="2" applyFont="1" applyAlignment="1">
      <alignment horizontal="left" vertical="top" wrapText="1"/>
    </xf>
    <xf numFmtId="4" fontId="3" fillId="0" borderId="4" xfId="1" applyNumberFormat="1" applyFont="1" applyFill="1" applyBorder="1" applyAlignment="1" applyProtection="1">
      <alignment horizontal="center" vertical="center"/>
      <protection locked="0"/>
    </xf>
    <xf numFmtId="4" fontId="3" fillId="6" borderId="6" xfId="1" applyNumberFormat="1" applyFont="1" applyFill="1" applyBorder="1" applyAlignment="1" applyProtection="1">
      <alignment horizontal="right" vertical="center"/>
      <protection locked="0"/>
    </xf>
    <xf numFmtId="0" fontId="9" fillId="6" borderId="4" xfId="0" applyFont="1" applyFill="1" applyBorder="1" applyProtection="1">
      <protection locked="0"/>
    </xf>
    <xf numFmtId="0" fontId="35" fillId="47" borderId="14" xfId="0" applyFont="1" applyFill="1" applyBorder="1" applyAlignment="1">
      <alignment horizontal="left" vertical="center" wrapText="1"/>
    </xf>
    <xf numFmtId="0" fontId="49" fillId="0" borderId="2" xfId="0" applyFont="1" applyBorder="1" applyAlignment="1">
      <alignment horizontal="center" vertical="center"/>
    </xf>
    <xf numFmtId="0" fontId="49" fillId="0" borderId="10" xfId="0" applyFont="1" applyBorder="1" applyAlignment="1">
      <alignment horizontal="center" vertical="center"/>
    </xf>
    <xf numFmtId="39" fontId="9" fillId="43" borderId="4" xfId="1" applyNumberFormat="1" applyFont="1" applyFill="1" applyBorder="1" applyAlignment="1" applyProtection="1">
      <alignment horizontal="center" vertical="center"/>
      <protection locked="0"/>
    </xf>
    <xf numFmtId="3" fontId="21" fillId="6" borderId="4" xfId="2" applyNumberFormat="1" applyFont="1" applyFill="1" applyBorder="1" applyAlignment="1" applyProtection="1">
      <alignment horizontal="right" vertical="center"/>
      <protection locked="0"/>
    </xf>
    <xf numFmtId="2" fontId="35" fillId="6" borderId="4" xfId="1" applyNumberFormat="1" applyFont="1" applyFill="1" applyBorder="1" applyAlignment="1" applyProtection="1">
      <alignment horizontal="center" vertical="center" wrapText="1"/>
      <protection locked="0"/>
    </xf>
    <xf numFmtId="3" fontId="21" fillId="6" borderId="4" xfId="1" applyNumberFormat="1" applyFont="1" applyFill="1" applyBorder="1" applyAlignment="1" applyProtection="1">
      <alignment horizontal="right" vertical="center"/>
      <protection locked="0"/>
    </xf>
    <xf numFmtId="0" fontId="35" fillId="6" borderId="4" xfId="0" applyFont="1" applyFill="1" applyBorder="1" applyAlignment="1" applyProtection="1">
      <alignment horizontal="center"/>
      <protection locked="0"/>
    </xf>
    <xf numFmtId="1" fontId="21" fillId="6" borderId="4" xfId="2" applyNumberFormat="1" applyFont="1" applyFill="1" applyBorder="1" applyAlignment="1" applyProtection="1">
      <alignment horizontal="right" vertical="center"/>
      <protection locked="0"/>
    </xf>
    <xf numFmtId="49" fontId="35" fillId="6" borderId="4" xfId="444" applyNumberFormat="1" applyFont="1" applyFill="1" applyBorder="1" applyProtection="1">
      <protection locked="0"/>
    </xf>
    <xf numFmtId="0" fontId="35" fillId="6" borderId="4" xfId="444" applyFont="1" applyFill="1" applyBorder="1" applyAlignment="1" applyProtection="1">
      <alignment horizontal="center"/>
      <protection locked="0"/>
    </xf>
    <xf numFmtId="171" fontId="35" fillId="6" borderId="4" xfId="1" applyNumberFormat="1" applyFont="1" applyFill="1" applyBorder="1" applyAlignment="1" applyProtection="1">
      <alignment horizontal="center"/>
      <protection locked="0"/>
    </xf>
    <xf numFmtId="9" fontId="35" fillId="0" borderId="4" xfId="9" applyFont="1" applyFill="1" applyBorder="1" applyAlignment="1" applyProtection="1">
      <alignment horizontal="center"/>
    </xf>
    <xf numFmtId="2" fontId="35" fillId="5" borderId="4" xfId="444" applyNumberFormat="1" applyFont="1" applyFill="1" applyBorder="1" applyAlignment="1">
      <alignment horizontal="center"/>
    </xf>
    <xf numFmtId="43" fontId="35" fillId="6" borderId="4" xfId="1" applyFont="1" applyFill="1" applyBorder="1" applyAlignment="1" applyProtection="1">
      <alignment horizontal="center"/>
      <protection locked="0"/>
    </xf>
    <xf numFmtId="43" fontId="35" fillId="5" borderId="4" xfId="1" applyFont="1" applyFill="1" applyBorder="1" applyAlignment="1" applyProtection="1">
      <alignment horizontal="center"/>
    </xf>
    <xf numFmtId="171" fontId="35" fillId="6" borderId="4" xfId="1" applyNumberFormat="1" applyFont="1" applyFill="1" applyBorder="1" applyAlignment="1" applyProtection="1">
      <alignment horizontal="left" wrapText="1"/>
      <protection locked="0"/>
    </xf>
    <xf numFmtId="49" fontId="35" fillId="6" borderId="4" xfId="444" applyNumberFormat="1" applyFont="1" applyFill="1" applyBorder="1" applyAlignment="1" applyProtection="1">
      <alignment wrapText="1"/>
      <protection locked="0"/>
    </xf>
    <xf numFmtId="49" fontId="35" fillId="6" borderId="4" xfId="444" applyNumberFormat="1" applyFont="1" applyFill="1" applyBorder="1" applyAlignment="1" applyProtection="1">
      <alignment horizontal="center"/>
      <protection locked="0"/>
    </xf>
    <xf numFmtId="0" fontId="35" fillId="6" borderId="4" xfId="444" applyFont="1" applyFill="1" applyBorder="1" applyProtection="1">
      <protection locked="0"/>
    </xf>
    <xf numFmtId="0" fontId="15" fillId="6" borderId="64" xfId="0" applyFont="1" applyFill="1" applyBorder="1"/>
    <xf numFmtId="0" fontId="194" fillId="0" borderId="175" xfId="0" applyFont="1" applyBorder="1"/>
    <xf numFmtId="0" fontId="15" fillId="0" borderId="69" xfId="0" applyFont="1" applyBorder="1"/>
    <xf numFmtId="0" fontId="15" fillId="6" borderId="65" xfId="0" applyFont="1" applyFill="1" applyBorder="1" applyAlignment="1">
      <alignment horizontal="center"/>
    </xf>
    <xf numFmtId="192" fontId="9" fillId="0" borderId="0" xfId="13" applyNumberFormat="1"/>
    <xf numFmtId="0" fontId="9" fillId="5" borderId="0" xfId="0" applyFont="1" applyFill="1" applyAlignment="1">
      <alignment vertical="top" wrapText="1"/>
    </xf>
    <xf numFmtId="0" fontId="20" fillId="5" borderId="0" xfId="0" applyFont="1" applyFill="1" applyAlignment="1">
      <alignment horizontal="left"/>
    </xf>
    <xf numFmtId="0" fontId="105" fillId="5" borderId="0" xfId="0" applyFont="1" applyFill="1" applyAlignment="1">
      <alignment horizontal="left"/>
    </xf>
    <xf numFmtId="49" fontId="3" fillId="0" borderId="0" xfId="444" applyNumberFormat="1" applyFont="1"/>
    <xf numFmtId="0" fontId="106" fillId="5" borderId="0" xfId="0" applyFont="1" applyFill="1"/>
    <xf numFmtId="171" fontId="3" fillId="0" borderId="0" xfId="1" applyNumberFormat="1" applyFont="1" applyAlignment="1" applyProtection="1"/>
    <xf numFmtId="0" fontId="9" fillId="5" borderId="0" xfId="0" applyFont="1" applyFill="1" applyAlignment="1">
      <alignment horizontal="right" vertical="top"/>
    </xf>
    <xf numFmtId="0" fontId="9" fillId="5" borderId="0" xfId="0" applyFont="1" applyFill="1" applyAlignment="1">
      <alignment horizontal="right" vertical="top" wrapText="1"/>
    </xf>
    <xf numFmtId="0" fontId="13" fillId="0" borderId="0" xfId="0" applyFont="1" applyAlignment="1">
      <alignment vertical="top" wrapText="1"/>
    </xf>
    <xf numFmtId="0" fontId="13" fillId="0" borderId="0" xfId="0" applyFont="1" applyAlignment="1">
      <alignment vertical="top"/>
    </xf>
    <xf numFmtId="0" fontId="13" fillId="0" borderId="0" xfId="0" applyFont="1"/>
    <xf numFmtId="171" fontId="35" fillId="5" borderId="4" xfId="1" applyNumberFormat="1" applyFont="1" applyFill="1" applyBorder="1" applyAlignment="1" applyProtection="1">
      <alignment horizontal="center"/>
      <protection locked="0"/>
    </xf>
    <xf numFmtId="2" fontId="35" fillId="0" borderId="36" xfId="9" applyNumberFormat="1" applyFont="1" applyFill="1" applyBorder="1" applyAlignment="1" applyProtection="1">
      <alignment horizontal="center"/>
    </xf>
    <xf numFmtId="171" fontId="35" fillId="0" borderId="36" xfId="1" applyNumberFormat="1" applyFont="1" applyFill="1" applyBorder="1" applyAlignment="1" applyProtection="1">
      <alignment horizontal="center"/>
    </xf>
    <xf numFmtId="0" fontId="195" fillId="0" borderId="89" xfId="20" applyFont="1"/>
    <xf numFmtId="0" fontId="196" fillId="0" borderId="89" xfId="20" applyFont="1"/>
    <xf numFmtId="0" fontId="9" fillId="0" borderId="0" xfId="444" applyFont="1" applyAlignment="1">
      <alignment wrapText="1"/>
    </xf>
    <xf numFmtId="0" fontId="3" fillId="0" borderId="0" xfId="444" applyFont="1" applyAlignment="1">
      <alignment vertical="top" wrapText="1"/>
    </xf>
    <xf numFmtId="49" fontId="3" fillId="0" borderId="0" xfId="444" applyNumberFormat="1" applyFont="1" applyAlignment="1">
      <alignment wrapText="1"/>
    </xf>
    <xf numFmtId="171" fontId="3" fillId="0" borderId="0" xfId="1" applyNumberFormat="1" applyFont="1" applyAlignment="1" applyProtection="1">
      <alignment wrapText="1"/>
    </xf>
    <xf numFmtId="0" fontId="9" fillId="5" borderId="0" xfId="0" applyFont="1" applyFill="1" applyAlignment="1">
      <alignment wrapText="1"/>
    </xf>
    <xf numFmtId="0" fontId="105" fillId="5" borderId="0" xfId="0" applyFont="1" applyFill="1" applyAlignment="1">
      <alignment wrapText="1"/>
    </xf>
    <xf numFmtId="49" fontId="9" fillId="0" borderId="0" xfId="444" applyNumberFormat="1" applyFont="1" applyAlignment="1">
      <alignment wrapText="1"/>
    </xf>
    <xf numFmtId="171" fontId="9" fillId="0" borderId="0" xfId="1" applyNumberFormat="1" applyFont="1" applyAlignment="1" applyProtection="1">
      <alignment wrapText="1"/>
    </xf>
    <xf numFmtId="0" fontId="15" fillId="6" borderId="4" xfId="444" applyFont="1" applyFill="1" applyBorder="1" applyAlignment="1" applyProtection="1">
      <alignment horizontal="center"/>
      <protection locked="0"/>
    </xf>
    <xf numFmtId="171" fontId="15" fillId="6" borderId="4" xfId="1" applyNumberFormat="1" applyFont="1" applyFill="1" applyBorder="1" applyAlignment="1" applyProtection="1">
      <alignment horizontal="center"/>
      <protection locked="0"/>
    </xf>
    <xf numFmtId="0" fontId="34" fillId="6" borderId="4" xfId="444" applyFont="1" applyFill="1" applyBorder="1" applyAlignment="1" applyProtection="1">
      <alignment horizontal="center"/>
      <protection locked="0"/>
    </xf>
    <xf numFmtId="171" fontId="34" fillId="6" borderId="4" xfId="1" applyNumberFormat="1" applyFont="1" applyFill="1" applyBorder="1" applyAlignment="1" applyProtection="1">
      <alignment horizontal="center"/>
      <protection locked="0"/>
    </xf>
    <xf numFmtId="0" fontId="34" fillId="6" borderId="4" xfId="444" applyFont="1" applyFill="1" applyBorder="1" applyAlignment="1" applyProtection="1">
      <alignment horizontal="center" wrapText="1"/>
      <protection locked="0"/>
    </xf>
    <xf numFmtId="0" fontId="15" fillId="0" borderId="4" xfId="9" applyNumberFormat="1" applyFont="1" applyFill="1" applyBorder="1" applyAlignment="1" applyProtection="1">
      <alignment horizontal="center"/>
    </xf>
    <xf numFmtId="0" fontId="35" fillId="6" borderId="4" xfId="444" applyFont="1" applyFill="1" applyBorder="1" applyAlignment="1" applyProtection="1">
      <alignment horizontal="center" vertical="center" wrapText="1"/>
      <protection locked="0"/>
    </xf>
    <xf numFmtId="165" fontId="35" fillId="6" borderId="4" xfId="444" applyNumberFormat="1" applyFont="1" applyFill="1" applyBorder="1" applyAlignment="1" applyProtection="1">
      <alignment horizontal="center" vertical="center"/>
      <protection locked="0"/>
    </xf>
    <xf numFmtId="165" fontId="35" fillId="6" borderId="4" xfId="444" applyNumberFormat="1" applyFont="1" applyFill="1" applyBorder="1" applyAlignment="1" applyProtection="1">
      <alignment horizontal="center" vertical="center" wrapText="1"/>
      <protection locked="0"/>
    </xf>
    <xf numFmtId="0" fontId="35" fillId="6" borderId="4" xfId="444" applyFont="1" applyFill="1" applyBorder="1" applyAlignment="1" applyProtection="1">
      <alignment horizontal="center" vertical="center"/>
      <protection locked="0"/>
    </xf>
    <xf numFmtId="0" fontId="35" fillId="6" borderId="6" xfId="444" applyFont="1" applyFill="1" applyBorder="1" applyAlignment="1" applyProtection="1">
      <alignment horizontal="center" vertical="center" wrapText="1"/>
      <protection locked="0"/>
    </xf>
    <xf numFmtId="171" fontId="79" fillId="5" borderId="4" xfId="1" applyNumberFormat="1" applyFont="1" applyFill="1" applyBorder="1" applyAlignment="1" applyProtection="1">
      <alignment horizontal="center" vertical="center"/>
    </xf>
    <xf numFmtId="171" fontId="55" fillId="5" borderId="4" xfId="1" applyNumberFormat="1" applyFont="1" applyFill="1" applyBorder="1" applyAlignment="1" applyProtection="1">
      <alignment horizontal="center" vertical="center"/>
    </xf>
    <xf numFmtId="9" fontId="55" fillId="47" borderId="4" xfId="9" applyFont="1" applyFill="1" applyBorder="1" applyAlignment="1" applyProtection="1">
      <alignment horizontal="center" vertical="center" wrapText="1"/>
      <protection locked="0"/>
    </xf>
    <xf numFmtId="9" fontId="55" fillId="47" borderId="4" xfId="9" applyFont="1" applyFill="1" applyBorder="1" applyAlignment="1" applyProtection="1">
      <alignment horizontal="center" vertical="center"/>
      <protection locked="0"/>
    </xf>
    <xf numFmtId="171" fontId="55" fillId="47" borderId="3" xfId="1" applyNumberFormat="1" applyFont="1" applyFill="1" applyBorder="1" applyAlignment="1" applyProtection="1">
      <alignment horizontal="center" vertical="center" wrapText="1"/>
    </xf>
    <xf numFmtId="171" fontId="55" fillId="5" borderId="3" xfId="1" applyNumberFormat="1" applyFont="1" applyFill="1" applyBorder="1" applyAlignment="1" applyProtection="1">
      <alignment horizontal="center" vertical="center"/>
    </xf>
    <xf numFmtId="43" fontId="55" fillId="5" borderId="4" xfId="1" applyFont="1" applyFill="1" applyBorder="1" applyAlignment="1" applyProtection="1">
      <alignment horizontal="center" vertical="center"/>
    </xf>
    <xf numFmtId="43" fontId="55" fillId="5" borderId="4" xfId="444" applyNumberFormat="1" applyFont="1" applyFill="1" applyBorder="1" applyAlignment="1">
      <alignment horizontal="center" vertical="center"/>
    </xf>
    <xf numFmtId="165" fontId="21" fillId="0" borderId="0" xfId="0" applyNumberFormat="1" applyFont="1" applyAlignment="1">
      <alignment horizontal="right" vertical="center" wrapText="1"/>
    </xf>
    <xf numFmtId="3" fontId="21" fillId="0" borderId="99" xfId="2" applyNumberFormat="1" applyFont="1" applyBorder="1" applyAlignment="1">
      <alignment horizontal="left" vertical="center" wrapText="1" indent="1"/>
    </xf>
    <xf numFmtId="0" fontId="21" fillId="0" borderId="99" xfId="2" applyFont="1" applyBorder="1" applyAlignment="1">
      <alignment horizontal="left" vertical="center" wrapText="1" indent="1"/>
    </xf>
    <xf numFmtId="168" fontId="21" fillId="4" borderId="99" xfId="2" applyNumberFormat="1" applyFont="1" applyFill="1" applyBorder="1" applyAlignment="1">
      <alignment horizontal="center" vertical="center" wrapText="1"/>
    </xf>
    <xf numFmtId="168" fontId="15" fillId="0" borderId="99" xfId="0" applyNumberFormat="1" applyFont="1" applyBorder="1" applyAlignment="1">
      <alignment vertical="center"/>
    </xf>
    <xf numFmtId="164" fontId="21" fillId="4" borderId="99" xfId="10" applyNumberFormat="1" applyFont="1" applyFill="1" applyBorder="1" applyAlignment="1" applyProtection="1">
      <alignment horizontal="right" vertical="top"/>
    </xf>
    <xf numFmtId="164" fontId="21" fillId="0" borderId="99" xfId="10" applyNumberFormat="1" applyFont="1" applyFill="1" applyBorder="1" applyAlignment="1" applyProtection="1">
      <alignment horizontal="center" vertical="center"/>
    </xf>
    <xf numFmtId="0" fontId="35" fillId="0" borderId="99" xfId="0" applyFont="1" applyBorder="1" applyAlignment="1">
      <alignment horizontal="center" vertical="center"/>
    </xf>
    <xf numFmtId="175" fontId="21" fillId="5" borderId="99" xfId="11" applyNumberFormat="1" applyFont="1" applyFill="1" applyBorder="1" applyAlignment="1" applyProtection="1">
      <alignment horizontal="right" vertical="center"/>
    </xf>
    <xf numFmtId="0" fontId="21" fillId="5" borderId="99" xfId="2" applyFont="1" applyFill="1" applyBorder="1" applyAlignment="1">
      <alignment vertical="center"/>
    </xf>
    <xf numFmtId="0" fontId="21" fillId="0" borderId="99" xfId="2" applyFont="1" applyBorder="1" applyAlignment="1">
      <alignment horizontal="center" vertical="center"/>
    </xf>
    <xf numFmtId="0" fontId="15" fillId="0" borderId="99" xfId="0" applyFont="1" applyBorder="1" applyAlignment="1">
      <alignment horizontal="center" vertical="center"/>
    </xf>
    <xf numFmtId="164" fontId="21" fillId="0" borderId="99" xfId="10" applyNumberFormat="1" applyFont="1" applyFill="1" applyBorder="1" applyAlignment="1">
      <alignment horizontal="center" vertical="center"/>
    </xf>
    <xf numFmtId="3" fontId="9" fillId="8" borderId="100" xfId="2" applyNumberFormat="1" applyFill="1" applyBorder="1" applyAlignment="1">
      <alignment horizontal="left" vertical="center"/>
    </xf>
    <xf numFmtId="0" fontId="0" fillId="0" borderId="101" xfId="0" applyBorder="1"/>
    <xf numFmtId="0" fontId="0" fillId="0" borderId="102" xfId="0" applyBorder="1"/>
    <xf numFmtId="168" fontId="21" fillId="5" borderId="99" xfId="12" applyNumberFormat="1" applyFont="1" applyFill="1" applyBorder="1" applyAlignment="1">
      <alignment horizontal="right" vertical="center"/>
    </xf>
    <xf numFmtId="3" fontId="21" fillId="0" borderId="99" xfId="2" applyNumberFormat="1" applyFont="1" applyBorder="1" applyAlignment="1">
      <alignment horizontal="left" vertical="center" indent="1"/>
    </xf>
    <xf numFmtId="0" fontId="15" fillId="0" borderId="99" xfId="0" applyFont="1" applyBorder="1" applyAlignment="1">
      <alignment horizontal="left" vertical="center" indent="1"/>
    </xf>
    <xf numFmtId="170" fontId="21" fillId="9" borderId="99" xfId="11" applyNumberFormat="1" applyFont="1" applyFill="1" applyBorder="1" applyAlignment="1">
      <alignment horizontal="right" vertical="center" wrapText="1"/>
    </xf>
    <xf numFmtId="170" fontId="21" fillId="5" borderId="99" xfId="2" applyNumberFormat="1" applyFont="1" applyFill="1" applyBorder="1" applyAlignment="1">
      <alignment horizontal="right" vertical="center" wrapText="1"/>
    </xf>
    <xf numFmtId="170" fontId="15" fillId="0" borderId="99" xfId="0" applyNumberFormat="1" applyFont="1" applyBorder="1" applyAlignment="1">
      <alignment horizontal="right" vertical="center" wrapText="1"/>
    </xf>
    <xf numFmtId="49" fontId="9" fillId="8" borderId="99" xfId="2" applyNumberFormat="1" applyFill="1" applyBorder="1" applyAlignment="1">
      <alignment horizontal="center" vertical="center" wrapText="1"/>
    </xf>
    <xf numFmtId="0" fontId="9" fillId="8" borderId="99" xfId="2" applyFill="1" applyBorder="1" applyAlignment="1">
      <alignment horizontal="center" vertical="center" wrapText="1"/>
    </xf>
    <xf numFmtId="0" fontId="0" fillId="0" borderId="99" xfId="0" applyBorder="1" applyAlignment="1">
      <alignment horizontal="center" vertical="center" wrapText="1"/>
    </xf>
    <xf numFmtId="164" fontId="21" fillId="5" borderId="99" xfId="10" applyNumberFormat="1" applyFont="1" applyFill="1" applyBorder="1" applyAlignment="1" applyProtection="1">
      <alignment horizontal="right" vertical="center"/>
    </xf>
    <xf numFmtId="164" fontId="21" fillId="0" borderId="99" xfId="10" applyNumberFormat="1" applyFont="1" applyBorder="1" applyAlignment="1" applyProtection="1">
      <alignment horizontal="center" vertical="center"/>
    </xf>
    <xf numFmtId="164" fontId="21" fillId="9" borderId="99" xfId="10" applyNumberFormat="1" applyFont="1" applyFill="1" applyBorder="1" applyAlignment="1" applyProtection="1">
      <alignment horizontal="right" vertical="center"/>
    </xf>
    <xf numFmtId="0" fontId="21" fillId="0" borderId="99" xfId="2" applyFont="1" applyBorder="1" applyAlignment="1">
      <alignment horizontal="right" vertical="center"/>
    </xf>
    <xf numFmtId="3" fontId="21" fillId="0" borderId="100" xfId="2" applyNumberFormat="1" applyFont="1" applyBorder="1" applyAlignment="1">
      <alignment horizontal="left" vertical="center" wrapText="1" indent="1"/>
    </xf>
    <xf numFmtId="3" fontId="21" fillId="0" borderId="102" xfId="2" applyNumberFormat="1" applyFont="1" applyBorder="1" applyAlignment="1">
      <alignment horizontal="left" vertical="center" wrapText="1" indent="1"/>
    </xf>
    <xf numFmtId="0" fontId="21" fillId="6" borderId="99" xfId="2" applyFont="1" applyFill="1" applyBorder="1" applyAlignment="1" applyProtection="1">
      <alignment horizontal="left" vertical="center" wrapText="1"/>
      <protection locked="0"/>
    </xf>
    <xf numFmtId="0" fontId="0" fillId="0" borderId="99" xfId="0" applyBorder="1" applyAlignment="1" applyProtection="1">
      <alignment horizontal="left" vertical="center" wrapText="1"/>
      <protection locked="0"/>
    </xf>
    <xf numFmtId="0" fontId="21" fillId="6" borderId="99" xfId="2" applyFont="1" applyFill="1" applyBorder="1" applyAlignment="1" applyProtection="1">
      <alignment horizontal="center" vertical="center" wrapText="1"/>
      <protection locked="0"/>
    </xf>
    <xf numFmtId="0" fontId="0" fillId="0" borderId="99" xfId="0" applyBorder="1" applyAlignment="1" applyProtection="1">
      <alignment horizontal="center" vertical="center" wrapText="1"/>
      <protection locked="0"/>
    </xf>
    <xf numFmtId="0" fontId="21" fillId="6" borderId="99" xfId="2" applyFont="1" applyFill="1" applyBorder="1" applyAlignment="1" applyProtection="1">
      <alignment horizontal="left" vertical="center"/>
      <protection locked="0"/>
    </xf>
    <xf numFmtId="0" fontId="0" fillId="0" borderId="99" xfId="0" applyBorder="1" applyAlignment="1" applyProtection="1">
      <alignment horizontal="left" vertical="center"/>
      <protection locked="0"/>
    </xf>
    <xf numFmtId="192" fontId="21" fillId="5" borderId="99" xfId="2" applyNumberFormat="1" applyFont="1" applyFill="1" applyBorder="1" applyAlignment="1">
      <alignment horizontal="right" vertical="center" wrapText="1"/>
    </xf>
    <xf numFmtId="192" fontId="0" fillId="5" borderId="99" xfId="0" applyNumberFormat="1" applyFill="1" applyBorder="1" applyAlignment="1">
      <alignment horizontal="right" vertical="center" wrapText="1"/>
    </xf>
    <xf numFmtId="0" fontId="21" fillId="0" borderId="99" xfId="0" applyFont="1" applyBorder="1" applyAlignment="1">
      <alignment horizontal="left" vertical="center"/>
    </xf>
    <xf numFmtId="0" fontId="0" fillId="0" borderId="99" xfId="0" applyBorder="1" applyAlignment="1">
      <alignment horizontal="left" vertical="center"/>
    </xf>
    <xf numFmtId="168" fontId="21" fillId="0" borderId="99" xfId="2" applyNumberFormat="1" applyFont="1" applyBorder="1" applyAlignment="1">
      <alignment horizontal="center" vertical="center"/>
    </xf>
    <xf numFmtId="0" fontId="0" fillId="0" borderId="99" xfId="0" applyBorder="1" applyAlignment="1">
      <alignment horizontal="center" vertical="center"/>
    </xf>
    <xf numFmtId="170" fontId="21" fillId="9" borderId="99" xfId="11" applyNumberFormat="1" applyFont="1" applyFill="1" applyBorder="1" applyAlignment="1">
      <alignment horizontal="center" vertical="center" wrapText="1"/>
    </xf>
    <xf numFmtId="0" fontId="35" fillId="0" borderId="99" xfId="0" applyFont="1" applyBorder="1" applyAlignment="1">
      <alignment horizontal="center" vertical="center" wrapText="1"/>
    </xf>
    <xf numFmtId="3" fontId="21" fillId="5" borderId="106" xfId="2" applyNumberFormat="1" applyFont="1" applyFill="1" applyBorder="1" applyAlignment="1">
      <alignment horizontal="left" vertical="center" wrapText="1" indent="1"/>
    </xf>
    <xf numFmtId="0" fontId="0" fillId="5" borderId="106" xfId="0" applyFill="1" applyBorder="1" applyAlignment="1">
      <alignment horizontal="left" vertical="center" indent="1"/>
    </xf>
    <xf numFmtId="168" fontId="21" fillId="5" borderId="106" xfId="12" applyNumberFormat="1" applyFont="1" applyFill="1" applyBorder="1" applyAlignment="1">
      <alignment horizontal="right" vertical="center" wrapText="1"/>
    </xf>
    <xf numFmtId="168" fontId="15" fillId="0" borderId="106" xfId="0" applyNumberFormat="1" applyFont="1" applyBorder="1" applyAlignment="1">
      <alignment horizontal="right" vertical="center"/>
    </xf>
    <xf numFmtId="170" fontId="21" fillId="5" borderId="106" xfId="11" applyNumberFormat="1" applyFont="1" applyFill="1" applyBorder="1" applyAlignment="1" applyProtection="1">
      <alignment vertical="center" wrapText="1"/>
    </xf>
    <xf numFmtId="170" fontId="15" fillId="0" borderId="106" xfId="0" applyNumberFormat="1" applyFont="1" applyBorder="1" applyAlignment="1">
      <alignment vertical="center"/>
    </xf>
    <xf numFmtId="164" fontId="21" fillId="0" borderId="100" xfId="10" applyNumberFormat="1" applyFont="1" applyFill="1" applyBorder="1" applyAlignment="1" applyProtection="1">
      <alignment horizontal="center" vertical="center" wrapText="1"/>
    </xf>
    <xf numFmtId="164" fontId="21" fillId="0" borderId="102" xfId="10" applyNumberFormat="1" applyFont="1" applyFill="1" applyBorder="1" applyAlignment="1" applyProtection="1">
      <alignment horizontal="center" vertical="center" wrapText="1"/>
    </xf>
    <xf numFmtId="168" fontId="21" fillId="5" borderId="99" xfId="12" applyNumberFormat="1" applyFont="1" applyFill="1" applyBorder="1" applyAlignment="1">
      <alignment horizontal="right" vertical="center" wrapText="1"/>
    </xf>
    <xf numFmtId="168" fontId="15" fillId="0" borderId="99" xfId="0" applyNumberFormat="1" applyFont="1" applyBorder="1" applyAlignment="1">
      <alignment horizontal="right" vertical="center"/>
    </xf>
    <xf numFmtId="170" fontId="21" fillId="5" borderId="99" xfId="11" applyNumberFormat="1" applyFont="1" applyFill="1" applyBorder="1" applyAlignment="1" applyProtection="1">
      <alignment vertical="center" wrapText="1"/>
    </xf>
    <xf numFmtId="170" fontId="15" fillId="0" borderId="99" xfId="0" applyNumberFormat="1" applyFont="1" applyBorder="1" applyAlignment="1">
      <alignment vertical="center"/>
    </xf>
    <xf numFmtId="0" fontId="9" fillId="4" borderId="99" xfId="2" applyFill="1" applyBorder="1" applyAlignment="1">
      <alignment horizontal="left" vertical="center" wrapText="1" indent="1"/>
    </xf>
    <xf numFmtId="2" fontId="21" fillId="0" borderId="99" xfId="1" applyNumberFormat="1" applyFont="1" applyFill="1" applyBorder="1" applyAlignment="1">
      <alignment horizontal="right" vertical="center"/>
    </xf>
    <xf numFmtId="2" fontId="15" fillId="0" borderId="99" xfId="0" applyNumberFormat="1" applyFont="1" applyBorder="1" applyAlignment="1">
      <alignment horizontal="right" vertical="center"/>
    </xf>
    <xf numFmtId="0" fontId="9" fillId="4" borderId="99" xfId="2" applyFill="1" applyBorder="1" applyAlignment="1">
      <alignment horizontal="center" vertical="center" wrapText="1"/>
    </xf>
    <xf numFmtId="0" fontId="3" fillId="4" borderId="99" xfId="0" applyFont="1" applyFill="1" applyBorder="1" applyAlignment="1">
      <alignment horizontal="center" vertical="center" wrapText="1"/>
    </xf>
    <xf numFmtId="49" fontId="9" fillId="4" borderId="99" xfId="2" applyNumberFormat="1" applyFill="1" applyBorder="1" applyAlignment="1">
      <alignment horizontal="center" vertical="center" wrapText="1"/>
    </xf>
    <xf numFmtId="3" fontId="9" fillId="4" borderId="99" xfId="2" applyNumberFormat="1" applyFill="1" applyBorder="1" applyAlignment="1">
      <alignment horizontal="left" vertical="center" indent="1"/>
    </xf>
    <xf numFmtId="0" fontId="9" fillId="4" borderId="99" xfId="2" applyFill="1" applyBorder="1" applyAlignment="1">
      <alignment horizontal="left" vertical="center" indent="1"/>
    </xf>
    <xf numFmtId="168" fontId="21" fillId="5" borderId="99" xfId="2" applyNumberFormat="1" applyFont="1" applyFill="1" applyBorder="1" applyAlignment="1">
      <alignment horizontal="right" vertical="center"/>
    </xf>
    <xf numFmtId="168" fontId="15" fillId="5" borderId="99" xfId="0" applyNumberFormat="1" applyFont="1" applyFill="1" applyBorder="1" applyAlignment="1">
      <alignment horizontal="right" vertical="center"/>
    </xf>
    <xf numFmtId="0" fontId="9" fillId="8" borderId="99" xfId="2" applyFill="1" applyBorder="1" applyAlignment="1">
      <alignment horizontal="center" vertical="center"/>
    </xf>
    <xf numFmtId="0" fontId="49" fillId="0" borderId="19" xfId="2" applyFont="1" applyBorder="1" applyAlignment="1">
      <alignment horizontal="left" vertical="center" wrapText="1"/>
    </xf>
    <xf numFmtId="0" fontId="49" fillId="0" borderId="20" xfId="2" applyFont="1" applyBorder="1" applyAlignment="1">
      <alignment horizontal="left" vertical="center" wrapText="1"/>
    </xf>
    <xf numFmtId="0" fontId="21" fillId="5" borderId="20" xfId="2" applyFont="1" applyFill="1" applyBorder="1" applyAlignment="1" applyProtection="1">
      <alignment horizontal="left" vertical="center"/>
      <protection locked="0"/>
    </xf>
    <xf numFmtId="0" fontId="21" fillId="5" borderId="21" xfId="2" applyFont="1" applyFill="1" applyBorder="1" applyAlignment="1" applyProtection="1">
      <alignment horizontal="left" vertical="center"/>
      <protection locked="0"/>
    </xf>
    <xf numFmtId="0" fontId="21" fillId="5" borderId="20" xfId="2" applyFont="1" applyFill="1" applyBorder="1" applyAlignment="1">
      <alignment horizontal="left" vertical="center"/>
    </xf>
    <xf numFmtId="0" fontId="21" fillId="5" borderId="21" xfId="2" applyFont="1" applyFill="1" applyBorder="1" applyAlignment="1">
      <alignment horizontal="left" vertical="center"/>
    </xf>
    <xf numFmtId="0" fontId="49" fillId="0" borderId="35" xfId="2" applyFont="1" applyBorder="1" applyAlignment="1">
      <alignment horizontal="left" vertical="center" wrapText="1"/>
    </xf>
    <xf numFmtId="0" fontId="49" fillId="0" borderId="36" xfId="2" applyFont="1" applyBorder="1" applyAlignment="1">
      <alignment horizontal="left" vertical="center" wrapText="1"/>
    </xf>
    <xf numFmtId="0" fontId="21" fillId="5" borderId="36" xfId="2" applyFont="1" applyFill="1" applyBorder="1" applyAlignment="1">
      <alignment horizontal="left" vertical="center"/>
    </xf>
    <xf numFmtId="0" fontId="21" fillId="5" borderId="37" xfId="2" applyFont="1" applyFill="1" applyBorder="1" applyAlignment="1">
      <alignment horizontal="left" vertical="center"/>
    </xf>
    <xf numFmtId="0" fontId="21" fillId="5" borderId="36" xfId="2" applyFont="1" applyFill="1" applyBorder="1" applyAlignment="1" applyProtection="1">
      <alignment horizontal="left" vertical="center"/>
      <protection locked="0"/>
    </xf>
    <xf numFmtId="0" fontId="21" fillId="5" borderId="37" xfId="2" applyFont="1" applyFill="1" applyBorder="1" applyAlignment="1" applyProtection="1">
      <alignment horizontal="left" vertical="center"/>
      <protection locked="0"/>
    </xf>
    <xf numFmtId="193" fontId="21" fillId="6" borderId="99" xfId="2" applyNumberFormat="1" applyFont="1" applyFill="1" applyBorder="1" applyAlignment="1" applyProtection="1">
      <alignment horizontal="left" vertical="center" wrapText="1" indent="1"/>
      <protection locked="0"/>
    </xf>
    <xf numFmtId="193" fontId="21" fillId="6" borderId="99" xfId="2" applyNumberFormat="1" applyFont="1" applyFill="1" applyBorder="1" applyAlignment="1" applyProtection="1">
      <alignment horizontal="center" vertical="center"/>
      <protection locked="0"/>
    </xf>
    <xf numFmtId="168" fontId="21" fillId="9" borderId="99" xfId="2" applyNumberFormat="1" applyFont="1" applyFill="1" applyBorder="1" applyAlignment="1">
      <alignment horizontal="center" vertical="center" wrapText="1"/>
    </xf>
    <xf numFmtId="168" fontId="21" fillId="9" borderId="101" xfId="2" applyNumberFormat="1" applyFont="1" applyFill="1" applyBorder="1" applyAlignment="1">
      <alignment horizontal="center" vertical="center" wrapText="1"/>
    </xf>
    <xf numFmtId="168" fontId="21" fillId="9" borderId="102" xfId="2" applyNumberFormat="1" applyFont="1" applyFill="1" applyBorder="1" applyAlignment="1">
      <alignment horizontal="center" vertical="center" wrapText="1"/>
    </xf>
    <xf numFmtId="0" fontId="9" fillId="47" borderId="6" xfId="2" applyFill="1" applyBorder="1" applyAlignment="1">
      <alignment horizontal="center" vertical="center" wrapText="1"/>
    </xf>
    <xf numFmtId="0" fontId="9" fillId="47" borderId="5" xfId="2" applyFill="1" applyBorder="1" applyAlignment="1">
      <alignment horizontal="center" vertical="center" wrapText="1"/>
    </xf>
    <xf numFmtId="0" fontId="9" fillId="47" borderId="40" xfId="2" applyFill="1" applyBorder="1" applyAlignment="1">
      <alignment horizontal="center" vertical="center" wrapText="1"/>
    </xf>
    <xf numFmtId="0" fontId="9" fillId="47" borderId="16" xfId="2" applyFill="1" applyBorder="1" applyAlignment="1">
      <alignment horizontal="center" vertical="center"/>
    </xf>
    <xf numFmtId="0" fontId="9" fillId="47" borderId="17" xfId="2" applyFill="1" applyBorder="1" applyAlignment="1">
      <alignment horizontal="center" vertical="center"/>
    </xf>
    <xf numFmtId="0" fontId="9" fillId="47" borderId="18" xfId="2" applyFill="1" applyBorder="1" applyAlignment="1">
      <alignment horizontal="center" vertical="center"/>
    </xf>
    <xf numFmtId="0" fontId="21" fillId="0" borderId="99" xfId="2" applyFont="1" applyBorder="1" applyAlignment="1">
      <alignment horizontal="center" vertical="center" wrapText="1"/>
    </xf>
    <xf numFmtId="3" fontId="9" fillId="4" borderId="99" xfId="2" applyNumberFormat="1" applyFill="1" applyBorder="1" applyAlignment="1">
      <alignment horizontal="left" vertical="center" wrapText="1" indent="1"/>
    </xf>
    <xf numFmtId="0" fontId="0" fillId="4" borderId="99" xfId="0" applyFill="1" applyBorder="1" applyAlignment="1">
      <alignment horizontal="left" vertical="center" indent="1"/>
    </xf>
    <xf numFmtId="3" fontId="9" fillId="0" borderId="0" xfId="2" applyNumberFormat="1" applyAlignment="1">
      <alignment horizontal="left" vertical="center" wrapText="1"/>
    </xf>
    <xf numFmtId="0" fontId="9" fillId="0" borderId="0" xfId="2" applyAlignment="1">
      <alignment vertical="center" wrapText="1"/>
    </xf>
    <xf numFmtId="3" fontId="21" fillId="5" borderId="99" xfId="2" applyNumberFormat="1" applyFont="1" applyFill="1" applyBorder="1" applyAlignment="1">
      <alignment horizontal="left" vertical="center" wrapText="1" indent="1"/>
    </xf>
    <xf numFmtId="0" fontId="15" fillId="5" borderId="99" xfId="0" applyFont="1" applyFill="1" applyBorder="1" applyAlignment="1">
      <alignment horizontal="left" vertical="center" indent="1"/>
    </xf>
    <xf numFmtId="0" fontId="0" fillId="0" borderId="99" xfId="0" applyBorder="1" applyAlignment="1" applyProtection="1">
      <alignment horizontal="center" vertical="center"/>
      <protection locked="0"/>
    </xf>
    <xf numFmtId="0" fontId="15" fillId="6" borderId="99" xfId="0" applyFont="1" applyFill="1" applyBorder="1" applyAlignment="1" applyProtection="1">
      <alignment horizontal="center" vertical="center"/>
      <protection locked="0"/>
    </xf>
    <xf numFmtId="0" fontId="9" fillId="0" borderId="148" xfId="2" applyBorder="1" applyAlignment="1">
      <alignment horizontal="center" vertical="center"/>
    </xf>
    <xf numFmtId="0" fontId="9" fillId="0" borderId="149" xfId="2" applyBorder="1" applyAlignment="1">
      <alignment horizontal="center" vertical="center"/>
    </xf>
    <xf numFmtId="1" fontId="9" fillId="0" borderId="148" xfId="9" applyNumberFormat="1" applyFont="1" applyBorder="1" applyAlignment="1">
      <alignment horizontal="center" vertical="center"/>
    </xf>
    <xf numFmtId="1" fontId="9" fillId="0" borderId="150" xfId="9" applyNumberFormat="1" applyFont="1" applyBorder="1" applyAlignment="1">
      <alignment horizontal="center" vertical="center"/>
    </xf>
    <xf numFmtId="170" fontId="9" fillId="4" borderId="99" xfId="11" applyNumberFormat="1" applyFont="1" applyFill="1" applyBorder="1" applyAlignment="1" applyProtection="1">
      <alignment horizontal="left" vertical="center" indent="1"/>
    </xf>
    <xf numFmtId="0" fontId="9" fillId="4" borderId="99" xfId="0" applyFont="1" applyFill="1" applyBorder="1" applyAlignment="1">
      <alignment horizontal="left" vertical="center" indent="1"/>
    </xf>
    <xf numFmtId="0" fontId="0" fillId="0" borderId="99" xfId="0" applyBorder="1" applyAlignment="1">
      <alignment horizontal="left" vertical="center" indent="1"/>
    </xf>
    <xf numFmtId="0" fontId="0" fillId="0" borderId="99" xfId="0" applyBorder="1" applyAlignment="1">
      <alignment vertical="center"/>
    </xf>
    <xf numFmtId="0" fontId="9" fillId="4" borderId="99" xfId="0" applyFont="1" applyFill="1" applyBorder="1" applyAlignment="1">
      <alignment horizontal="left" vertical="center" wrapText="1" indent="1"/>
    </xf>
    <xf numFmtId="0" fontId="0" fillId="0" borderId="99" xfId="0" applyBorder="1" applyAlignment="1">
      <alignment horizontal="left" vertical="center" wrapText="1" indent="1"/>
    </xf>
    <xf numFmtId="42" fontId="9" fillId="4" borderId="99" xfId="2" applyNumberFormat="1" applyFill="1" applyBorder="1" applyAlignment="1">
      <alignment horizontal="center" vertical="center" wrapText="1"/>
    </xf>
    <xf numFmtId="164" fontId="9" fillId="4" borderId="99" xfId="10" applyNumberFormat="1" applyFont="1" applyFill="1" applyBorder="1" applyAlignment="1">
      <alignment horizontal="right" vertical="top"/>
    </xf>
    <xf numFmtId="0" fontId="9" fillId="0" borderId="0" xfId="2" applyAlignment="1">
      <alignment horizontal="center" vertical="center"/>
    </xf>
    <xf numFmtId="170" fontId="9" fillId="4" borderId="99" xfId="11" applyNumberFormat="1" applyFont="1" applyFill="1" applyBorder="1" applyAlignment="1">
      <alignment horizontal="left" vertical="center" indent="1"/>
    </xf>
    <xf numFmtId="43" fontId="21" fillId="0" borderId="99" xfId="1" applyFont="1" applyFill="1" applyBorder="1" applyAlignment="1" applyProtection="1">
      <alignment horizontal="center" vertical="center"/>
    </xf>
    <xf numFmtId="43" fontId="15" fillId="0" borderId="99" xfId="1" applyFont="1" applyFill="1" applyBorder="1" applyAlignment="1" applyProtection="1">
      <alignment vertical="center"/>
    </xf>
    <xf numFmtId="0" fontId="9" fillId="4" borderId="99" xfId="2" applyFill="1" applyBorder="1" applyAlignment="1">
      <alignment horizontal="center" vertical="center"/>
    </xf>
    <xf numFmtId="0" fontId="0" fillId="4" borderId="99" xfId="0" applyFill="1" applyBorder="1" applyAlignment="1">
      <alignment vertical="center"/>
    </xf>
    <xf numFmtId="0" fontId="0" fillId="4" borderId="99" xfId="0" applyFill="1" applyBorder="1" applyAlignment="1">
      <alignment horizontal="center" vertical="center"/>
    </xf>
    <xf numFmtId="42" fontId="21" fillId="4" borderId="99" xfId="2" applyNumberFormat="1" applyFont="1" applyFill="1" applyBorder="1" applyAlignment="1">
      <alignment horizontal="center" vertical="center" wrapText="1"/>
    </xf>
    <xf numFmtId="0" fontId="15" fillId="4" borderId="99" xfId="0" applyFont="1" applyFill="1" applyBorder="1" applyAlignment="1">
      <alignment vertical="center"/>
    </xf>
    <xf numFmtId="164" fontId="21" fillId="4" borderId="99" xfId="10" applyNumberFormat="1" applyFont="1" applyFill="1" applyBorder="1" applyAlignment="1">
      <alignment horizontal="right" vertical="center"/>
    </xf>
    <xf numFmtId="164" fontId="21" fillId="0" borderId="99" xfId="10" applyNumberFormat="1" applyFont="1" applyFill="1" applyBorder="1" applyAlignment="1">
      <alignment horizontal="center" vertical="center" wrapText="1"/>
    </xf>
    <xf numFmtId="0" fontId="9" fillId="0" borderId="0" xfId="2" applyAlignment="1">
      <alignment horizontal="left" vertical="top" wrapText="1"/>
    </xf>
    <xf numFmtId="0" fontId="0" fillId="0" borderId="0" xfId="0" applyAlignment="1">
      <alignment vertical="top" wrapText="1"/>
    </xf>
    <xf numFmtId="0" fontId="9" fillId="0" borderId="0" xfId="2" applyAlignment="1">
      <alignment horizontal="left" vertical="center" wrapText="1"/>
    </xf>
    <xf numFmtId="0" fontId="9" fillId="0" borderId="0" xfId="0" applyFont="1" applyAlignment="1">
      <alignment horizontal="left"/>
    </xf>
    <xf numFmtId="164" fontId="21" fillId="0" borderId="99" xfId="2" applyNumberFormat="1" applyFont="1" applyBorder="1" applyAlignment="1">
      <alignment horizontal="center" vertical="center"/>
    </xf>
    <xf numFmtId="0" fontId="15" fillId="0" borderId="99" xfId="0" applyFont="1" applyBorder="1" applyAlignment="1">
      <alignment vertical="center"/>
    </xf>
    <xf numFmtId="0" fontId="9" fillId="8" borderId="109" xfId="2" applyFill="1" applyBorder="1" applyAlignment="1">
      <alignment horizontal="center" vertical="center" wrapText="1"/>
    </xf>
    <xf numFmtId="49" fontId="9" fillId="8" borderId="109" xfId="2" applyNumberFormat="1" applyFill="1" applyBorder="1" applyAlignment="1">
      <alignment horizontal="center" vertical="center" wrapText="1"/>
    </xf>
    <xf numFmtId="49" fontId="9" fillId="8" borderId="110" xfId="2" applyNumberFormat="1" applyFill="1" applyBorder="1" applyAlignment="1">
      <alignment horizontal="center" vertical="center" wrapText="1"/>
    </xf>
    <xf numFmtId="0" fontId="9" fillId="4" borderId="113" xfId="2" applyFill="1" applyBorder="1" applyAlignment="1">
      <alignment horizontal="left" vertical="center" wrapText="1" indent="1"/>
    </xf>
    <xf numFmtId="0" fontId="9" fillId="4" borderId="114" xfId="2" applyFill="1" applyBorder="1" applyAlignment="1">
      <alignment horizontal="left" vertical="center" wrapText="1" indent="1"/>
    </xf>
    <xf numFmtId="164" fontId="21" fillId="0" borderId="114" xfId="10" applyNumberFormat="1" applyFont="1" applyFill="1" applyBorder="1" applyAlignment="1">
      <alignment horizontal="center" vertical="center"/>
    </xf>
    <xf numFmtId="0" fontId="35" fillId="0" borderId="114" xfId="0" applyFont="1" applyBorder="1" applyAlignment="1">
      <alignment horizontal="center" vertical="center"/>
    </xf>
    <xf numFmtId="0" fontId="9" fillId="0" borderId="0" xfId="2" applyAlignment="1">
      <alignment horizontal="center" vertical="center" wrapText="1"/>
    </xf>
    <xf numFmtId="49" fontId="9" fillId="8" borderId="99" xfId="2" applyNumberFormat="1" applyFill="1" applyBorder="1" applyAlignment="1">
      <alignment horizontal="center" vertical="center"/>
    </xf>
    <xf numFmtId="0" fontId="0" fillId="8" borderId="99" xfId="0" applyFill="1" applyBorder="1" applyAlignment="1">
      <alignment horizontal="center" vertical="center"/>
    </xf>
    <xf numFmtId="0" fontId="9" fillId="8" borderId="99" xfId="2" applyFill="1" applyBorder="1" applyAlignment="1">
      <alignment horizontal="left" vertical="center" indent="1"/>
    </xf>
    <xf numFmtId="49" fontId="9" fillId="0" borderId="0" xfId="2" applyNumberFormat="1" applyAlignment="1">
      <alignment horizontal="center" vertical="center" wrapText="1"/>
    </xf>
    <xf numFmtId="0" fontId="20" fillId="0" borderId="0" xfId="2" applyFont="1" applyAlignment="1">
      <alignment horizontal="left" vertical="top" wrapText="1"/>
    </xf>
    <xf numFmtId="0" fontId="9" fillId="0" borderId="0" xfId="2" applyAlignment="1">
      <alignment horizontal="left" vertical="top"/>
    </xf>
    <xf numFmtId="0" fontId="0" fillId="4" borderId="99" xfId="0" applyFill="1" applyBorder="1"/>
    <xf numFmtId="0" fontId="21" fillId="5" borderId="0" xfId="2" applyFont="1" applyFill="1" applyAlignment="1">
      <alignment horizontal="left" vertical="center" indent="1"/>
    </xf>
    <xf numFmtId="0" fontId="3" fillId="4" borderId="99" xfId="0" applyFont="1" applyFill="1" applyBorder="1" applyAlignment="1">
      <alignment horizontal="center" vertical="center"/>
    </xf>
    <xf numFmtId="0" fontId="3" fillId="4" borderId="99" xfId="0" applyFont="1" applyFill="1" applyBorder="1" applyAlignment="1">
      <alignment vertical="center"/>
    </xf>
    <xf numFmtId="193" fontId="21" fillId="44" borderId="99" xfId="2" applyNumberFormat="1" applyFont="1" applyFill="1" applyBorder="1" applyAlignment="1">
      <alignment horizontal="left" vertical="center" wrapText="1" indent="1"/>
    </xf>
    <xf numFmtId="193" fontId="21" fillId="6" borderId="99" xfId="2" applyNumberFormat="1" applyFont="1" applyFill="1" applyBorder="1" applyAlignment="1">
      <alignment horizontal="left" vertical="center" wrapText="1" indent="1"/>
    </xf>
    <xf numFmtId="193" fontId="21" fillId="44" borderId="99" xfId="2" applyNumberFormat="1" applyFont="1" applyFill="1" applyBorder="1" applyAlignment="1">
      <alignment horizontal="center" vertical="center"/>
    </xf>
    <xf numFmtId="193" fontId="21" fillId="5" borderId="99" xfId="2" applyNumberFormat="1" applyFont="1" applyFill="1" applyBorder="1" applyAlignment="1">
      <alignment horizontal="left" vertical="center" wrapText="1" indent="1"/>
    </xf>
    <xf numFmtId="0" fontId="20" fillId="0" borderId="105" xfId="2" applyFont="1" applyBorder="1" applyAlignment="1">
      <alignment horizontal="center" vertical="center"/>
    </xf>
    <xf numFmtId="193" fontId="21" fillId="5" borderId="99" xfId="0" applyNumberFormat="1" applyFont="1" applyFill="1" applyBorder="1" applyAlignment="1">
      <alignment horizontal="left" indent="1"/>
    </xf>
    <xf numFmtId="0" fontId="21" fillId="6" borderId="65" xfId="2" applyFont="1" applyFill="1" applyBorder="1" applyAlignment="1" applyProtection="1">
      <alignment horizontal="left" vertical="center" indent="1"/>
      <protection locked="0"/>
    </xf>
    <xf numFmtId="170" fontId="9" fillId="0" borderId="99" xfId="11" applyNumberFormat="1" applyFont="1" applyFill="1" applyBorder="1" applyAlignment="1">
      <alignment horizontal="right" vertical="center" wrapText="1"/>
    </xf>
    <xf numFmtId="170" fontId="9" fillId="0" borderId="99" xfId="2" applyNumberFormat="1" applyBorder="1" applyAlignment="1">
      <alignment horizontal="right" vertical="center" wrapText="1"/>
    </xf>
    <xf numFmtId="170" fontId="0" fillId="0" borderId="99" xfId="0" applyNumberFormat="1" applyBorder="1" applyAlignment="1">
      <alignment horizontal="right" vertical="center" wrapText="1"/>
    </xf>
    <xf numFmtId="0" fontId="21" fillId="6" borderId="106" xfId="2" applyFont="1" applyFill="1" applyBorder="1" applyAlignment="1" applyProtection="1">
      <alignment horizontal="left" vertical="center" wrapText="1"/>
      <protection locked="0"/>
    </xf>
    <xf numFmtId="0" fontId="0" fillId="0" borderId="106" xfId="0" applyBorder="1" applyAlignment="1" applyProtection="1">
      <alignment horizontal="left" vertical="center"/>
      <protection locked="0"/>
    </xf>
    <xf numFmtId="170" fontId="21" fillId="6" borderId="106" xfId="11" applyNumberFormat="1" applyFont="1" applyFill="1" applyBorder="1" applyAlignment="1" applyProtection="1">
      <alignment vertical="center" wrapText="1"/>
      <protection locked="0"/>
    </xf>
    <xf numFmtId="0" fontId="0" fillId="0" borderId="106" xfId="0" applyBorder="1" applyAlignment="1" applyProtection="1">
      <alignment vertical="center"/>
      <protection locked="0"/>
    </xf>
    <xf numFmtId="49" fontId="9" fillId="4" borderId="3" xfId="2" applyNumberFormat="1" applyFill="1" applyBorder="1" applyAlignment="1">
      <alignment horizontal="left" vertical="center" wrapText="1" indent="1"/>
    </xf>
    <xf numFmtId="0" fontId="9" fillId="4" borderId="12" xfId="0" applyFont="1" applyFill="1" applyBorder="1" applyAlignment="1">
      <alignment horizontal="left" vertical="center" indent="1"/>
    </xf>
    <xf numFmtId="0" fontId="0" fillId="5" borderId="99" xfId="0" applyFill="1" applyBorder="1" applyAlignment="1">
      <alignment horizontal="left" vertical="center" indent="1"/>
    </xf>
    <xf numFmtId="0" fontId="9" fillId="4" borderId="3" xfId="2" applyFill="1" applyBorder="1" applyAlignment="1">
      <alignment horizontal="left" vertical="center" wrapText="1" indent="1"/>
    </xf>
    <xf numFmtId="170" fontId="21" fillId="5" borderId="99" xfId="11" applyNumberFormat="1" applyFont="1" applyFill="1" applyBorder="1" applyAlignment="1" applyProtection="1">
      <alignment vertical="center"/>
    </xf>
    <xf numFmtId="0" fontId="9" fillId="5" borderId="0" xfId="2" applyFill="1" applyAlignment="1">
      <alignment horizontal="left" vertical="center" wrapText="1"/>
    </xf>
    <xf numFmtId="0" fontId="9" fillId="0" borderId="0" xfId="2" applyAlignment="1">
      <alignment horizontal="left" vertical="center"/>
    </xf>
    <xf numFmtId="3" fontId="9" fillId="0" borderId="0" xfId="2" applyNumberFormat="1" applyAlignment="1">
      <alignment horizontal="left" vertical="top" wrapText="1"/>
    </xf>
    <xf numFmtId="0" fontId="13" fillId="8" borderId="99" xfId="0" applyFont="1" applyFill="1" applyBorder="1" applyAlignment="1">
      <alignment horizontal="center" vertical="center" wrapText="1"/>
    </xf>
    <xf numFmtId="49" fontId="9" fillId="8" borderId="106" xfId="2" applyNumberFormat="1" applyFill="1" applyBorder="1" applyAlignment="1">
      <alignment horizontal="center" vertical="center" wrapText="1"/>
    </xf>
    <xf numFmtId="49" fontId="9" fillId="8" borderId="103" xfId="2" applyNumberFormat="1" applyFill="1" applyBorder="1" applyAlignment="1">
      <alignment horizontal="center" vertical="center" wrapText="1"/>
    </xf>
    <xf numFmtId="0" fontId="13" fillId="0" borderId="99" xfId="0" applyFont="1" applyBorder="1" applyAlignment="1">
      <alignment vertical="center"/>
    </xf>
    <xf numFmtId="170" fontId="21" fillId="6" borderId="99" xfId="11" applyNumberFormat="1" applyFont="1" applyFill="1" applyBorder="1" applyAlignment="1" applyProtection="1">
      <alignment vertical="center" wrapText="1"/>
      <protection locked="0"/>
    </xf>
    <xf numFmtId="0" fontId="0" fillId="0" borderId="99" xfId="0" applyBorder="1" applyAlignment="1" applyProtection="1">
      <alignment vertical="center"/>
      <protection locked="0"/>
    </xf>
    <xf numFmtId="0" fontId="13" fillId="8" borderId="99" xfId="0" applyFont="1" applyFill="1" applyBorder="1" applyAlignment="1">
      <alignment vertical="center"/>
    </xf>
    <xf numFmtId="0" fontId="81" fillId="8" borderId="99" xfId="0" applyFont="1" applyFill="1" applyBorder="1" applyAlignment="1">
      <alignment vertical="center"/>
    </xf>
    <xf numFmtId="0" fontId="9" fillId="4" borderId="99" xfId="2" applyFill="1" applyBorder="1" applyAlignment="1">
      <alignment horizontal="left" vertical="center"/>
    </xf>
    <xf numFmtId="164" fontId="21" fillId="5" borderId="99" xfId="10" applyNumberFormat="1" applyFont="1" applyFill="1" applyBorder="1" applyAlignment="1">
      <alignment horizontal="center" vertical="center" wrapText="1"/>
    </xf>
    <xf numFmtId="0" fontId="35" fillId="5" borderId="99" xfId="0" applyFont="1" applyFill="1" applyBorder="1" applyAlignment="1">
      <alignment vertical="center" wrapText="1"/>
    </xf>
    <xf numFmtId="3" fontId="9" fillId="5" borderId="3" xfId="2" applyNumberFormat="1" applyFill="1" applyBorder="1" applyAlignment="1">
      <alignment horizontal="left" vertical="center" wrapText="1"/>
    </xf>
    <xf numFmtId="0" fontId="0" fillId="0" borderId="12" xfId="0" applyBorder="1" applyAlignment="1">
      <alignment horizontal="left" vertical="center" wrapText="1"/>
    </xf>
    <xf numFmtId="0" fontId="0" fillId="0" borderId="11" xfId="0" applyBorder="1" applyAlignment="1">
      <alignment horizontal="left" vertical="center" wrapText="1"/>
    </xf>
    <xf numFmtId="0" fontId="25" fillId="0" borderId="0" xfId="2" applyFont="1" applyAlignment="1">
      <alignment horizontal="left" vertical="top" wrapText="1"/>
    </xf>
    <xf numFmtId="3" fontId="9" fillId="5" borderId="0" xfId="2" applyNumberFormat="1" applyFill="1" applyAlignment="1">
      <alignment horizontal="left" vertical="center" wrapText="1"/>
    </xf>
    <xf numFmtId="3" fontId="9" fillId="9" borderId="0" xfId="2" applyNumberFormat="1" applyFill="1" applyAlignment="1">
      <alignment horizontal="left" vertical="top" wrapText="1"/>
    </xf>
    <xf numFmtId="3" fontId="9" fillId="5" borderId="0" xfId="2" applyNumberFormat="1" applyFill="1" applyAlignment="1">
      <alignment horizontal="left" vertical="top" wrapText="1"/>
    </xf>
    <xf numFmtId="0" fontId="9" fillId="5" borderId="0" xfId="2" applyFill="1" applyAlignment="1">
      <alignment horizontal="left" vertical="top" wrapText="1"/>
    </xf>
    <xf numFmtId="0" fontId="0" fillId="4" borderId="99" xfId="0" applyFill="1" applyBorder="1" applyAlignment="1">
      <alignment horizontal="center" vertical="center" wrapText="1"/>
    </xf>
    <xf numFmtId="0" fontId="9" fillId="0" borderId="105" xfId="2" applyBorder="1" applyAlignment="1">
      <alignment horizontal="left" vertical="top" wrapText="1"/>
    </xf>
    <xf numFmtId="49" fontId="20" fillId="8" borderId="99" xfId="2" applyNumberFormat="1" applyFont="1" applyFill="1" applyBorder="1" applyAlignment="1">
      <alignment horizontal="center" vertical="center" wrapText="1"/>
    </xf>
    <xf numFmtId="0" fontId="9" fillId="8" borderId="99" xfId="2" applyFill="1" applyBorder="1" applyAlignment="1">
      <alignment horizontal="left" vertical="center"/>
    </xf>
    <xf numFmtId="3" fontId="9" fillId="8" borderId="99" xfId="2" applyNumberFormat="1" applyFill="1" applyBorder="1" applyAlignment="1">
      <alignment horizontal="left" vertical="center" wrapText="1"/>
    </xf>
    <xf numFmtId="49" fontId="20" fillId="0" borderId="0" xfId="2" applyNumberFormat="1" applyFont="1" applyAlignment="1">
      <alignment horizontal="left" vertical="top"/>
    </xf>
    <xf numFmtId="0" fontId="20" fillId="0" borderId="0" xfId="2" applyFont="1" applyAlignment="1">
      <alignment horizontal="left" vertical="top"/>
    </xf>
    <xf numFmtId="0" fontId="9" fillId="9" borderId="0" xfId="2" applyFill="1" applyAlignment="1">
      <alignment horizontal="left" vertical="top" wrapText="1"/>
    </xf>
    <xf numFmtId="0" fontId="9" fillId="4" borderId="99" xfId="2" applyFill="1" applyBorder="1"/>
    <xf numFmtId="0" fontId="9" fillId="4" borderId="99" xfId="0" applyFont="1" applyFill="1" applyBorder="1" applyAlignment="1">
      <alignment vertical="center"/>
    </xf>
    <xf numFmtId="0" fontId="9" fillId="4" borderId="99" xfId="2" applyFill="1" applyBorder="1" applyAlignment="1">
      <alignment horizontal="left" vertical="center" wrapText="1"/>
    </xf>
    <xf numFmtId="0" fontId="13" fillId="0" borderId="99" xfId="0" applyFont="1" applyBorder="1" applyAlignment="1">
      <alignment horizontal="left" vertical="center" wrapText="1"/>
    </xf>
    <xf numFmtId="0" fontId="13" fillId="0" borderId="99" xfId="0" applyFont="1" applyBorder="1" applyAlignment="1">
      <alignment horizontal="left" vertical="center"/>
    </xf>
    <xf numFmtId="0" fontId="9" fillId="4" borderId="99" xfId="0" applyFont="1" applyFill="1" applyBorder="1" applyAlignment="1">
      <alignment horizontal="center" vertical="center" wrapText="1"/>
    </xf>
    <xf numFmtId="0" fontId="9" fillId="4" borderId="99" xfId="0" applyFont="1" applyFill="1" applyBorder="1"/>
    <xf numFmtId="0" fontId="0" fillId="0" borderId="99" xfId="0" applyBorder="1"/>
    <xf numFmtId="3" fontId="21" fillId="6" borderId="99" xfId="2" applyNumberFormat="1" applyFont="1" applyFill="1" applyBorder="1" applyAlignment="1" applyProtection="1">
      <alignment horizontal="left" vertical="center" wrapText="1"/>
      <protection locked="0"/>
    </xf>
    <xf numFmtId="0" fontId="21" fillId="6" borderId="99" xfId="2" applyFont="1" applyFill="1" applyBorder="1" applyProtection="1">
      <protection locked="0"/>
    </xf>
    <xf numFmtId="170" fontId="21" fillId="6" borderId="99" xfId="11" applyNumberFormat="1" applyFont="1" applyFill="1" applyBorder="1" applyAlignment="1" applyProtection="1">
      <alignment horizontal="center" vertical="center" wrapText="1"/>
      <protection locked="0"/>
    </xf>
    <xf numFmtId="170" fontId="21" fillId="6" borderId="99" xfId="0" applyNumberFormat="1" applyFont="1" applyFill="1" applyBorder="1" applyAlignment="1" applyProtection="1">
      <alignment horizontal="center"/>
      <protection locked="0"/>
    </xf>
    <xf numFmtId="170" fontId="35" fillId="6" borderId="99" xfId="0" applyNumberFormat="1" applyFont="1" applyFill="1" applyBorder="1" applyAlignment="1" applyProtection="1">
      <alignment horizontal="center"/>
      <protection locked="0"/>
    </xf>
    <xf numFmtId="0" fontId="0" fillId="0" borderId="0" xfId="0" applyAlignment="1">
      <alignment horizontal="left" vertical="center"/>
    </xf>
    <xf numFmtId="3" fontId="9" fillId="0" borderId="0" xfId="2" applyNumberFormat="1" applyAlignment="1">
      <alignment horizontal="left" vertical="center" wrapText="1" indent="1"/>
    </xf>
    <xf numFmtId="0" fontId="9" fillId="0" borderId="0" xfId="2" applyAlignment="1">
      <alignment horizontal="left" vertical="center" indent="1"/>
    </xf>
    <xf numFmtId="0" fontId="9" fillId="5" borderId="0" xfId="2" applyFill="1" applyAlignment="1">
      <alignment horizontal="left" vertical="center" wrapText="1" indent="4"/>
    </xf>
    <xf numFmtId="0" fontId="9" fillId="5" borderId="0" xfId="2" applyFill="1" applyAlignment="1">
      <alignment horizontal="left" vertical="top" wrapText="1" indent="4"/>
    </xf>
    <xf numFmtId="0" fontId="3" fillId="8" borderId="3"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3" fillId="8" borderId="11" xfId="0" applyFont="1" applyFill="1" applyBorder="1" applyAlignment="1">
      <alignment horizontal="left" vertical="center" wrapText="1"/>
    </xf>
    <xf numFmtId="0" fontId="3" fillId="6" borderId="3" xfId="0" applyFont="1" applyFill="1" applyBorder="1" applyAlignment="1">
      <alignment horizontal="center" vertical="center" wrapText="1"/>
    </xf>
    <xf numFmtId="0" fontId="3" fillId="0" borderId="12" xfId="0" applyFont="1" applyBorder="1" applyAlignment="1">
      <alignment horizontal="center" vertical="center" wrapText="1"/>
    </xf>
    <xf numFmtId="0" fontId="3" fillId="0" borderId="11" xfId="0" applyFont="1" applyBorder="1" applyAlignment="1">
      <alignment horizontal="center" vertical="center" wrapText="1"/>
    </xf>
    <xf numFmtId="0" fontId="9" fillId="4" borderId="3" xfId="2" applyFill="1" applyBorder="1" applyAlignment="1">
      <alignment horizontal="left" vertical="center" wrapText="1"/>
    </xf>
    <xf numFmtId="0" fontId="9" fillId="4" borderId="12" xfId="2" applyFill="1" applyBorder="1" applyAlignment="1">
      <alignment horizontal="left" vertical="center" wrapText="1"/>
    </xf>
    <xf numFmtId="0" fontId="9" fillId="4" borderId="11" xfId="2" applyFill="1" applyBorder="1" applyAlignment="1">
      <alignment horizontal="left" vertical="center" wrapText="1"/>
    </xf>
    <xf numFmtId="0" fontId="30" fillId="0" borderId="0" xfId="0" applyFont="1" applyAlignment="1">
      <alignment horizontal="left" vertical="center" wrapText="1" indent="4"/>
    </xf>
    <xf numFmtId="0" fontId="9" fillId="6" borderId="3" xfId="2" applyFill="1" applyBorder="1" applyAlignment="1" applyProtection="1">
      <alignment horizontal="left" vertical="center"/>
      <protection locked="0"/>
    </xf>
    <xf numFmtId="0" fontId="9" fillId="6" borderId="12" xfId="2" applyFill="1" applyBorder="1" applyAlignment="1" applyProtection="1">
      <alignment horizontal="left" vertical="center"/>
      <protection locked="0"/>
    </xf>
    <xf numFmtId="0" fontId="9" fillId="6" borderId="3" xfId="2" applyFill="1" applyBorder="1" applyAlignment="1" applyProtection="1">
      <alignment horizontal="left" vertical="center" wrapText="1"/>
      <protection locked="0"/>
    </xf>
    <xf numFmtId="0" fontId="9" fillId="6" borderId="12" xfId="2" applyFill="1" applyBorder="1" applyAlignment="1" applyProtection="1">
      <alignment horizontal="left" vertical="center" wrapText="1"/>
      <protection locked="0"/>
    </xf>
    <xf numFmtId="0" fontId="9" fillId="6" borderId="11" xfId="2" applyFill="1" applyBorder="1" applyAlignment="1" applyProtection="1">
      <alignment horizontal="left" vertical="center" wrapText="1"/>
      <protection locked="0"/>
    </xf>
    <xf numFmtId="0" fontId="9" fillId="6" borderId="3" xfId="2" applyFill="1" applyBorder="1" applyAlignment="1" applyProtection="1">
      <alignment horizontal="left" vertical="center" wrapText="1" indent="1"/>
      <protection locked="0"/>
    </xf>
    <xf numFmtId="0" fontId="9" fillId="6" borderId="12" xfId="2" applyFill="1" applyBorder="1" applyAlignment="1" applyProtection="1">
      <alignment horizontal="left" vertical="center" wrapText="1" indent="1"/>
      <protection locked="0"/>
    </xf>
    <xf numFmtId="0" fontId="9" fillId="6" borderId="11" xfId="2" applyFill="1" applyBorder="1" applyAlignment="1" applyProtection="1">
      <alignment horizontal="left" vertical="center" wrapText="1" indent="1"/>
      <protection locked="0"/>
    </xf>
    <xf numFmtId="0" fontId="9" fillId="9" borderId="10" xfId="2" applyFill="1" applyBorder="1" applyAlignment="1">
      <alignment horizontal="left" vertical="top" wrapText="1"/>
    </xf>
    <xf numFmtId="0" fontId="154" fillId="0" borderId="0" xfId="0" applyFont="1" applyAlignment="1">
      <alignment horizontal="left" vertical="top" wrapText="1"/>
    </xf>
    <xf numFmtId="0" fontId="3" fillId="8" borderId="3" xfId="0" applyFont="1" applyFill="1" applyBorder="1" applyAlignment="1">
      <alignment horizontal="left" vertical="center" wrapText="1" indent="1"/>
    </xf>
    <xf numFmtId="0" fontId="3" fillId="8" borderId="12" xfId="0" applyFont="1" applyFill="1" applyBorder="1" applyAlignment="1">
      <alignment horizontal="left" vertical="center" wrapText="1" indent="1"/>
    </xf>
    <xf numFmtId="0" fontId="89" fillId="0" borderId="12" xfId="0" applyFont="1" applyBorder="1" applyAlignment="1">
      <alignment horizontal="left" vertical="center" wrapText="1" indent="1"/>
    </xf>
    <xf numFmtId="0" fontId="89" fillId="0" borderId="11" xfId="0" applyFont="1" applyBorder="1" applyAlignment="1">
      <alignment horizontal="left" vertical="center" wrapText="1" indent="1"/>
    </xf>
    <xf numFmtId="0" fontId="3" fillId="6" borderId="3" xfId="0" applyFont="1" applyFill="1" applyBorder="1" applyAlignment="1" applyProtection="1">
      <alignment horizontal="center" vertical="center" wrapText="1"/>
      <protection locked="0"/>
    </xf>
    <xf numFmtId="0" fontId="3" fillId="0" borderId="12" xfId="0" applyFont="1" applyBorder="1" applyAlignment="1" applyProtection="1">
      <alignment horizontal="center" vertical="center" wrapText="1"/>
      <protection locked="0"/>
    </xf>
    <xf numFmtId="0" fontId="3" fillId="0" borderId="11" xfId="0" applyFont="1" applyBorder="1" applyAlignment="1" applyProtection="1">
      <alignment horizontal="center" vertical="center" wrapText="1"/>
      <protection locked="0"/>
    </xf>
    <xf numFmtId="3" fontId="9" fillId="5" borderId="0" xfId="18" applyNumberFormat="1" applyFont="1" applyFill="1" applyAlignment="1">
      <alignment horizontal="left" vertical="top" wrapText="1" indent="4"/>
    </xf>
    <xf numFmtId="0" fontId="3" fillId="6" borderId="12" xfId="0" applyFont="1" applyFill="1" applyBorder="1" applyAlignment="1">
      <alignment horizontal="center" vertical="center" wrapText="1"/>
    </xf>
    <xf numFmtId="0" fontId="3" fillId="6" borderId="11" xfId="0" applyFont="1" applyFill="1" applyBorder="1" applyAlignment="1">
      <alignment horizontal="center" vertical="center" wrapText="1"/>
    </xf>
    <xf numFmtId="0" fontId="26" fillId="8" borderId="3" xfId="2" applyFont="1" applyFill="1" applyBorder="1" applyAlignment="1">
      <alignment horizontal="left" vertical="center" wrapText="1" indent="1"/>
    </xf>
    <xf numFmtId="0" fontId="26" fillId="8" borderId="12" xfId="2" applyFont="1" applyFill="1" applyBorder="1" applyAlignment="1">
      <alignment horizontal="left" vertical="center" wrapText="1" indent="1"/>
    </xf>
    <xf numFmtId="0" fontId="26" fillId="8" borderId="11" xfId="2" applyFont="1" applyFill="1" applyBorder="1" applyAlignment="1">
      <alignment horizontal="left" vertical="center" wrapText="1" indent="1"/>
    </xf>
    <xf numFmtId="0" fontId="25" fillId="0" borderId="0" xfId="0" applyFont="1" applyAlignment="1">
      <alignment horizontal="left" vertical="top" wrapText="1"/>
    </xf>
    <xf numFmtId="0" fontId="3" fillId="8" borderId="11" xfId="0" applyFont="1" applyFill="1" applyBorder="1" applyAlignment="1">
      <alignment horizontal="left" vertical="center" wrapText="1" indent="1"/>
    </xf>
    <xf numFmtId="0" fontId="3" fillId="8" borderId="3" xfId="0" applyFont="1" applyFill="1" applyBorder="1" applyAlignment="1">
      <alignment horizontal="left" vertical="center" indent="1"/>
    </xf>
    <xf numFmtId="0" fontId="3" fillId="8" borderId="12" xfId="0" applyFont="1" applyFill="1" applyBorder="1" applyAlignment="1">
      <alignment horizontal="left" vertical="center" indent="1"/>
    </xf>
    <xf numFmtId="0" fontId="3" fillId="8" borderId="11" xfId="0" applyFont="1" applyFill="1" applyBorder="1" applyAlignment="1">
      <alignment horizontal="left" vertical="center" indent="1"/>
    </xf>
    <xf numFmtId="0" fontId="3" fillId="5" borderId="0" xfId="0" applyFont="1" applyFill="1" applyAlignment="1">
      <alignment horizontal="left" vertical="center" wrapText="1"/>
    </xf>
    <xf numFmtId="0" fontId="89" fillId="0" borderId="0" xfId="0" applyFont="1" applyAlignment="1">
      <alignment horizontal="left" vertical="center" wrapText="1"/>
    </xf>
    <xf numFmtId="0" fontId="9" fillId="6" borderId="3" xfId="2" applyFill="1" applyBorder="1" applyAlignment="1" applyProtection="1">
      <alignment horizontal="left" vertical="center" indent="1"/>
      <protection locked="0"/>
    </xf>
    <xf numFmtId="0" fontId="9" fillId="6" borderId="12" xfId="2" applyFill="1" applyBorder="1" applyAlignment="1" applyProtection="1">
      <alignment horizontal="left" vertical="center" indent="1"/>
      <protection locked="0"/>
    </xf>
    <xf numFmtId="0" fontId="9" fillId="6" borderId="11" xfId="2" applyFill="1" applyBorder="1" applyAlignment="1" applyProtection="1">
      <alignment horizontal="left" vertical="center" indent="1"/>
      <protection locked="0"/>
    </xf>
    <xf numFmtId="0" fontId="3" fillId="6" borderId="3" xfId="0" applyFont="1" applyFill="1" applyBorder="1" applyAlignment="1" applyProtection="1">
      <alignment horizontal="left"/>
      <protection locked="0"/>
    </xf>
    <xf numFmtId="0" fontId="3" fillId="0" borderId="11" xfId="0" applyFont="1" applyBorder="1" applyAlignment="1" applyProtection="1">
      <alignment horizontal="left"/>
      <protection locked="0"/>
    </xf>
    <xf numFmtId="0" fontId="21" fillId="6" borderId="3" xfId="2" applyFont="1" applyFill="1" applyBorder="1" applyAlignment="1" applyProtection="1">
      <alignment horizontal="left" vertical="center" wrapText="1"/>
      <protection locked="0"/>
    </xf>
    <xf numFmtId="0" fontId="21" fillId="6" borderId="12" xfId="2" applyFont="1" applyFill="1" applyBorder="1" applyAlignment="1" applyProtection="1">
      <alignment horizontal="left" vertical="center" wrapText="1"/>
      <protection locked="0"/>
    </xf>
    <xf numFmtId="0" fontId="21" fillId="6" borderId="11" xfId="2" applyFont="1" applyFill="1" applyBorder="1" applyAlignment="1" applyProtection="1">
      <alignment horizontal="left" vertical="center" wrapText="1"/>
      <protection locked="0"/>
    </xf>
    <xf numFmtId="0" fontId="9" fillId="6" borderId="3" xfId="0" applyFont="1" applyFill="1" applyBorder="1" applyAlignment="1" applyProtection="1">
      <alignment horizontal="left" vertical="center"/>
      <protection locked="0"/>
    </xf>
    <xf numFmtId="0" fontId="9" fillId="6" borderId="11" xfId="0" applyFont="1" applyFill="1" applyBorder="1" applyAlignment="1" applyProtection="1">
      <alignment horizontal="left" vertical="center"/>
      <protection locked="0"/>
    </xf>
    <xf numFmtId="0" fontId="78" fillId="0" borderId="2" xfId="0" applyFont="1" applyBorder="1" applyAlignment="1">
      <alignment horizontal="left" wrapText="1"/>
    </xf>
    <xf numFmtId="0" fontId="9" fillId="5" borderId="4" xfId="2" applyFill="1" applyBorder="1" applyAlignment="1">
      <alignment horizontal="left" vertical="center"/>
    </xf>
    <xf numFmtId="0" fontId="3" fillId="47" borderId="4" xfId="0" applyFont="1" applyFill="1" applyBorder="1" applyAlignment="1">
      <alignment horizontal="center" vertical="center"/>
    </xf>
    <xf numFmtId="0" fontId="3" fillId="47" borderId="4" xfId="0" applyFont="1" applyFill="1" applyBorder="1" applyAlignment="1">
      <alignment horizontal="center" vertical="center" wrapText="1"/>
    </xf>
    <xf numFmtId="0" fontId="3" fillId="5" borderId="0" xfId="0" applyFont="1" applyFill="1" applyAlignment="1">
      <alignment vertical="center" wrapText="1"/>
    </xf>
    <xf numFmtId="0" fontId="3" fillId="0" borderId="0" xfId="0" applyFont="1" applyAlignment="1">
      <alignment vertical="center" wrapText="1"/>
    </xf>
    <xf numFmtId="0" fontId="3" fillId="6" borderId="4" xfId="0" applyFont="1" applyFill="1" applyBorder="1" applyAlignment="1">
      <alignment vertical="center" wrapText="1"/>
    </xf>
    <xf numFmtId="0" fontId="9" fillId="6" borderId="4" xfId="2" applyFill="1" applyBorder="1" applyAlignment="1" applyProtection="1">
      <alignment horizontal="left" vertical="center"/>
      <protection locked="0"/>
    </xf>
    <xf numFmtId="0" fontId="3" fillId="44" borderId="4" xfId="0" applyFont="1" applyFill="1" applyBorder="1" applyAlignment="1">
      <alignment horizontal="left"/>
    </xf>
    <xf numFmtId="0" fontId="3" fillId="43" borderId="4" xfId="0" applyFont="1" applyFill="1" applyBorder="1" applyAlignment="1">
      <alignment horizontal="left"/>
    </xf>
    <xf numFmtId="0" fontId="3" fillId="44" borderId="4" xfId="0" applyFont="1" applyFill="1" applyBorder="1" applyAlignment="1">
      <alignment horizontal="center"/>
    </xf>
    <xf numFmtId="0" fontId="3" fillId="43" borderId="4" xfId="0" applyFont="1" applyFill="1" applyBorder="1" applyAlignment="1">
      <alignment horizontal="center"/>
    </xf>
    <xf numFmtId="0" fontId="0" fillId="42" borderId="228" xfId="0" applyFill="1" applyBorder="1" applyAlignment="1">
      <alignment horizontal="center"/>
    </xf>
    <xf numFmtId="0" fontId="0" fillId="42" borderId="229" xfId="0" applyFill="1" applyBorder="1" applyAlignment="1">
      <alignment horizontal="center"/>
    </xf>
    <xf numFmtId="0" fontId="0" fillId="42" borderId="230" xfId="0" applyFill="1" applyBorder="1" applyAlignment="1">
      <alignment horizontal="center"/>
    </xf>
    <xf numFmtId="0" fontId="9" fillId="47" borderId="4" xfId="2" applyFill="1" applyBorder="1" applyAlignment="1">
      <alignment horizontal="center" vertical="center" wrapText="1"/>
    </xf>
    <xf numFmtId="0" fontId="20" fillId="47" borderId="4" xfId="2" applyFont="1" applyFill="1" applyBorder="1" applyAlignment="1">
      <alignment horizontal="center" vertical="center" wrapText="1"/>
    </xf>
    <xf numFmtId="0" fontId="17" fillId="5" borderId="0" xfId="2" applyFont="1" applyFill="1" applyAlignment="1">
      <alignment horizontal="left" vertical="top" wrapText="1"/>
    </xf>
    <xf numFmtId="0" fontId="99" fillId="0" borderId="0" xfId="0" applyFont="1" applyAlignment="1">
      <alignment horizontal="left" vertical="top" wrapText="1"/>
    </xf>
    <xf numFmtId="0" fontId="89" fillId="47" borderId="4" xfId="0" applyFont="1" applyFill="1" applyBorder="1" applyAlignment="1">
      <alignment horizontal="center" vertical="center"/>
    </xf>
    <xf numFmtId="0" fontId="3" fillId="6" borderId="4" xfId="0" applyFont="1" applyFill="1" applyBorder="1" applyAlignment="1" applyProtection="1">
      <alignment horizontal="left" vertical="center"/>
      <protection locked="0"/>
    </xf>
    <xf numFmtId="0" fontId="3" fillId="47" borderId="4" xfId="0" applyFont="1" applyFill="1" applyBorder="1" applyAlignment="1">
      <alignment horizontal="left" vertical="center" indent="1"/>
    </xf>
    <xf numFmtId="0" fontId="9" fillId="5" borderId="0" xfId="0" applyFont="1" applyFill="1" applyAlignment="1">
      <alignment vertical="top" wrapText="1"/>
    </xf>
    <xf numFmtId="0" fontId="9" fillId="0" borderId="0" xfId="0" applyFont="1" applyAlignment="1">
      <alignment vertical="top" wrapText="1"/>
    </xf>
    <xf numFmtId="0" fontId="3" fillId="0" borderId="0" xfId="0" applyFont="1" applyAlignment="1">
      <alignment vertical="center"/>
    </xf>
    <xf numFmtId="0" fontId="3" fillId="5" borderId="4" xfId="0" applyFont="1" applyFill="1" applyBorder="1" applyAlignment="1">
      <alignment vertical="center"/>
    </xf>
    <xf numFmtId="0" fontId="3" fillId="47" borderId="4" xfId="0" applyFont="1" applyFill="1" applyBorder="1" applyAlignment="1">
      <alignment vertical="center"/>
    </xf>
    <xf numFmtId="0" fontId="3" fillId="0" borderId="4" xfId="0" applyFont="1" applyBorder="1" applyAlignment="1">
      <alignment vertical="center"/>
    </xf>
    <xf numFmtId="0" fontId="3" fillId="5" borderId="0" xfId="0" applyFont="1" applyFill="1" applyAlignment="1">
      <alignment horizontal="left" vertical="top" wrapText="1"/>
    </xf>
    <xf numFmtId="0" fontId="3" fillId="47" borderId="8" xfId="0" applyFont="1" applyFill="1" applyBorder="1" applyAlignment="1">
      <alignment horizontal="center" vertical="center" wrapText="1"/>
    </xf>
    <xf numFmtId="0" fontId="3" fillId="47" borderId="13" xfId="0" applyFont="1" applyFill="1" applyBorder="1" applyAlignment="1">
      <alignment horizontal="center" vertical="center" wrapText="1"/>
    </xf>
    <xf numFmtId="0" fontId="3" fillId="47" borderId="9" xfId="0" applyFont="1" applyFill="1" applyBorder="1" applyAlignment="1">
      <alignment horizontal="center" vertical="center" wrapText="1"/>
    </xf>
    <xf numFmtId="0" fontId="3" fillId="47" borderId="15" xfId="0" applyFont="1" applyFill="1" applyBorder="1" applyAlignment="1">
      <alignment horizontal="center" vertical="center" wrapText="1"/>
    </xf>
    <xf numFmtId="0" fontId="3" fillId="47" borderId="3" xfId="0" applyFont="1" applyFill="1" applyBorder="1" applyAlignment="1">
      <alignment horizontal="center" vertical="center" wrapText="1"/>
    </xf>
    <xf numFmtId="0" fontId="3" fillId="47" borderId="12" xfId="0" applyFont="1" applyFill="1" applyBorder="1" applyAlignment="1">
      <alignment horizontal="center" vertical="center" wrapText="1"/>
    </xf>
    <xf numFmtId="0" fontId="3" fillId="47" borderId="11" xfId="0" applyFont="1" applyFill="1" applyBorder="1" applyAlignment="1">
      <alignment horizontal="center" vertical="center" wrapText="1"/>
    </xf>
    <xf numFmtId="0" fontId="89" fillId="47" borderId="3" xfId="0" applyFont="1" applyFill="1" applyBorder="1" applyAlignment="1">
      <alignment horizontal="center" vertical="center" wrapText="1"/>
    </xf>
    <xf numFmtId="0" fontId="89" fillId="47" borderId="11" xfId="0" applyFont="1" applyFill="1" applyBorder="1" applyAlignment="1">
      <alignment horizontal="center" vertical="center" wrapText="1"/>
    </xf>
    <xf numFmtId="0" fontId="3" fillId="47" borderId="6" xfId="0" applyFont="1" applyFill="1" applyBorder="1" applyAlignment="1">
      <alignment horizontal="center" vertical="center" wrapText="1"/>
    </xf>
    <xf numFmtId="0" fontId="3" fillId="47" borderId="40" xfId="0" applyFont="1" applyFill="1" applyBorder="1" applyAlignment="1">
      <alignment horizontal="center" vertical="center" wrapText="1"/>
    </xf>
    <xf numFmtId="0" fontId="3" fillId="47" borderId="5" xfId="0" applyFont="1" applyFill="1" applyBorder="1" applyAlignment="1">
      <alignment horizontal="center" vertical="center" wrapText="1"/>
    </xf>
    <xf numFmtId="3" fontId="35" fillId="5" borderId="3" xfId="0" applyNumberFormat="1" applyFont="1" applyFill="1" applyBorder="1" applyAlignment="1">
      <alignment horizontal="center" vertical="center"/>
    </xf>
    <xf numFmtId="3" fontId="35" fillId="5" borderId="11" xfId="0" applyNumberFormat="1" applyFont="1" applyFill="1" applyBorder="1" applyAlignment="1">
      <alignment horizontal="center" vertical="center"/>
    </xf>
    <xf numFmtId="2" fontId="35" fillId="6" borderId="3" xfId="0" applyNumberFormat="1" applyFont="1" applyFill="1" applyBorder="1" applyAlignment="1" applyProtection="1">
      <alignment horizontal="center" vertical="center"/>
      <protection locked="0"/>
    </xf>
    <xf numFmtId="2" fontId="35" fillId="6" borderId="11" xfId="0" applyNumberFormat="1" applyFont="1" applyFill="1" applyBorder="1" applyAlignment="1" applyProtection="1">
      <alignment horizontal="center" vertical="center"/>
      <protection locked="0"/>
    </xf>
    <xf numFmtId="1" fontId="35" fillId="6" borderId="3" xfId="0" applyNumberFormat="1" applyFont="1" applyFill="1" applyBorder="1" applyAlignment="1" applyProtection="1">
      <alignment horizontal="center" vertical="center"/>
      <protection locked="0"/>
    </xf>
    <xf numFmtId="1" fontId="35" fillId="6" borderId="11" xfId="0" applyNumberFormat="1" applyFont="1" applyFill="1" applyBorder="1" applyAlignment="1" applyProtection="1">
      <alignment horizontal="center" vertical="center"/>
      <protection locked="0"/>
    </xf>
    <xf numFmtId="0" fontId="78" fillId="5" borderId="2" xfId="0" applyFont="1" applyFill="1" applyBorder="1" applyAlignment="1">
      <alignment horizontal="left" vertical="center" wrapText="1"/>
    </xf>
    <xf numFmtId="0" fontId="20" fillId="47" borderId="6" xfId="0" applyFont="1" applyFill="1" applyBorder="1" applyAlignment="1">
      <alignment horizontal="center" vertical="center" wrapText="1"/>
    </xf>
    <xf numFmtId="0" fontId="20" fillId="47" borderId="5" xfId="0" applyFont="1" applyFill="1" applyBorder="1" applyAlignment="1">
      <alignment horizontal="center" vertical="center" wrapText="1"/>
    </xf>
    <xf numFmtId="0" fontId="20" fillId="47" borderId="40" xfId="0" applyFont="1" applyFill="1" applyBorder="1" applyAlignment="1">
      <alignment horizontal="center" vertical="center" wrapText="1"/>
    </xf>
    <xf numFmtId="0" fontId="9" fillId="47" borderId="3" xfId="2" applyFill="1" applyBorder="1" applyAlignment="1">
      <alignment horizontal="center" vertical="center" wrapText="1"/>
    </xf>
    <xf numFmtId="0" fontId="9" fillId="47" borderId="11" xfId="2" applyFill="1" applyBorder="1" applyAlignment="1">
      <alignment horizontal="center" vertical="center" wrapText="1"/>
    </xf>
    <xf numFmtId="0" fontId="9" fillId="47" borderId="4" xfId="0" applyFont="1" applyFill="1" applyBorder="1" applyAlignment="1">
      <alignment horizontal="center" vertical="center" wrapText="1"/>
    </xf>
    <xf numFmtId="0" fontId="9" fillId="47" borderId="4" xfId="2" applyFill="1" applyBorder="1" applyAlignment="1">
      <alignment horizontal="left" vertical="center"/>
    </xf>
    <xf numFmtId="0" fontId="9" fillId="4" borderId="3" xfId="2" applyFill="1" applyBorder="1" applyAlignment="1">
      <alignment horizontal="left" vertical="center"/>
    </xf>
    <xf numFmtId="0" fontId="9" fillId="4" borderId="12" xfId="2" applyFill="1" applyBorder="1" applyAlignment="1">
      <alignment horizontal="left" vertical="center"/>
    </xf>
    <xf numFmtId="0" fontId="9" fillId="4" borderId="11" xfId="2" applyFill="1" applyBorder="1" applyAlignment="1">
      <alignment horizontal="left" vertical="center"/>
    </xf>
    <xf numFmtId="0" fontId="89" fillId="47" borderId="4" xfId="0" applyFont="1" applyFill="1" applyBorder="1" applyAlignment="1">
      <alignment horizontal="center" vertical="top" wrapText="1"/>
    </xf>
    <xf numFmtId="0" fontId="3" fillId="47" borderId="4" xfId="0" applyFont="1" applyFill="1" applyBorder="1" applyAlignment="1">
      <alignment horizontal="center" wrapText="1"/>
    </xf>
    <xf numFmtId="0" fontId="89" fillId="47" borderId="4" xfId="0" applyFont="1" applyFill="1" applyBorder="1"/>
    <xf numFmtId="0" fontId="89" fillId="47" borderId="4" xfId="0" applyFont="1" applyFill="1" applyBorder="1" applyAlignment="1">
      <alignment horizontal="center" wrapText="1"/>
    </xf>
    <xf numFmtId="0" fontId="35" fillId="5" borderId="4" xfId="0" applyFont="1" applyFill="1" applyBorder="1" applyAlignment="1">
      <alignment horizontal="left" vertical="center" wrapText="1" indent="1"/>
    </xf>
    <xf numFmtId="0" fontId="35" fillId="5" borderId="4" xfId="0" applyFont="1" applyFill="1" applyBorder="1" applyAlignment="1">
      <alignment horizontal="left" wrapText="1" indent="1"/>
    </xf>
    <xf numFmtId="0" fontId="35" fillId="5" borderId="4" xfId="0" applyFont="1" applyFill="1" applyBorder="1" applyAlignment="1">
      <alignment horizontal="left" indent="1"/>
    </xf>
    <xf numFmtId="0" fontId="35" fillId="5" borderId="4" xfId="0" applyFont="1" applyFill="1" applyBorder="1" applyAlignment="1">
      <alignment horizontal="left" vertical="center"/>
    </xf>
    <xf numFmtId="0" fontId="35" fillId="5" borderId="4" xfId="0" applyFont="1" applyFill="1" applyBorder="1" applyAlignment="1">
      <alignment vertical="center"/>
    </xf>
    <xf numFmtId="0" fontId="3" fillId="5" borderId="0" xfId="0" applyFont="1" applyFill="1" applyAlignment="1">
      <alignment wrapText="1"/>
    </xf>
    <xf numFmtId="0" fontId="3" fillId="0" borderId="0" xfId="0" applyFont="1" applyAlignment="1">
      <alignment wrapText="1"/>
    </xf>
    <xf numFmtId="0" fontId="3" fillId="47" borderId="4" xfId="0" applyFont="1" applyFill="1" applyBorder="1"/>
    <xf numFmtId="0" fontId="9" fillId="47" borderId="4" xfId="0" applyFont="1" applyFill="1" applyBorder="1" applyAlignment="1">
      <alignment horizontal="center" wrapText="1"/>
    </xf>
    <xf numFmtId="0" fontId="89" fillId="47" borderId="4" xfId="0" applyFont="1" applyFill="1" applyBorder="1" applyAlignment="1">
      <alignment horizontal="center" vertical="center" wrapText="1"/>
    </xf>
    <xf numFmtId="0" fontId="89" fillId="47" borderId="4" xfId="0" applyFont="1" applyFill="1" applyBorder="1" applyAlignment="1">
      <alignment vertical="center" wrapText="1"/>
    </xf>
    <xf numFmtId="0" fontId="9" fillId="47" borderId="4" xfId="0" applyFont="1" applyFill="1" applyBorder="1" applyAlignment="1">
      <alignment vertical="center" wrapText="1"/>
    </xf>
    <xf numFmtId="0" fontId="3" fillId="47" borderId="4" xfId="0" applyFont="1" applyFill="1" applyBorder="1" applyAlignment="1">
      <alignment horizontal="center"/>
    </xf>
    <xf numFmtId="0" fontId="20" fillId="3" borderId="3" xfId="2" applyFont="1" applyFill="1" applyBorder="1" applyAlignment="1">
      <alignment horizontal="center" vertical="center" wrapText="1"/>
    </xf>
    <xf numFmtId="0" fontId="20" fillId="3" borderId="12" xfId="2" applyFont="1" applyFill="1" applyBorder="1" applyAlignment="1">
      <alignment horizontal="center" vertical="center" wrapText="1"/>
    </xf>
    <xf numFmtId="0" fontId="20" fillId="3" borderId="11" xfId="2" applyFont="1" applyFill="1" applyBorder="1" applyAlignment="1">
      <alignment horizontal="center" vertical="center" wrapText="1"/>
    </xf>
    <xf numFmtId="0" fontId="3" fillId="5" borderId="0" xfId="0" applyFont="1" applyFill="1" applyAlignment="1">
      <alignment horizontal="left" wrapText="1"/>
    </xf>
    <xf numFmtId="3" fontId="21" fillId="6" borderId="3" xfId="0" applyNumberFormat="1" applyFont="1" applyFill="1" applyBorder="1" applyAlignment="1" applyProtection="1">
      <alignment horizontal="center" vertical="center" wrapText="1"/>
      <protection locked="0"/>
    </xf>
    <xf numFmtId="3" fontId="21" fillId="6" borderId="11" xfId="0" applyNumberFormat="1" applyFont="1" applyFill="1" applyBorder="1" applyAlignment="1" applyProtection="1">
      <alignment horizontal="center" vertical="center" wrapText="1"/>
      <protection locked="0"/>
    </xf>
    <xf numFmtId="0" fontId="35" fillId="6" borderId="3" xfId="0" applyFont="1" applyFill="1" applyBorder="1" applyAlignment="1" applyProtection="1">
      <alignment horizontal="center" vertical="center" wrapText="1"/>
      <protection locked="0"/>
    </xf>
    <xf numFmtId="0" fontId="35" fillId="6" borderId="11" xfId="0" applyFont="1" applyFill="1" applyBorder="1" applyAlignment="1" applyProtection="1">
      <alignment horizontal="center" vertical="center" wrapText="1"/>
      <protection locked="0"/>
    </xf>
    <xf numFmtId="0" fontId="21" fillId="5" borderId="3" xfId="0" applyFont="1" applyFill="1" applyBorder="1" applyAlignment="1">
      <alignment horizontal="left" vertical="center" wrapText="1"/>
    </xf>
    <xf numFmtId="0" fontId="21" fillId="5" borderId="12" xfId="0" applyFont="1" applyFill="1" applyBorder="1" applyAlignment="1">
      <alignment horizontal="left" vertical="center" wrapText="1"/>
    </xf>
    <xf numFmtId="0" fontId="21" fillId="5" borderId="11" xfId="0" applyFont="1" applyFill="1" applyBorder="1" applyAlignment="1">
      <alignment horizontal="left" vertical="center" wrapText="1"/>
    </xf>
    <xf numFmtId="3" fontId="21" fillId="0" borderId="3" xfId="0" applyNumberFormat="1" applyFont="1" applyBorder="1" applyAlignment="1" applyProtection="1">
      <alignment horizontal="center" vertical="center" wrapText="1"/>
      <protection locked="0"/>
    </xf>
    <xf numFmtId="3" fontId="21" fillId="0" borderId="11" xfId="0" applyNumberFormat="1" applyFont="1" applyBorder="1" applyAlignment="1" applyProtection="1">
      <alignment horizontal="center" vertical="center" wrapText="1"/>
      <protection locked="0"/>
    </xf>
    <xf numFmtId="0" fontId="20" fillId="47" borderId="3" xfId="0" applyFont="1" applyFill="1" applyBorder="1" applyAlignment="1">
      <alignment horizontal="center" vertical="center" wrapText="1"/>
    </xf>
    <xf numFmtId="0" fontId="20" fillId="47" borderId="12" xfId="0" applyFont="1" applyFill="1" applyBorder="1" applyAlignment="1">
      <alignment horizontal="center" vertical="center" wrapText="1"/>
    </xf>
    <xf numFmtId="0" fontId="20" fillId="47" borderId="11" xfId="0" applyFont="1" applyFill="1" applyBorder="1" applyAlignment="1">
      <alignment horizontal="center" vertical="center" wrapText="1"/>
    </xf>
    <xf numFmtId="0" fontId="20" fillId="47" borderId="4" xfId="0" applyFont="1" applyFill="1" applyBorder="1" applyAlignment="1">
      <alignment horizontal="center" vertical="center" wrapText="1"/>
    </xf>
    <xf numFmtId="0" fontId="9" fillId="47" borderId="6" xfId="0" applyFont="1" applyFill="1" applyBorder="1" applyAlignment="1">
      <alignment horizontal="center" vertical="center" wrapText="1"/>
    </xf>
    <xf numFmtId="0" fontId="9" fillId="47" borderId="40" xfId="0" applyFont="1" applyFill="1" applyBorder="1" applyAlignment="1">
      <alignment horizontal="center" vertical="center" wrapText="1"/>
    </xf>
    <xf numFmtId="0" fontId="9" fillId="47" borderId="8" xfId="0" applyFont="1" applyFill="1" applyBorder="1" applyAlignment="1">
      <alignment horizontal="center" vertical="center" wrapText="1"/>
    </xf>
    <xf numFmtId="0" fontId="9" fillId="47" borderId="9" xfId="0" applyFont="1" applyFill="1" applyBorder="1" applyAlignment="1">
      <alignment horizontal="center" vertical="center" wrapText="1"/>
    </xf>
    <xf numFmtId="0" fontId="20" fillId="47" borderId="8" xfId="0" applyFont="1" applyFill="1" applyBorder="1" applyAlignment="1">
      <alignment horizontal="center" vertical="center" wrapText="1"/>
    </xf>
    <xf numFmtId="0" fontId="20" fillId="47" borderId="13" xfId="0" applyFont="1" applyFill="1" applyBorder="1" applyAlignment="1">
      <alignment horizontal="center" vertical="center" wrapText="1"/>
    </xf>
    <xf numFmtId="0" fontId="20" fillId="47" borderId="1" xfId="0" applyFont="1" applyFill="1" applyBorder="1" applyAlignment="1">
      <alignment horizontal="center" vertical="center" wrapText="1"/>
    </xf>
    <xf numFmtId="0" fontId="20" fillId="47" borderId="14" xfId="0" applyFont="1" applyFill="1" applyBorder="1" applyAlignment="1">
      <alignment horizontal="center" vertical="center" wrapText="1"/>
    </xf>
    <xf numFmtId="0" fontId="20" fillId="47" borderId="9" xfId="0" applyFont="1" applyFill="1" applyBorder="1" applyAlignment="1">
      <alignment horizontal="center" vertical="center" wrapText="1"/>
    </xf>
    <xf numFmtId="0" fontId="20" fillId="47" borderId="15" xfId="0" applyFont="1" applyFill="1" applyBorder="1" applyAlignment="1">
      <alignment horizontal="center" vertical="center" wrapText="1"/>
    </xf>
    <xf numFmtId="0" fontId="30" fillId="0" borderId="0" xfId="0" applyFont="1" applyAlignment="1">
      <alignment horizontal="left" vertical="top" wrapText="1"/>
    </xf>
    <xf numFmtId="164" fontId="21" fillId="0" borderId="4" xfId="0" applyNumberFormat="1" applyFont="1" applyBorder="1" applyAlignment="1">
      <alignment horizontal="center" vertical="center" wrapText="1"/>
    </xf>
    <xf numFmtId="0" fontId="75" fillId="47" borderId="4" xfId="0" applyFont="1" applyFill="1" applyBorder="1" applyAlignment="1">
      <alignment horizontal="center" vertical="center"/>
    </xf>
    <xf numFmtId="3" fontId="21" fillId="6" borderId="3" xfId="0" applyNumberFormat="1" applyFont="1" applyFill="1" applyBorder="1" applyAlignment="1" applyProtection="1">
      <alignment horizontal="left" vertical="center" wrapText="1"/>
      <protection locked="0"/>
    </xf>
    <xf numFmtId="3" fontId="21" fillId="6" borderId="12" xfId="0" applyNumberFormat="1" applyFont="1" applyFill="1" applyBorder="1" applyAlignment="1" applyProtection="1">
      <alignment horizontal="left" vertical="center" wrapText="1"/>
      <protection locked="0"/>
    </xf>
    <xf numFmtId="3" fontId="21" fillId="6" borderId="11" xfId="0" applyNumberFormat="1" applyFont="1" applyFill="1" applyBorder="1" applyAlignment="1" applyProtection="1">
      <alignment horizontal="left" vertical="center" wrapText="1"/>
      <protection locked="0"/>
    </xf>
    <xf numFmtId="3" fontId="21" fillId="0" borderId="12" xfId="0" applyNumberFormat="1" applyFont="1" applyBorder="1" applyAlignment="1" applyProtection="1">
      <alignment horizontal="center" vertical="center" wrapText="1"/>
      <protection locked="0"/>
    </xf>
    <xf numFmtId="0" fontId="20" fillId="45" borderId="65" xfId="0" applyFont="1" applyFill="1" applyBorder="1" applyAlignment="1">
      <alignment horizontal="center" vertical="center" wrapText="1"/>
    </xf>
    <xf numFmtId="0" fontId="9" fillId="0" borderId="62" xfId="0" applyFont="1" applyBorder="1" applyAlignment="1">
      <alignment horizontal="center" vertical="center" wrapText="1"/>
    </xf>
    <xf numFmtId="0" fontId="35" fillId="5" borderId="4" xfId="0" applyFont="1" applyFill="1" applyBorder="1" applyAlignment="1">
      <alignment horizontal="left" vertical="center" wrapText="1"/>
    </xf>
    <xf numFmtId="0" fontId="9" fillId="50" borderId="64" xfId="0" applyFont="1" applyFill="1" applyBorder="1" applyAlignment="1" applyProtection="1">
      <alignment horizontal="center" vertical="center" wrapText="1"/>
      <protection locked="0"/>
    </xf>
    <xf numFmtId="0" fontId="9" fillId="50" borderId="69" xfId="0" applyFont="1" applyFill="1" applyBorder="1" applyAlignment="1" applyProtection="1">
      <alignment horizontal="center" vertical="center" wrapText="1"/>
      <protection locked="0"/>
    </xf>
    <xf numFmtId="0" fontId="9" fillId="47" borderId="3" xfId="0" applyFont="1" applyFill="1" applyBorder="1" applyAlignment="1">
      <alignment horizontal="center" vertical="center" wrapText="1"/>
    </xf>
    <xf numFmtId="0" fontId="9" fillId="47" borderId="11" xfId="0" applyFont="1" applyFill="1" applyBorder="1" applyAlignment="1">
      <alignment horizontal="center" vertical="center" wrapText="1"/>
    </xf>
    <xf numFmtId="0" fontId="35" fillId="6" borderId="4" xfId="0" applyFont="1" applyFill="1" applyBorder="1" applyAlignment="1" applyProtection="1">
      <alignment horizontal="left" vertical="center" wrapText="1"/>
      <protection locked="0"/>
    </xf>
    <xf numFmtId="0" fontId="89" fillId="0" borderId="4" xfId="0" applyFont="1" applyBorder="1" applyAlignment="1" applyProtection="1">
      <alignment horizontal="left" vertical="center" wrapText="1"/>
      <protection locked="0"/>
    </xf>
    <xf numFmtId="0" fontId="9" fillId="0" borderId="4" xfId="0" applyFont="1" applyBorder="1" applyAlignment="1">
      <alignment horizontal="center" vertical="center" wrapText="1"/>
    </xf>
    <xf numFmtId="0" fontId="9" fillId="0" borderId="3" xfId="0" applyFont="1" applyBorder="1" applyAlignment="1">
      <alignment horizontal="center" vertical="center" wrapText="1"/>
    </xf>
    <xf numFmtId="0" fontId="9" fillId="47" borderId="4" xfId="0" applyFont="1" applyFill="1" applyBorder="1" applyAlignment="1">
      <alignment horizontal="left" vertical="center" wrapText="1" indent="1"/>
    </xf>
    <xf numFmtId="0" fontId="3" fillId="47" borderId="4" xfId="0" applyFont="1" applyFill="1" applyBorder="1" applyAlignment="1">
      <alignment horizontal="left" vertical="center" wrapText="1" indent="1"/>
    </xf>
    <xf numFmtId="0" fontId="3" fillId="6" borderId="4" xfId="0" applyFont="1" applyFill="1" applyBorder="1" applyAlignment="1" applyProtection="1">
      <alignment horizontal="left" vertical="center" wrapText="1"/>
      <protection locked="0"/>
    </xf>
    <xf numFmtId="0" fontId="20" fillId="47" borderId="11" xfId="0" applyFont="1" applyFill="1" applyBorder="1" applyAlignment="1">
      <alignment horizontal="center" vertical="center"/>
    </xf>
    <xf numFmtId="0" fontId="20" fillId="47" borderId="4" xfId="0" applyFont="1" applyFill="1" applyBorder="1" applyAlignment="1">
      <alignment horizontal="center" vertical="center"/>
    </xf>
    <xf numFmtId="0" fontId="21" fillId="5" borderId="4" xfId="0" applyFont="1" applyFill="1" applyBorder="1" applyAlignment="1">
      <alignment horizontal="left" vertical="center" wrapText="1" indent="1"/>
    </xf>
    <xf numFmtId="0" fontId="21" fillId="5" borderId="3" xfId="0" applyFont="1" applyFill="1" applyBorder="1" applyAlignment="1">
      <alignment horizontal="left" vertical="center" wrapText="1" indent="1"/>
    </xf>
    <xf numFmtId="0" fontId="9" fillId="47" borderId="3" xfId="0" applyFont="1" applyFill="1" applyBorder="1" applyAlignment="1">
      <alignment horizontal="left" vertical="center" wrapText="1"/>
    </xf>
    <xf numFmtId="0" fontId="9" fillId="47" borderId="12" xfId="0" applyFont="1" applyFill="1" applyBorder="1" applyAlignment="1">
      <alignment horizontal="left" vertical="center" wrapText="1"/>
    </xf>
    <xf numFmtId="0" fontId="9" fillId="47" borderId="11" xfId="0" applyFont="1" applyFill="1" applyBorder="1" applyAlignment="1">
      <alignment horizontal="left" vertical="center" wrapText="1"/>
    </xf>
    <xf numFmtId="0" fontId="21" fillId="6" borderId="3" xfId="0" applyFont="1" applyFill="1" applyBorder="1" applyAlignment="1" applyProtection="1">
      <alignment horizontal="left" vertical="center" wrapText="1"/>
      <protection locked="0"/>
    </xf>
    <xf numFmtId="0" fontId="21" fillId="6" borderId="12" xfId="0" applyFont="1" applyFill="1" applyBorder="1" applyAlignment="1" applyProtection="1">
      <alignment horizontal="left" vertical="center" wrapText="1"/>
      <protection locked="0"/>
    </xf>
    <xf numFmtId="0" fontId="21" fillId="6" borderId="11" xfId="0" applyFont="1" applyFill="1" applyBorder="1" applyAlignment="1" applyProtection="1">
      <alignment horizontal="left" vertical="center" wrapText="1"/>
      <protection locked="0"/>
    </xf>
    <xf numFmtId="0" fontId="21" fillId="5" borderId="11" xfId="0" applyFont="1" applyFill="1" applyBorder="1" applyAlignment="1">
      <alignment horizontal="left" vertical="center" wrapText="1" indent="1"/>
    </xf>
    <xf numFmtId="3" fontId="35" fillId="6" borderId="3" xfId="0" applyNumberFormat="1" applyFont="1" applyFill="1" applyBorder="1" applyAlignment="1" applyProtection="1">
      <alignment horizontal="left" vertical="center" wrapText="1"/>
      <protection locked="0"/>
    </xf>
    <xf numFmtId="3" fontId="35" fillId="6" borderId="12" xfId="0" applyNumberFormat="1" applyFont="1" applyFill="1" applyBorder="1" applyAlignment="1" applyProtection="1">
      <alignment horizontal="left" vertical="center" wrapText="1"/>
      <protection locked="0"/>
    </xf>
    <xf numFmtId="3" fontId="35" fillId="6" borderId="11" xfId="0" applyNumberFormat="1" applyFont="1" applyFill="1" applyBorder="1" applyAlignment="1" applyProtection="1">
      <alignment horizontal="left" vertical="center" wrapText="1"/>
      <protection locked="0"/>
    </xf>
    <xf numFmtId="0" fontId="20" fillId="0" borderId="0" xfId="0" applyFont="1" applyAlignment="1">
      <alignment horizontal="left" vertical="center" wrapText="1"/>
    </xf>
    <xf numFmtId="3" fontId="82" fillId="0" borderId="0" xfId="0" applyNumberFormat="1" applyFont="1" applyAlignment="1">
      <alignment horizontal="left" vertical="center" wrapText="1"/>
    </xf>
    <xf numFmtId="0" fontId="9" fillId="47" borderId="13" xfId="0" applyFont="1" applyFill="1" applyBorder="1" applyAlignment="1">
      <alignment horizontal="center" vertical="center" wrapText="1"/>
    </xf>
    <xf numFmtId="0" fontId="9" fillId="47" borderId="1" xfId="0" applyFont="1" applyFill="1" applyBorder="1" applyAlignment="1">
      <alignment horizontal="center" vertical="center" wrapText="1"/>
    </xf>
    <xf numFmtId="0" fontId="9" fillId="47" borderId="14" xfId="0" applyFont="1" applyFill="1" applyBorder="1" applyAlignment="1">
      <alignment horizontal="center" vertical="center" wrapText="1"/>
    </xf>
    <xf numFmtId="0" fontId="9" fillId="47" borderId="15" xfId="0" applyFont="1" applyFill="1" applyBorder="1" applyAlignment="1">
      <alignment horizontal="center" vertical="center" wrapText="1"/>
    </xf>
    <xf numFmtId="0" fontId="9" fillId="47" borderId="5" xfId="0" applyFont="1" applyFill="1" applyBorder="1" applyAlignment="1">
      <alignment horizontal="center" vertical="center" wrapText="1"/>
    </xf>
    <xf numFmtId="0" fontId="78" fillId="0" borderId="2" xfId="0" applyFont="1" applyBorder="1" applyAlignment="1">
      <alignment horizontal="center" vertical="center" wrapText="1"/>
    </xf>
    <xf numFmtId="0" fontId="78" fillId="0" borderId="0" xfId="0" applyFont="1" applyAlignment="1">
      <alignment horizontal="center" vertical="center" wrapText="1"/>
    </xf>
    <xf numFmtId="0" fontId="3" fillId="6" borderId="8" xfId="0" applyFont="1" applyFill="1" applyBorder="1" applyAlignment="1" applyProtection="1">
      <alignment horizontal="center" vertical="center"/>
      <protection locked="0"/>
    </xf>
    <xf numFmtId="0" fontId="3" fillId="6" borderId="13" xfId="0" applyFont="1" applyFill="1" applyBorder="1" applyAlignment="1" applyProtection="1">
      <alignment horizontal="center" vertical="center"/>
      <protection locked="0"/>
    </xf>
    <xf numFmtId="0" fontId="3" fillId="6" borderId="1" xfId="0" applyFont="1" applyFill="1" applyBorder="1" applyAlignment="1" applyProtection="1">
      <alignment horizontal="center" vertical="center"/>
      <protection locked="0"/>
    </xf>
    <xf numFmtId="0" fontId="3" fillId="6" borderId="14" xfId="0" applyFont="1" applyFill="1" applyBorder="1" applyAlignment="1" applyProtection="1">
      <alignment horizontal="center" vertical="center"/>
      <protection locked="0"/>
    </xf>
    <xf numFmtId="0" fontId="3" fillId="6" borderId="9" xfId="0" applyFont="1" applyFill="1" applyBorder="1" applyAlignment="1" applyProtection="1">
      <alignment horizontal="center" vertical="center"/>
      <protection locked="0"/>
    </xf>
    <xf numFmtId="0" fontId="3" fillId="6" borderId="15" xfId="0" applyFont="1" applyFill="1" applyBorder="1" applyAlignment="1" applyProtection="1">
      <alignment horizontal="center" vertical="center"/>
      <protection locked="0"/>
    </xf>
    <xf numFmtId="0" fontId="89" fillId="0" borderId="4" xfId="0" applyFont="1" applyBorder="1" applyAlignment="1" applyProtection="1">
      <alignment horizontal="left" vertical="center"/>
      <protection locked="0"/>
    </xf>
    <xf numFmtId="0" fontId="9" fillId="47" borderId="12" xfId="0" applyFont="1" applyFill="1" applyBorder="1" applyAlignment="1">
      <alignment horizontal="center" vertical="center" wrapText="1"/>
    </xf>
    <xf numFmtId="2" fontId="21" fillId="0" borderId="4" xfId="0" applyNumberFormat="1" applyFont="1" applyBorder="1" applyAlignment="1">
      <alignment horizontal="center" vertical="center" wrapText="1"/>
    </xf>
    <xf numFmtId="182" fontId="21" fillId="0" borderId="4" xfId="0" applyNumberFormat="1" applyFont="1" applyBorder="1" applyAlignment="1">
      <alignment horizontal="center" vertical="center" wrapText="1"/>
    </xf>
    <xf numFmtId="3" fontId="9" fillId="0" borderId="4" xfId="0" applyNumberFormat="1" applyFont="1" applyBorder="1" applyAlignment="1">
      <alignment horizontal="center" vertical="center"/>
    </xf>
    <xf numFmtId="0" fontId="9" fillId="0" borderId="4" xfId="0" applyFont="1" applyBorder="1" applyAlignment="1">
      <alignment horizontal="center" vertical="center"/>
    </xf>
    <xf numFmtId="1" fontId="3" fillId="6" borderId="4" xfId="1" applyNumberFormat="1" applyFont="1" applyFill="1" applyBorder="1" applyAlignment="1" applyProtection="1">
      <alignment horizontal="center" vertical="center"/>
      <protection locked="0"/>
    </xf>
    <xf numFmtId="1" fontId="3" fillId="0" borderId="4" xfId="1" applyNumberFormat="1" applyFont="1" applyBorder="1" applyAlignment="1" applyProtection="1">
      <alignment horizontal="center"/>
      <protection locked="0"/>
    </xf>
    <xf numFmtId="0" fontId="3" fillId="6" borderId="4" xfId="0" applyFont="1" applyFill="1" applyBorder="1" applyAlignment="1" applyProtection="1">
      <alignment horizontal="center" vertical="center"/>
      <protection locked="0"/>
    </xf>
    <xf numFmtId="0" fontId="3" fillId="0" borderId="4" xfId="0" applyFont="1" applyBorder="1" applyAlignment="1" applyProtection="1">
      <alignment horizontal="center"/>
      <protection locked="0"/>
    </xf>
    <xf numFmtId="0" fontId="35" fillId="6" borderId="4" xfId="0" applyFont="1" applyFill="1" applyBorder="1" applyAlignment="1" applyProtection="1">
      <alignment horizontal="center" vertical="center" wrapText="1"/>
      <protection locked="0"/>
    </xf>
    <xf numFmtId="0" fontId="89" fillId="0" borderId="4" xfId="0" applyFont="1" applyBorder="1" applyAlignment="1" applyProtection="1">
      <alignment horizontal="center"/>
      <protection locked="0"/>
    </xf>
    <xf numFmtId="0" fontId="35" fillId="6" borderId="4" xfId="0" applyFont="1" applyFill="1" applyBorder="1" applyAlignment="1" applyProtection="1">
      <alignment horizontal="center" vertical="center"/>
      <protection locked="0"/>
    </xf>
    <xf numFmtId="0" fontId="35" fillId="6" borderId="3" xfId="0" applyFont="1" applyFill="1" applyBorder="1" applyAlignment="1" applyProtection="1">
      <alignment horizontal="center" vertical="center"/>
      <protection locked="0"/>
    </xf>
    <xf numFmtId="0" fontId="35" fillId="6" borderId="11" xfId="0" applyFont="1" applyFill="1" applyBorder="1" applyAlignment="1" applyProtection="1">
      <alignment horizontal="center" vertical="center"/>
      <protection locked="0"/>
    </xf>
    <xf numFmtId="0" fontId="3" fillId="0" borderId="0" xfId="0" applyFont="1" applyAlignment="1">
      <alignment horizontal="left" vertical="top" wrapText="1"/>
    </xf>
    <xf numFmtId="0" fontId="89" fillId="0" borderId="0" xfId="0" applyFont="1" applyAlignment="1">
      <alignment vertical="top" wrapText="1"/>
    </xf>
    <xf numFmtId="0" fontId="89" fillId="0" borderId="4" xfId="0" applyFont="1" applyBorder="1" applyAlignment="1" applyProtection="1">
      <alignment horizontal="left" wrapText="1"/>
      <protection locked="0"/>
    </xf>
    <xf numFmtId="3" fontId="3" fillId="6" borderId="4" xfId="0" applyNumberFormat="1" applyFont="1" applyFill="1" applyBorder="1" applyAlignment="1" applyProtection="1">
      <alignment horizontal="center" vertical="center"/>
      <protection locked="0"/>
    </xf>
    <xf numFmtId="0" fontId="21" fillId="0" borderId="4" xfId="0" applyFont="1" applyBorder="1" applyAlignment="1">
      <alignment horizontal="left" vertical="center" wrapText="1" indent="1"/>
    </xf>
    <xf numFmtId="0" fontId="28" fillId="0" borderId="0" xfId="0" applyFont="1" applyAlignment="1">
      <alignment horizontal="left" vertical="center" wrapText="1"/>
    </xf>
    <xf numFmtId="171" fontId="3" fillId="6" borderId="4" xfId="1" applyNumberFormat="1" applyFont="1" applyFill="1" applyBorder="1" applyAlignment="1" applyProtection="1">
      <alignment horizontal="center" vertical="center"/>
      <protection locked="0"/>
    </xf>
    <xf numFmtId="171" fontId="3" fillId="0" borderId="4" xfId="1" applyNumberFormat="1" applyFont="1" applyBorder="1" applyAlignment="1" applyProtection="1">
      <alignment horizontal="center"/>
      <protection locked="0"/>
    </xf>
    <xf numFmtId="0" fontId="75" fillId="8" borderId="33" xfId="0" applyFont="1" applyFill="1" applyBorder="1" applyAlignment="1">
      <alignment horizontal="center" vertical="center" wrapText="1"/>
    </xf>
    <xf numFmtId="0" fontId="75" fillId="8" borderId="41" xfId="0" applyFont="1" applyFill="1" applyBorder="1" applyAlignment="1">
      <alignment horizontal="center" vertical="center" wrapText="1"/>
    </xf>
    <xf numFmtId="0" fontId="75" fillId="8" borderId="34" xfId="0" applyFont="1" applyFill="1" applyBorder="1" applyAlignment="1">
      <alignment horizontal="center" vertical="center" wrapText="1"/>
    </xf>
    <xf numFmtId="0" fontId="67" fillId="0" borderId="41" xfId="0" applyFont="1" applyBorder="1" applyAlignment="1">
      <alignment horizontal="center" vertical="center" wrapText="1"/>
    </xf>
    <xf numFmtId="0" fontId="67" fillId="0" borderId="34" xfId="0" applyFont="1" applyBorder="1" applyAlignment="1">
      <alignment horizontal="center" vertical="center" wrapText="1"/>
    </xf>
    <xf numFmtId="0" fontId="75" fillId="4" borderId="33" xfId="0" applyFont="1" applyFill="1" applyBorder="1" applyAlignment="1">
      <alignment horizontal="center" vertical="center" wrapText="1"/>
    </xf>
    <xf numFmtId="0" fontId="75" fillId="4" borderId="41" xfId="0" applyFont="1" applyFill="1" applyBorder="1" applyAlignment="1">
      <alignment horizontal="center" vertical="center" wrapText="1"/>
    </xf>
    <xf numFmtId="0" fontId="75" fillId="4" borderId="34" xfId="0" applyFont="1" applyFill="1" applyBorder="1" applyAlignment="1">
      <alignment horizontal="center" vertical="center" wrapText="1"/>
    </xf>
    <xf numFmtId="0" fontId="75" fillId="8" borderId="26" xfId="0" applyFont="1" applyFill="1" applyBorder="1" applyAlignment="1">
      <alignment horizontal="center" vertical="center" wrapText="1"/>
    </xf>
    <xf numFmtId="0" fontId="75" fillId="4" borderId="0" xfId="0" applyFont="1" applyFill="1" applyAlignment="1">
      <alignment horizontal="center" vertical="center" wrapText="1"/>
    </xf>
    <xf numFmtId="0" fontId="75" fillId="4" borderId="16" xfId="0" applyFont="1" applyFill="1" applyBorder="1" applyAlignment="1">
      <alignment horizontal="center" vertical="center" wrapText="1"/>
    </xf>
    <xf numFmtId="0" fontId="75" fillId="4" borderId="17" xfId="0" applyFont="1" applyFill="1" applyBorder="1" applyAlignment="1">
      <alignment horizontal="center" vertical="center" wrapText="1"/>
    </xf>
    <xf numFmtId="0" fontId="75" fillId="4" borderId="18" xfId="0" applyFont="1" applyFill="1" applyBorder="1" applyAlignment="1">
      <alignment horizontal="center" vertical="center" wrapText="1"/>
    </xf>
    <xf numFmtId="0" fontId="75" fillId="4" borderId="28" xfId="0" applyFont="1" applyFill="1" applyBorder="1" applyAlignment="1">
      <alignment horizontal="center" vertical="center" wrapText="1"/>
    </xf>
    <xf numFmtId="0" fontId="75" fillId="4" borderId="26" xfId="0" applyFont="1" applyFill="1" applyBorder="1" applyAlignment="1">
      <alignment horizontal="center" vertical="center" wrapText="1"/>
    </xf>
    <xf numFmtId="0" fontId="9" fillId="4" borderId="28" xfId="0" applyFont="1" applyFill="1" applyBorder="1" applyAlignment="1">
      <alignment horizontal="center" vertical="center" wrapText="1"/>
    </xf>
    <xf numFmtId="0" fontId="9" fillId="4" borderId="17" xfId="0" applyFont="1" applyFill="1" applyBorder="1" applyAlignment="1">
      <alignment horizontal="center" vertical="center" wrapText="1"/>
    </xf>
    <xf numFmtId="0" fontId="9" fillId="4" borderId="26" xfId="0" applyFont="1" applyFill="1" applyBorder="1" applyAlignment="1">
      <alignment horizontal="center" vertical="center" wrapText="1"/>
    </xf>
    <xf numFmtId="0" fontId="9" fillId="4" borderId="41" xfId="0" applyFont="1" applyFill="1" applyBorder="1" applyAlignment="1">
      <alignment horizontal="center" vertical="center" wrapText="1"/>
    </xf>
    <xf numFmtId="0" fontId="9" fillId="4" borderId="34" xfId="0" applyFont="1" applyFill="1" applyBorder="1" applyAlignment="1">
      <alignment horizontal="center" vertical="center" wrapText="1"/>
    </xf>
    <xf numFmtId="0" fontId="9" fillId="4" borderId="33" xfId="0" applyFont="1" applyFill="1" applyBorder="1" applyAlignment="1">
      <alignment horizontal="center" vertical="center" wrapText="1"/>
    </xf>
    <xf numFmtId="0" fontId="9" fillId="4" borderId="16" xfId="0" applyFont="1" applyFill="1" applyBorder="1" applyAlignment="1">
      <alignment horizontal="center" vertical="center" wrapText="1"/>
    </xf>
    <xf numFmtId="0" fontId="9" fillId="4" borderId="18" xfId="0" applyFont="1" applyFill="1" applyBorder="1" applyAlignment="1">
      <alignment horizontal="center" vertical="center" wrapText="1"/>
    </xf>
    <xf numFmtId="0" fontId="9" fillId="8" borderId="33" xfId="0" applyFont="1" applyFill="1" applyBorder="1" applyAlignment="1">
      <alignment horizontal="center" vertical="center" wrapText="1"/>
    </xf>
    <xf numFmtId="0" fontId="14" fillId="0" borderId="41" xfId="0" applyFont="1" applyBorder="1" applyAlignment="1">
      <alignment horizontal="center" vertical="center" wrapText="1"/>
    </xf>
    <xf numFmtId="0" fontId="14" fillId="0" borderId="34" xfId="0" applyFont="1" applyBorder="1" applyAlignment="1">
      <alignment horizontal="center" vertical="center" wrapText="1"/>
    </xf>
    <xf numFmtId="0" fontId="9" fillId="8" borderId="41" xfId="0" applyFont="1" applyFill="1" applyBorder="1" applyAlignment="1">
      <alignment horizontal="center" vertical="center" wrapText="1"/>
    </xf>
    <xf numFmtId="0" fontId="9" fillId="8" borderId="26" xfId="0" applyFont="1" applyFill="1" applyBorder="1" applyAlignment="1">
      <alignment horizontal="center" vertical="center" wrapText="1"/>
    </xf>
    <xf numFmtId="0" fontId="9" fillId="8" borderId="34" xfId="0" applyFont="1" applyFill="1" applyBorder="1" applyAlignment="1">
      <alignment horizontal="center" vertical="center" wrapText="1"/>
    </xf>
    <xf numFmtId="0" fontId="9" fillId="4" borderId="0" xfId="0" applyFont="1" applyFill="1" applyAlignment="1">
      <alignment horizontal="center" vertical="center" wrapText="1"/>
    </xf>
    <xf numFmtId="0" fontId="20" fillId="47" borderId="3" xfId="444" applyFont="1" applyFill="1" applyBorder="1" applyAlignment="1" applyProtection="1">
      <alignment horizontal="center" vertical="center" wrapText="1"/>
      <protection locked="0"/>
    </xf>
    <xf numFmtId="0" fontId="20" fillId="47" borderId="11" xfId="444" applyFont="1" applyFill="1" applyBorder="1" applyAlignment="1" applyProtection="1">
      <alignment horizontal="center" vertical="center" wrapText="1"/>
      <protection locked="0"/>
    </xf>
    <xf numFmtId="0" fontId="9" fillId="4" borderId="22" xfId="0" applyFont="1" applyFill="1" applyBorder="1" applyAlignment="1">
      <alignment horizontal="left" vertical="center" wrapText="1"/>
    </xf>
    <xf numFmtId="0" fontId="89" fillId="6" borderId="48" xfId="444" applyFont="1" applyFill="1" applyBorder="1" applyAlignment="1" applyProtection="1">
      <alignment horizontal="center"/>
      <protection locked="0"/>
    </xf>
    <xf numFmtId="0" fontId="89" fillId="6" borderId="86" xfId="444" applyFont="1" applyFill="1" applyBorder="1" applyAlignment="1" applyProtection="1">
      <alignment horizontal="center"/>
      <protection locked="0"/>
    </xf>
    <xf numFmtId="49" fontId="89" fillId="6" borderId="86" xfId="444" applyNumberFormat="1" applyFont="1" applyFill="1" applyBorder="1" applyAlignment="1" applyProtection="1">
      <alignment horizontal="center"/>
      <protection locked="0"/>
    </xf>
    <xf numFmtId="49" fontId="89" fillId="6" borderId="49" xfId="444" applyNumberFormat="1" applyFont="1" applyFill="1" applyBorder="1" applyAlignment="1" applyProtection="1">
      <alignment horizontal="center"/>
      <protection locked="0"/>
    </xf>
    <xf numFmtId="0" fontId="9" fillId="47" borderId="4" xfId="0" applyFont="1" applyFill="1" applyBorder="1" applyAlignment="1">
      <alignment horizontal="left" vertical="center" wrapText="1"/>
    </xf>
    <xf numFmtId="0" fontId="20" fillId="47" borderId="4" xfId="0" applyFont="1" applyFill="1" applyBorder="1" applyAlignment="1">
      <alignment horizontal="left" vertical="center" wrapText="1"/>
    </xf>
    <xf numFmtId="0" fontId="20" fillId="47" borderId="12" xfId="444" applyFont="1" applyFill="1" applyBorder="1" applyAlignment="1" applyProtection="1">
      <alignment horizontal="center" vertical="center" wrapText="1"/>
      <protection locked="0"/>
    </xf>
    <xf numFmtId="0" fontId="20" fillId="47" borderId="4" xfId="444" applyFont="1" applyFill="1" applyBorder="1" applyAlignment="1">
      <alignment horizontal="center" vertical="center" wrapText="1"/>
    </xf>
    <xf numFmtId="0" fontId="30" fillId="47" borderId="3" xfId="444" applyFont="1" applyFill="1" applyBorder="1" applyAlignment="1">
      <alignment horizontal="right" wrapText="1"/>
    </xf>
    <xf numFmtId="0" fontId="30" fillId="47" borderId="12" xfId="444" applyFont="1" applyFill="1" applyBorder="1" applyAlignment="1">
      <alignment horizontal="right" wrapText="1"/>
    </xf>
    <xf numFmtId="0" fontId="30" fillId="47" borderId="11" xfId="444" applyFont="1" applyFill="1" applyBorder="1" applyAlignment="1">
      <alignment horizontal="right" wrapText="1"/>
    </xf>
    <xf numFmtId="0" fontId="9" fillId="4" borderId="36" xfId="0" applyFont="1" applyFill="1" applyBorder="1" applyAlignment="1">
      <alignment horizontal="left" vertical="center" wrapText="1"/>
    </xf>
    <xf numFmtId="49" fontId="89" fillId="6" borderId="144" xfId="444" applyNumberFormat="1" applyFont="1" applyFill="1" applyBorder="1" applyAlignment="1" applyProtection="1">
      <alignment horizontal="center"/>
      <protection locked="0"/>
    </xf>
    <xf numFmtId="49" fontId="89" fillId="6" borderId="345" xfId="444" applyNumberFormat="1" applyFont="1" applyFill="1" applyBorder="1" applyAlignment="1" applyProtection="1">
      <alignment horizontal="center"/>
      <protection locked="0"/>
    </xf>
    <xf numFmtId="49" fontId="89" fillId="6" borderId="145" xfId="444" applyNumberFormat="1" applyFont="1" applyFill="1" applyBorder="1" applyAlignment="1" applyProtection="1">
      <alignment horizontal="center"/>
      <protection locked="0"/>
    </xf>
    <xf numFmtId="49" fontId="89" fillId="6" borderId="146" xfId="444" applyNumberFormat="1" applyFont="1" applyFill="1" applyBorder="1" applyAlignment="1" applyProtection="1">
      <alignment horizontal="center"/>
      <protection locked="0"/>
    </xf>
    <xf numFmtId="0" fontId="13" fillId="0" borderId="0" xfId="0" applyFont="1" applyAlignment="1">
      <alignment vertical="top" wrapText="1"/>
    </xf>
    <xf numFmtId="0" fontId="0" fillId="0" borderId="0" xfId="0" applyAlignment="1">
      <alignment wrapText="1"/>
    </xf>
    <xf numFmtId="0" fontId="21" fillId="0" borderId="4" xfId="0" applyFont="1" applyBorder="1" applyAlignment="1">
      <alignment horizontal="left" vertical="center" wrapText="1"/>
    </xf>
    <xf numFmtId="0" fontId="9" fillId="47" borderId="4" xfId="0" applyFont="1" applyFill="1" applyBorder="1" applyAlignment="1">
      <alignment horizontal="left" vertical="center" indent="1"/>
    </xf>
    <xf numFmtId="0" fontId="3" fillId="0" borderId="0" xfId="0" applyFont="1" applyAlignment="1">
      <alignment horizontal="center" vertical="center"/>
    </xf>
    <xf numFmtId="0" fontId="89" fillId="0" borderId="0" xfId="0" applyFont="1"/>
    <xf numFmtId="0" fontId="3" fillId="0" borderId="0" xfId="0" applyFont="1" applyAlignment="1">
      <alignment horizontal="left" vertical="center" wrapText="1"/>
    </xf>
    <xf numFmtId="0" fontId="9" fillId="0" borderId="0" xfId="0" applyFont="1" applyAlignment="1">
      <alignment horizontal="center" vertical="center" wrapText="1"/>
    </xf>
    <xf numFmtId="3" fontId="35" fillId="0" borderId="0" xfId="0" applyNumberFormat="1" applyFont="1" applyAlignment="1">
      <alignment horizontal="center" vertical="center" wrapText="1"/>
    </xf>
    <xf numFmtId="0" fontId="89" fillId="0" borderId="0" xfId="0" applyFont="1" applyAlignment="1">
      <alignment horizontal="center"/>
    </xf>
    <xf numFmtId="0" fontId="113" fillId="47" borderId="4" xfId="0" applyFont="1" applyFill="1" applyBorder="1"/>
    <xf numFmtId="171" fontId="35" fillId="6" borderId="4" xfId="1" applyNumberFormat="1" applyFont="1" applyFill="1" applyBorder="1" applyAlignment="1" applyProtection="1">
      <alignment horizontal="center" vertical="center"/>
      <protection locked="0"/>
    </xf>
    <xf numFmtId="171" fontId="89" fillId="0" borderId="4" xfId="1" applyNumberFormat="1" applyFont="1" applyBorder="1" applyAlignment="1" applyProtection="1">
      <alignment horizontal="center"/>
      <protection locked="0"/>
    </xf>
    <xf numFmtId="0" fontId="17" fillId="47" borderId="4" xfId="0" applyFont="1" applyFill="1" applyBorder="1" applyAlignment="1">
      <alignment horizontal="left" vertical="top" wrapText="1"/>
    </xf>
    <xf numFmtId="171" fontId="21" fillId="5" borderId="4" xfId="1" applyNumberFormat="1" applyFont="1" applyFill="1" applyBorder="1" applyAlignment="1">
      <alignment horizontal="center" vertical="center" wrapText="1"/>
    </xf>
    <xf numFmtId="171" fontId="113" fillId="5" borderId="4" xfId="1" applyNumberFormat="1" applyFont="1" applyFill="1" applyBorder="1" applyAlignment="1">
      <alignment horizontal="center"/>
    </xf>
    <xf numFmtId="0" fontId="21" fillId="6" borderId="4" xfId="0" applyFont="1" applyFill="1" applyBorder="1" applyAlignment="1" applyProtection="1">
      <alignment horizontal="left" vertical="center" wrapText="1"/>
      <protection locked="0"/>
    </xf>
    <xf numFmtId="0" fontId="17" fillId="5" borderId="4" xfId="0" applyFont="1" applyFill="1" applyBorder="1" applyAlignment="1">
      <alignment horizontal="left" vertical="center" wrapText="1"/>
    </xf>
    <xf numFmtId="0" fontId="3" fillId="47" borderId="4" xfId="0" applyFont="1" applyFill="1" applyBorder="1" applyAlignment="1">
      <alignment horizontal="left" vertical="center" wrapText="1"/>
    </xf>
    <xf numFmtId="0" fontId="89" fillId="0" borderId="4" xfId="0" applyFont="1" applyBorder="1" applyProtection="1">
      <protection locked="0"/>
    </xf>
    <xf numFmtId="0" fontId="21" fillId="0" borderId="4" xfId="0" applyFont="1" applyBorder="1" applyAlignment="1" applyProtection="1">
      <alignment horizontal="center" vertical="center" wrapText="1"/>
      <protection hidden="1"/>
    </xf>
    <xf numFmtId="4" fontId="21" fillId="0" borderId="3" xfId="0" applyNumberFormat="1" applyFont="1" applyBorder="1" applyAlignment="1">
      <alignment horizontal="center" vertical="center" wrapText="1"/>
    </xf>
    <xf numFmtId="4" fontId="21" fillId="0" borderId="12" xfId="0" applyNumberFormat="1" applyFont="1" applyBorder="1" applyAlignment="1">
      <alignment horizontal="center" vertical="center" wrapText="1"/>
    </xf>
    <xf numFmtId="4" fontId="21" fillId="0" borderId="11" xfId="0" applyNumberFormat="1" applyFont="1" applyBorder="1" applyAlignment="1">
      <alignment horizontal="center" vertical="center" wrapText="1"/>
    </xf>
    <xf numFmtId="0" fontId="17" fillId="5" borderId="8" xfId="0" applyFont="1" applyFill="1" applyBorder="1" applyAlignment="1">
      <alignment horizontal="left" vertical="center" wrapText="1"/>
    </xf>
    <xf numFmtId="0" fontId="17" fillId="5" borderId="2" xfId="0" applyFont="1" applyFill="1" applyBorder="1" applyAlignment="1">
      <alignment horizontal="left" vertical="center" wrapText="1"/>
    </xf>
    <xf numFmtId="0" fontId="17" fillId="5" borderId="13" xfId="0" applyFont="1" applyFill="1" applyBorder="1" applyAlignment="1">
      <alignment horizontal="left" vertical="center" wrapText="1"/>
    </xf>
    <xf numFmtId="0" fontId="17" fillId="5" borderId="9" xfId="0" applyFont="1" applyFill="1" applyBorder="1" applyAlignment="1">
      <alignment horizontal="left" vertical="center" wrapText="1"/>
    </xf>
    <xf numFmtId="0" fontId="17" fillId="5" borderId="10" xfId="0" applyFont="1" applyFill="1" applyBorder="1" applyAlignment="1">
      <alignment horizontal="left" vertical="center" wrapText="1"/>
    </xf>
    <xf numFmtId="0" fontId="17" fillId="5" borderId="15" xfId="0" applyFont="1" applyFill="1" applyBorder="1" applyAlignment="1">
      <alignment horizontal="left" vertical="center" wrapText="1"/>
    </xf>
    <xf numFmtId="171" fontId="21" fillId="6" borderId="4" xfId="1" applyNumberFormat="1" applyFont="1" applyFill="1" applyBorder="1" applyAlignment="1" applyProtection="1">
      <alignment horizontal="center" vertical="center" wrapText="1"/>
      <protection locked="0"/>
    </xf>
    <xf numFmtId="171" fontId="113" fillId="0" borderId="4" xfId="1" applyNumberFormat="1" applyFont="1" applyBorder="1" applyAlignment="1" applyProtection="1">
      <alignment horizontal="center" vertical="center"/>
      <protection locked="0"/>
    </xf>
    <xf numFmtId="171" fontId="113" fillId="0" borderId="3" xfId="1" applyNumberFormat="1" applyFont="1" applyBorder="1" applyAlignment="1" applyProtection="1">
      <alignment horizontal="center" vertical="center"/>
      <protection locked="0"/>
    </xf>
    <xf numFmtId="0" fontId="21" fillId="0" borderId="0" xfId="0" applyFont="1" applyAlignment="1" applyProtection="1">
      <alignment horizontal="left" vertical="center"/>
      <protection locked="0"/>
    </xf>
    <xf numFmtId="2" fontId="3" fillId="0" borderId="0" xfId="0" applyNumberFormat="1" applyFont="1" applyAlignment="1">
      <alignment horizontal="center" vertical="center"/>
    </xf>
    <xf numFmtId="0" fontId="139" fillId="5" borderId="4" xfId="0" applyFont="1" applyFill="1" applyBorder="1" applyAlignment="1">
      <alignment horizontal="left" vertical="center" wrapText="1" indent="1"/>
    </xf>
    <xf numFmtId="0" fontId="35" fillId="5" borderId="4" xfId="0" applyFont="1" applyFill="1" applyBorder="1" applyAlignment="1">
      <alignment horizontal="left" vertical="center" indent="1"/>
    </xf>
    <xf numFmtId="0" fontId="9" fillId="0" borderId="0" xfId="0" applyFont="1" applyAlignment="1">
      <alignment horizontal="left" vertical="top" wrapText="1"/>
    </xf>
    <xf numFmtId="0" fontId="113" fillId="0" borderId="0" xfId="0" applyFont="1"/>
    <xf numFmtId="0" fontId="21" fillId="6" borderId="4" xfId="0" applyFont="1" applyFill="1" applyBorder="1" applyAlignment="1" applyProtection="1">
      <alignment horizontal="center" vertical="center" wrapText="1"/>
      <protection locked="0"/>
    </xf>
    <xf numFmtId="0" fontId="113" fillId="0" borderId="4" xfId="0" applyFont="1" applyBorder="1" applyProtection="1">
      <protection locked="0"/>
    </xf>
    <xf numFmtId="0" fontId="113" fillId="47" borderId="4" xfId="0" applyFont="1" applyFill="1" applyBorder="1" applyAlignment="1">
      <alignment vertical="center"/>
    </xf>
    <xf numFmtId="3" fontId="3" fillId="0" borderId="0" xfId="0" applyNumberFormat="1" applyFont="1" applyAlignment="1">
      <alignment horizontal="center" vertical="center"/>
    </xf>
    <xf numFmtId="3" fontId="89" fillId="0" borderId="0" xfId="0" applyNumberFormat="1" applyFont="1"/>
    <xf numFmtId="0" fontId="3" fillId="0" borderId="0" xfId="0" applyFont="1" applyAlignment="1">
      <alignment horizontal="center" vertical="center" wrapText="1"/>
    </xf>
    <xf numFmtId="165" fontId="21" fillId="0" borderId="0" xfId="0" applyNumberFormat="1" applyFont="1" applyAlignment="1">
      <alignment horizontal="right" vertical="center" wrapText="1"/>
    </xf>
    <xf numFmtId="0" fontId="9" fillId="0" borderId="0" xfId="0" applyFont="1" applyAlignment="1">
      <alignment horizontal="left" vertical="center" wrapText="1" indent="1"/>
    </xf>
    <xf numFmtId="0" fontId="21" fillId="0" borderId="0" xfId="0" applyFont="1" applyAlignment="1">
      <alignment horizontal="left" vertical="top" wrapText="1" indent="1"/>
    </xf>
    <xf numFmtId="0" fontId="89" fillId="0" borderId="0" xfId="0" applyFont="1" applyAlignment="1">
      <alignment vertical="center"/>
    </xf>
    <xf numFmtId="0" fontId="3" fillId="0" borderId="0" xfId="0" applyFont="1" applyAlignment="1" applyProtection="1">
      <alignment horizontal="center" vertical="center"/>
      <protection locked="0"/>
    </xf>
    <xf numFmtId="0" fontId="35" fillId="0" borderId="0" xfId="0" applyFont="1" applyAlignment="1">
      <alignment horizontal="left" indent="1"/>
    </xf>
    <xf numFmtId="171" fontId="21" fillId="0" borderId="4" xfId="1" applyNumberFormat="1" applyFont="1" applyFill="1" applyBorder="1" applyAlignment="1">
      <alignment horizontal="center" vertical="center" wrapText="1"/>
    </xf>
    <xf numFmtId="171" fontId="113" fillId="0" borderId="4" xfId="1" applyNumberFormat="1" applyFont="1" applyBorder="1" applyAlignment="1">
      <alignment horizontal="center"/>
    </xf>
    <xf numFmtId="3" fontId="21" fillId="5" borderId="4" xfId="0" applyNumberFormat="1" applyFont="1" applyFill="1" applyBorder="1" applyAlignment="1">
      <alignment horizontal="left" vertical="center" indent="1"/>
    </xf>
    <xf numFmtId="0" fontId="21" fillId="0" borderId="4" xfId="0" applyFont="1" applyBorder="1" applyAlignment="1">
      <alignment horizontal="left" indent="1"/>
    </xf>
    <xf numFmtId="2" fontId="21" fillId="0" borderId="0" xfId="0" applyNumberFormat="1" applyFont="1" applyAlignment="1" applyProtection="1">
      <alignment horizontal="left" vertical="center" wrapText="1"/>
      <protection locked="0"/>
    </xf>
    <xf numFmtId="0" fontId="89" fillId="0" borderId="0" xfId="0" applyFont="1" applyAlignment="1" applyProtection="1">
      <alignment horizontal="left" vertical="center" wrapText="1"/>
      <protection locked="0"/>
    </xf>
    <xf numFmtId="0" fontId="89" fillId="0" borderId="0" xfId="0" applyFont="1" applyProtection="1">
      <protection locked="0"/>
    </xf>
    <xf numFmtId="0" fontId="75" fillId="0" borderId="0" xfId="0" applyFont="1" applyAlignment="1">
      <alignment horizontal="center" wrapText="1"/>
    </xf>
    <xf numFmtId="0" fontId="75" fillId="0" borderId="62" xfId="0" applyFont="1" applyBorder="1" applyAlignment="1">
      <alignment horizontal="center" wrapText="1"/>
    </xf>
    <xf numFmtId="0" fontId="20" fillId="4" borderId="65" xfId="0" applyFont="1" applyFill="1" applyBorder="1" applyAlignment="1">
      <alignment horizontal="center" vertical="center" wrapText="1"/>
    </xf>
    <xf numFmtId="0" fontId="20" fillId="4" borderId="70" xfId="0" applyFont="1" applyFill="1" applyBorder="1" applyAlignment="1">
      <alignment horizontal="center" vertical="center" wrapText="1"/>
    </xf>
    <xf numFmtId="0" fontId="20" fillId="4" borderId="69" xfId="0" applyFont="1" applyFill="1" applyBorder="1" applyAlignment="1">
      <alignment horizontal="center" vertical="center" wrapText="1"/>
    </xf>
    <xf numFmtId="0" fontId="20" fillId="4" borderId="242" xfId="0" applyFont="1" applyFill="1" applyBorder="1" applyAlignment="1">
      <alignment horizontal="center" vertical="center" wrapText="1"/>
    </xf>
    <xf numFmtId="0" fontId="20" fillId="4" borderId="243" xfId="0" applyFont="1" applyFill="1" applyBorder="1" applyAlignment="1">
      <alignment horizontal="center" vertical="center" wrapText="1"/>
    </xf>
    <xf numFmtId="0" fontId="20" fillId="4" borderId="188" xfId="0" applyFont="1" applyFill="1" applyBorder="1" applyAlignment="1">
      <alignment horizontal="center" vertical="center" wrapText="1"/>
    </xf>
    <xf numFmtId="0" fontId="20" fillId="4" borderId="189" xfId="0" applyFont="1" applyFill="1" applyBorder="1" applyAlignment="1">
      <alignment horizontal="center" vertical="center" wrapText="1"/>
    </xf>
    <xf numFmtId="0" fontId="21" fillId="5" borderId="4" xfId="0" applyFont="1" applyFill="1" applyBorder="1" applyAlignment="1">
      <alignment horizontal="left" vertical="center" wrapText="1"/>
    </xf>
    <xf numFmtId="0" fontId="9" fillId="0" borderId="4" xfId="444" applyFont="1" applyBorder="1" applyAlignment="1">
      <alignment horizontal="center" vertical="center" wrapText="1"/>
    </xf>
    <xf numFmtId="3" fontId="35" fillId="0" borderId="0" xfId="0" applyNumberFormat="1" applyFont="1" applyAlignment="1">
      <alignment horizontal="left" vertical="center" wrapText="1"/>
    </xf>
    <xf numFmtId="0" fontId="143" fillId="5" borderId="4" xfId="0" applyFont="1" applyFill="1" applyBorder="1" applyAlignment="1">
      <alignment horizontal="left" vertical="center" wrapText="1"/>
    </xf>
    <xf numFmtId="171" fontId="21" fillId="0" borderId="4" xfId="1" applyNumberFormat="1" applyFont="1" applyFill="1" applyBorder="1" applyAlignment="1" applyProtection="1">
      <alignment horizontal="center" vertical="center" wrapText="1"/>
    </xf>
    <xf numFmtId="171" fontId="113" fillId="0" borderId="4" xfId="1" applyNumberFormat="1" applyFont="1" applyBorder="1" applyAlignment="1" applyProtection="1">
      <alignment horizontal="center"/>
    </xf>
    <xf numFmtId="171" fontId="113" fillId="0" borderId="3" xfId="1" applyNumberFormat="1" applyFont="1" applyBorder="1" applyAlignment="1" applyProtection="1">
      <alignment horizontal="center"/>
    </xf>
    <xf numFmtId="0" fontId="78" fillId="47" borderId="4" xfId="444" applyFont="1" applyFill="1" applyBorder="1" applyAlignment="1">
      <alignment horizontal="center" vertical="center" wrapText="1"/>
    </xf>
    <xf numFmtId="0" fontId="9" fillId="47" borderId="4" xfId="0" applyFont="1" applyFill="1" applyBorder="1" applyAlignment="1" applyProtection="1">
      <alignment horizontal="left" vertical="center" wrapText="1"/>
      <protection locked="0"/>
    </xf>
    <xf numFmtId="0" fontId="112" fillId="47" borderId="4" xfId="0" applyFont="1" applyFill="1" applyBorder="1"/>
    <xf numFmtId="0" fontId="89" fillId="0" borderId="4" xfId="0" applyFont="1" applyBorder="1" applyAlignment="1" applyProtection="1">
      <alignment vertical="center" wrapText="1"/>
      <protection locked="0"/>
    </xf>
    <xf numFmtId="4" fontId="21" fillId="5" borderId="4" xfId="0" applyNumberFormat="1" applyFont="1" applyFill="1" applyBorder="1" applyAlignment="1">
      <alignment horizontal="center" vertical="center" wrapText="1"/>
    </xf>
    <xf numFmtId="4" fontId="113" fillId="5" borderId="4" xfId="0" applyNumberFormat="1" applyFont="1" applyFill="1" applyBorder="1" applyAlignment="1">
      <alignment horizontal="center"/>
    </xf>
    <xf numFmtId="0" fontId="21" fillId="0" borderId="4" xfId="0" applyFont="1" applyBorder="1" applyAlignment="1">
      <alignment horizontal="center" vertical="center" wrapText="1"/>
    </xf>
    <xf numFmtId="0" fontId="20" fillId="47" borderId="2" xfId="0" applyFont="1" applyFill="1" applyBorder="1" applyAlignment="1">
      <alignment horizontal="center" vertical="center" wrapText="1"/>
    </xf>
    <xf numFmtId="0" fontId="20" fillId="47" borderId="0" xfId="0" applyFont="1" applyFill="1" applyAlignment="1">
      <alignment horizontal="center" vertical="center" wrapText="1"/>
    </xf>
    <xf numFmtId="0" fontId="20" fillId="47" borderId="10" xfId="0" applyFont="1" applyFill="1" applyBorder="1" applyAlignment="1">
      <alignment horizontal="center" vertical="center" wrapText="1"/>
    </xf>
    <xf numFmtId="0" fontId="35" fillId="0" borderId="0" xfId="0" applyFont="1" applyAlignment="1" applyProtection="1">
      <alignment horizontal="center" vertical="center"/>
      <protection locked="0"/>
    </xf>
    <xf numFmtId="0" fontId="30" fillId="0" borderId="0" xfId="0" applyFont="1" applyAlignment="1">
      <alignment horizontal="center" vertical="center" wrapText="1"/>
    </xf>
    <xf numFmtId="171" fontId="35" fillId="0" borderId="4" xfId="1" applyNumberFormat="1" applyFont="1" applyFill="1" applyBorder="1" applyAlignment="1" applyProtection="1">
      <alignment horizontal="center" vertical="center"/>
      <protection locked="0"/>
    </xf>
    <xf numFmtId="171" fontId="89" fillId="0" borderId="4" xfId="1" applyNumberFormat="1" applyFont="1" applyFill="1" applyBorder="1" applyAlignment="1" applyProtection="1">
      <alignment horizontal="center"/>
      <protection locked="0"/>
    </xf>
    <xf numFmtId="0" fontId="35" fillId="0" borderId="4" xfId="0" applyFont="1" applyBorder="1" applyAlignment="1" applyProtection="1">
      <alignment horizontal="center" vertical="center"/>
      <protection locked="0"/>
    </xf>
    <xf numFmtId="3" fontId="35" fillId="0" borderId="3" xfId="0" applyNumberFormat="1" applyFont="1" applyBorder="1" applyAlignment="1" applyProtection="1">
      <alignment horizontal="center" vertical="center"/>
      <protection locked="0"/>
    </xf>
    <xf numFmtId="3" fontId="35" fillId="0" borderId="12" xfId="0" applyNumberFormat="1" applyFont="1" applyBorder="1" applyAlignment="1" applyProtection="1">
      <alignment horizontal="center" vertical="center"/>
      <protection locked="0"/>
    </xf>
    <xf numFmtId="3" fontId="35" fillId="0" borderId="11" xfId="0" applyNumberFormat="1" applyFont="1" applyBorder="1" applyAlignment="1" applyProtection="1">
      <alignment horizontal="center" vertical="center"/>
      <protection locked="0"/>
    </xf>
    <xf numFmtId="2" fontId="21" fillId="5" borderId="4" xfId="1" applyNumberFormat="1" applyFont="1" applyFill="1" applyBorder="1" applyAlignment="1">
      <alignment horizontal="center" vertical="center" wrapText="1"/>
    </xf>
    <xf numFmtId="2" fontId="21" fillId="5" borderId="4" xfId="1" applyNumberFormat="1" applyFont="1" applyFill="1" applyBorder="1" applyAlignment="1">
      <alignment vertical="center"/>
    </xf>
    <xf numFmtId="2" fontId="21" fillId="0" borderId="4" xfId="1" applyNumberFormat="1" applyFont="1" applyFill="1" applyBorder="1" applyAlignment="1">
      <alignment horizontal="center" vertical="center" wrapText="1"/>
    </xf>
    <xf numFmtId="2" fontId="21" fillId="0" borderId="4" xfId="1" applyNumberFormat="1" applyFont="1" applyFill="1" applyBorder="1" applyAlignment="1"/>
    <xf numFmtId="4" fontId="21" fillId="5" borderId="4" xfId="0" applyNumberFormat="1" applyFont="1" applyFill="1" applyBorder="1"/>
    <xf numFmtId="4" fontId="21" fillId="0" borderId="4" xfId="0" applyNumberFormat="1" applyFont="1" applyBorder="1" applyAlignment="1">
      <alignment horizontal="center" vertical="center" wrapText="1"/>
    </xf>
    <xf numFmtId="0" fontId="9" fillId="47" borderId="4" xfId="0" applyFont="1" applyFill="1" applyBorder="1" applyAlignment="1">
      <alignment horizontal="center" vertical="center"/>
    </xf>
    <xf numFmtId="0" fontId="89" fillId="0" borderId="0" xfId="0" applyFont="1" applyAlignment="1">
      <alignment horizontal="center" vertical="center"/>
    </xf>
    <xf numFmtId="2" fontId="21" fillId="0" borderId="0" xfId="0" applyNumberFormat="1" applyFont="1" applyAlignment="1" applyProtection="1">
      <alignment horizontal="center" vertical="center" wrapText="1"/>
      <protection locked="0"/>
    </xf>
    <xf numFmtId="0" fontId="9" fillId="0" borderId="0" xfId="0" applyFont="1" applyAlignment="1">
      <alignment vertical="center" wrapText="1"/>
    </xf>
    <xf numFmtId="0" fontId="9" fillId="4" borderId="16" xfId="0" applyFont="1" applyFill="1" applyBorder="1" applyAlignment="1">
      <alignment horizontal="center" vertical="center"/>
    </xf>
    <xf numFmtId="0" fontId="9" fillId="4" borderId="47" xfId="0" applyFont="1" applyFill="1" applyBorder="1" applyAlignment="1">
      <alignment horizontal="center" vertical="center"/>
    </xf>
    <xf numFmtId="0" fontId="9" fillId="4" borderId="32" xfId="0" applyFont="1" applyFill="1" applyBorder="1" applyAlignment="1">
      <alignment horizontal="center" vertical="center" wrapText="1"/>
    </xf>
    <xf numFmtId="0" fontId="9" fillId="4" borderId="56" xfId="0" applyFont="1" applyFill="1" applyBorder="1" applyAlignment="1">
      <alignment horizontal="center" vertical="center" wrapText="1"/>
    </xf>
    <xf numFmtId="0" fontId="9" fillId="4" borderId="42" xfId="0" applyFont="1" applyFill="1" applyBorder="1" applyAlignment="1">
      <alignment horizontal="center" vertical="center" wrapText="1"/>
    </xf>
    <xf numFmtId="0" fontId="9" fillId="4" borderId="19" xfId="0" applyFont="1" applyFill="1" applyBorder="1" applyAlignment="1">
      <alignment horizontal="center" vertical="center" wrapText="1"/>
    </xf>
    <xf numFmtId="0" fontId="75" fillId="4" borderId="32" xfId="0" applyFont="1" applyFill="1" applyBorder="1" applyAlignment="1">
      <alignment horizontal="center" vertical="center" wrapText="1"/>
    </xf>
    <xf numFmtId="0" fontId="75" fillId="4" borderId="56" xfId="0" applyFont="1" applyFill="1" applyBorder="1" applyAlignment="1">
      <alignment horizontal="center" vertical="center" wrapText="1"/>
    </xf>
    <xf numFmtId="0" fontId="75" fillId="4" borderId="42" xfId="0" applyFont="1" applyFill="1" applyBorder="1" applyAlignment="1">
      <alignment horizontal="center" vertical="center" wrapText="1"/>
    </xf>
    <xf numFmtId="0" fontId="75" fillId="4" borderId="19" xfId="0" applyFont="1" applyFill="1" applyBorder="1" applyAlignment="1">
      <alignment horizontal="center" vertical="center" wrapText="1"/>
    </xf>
    <xf numFmtId="0" fontId="75" fillId="4" borderId="16" xfId="0" applyFont="1" applyFill="1" applyBorder="1" applyAlignment="1">
      <alignment horizontal="center" vertical="center"/>
    </xf>
    <xf numFmtId="0" fontId="75" fillId="4" borderId="47" xfId="0" applyFont="1" applyFill="1" applyBorder="1" applyAlignment="1">
      <alignment horizontal="center" vertical="center"/>
    </xf>
    <xf numFmtId="0" fontId="126" fillId="51" borderId="65" xfId="0" applyFont="1" applyFill="1" applyBorder="1" applyAlignment="1">
      <alignment horizontal="center" vertical="center"/>
    </xf>
    <xf numFmtId="0" fontId="22" fillId="47" borderId="4" xfId="0" applyFont="1" applyFill="1" applyBorder="1" applyAlignment="1">
      <alignment horizontal="center" vertical="center"/>
    </xf>
    <xf numFmtId="199" fontId="21" fillId="5" borderId="4" xfId="1" applyNumberFormat="1" applyFont="1" applyFill="1" applyBorder="1" applyAlignment="1">
      <alignment horizontal="center" vertical="center"/>
    </xf>
    <xf numFmtId="0" fontId="75" fillId="0" borderId="0" xfId="0" applyFont="1" applyAlignment="1">
      <alignment horizontal="left" wrapText="1"/>
    </xf>
    <xf numFmtId="0" fontId="17" fillId="0" borderId="2" xfId="0" applyFont="1" applyBorder="1" applyAlignment="1">
      <alignment horizontal="left" vertical="top" wrapText="1"/>
    </xf>
    <xf numFmtId="0" fontId="35" fillId="6" borderId="4" xfId="0" applyFont="1" applyFill="1" applyBorder="1" applyAlignment="1">
      <alignment horizontal="center" vertical="center" wrapText="1"/>
    </xf>
    <xf numFmtId="0" fontId="3" fillId="47" borderId="40" xfId="0" applyFont="1" applyFill="1" applyBorder="1" applyAlignment="1">
      <alignment horizontal="center" vertical="center"/>
    </xf>
    <xf numFmtId="0" fontId="21" fillId="6" borderId="3" xfId="0" applyFont="1" applyFill="1" applyBorder="1" applyAlignment="1" applyProtection="1">
      <alignment horizontal="center" vertical="center" wrapText="1"/>
      <protection locked="0"/>
    </xf>
    <xf numFmtId="0" fontId="21" fillId="6" borderId="12"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0" fontId="21" fillId="0" borderId="3" xfId="0" applyFont="1" applyBorder="1" applyAlignment="1">
      <alignment horizontal="center" vertical="center" wrapText="1"/>
    </xf>
    <xf numFmtId="0" fontId="21" fillId="0" borderId="12" xfId="0" applyFont="1" applyBorder="1" applyAlignment="1">
      <alignment horizontal="center" vertical="center" wrapText="1"/>
    </xf>
    <xf numFmtId="0" fontId="21" fillId="0" borderId="11" xfId="0" applyFont="1" applyBorder="1" applyAlignment="1">
      <alignment horizontal="center" vertical="center" wrapText="1"/>
    </xf>
    <xf numFmtId="1" fontId="9" fillId="5" borderId="3" xfId="0" applyNumberFormat="1" applyFont="1" applyFill="1" applyBorder="1" applyAlignment="1" applyProtection="1">
      <alignment horizontal="center" vertical="center" wrapText="1"/>
      <protection locked="0"/>
    </xf>
    <xf numFmtId="1" fontId="9" fillId="5" borderId="11" xfId="0" applyNumberFormat="1" applyFont="1" applyFill="1" applyBorder="1" applyAlignment="1" applyProtection="1">
      <alignment horizontal="center" vertical="center" wrapText="1"/>
      <protection locked="0"/>
    </xf>
    <xf numFmtId="0" fontId="17" fillId="0" borderId="8" xfId="0" applyFont="1" applyBorder="1" applyAlignment="1">
      <alignment horizontal="left" vertical="center" wrapText="1"/>
    </xf>
    <xf numFmtId="0" fontId="17" fillId="0" borderId="2" xfId="0" applyFont="1" applyBorder="1" applyAlignment="1">
      <alignment horizontal="left" vertical="center" wrapText="1"/>
    </xf>
    <xf numFmtId="0" fontId="17" fillId="0" borderId="13" xfId="0" applyFont="1" applyBorder="1" applyAlignment="1">
      <alignment horizontal="left" vertical="center" wrapText="1"/>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5" xfId="0" applyFont="1" applyBorder="1" applyAlignment="1">
      <alignment horizontal="left" vertical="center" wrapText="1"/>
    </xf>
    <xf numFmtId="0" fontId="21" fillId="5" borderId="8" xfId="0" applyFont="1" applyFill="1" applyBorder="1" applyAlignment="1">
      <alignment horizontal="center" vertical="center" wrapText="1"/>
    </xf>
    <xf numFmtId="0" fontId="21" fillId="5" borderId="13" xfId="0" applyFont="1" applyFill="1" applyBorder="1" applyAlignment="1">
      <alignment horizontal="center" vertical="center" wrapText="1"/>
    </xf>
    <xf numFmtId="0" fontId="21" fillId="5" borderId="9" xfId="0" applyFont="1" applyFill="1" applyBorder="1" applyAlignment="1">
      <alignment horizontal="center" vertical="center" wrapText="1"/>
    </xf>
    <xf numFmtId="0" fontId="21" fillId="5" borderId="15" xfId="0" applyFont="1" applyFill="1" applyBorder="1" applyAlignment="1">
      <alignment horizontal="center" vertical="center" wrapText="1"/>
    </xf>
    <xf numFmtId="0" fontId="21" fillId="5" borderId="6" xfId="0" applyFont="1" applyFill="1" applyBorder="1" applyAlignment="1">
      <alignment horizontal="center" vertical="center" wrapText="1"/>
    </xf>
    <xf numFmtId="0" fontId="21" fillId="5" borderId="40" xfId="0" applyFont="1" applyFill="1" applyBorder="1" applyAlignment="1">
      <alignment horizontal="center" vertical="center" wrapText="1"/>
    </xf>
    <xf numFmtId="2" fontId="21" fillId="0" borderId="3" xfId="0" applyNumberFormat="1" applyFont="1" applyBorder="1" applyAlignment="1">
      <alignment horizontal="center" vertical="center" wrapText="1"/>
    </xf>
    <xf numFmtId="2" fontId="21" fillId="0" borderId="12" xfId="0" applyNumberFormat="1" applyFont="1" applyBorder="1" applyAlignment="1">
      <alignment horizontal="center" vertical="center" wrapText="1"/>
    </xf>
    <xf numFmtId="2" fontId="21" fillId="0" borderId="11" xfId="0" applyNumberFormat="1" applyFont="1" applyBorder="1" applyAlignment="1">
      <alignment horizontal="center" vertical="center" wrapText="1"/>
    </xf>
    <xf numFmtId="0" fontId="21" fillId="5" borderId="8" xfId="0" applyFont="1" applyFill="1" applyBorder="1" applyAlignment="1">
      <alignment horizontal="left" vertical="center" wrapText="1"/>
    </xf>
    <xf numFmtId="0" fontId="21" fillId="5" borderId="2" xfId="0" applyFont="1" applyFill="1" applyBorder="1" applyAlignment="1">
      <alignment horizontal="left" vertical="center" wrapText="1"/>
    </xf>
    <xf numFmtId="0" fontId="21" fillId="5" borderId="13" xfId="0" applyFont="1" applyFill="1" applyBorder="1" applyAlignment="1">
      <alignment horizontal="left" vertical="center" wrapText="1"/>
    </xf>
    <xf numFmtId="0" fontId="21" fillId="5" borderId="9" xfId="0" applyFont="1" applyFill="1" applyBorder="1" applyAlignment="1">
      <alignment horizontal="left" vertical="center" wrapText="1"/>
    </xf>
    <xf numFmtId="0" fontId="21" fillId="5" borderId="10" xfId="0" applyFont="1" applyFill="1" applyBorder="1" applyAlignment="1">
      <alignment horizontal="left" vertical="center" wrapText="1"/>
    </xf>
    <xf numFmtId="0" fontId="21" fillId="5" borderId="15" xfId="0" applyFont="1" applyFill="1" applyBorder="1" applyAlignment="1">
      <alignment horizontal="left" vertical="center" wrapText="1"/>
    </xf>
    <xf numFmtId="1" fontId="21" fillId="6" borderId="3" xfId="0" applyNumberFormat="1" applyFont="1" applyFill="1" applyBorder="1" applyAlignment="1" applyProtection="1">
      <alignment horizontal="center" vertical="center" wrapText="1"/>
      <protection locked="0"/>
    </xf>
    <xf numFmtId="1" fontId="21" fillId="6" borderId="12" xfId="0" applyNumberFormat="1" applyFont="1" applyFill="1" applyBorder="1" applyAlignment="1" applyProtection="1">
      <alignment horizontal="center" vertical="center" wrapText="1"/>
      <protection locked="0"/>
    </xf>
    <xf numFmtId="1" fontId="21" fillId="6" borderId="11" xfId="0" applyNumberFormat="1" applyFont="1" applyFill="1" applyBorder="1" applyAlignment="1" applyProtection="1">
      <alignment horizontal="center" vertical="center" wrapText="1"/>
      <protection locked="0"/>
    </xf>
    <xf numFmtId="0" fontId="21" fillId="0" borderId="3" xfId="0" applyFont="1" applyBorder="1" applyAlignment="1">
      <alignment horizontal="left" vertical="center" wrapText="1" indent="1"/>
    </xf>
    <xf numFmtId="0" fontId="21" fillId="0" borderId="12" xfId="0" applyFont="1" applyBorder="1" applyAlignment="1">
      <alignment horizontal="left" vertical="center" wrapText="1" indent="1"/>
    </xf>
    <xf numFmtId="0" fontId="21" fillId="0" borderId="11" xfId="0" applyFont="1" applyBorder="1" applyAlignment="1">
      <alignment horizontal="left" vertical="center" wrapText="1" indent="1"/>
    </xf>
    <xf numFmtId="0" fontId="21" fillId="5" borderId="3" xfId="0" applyFont="1" applyFill="1" applyBorder="1" applyAlignment="1">
      <alignment horizontal="right" vertical="center" wrapText="1"/>
    </xf>
    <xf numFmtId="0" fontId="21" fillId="5" borderId="12" xfId="0" applyFont="1" applyFill="1" applyBorder="1" applyAlignment="1">
      <alignment horizontal="right" vertical="center" wrapText="1"/>
    </xf>
    <xf numFmtId="0" fontId="21" fillId="5" borderId="11" xfId="0" applyFont="1" applyFill="1" applyBorder="1" applyAlignment="1">
      <alignment horizontal="right" vertical="center" wrapText="1"/>
    </xf>
    <xf numFmtId="0" fontId="89" fillId="0" borderId="0" xfId="0" applyFont="1" applyAlignment="1">
      <alignment wrapText="1"/>
    </xf>
    <xf numFmtId="0" fontId="24" fillId="5" borderId="0" xfId="0" applyFont="1" applyFill="1" applyAlignment="1">
      <alignment horizontal="left" vertical="center" wrapText="1"/>
    </xf>
    <xf numFmtId="171" fontId="21" fillId="6" borderId="3" xfId="1" applyNumberFormat="1" applyFont="1" applyFill="1" applyBorder="1" applyAlignment="1" applyProtection="1">
      <alignment horizontal="center" vertical="center" wrapText="1"/>
      <protection locked="0"/>
    </xf>
    <xf numFmtId="171" fontId="21" fillId="6" borderId="12" xfId="1" applyNumberFormat="1" applyFont="1" applyFill="1" applyBorder="1" applyAlignment="1" applyProtection="1">
      <alignment horizontal="center" vertical="center" wrapText="1"/>
      <protection locked="0"/>
    </xf>
    <xf numFmtId="171" fontId="21" fillId="6" borderId="11" xfId="1" applyNumberFormat="1" applyFont="1" applyFill="1" applyBorder="1" applyAlignment="1" applyProtection="1">
      <alignment horizontal="center" vertical="center" wrapText="1"/>
      <protection locked="0"/>
    </xf>
    <xf numFmtId="0" fontId="21" fillId="0" borderId="8" xfId="0" applyFont="1" applyBorder="1" applyAlignment="1">
      <alignment horizontal="left" vertical="center" wrapText="1" indent="1"/>
    </xf>
    <xf numFmtId="0" fontId="21" fillId="0" borderId="2" xfId="0" applyFont="1" applyBorder="1" applyAlignment="1">
      <alignment horizontal="left" vertical="center" wrapText="1" indent="1"/>
    </xf>
    <xf numFmtId="0" fontId="21" fillId="0" borderId="13" xfId="0" applyFont="1" applyBorder="1" applyAlignment="1">
      <alignment horizontal="left" vertical="center" wrapText="1" indent="1"/>
    </xf>
    <xf numFmtId="171" fontId="21" fillId="0" borderId="3" xfId="1" applyNumberFormat="1" applyFont="1" applyBorder="1" applyAlignment="1">
      <alignment horizontal="center" vertical="center" wrapText="1"/>
    </xf>
    <xf numFmtId="171" fontId="21" fillId="0" borderId="12" xfId="1" applyNumberFormat="1" applyFont="1" applyBorder="1" applyAlignment="1">
      <alignment horizontal="center" vertical="center" wrapText="1"/>
    </xf>
    <xf numFmtId="171" fontId="21" fillId="0" borderId="11" xfId="1" applyNumberFormat="1" applyFont="1" applyBorder="1" applyAlignment="1">
      <alignment horizontal="center" vertical="center" wrapText="1"/>
    </xf>
    <xf numFmtId="0" fontId="17" fillId="0" borderId="4" xfId="0" applyFont="1" applyBorder="1" applyAlignment="1">
      <alignment horizontal="left" vertical="center" wrapText="1"/>
    </xf>
    <xf numFmtId="0" fontId="17" fillId="0" borderId="3" xfId="0" applyFont="1" applyBorder="1" applyAlignment="1">
      <alignment horizontal="left" vertical="center" wrapText="1"/>
    </xf>
    <xf numFmtId="9" fontId="21" fillId="6" borderId="3" xfId="0" applyNumberFormat="1" applyFont="1" applyFill="1" applyBorder="1" applyAlignment="1" applyProtection="1">
      <alignment horizontal="center" vertical="center" wrapText="1"/>
      <protection locked="0"/>
    </xf>
    <xf numFmtId="9" fontId="21" fillId="0" borderId="3" xfId="0" applyNumberFormat="1" applyFont="1" applyBorder="1" applyAlignment="1" applyProtection="1">
      <alignment horizontal="center" vertical="center" wrapText="1"/>
      <protection locked="0"/>
    </xf>
    <xf numFmtId="0" fontId="21" fillId="0" borderId="12" xfId="0" applyFont="1" applyBorder="1" applyAlignment="1" applyProtection="1">
      <alignment horizontal="center" vertical="center" wrapText="1"/>
      <protection locked="0"/>
    </xf>
    <xf numFmtId="0" fontId="35" fillId="5" borderId="0" xfId="0" applyFont="1" applyFill="1" applyAlignment="1" applyProtection="1">
      <alignment horizontal="left" vertical="center" wrapText="1"/>
      <protection locked="0"/>
    </xf>
    <xf numFmtId="2" fontId="21" fillId="6" borderId="3" xfId="0" applyNumberFormat="1" applyFont="1" applyFill="1" applyBorder="1" applyAlignment="1" applyProtection="1">
      <alignment horizontal="center" vertical="center" wrapText="1"/>
      <protection locked="0"/>
    </xf>
    <xf numFmtId="2" fontId="21" fillId="6" borderId="12" xfId="0" applyNumberFormat="1" applyFont="1" applyFill="1" applyBorder="1" applyAlignment="1" applyProtection="1">
      <alignment horizontal="center" vertical="center" wrapText="1"/>
      <protection locked="0"/>
    </xf>
    <xf numFmtId="2" fontId="21" fillId="6" borderId="11" xfId="0" applyNumberFormat="1" applyFont="1" applyFill="1" applyBorder="1" applyAlignment="1" applyProtection="1">
      <alignment horizontal="center" vertical="center" wrapText="1"/>
      <protection locked="0"/>
    </xf>
    <xf numFmtId="0" fontId="17" fillId="0" borderId="11" xfId="0" applyFont="1" applyBorder="1" applyAlignment="1">
      <alignment horizontal="left" vertical="center" wrapText="1"/>
    </xf>
    <xf numFmtId="0" fontId="21" fillId="0" borderId="9" xfId="0" applyFont="1" applyBorder="1" applyAlignment="1">
      <alignment horizontal="left" vertical="center" wrapText="1" indent="1"/>
    </xf>
    <xf numFmtId="0" fontId="21" fillId="0" borderId="10" xfId="0" applyFont="1" applyBorder="1" applyAlignment="1">
      <alignment horizontal="left" vertical="center" wrapText="1" indent="1"/>
    </xf>
    <xf numFmtId="0" fontId="21" fillId="0" borderId="15" xfId="0" applyFont="1" applyBorder="1" applyAlignment="1">
      <alignment horizontal="left" vertical="center" wrapText="1" indent="1"/>
    </xf>
    <xf numFmtId="0" fontId="21" fillId="0" borderId="8"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13" xfId="0" applyFont="1" applyBorder="1" applyAlignment="1">
      <alignment horizontal="center" vertical="center" wrapText="1"/>
    </xf>
    <xf numFmtId="171" fontId="21" fillId="6" borderId="9" xfId="1" applyNumberFormat="1" applyFont="1" applyFill="1" applyBorder="1" applyAlignment="1" applyProtection="1">
      <alignment horizontal="center" vertical="center" wrapText="1"/>
      <protection locked="0"/>
    </xf>
    <xf numFmtId="171" fontId="21" fillId="6" borderId="15" xfId="1" applyNumberFormat="1" applyFont="1" applyFill="1" applyBorder="1" applyAlignment="1" applyProtection="1">
      <alignment horizontal="center" vertical="center" wrapText="1"/>
      <protection locked="0"/>
    </xf>
    <xf numFmtId="9" fontId="21" fillId="6" borderId="12" xfId="0" applyNumberFormat="1" applyFont="1" applyFill="1" applyBorder="1" applyAlignment="1" applyProtection="1">
      <alignment horizontal="center" vertical="center" wrapText="1"/>
      <protection locked="0"/>
    </xf>
    <xf numFmtId="0" fontId="12" fillId="0" borderId="65" xfId="0" applyFont="1" applyBorder="1" applyAlignment="1">
      <alignment horizontal="center"/>
    </xf>
    <xf numFmtId="0" fontId="75" fillId="47" borderId="4" xfId="0" applyFont="1" applyFill="1" applyBorder="1" applyAlignment="1">
      <alignment horizontal="left" vertical="center" wrapText="1"/>
    </xf>
    <xf numFmtId="0" fontId="35" fillId="6" borderId="4" xfId="0" applyFont="1" applyFill="1" applyBorder="1" applyAlignment="1" applyProtection="1">
      <alignment horizontal="left" vertical="top"/>
      <protection locked="0"/>
    </xf>
    <xf numFmtId="0" fontId="3" fillId="0" borderId="0" xfId="0" applyFont="1" applyAlignment="1">
      <alignment vertical="top" wrapText="1"/>
    </xf>
    <xf numFmtId="0" fontId="9" fillId="47" borderId="4" xfId="0" applyFont="1" applyFill="1" applyBorder="1" applyAlignment="1">
      <alignment horizontal="left" wrapText="1"/>
    </xf>
    <xf numFmtId="0" fontId="35" fillId="6" borderId="12" xfId="0" applyFont="1" applyFill="1" applyBorder="1" applyAlignment="1" applyProtection="1">
      <alignment horizontal="center" vertical="center" wrapText="1"/>
      <protection locked="0"/>
    </xf>
    <xf numFmtId="0" fontId="26" fillId="5" borderId="0" xfId="0" applyFont="1" applyFill="1" applyAlignment="1">
      <alignment horizontal="left" vertical="top" wrapText="1"/>
    </xf>
    <xf numFmtId="0" fontId="21" fillId="6" borderId="3" xfId="1" applyNumberFormat="1" applyFont="1" applyFill="1" applyBorder="1" applyAlignment="1" applyProtection="1">
      <alignment horizontal="center" vertical="center" wrapText="1"/>
      <protection locked="0"/>
    </xf>
    <xf numFmtId="0" fontId="21" fillId="6" borderId="12" xfId="1" applyNumberFormat="1" applyFont="1" applyFill="1" applyBorder="1" applyAlignment="1" applyProtection="1">
      <alignment horizontal="center" vertical="center" wrapText="1"/>
      <protection locked="0"/>
    </xf>
    <xf numFmtId="0" fontId="21" fillId="6" borderId="11" xfId="1" applyNumberFormat="1" applyFont="1" applyFill="1" applyBorder="1" applyAlignment="1" applyProtection="1">
      <alignment horizontal="center" vertical="center" wrapText="1"/>
      <protection locked="0"/>
    </xf>
    <xf numFmtId="43" fontId="141" fillId="47" borderId="5" xfId="1" applyFont="1" applyFill="1" applyBorder="1" applyAlignment="1" applyProtection="1">
      <alignment horizontal="center" vertical="center"/>
    </xf>
    <xf numFmtId="43" fontId="141" fillId="47" borderId="40" xfId="1" applyFont="1" applyFill="1" applyBorder="1" applyAlignment="1" applyProtection="1">
      <alignment horizontal="center" vertical="center"/>
    </xf>
    <xf numFmtId="43" fontId="3" fillId="0" borderId="0" xfId="1" applyFont="1" applyAlignment="1">
      <alignment horizontal="center" vertical="center" wrapText="1"/>
    </xf>
    <xf numFmtId="43" fontId="79" fillId="6" borderId="3" xfId="1" applyFont="1" applyFill="1" applyBorder="1" applyAlignment="1" applyProtection="1">
      <alignment horizontal="center" vertical="center"/>
      <protection locked="0"/>
    </xf>
    <xf numFmtId="43" fontId="79" fillId="6" borderId="12" xfId="1" applyFont="1" applyFill="1" applyBorder="1" applyAlignment="1" applyProtection="1">
      <alignment horizontal="center" vertical="center"/>
      <protection locked="0"/>
    </xf>
    <xf numFmtId="43" fontId="79" fillId="6" borderId="11" xfId="1" applyFont="1" applyFill="1" applyBorder="1" applyAlignment="1" applyProtection="1">
      <alignment horizontal="center" vertical="center"/>
      <protection locked="0"/>
    </xf>
    <xf numFmtId="43" fontId="79" fillId="6" borderId="3" xfId="1" applyFont="1" applyFill="1" applyBorder="1" applyAlignment="1" applyProtection="1">
      <alignment horizontal="center" vertical="center" wrapText="1"/>
      <protection locked="0"/>
    </xf>
    <xf numFmtId="43" fontId="79" fillId="6" borderId="12" xfId="1" applyFont="1" applyFill="1" applyBorder="1" applyAlignment="1" applyProtection="1">
      <alignment horizontal="center" vertical="center" wrapText="1"/>
      <protection locked="0"/>
    </xf>
    <xf numFmtId="43" fontId="79" fillId="6" borderId="11" xfId="1" applyFont="1" applyFill="1" applyBorder="1" applyAlignment="1" applyProtection="1">
      <alignment horizontal="center" vertical="center" wrapText="1"/>
      <protection locked="0"/>
    </xf>
    <xf numFmtId="0" fontId="9" fillId="0" borderId="4" xfId="0" applyFont="1" applyBorder="1" applyAlignment="1">
      <alignment horizontal="left" vertical="center" wrapText="1"/>
    </xf>
    <xf numFmtId="0" fontId="9" fillId="0" borderId="4" xfId="0" applyFont="1" applyBorder="1" applyAlignment="1">
      <alignment vertical="center" wrapText="1"/>
    </xf>
    <xf numFmtId="3" fontId="17" fillId="47" borderId="3" xfId="0" applyNumberFormat="1" applyFont="1" applyFill="1" applyBorder="1" applyAlignment="1">
      <alignment horizontal="left" vertical="center" wrapText="1" indent="1"/>
    </xf>
    <xf numFmtId="3" fontId="17" fillId="47" borderId="3" xfId="0" applyNumberFormat="1" applyFont="1" applyFill="1" applyBorder="1" applyAlignment="1">
      <alignment horizontal="left" vertical="center" wrapText="1"/>
    </xf>
    <xf numFmtId="0" fontId="3" fillId="0" borderId="4" xfId="0" applyFont="1" applyBorder="1" applyAlignment="1">
      <alignment horizontal="left" vertical="center" wrapText="1"/>
    </xf>
    <xf numFmtId="0" fontId="3" fillId="0" borderId="4" xfId="0" applyFont="1" applyBorder="1" applyAlignment="1">
      <alignment horizontal="left" vertical="center"/>
    </xf>
    <xf numFmtId="43" fontId="9" fillId="5" borderId="3" xfId="1" applyFont="1" applyFill="1" applyBorder="1" applyAlignment="1">
      <alignment horizontal="left" vertical="center"/>
    </xf>
    <xf numFmtId="43" fontId="9" fillId="5" borderId="11" xfId="1" applyFont="1" applyFill="1" applyBorder="1" applyAlignment="1">
      <alignment horizontal="left" vertical="center"/>
    </xf>
    <xf numFmtId="0" fontId="9" fillId="0" borderId="8" xfId="0" applyFont="1" applyBorder="1" applyAlignment="1">
      <alignment horizontal="center" vertical="center" wrapText="1"/>
    </xf>
    <xf numFmtId="0" fontId="9" fillId="0" borderId="13" xfId="0" applyFont="1" applyBorder="1" applyAlignment="1">
      <alignment horizontal="center" vertical="center" wrapText="1"/>
    </xf>
    <xf numFmtId="0" fontId="30" fillId="0" borderId="0" xfId="0" applyFont="1" applyAlignment="1">
      <alignment horizontal="center" vertical="top"/>
    </xf>
    <xf numFmtId="0" fontId="21" fillId="0" borderId="11" xfId="0" applyFont="1" applyBorder="1" applyAlignment="1">
      <alignment horizontal="center" vertical="center"/>
    </xf>
    <xf numFmtId="0" fontId="171" fillId="47" borderId="5" xfId="0" applyFont="1" applyFill="1" applyBorder="1" applyAlignment="1">
      <alignment horizontal="center" vertical="center"/>
    </xf>
    <xf numFmtId="0" fontId="171" fillId="47" borderId="40" xfId="0" applyFont="1" applyFill="1" applyBorder="1" applyAlignment="1">
      <alignment horizontal="center" vertical="center"/>
    </xf>
    <xf numFmtId="43" fontId="20" fillId="47" borderId="4" xfId="1" applyFont="1" applyFill="1" applyBorder="1" applyAlignment="1">
      <alignment horizontal="center" vertical="center" wrapText="1"/>
    </xf>
    <xf numFmtId="43" fontId="21" fillId="6" borderId="4" xfId="1" applyFont="1" applyFill="1" applyBorder="1" applyAlignment="1" applyProtection="1">
      <alignment horizontal="center" vertical="center" wrapText="1"/>
      <protection locked="0"/>
    </xf>
    <xf numFmtId="3" fontId="17" fillId="47" borderId="6" xfId="0" applyNumberFormat="1" applyFont="1" applyFill="1" applyBorder="1" applyAlignment="1">
      <alignment horizontal="left" vertical="center" wrapText="1"/>
    </xf>
    <xf numFmtId="3" fontId="17" fillId="47" borderId="5" xfId="0" applyNumberFormat="1" applyFont="1" applyFill="1" applyBorder="1" applyAlignment="1">
      <alignment horizontal="left" vertical="center" wrapText="1"/>
    </xf>
    <xf numFmtId="3" fontId="17" fillId="47" borderId="40" xfId="0" applyNumberFormat="1" applyFont="1" applyFill="1" applyBorder="1" applyAlignment="1">
      <alignment horizontal="left" vertical="center" wrapText="1"/>
    </xf>
    <xf numFmtId="0" fontId="3" fillId="6" borderId="3" xfId="0" applyFont="1" applyFill="1" applyBorder="1" applyAlignment="1" applyProtection="1">
      <alignment horizontal="left" vertical="center" wrapText="1"/>
      <protection locked="0"/>
    </xf>
    <xf numFmtId="0" fontId="30" fillId="47" borderId="6" xfId="0" applyFont="1" applyFill="1" applyBorder="1" applyAlignment="1">
      <alignment horizontal="center" vertical="center" wrapText="1"/>
    </xf>
    <xf numFmtId="0" fontId="30" fillId="47" borderId="4" xfId="0" applyFont="1" applyFill="1" applyBorder="1" applyAlignment="1">
      <alignment horizontal="center" vertical="center" wrapText="1"/>
    </xf>
    <xf numFmtId="0" fontId="20" fillId="47" borderId="3" xfId="0" applyFont="1" applyFill="1" applyBorder="1" applyAlignment="1">
      <alignment horizontal="center" vertical="center"/>
    </xf>
    <xf numFmtId="0" fontId="20" fillId="47" borderId="6" xfId="0" applyFont="1" applyFill="1" applyBorder="1" applyAlignment="1" applyProtection="1">
      <alignment horizontal="center" vertical="center" wrapText="1"/>
      <protection locked="0"/>
    </xf>
    <xf numFmtId="0" fontId="20" fillId="47" borderId="40" xfId="0" applyFont="1" applyFill="1" applyBorder="1" applyAlignment="1" applyProtection="1">
      <alignment horizontal="center" vertical="center" wrapText="1"/>
      <protection locked="0"/>
    </xf>
    <xf numFmtId="0" fontId="20" fillId="47" borderId="12" xfId="0" applyFont="1" applyFill="1" applyBorder="1" applyAlignment="1">
      <alignment horizontal="center" vertical="center"/>
    </xf>
    <xf numFmtId="0" fontId="79" fillId="47" borderId="11" xfId="0" applyFont="1" applyFill="1" applyBorder="1" applyAlignment="1">
      <alignment horizontal="center" vertical="center" wrapText="1"/>
    </xf>
    <xf numFmtId="0" fontId="174" fillId="9" borderId="71" xfId="421" applyFont="1" applyFill="1" applyBorder="1" applyAlignment="1">
      <alignment horizontal="center" vertical="center"/>
    </xf>
    <xf numFmtId="0" fontId="174" fillId="9" borderId="68" xfId="421" applyFont="1" applyFill="1" applyBorder="1" applyAlignment="1">
      <alignment horizontal="center" vertical="center"/>
    </xf>
    <xf numFmtId="0" fontId="174" fillId="9" borderId="83" xfId="421" applyFont="1" applyFill="1" applyBorder="1" applyAlignment="1">
      <alignment horizontal="center" vertical="center"/>
    </xf>
    <xf numFmtId="0" fontId="176" fillId="9" borderId="61" xfId="421" applyFont="1" applyFill="1" applyBorder="1" applyAlignment="1">
      <alignment horizontal="center" vertical="center"/>
    </xf>
    <xf numFmtId="0" fontId="176" fillId="9" borderId="0" xfId="421" applyFont="1" applyFill="1" applyAlignment="1">
      <alignment horizontal="center" vertical="center"/>
    </xf>
    <xf numFmtId="0" fontId="176" fillId="9" borderId="66" xfId="421" applyFont="1" applyFill="1" applyBorder="1" applyAlignment="1">
      <alignment horizontal="center" vertical="center"/>
    </xf>
    <xf numFmtId="0" fontId="179" fillId="9" borderId="61" xfId="421" applyFont="1" applyFill="1" applyBorder="1" applyAlignment="1">
      <alignment horizontal="center" vertical="center"/>
    </xf>
    <xf numFmtId="0" fontId="179" fillId="9" borderId="0" xfId="421" applyFont="1" applyFill="1" applyAlignment="1">
      <alignment horizontal="center" vertical="center"/>
    </xf>
    <xf numFmtId="0" fontId="179" fillId="9" borderId="66" xfId="421" applyFont="1" applyFill="1" applyBorder="1" applyAlignment="1">
      <alignment horizontal="center" vertical="center"/>
    </xf>
    <xf numFmtId="0" fontId="181" fillId="0" borderId="0" xfId="421" applyFont="1" applyAlignment="1">
      <alignment horizontal="left" vertical="top" wrapText="1"/>
    </xf>
    <xf numFmtId="0" fontId="145" fillId="47" borderId="4" xfId="446" applyFont="1" applyFill="1" applyBorder="1" applyAlignment="1">
      <alignment horizontal="center"/>
    </xf>
    <xf numFmtId="0" fontId="20" fillId="0" borderId="0" xfId="445" applyFont="1" applyAlignment="1">
      <alignment horizontal="left" vertical="center" wrapText="1" indent="1"/>
    </xf>
    <xf numFmtId="0" fontId="30" fillId="0" borderId="0" xfId="0" applyFont="1" applyAlignment="1">
      <alignment horizontal="left" vertical="center" wrapText="1"/>
    </xf>
    <xf numFmtId="0" fontId="26" fillId="0" borderId="0" xfId="421" applyFont="1" applyAlignment="1">
      <alignment horizontal="left" vertical="top" wrapText="1" indent="1"/>
    </xf>
    <xf numFmtId="0" fontId="20" fillId="47" borderId="6" xfId="2" applyFont="1" applyFill="1" applyBorder="1" applyAlignment="1">
      <alignment horizontal="center" vertical="center" wrapText="1"/>
    </xf>
    <xf numFmtId="0" fontId="20" fillId="47" borderId="40" xfId="2" applyFont="1" applyFill="1" applyBorder="1" applyAlignment="1">
      <alignment horizontal="center" vertical="center" wrapText="1"/>
    </xf>
    <xf numFmtId="0" fontId="9" fillId="47" borderId="4" xfId="2" applyFill="1" applyBorder="1" applyAlignment="1">
      <alignment horizontal="left" vertical="center" wrapText="1" indent="1"/>
    </xf>
    <xf numFmtId="168" fontId="9" fillId="47" borderId="3" xfId="2" applyNumberFormat="1" applyFill="1" applyBorder="1" applyAlignment="1">
      <alignment horizontal="center" vertical="center"/>
    </xf>
    <xf numFmtId="168" fontId="9" fillId="47" borderId="11" xfId="2" applyNumberFormat="1" applyFill="1" applyBorder="1" applyAlignment="1">
      <alignment horizontal="center" vertical="center"/>
    </xf>
    <xf numFmtId="0" fontId="9" fillId="47" borderId="3" xfId="2" applyFill="1" applyBorder="1" applyAlignment="1">
      <alignment horizontal="center" vertical="center"/>
    </xf>
    <xf numFmtId="0" fontId="9" fillId="47" borderId="11" xfId="2" applyFill="1" applyBorder="1" applyAlignment="1">
      <alignment horizontal="center" vertical="center"/>
    </xf>
    <xf numFmtId="168" fontId="21" fillId="5" borderId="4" xfId="12" applyNumberFormat="1" applyFont="1" applyFill="1" applyBorder="1" applyAlignment="1">
      <alignment horizontal="right" vertical="center" wrapText="1"/>
    </xf>
    <xf numFmtId="168" fontId="21" fillId="0" borderId="4" xfId="0" applyNumberFormat="1" applyFont="1" applyBorder="1" applyAlignment="1">
      <alignment horizontal="right" vertical="center"/>
    </xf>
    <xf numFmtId="170" fontId="21" fillId="5" borderId="4" xfId="11" applyNumberFormat="1" applyFont="1" applyFill="1" applyBorder="1" applyAlignment="1" applyProtection="1">
      <alignment vertical="center" wrapText="1"/>
    </xf>
    <xf numFmtId="170" fontId="21" fillId="0" borderId="3" xfId="0" applyNumberFormat="1" applyFont="1" applyBorder="1" applyAlignment="1">
      <alignment vertical="center"/>
    </xf>
    <xf numFmtId="3" fontId="21" fillId="5" borderId="4" xfId="2" applyNumberFormat="1" applyFont="1" applyFill="1" applyBorder="1" applyAlignment="1">
      <alignment horizontal="left" vertical="center" wrapText="1" indent="1"/>
    </xf>
    <xf numFmtId="0" fontId="113" fillId="5" borderId="4" xfId="0" applyFont="1" applyFill="1" applyBorder="1" applyAlignment="1">
      <alignment horizontal="left" vertical="center" indent="1"/>
    </xf>
    <xf numFmtId="49" fontId="9" fillId="47" borderId="3" xfId="2" applyNumberFormat="1" applyFill="1" applyBorder="1" applyAlignment="1">
      <alignment horizontal="center" vertical="center" wrapText="1"/>
    </xf>
    <xf numFmtId="49" fontId="9" fillId="47" borderId="12" xfId="2" applyNumberFormat="1" applyFill="1" applyBorder="1" applyAlignment="1">
      <alignment horizontal="center" vertical="center" wrapText="1"/>
    </xf>
    <xf numFmtId="49" fontId="9" fillId="47" borderId="13" xfId="2" applyNumberFormat="1" applyFill="1" applyBorder="1" applyAlignment="1">
      <alignment horizontal="center" vertical="center" wrapText="1"/>
    </xf>
    <xf numFmtId="0" fontId="9" fillId="47" borderId="12" xfId="2" applyFill="1" applyBorder="1" applyAlignment="1">
      <alignment horizontal="center" vertical="center" wrapText="1"/>
    </xf>
    <xf numFmtId="0" fontId="9" fillId="47" borderId="13" xfId="2" applyFill="1" applyBorder="1" applyAlignment="1">
      <alignment horizontal="center" vertical="center" wrapText="1"/>
    </xf>
    <xf numFmtId="170" fontId="9" fillId="47" borderId="4" xfId="11" applyNumberFormat="1" applyFont="1" applyFill="1" applyBorder="1" applyAlignment="1" applyProtection="1">
      <alignment horizontal="left" vertical="center"/>
    </xf>
    <xf numFmtId="168" fontId="21" fillId="0" borderId="4" xfId="12" applyNumberFormat="1" applyFont="1" applyFill="1" applyBorder="1" applyAlignment="1" applyProtection="1">
      <alignment horizontal="center" vertical="center"/>
    </xf>
    <xf numFmtId="164" fontId="21" fillId="0" borderId="4" xfId="10" applyNumberFormat="1" applyFont="1" applyFill="1" applyBorder="1" applyAlignment="1" applyProtection="1">
      <alignment horizontal="center" vertical="center" wrapText="1"/>
    </xf>
    <xf numFmtId="168" fontId="21" fillId="0" borderId="4" xfId="12" applyNumberFormat="1" applyFont="1" applyFill="1" applyBorder="1" applyAlignment="1">
      <alignment horizontal="center" vertical="center"/>
    </xf>
    <xf numFmtId="164" fontId="21" fillId="0" borderId="4" xfId="10" applyNumberFormat="1" applyFont="1" applyFill="1" applyBorder="1" applyAlignment="1">
      <alignment horizontal="center" vertical="center" wrapText="1"/>
    </xf>
    <xf numFmtId="3" fontId="21" fillId="0" borderId="4" xfId="2" applyNumberFormat="1" applyFont="1" applyBorder="1" applyAlignment="1">
      <alignment horizontal="left" vertical="center" wrapText="1" indent="1"/>
    </xf>
    <xf numFmtId="193" fontId="21" fillId="44" borderId="4" xfId="2" applyNumberFormat="1" applyFont="1" applyFill="1" applyBorder="1" applyAlignment="1">
      <alignment horizontal="left" vertical="center" wrapText="1" indent="1"/>
    </xf>
    <xf numFmtId="0" fontId="21" fillId="0" borderId="4" xfId="2" applyFont="1" applyBorder="1" applyAlignment="1">
      <alignment horizontal="left" vertical="center" wrapText="1" indent="1"/>
    </xf>
    <xf numFmtId="0" fontId="9" fillId="0" borderId="4" xfId="2" applyBorder="1" applyAlignment="1">
      <alignment horizontal="left" vertical="center" wrapText="1" indent="1"/>
    </xf>
    <xf numFmtId="0" fontId="113" fillId="47" borderId="4" xfId="0" applyFont="1" applyFill="1" applyBorder="1" applyAlignment="1">
      <alignment horizontal="center" vertical="center" wrapText="1"/>
    </xf>
    <xf numFmtId="3" fontId="21" fillId="0" borderId="6" xfId="2" applyNumberFormat="1" applyFont="1" applyBorder="1" applyAlignment="1">
      <alignment horizontal="left" vertical="center" wrapText="1" indent="1"/>
    </xf>
    <xf numFmtId="0" fontId="21" fillId="0" borderId="6" xfId="2" applyFont="1" applyBorder="1" applyAlignment="1">
      <alignment horizontal="left" vertical="center" wrapText="1" indent="1"/>
    </xf>
    <xf numFmtId="168" fontId="21" fillId="9" borderId="4" xfId="2" applyNumberFormat="1" applyFont="1" applyFill="1" applyBorder="1" applyAlignment="1">
      <alignment horizontal="center" vertical="center" wrapText="1"/>
    </xf>
    <xf numFmtId="193" fontId="21" fillId="6" borderId="4" xfId="2" applyNumberFormat="1" applyFont="1" applyFill="1" applyBorder="1" applyAlignment="1" applyProtection="1">
      <alignment horizontal="center" vertical="center"/>
      <protection locked="0"/>
    </xf>
    <xf numFmtId="193" fontId="21" fillId="6" borderId="4" xfId="2" applyNumberFormat="1" applyFont="1" applyFill="1" applyBorder="1" applyAlignment="1">
      <alignment horizontal="left" vertical="center" wrapText="1" indent="1"/>
    </xf>
    <xf numFmtId="193" fontId="21" fillId="6" borderId="4" xfId="2" applyNumberFormat="1" applyFont="1" applyFill="1" applyBorder="1" applyAlignment="1">
      <alignment horizontal="center" vertical="center"/>
    </xf>
    <xf numFmtId="164" fontId="21" fillId="9" borderId="4" xfId="10" applyNumberFormat="1" applyFont="1" applyFill="1" applyBorder="1" applyAlignment="1" applyProtection="1">
      <alignment horizontal="right" vertical="center"/>
    </xf>
    <xf numFmtId="0" fontId="21" fillId="0" borderId="4" xfId="2" applyFont="1" applyBorder="1" applyAlignment="1">
      <alignment horizontal="right" vertical="center"/>
    </xf>
    <xf numFmtId="164" fontId="21" fillId="5" borderId="4" xfId="10" applyNumberFormat="1" applyFont="1" applyFill="1" applyBorder="1" applyAlignment="1" applyProtection="1">
      <alignment horizontal="right" vertical="center"/>
    </xf>
    <xf numFmtId="164" fontId="21" fillId="0" borderId="4" xfId="10" applyNumberFormat="1" applyFont="1" applyBorder="1" applyAlignment="1" applyProtection="1">
      <alignment horizontal="center" vertical="center"/>
    </xf>
    <xf numFmtId="0" fontId="21" fillId="0" borderId="4" xfId="2" applyFont="1" applyBorder="1" applyAlignment="1">
      <alignment horizontal="center" vertical="center"/>
    </xf>
    <xf numFmtId="193" fontId="21" fillId="5" borderId="4" xfId="2" applyNumberFormat="1" applyFont="1" applyFill="1" applyBorder="1" applyAlignment="1">
      <alignment horizontal="left" vertical="center" wrapText="1" indent="1"/>
    </xf>
    <xf numFmtId="193" fontId="21" fillId="44" borderId="4" xfId="2" applyNumberFormat="1" applyFont="1" applyFill="1" applyBorder="1" applyAlignment="1">
      <alignment horizontal="center" vertical="center"/>
    </xf>
    <xf numFmtId="193" fontId="21" fillId="44" borderId="6" xfId="2" applyNumberFormat="1" applyFont="1" applyFill="1" applyBorder="1" applyAlignment="1">
      <alignment horizontal="center" vertical="center"/>
    </xf>
    <xf numFmtId="193" fontId="21" fillId="44" borderId="40" xfId="2" applyNumberFormat="1" applyFont="1" applyFill="1" applyBorder="1" applyAlignment="1">
      <alignment horizontal="center" vertical="center"/>
    </xf>
    <xf numFmtId="193" fontId="21" fillId="6" borderId="4" xfId="2" applyNumberFormat="1" applyFont="1" applyFill="1" applyBorder="1" applyAlignment="1" applyProtection="1">
      <alignment horizontal="left" vertical="center" wrapText="1" indent="1"/>
      <protection locked="0"/>
    </xf>
    <xf numFmtId="49" fontId="20" fillId="47" borderId="4" xfId="2" applyNumberFormat="1" applyFont="1" applyFill="1" applyBorder="1" applyAlignment="1">
      <alignment horizontal="center" vertical="center" wrapText="1"/>
    </xf>
    <xf numFmtId="0" fontId="148" fillId="47" borderId="3" xfId="0" applyFont="1" applyFill="1" applyBorder="1"/>
    <xf numFmtId="200" fontId="21" fillId="5" borderId="4" xfId="11" applyNumberFormat="1" applyFont="1" applyFill="1" applyBorder="1" applyAlignment="1" applyProtection="1">
      <alignment horizontal="right" vertical="center"/>
    </xf>
    <xf numFmtId="200" fontId="21" fillId="5" borderId="4" xfId="2" applyNumberFormat="1" applyFont="1" applyFill="1" applyBorder="1" applyAlignment="1">
      <alignment vertical="center"/>
    </xf>
    <xf numFmtId="164" fontId="21" fillId="0" borderId="4" xfId="10" applyNumberFormat="1" applyFont="1" applyFill="1" applyBorder="1" applyAlignment="1" applyProtection="1">
      <alignment horizontal="center" vertical="center"/>
    </xf>
    <xf numFmtId="164" fontId="21" fillId="0" borderId="4" xfId="2" applyNumberFormat="1" applyFont="1" applyBorder="1" applyAlignment="1">
      <alignment horizontal="center" vertical="center"/>
    </xf>
    <xf numFmtId="164" fontId="21" fillId="0" borderId="3" xfId="0" applyNumberFormat="1" applyFont="1" applyBorder="1" applyAlignment="1">
      <alignment horizontal="center" vertical="center"/>
    </xf>
    <xf numFmtId="0" fontId="148" fillId="47" borderId="4" xfId="0" applyFont="1" applyFill="1" applyBorder="1"/>
    <xf numFmtId="49" fontId="9" fillId="47" borderId="3" xfId="2" applyNumberFormat="1" applyFill="1" applyBorder="1" applyAlignment="1">
      <alignment horizontal="center" vertical="center"/>
    </xf>
    <xf numFmtId="49" fontId="9" fillId="47" borderId="12" xfId="2" applyNumberFormat="1" applyFill="1" applyBorder="1" applyAlignment="1">
      <alignment horizontal="center" vertical="center"/>
    </xf>
    <xf numFmtId="49" fontId="9" fillId="47" borderId="13" xfId="2" applyNumberFormat="1" applyFill="1" applyBorder="1" applyAlignment="1">
      <alignment horizontal="center" vertical="center"/>
    </xf>
    <xf numFmtId="0" fontId="21" fillId="0" borderId="3" xfId="0" applyFont="1" applyBorder="1" applyAlignment="1">
      <alignment horizontal="center" vertical="center"/>
    </xf>
    <xf numFmtId="0" fontId="113" fillId="0" borderId="0" xfId="0" applyFont="1" applyAlignment="1">
      <alignment vertical="top" wrapText="1"/>
    </xf>
    <xf numFmtId="0" fontId="113" fillId="0" borderId="99" xfId="0" applyFont="1" applyBorder="1" applyAlignment="1">
      <alignment vertical="center"/>
    </xf>
    <xf numFmtId="0" fontId="113" fillId="4" borderId="99" xfId="0" applyFont="1" applyFill="1" applyBorder="1" applyAlignment="1">
      <alignment horizontal="center" vertical="center"/>
    </xf>
    <xf numFmtId="0" fontId="113" fillId="4" borderId="99" xfId="0" applyFont="1" applyFill="1" applyBorder="1" applyAlignment="1">
      <alignment vertical="center"/>
    </xf>
    <xf numFmtId="0" fontId="21" fillId="4" borderId="99" xfId="0" applyFont="1" applyFill="1" applyBorder="1" applyAlignment="1">
      <alignment vertical="center"/>
    </xf>
    <xf numFmtId="168" fontId="21" fillId="0" borderId="99" xfId="0" applyNumberFormat="1" applyFont="1" applyBorder="1" applyAlignment="1">
      <alignment vertical="center"/>
    </xf>
    <xf numFmtId="0" fontId="113" fillId="0" borderId="99" xfId="0" applyFont="1" applyBorder="1" applyAlignment="1">
      <alignment horizontal="left" vertical="center" wrapText="1" indent="1"/>
    </xf>
    <xf numFmtId="43" fontId="9" fillId="47" borderId="4" xfId="1" applyFont="1" applyFill="1" applyBorder="1" applyAlignment="1">
      <alignment horizontal="center" vertical="center" wrapText="1"/>
    </xf>
    <xf numFmtId="3" fontId="9" fillId="47" borderId="4" xfId="2" applyNumberFormat="1" applyFill="1" applyBorder="1" applyAlignment="1">
      <alignment horizontal="left" vertical="center" wrapText="1" indent="1"/>
    </xf>
    <xf numFmtId="0" fontId="113" fillId="47" borderId="4" xfId="0" applyFont="1" applyFill="1" applyBorder="1" applyAlignment="1">
      <alignment horizontal="left" vertical="center" indent="1"/>
    </xf>
    <xf numFmtId="0" fontId="148" fillId="47" borderId="4" xfId="0" applyFont="1" applyFill="1" applyBorder="1" applyAlignment="1">
      <alignment horizontal="center" vertical="center" wrapText="1"/>
    </xf>
    <xf numFmtId="43" fontId="9" fillId="0" borderId="4" xfId="1" applyFont="1" applyBorder="1" applyAlignment="1">
      <alignment horizontal="center" vertical="center"/>
    </xf>
    <xf numFmtId="3" fontId="9" fillId="47" borderId="4" xfId="2" applyNumberFormat="1" applyFill="1" applyBorder="1" applyAlignment="1">
      <alignment vertical="center"/>
    </xf>
    <xf numFmtId="0" fontId="9" fillId="47" borderId="4" xfId="2" applyFill="1" applyBorder="1" applyAlignment="1">
      <alignment vertical="center"/>
    </xf>
    <xf numFmtId="0" fontId="113" fillId="0" borderId="99" xfId="0" applyFont="1" applyBorder="1" applyAlignment="1">
      <alignment horizontal="center" vertical="center" wrapText="1"/>
    </xf>
    <xf numFmtId="49" fontId="20" fillId="47" borderId="3" xfId="2" applyNumberFormat="1" applyFont="1" applyFill="1" applyBorder="1" applyAlignment="1">
      <alignment horizontal="center" vertical="center" wrapText="1"/>
    </xf>
    <xf numFmtId="49" fontId="20" fillId="47" borderId="12" xfId="2" applyNumberFormat="1" applyFont="1" applyFill="1" applyBorder="1" applyAlignment="1">
      <alignment horizontal="center" vertical="center" wrapText="1"/>
    </xf>
    <xf numFmtId="49" fontId="20" fillId="47" borderId="13" xfId="2" applyNumberFormat="1" applyFont="1" applyFill="1" applyBorder="1" applyAlignment="1">
      <alignment horizontal="center" vertical="center" wrapText="1"/>
    </xf>
    <xf numFmtId="49" fontId="22" fillId="47" borderId="4" xfId="2" applyNumberFormat="1" applyFont="1" applyFill="1" applyBorder="1" applyAlignment="1">
      <alignment horizontal="center" vertical="center"/>
    </xf>
    <xf numFmtId="0" fontId="9" fillId="47" borderId="4" xfId="2" applyFill="1" applyBorder="1" applyAlignment="1">
      <alignment horizontal="center" vertical="center"/>
    </xf>
    <xf numFmtId="49" fontId="9" fillId="47" borderId="4" xfId="2" applyNumberFormat="1" applyFill="1" applyBorder="1" applyAlignment="1">
      <alignment horizontal="center" vertical="center" wrapText="1"/>
    </xf>
    <xf numFmtId="0" fontId="9" fillId="47" borderId="4" xfId="2" applyFill="1" applyBorder="1" applyAlignment="1">
      <alignment horizontal="left" vertical="center" indent="1"/>
    </xf>
    <xf numFmtId="3" fontId="21" fillId="0" borderId="4" xfId="2" applyNumberFormat="1" applyFont="1" applyBorder="1" applyAlignment="1">
      <alignment horizontal="left" vertical="center" indent="1"/>
    </xf>
    <xf numFmtId="0" fontId="21" fillId="0" borderId="4" xfId="0" applyFont="1" applyBorder="1" applyAlignment="1">
      <alignment horizontal="left" vertical="center" indent="1"/>
    </xf>
    <xf numFmtId="170" fontId="21" fillId="9" borderId="4" xfId="11" applyNumberFormat="1" applyFont="1" applyFill="1" applyBorder="1" applyAlignment="1">
      <alignment horizontal="right" vertical="center" wrapText="1"/>
    </xf>
    <xf numFmtId="170" fontId="21" fillId="5" borderId="4" xfId="2" applyNumberFormat="1" applyFont="1" applyFill="1" applyBorder="1" applyAlignment="1">
      <alignment horizontal="right" vertical="center" wrapText="1"/>
    </xf>
    <xf numFmtId="170" fontId="21" fillId="0" borderId="4" xfId="0" applyNumberFormat="1" applyFont="1" applyBorder="1" applyAlignment="1">
      <alignment horizontal="right" vertical="center" wrapText="1"/>
    </xf>
    <xf numFmtId="3" fontId="9" fillId="47" borderId="4" xfId="2" applyNumberFormat="1" applyFill="1" applyBorder="1" applyAlignment="1">
      <alignment horizontal="left" vertical="center" indent="1"/>
    </xf>
    <xf numFmtId="170" fontId="9" fillId="0" borderId="4" xfId="11" applyNumberFormat="1" applyFont="1" applyFill="1" applyBorder="1" applyAlignment="1">
      <alignment horizontal="right" vertical="center" wrapText="1"/>
    </xf>
    <xf numFmtId="170" fontId="9" fillId="0" borderId="4" xfId="2" applyNumberFormat="1" applyBorder="1" applyAlignment="1">
      <alignment horizontal="right" vertical="center" wrapText="1"/>
    </xf>
    <xf numFmtId="170" fontId="113" fillId="0" borderId="4" xfId="0" applyNumberFormat="1" applyFont="1" applyBorder="1" applyAlignment="1">
      <alignment horizontal="right" vertical="center" wrapText="1"/>
    </xf>
    <xf numFmtId="193" fontId="21" fillId="5" borderId="4" xfId="0" applyNumberFormat="1" applyFont="1" applyFill="1" applyBorder="1" applyAlignment="1">
      <alignment horizontal="left" indent="1"/>
    </xf>
    <xf numFmtId="168" fontId="21" fillId="5" borderId="4" xfId="12" applyNumberFormat="1" applyFont="1" applyFill="1" applyBorder="1" applyAlignment="1">
      <alignment horizontal="right" vertical="center"/>
    </xf>
    <xf numFmtId="168" fontId="21" fillId="5" borderId="4" xfId="2" applyNumberFormat="1" applyFont="1" applyFill="1" applyBorder="1" applyAlignment="1">
      <alignment horizontal="right" vertical="center"/>
    </xf>
    <xf numFmtId="168" fontId="21" fillId="5" borderId="4" xfId="0" applyNumberFormat="1" applyFont="1" applyFill="1" applyBorder="1" applyAlignment="1">
      <alignment horizontal="right" vertical="center"/>
    </xf>
    <xf numFmtId="3" fontId="9" fillId="47" borderId="6" xfId="2" applyNumberFormat="1" applyFill="1" applyBorder="1" applyAlignment="1">
      <alignment horizontal="left" vertical="center" indent="1"/>
    </xf>
    <xf numFmtId="0" fontId="9" fillId="47" borderId="6" xfId="2" applyFill="1" applyBorder="1" applyAlignment="1">
      <alignment horizontal="left" vertical="center" indent="1"/>
    </xf>
    <xf numFmtId="168" fontId="21" fillId="5" borderId="6" xfId="12" applyNumberFormat="1" applyFont="1" applyFill="1" applyBorder="1" applyAlignment="1">
      <alignment horizontal="right" vertical="center"/>
    </xf>
    <xf numFmtId="168" fontId="21" fillId="5" borderId="6" xfId="2" applyNumberFormat="1" applyFont="1" applyFill="1" applyBorder="1" applyAlignment="1">
      <alignment horizontal="right" vertical="center"/>
    </xf>
    <xf numFmtId="168" fontId="21" fillId="5" borderId="6" xfId="0" applyNumberFormat="1" applyFont="1" applyFill="1" applyBorder="1" applyAlignment="1">
      <alignment horizontal="right" vertical="center"/>
    </xf>
    <xf numFmtId="0" fontId="20" fillId="47" borderId="4" xfId="2" applyFont="1" applyFill="1" applyBorder="1" applyAlignment="1">
      <alignment horizontal="center" vertical="center"/>
    </xf>
    <xf numFmtId="3" fontId="9" fillId="47" borderId="4" xfId="2" applyNumberFormat="1" applyFill="1" applyBorder="1" applyAlignment="1">
      <alignment horizontal="left" vertical="center"/>
    </xf>
    <xf numFmtId="169" fontId="21" fillId="5" borderId="3" xfId="12" applyNumberFormat="1" applyFont="1" applyFill="1" applyBorder="1" applyAlignment="1">
      <alignment horizontal="right" vertical="center"/>
    </xf>
    <xf numFmtId="169" fontId="21" fillId="5" borderId="12" xfId="12" applyNumberFormat="1" applyFont="1" applyFill="1" applyBorder="1" applyAlignment="1">
      <alignment horizontal="right" vertical="center"/>
    </xf>
    <xf numFmtId="169" fontId="21" fillId="5" borderId="11" xfId="12" applyNumberFormat="1" applyFont="1" applyFill="1" applyBorder="1" applyAlignment="1">
      <alignment horizontal="right" vertical="center"/>
    </xf>
    <xf numFmtId="3" fontId="20" fillId="0" borderId="0" xfId="2" applyNumberFormat="1" applyFont="1" applyAlignment="1">
      <alignment horizontal="left" vertical="center" wrapText="1"/>
    </xf>
    <xf numFmtId="168" fontId="21" fillId="47" borderId="4" xfId="12" applyNumberFormat="1" applyFont="1" applyFill="1" applyBorder="1" applyAlignment="1">
      <alignment horizontal="right" vertical="center" wrapText="1"/>
    </xf>
    <xf numFmtId="168" fontId="21" fillId="47" borderId="4" xfId="0" applyNumberFormat="1" applyFont="1" applyFill="1" applyBorder="1" applyAlignment="1">
      <alignment horizontal="right" vertical="center"/>
    </xf>
    <xf numFmtId="170" fontId="21" fillId="47" borderId="4" xfId="11" applyNumberFormat="1" applyFont="1" applyFill="1" applyBorder="1" applyAlignment="1" applyProtection="1">
      <alignment vertical="center"/>
    </xf>
    <xf numFmtId="170" fontId="21" fillId="47" borderId="3" xfId="11" applyNumberFormat="1" applyFont="1" applyFill="1" applyBorder="1" applyAlignment="1" applyProtection="1">
      <alignment vertical="center"/>
    </xf>
    <xf numFmtId="170" fontId="21" fillId="6" borderId="4" xfId="11" applyNumberFormat="1" applyFont="1" applyFill="1" applyBorder="1" applyAlignment="1" applyProtection="1">
      <alignment vertical="center" wrapText="1"/>
      <protection locked="0"/>
    </xf>
    <xf numFmtId="0" fontId="113" fillId="0" borderId="3" xfId="0" applyFont="1" applyBorder="1" applyAlignment="1" applyProtection="1">
      <alignment vertical="center"/>
      <protection locked="0"/>
    </xf>
    <xf numFmtId="0" fontId="20" fillId="47" borderId="3" xfId="0" applyFont="1" applyFill="1" applyBorder="1" applyAlignment="1">
      <alignment vertical="center"/>
    </xf>
    <xf numFmtId="0" fontId="20" fillId="47" borderId="4" xfId="0" applyFont="1" applyFill="1" applyBorder="1" applyAlignment="1">
      <alignment vertical="center"/>
    </xf>
    <xf numFmtId="0" fontId="113" fillId="47" borderId="4" xfId="0" applyFont="1" applyFill="1" applyBorder="1" applyAlignment="1">
      <alignment horizontal="left" vertical="center"/>
    </xf>
    <xf numFmtId="192" fontId="21" fillId="5" borderId="4" xfId="2" applyNumberFormat="1" applyFont="1" applyFill="1" applyBorder="1" applyAlignment="1">
      <alignment horizontal="right" vertical="center" wrapText="1"/>
    </xf>
    <xf numFmtId="192" fontId="113" fillId="5" borderId="4" xfId="0" applyNumberFormat="1" applyFont="1" applyFill="1" applyBorder="1" applyAlignment="1">
      <alignment horizontal="right" vertical="center" wrapText="1"/>
    </xf>
    <xf numFmtId="0" fontId="21" fillId="6" borderId="4" xfId="2" applyFont="1" applyFill="1" applyBorder="1" applyAlignment="1" applyProtection="1">
      <alignment horizontal="left" vertical="center" wrapText="1"/>
      <protection locked="0"/>
    </xf>
    <xf numFmtId="0" fontId="113" fillId="0" borderId="4" xfId="0" applyFont="1" applyBorder="1" applyAlignment="1" applyProtection="1">
      <alignment horizontal="left" vertical="center" wrapText="1"/>
      <protection locked="0"/>
    </xf>
    <xf numFmtId="49" fontId="20" fillId="47" borderId="8" xfId="2" applyNumberFormat="1" applyFont="1" applyFill="1" applyBorder="1" applyAlignment="1">
      <alignment horizontal="center" vertical="center" wrapText="1"/>
    </xf>
    <xf numFmtId="49" fontId="20" fillId="47" borderId="9" xfId="2" applyNumberFormat="1" applyFont="1" applyFill="1" applyBorder="1" applyAlignment="1">
      <alignment horizontal="center" vertical="center" wrapText="1"/>
    </xf>
    <xf numFmtId="49" fontId="20" fillId="47" borderId="6" xfId="2" applyNumberFormat="1" applyFont="1" applyFill="1" applyBorder="1" applyAlignment="1">
      <alignment horizontal="center" vertical="center" wrapText="1"/>
    </xf>
    <xf numFmtId="49" fontId="20" fillId="47" borderId="40" xfId="2" applyNumberFormat="1" applyFont="1" applyFill="1" applyBorder="1" applyAlignment="1">
      <alignment horizontal="center" vertical="center" wrapText="1"/>
    </xf>
    <xf numFmtId="0" fontId="20" fillId="47" borderId="0" xfId="2" applyFont="1" applyFill="1" applyAlignment="1">
      <alignment horizontal="center" vertical="center" wrapText="1"/>
    </xf>
    <xf numFmtId="0" fontId="21" fillId="6" borderId="9" xfId="2" applyFont="1" applyFill="1" applyBorder="1" applyAlignment="1" applyProtection="1">
      <alignment horizontal="left" vertical="center"/>
      <protection locked="0"/>
    </xf>
    <xf numFmtId="0" fontId="21" fillId="6" borderId="10" xfId="2" applyFont="1" applyFill="1" applyBorder="1" applyAlignment="1" applyProtection="1">
      <alignment horizontal="left" vertical="center"/>
      <protection locked="0"/>
    </xf>
    <xf numFmtId="0" fontId="21" fillId="6" borderId="15" xfId="2" applyFont="1" applyFill="1" applyBorder="1" applyAlignment="1" applyProtection="1">
      <alignment horizontal="left" vertical="center"/>
      <protection locked="0"/>
    </xf>
    <xf numFmtId="0" fontId="21" fillId="6" borderId="3" xfId="2" applyFont="1" applyFill="1" applyBorder="1" applyAlignment="1" applyProtection="1">
      <alignment horizontal="left" vertical="center"/>
      <protection locked="0"/>
    </xf>
    <xf numFmtId="0" fontId="21" fillId="6" borderId="12" xfId="2" applyFont="1" applyFill="1" applyBorder="1" applyAlignment="1" applyProtection="1">
      <alignment horizontal="left" vertical="center"/>
      <protection locked="0"/>
    </xf>
    <xf numFmtId="0" fontId="21" fillId="6" borderId="11" xfId="2" applyFont="1" applyFill="1" applyBorder="1" applyAlignment="1" applyProtection="1">
      <alignment horizontal="left" vertical="center"/>
      <protection locked="0"/>
    </xf>
    <xf numFmtId="3" fontId="9" fillId="5" borderId="4" xfId="2" applyNumberFormat="1" applyFill="1" applyBorder="1" applyAlignment="1">
      <alignment horizontal="left" vertical="center" wrapText="1"/>
    </xf>
    <xf numFmtId="0" fontId="113" fillId="0" borderId="4" xfId="0" applyFont="1" applyBorder="1" applyAlignment="1">
      <alignment horizontal="left" vertical="center" wrapText="1"/>
    </xf>
    <xf numFmtId="0" fontId="18" fillId="0" borderId="0" xfId="2" applyFont="1" applyAlignment="1">
      <alignment horizontal="left" vertical="top" wrapText="1"/>
    </xf>
    <xf numFmtId="0" fontId="21" fillId="0" borderId="4" xfId="2" applyFont="1" applyBorder="1" applyAlignment="1">
      <alignment horizontal="center" vertical="center" wrapText="1"/>
    </xf>
    <xf numFmtId="0" fontId="21" fillId="0" borderId="4" xfId="0" applyFont="1" applyBorder="1" applyAlignment="1">
      <alignment horizontal="center" vertical="center"/>
    </xf>
    <xf numFmtId="0" fontId="113" fillId="0" borderId="4" xfId="0" applyFont="1" applyBorder="1" applyAlignment="1">
      <alignment horizontal="center" vertical="center"/>
    </xf>
    <xf numFmtId="0" fontId="148" fillId="47" borderId="4" xfId="0" applyFont="1" applyFill="1" applyBorder="1" applyAlignment="1">
      <alignment vertical="center"/>
    </xf>
    <xf numFmtId="0" fontId="21" fillId="6" borderId="4" xfId="0" applyFont="1" applyFill="1" applyBorder="1" applyAlignment="1" applyProtection="1">
      <alignment horizontal="center" vertical="center"/>
      <protection locked="0"/>
    </xf>
    <xf numFmtId="0" fontId="113" fillId="0" borderId="4" xfId="0" applyFont="1" applyBorder="1" applyAlignment="1" applyProtection="1">
      <alignment horizontal="center" vertical="center"/>
      <protection locked="0"/>
    </xf>
    <xf numFmtId="0" fontId="21" fillId="6" borderId="4" xfId="2" applyFont="1" applyFill="1" applyBorder="1" applyAlignment="1" applyProtection="1">
      <alignment horizontal="center" vertical="center" wrapText="1"/>
      <protection locked="0"/>
    </xf>
    <xf numFmtId="2" fontId="21" fillId="0" borderId="99" xfId="0" applyNumberFormat="1" applyFont="1" applyBorder="1" applyAlignment="1">
      <alignment horizontal="right" vertical="center"/>
    </xf>
    <xf numFmtId="0" fontId="9" fillId="0" borderId="3" xfId="2" applyBorder="1" applyAlignment="1">
      <alignment horizontal="left" vertical="center" wrapText="1" indent="1"/>
    </xf>
    <xf numFmtId="0" fontId="21" fillId="5" borderId="4" xfId="0" applyFont="1" applyFill="1" applyBorder="1" applyAlignment="1">
      <alignment horizontal="left" vertical="center" indent="1"/>
    </xf>
    <xf numFmtId="193" fontId="21" fillId="0" borderId="99" xfId="2" applyNumberFormat="1" applyFont="1" applyBorder="1" applyAlignment="1" applyProtection="1">
      <alignment horizontal="center" vertical="center"/>
      <protection locked="0"/>
    </xf>
    <xf numFmtId="0" fontId="20" fillId="0" borderId="0" xfId="2" applyFont="1" applyAlignment="1">
      <alignment horizontal="center" vertical="center" wrapText="1"/>
    </xf>
    <xf numFmtId="0" fontId="21" fillId="0" borderId="4" xfId="0" applyFont="1" applyBorder="1" applyAlignment="1">
      <alignment horizontal="left" vertical="center"/>
    </xf>
    <xf numFmtId="0" fontId="113" fillId="0" borderId="4" xfId="0" applyFont="1" applyBorder="1" applyAlignment="1">
      <alignment horizontal="left" vertical="center"/>
    </xf>
    <xf numFmtId="0" fontId="9" fillId="47" borderId="4" xfId="2" applyFill="1" applyBorder="1" applyAlignment="1">
      <alignment horizontal="left" vertical="center" wrapText="1"/>
    </xf>
    <xf numFmtId="0" fontId="9" fillId="47" borderId="4" xfId="0" applyFont="1" applyFill="1" applyBorder="1" applyAlignment="1">
      <alignment horizontal="left" vertical="center"/>
    </xf>
    <xf numFmtId="0" fontId="113" fillId="0" borderId="0" xfId="0" applyFont="1" applyAlignment="1">
      <alignment horizontal="left" vertical="center"/>
    </xf>
    <xf numFmtId="0" fontId="9" fillId="47" borderId="12" xfId="2" applyFill="1" applyBorder="1" applyAlignment="1">
      <alignment horizontal="center" vertical="center"/>
    </xf>
    <xf numFmtId="0" fontId="9" fillId="47" borderId="13" xfId="2" applyFill="1" applyBorder="1" applyAlignment="1">
      <alignment horizontal="center" vertical="center"/>
    </xf>
    <xf numFmtId="49" fontId="20" fillId="47" borderId="5" xfId="2" applyNumberFormat="1" applyFont="1" applyFill="1" applyBorder="1" applyAlignment="1">
      <alignment horizontal="center" vertical="center" wrapText="1"/>
    </xf>
    <xf numFmtId="3" fontId="21" fillId="0" borderId="3" xfId="2" applyNumberFormat="1" applyFont="1" applyBorder="1" applyAlignment="1" applyProtection="1">
      <alignment horizontal="right" vertical="center" wrapText="1"/>
      <protection locked="0"/>
    </xf>
    <xf numFmtId="3" fontId="21" fillId="0" borderId="11" xfId="2" applyNumberFormat="1" applyFont="1" applyBorder="1" applyAlignment="1" applyProtection="1">
      <alignment horizontal="right" vertical="center" wrapText="1"/>
      <protection locked="0"/>
    </xf>
    <xf numFmtId="168" fontId="21" fillId="0" borderId="3" xfId="2" applyNumberFormat="1" applyFont="1" applyBorder="1" applyAlignment="1">
      <alignment horizontal="center" vertical="center"/>
    </xf>
    <xf numFmtId="168" fontId="21" fillId="0" borderId="12" xfId="2" applyNumberFormat="1" applyFont="1" applyBorder="1" applyAlignment="1">
      <alignment horizontal="center" vertical="center"/>
    </xf>
    <xf numFmtId="0" fontId="9" fillId="47" borderId="3" xfId="2" applyFill="1" applyBorder="1" applyAlignment="1">
      <alignment horizontal="left" vertical="center"/>
    </xf>
    <xf numFmtId="0" fontId="9" fillId="47" borderId="12" xfId="2" applyFill="1" applyBorder="1" applyAlignment="1">
      <alignment horizontal="left" vertical="center"/>
    </xf>
    <xf numFmtId="0" fontId="9" fillId="47" borderId="11" xfId="2" applyFill="1" applyBorder="1" applyAlignment="1">
      <alignment horizontal="left" vertical="center"/>
    </xf>
    <xf numFmtId="49" fontId="20" fillId="47" borderId="4" xfId="2" applyNumberFormat="1" applyFont="1" applyFill="1" applyBorder="1" applyAlignment="1">
      <alignment horizontal="center" vertical="center" textRotation="90" wrapText="1"/>
    </xf>
    <xf numFmtId="170" fontId="21" fillId="0" borderId="3" xfId="11" applyNumberFormat="1" applyFont="1" applyFill="1" applyBorder="1" applyAlignment="1">
      <alignment horizontal="center" vertical="center" wrapText="1"/>
    </xf>
    <xf numFmtId="170" fontId="21" fillId="0" borderId="12" xfId="11" applyNumberFormat="1" applyFont="1" applyFill="1" applyBorder="1" applyAlignment="1">
      <alignment horizontal="center" vertical="center" wrapText="1"/>
    </xf>
    <xf numFmtId="170" fontId="21" fillId="0" borderId="11" xfId="11" applyNumberFormat="1" applyFont="1" applyFill="1" applyBorder="1" applyAlignment="1">
      <alignment horizontal="center" vertical="center" wrapText="1"/>
    </xf>
    <xf numFmtId="164" fontId="21" fillId="5" borderId="9" xfId="10" applyNumberFormat="1" applyFont="1" applyFill="1" applyBorder="1" applyAlignment="1">
      <alignment horizontal="center" vertical="center" wrapText="1"/>
    </xf>
    <xf numFmtId="164" fontId="21" fillId="5" borderId="10" xfId="10" applyNumberFormat="1" applyFont="1" applyFill="1" applyBorder="1" applyAlignment="1">
      <alignment horizontal="center" vertical="center" wrapText="1"/>
    </xf>
    <xf numFmtId="3" fontId="21" fillId="6" borderId="3" xfId="2" applyNumberFormat="1" applyFont="1" applyFill="1" applyBorder="1" applyAlignment="1" applyProtection="1">
      <alignment horizontal="left" vertical="center" wrapText="1"/>
      <protection locked="0"/>
    </xf>
    <xf numFmtId="3" fontId="21" fillId="6" borderId="12" xfId="2" applyNumberFormat="1" applyFont="1" applyFill="1" applyBorder="1" applyAlignment="1" applyProtection="1">
      <alignment horizontal="left" vertical="center" wrapText="1"/>
      <protection locked="0"/>
    </xf>
    <xf numFmtId="3" fontId="21" fillId="6" borderId="11" xfId="2" applyNumberFormat="1" applyFont="1" applyFill="1" applyBorder="1" applyAlignment="1" applyProtection="1">
      <alignment horizontal="left" vertical="center" wrapText="1"/>
      <protection locked="0"/>
    </xf>
    <xf numFmtId="182" fontId="21" fillId="9" borderId="12" xfId="2" applyNumberFormat="1" applyFont="1" applyFill="1" applyBorder="1" applyAlignment="1">
      <alignment horizontal="right" vertical="center"/>
    </xf>
    <xf numFmtId="182" fontId="21" fillId="9" borderId="11" xfId="2" applyNumberFormat="1" applyFont="1" applyFill="1" applyBorder="1" applyAlignment="1">
      <alignment horizontal="right" vertical="center"/>
    </xf>
    <xf numFmtId="3" fontId="21" fillId="0" borderId="0" xfId="2" applyNumberFormat="1" applyFont="1" applyAlignment="1" applyProtection="1">
      <alignment horizontal="right" vertical="center" wrapText="1"/>
      <protection locked="0"/>
    </xf>
    <xf numFmtId="49" fontId="20" fillId="47" borderId="11" xfId="2" applyNumberFormat="1" applyFont="1" applyFill="1" applyBorder="1" applyAlignment="1">
      <alignment horizontal="center" vertical="center" wrapText="1"/>
    </xf>
    <xf numFmtId="1" fontId="21" fillId="0" borderId="3" xfId="11" applyNumberFormat="1" applyFont="1" applyFill="1" applyBorder="1" applyAlignment="1">
      <alignment horizontal="right" vertical="center" wrapText="1"/>
    </xf>
    <xf numFmtId="1" fontId="21" fillId="0" borderId="12" xfId="11" applyNumberFormat="1" applyFont="1" applyFill="1" applyBorder="1" applyAlignment="1">
      <alignment horizontal="right" vertical="center" wrapText="1"/>
    </xf>
    <xf numFmtId="1" fontId="21" fillId="0" borderId="11" xfId="11" applyNumberFormat="1" applyFont="1" applyFill="1" applyBorder="1" applyAlignment="1">
      <alignment horizontal="right" vertical="center" wrapText="1"/>
    </xf>
    <xf numFmtId="168" fontId="21" fillId="0" borderId="11" xfId="2" applyNumberFormat="1" applyFont="1" applyBorder="1" applyAlignment="1">
      <alignment horizontal="center" vertical="center"/>
    </xf>
    <xf numFmtId="0" fontId="9" fillId="47" borderId="6" xfId="2" applyFill="1" applyBorder="1" applyAlignment="1">
      <alignment horizontal="left" vertical="center" wrapText="1"/>
    </xf>
    <xf numFmtId="0" fontId="9" fillId="47" borderId="6" xfId="0" applyFont="1" applyFill="1" applyBorder="1" applyAlignment="1">
      <alignment horizontal="left" vertical="center" wrapText="1"/>
    </xf>
    <xf numFmtId="0" fontId="9" fillId="47" borderId="6" xfId="0" applyFont="1" applyFill="1" applyBorder="1" applyAlignment="1">
      <alignment horizontal="left" vertical="center"/>
    </xf>
    <xf numFmtId="168" fontId="21" fillId="0" borderId="8" xfId="2" applyNumberFormat="1" applyFont="1" applyBorder="1" applyAlignment="1">
      <alignment horizontal="center" vertical="center"/>
    </xf>
    <xf numFmtId="168" fontId="21" fillId="0" borderId="2" xfId="2" applyNumberFormat="1" applyFont="1" applyBorder="1" applyAlignment="1">
      <alignment horizontal="center" vertical="center"/>
    </xf>
    <xf numFmtId="168" fontId="21" fillId="0" borderId="13" xfId="2" applyNumberFormat="1" applyFont="1" applyBorder="1" applyAlignment="1">
      <alignment horizontal="center" vertical="center"/>
    </xf>
    <xf numFmtId="168" fontId="21" fillId="0" borderId="8" xfId="2" applyNumberFormat="1" applyFont="1" applyBorder="1" applyAlignment="1">
      <alignment horizontal="right" vertical="center"/>
    </xf>
    <xf numFmtId="168" fontId="21" fillId="0" borderId="2" xfId="2" applyNumberFormat="1" applyFont="1" applyBorder="1" applyAlignment="1">
      <alignment horizontal="right" vertical="center"/>
    </xf>
    <xf numFmtId="168" fontId="21" fillId="0" borderId="13" xfId="2" applyNumberFormat="1" applyFont="1" applyBorder="1" applyAlignment="1">
      <alignment horizontal="right" vertical="center"/>
    </xf>
    <xf numFmtId="164" fontId="21" fillId="0" borderId="3" xfId="10" applyNumberFormat="1" applyFont="1" applyFill="1" applyBorder="1" applyAlignment="1">
      <alignment horizontal="center" vertical="center" wrapText="1"/>
    </xf>
    <xf numFmtId="164" fontId="21" fillId="0" borderId="12" xfId="10" applyNumberFormat="1" applyFont="1" applyFill="1" applyBorder="1" applyAlignment="1">
      <alignment horizontal="center" vertical="center" wrapText="1"/>
    </xf>
    <xf numFmtId="164" fontId="21" fillId="0" borderId="11" xfId="10" applyNumberFormat="1" applyFont="1" applyFill="1" applyBorder="1" applyAlignment="1">
      <alignment horizontal="center" vertical="center" wrapText="1"/>
    </xf>
    <xf numFmtId="0" fontId="21" fillId="0" borderId="0" xfId="0" applyFont="1" applyAlignment="1">
      <alignment horizontal="center" vertical="center" wrapText="1"/>
    </xf>
    <xf numFmtId="3" fontId="21" fillId="0" borderId="8" xfId="2" applyNumberFormat="1" applyFont="1" applyBorder="1" applyAlignment="1" applyProtection="1">
      <alignment horizontal="right" vertical="center" wrapText="1"/>
      <protection locked="0"/>
    </xf>
    <xf numFmtId="3" fontId="21" fillId="0" borderId="13" xfId="2" applyNumberFormat="1" applyFont="1" applyBorder="1" applyAlignment="1" applyProtection="1">
      <alignment horizontal="right" vertical="center" wrapText="1"/>
      <protection locked="0"/>
    </xf>
    <xf numFmtId="49" fontId="20" fillId="47" borderId="2" xfId="2" applyNumberFormat="1" applyFont="1" applyFill="1" applyBorder="1" applyAlignment="1">
      <alignment horizontal="center" vertical="center" wrapText="1"/>
    </xf>
    <xf numFmtId="49" fontId="20" fillId="47" borderId="10" xfId="2" applyNumberFormat="1" applyFont="1" applyFill="1" applyBorder="1" applyAlignment="1">
      <alignment horizontal="center" vertical="center" wrapText="1"/>
    </xf>
    <xf numFmtId="49" fontId="20" fillId="47" borderId="15" xfId="2" applyNumberFormat="1" applyFont="1" applyFill="1" applyBorder="1" applyAlignment="1">
      <alignment horizontal="center" vertical="center" wrapText="1"/>
    </xf>
    <xf numFmtId="0" fontId="20" fillId="47" borderId="3" xfId="2" applyFont="1" applyFill="1" applyBorder="1" applyAlignment="1">
      <alignment horizontal="center" vertical="center"/>
    </xf>
    <xf numFmtId="0" fontId="20" fillId="47" borderId="12" xfId="2" applyFont="1" applyFill="1" applyBorder="1" applyAlignment="1">
      <alignment horizontal="center" vertical="center"/>
    </xf>
    <xf numFmtId="0" fontId="20" fillId="47" borderId="11" xfId="2" applyFont="1" applyFill="1" applyBorder="1" applyAlignment="1">
      <alignment horizontal="center" vertical="center"/>
    </xf>
    <xf numFmtId="164" fontId="21" fillId="0" borderId="3" xfId="9" applyNumberFormat="1" applyFont="1" applyFill="1" applyBorder="1" applyAlignment="1">
      <alignment horizontal="center" vertical="center" wrapText="1"/>
    </xf>
    <xf numFmtId="164" fontId="21" fillId="0" borderId="11" xfId="9" applyNumberFormat="1" applyFont="1" applyFill="1" applyBorder="1" applyAlignment="1">
      <alignment horizontal="center" vertical="center" wrapText="1"/>
    </xf>
    <xf numFmtId="0" fontId="20" fillId="47" borderId="8" xfId="2" applyFont="1" applyFill="1" applyBorder="1" applyAlignment="1">
      <alignment horizontal="center" vertical="center" wrapText="1"/>
    </xf>
    <xf numFmtId="0" fontId="20" fillId="47" borderId="2" xfId="2" applyFont="1" applyFill="1" applyBorder="1" applyAlignment="1">
      <alignment horizontal="center" vertical="center" wrapText="1"/>
    </xf>
    <xf numFmtId="0" fontId="20" fillId="47" borderId="13" xfId="2" applyFont="1" applyFill="1" applyBorder="1" applyAlignment="1">
      <alignment horizontal="center" vertical="center" wrapText="1"/>
    </xf>
    <xf numFmtId="0" fontId="20" fillId="47" borderId="9" xfId="2" applyFont="1" applyFill="1" applyBorder="1" applyAlignment="1">
      <alignment horizontal="center" vertical="center" wrapText="1"/>
    </xf>
    <xf numFmtId="0" fontId="20" fillId="47" borderId="10" xfId="2" applyFont="1" applyFill="1" applyBorder="1" applyAlignment="1">
      <alignment horizontal="center" vertical="center" wrapText="1"/>
    </xf>
    <xf numFmtId="0" fontId="20" fillId="47" borderId="15" xfId="2" applyFont="1" applyFill="1" applyBorder="1" applyAlignment="1">
      <alignment horizontal="center" vertical="center" wrapText="1"/>
    </xf>
    <xf numFmtId="49" fontId="20" fillId="47" borderId="1" xfId="2" applyNumberFormat="1" applyFont="1" applyFill="1" applyBorder="1" applyAlignment="1">
      <alignment horizontal="center" vertical="center" wrapText="1"/>
    </xf>
    <xf numFmtId="49" fontId="20" fillId="47" borderId="0" xfId="2" applyNumberFormat="1" applyFont="1" applyFill="1" applyAlignment="1">
      <alignment horizontal="center" vertical="center" wrapText="1"/>
    </xf>
    <xf numFmtId="0" fontId="148" fillId="0" borderId="0" xfId="0" applyFont="1" applyAlignment="1">
      <alignment horizontal="center" vertical="center" wrapText="1"/>
    </xf>
    <xf numFmtId="170" fontId="21" fillId="0" borderId="12" xfId="11" applyNumberFormat="1" applyFont="1" applyFill="1" applyBorder="1" applyAlignment="1" applyProtection="1">
      <alignment horizontal="center" vertical="center" wrapText="1"/>
      <protection locked="0"/>
    </xf>
    <xf numFmtId="49" fontId="20" fillId="47" borderId="3" xfId="2" applyNumberFormat="1" applyFont="1" applyFill="1" applyBorder="1" applyAlignment="1">
      <alignment horizontal="center" vertical="center"/>
    </xf>
    <xf numFmtId="49" fontId="20" fillId="47" borderId="12" xfId="2" applyNumberFormat="1" applyFont="1" applyFill="1" applyBorder="1" applyAlignment="1">
      <alignment horizontal="center" vertical="center"/>
    </xf>
    <xf numFmtId="49" fontId="20" fillId="47" borderId="11" xfId="2" applyNumberFormat="1" applyFont="1" applyFill="1" applyBorder="1" applyAlignment="1">
      <alignment horizontal="center" vertical="center"/>
    </xf>
    <xf numFmtId="0" fontId="20" fillId="0" borderId="0" xfId="0" applyFont="1" applyAlignment="1">
      <alignment horizontal="center" vertical="center" wrapText="1"/>
    </xf>
    <xf numFmtId="1" fontId="21" fillId="9" borderId="12" xfId="2" applyNumberFormat="1" applyFont="1" applyFill="1" applyBorder="1" applyAlignment="1">
      <alignment horizontal="right" vertical="center"/>
    </xf>
    <xf numFmtId="1" fontId="21" fillId="9" borderId="11" xfId="2" applyNumberFormat="1" applyFont="1" applyFill="1" applyBorder="1" applyAlignment="1">
      <alignment horizontal="right" vertical="center"/>
    </xf>
    <xf numFmtId="0" fontId="0" fillId="0" borderId="70" xfId="0" applyBorder="1" applyAlignment="1">
      <alignment horizontal="left"/>
    </xf>
    <xf numFmtId="0" fontId="47" fillId="53" borderId="65" xfId="0" applyFont="1" applyFill="1" applyBorder="1" applyAlignment="1">
      <alignment horizontal="center" vertical="center"/>
    </xf>
    <xf numFmtId="0" fontId="12" fillId="4" borderId="65" xfId="0" applyFont="1" applyFill="1" applyBorder="1" applyAlignment="1">
      <alignment horizontal="center" vertical="center"/>
    </xf>
    <xf numFmtId="0" fontId="12" fillId="0" borderId="64" xfId="0" applyFont="1" applyBorder="1" applyAlignment="1">
      <alignment horizontal="center" vertical="center"/>
    </xf>
    <xf numFmtId="0" fontId="12" fillId="0" borderId="69" xfId="0" applyFont="1" applyBorder="1" applyAlignment="1">
      <alignment horizontal="center" vertical="center"/>
    </xf>
    <xf numFmtId="0" fontId="47" fillId="54" borderId="65" xfId="0" applyFont="1" applyFill="1" applyBorder="1" applyAlignment="1">
      <alignment horizontal="center" vertical="center"/>
    </xf>
    <xf numFmtId="0" fontId="47" fillId="55" borderId="65" xfId="0" applyFont="1" applyFill="1" applyBorder="1" applyAlignment="1">
      <alignment horizontal="center" vertical="center"/>
    </xf>
    <xf numFmtId="0" fontId="185" fillId="47" borderId="181" xfId="0" applyFont="1" applyFill="1" applyBorder="1" applyAlignment="1">
      <alignment horizontal="center" vertical="center" wrapText="1"/>
    </xf>
    <xf numFmtId="0" fontId="0" fillId="0" borderId="178" xfId="0" applyBorder="1"/>
    <xf numFmtId="9" fontId="187" fillId="5" borderId="69" xfId="0" applyNumberFormat="1" applyFont="1" applyFill="1" applyBorder="1" applyAlignment="1">
      <alignment horizontal="center" vertical="center" wrapText="1"/>
    </xf>
    <xf numFmtId="0" fontId="0" fillId="5" borderId="65" xfId="0" applyFill="1" applyBorder="1" applyAlignment="1">
      <alignment horizontal="center" vertical="center" wrapText="1"/>
    </xf>
    <xf numFmtId="9" fontId="187" fillId="5" borderId="287" xfId="0" applyNumberFormat="1" applyFont="1" applyFill="1" applyBorder="1" applyAlignment="1">
      <alignment horizontal="center" vertical="center" wrapText="1"/>
    </xf>
    <xf numFmtId="0" fontId="35" fillId="0" borderId="0" xfId="0" applyFont="1" applyAlignment="1">
      <alignment horizontal="left" vertical="center" wrapText="1"/>
    </xf>
    <xf numFmtId="0" fontId="0" fillId="0" borderId="0" xfId="0" applyAlignment="1">
      <alignment horizontal="left" vertical="center" wrapText="1"/>
    </xf>
    <xf numFmtId="9" fontId="3" fillId="8" borderId="273" xfId="0" applyNumberFormat="1" applyFont="1" applyFill="1" applyBorder="1" applyAlignment="1">
      <alignment horizontal="center"/>
    </xf>
    <xf numFmtId="0" fontId="0" fillId="0" borderId="272" xfId="0" applyBorder="1" applyAlignment="1">
      <alignment horizontal="center"/>
    </xf>
    <xf numFmtId="0" fontId="185" fillId="47" borderId="300" xfId="0" applyFont="1" applyFill="1" applyBorder="1" applyAlignment="1">
      <alignment horizontal="center" vertical="center" wrapText="1"/>
    </xf>
    <xf numFmtId="0" fontId="0" fillId="0" borderId="70" xfId="0" applyBorder="1" applyAlignment="1">
      <alignment horizontal="center" vertical="center" wrapText="1"/>
    </xf>
    <xf numFmtId="0" fontId="0" fillId="0" borderId="299" xfId="0" applyBorder="1" applyAlignment="1">
      <alignment horizontal="center" vertical="center" wrapText="1"/>
    </xf>
    <xf numFmtId="9" fontId="186" fillId="4" borderId="291" xfId="0" applyNumberFormat="1" applyFont="1" applyFill="1" applyBorder="1" applyAlignment="1">
      <alignment horizontal="center" vertical="center" wrapText="1"/>
    </xf>
    <xf numFmtId="0" fontId="0" fillId="4" borderId="266" xfId="0" applyFill="1" applyBorder="1" applyAlignment="1">
      <alignment horizontal="center"/>
    </xf>
    <xf numFmtId="9" fontId="186" fillId="4" borderId="289" xfId="0" applyNumberFormat="1" applyFont="1" applyFill="1" applyBorder="1" applyAlignment="1">
      <alignment horizontal="center" vertical="center" wrapText="1"/>
    </xf>
    <xf numFmtId="0" fontId="0" fillId="4" borderId="266" xfId="0" applyFill="1" applyBorder="1" applyAlignment="1">
      <alignment horizontal="center" vertical="center" wrapText="1"/>
    </xf>
    <xf numFmtId="0" fontId="0" fillId="0" borderId="177" xfId="0" applyBorder="1"/>
    <xf numFmtId="0" fontId="185" fillId="47" borderId="304" xfId="0" applyFont="1" applyFill="1" applyBorder="1" applyAlignment="1">
      <alignment horizontal="center" vertical="center" wrapText="1"/>
    </xf>
    <xf numFmtId="0" fontId="0" fillId="0" borderId="303" xfId="0" applyBorder="1"/>
    <xf numFmtId="0" fontId="0" fillId="0" borderId="302" xfId="0" applyBorder="1"/>
    <xf numFmtId="0" fontId="185" fillId="47" borderId="259" xfId="0" applyFont="1" applyFill="1" applyBorder="1" applyAlignment="1">
      <alignment horizontal="center" vertical="center" wrapText="1"/>
    </xf>
    <xf numFmtId="0" fontId="185" fillId="47" borderId="298" xfId="0" applyFont="1" applyFill="1" applyBorder="1" applyAlignment="1">
      <alignment horizontal="center" vertical="center" wrapText="1"/>
    </xf>
    <xf numFmtId="0" fontId="185" fillId="47" borderId="260" xfId="0" applyFont="1" applyFill="1" applyBorder="1" applyAlignment="1">
      <alignment horizontal="center" vertical="center" wrapText="1"/>
    </xf>
    <xf numFmtId="0" fontId="188" fillId="47" borderId="279" xfId="0" applyFont="1" applyFill="1" applyBorder="1" applyAlignment="1">
      <alignment horizontal="center" vertical="center" wrapText="1"/>
    </xf>
    <xf numFmtId="0" fontId="185" fillId="47" borderId="288" xfId="0" applyFont="1" applyFill="1" applyBorder="1" applyAlignment="1">
      <alignment horizontal="center" vertical="center" wrapText="1"/>
    </xf>
    <xf numFmtId="0" fontId="188" fillId="47" borderId="297" xfId="0" applyFont="1" applyFill="1" applyBorder="1" applyAlignment="1">
      <alignment horizontal="center" vertical="center" wrapText="1"/>
    </xf>
    <xf numFmtId="0" fontId="185" fillId="47" borderId="70" xfId="0" applyFont="1" applyFill="1" applyBorder="1" applyAlignment="1">
      <alignment horizontal="center" vertical="center" wrapText="1"/>
    </xf>
    <xf numFmtId="0" fontId="0" fillId="0" borderId="70" xfId="0" applyBorder="1" applyAlignment="1">
      <alignment horizontal="center" vertical="center"/>
    </xf>
    <xf numFmtId="0" fontId="0" fillId="0" borderId="301" xfId="0" applyBorder="1" applyAlignment="1">
      <alignment horizontal="center" vertical="center"/>
    </xf>
    <xf numFmtId="9" fontId="187" fillId="5" borderId="63" xfId="0" applyNumberFormat="1" applyFont="1" applyFill="1" applyBorder="1" applyAlignment="1">
      <alignment horizontal="center" vertical="center" wrapText="1"/>
    </xf>
    <xf numFmtId="0" fontId="0" fillId="5" borderId="80" xfId="0" applyFill="1" applyBorder="1" applyAlignment="1">
      <alignment horizontal="center" vertical="center" wrapText="1"/>
    </xf>
    <xf numFmtId="9" fontId="187" fillId="5" borderId="318" xfId="0" applyNumberFormat="1" applyFont="1" applyFill="1" applyBorder="1" applyAlignment="1">
      <alignment horizontal="center" vertical="center" wrapText="1"/>
    </xf>
    <xf numFmtId="0" fontId="3" fillId="6" borderId="8" xfId="0" applyFont="1" applyFill="1" applyBorder="1" applyAlignment="1" applyProtection="1">
      <alignment horizontal="left" vertical="top"/>
      <protection locked="0"/>
    </xf>
    <xf numFmtId="0" fontId="3" fillId="6" borderId="2" xfId="0" applyFont="1" applyFill="1" applyBorder="1" applyAlignment="1" applyProtection="1">
      <alignment horizontal="left" vertical="top"/>
      <protection locked="0"/>
    </xf>
    <xf numFmtId="0" fontId="3" fillId="6" borderId="13" xfId="0" applyFont="1" applyFill="1" applyBorder="1" applyAlignment="1" applyProtection="1">
      <alignment horizontal="left" vertical="top"/>
      <protection locked="0"/>
    </xf>
    <xf numFmtId="0" fontId="3" fillId="6" borderId="1" xfId="0" applyFont="1" applyFill="1" applyBorder="1" applyAlignment="1" applyProtection="1">
      <alignment horizontal="left" vertical="top"/>
      <protection locked="0"/>
    </xf>
    <xf numFmtId="0" fontId="3" fillId="6" borderId="0" xfId="0" applyFont="1" applyFill="1" applyAlignment="1" applyProtection="1">
      <alignment horizontal="left" vertical="top"/>
      <protection locked="0"/>
    </xf>
    <xf numFmtId="0" fontId="3" fillId="6" borderId="14" xfId="0" applyFont="1" applyFill="1" applyBorder="1" applyAlignment="1" applyProtection="1">
      <alignment horizontal="left" vertical="top"/>
      <protection locked="0"/>
    </xf>
    <xf numFmtId="0" fontId="3" fillId="6" borderId="9" xfId="0" applyFont="1" applyFill="1" applyBorder="1" applyAlignment="1" applyProtection="1">
      <alignment horizontal="left" vertical="top"/>
      <protection locked="0"/>
    </xf>
    <xf numFmtId="0" fontId="3" fillId="6" borderId="10" xfId="0" applyFont="1" applyFill="1" applyBorder="1" applyAlignment="1" applyProtection="1">
      <alignment horizontal="left" vertical="top"/>
      <protection locked="0"/>
    </xf>
    <xf numFmtId="0" fontId="3" fillId="6" borderId="15" xfId="0" applyFont="1" applyFill="1" applyBorder="1" applyAlignment="1" applyProtection="1">
      <alignment horizontal="left" vertical="top"/>
      <protection locked="0"/>
    </xf>
    <xf numFmtId="0" fontId="21" fillId="5" borderId="3" xfId="2" applyFont="1" applyFill="1" applyBorder="1" applyAlignment="1" applyProtection="1">
      <alignment horizontal="left" vertical="center" wrapText="1"/>
      <protection locked="0"/>
    </xf>
    <xf numFmtId="0" fontId="21" fillId="5" borderId="12" xfId="2" applyFont="1" applyFill="1" applyBorder="1" applyAlignment="1" applyProtection="1">
      <alignment horizontal="left" vertical="center" wrapText="1"/>
      <protection locked="0"/>
    </xf>
    <xf numFmtId="0" fontId="21" fillId="5" borderId="11" xfId="2" applyFont="1" applyFill="1" applyBorder="1" applyAlignment="1" applyProtection="1">
      <alignment horizontal="left" vertical="center" wrapText="1"/>
      <protection locked="0"/>
    </xf>
    <xf numFmtId="0" fontId="49" fillId="0" borderId="3" xfId="2" applyFont="1" applyBorder="1" applyAlignment="1">
      <alignment horizontal="left" vertical="center" wrapText="1"/>
    </xf>
    <xf numFmtId="0" fontId="49" fillId="0" borderId="12" xfId="2" applyFont="1" applyBorder="1" applyAlignment="1">
      <alignment horizontal="left" vertical="center" wrapText="1"/>
    </xf>
    <xf numFmtId="0" fontId="49" fillId="0" borderId="11" xfId="2" applyFont="1" applyBorder="1" applyAlignment="1">
      <alignment horizontal="left" vertical="center" wrapText="1"/>
    </xf>
    <xf numFmtId="0" fontId="9" fillId="0" borderId="3" xfId="2" applyBorder="1" applyAlignment="1">
      <alignment vertical="center" wrapText="1"/>
    </xf>
    <xf numFmtId="0" fontId="9" fillId="0" borderId="11" xfId="2" applyBorder="1" applyAlignment="1">
      <alignment vertical="center" wrapText="1"/>
    </xf>
    <xf numFmtId="0" fontId="9" fillId="0" borderId="3" xfId="2" applyBorder="1" applyAlignment="1">
      <alignment horizontal="center" vertical="center" wrapText="1"/>
    </xf>
    <xf numFmtId="0" fontId="9" fillId="0" borderId="11" xfId="2" applyBorder="1" applyAlignment="1">
      <alignment horizontal="center" vertical="center" wrapText="1"/>
    </xf>
    <xf numFmtId="165" fontId="9" fillId="0" borderId="3" xfId="2" applyNumberFormat="1" applyBorder="1" applyAlignment="1">
      <alignment horizontal="center" vertical="center"/>
    </xf>
    <xf numFmtId="165" fontId="9" fillId="0" borderId="11" xfId="2" applyNumberFormat="1" applyBorder="1" applyAlignment="1">
      <alignment horizontal="center" vertical="center"/>
    </xf>
    <xf numFmtId="171" fontId="9" fillId="0" borderId="3" xfId="1" applyNumberFormat="1" applyFont="1" applyBorder="1" applyAlignment="1">
      <alignment horizontal="center" vertical="center" wrapText="1"/>
    </xf>
    <xf numFmtId="171" fontId="9" fillId="0" borderId="11" xfId="1" applyNumberFormat="1" applyFont="1" applyBorder="1" applyAlignment="1">
      <alignment horizontal="center" vertical="center" wrapText="1"/>
    </xf>
    <xf numFmtId="9" fontId="9" fillId="0" borderId="3" xfId="9" applyFont="1" applyBorder="1" applyAlignment="1">
      <alignment horizontal="center" vertical="center" wrapText="1"/>
    </xf>
    <xf numFmtId="9" fontId="9" fillId="0" borderId="11" xfId="9" applyFont="1" applyBorder="1" applyAlignment="1">
      <alignment horizontal="center" vertical="center" wrapText="1"/>
    </xf>
    <xf numFmtId="0" fontId="20" fillId="47" borderId="3" xfId="2" applyFont="1" applyFill="1" applyBorder="1" applyAlignment="1" applyProtection="1">
      <alignment horizontal="center" vertical="center" wrapText="1"/>
      <protection locked="0"/>
    </xf>
    <xf numFmtId="0" fontId="20" fillId="47" borderId="12" xfId="2" applyFont="1" applyFill="1" applyBorder="1" applyAlignment="1" applyProtection="1">
      <alignment horizontal="center" vertical="center" wrapText="1"/>
      <protection locked="0"/>
    </xf>
    <xf numFmtId="0" fontId="20" fillId="47" borderId="11" xfId="2" applyFont="1" applyFill="1" applyBorder="1" applyAlignment="1" applyProtection="1">
      <alignment horizontal="center" vertical="center" wrapText="1"/>
      <protection locked="0"/>
    </xf>
    <xf numFmtId="3" fontId="9" fillId="0" borderId="3" xfId="2" applyNumberFormat="1" applyBorder="1" applyAlignment="1">
      <alignment horizontal="center" vertical="center" wrapText="1"/>
    </xf>
    <xf numFmtId="3" fontId="9" fillId="0" borderId="11" xfId="2" applyNumberFormat="1" applyBorder="1" applyAlignment="1">
      <alignment horizontal="center" vertical="center" wrapText="1"/>
    </xf>
    <xf numFmtId="0" fontId="9" fillId="0" borderId="12" xfId="2" applyBorder="1" applyAlignment="1">
      <alignment horizontal="center" vertical="center" wrapText="1"/>
    </xf>
    <xf numFmtId="2" fontId="9" fillId="0" borderId="3" xfId="2" applyNumberFormat="1" applyBorder="1" applyAlignment="1">
      <alignment horizontal="center" vertical="center" wrapText="1"/>
    </xf>
    <xf numFmtId="2" fontId="9" fillId="0" borderId="12" xfId="2" applyNumberFormat="1" applyBorder="1" applyAlignment="1">
      <alignment horizontal="center" vertical="center" wrapText="1"/>
    </xf>
    <xf numFmtId="2" fontId="9" fillId="0" borderId="11" xfId="2" applyNumberFormat="1" applyBorder="1" applyAlignment="1">
      <alignment horizontal="center" vertical="center" wrapText="1"/>
    </xf>
    <xf numFmtId="9" fontId="9" fillId="0" borderId="12" xfId="9" applyFont="1" applyBorder="1" applyAlignment="1">
      <alignment horizontal="center" vertical="center" wrapText="1"/>
    </xf>
    <xf numFmtId="0" fontId="21" fillId="5" borderId="3" xfId="2" applyFont="1" applyFill="1" applyBorder="1" applyAlignment="1">
      <alignment horizontal="left" vertical="center" wrapText="1"/>
    </xf>
    <xf numFmtId="0" fontId="21" fillId="5" borderId="12" xfId="2" applyFont="1" applyFill="1" applyBorder="1" applyAlignment="1">
      <alignment horizontal="left" vertical="center" wrapText="1"/>
    </xf>
    <xf numFmtId="0" fontId="21" fillId="5" borderId="11" xfId="2" applyFont="1" applyFill="1" applyBorder="1" applyAlignment="1">
      <alignment horizontal="left" vertical="center" wrapText="1"/>
    </xf>
    <xf numFmtId="0" fontId="20" fillId="47" borderId="3" xfId="2" applyFont="1" applyFill="1" applyBorder="1" applyAlignment="1">
      <alignment horizontal="center" vertical="center" wrapText="1"/>
    </xf>
    <xf numFmtId="0" fontId="20" fillId="47" borderId="12" xfId="2" applyFont="1" applyFill="1" applyBorder="1" applyAlignment="1">
      <alignment horizontal="center" vertical="center" wrapText="1"/>
    </xf>
    <xf numFmtId="171" fontId="9" fillId="0" borderId="12" xfId="1" applyNumberFormat="1" applyFont="1" applyBorder="1" applyAlignment="1">
      <alignment horizontal="center" vertical="center" wrapText="1"/>
    </xf>
    <xf numFmtId="0" fontId="9" fillId="0" borderId="9" xfId="2" applyBorder="1" applyAlignment="1">
      <alignment horizontal="center" vertical="center"/>
    </xf>
    <xf numFmtId="0" fontId="9" fillId="0" borderId="10" xfId="2" applyBorder="1" applyAlignment="1">
      <alignment horizontal="center" vertical="center"/>
    </xf>
    <xf numFmtId="0" fontId="9" fillId="0" borderId="15" xfId="2" applyBorder="1" applyAlignment="1">
      <alignment horizontal="center" vertical="center"/>
    </xf>
    <xf numFmtId="182" fontId="21" fillId="3" borderId="6" xfId="2" applyNumberFormat="1" applyFont="1" applyFill="1" applyBorder="1" applyAlignment="1">
      <alignment horizontal="center" vertical="center" wrapText="1"/>
    </xf>
    <xf numFmtId="182" fontId="21" fillId="3" borderId="40" xfId="2" applyNumberFormat="1" applyFont="1" applyFill="1" applyBorder="1" applyAlignment="1">
      <alignment horizontal="center" vertical="center" wrapText="1"/>
    </xf>
    <xf numFmtId="193" fontId="21" fillId="0" borderId="4" xfId="2" applyNumberFormat="1" applyFont="1" applyBorder="1" applyAlignment="1">
      <alignment horizontal="left" vertical="center" wrapText="1" indent="1"/>
    </xf>
    <xf numFmtId="193" fontId="21" fillId="0" borderId="4" xfId="0" applyNumberFormat="1" applyFont="1" applyBorder="1" applyAlignment="1">
      <alignment horizontal="left" indent="1"/>
    </xf>
    <xf numFmtId="193" fontId="21" fillId="0" borderId="6" xfId="2" applyNumberFormat="1" applyFont="1" applyBorder="1" applyAlignment="1">
      <alignment horizontal="left" vertical="center" wrapText="1" indent="1"/>
    </xf>
    <xf numFmtId="193" fontId="21" fillId="0" borderId="40" xfId="2" applyNumberFormat="1" applyFont="1" applyBorder="1" applyAlignment="1">
      <alignment horizontal="left" vertical="center" wrapText="1" indent="1"/>
    </xf>
    <xf numFmtId="0" fontId="162" fillId="3" borderId="3" xfId="2" applyFont="1" applyFill="1" applyBorder="1" applyAlignment="1">
      <alignment horizontal="center" vertical="center"/>
    </xf>
    <xf numFmtId="0" fontId="162" fillId="3" borderId="12" xfId="2" applyFont="1" applyFill="1" applyBorder="1" applyAlignment="1">
      <alignment horizontal="center" vertical="center"/>
    </xf>
    <xf numFmtId="0" fontId="162" fillId="3" borderId="11" xfId="2" applyFont="1" applyFill="1" applyBorder="1" applyAlignment="1">
      <alignment horizontal="center" vertical="center"/>
    </xf>
    <xf numFmtId="0" fontId="20" fillId="47" borderId="11" xfId="2" applyFont="1" applyFill="1" applyBorder="1" applyAlignment="1">
      <alignment horizontal="center" vertical="center" wrapText="1"/>
    </xf>
    <xf numFmtId="9" fontId="9" fillId="0" borderId="3" xfId="9" applyFont="1" applyBorder="1" applyAlignment="1">
      <alignment horizontal="center" vertical="center"/>
    </xf>
    <xf numFmtId="9" fontId="9" fillId="0" borderId="12" xfId="9" applyFont="1" applyBorder="1" applyAlignment="1">
      <alignment horizontal="center" vertical="center"/>
    </xf>
    <xf numFmtId="9" fontId="9" fillId="0" borderId="11" xfId="9" applyFont="1" applyBorder="1" applyAlignment="1">
      <alignment horizontal="center" vertical="center"/>
    </xf>
    <xf numFmtId="182" fontId="21" fillId="0" borderId="6" xfId="2" applyNumberFormat="1" applyFont="1" applyBorder="1" applyAlignment="1">
      <alignment horizontal="center" vertical="center" wrapText="1"/>
    </xf>
    <xf numFmtId="182" fontId="21" fillId="0" borderId="40" xfId="2" applyNumberFormat="1" applyFont="1" applyBorder="1" applyAlignment="1">
      <alignment horizontal="center" vertical="center" wrapText="1"/>
    </xf>
    <xf numFmtId="0" fontId="164" fillId="44" borderId="185" xfId="0" applyFont="1" applyFill="1" applyBorder="1" applyAlignment="1">
      <alignment horizontal="center" vertical="center" wrapText="1"/>
    </xf>
    <xf numFmtId="0" fontId="164" fillId="44" borderId="186" xfId="0" applyFont="1" applyFill="1" applyBorder="1" applyAlignment="1">
      <alignment horizontal="center" vertical="center" wrapText="1"/>
    </xf>
    <xf numFmtId="0" fontId="164" fillId="44" borderId="183" xfId="0" applyFont="1" applyFill="1" applyBorder="1" applyAlignment="1">
      <alignment horizontal="center" vertical="center" wrapText="1"/>
    </xf>
    <xf numFmtId="0" fontId="164" fillId="44" borderId="182" xfId="0" applyFont="1" applyFill="1" applyBorder="1" applyAlignment="1">
      <alignment horizontal="center" vertical="center" wrapText="1"/>
    </xf>
    <xf numFmtId="0" fontId="164" fillId="44" borderId="176" xfId="0" applyFont="1" applyFill="1" applyBorder="1" applyAlignment="1">
      <alignment horizontal="center" vertical="center" wrapText="1"/>
    </xf>
    <xf numFmtId="0" fontId="164" fillId="44" borderId="184" xfId="0" applyFont="1" applyFill="1" applyBorder="1" applyAlignment="1">
      <alignment horizontal="center" vertical="center" wrapText="1"/>
    </xf>
    <xf numFmtId="0" fontId="164" fillId="44" borderId="181" xfId="0" applyFont="1" applyFill="1" applyBorder="1" applyAlignment="1">
      <alignment horizontal="center" vertical="center" wrapText="1"/>
    </xf>
    <xf numFmtId="0" fontId="164" fillId="44" borderId="177" xfId="0" applyFont="1" applyFill="1" applyBorder="1" applyAlignment="1">
      <alignment horizontal="center" vertical="center" wrapText="1"/>
    </xf>
    <xf numFmtId="164" fontId="21" fillId="56" borderId="3" xfId="10" applyNumberFormat="1" applyFont="1" applyFill="1" applyBorder="1" applyAlignment="1" applyProtection="1">
      <alignment horizontal="left" vertical="center"/>
    </xf>
    <xf numFmtId="164" fontId="21" fillId="56" borderId="11" xfId="10" applyNumberFormat="1" applyFont="1" applyFill="1" applyBorder="1" applyAlignment="1" applyProtection="1">
      <alignment horizontal="left" vertical="center"/>
    </xf>
    <xf numFmtId="164" fontId="21" fillId="6" borderId="3" xfId="10" applyNumberFormat="1" applyFont="1" applyFill="1" applyBorder="1" applyAlignment="1" applyProtection="1">
      <alignment horizontal="left" vertical="center"/>
    </xf>
    <xf numFmtId="164" fontId="21" fillId="6" borderId="11" xfId="10" applyNumberFormat="1" applyFont="1" applyFill="1" applyBorder="1" applyAlignment="1" applyProtection="1">
      <alignment horizontal="left" vertical="center"/>
    </xf>
    <xf numFmtId="182" fontId="21" fillId="3" borderId="169" xfId="2" applyNumberFormat="1" applyFont="1" applyFill="1" applyBorder="1" applyAlignment="1">
      <alignment horizontal="center" vertical="center" wrapText="1"/>
    </xf>
    <xf numFmtId="182" fontId="21" fillId="3" borderId="170" xfId="2" applyNumberFormat="1" applyFont="1" applyFill="1" applyBorder="1" applyAlignment="1">
      <alignment horizontal="center" vertical="center" wrapText="1"/>
    </xf>
    <xf numFmtId="182" fontId="21" fillId="3" borderId="8" xfId="2" applyNumberFormat="1" applyFont="1" applyFill="1" applyBorder="1" applyAlignment="1">
      <alignment horizontal="center" vertical="center" wrapText="1"/>
    </xf>
    <xf numFmtId="182" fontId="21" fillId="3" borderId="9" xfId="2" applyNumberFormat="1" applyFont="1" applyFill="1" applyBorder="1" applyAlignment="1">
      <alignment horizontal="center" vertical="center" wrapText="1"/>
    </xf>
    <xf numFmtId="182" fontId="21" fillId="3" borderId="172" xfId="2" applyNumberFormat="1" applyFont="1" applyFill="1" applyBorder="1" applyAlignment="1">
      <alignment horizontal="center" vertical="center" wrapText="1"/>
    </xf>
    <xf numFmtId="182" fontId="21" fillId="3" borderId="173" xfId="2" applyNumberFormat="1" applyFont="1" applyFill="1" applyBorder="1" applyAlignment="1">
      <alignment horizontal="center" vertical="center" wrapText="1"/>
    </xf>
    <xf numFmtId="182" fontId="21" fillId="0" borderId="8" xfId="2" applyNumberFormat="1" applyFont="1" applyBorder="1" applyAlignment="1">
      <alignment horizontal="center" vertical="center" wrapText="1"/>
    </xf>
    <xf numFmtId="182" fontId="21" fillId="0" borderId="9" xfId="2" applyNumberFormat="1" applyFont="1" applyBorder="1" applyAlignment="1">
      <alignment horizontal="center" vertical="center" wrapText="1"/>
    </xf>
    <xf numFmtId="182" fontId="21" fillId="0" borderId="172" xfId="2" applyNumberFormat="1" applyFont="1" applyBorder="1" applyAlignment="1">
      <alignment horizontal="center" vertical="center" wrapText="1"/>
    </xf>
    <xf numFmtId="182" fontId="21" fillId="0" borderId="173" xfId="2" applyNumberFormat="1" applyFont="1" applyBorder="1" applyAlignment="1">
      <alignment horizontal="center" vertical="center" wrapText="1"/>
    </xf>
    <xf numFmtId="182" fontId="21" fillId="0" borderId="169" xfId="2" applyNumberFormat="1" applyFont="1" applyBorder="1" applyAlignment="1">
      <alignment horizontal="center" vertical="center" wrapText="1"/>
    </xf>
    <xf numFmtId="182" fontId="21" fillId="0" borderId="170" xfId="2" applyNumberFormat="1" applyFont="1" applyBorder="1" applyAlignment="1">
      <alignment horizontal="center" vertical="center" wrapText="1"/>
    </xf>
    <xf numFmtId="193" fontId="21" fillId="0" borderId="8" xfId="2" applyNumberFormat="1" applyFont="1" applyBorder="1" applyAlignment="1">
      <alignment horizontal="left" vertical="center" wrapText="1" indent="1"/>
    </xf>
    <xf numFmtId="193" fontId="21" fillId="0" borderId="13" xfId="2" applyNumberFormat="1" applyFont="1" applyBorder="1" applyAlignment="1">
      <alignment horizontal="left" vertical="center" wrapText="1" indent="1"/>
    </xf>
    <xf numFmtId="193" fontId="21" fillId="0" borderId="9" xfId="2" applyNumberFormat="1" applyFont="1" applyBorder="1" applyAlignment="1">
      <alignment horizontal="left" vertical="center" wrapText="1" indent="1"/>
    </xf>
    <xf numFmtId="193" fontId="21" fillId="0" borderId="15" xfId="2" applyNumberFormat="1" applyFont="1" applyBorder="1" applyAlignment="1">
      <alignment horizontal="left" vertical="center" wrapText="1" indent="1"/>
    </xf>
    <xf numFmtId="49" fontId="9" fillId="47" borderId="11" xfId="2" applyNumberFormat="1" applyFill="1" applyBorder="1" applyAlignment="1">
      <alignment horizontal="center" vertical="center" wrapText="1"/>
    </xf>
    <xf numFmtId="0" fontId="163" fillId="0" borderId="181" xfId="0" applyFont="1" applyBorder="1" applyAlignment="1">
      <alignment horizontal="center" vertical="center"/>
    </xf>
    <xf numFmtId="0" fontId="163" fillId="0" borderId="178" xfId="0" applyFont="1" applyBorder="1" applyAlignment="1">
      <alignment horizontal="center" vertical="center"/>
    </xf>
    <xf numFmtId="0" fontId="163" fillId="0" borderId="177" xfId="0" applyFont="1" applyBorder="1" applyAlignment="1">
      <alignment horizontal="center" vertical="center"/>
    </xf>
    <xf numFmtId="0" fontId="163" fillId="0" borderId="180" xfId="0" applyFont="1" applyBorder="1" applyAlignment="1">
      <alignment horizontal="center" vertical="center"/>
    </xf>
    <xf numFmtId="0" fontId="9" fillId="0" borderId="3" xfId="1" applyNumberFormat="1" applyFont="1" applyBorder="1" applyAlignment="1">
      <alignment horizontal="center" vertical="center"/>
    </xf>
    <xf numFmtId="0" fontId="9" fillId="0" borderId="12" xfId="1" applyNumberFormat="1" applyFont="1" applyBorder="1" applyAlignment="1">
      <alignment horizontal="center" vertical="center"/>
    </xf>
    <xf numFmtId="0" fontId="9" fillId="0" borderId="11" xfId="1" applyNumberFormat="1" applyFont="1" applyBorder="1" applyAlignment="1">
      <alignment horizontal="center" vertical="center"/>
    </xf>
    <xf numFmtId="0" fontId="9" fillId="0" borderId="4" xfId="2" applyBorder="1" applyAlignment="1">
      <alignment vertical="center" wrapText="1"/>
    </xf>
    <xf numFmtId="0" fontId="9" fillId="0" borderId="4" xfId="2" applyBorder="1" applyAlignment="1">
      <alignment horizontal="center" vertical="center" wrapText="1"/>
    </xf>
    <xf numFmtId="171" fontId="9" fillId="0" borderId="4" xfId="1" applyNumberFormat="1" applyFont="1" applyFill="1" applyBorder="1" applyAlignment="1">
      <alignment horizontal="center" vertical="center" wrapText="1"/>
    </xf>
    <xf numFmtId="3" fontId="49" fillId="0" borderId="3" xfId="2" applyNumberFormat="1" applyFont="1" applyBorder="1" applyAlignment="1">
      <alignment horizontal="left" vertical="center" wrapText="1"/>
    </xf>
    <xf numFmtId="9" fontId="9" fillId="0" borderId="4" xfId="9" applyFont="1" applyBorder="1" applyAlignment="1">
      <alignment horizontal="center" vertical="center" wrapText="1"/>
    </xf>
    <xf numFmtId="171" fontId="9" fillId="0" borderId="4" xfId="1" applyNumberFormat="1" applyFont="1" applyBorder="1" applyAlignment="1">
      <alignment horizontal="center" vertical="center" wrapText="1"/>
    </xf>
    <xf numFmtId="171" fontId="9" fillId="0" borderId="3" xfId="1" applyNumberFormat="1" applyFont="1" applyBorder="1" applyAlignment="1">
      <alignment horizontal="center" vertical="center"/>
    </xf>
    <xf numFmtId="171" fontId="9" fillId="0" borderId="12" xfId="1" applyNumberFormat="1" applyFont="1" applyBorder="1" applyAlignment="1">
      <alignment horizontal="center" vertical="center"/>
    </xf>
    <xf numFmtId="171" fontId="9" fillId="0" borderId="11" xfId="1" applyNumberFormat="1" applyFont="1" applyBorder="1" applyAlignment="1">
      <alignment horizontal="center" vertical="center"/>
    </xf>
    <xf numFmtId="171" fontId="9" fillId="0" borderId="4" xfId="1" applyNumberFormat="1" applyFont="1" applyBorder="1" applyAlignment="1">
      <alignment vertical="center" wrapText="1"/>
    </xf>
    <xf numFmtId="167" fontId="9" fillId="0" borderId="4" xfId="1" applyNumberFormat="1" applyFont="1" applyFill="1" applyBorder="1" applyAlignment="1">
      <alignment horizontal="center" vertical="center" wrapText="1"/>
    </xf>
    <xf numFmtId="0" fontId="9" fillId="0" borderId="3" xfId="1" applyNumberFormat="1" applyFont="1" applyBorder="1" applyAlignment="1">
      <alignment horizontal="center" vertical="center" wrapText="1"/>
    </xf>
    <xf numFmtId="0" fontId="9" fillId="0" borderId="12" xfId="1" applyNumberFormat="1" applyFont="1" applyBorder="1" applyAlignment="1">
      <alignment horizontal="center" vertical="center" wrapText="1"/>
    </xf>
    <xf numFmtId="0" fontId="9" fillId="0" borderId="11" xfId="1" applyNumberFormat="1" applyFont="1" applyBorder="1" applyAlignment="1">
      <alignment horizontal="center" vertical="center" wrapText="1"/>
    </xf>
    <xf numFmtId="0" fontId="9" fillId="0" borderId="3" xfId="9" applyNumberFormat="1" applyFont="1" applyBorder="1" applyAlignment="1">
      <alignment horizontal="center" vertical="center" wrapText="1"/>
    </xf>
    <xf numFmtId="0" fontId="9" fillId="0" borderId="12" xfId="9" applyNumberFormat="1" applyFont="1" applyBorder="1" applyAlignment="1">
      <alignment horizontal="center" vertical="center" wrapText="1"/>
    </xf>
    <xf numFmtId="0" fontId="9" fillId="0" borderId="11" xfId="9" applyNumberFormat="1" applyFont="1" applyBorder="1" applyAlignment="1">
      <alignment horizontal="center" vertical="center" wrapText="1"/>
    </xf>
    <xf numFmtId="165" fontId="9" fillId="0" borderId="4" xfId="2" applyNumberFormat="1" applyBorder="1" applyAlignment="1">
      <alignment horizontal="center" vertical="center"/>
    </xf>
    <xf numFmtId="168" fontId="9" fillId="0" borderId="3" xfId="2" applyNumberFormat="1" applyBorder="1" applyAlignment="1">
      <alignment horizontal="center" vertical="center" wrapText="1"/>
    </xf>
    <xf numFmtId="168" fontId="9" fillId="0" borderId="12" xfId="2" applyNumberFormat="1" applyBorder="1" applyAlignment="1">
      <alignment horizontal="center" vertical="center" wrapText="1"/>
    </xf>
    <xf numFmtId="168" fontId="9" fillId="0" borderId="11" xfId="2" applyNumberFormat="1" applyBorder="1" applyAlignment="1">
      <alignment horizontal="center" vertical="center" wrapText="1"/>
    </xf>
    <xf numFmtId="0" fontId="9" fillId="0" borderId="9" xfId="2" applyBorder="1" applyAlignment="1">
      <alignment horizontal="center" vertical="center" wrapText="1"/>
    </xf>
    <xf numFmtId="0" fontId="9" fillId="0" borderId="10" xfId="2" applyBorder="1" applyAlignment="1">
      <alignment horizontal="center" vertical="center" wrapText="1"/>
    </xf>
    <xf numFmtId="0" fontId="9" fillId="0" borderId="15" xfId="2" applyBorder="1" applyAlignment="1">
      <alignment horizontal="center" vertical="center" wrapText="1"/>
    </xf>
    <xf numFmtId="167" fontId="9" fillId="0" borderId="4" xfId="1" applyNumberFormat="1" applyFont="1" applyBorder="1" applyAlignment="1">
      <alignment horizontal="center" vertical="center" wrapText="1"/>
    </xf>
    <xf numFmtId="0" fontId="49" fillId="0" borderId="50" xfId="2" applyFont="1" applyBorder="1" applyAlignment="1">
      <alignment horizontal="left" vertical="center" wrapText="1"/>
    </xf>
    <xf numFmtId="0" fontId="49" fillId="0" borderId="51" xfId="2" applyFont="1" applyBorder="1" applyAlignment="1">
      <alignment horizontal="left" vertical="center" wrapText="1"/>
    </xf>
    <xf numFmtId="0" fontId="49" fillId="0" borderId="39" xfId="2" applyFont="1" applyBorder="1" applyAlignment="1">
      <alignment horizontal="left" vertical="center" wrapText="1"/>
    </xf>
    <xf numFmtId="0" fontId="49" fillId="0" borderId="52" xfId="2" applyFont="1" applyBorder="1" applyAlignment="1">
      <alignment horizontal="left" vertical="center" wrapText="1"/>
    </xf>
    <xf numFmtId="0" fontId="49" fillId="0" borderId="53" xfId="2" applyFont="1" applyBorder="1" applyAlignment="1">
      <alignment horizontal="left" vertical="center" wrapText="1"/>
    </xf>
    <xf numFmtId="0" fontId="49" fillId="0" borderId="29" xfId="2" applyFont="1" applyBorder="1" applyAlignment="1">
      <alignment horizontal="left" vertical="center" wrapText="1"/>
    </xf>
    <xf numFmtId="0" fontId="49" fillId="0" borderId="30" xfId="2" applyFont="1" applyBorder="1" applyAlignment="1">
      <alignment horizontal="left" vertical="center" wrapText="1"/>
    </xf>
    <xf numFmtId="168" fontId="15" fillId="0" borderId="99" xfId="0" applyNumberFormat="1" applyFont="1" applyBorder="1" applyAlignment="1">
      <alignment horizontal="center" vertical="center" wrapText="1"/>
    </xf>
    <xf numFmtId="3" fontId="20" fillId="0" borderId="0" xfId="2" applyNumberFormat="1" applyFont="1" applyAlignment="1">
      <alignment horizontal="left" vertical="center" wrapText="1" indent="1"/>
    </xf>
    <xf numFmtId="0" fontId="21" fillId="6" borderId="99" xfId="2" applyFont="1" applyFill="1" applyBorder="1" applyAlignment="1" applyProtection="1">
      <alignment vertical="center" wrapText="1"/>
      <protection locked="0"/>
    </xf>
    <xf numFmtId="168" fontId="21" fillId="5" borderId="99" xfId="12" applyNumberFormat="1" applyFont="1" applyFill="1" applyBorder="1" applyAlignment="1">
      <alignment horizontal="center" vertical="center" wrapText="1"/>
    </xf>
    <xf numFmtId="168" fontId="15" fillId="0" borderId="99" xfId="0" applyNumberFormat="1" applyFont="1" applyBorder="1" applyAlignment="1">
      <alignment horizontal="center" vertical="center"/>
    </xf>
    <xf numFmtId="0" fontId="21" fillId="4" borderId="99" xfId="2" applyFont="1" applyFill="1" applyBorder="1" applyAlignment="1">
      <alignment horizontal="left" vertical="center" wrapText="1"/>
    </xf>
    <xf numFmtId="0" fontId="15" fillId="0" borderId="99" xfId="0" applyFont="1" applyBorder="1" applyAlignment="1">
      <alignment horizontal="left" vertical="center" wrapText="1"/>
    </xf>
    <xf numFmtId="0" fontId="15" fillId="0" borderId="99" xfId="0" applyFont="1" applyBorder="1" applyAlignment="1">
      <alignment horizontal="left" vertical="center"/>
    </xf>
    <xf numFmtId="0" fontId="15" fillId="0" borderId="99" xfId="0" applyFont="1" applyBorder="1" applyAlignment="1">
      <alignment horizontal="center" vertical="center" wrapText="1"/>
    </xf>
    <xf numFmtId="0" fontId="21" fillId="4" borderId="99" xfId="2" applyFont="1" applyFill="1" applyBorder="1" applyAlignment="1">
      <alignment horizontal="left" vertical="center"/>
    </xf>
    <xf numFmtId="0" fontId="15" fillId="5" borderId="99" xfId="0" applyFont="1" applyFill="1" applyBorder="1" applyAlignment="1">
      <alignment vertical="center" wrapText="1"/>
    </xf>
    <xf numFmtId="170" fontId="15" fillId="6" borderId="99" xfId="0" applyNumberFormat="1" applyFont="1" applyFill="1" applyBorder="1" applyAlignment="1" applyProtection="1">
      <alignment horizontal="center"/>
      <protection locked="0"/>
    </xf>
    <xf numFmtId="0" fontId="21" fillId="5" borderId="99" xfId="2" applyFont="1" applyFill="1" applyBorder="1" applyAlignment="1">
      <alignment horizontal="left" vertical="center" wrapText="1"/>
    </xf>
    <xf numFmtId="0" fontId="0" fillId="5" borderId="99" xfId="0" applyFill="1" applyBorder="1" applyAlignment="1">
      <alignment horizontal="left" vertical="center" wrapText="1"/>
    </xf>
    <xf numFmtId="0" fontId="21" fillId="5" borderId="99" xfId="2" applyFont="1" applyFill="1" applyBorder="1" applyAlignment="1">
      <alignment horizontal="center" vertical="center" wrapText="1"/>
    </xf>
    <xf numFmtId="0" fontId="0" fillId="5" borderId="99" xfId="0" applyFill="1" applyBorder="1" applyAlignment="1">
      <alignment horizontal="center" vertical="center" wrapText="1"/>
    </xf>
    <xf numFmtId="0" fontId="21" fillId="5" borderId="99" xfId="2" applyFont="1" applyFill="1" applyBorder="1" applyAlignment="1">
      <alignment horizontal="left" vertical="center"/>
    </xf>
    <xf numFmtId="0" fontId="0" fillId="5" borderId="99" xfId="0" applyFill="1" applyBorder="1" applyAlignment="1">
      <alignment horizontal="left" vertical="center"/>
    </xf>
    <xf numFmtId="0" fontId="21" fillId="5" borderId="17" xfId="2" applyFont="1" applyFill="1" applyBorder="1" applyAlignment="1" applyProtection="1">
      <alignment horizontal="left" vertical="center"/>
      <protection locked="0"/>
    </xf>
    <xf numFmtId="0" fontId="21" fillId="5" borderId="18" xfId="2" applyFont="1" applyFill="1" applyBorder="1" applyAlignment="1" applyProtection="1">
      <alignment horizontal="left" vertical="center"/>
      <protection locked="0"/>
    </xf>
    <xf numFmtId="0" fontId="49" fillId="0" borderId="33" xfId="2" applyFont="1" applyBorder="1" applyAlignment="1">
      <alignment horizontal="left" vertical="center" wrapText="1"/>
    </xf>
    <xf numFmtId="0" fontId="49" fillId="0" borderId="41" xfId="2" applyFont="1" applyBorder="1" applyAlignment="1">
      <alignment horizontal="left" vertical="center" wrapText="1"/>
    </xf>
    <xf numFmtId="0" fontId="49" fillId="0" borderId="28" xfId="2" applyFont="1" applyBorder="1" applyAlignment="1">
      <alignment horizontal="left" vertical="center" wrapText="1"/>
    </xf>
    <xf numFmtId="0" fontId="21" fillId="5" borderId="24" xfId="2" applyFont="1" applyFill="1" applyBorder="1" applyAlignment="1" applyProtection="1">
      <alignment horizontal="left" vertical="center"/>
      <protection locked="0"/>
    </xf>
    <xf numFmtId="0" fontId="21" fillId="5" borderId="25" xfId="2" applyFont="1" applyFill="1" applyBorder="1" applyAlignment="1" applyProtection="1">
      <alignment horizontal="left" vertical="center"/>
      <protection locked="0"/>
    </xf>
    <xf numFmtId="0" fontId="21" fillId="5" borderId="99" xfId="2" applyFont="1" applyFill="1" applyBorder="1" applyAlignment="1">
      <alignment horizontal="left" vertical="center" wrapText="1" indent="1"/>
    </xf>
    <xf numFmtId="164" fontId="21" fillId="5" borderId="99" xfId="10" applyNumberFormat="1" applyFont="1" applyFill="1" applyBorder="1" applyAlignment="1">
      <alignment horizontal="center" vertical="center"/>
    </xf>
    <xf numFmtId="0" fontId="35" fillId="5" borderId="99" xfId="0" applyFont="1" applyFill="1" applyBorder="1" applyAlignment="1">
      <alignment horizontal="center" vertical="center"/>
    </xf>
    <xf numFmtId="0" fontId="21" fillId="5" borderId="99" xfId="2" applyFont="1" applyFill="1" applyBorder="1" applyAlignment="1" applyProtection="1">
      <alignment horizontal="left" vertical="center"/>
      <protection locked="0"/>
    </xf>
    <xf numFmtId="192" fontId="21" fillId="5" borderId="99" xfId="2" applyNumberFormat="1" applyFont="1" applyFill="1" applyBorder="1" applyAlignment="1" applyProtection="1">
      <alignment horizontal="center" vertical="center" wrapText="1"/>
      <protection locked="0"/>
    </xf>
    <xf numFmtId="192" fontId="0" fillId="5" borderId="99" xfId="0" applyNumberFormat="1" applyFill="1" applyBorder="1" applyAlignment="1">
      <alignment horizontal="center" vertical="center" wrapText="1"/>
    </xf>
    <xf numFmtId="0" fontId="21" fillId="5" borderId="99" xfId="2" applyFont="1" applyFill="1" applyBorder="1" applyAlignment="1" applyProtection="1">
      <alignment horizontal="center" vertical="center" wrapText="1"/>
      <protection locked="0"/>
    </xf>
    <xf numFmtId="164" fontId="21" fillId="0" borderId="100" xfId="10" applyNumberFormat="1" applyFont="1" applyFill="1" applyBorder="1" applyAlignment="1" applyProtection="1">
      <alignment horizontal="center" vertical="center"/>
    </xf>
    <xf numFmtId="164" fontId="21" fillId="0" borderId="102" xfId="10" applyNumberFormat="1" applyFont="1" applyFill="1" applyBorder="1" applyAlignment="1" applyProtection="1">
      <alignment horizontal="center" vertical="center"/>
    </xf>
    <xf numFmtId="0" fontId="9" fillId="4" borderId="116" xfId="2" applyFill="1" applyBorder="1" applyAlignment="1">
      <alignment horizontal="left" vertical="center" wrapText="1" indent="1"/>
    </xf>
    <xf numFmtId="0" fontId="9" fillId="4" borderId="117" xfId="2" applyFill="1" applyBorder="1" applyAlignment="1">
      <alignment horizontal="left" vertical="center" wrapText="1" indent="1"/>
    </xf>
    <xf numFmtId="0" fontId="9" fillId="4" borderId="121" xfId="2" applyFill="1" applyBorder="1" applyAlignment="1">
      <alignment horizontal="left" vertical="center" wrapText="1" indent="1"/>
    </xf>
    <xf numFmtId="164" fontId="21" fillId="0" borderId="120" xfId="10" applyNumberFormat="1" applyFont="1" applyFill="1" applyBorder="1" applyAlignment="1">
      <alignment horizontal="center" vertical="center"/>
    </xf>
    <xf numFmtId="164" fontId="21" fillId="0" borderId="121" xfId="10" applyNumberFormat="1" applyFont="1" applyFill="1" applyBorder="1" applyAlignment="1">
      <alignment horizontal="center" vertical="center"/>
    </xf>
    <xf numFmtId="0" fontId="9" fillId="0" borderId="119" xfId="2" applyBorder="1" applyAlignment="1">
      <alignment horizontal="left" vertical="center" wrapText="1"/>
    </xf>
    <xf numFmtId="193" fontId="21" fillId="5" borderId="99" xfId="2" applyNumberFormat="1" applyFont="1" applyFill="1" applyBorder="1" applyAlignment="1" applyProtection="1">
      <alignment horizontal="center" vertical="center"/>
      <protection locked="0"/>
    </xf>
    <xf numFmtId="193" fontId="21" fillId="5" borderId="99" xfId="2" applyNumberFormat="1" applyFont="1" applyFill="1" applyBorder="1" applyAlignment="1" applyProtection="1">
      <alignment horizontal="left" vertical="center" wrapText="1" indent="1"/>
      <protection locked="0"/>
    </xf>
    <xf numFmtId="164" fontId="21" fillId="5" borderId="99" xfId="10" applyNumberFormat="1" applyFont="1" applyFill="1" applyBorder="1" applyAlignment="1">
      <alignment horizontal="right" vertical="center"/>
    </xf>
    <xf numFmtId="0" fontId="21" fillId="5" borderId="99" xfId="2" applyFont="1" applyFill="1" applyBorder="1" applyAlignment="1">
      <alignment horizontal="right" vertical="center"/>
    </xf>
    <xf numFmtId="0" fontId="21" fillId="5" borderId="99" xfId="2" applyFont="1" applyFill="1" applyBorder="1" applyAlignment="1">
      <alignment horizontal="center" vertical="center"/>
    </xf>
    <xf numFmtId="0" fontId="9" fillId="0" borderId="1" xfId="2" applyBorder="1" applyAlignment="1">
      <alignment horizontal="center" vertical="center"/>
    </xf>
    <xf numFmtId="49" fontId="9" fillId="8" borderId="100" xfId="2" applyNumberFormat="1" applyFill="1" applyBorder="1" applyAlignment="1">
      <alignment horizontal="center" vertical="center" wrapText="1"/>
    </xf>
    <xf numFmtId="49" fontId="9" fillId="8" borderId="102" xfId="2" applyNumberFormat="1" applyFill="1" applyBorder="1" applyAlignment="1">
      <alignment horizontal="center" vertical="center" wrapText="1"/>
    </xf>
    <xf numFmtId="0" fontId="0" fillId="0" borderId="102" xfId="0" applyBorder="1" applyAlignment="1">
      <alignment horizontal="left" vertical="center" wrapText="1" indent="1"/>
    </xf>
    <xf numFmtId="0" fontId="9" fillId="0" borderId="104" xfId="2" applyBorder="1" applyAlignment="1">
      <alignment horizontal="left" vertical="center" wrapText="1"/>
    </xf>
    <xf numFmtId="0" fontId="9" fillId="4" borderId="106" xfId="2" applyFill="1" applyBorder="1" applyAlignment="1">
      <alignment horizontal="center" vertical="center" wrapText="1"/>
    </xf>
    <xf numFmtId="0" fontId="9" fillId="4" borderId="103" xfId="2" applyFill="1" applyBorder="1" applyAlignment="1">
      <alignment horizontal="center" vertical="center" wrapText="1"/>
    </xf>
    <xf numFmtId="0" fontId="3" fillId="4" borderId="125" xfId="0" applyFont="1" applyFill="1" applyBorder="1" applyAlignment="1">
      <alignment horizontal="center" vertical="center" wrapText="1"/>
    </xf>
    <xf numFmtId="0" fontId="3" fillId="4" borderId="126" xfId="0" applyFont="1" applyFill="1" applyBorder="1" applyAlignment="1">
      <alignment horizontal="center" vertical="center" wrapText="1"/>
    </xf>
    <xf numFmtId="0" fontId="3" fillId="4" borderId="127" xfId="0" applyFont="1" applyFill="1" applyBorder="1" applyAlignment="1">
      <alignment horizontal="center" vertical="center" wrapText="1"/>
    </xf>
    <xf numFmtId="0" fontId="3" fillId="4" borderId="128" xfId="0" applyFont="1" applyFill="1" applyBorder="1" applyAlignment="1">
      <alignment horizontal="center" vertical="center" wrapText="1"/>
    </xf>
    <xf numFmtId="0" fontId="9" fillId="8" borderId="122" xfId="2" applyFill="1" applyBorder="1" applyAlignment="1">
      <alignment horizontal="center" vertical="center" wrapText="1"/>
    </xf>
    <xf numFmtId="0" fontId="9" fillId="8" borderId="119" xfId="2" applyFill="1" applyBorder="1" applyAlignment="1">
      <alignment horizontal="center" vertical="center" wrapText="1"/>
    </xf>
    <xf numFmtId="0" fontId="9" fillId="8" borderId="124" xfId="2" applyFill="1" applyBorder="1" applyAlignment="1">
      <alignment horizontal="center" vertical="center" wrapText="1"/>
    </xf>
    <xf numFmtId="49" fontId="9" fillId="8" borderId="122" xfId="2" applyNumberFormat="1" applyFill="1" applyBorder="1" applyAlignment="1">
      <alignment horizontal="center" vertical="center" wrapText="1"/>
    </xf>
    <xf numFmtId="49" fontId="9" fillId="8" borderId="119" xfId="2" applyNumberFormat="1" applyFill="1" applyBorder="1" applyAlignment="1">
      <alignment horizontal="center" vertical="center" wrapText="1"/>
    </xf>
    <xf numFmtId="49" fontId="9" fillId="8" borderId="124" xfId="2" applyNumberFormat="1" applyFill="1" applyBorder="1" applyAlignment="1">
      <alignment horizontal="center" vertical="center" wrapText="1"/>
    </xf>
    <xf numFmtId="49" fontId="9" fillId="8" borderId="123" xfId="2" applyNumberFormat="1" applyFill="1" applyBorder="1" applyAlignment="1">
      <alignment horizontal="center" vertical="center" wrapText="1"/>
    </xf>
    <xf numFmtId="0" fontId="21" fillId="0" borderId="3" xfId="2" applyFont="1" applyBorder="1" applyAlignment="1" applyProtection="1">
      <alignment vertical="top"/>
      <protection locked="0"/>
    </xf>
    <xf numFmtId="0" fontId="21" fillId="0" borderId="12" xfId="2" applyFont="1" applyBorder="1" applyAlignment="1" applyProtection="1">
      <alignment vertical="top"/>
      <protection locked="0"/>
    </xf>
    <xf numFmtId="0" fontId="21" fillId="0" borderId="11" xfId="2" applyFont="1" applyBorder="1" applyAlignment="1" applyProtection="1">
      <alignment vertical="top"/>
      <protection locked="0"/>
    </xf>
    <xf numFmtId="0" fontId="21" fillId="0" borderId="0" xfId="2" applyFont="1" applyAlignment="1">
      <alignment horizontal="left" vertical="top" wrapText="1"/>
    </xf>
    <xf numFmtId="0" fontId="21" fillId="0" borderId="3" xfId="2" applyFont="1" applyBorder="1" applyAlignment="1" applyProtection="1">
      <alignment horizontal="left" vertical="top"/>
      <protection locked="0"/>
    </xf>
    <xf numFmtId="0" fontId="21" fillId="0" borderId="12" xfId="2" applyFont="1" applyBorder="1" applyAlignment="1" applyProtection="1">
      <alignment horizontal="left" vertical="top"/>
      <protection locked="0"/>
    </xf>
    <xf numFmtId="0" fontId="21" fillId="0" borderId="11" xfId="2" applyFont="1" applyBorder="1" applyAlignment="1" applyProtection="1">
      <alignment horizontal="left" vertical="top"/>
      <protection locked="0"/>
    </xf>
    <xf numFmtId="0" fontId="49" fillId="0" borderId="3" xfId="2" applyFont="1" applyBorder="1" applyAlignment="1">
      <alignment vertical="center" wrapText="1"/>
    </xf>
    <xf numFmtId="0" fontId="49" fillId="0" borderId="12" xfId="2" applyFont="1" applyBorder="1" applyAlignment="1">
      <alignment vertical="center" wrapText="1"/>
    </xf>
    <xf numFmtId="0" fontId="49" fillId="0" borderId="11" xfId="2" applyFont="1" applyBorder="1" applyAlignment="1">
      <alignment vertical="center" wrapText="1"/>
    </xf>
    <xf numFmtId="0" fontId="21" fillId="0" borderId="3" xfId="2" applyFont="1" applyBorder="1" applyAlignment="1">
      <alignment horizontal="left" vertical="top"/>
    </xf>
    <xf numFmtId="0" fontId="21" fillId="0" borderId="12" xfId="2" applyFont="1" applyBorder="1" applyAlignment="1">
      <alignment horizontal="left" vertical="top"/>
    </xf>
    <xf numFmtId="0" fontId="21" fillId="0" borderId="11" xfId="2" applyFont="1" applyBorder="1" applyAlignment="1">
      <alignment horizontal="left" vertical="top"/>
    </xf>
    <xf numFmtId="49" fontId="9" fillId="4" borderId="3" xfId="2" applyNumberFormat="1" applyFill="1" applyBorder="1" applyAlignment="1">
      <alignment horizontal="center" vertical="center" wrapText="1"/>
    </xf>
    <xf numFmtId="49" fontId="9" fillId="4" borderId="12" xfId="2" applyNumberFormat="1" applyFill="1" applyBorder="1" applyAlignment="1">
      <alignment horizontal="center" vertical="center" wrapText="1"/>
    </xf>
    <xf numFmtId="49" fontId="9" fillId="4" borderId="11" xfId="2" applyNumberFormat="1" applyFill="1" applyBorder="1" applyAlignment="1">
      <alignment horizontal="center" vertical="center" wrapText="1"/>
    </xf>
    <xf numFmtId="49" fontId="9" fillId="4" borderId="3" xfId="2" applyNumberFormat="1" applyFill="1" applyBorder="1" applyAlignment="1">
      <alignment horizontal="center" vertical="center"/>
    </xf>
    <xf numFmtId="49" fontId="9" fillId="4" borderId="12" xfId="2" applyNumberFormat="1" applyFill="1" applyBorder="1" applyAlignment="1">
      <alignment horizontal="center" vertical="center"/>
    </xf>
    <xf numFmtId="49" fontId="9" fillId="4" borderId="11" xfId="2" applyNumberFormat="1" applyFill="1" applyBorder="1" applyAlignment="1">
      <alignment horizontal="center" vertical="center"/>
    </xf>
    <xf numFmtId="0" fontId="0" fillId="4" borderId="65" xfId="0" applyFill="1" applyBorder="1" applyAlignment="1">
      <alignment horizontal="center"/>
    </xf>
    <xf numFmtId="0" fontId="0" fillId="4" borderId="65" xfId="0" applyFill="1" applyBorder="1" applyAlignment="1">
      <alignment horizontal="center" wrapText="1"/>
    </xf>
    <xf numFmtId="43" fontId="21" fillId="0" borderId="3" xfId="1" applyFont="1" applyFill="1" applyBorder="1" applyAlignment="1" applyProtection="1">
      <alignment horizontal="right" vertical="center"/>
    </xf>
    <xf numFmtId="43" fontId="21" fillId="0" borderId="11" xfId="1" applyFont="1" applyFill="1" applyBorder="1" applyAlignment="1" applyProtection="1">
      <alignment horizontal="right" vertical="center"/>
    </xf>
    <xf numFmtId="164" fontId="21" fillId="0" borderId="3" xfId="298" applyNumberFormat="1" applyFont="1" applyBorder="1" applyAlignment="1">
      <alignment horizontal="right" vertical="center"/>
    </xf>
    <xf numFmtId="164" fontId="21" fillId="0" borderId="11" xfId="298" applyNumberFormat="1" applyFont="1" applyBorder="1" applyAlignment="1">
      <alignment horizontal="right" vertical="center"/>
    </xf>
    <xf numFmtId="164" fontId="21" fillId="5" borderId="3" xfId="298" applyNumberFormat="1" applyFont="1" applyFill="1" applyBorder="1" applyAlignment="1">
      <alignment horizontal="right" vertical="center"/>
    </xf>
    <xf numFmtId="164" fontId="21" fillId="5" borderId="11" xfId="298" applyNumberFormat="1" applyFont="1" applyFill="1" applyBorder="1" applyAlignment="1">
      <alignment horizontal="right" vertical="center"/>
    </xf>
    <xf numFmtId="14" fontId="0" fillId="0" borderId="0" xfId="0" applyNumberFormat="1" applyAlignment="1">
      <alignment horizontal="center" vertical="center"/>
    </xf>
    <xf numFmtId="14" fontId="0" fillId="0" borderId="0" xfId="0" applyNumberFormat="1" applyAlignment="1">
      <alignment horizontal="center" vertical="center" wrapText="1"/>
    </xf>
    <xf numFmtId="0" fontId="0" fillId="4" borderId="0" xfId="0" applyFill="1" applyAlignment="1">
      <alignment horizontal="center"/>
    </xf>
    <xf numFmtId="0" fontId="44" fillId="64" borderId="325" xfId="0" applyFont="1" applyFill="1" applyBorder="1" applyAlignment="1">
      <alignment horizontal="center" vertical="center" textRotation="90"/>
    </xf>
    <xf numFmtId="0" fontId="0" fillId="48" borderId="68" xfId="0" applyFill="1" applyBorder="1" applyAlignment="1">
      <alignment horizontal="center"/>
    </xf>
    <xf numFmtId="0" fontId="0" fillId="48" borderId="0" xfId="0" applyFill="1" applyAlignment="1">
      <alignment horizontal="center"/>
    </xf>
    <xf numFmtId="0" fontId="0" fillId="48" borderId="62" xfId="0" applyFill="1" applyBorder="1" applyAlignment="1">
      <alignment horizontal="center"/>
    </xf>
    <xf numFmtId="0" fontId="14" fillId="48" borderId="0" xfId="0" applyFont="1" applyFill="1" applyAlignment="1">
      <alignment horizontal="center"/>
    </xf>
    <xf numFmtId="0" fontId="14" fillId="48" borderId="62" xfId="0" applyFont="1" applyFill="1" applyBorder="1" applyAlignment="1">
      <alignment horizontal="center"/>
    </xf>
    <xf numFmtId="0" fontId="21" fillId="0" borderId="2" xfId="0" applyFont="1" applyBorder="1" applyAlignment="1">
      <alignment horizontal="left" vertical="top" wrapText="1"/>
    </xf>
    <xf numFmtId="0" fontId="30" fillId="4" borderId="56" xfId="0" applyFont="1" applyFill="1" applyBorder="1" applyAlignment="1">
      <alignment horizontal="center" vertical="center" wrapText="1"/>
    </xf>
    <xf numFmtId="0" fontId="30" fillId="4" borderId="42" xfId="0" applyFont="1" applyFill="1" applyBorder="1" applyAlignment="1">
      <alignment horizontal="center" vertical="center" wrapText="1"/>
    </xf>
    <xf numFmtId="0" fontId="4" fillId="4" borderId="44" xfId="0" applyFont="1" applyFill="1" applyBorder="1" applyAlignment="1">
      <alignment horizontal="center" vertical="center" wrapText="1"/>
    </xf>
    <xf numFmtId="0" fontId="24" fillId="4" borderId="88" xfId="0" applyFont="1" applyFill="1" applyBorder="1" applyAlignment="1">
      <alignment horizontal="center" vertical="center" wrapText="1"/>
    </xf>
    <xf numFmtId="0" fontId="4" fillId="4" borderId="9" xfId="0" applyFont="1" applyFill="1" applyBorder="1" applyAlignment="1">
      <alignment horizontal="center" vertical="center" wrapText="1"/>
    </xf>
    <xf numFmtId="0" fontId="24" fillId="4" borderId="10" xfId="0" applyFont="1" applyFill="1" applyBorder="1" applyAlignment="1">
      <alignment horizontal="center" vertical="center" wrapText="1"/>
    </xf>
    <xf numFmtId="0" fontId="0" fillId="0" borderId="10" xfId="0" applyBorder="1" applyAlignment="1">
      <alignment vertical="center"/>
    </xf>
    <xf numFmtId="0" fontId="30" fillId="4" borderId="82" xfId="0" applyFont="1" applyFill="1" applyBorder="1" applyAlignment="1">
      <alignment horizontal="center" vertical="center" wrapText="1"/>
    </xf>
    <xf numFmtId="0" fontId="30" fillId="4" borderId="43" xfId="0" applyFont="1" applyFill="1" applyBorder="1" applyAlignment="1">
      <alignment horizontal="center" vertical="center" wrapText="1"/>
    </xf>
    <xf numFmtId="0" fontId="4" fillId="8" borderId="56" xfId="0" applyFont="1" applyFill="1" applyBorder="1" applyAlignment="1">
      <alignment horizontal="center" vertical="center" wrapText="1"/>
    </xf>
    <xf numFmtId="0" fontId="4" fillId="8" borderId="81" xfId="0" applyFont="1" applyFill="1" applyBorder="1" applyAlignment="1">
      <alignment horizontal="center" vertical="center" wrapText="1"/>
    </xf>
    <xf numFmtId="0" fontId="4" fillId="4" borderId="18" xfId="0" applyFont="1" applyFill="1" applyBorder="1" applyAlignment="1">
      <alignment horizontal="center" vertical="center" wrapText="1"/>
    </xf>
    <xf numFmtId="0" fontId="4" fillId="4" borderId="21" xfId="0" applyFont="1" applyFill="1" applyBorder="1" applyAlignment="1">
      <alignment horizontal="center" vertical="center" wrapText="1"/>
    </xf>
    <xf numFmtId="0" fontId="24" fillId="4" borderId="44" xfId="0" applyFont="1" applyFill="1" applyBorder="1" applyAlignment="1">
      <alignment horizontal="center" vertical="center" wrapText="1"/>
    </xf>
    <xf numFmtId="0" fontId="4" fillId="8" borderId="16" xfId="0" applyFont="1" applyFill="1" applyBorder="1" applyAlignment="1">
      <alignment horizontal="center" vertical="center"/>
    </xf>
    <xf numFmtId="0" fontId="24" fillId="8" borderId="18" xfId="0" applyFont="1" applyFill="1" applyBorder="1" applyAlignment="1">
      <alignment horizontal="center" vertical="center"/>
    </xf>
    <xf numFmtId="0" fontId="4" fillId="8" borderId="44" xfId="0" applyFont="1" applyFill="1" applyBorder="1" applyAlignment="1">
      <alignment horizontal="center" vertical="center" wrapText="1"/>
    </xf>
    <xf numFmtId="0" fontId="24" fillId="8" borderId="88" xfId="0" applyFont="1" applyFill="1" applyBorder="1" applyAlignment="1">
      <alignment horizontal="center" vertical="center" wrapText="1"/>
    </xf>
    <xf numFmtId="0" fontId="4" fillId="4" borderId="16" xfId="0" applyFont="1" applyFill="1" applyBorder="1" applyAlignment="1">
      <alignment horizontal="center" vertical="center" wrapText="1"/>
    </xf>
    <xf numFmtId="0" fontId="24" fillId="4" borderId="19" xfId="0" applyFont="1" applyFill="1" applyBorder="1" applyAlignment="1">
      <alignment horizontal="center" vertical="center" wrapText="1"/>
    </xf>
    <xf numFmtId="0" fontId="123" fillId="0" borderId="8" xfId="14" applyFont="1" applyBorder="1" applyAlignment="1">
      <alignment horizontal="center" vertical="center" wrapText="1"/>
    </xf>
    <xf numFmtId="0" fontId="123" fillId="0" borderId="2" xfId="14" applyFont="1" applyBorder="1" applyAlignment="1">
      <alignment horizontal="center" vertical="center" wrapText="1"/>
    </xf>
    <xf numFmtId="0" fontId="9" fillId="0" borderId="78" xfId="13" applyBorder="1" applyAlignment="1">
      <alignment horizontal="center" vertical="center" wrapText="1"/>
    </xf>
    <xf numFmtId="0" fontId="9" fillId="0" borderId="9" xfId="13" applyBorder="1" applyAlignment="1">
      <alignment horizontal="center" vertical="center" wrapText="1"/>
    </xf>
    <xf numFmtId="0" fontId="9" fillId="0" borderId="10" xfId="13" applyBorder="1" applyAlignment="1">
      <alignment horizontal="center" vertical="center" wrapText="1"/>
    </xf>
    <xf numFmtId="0" fontId="9" fillId="0" borderId="74" xfId="13" applyBorder="1" applyAlignment="1">
      <alignment horizontal="center" vertical="center" wrapText="1"/>
    </xf>
    <xf numFmtId="0" fontId="123" fillId="2" borderId="72" xfId="14" applyFont="1" applyFill="1" applyBorder="1" applyAlignment="1">
      <alignment horizontal="center" vertical="center" wrapText="1"/>
    </xf>
    <xf numFmtId="0" fontId="123" fillId="2" borderId="4" xfId="14" applyFont="1" applyFill="1" applyBorder="1" applyAlignment="1">
      <alignment horizontal="center" vertical="center" wrapText="1"/>
    </xf>
    <xf numFmtId="0" fontId="123" fillId="2" borderId="73" xfId="14" applyFont="1" applyFill="1" applyBorder="1" applyAlignment="1">
      <alignment horizontal="center" vertical="center" wrapText="1"/>
    </xf>
    <xf numFmtId="0" fontId="9" fillId="0" borderId="12" xfId="13" applyBorder="1" applyAlignment="1">
      <alignment horizontal="center" vertical="center" wrapText="1"/>
    </xf>
    <xf numFmtId="0" fontId="9" fillId="0" borderId="11" xfId="13" applyBorder="1" applyAlignment="1">
      <alignment horizontal="center" vertical="center" wrapText="1"/>
    </xf>
    <xf numFmtId="3" fontId="41" fillId="0" borderId="59" xfId="13" applyNumberFormat="1" applyFont="1" applyBorder="1" applyAlignment="1">
      <alignment horizontal="left" vertical="center" wrapText="1"/>
    </xf>
    <xf numFmtId="0" fontId="9" fillId="0" borderId="58" xfId="13" applyBorder="1" applyAlignment="1">
      <alignment horizontal="left" vertical="center" wrapText="1"/>
    </xf>
    <xf numFmtId="0" fontId="128" fillId="3" borderId="6" xfId="14" applyFont="1" applyFill="1" applyBorder="1" applyAlignment="1">
      <alignment horizontal="center" vertical="center" wrapText="1"/>
    </xf>
    <xf numFmtId="0" fontId="128" fillId="3" borderId="8" xfId="14" applyFont="1" applyFill="1" applyBorder="1" applyAlignment="1">
      <alignment horizontal="center" vertical="center" wrapText="1"/>
    </xf>
    <xf numFmtId="0" fontId="128" fillId="3" borderId="79" xfId="14" applyFont="1" applyFill="1" applyBorder="1" applyAlignment="1">
      <alignment horizontal="center" vertical="center" wrapText="1"/>
    </xf>
    <xf numFmtId="0" fontId="128" fillId="3" borderId="13" xfId="14" applyFont="1" applyFill="1" applyBorder="1" applyAlignment="1">
      <alignment horizontal="center" vertical="center" wrapText="1"/>
    </xf>
    <xf numFmtId="0" fontId="123" fillId="0" borderId="4" xfId="14" applyFont="1" applyBorder="1" applyAlignment="1">
      <alignment horizontal="center" vertical="center" wrapText="1"/>
    </xf>
    <xf numFmtId="0" fontId="123" fillId="0" borderId="3" xfId="14" applyFont="1" applyBorder="1" applyAlignment="1">
      <alignment horizontal="center" vertical="center" wrapText="1"/>
    </xf>
    <xf numFmtId="0" fontId="128" fillId="3" borderId="3" xfId="14" applyFont="1" applyFill="1" applyBorder="1" applyAlignment="1">
      <alignment horizontal="center" vertical="center" wrapText="1"/>
    </xf>
    <xf numFmtId="0" fontId="128" fillId="3" borderId="77" xfId="14" applyFont="1" applyFill="1" applyBorder="1" applyAlignment="1">
      <alignment horizontal="center" vertical="center" wrapText="1"/>
    </xf>
    <xf numFmtId="0" fontId="9" fillId="0" borderId="13" xfId="13" applyBorder="1" applyAlignment="1">
      <alignment horizontal="center" vertical="center" wrapText="1"/>
    </xf>
    <xf numFmtId="0" fontId="128" fillId="3" borderId="75" xfId="14" applyFont="1" applyFill="1" applyBorder="1" applyAlignment="1">
      <alignment horizontal="center" vertical="center" wrapText="1"/>
    </xf>
    <xf numFmtId="0" fontId="9" fillId="0" borderId="15" xfId="13" applyBorder="1" applyAlignment="1">
      <alignment horizontal="center" vertical="center" wrapText="1"/>
    </xf>
    <xf numFmtId="0" fontId="128" fillId="3" borderId="72" xfId="14" applyFont="1" applyFill="1" applyBorder="1" applyAlignment="1">
      <alignment horizontal="center" vertical="center" wrapText="1"/>
    </xf>
    <xf numFmtId="0" fontId="128" fillId="3" borderId="4" xfId="14" applyFont="1" applyFill="1" applyBorder="1" applyAlignment="1">
      <alignment horizontal="center" vertical="center" wrapText="1"/>
    </xf>
    <xf numFmtId="3" fontId="123" fillId="0" borderId="73" xfId="14" applyNumberFormat="1" applyFont="1" applyBorder="1" applyAlignment="1">
      <alignment horizontal="center" vertical="center" wrapText="1"/>
    </xf>
    <xf numFmtId="3" fontId="123" fillId="2" borderId="4" xfId="14" applyNumberFormat="1" applyFont="1" applyFill="1" applyBorder="1" applyAlignment="1">
      <alignment horizontal="center" vertical="center" wrapText="1"/>
    </xf>
    <xf numFmtId="3" fontId="123" fillId="2" borderId="3" xfId="14" applyNumberFormat="1" applyFont="1" applyFill="1" applyBorder="1" applyAlignment="1">
      <alignment horizontal="center" vertical="center" wrapText="1"/>
    </xf>
    <xf numFmtId="3" fontId="123" fillId="2" borderId="11" xfId="14" applyNumberFormat="1" applyFont="1" applyFill="1" applyBorder="1" applyAlignment="1">
      <alignment horizontal="center" vertical="center" wrapText="1"/>
    </xf>
    <xf numFmtId="3" fontId="128" fillId="0" borderId="73" xfId="14" applyNumberFormat="1" applyFont="1" applyBorder="1" applyAlignment="1">
      <alignment horizontal="center" vertical="center" wrapText="1"/>
    </xf>
    <xf numFmtId="3" fontId="128" fillId="0" borderId="4" xfId="14" applyNumberFormat="1" applyFont="1" applyBorder="1" applyAlignment="1">
      <alignment horizontal="center" vertical="center" wrapText="1"/>
    </xf>
    <xf numFmtId="0" fontId="123" fillId="0" borderId="1" xfId="14" applyFont="1" applyBorder="1" applyAlignment="1">
      <alignment horizontal="center" vertical="center" wrapText="1"/>
    </xf>
    <xf numFmtId="0" fontId="123" fillId="0" borderId="0" xfId="14" applyFont="1" applyAlignment="1">
      <alignment horizontal="center" vertical="center" wrapText="1"/>
    </xf>
    <xf numFmtId="0" fontId="9" fillId="0" borderId="76" xfId="13" applyBorder="1" applyAlignment="1">
      <alignment horizontal="center" vertical="center" wrapText="1"/>
    </xf>
    <xf numFmtId="0" fontId="123" fillId="0" borderId="9" xfId="14" applyFont="1" applyBorder="1" applyAlignment="1">
      <alignment horizontal="center" vertical="center" wrapText="1"/>
    </xf>
    <xf numFmtId="0" fontId="123" fillId="0" borderId="10" xfId="14" applyFont="1" applyBorder="1" applyAlignment="1">
      <alignment horizontal="center" vertical="center" wrapText="1"/>
    </xf>
    <xf numFmtId="0" fontId="20" fillId="4" borderId="56" xfId="0" applyFont="1" applyFill="1" applyBorder="1" applyAlignment="1">
      <alignment horizontal="center" vertical="center" wrapText="1"/>
    </xf>
    <xf numFmtId="0" fontId="20" fillId="4" borderId="42" xfId="0" applyFont="1" applyFill="1" applyBorder="1" applyAlignment="1">
      <alignment horizontal="center" vertical="center" wrapText="1"/>
    </xf>
    <xf numFmtId="0" fontId="20" fillId="4" borderId="82" xfId="0" applyFont="1" applyFill="1" applyBorder="1" applyAlignment="1">
      <alignment horizontal="center" vertical="center" wrapText="1"/>
    </xf>
    <xf numFmtId="0" fontId="20" fillId="4" borderId="43" xfId="0" applyFont="1" applyFill="1" applyBorder="1" applyAlignment="1">
      <alignment horizontal="center" vertical="center" wrapText="1"/>
    </xf>
    <xf numFmtId="0" fontId="9" fillId="8" borderId="16" xfId="0" applyFont="1" applyFill="1" applyBorder="1" applyAlignment="1">
      <alignment horizontal="center" vertical="center"/>
    </xf>
    <xf numFmtId="0" fontId="9" fillId="8" borderId="18" xfId="0" applyFont="1" applyFill="1" applyBorder="1" applyAlignment="1">
      <alignment horizontal="center" vertical="center"/>
    </xf>
    <xf numFmtId="0" fontId="9" fillId="8" borderId="44" xfId="0" applyFont="1" applyFill="1" applyBorder="1" applyAlignment="1">
      <alignment horizontal="center" vertical="center" wrapText="1"/>
    </xf>
    <xf numFmtId="0" fontId="9" fillId="8" borderId="88" xfId="0" applyFont="1" applyFill="1" applyBorder="1" applyAlignment="1">
      <alignment horizontal="center" vertical="center" wrapText="1"/>
    </xf>
    <xf numFmtId="0" fontId="9" fillId="4" borderId="44" xfId="0" applyFont="1" applyFill="1" applyBorder="1" applyAlignment="1">
      <alignment horizontal="center" vertical="center" wrapText="1"/>
    </xf>
    <xf numFmtId="0" fontId="9" fillId="4" borderId="88" xfId="0" applyFont="1" applyFill="1" applyBorder="1" applyAlignment="1">
      <alignment horizontal="center" vertical="center" wrapText="1"/>
    </xf>
    <xf numFmtId="0" fontId="35" fillId="0" borderId="2" xfId="0" applyFont="1" applyBorder="1" applyAlignment="1">
      <alignment horizontal="left" vertical="top" wrapText="1"/>
    </xf>
    <xf numFmtId="0" fontId="9" fillId="8" borderId="56" xfId="0" applyFont="1" applyFill="1" applyBorder="1" applyAlignment="1">
      <alignment horizontal="center" vertical="center" wrapText="1"/>
    </xf>
    <xf numFmtId="0" fontId="9" fillId="8" borderId="81" xfId="0" applyFont="1" applyFill="1" applyBorder="1" applyAlignment="1">
      <alignment horizontal="center" vertical="center" wrapText="1"/>
    </xf>
    <xf numFmtId="0" fontId="9" fillId="4" borderId="9" xfId="0" applyFont="1" applyFill="1" applyBorder="1" applyAlignment="1">
      <alignment horizontal="center" vertical="center" wrapText="1"/>
    </xf>
    <xf numFmtId="0" fontId="9" fillId="4" borderId="10" xfId="0" applyFont="1" applyFill="1" applyBorder="1" applyAlignment="1">
      <alignment horizontal="center" vertical="center" wrapText="1"/>
    </xf>
    <xf numFmtId="0" fontId="14" fillId="0" borderId="10" xfId="0" applyFont="1" applyBorder="1" applyAlignment="1">
      <alignment vertical="center"/>
    </xf>
    <xf numFmtId="0" fontId="9" fillId="4" borderId="21" xfId="0" applyFont="1" applyFill="1" applyBorder="1" applyAlignment="1">
      <alignment horizontal="center" vertical="center" wrapText="1"/>
    </xf>
    <xf numFmtId="0" fontId="11" fillId="5" borderId="64" xfId="15" applyFill="1" applyBorder="1" applyAlignment="1">
      <alignment horizontal="center"/>
    </xf>
    <xf numFmtId="0" fontId="9" fillId="0" borderId="69" xfId="123" applyBorder="1" applyAlignment="1">
      <alignment horizontal="center"/>
    </xf>
    <xf numFmtId="0" fontId="12" fillId="5" borderId="64" xfId="15" applyFont="1" applyFill="1" applyBorder="1" applyAlignment="1">
      <alignment horizontal="center"/>
    </xf>
    <xf numFmtId="0" fontId="9" fillId="0" borderId="70" xfId="123" applyBorder="1" applyAlignment="1">
      <alignment horizontal="center"/>
    </xf>
    <xf numFmtId="0" fontId="9" fillId="0" borderId="65" xfId="123" applyBorder="1"/>
    <xf numFmtId="0" fontId="20" fillId="0" borderId="65" xfId="123" applyFont="1" applyBorder="1"/>
    <xf numFmtId="0" fontId="20" fillId="0" borderId="85" xfId="123" applyFont="1" applyBorder="1" applyAlignment="1">
      <alignment wrapText="1"/>
    </xf>
    <xf numFmtId="0" fontId="20" fillId="0" borderId="84" xfId="123" applyFont="1" applyBorder="1"/>
    <xf numFmtId="0" fontId="20" fillId="0" borderId="80" xfId="123" applyFont="1" applyBorder="1"/>
  </cellXfs>
  <cellStyles count="449">
    <cellStyle name="20% - Accent1" xfId="37" builtinId="30" customBuiltin="1"/>
    <cellStyle name="20% - Accent2" xfId="41" builtinId="34" customBuiltin="1"/>
    <cellStyle name="20% - Accent3" xfId="45" builtinId="38" customBuiltin="1"/>
    <cellStyle name="20% - Accent4" xfId="49" builtinId="42" customBuiltin="1"/>
    <cellStyle name="20% - Accent5" xfId="53" builtinId="46" customBuiltin="1"/>
    <cellStyle name="20% - Accent6" xfId="57" builtinId="50" customBuiltin="1"/>
    <cellStyle name="40% - Accent1" xfId="38" builtinId="31" customBuiltin="1"/>
    <cellStyle name="40% - Accent2" xfId="42" builtinId="35" customBuiltin="1"/>
    <cellStyle name="40% - Accent3" xfId="46" builtinId="39" customBuiltin="1"/>
    <cellStyle name="40% - Accent4" xfId="50" builtinId="43" customBuiltin="1"/>
    <cellStyle name="40% - Accent5" xfId="54" builtinId="47" customBuiltin="1"/>
    <cellStyle name="40% - Accent6" xfId="58" builtinId="51" customBuiltin="1"/>
    <cellStyle name="60% - Accent1" xfId="39" builtinId="32" customBuiltin="1"/>
    <cellStyle name="60% - Accent2" xfId="43" builtinId="36" customBuiltin="1"/>
    <cellStyle name="60% - Accent3" xfId="47" builtinId="40" customBuiltin="1"/>
    <cellStyle name="60% - Accent4" xfId="51" builtinId="44" customBuiltin="1"/>
    <cellStyle name="60% - Accent5" xfId="55" builtinId="48" customBuiltin="1"/>
    <cellStyle name="60% - Accent6" xfId="59" builtinId="52" customBuiltin="1"/>
    <cellStyle name="Accent1" xfId="36" builtinId="29" customBuiltin="1"/>
    <cellStyle name="Accent2" xfId="40" builtinId="33" customBuiltin="1"/>
    <cellStyle name="Accent3" xfId="44" builtinId="37" customBuiltin="1"/>
    <cellStyle name="Accent4" xfId="48" builtinId="41" customBuiltin="1"/>
    <cellStyle name="Accent5" xfId="52" builtinId="45" customBuiltin="1"/>
    <cellStyle name="Accent6" xfId="56" builtinId="49" customBuiltin="1"/>
    <cellStyle name="Bad" xfId="25" builtinId="27" customBuiltin="1"/>
    <cellStyle name="Calculation" xfId="29" builtinId="22" customBuiltin="1"/>
    <cellStyle name="Check Cell" xfId="31" builtinId="23" customBuiltin="1"/>
    <cellStyle name="Comma" xfId="1" builtinId="3"/>
    <cellStyle name="Comma 2" xfId="12" xr:uid="{00000000-0005-0000-0000-00001C000000}"/>
    <cellStyle name="Comma 3" xfId="16" xr:uid="{00000000-0005-0000-0000-00001D000000}"/>
    <cellStyle name="Comma 3 2" xfId="412" xr:uid="{00000000-0005-0000-0000-00001E000000}"/>
    <cellStyle name="Comma 4" xfId="413" xr:uid="{00000000-0005-0000-0000-00001F000000}"/>
    <cellStyle name="Comma 6" xfId="93" xr:uid="{00000000-0005-0000-0000-000020000000}"/>
    <cellStyle name="Currency" xfId="96" builtinId="4"/>
    <cellStyle name="Currency 2" xfId="11" xr:uid="{00000000-0005-0000-0000-000022000000}"/>
    <cellStyle name="Explanatory Text" xfId="34" builtinId="53" customBuilti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76" builtinId="9" hidden="1"/>
    <cellStyle name="Followed Hyperlink" xfId="75" builtinId="9" hidden="1"/>
    <cellStyle name="Followed Hyperlink" xfId="73" builtinId="9" hidden="1"/>
    <cellStyle name="Followed Hyperlink" xfId="71" builtinId="9" hidden="1"/>
    <cellStyle name="Followed Hyperlink" xfId="68" builtinId="9" hidden="1"/>
    <cellStyle name="Followed Hyperlink" xfId="67" builtinId="9" hidden="1"/>
    <cellStyle name="Followed Hyperlink" xfId="87" builtinId="9" hidden="1"/>
    <cellStyle name="Followed Hyperlink" xfId="61" builtinId="9" hidden="1"/>
    <cellStyle name="Followed Hyperlink" xfId="69" builtinId="9" hidden="1"/>
    <cellStyle name="Followed Hyperlink" xfId="77" builtinId="9" hidden="1"/>
    <cellStyle name="Followed Hyperlink" xfId="72" builtinId="9" hidden="1"/>
    <cellStyle name="Followed Hyperlink" xfId="63" builtinId="9" hidden="1"/>
    <cellStyle name="Followed Hyperlink" xfId="65" builtinId="9" hidden="1"/>
    <cellStyle name="Followed Hyperlink" xfId="70" builtinId="9" hidden="1"/>
    <cellStyle name="Followed Hyperlink" xfId="62" builtinId="9" hidden="1"/>
    <cellStyle name="Followed Hyperlink" xfId="74" builtinId="9" hidden="1"/>
    <cellStyle name="Followed Hyperlink" xfId="89" builtinId="9" hidden="1"/>
    <cellStyle name="Followed Hyperlink" xfId="86"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12" builtinId="9" hidden="1"/>
    <cellStyle name="Followed Hyperlink" xfId="111" builtinId="9" hidden="1"/>
    <cellStyle name="Followed Hyperlink" xfId="109" builtinId="9" hidden="1"/>
    <cellStyle name="Followed Hyperlink" xfId="107" builtinId="9" hidden="1"/>
    <cellStyle name="Followed Hyperlink" xfId="104" builtinId="9" hidden="1"/>
    <cellStyle name="Followed Hyperlink" xfId="103" builtinId="9" hidden="1"/>
    <cellStyle name="Followed Hyperlink" xfId="121" builtinId="9" hidden="1"/>
    <cellStyle name="Followed Hyperlink" xfId="99" builtinId="9" hidden="1"/>
    <cellStyle name="Followed Hyperlink" xfId="105" builtinId="9" hidden="1"/>
    <cellStyle name="Followed Hyperlink" xfId="113" builtinId="9" hidden="1"/>
    <cellStyle name="Followed Hyperlink" xfId="108" builtinId="9" hidden="1"/>
    <cellStyle name="Followed Hyperlink" xfId="101" builtinId="9" hidden="1"/>
    <cellStyle name="Followed Hyperlink" xfId="102" builtinId="9" hidden="1"/>
    <cellStyle name="Followed Hyperlink" xfId="106" builtinId="9" hidden="1"/>
    <cellStyle name="Followed Hyperlink" xfId="100" builtinId="9" hidden="1"/>
    <cellStyle name="Followed Hyperlink" xfId="110" builtinId="9" hidden="1"/>
    <cellStyle name="Followed Hyperlink" xfId="122" builtinId="9" hidden="1"/>
    <cellStyle name="Followed Hyperlink" xfId="120"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37" builtinId="9" hidden="1"/>
    <cellStyle name="Followed Hyperlink" xfId="136" builtinId="9" hidden="1"/>
    <cellStyle name="Followed Hyperlink" xfId="134" builtinId="9" hidden="1"/>
    <cellStyle name="Followed Hyperlink" xfId="132" builtinId="9" hidden="1"/>
    <cellStyle name="Followed Hyperlink" xfId="129" builtinId="9" hidden="1"/>
    <cellStyle name="Followed Hyperlink" xfId="128" builtinId="9" hidden="1"/>
    <cellStyle name="Followed Hyperlink" xfId="146" builtinId="9" hidden="1"/>
    <cellStyle name="Followed Hyperlink" xfId="124" builtinId="9" hidden="1"/>
    <cellStyle name="Followed Hyperlink" xfId="130" builtinId="9" hidden="1"/>
    <cellStyle name="Followed Hyperlink" xfId="138" builtinId="9" hidden="1"/>
    <cellStyle name="Followed Hyperlink" xfId="133" builtinId="9" hidden="1"/>
    <cellStyle name="Followed Hyperlink" xfId="126" builtinId="9" hidden="1"/>
    <cellStyle name="Followed Hyperlink" xfId="127" builtinId="9" hidden="1"/>
    <cellStyle name="Followed Hyperlink" xfId="131" builtinId="9" hidden="1"/>
    <cellStyle name="Followed Hyperlink" xfId="125" builtinId="9" hidden="1"/>
    <cellStyle name="Followed Hyperlink" xfId="135" builtinId="9" hidden="1"/>
    <cellStyle name="Followed Hyperlink" xfId="147" builtinId="9" hidden="1"/>
    <cellStyle name="Followed Hyperlink" xfId="145"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75" builtinId="9" hidden="1"/>
    <cellStyle name="Followed Hyperlink" xfId="174" builtinId="9" hidden="1"/>
    <cellStyle name="Followed Hyperlink" xfId="172" builtinId="9" hidden="1"/>
    <cellStyle name="Followed Hyperlink" xfId="170" builtinId="9" hidden="1"/>
    <cellStyle name="Followed Hyperlink" xfId="167" builtinId="9" hidden="1"/>
    <cellStyle name="Followed Hyperlink" xfId="166" builtinId="9" hidden="1"/>
    <cellStyle name="Followed Hyperlink" xfId="184" builtinId="9" hidden="1"/>
    <cellStyle name="Followed Hyperlink" xfId="161" builtinId="9" hidden="1"/>
    <cellStyle name="Followed Hyperlink" xfId="168" builtinId="9" hidden="1"/>
    <cellStyle name="Followed Hyperlink" xfId="176" builtinId="9" hidden="1"/>
    <cellStyle name="Followed Hyperlink" xfId="171" builtinId="9" hidden="1"/>
    <cellStyle name="Followed Hyperlink" xfId="163" builtinId="9" hidden="1"/>
    <cellStyle name="Followed Hyperlink" xfId="165" builtinId="9" hidden="1"/>
    <cellStyle name="Followed Hyperlink" xfId="169" builtinId="9" hidden="1"/>
    <cellStyle name="Followed Hyperlink" xfId="162" builtinId="9" hidden="1"/>
    <cellStyle name="Followed Hyperlink" xfId="173" builtinId="9" hidden="1"/>
    <cellStyle name="Followed Hyperlink" xfId="185" builtinId="9" hidden="1"/>
    <cellStyle name="Followed Hyperlink" xfId="183"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0" builtinId="9" hidden="1"/>
    <cellStyle name="Followed Hyperlink" xfId="199" builtinId="9" hidden="1"/>
    <cellStyle name="Followed Hyperlink" xfId="197" builtinId="9" hidden="1"/>
    <cellStyle name="Followed Hyperlink" xfId="195" builtinId="9" hidden="1"/>
    <cellStyle name="Followed Hyperlink" xfId="192" builtinId="9" hidden="1"/>
    <cellStyle name="Followed Hyperlink" xfId="191" builtinId="9" hidden="1"/>
    <cellStyle name="Followed Hyperlink" xfId="209" builtinId="9" hidden="1"/>
    <cellStyle name="Followed Hyperlink" xfId="187" builtinId="9" hidden="1"/>
    <cellStyle name="Followed Hyperlink" xfId="193" builtinId="9" hidden="1"/>
    <cellStyle name="Followed Hyperlink" xfId="201" builtinId="9" hidden="1"/>
    <cellStyle name="Followed Hyperlink" xfId="196" builtinId="9" hidden="1"/>
    <cellStyle name="Followed Hyperlink" xfId="189" builtinId="9" hidden="1"/>
    <cellStyle name="Followed Hyperlink" xfId="190" builtinId="9" hidden="1"/>
    <cellStyle name="Followed Hyperlink" xfId="194" builtinId="9" hidden="1"/>
    <cellStyle name="Followed Hyperlink" xfId="188" builtinId="9" hidden="1"/>
    <cellStyle name="Followed Hyperlink" xfId="198" builtinId="9" hidden="1"/>
    <cellStyle name="Followed Hyperlink" xfId="210" builtinId="9" hidden="1"/>
    <cellStyle name="Followed Hyperlink" xfId="208"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24" builtinId="9" hidden="1"/>
    <cellStyle name="Followed Hyperlink" xfId="223" builtinId="9" hidden="1"/>
    <cellStyle name="Followed Hyperlink" xfId="221" builtinId="9" hidden="1"/>
    <cellStyle name="Followed Hyperlink" xfId="219" builtinId="9" hidden="1"/>
    <cellStyle name="Followed Hyperlink" xfId="216" builtinId="9" hidden="1"/>
    <cellStyle name="Followed Hyperlink" xfId="215" builtinId="9" hidden="1"/>
    <cellStyle name="Followed Hyperlink" xfId="233" builtinId="9" hidden="1"/>
    <cellStyle name="Followed Hyperlink" xfId="211" builtinId="9" hidden="1"/>
    <cellStyle name="Followed Hyperlink" xfId="217" builtinId="9" hidden="1"/>
    <cellStyle name="Followed Hyperlink" xfId="225" builtinId="9" hidden="1"/>
    <cellStyle name="Followed Hyperlink" xfId="220" builtinId="9" hidden="1"/>
    <cellStyle name="Followed Hyperlink" xfId="213" builtinId="9" hidden="1"/>
    <cellStyle name="Followed Hyperlink" xfId="214" builtinId="9" hidden="1"/>
    <cellStyle name="Followed Hyperlink" xfId="218" builtinId="9" hidden="1"/>
    <cellStyle name="Followed Hyperlink" xfId="212" builtinId="9" hidden="1"/>
    <cellStyle name="Followed Hyperlink" xfId="222" builtinId="9" hidden="1"/>
    <cellStyle name="Followed Hyperlink" xfId="234" builtinId="9" hidden="1"/>
    <cellStyle name="Followed Hyperlink" xfId="232"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38" builtinId="9" hidden="1"/>
    <cellStyle name="Followed Hyperlink" xfId="237" builtinId="9" hidden="1"/>
    <cellStyle name="Followed Hyperlink" xfId="235" builtinId="9" hidden="1"/>
    <cellStyle name="Followed Hyperlink" xfId="152" builtinId="9" hidden="1"/>
    <cellStyle name="Followed Hyperlink" xfId="157" builtinId="9" hidden="1"/>
    <cellStyle name="Followed Hyperlink" xfId="159" builtinId="9" hidden="1"/>
    <cellStyle name="Followed Hyperlink" xfId="247" builtinId="9" hidden="1"/>
    <cellStyle name="Followed Hyperlink" xfId="160" builtinId="9" hidden="1"/>
    <cellStyle name="Followed Hyperlink" xfId="155" builtinId="9" hidden="1"/>
    <cellStyle name="Followed Hyperlink" xfId="239" builtinId="9" hidden="1"/>
    <cellStyle name="Followed Hyperlink" xfId="151" builtinId="9" hidden="1"/>
    <cellStyle name="Followed Hyperlink" xfId="156" builtinId="9" hidden="1"/>
    <cellStyle name="Followed Hyperlink" xfId="153" builtinId="9" hidden="1"/>
    <cellStyle name="Followed Hyperlink" xfId="154" builtinId="9" hidden="1"/>
    <cellStyle name="Followed Hyperlink" xfId="158" builtinId="9" hidden="1"/>
    <cellStyle name="Followed Hyperlink" xfId="236" builtinId="9" hidden="1"/>
    <cellStyle name="Followed Hyperlink" xfId="248" builtinId="9" hidden="1"/>
    <cellStyle name="Followed Hyperlink" xfId="246"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63" builtinId="9" hidden="1"/>
    <cellStyle name="Followed Hyperlink" xfId="262" builtinId="9" hidden="1"/>
    <cellStyle name="Followed Hyperlink" xfId="260" builtinId="9" hidden="1"/>
    <cellStyle name="Followed Hyperlink" xfId="258" builtinId="9" hidden="1"/>
    <cellStyle name="Followed Hyperlink" xfId="255" builtinId="9" hidden="1"/>
    <cellStyle name="Followed Hyperlink" xfId="254" builtinId="9" hidden="1"/>
    <cellStyle name="Followed Hyperlink" xfId="272" builtinId="9" hidden="1"/>
    <cellStyle name="Followed Hyperlink" xfId="250" builtinId="9" hidden="1"/>
    <cellStyle name="Followed Hyperlink" xfId="256" builtinId="9" hidden="1"/>
    <cellStyle name="Followed Hyperlink" xfId="264" builtinId="9" hidden="1"/>
    <cellStyle name="Followed Hyperlink" xfId="259" builtinId="9" hidden="1"/>
    <cellStyle name="Followed Hyperlink" xfId="252" builtinId="9" hidden="1"/>
    <cellStyle name="Followed Hyperlink" xfId="253" builtinId="9" hidden="1"/>
    <cellStyle name="Followed Hyperlink" xfId="257" builtinId="9" hidden="1"/>
    <cellStyle name="Followed Hyperlink" xfId="251" builtinId="9" hidden="1"/>
    <cellStyle name="Followed Hyperlink" xfId="261" builtinId="9" hidden="1"/>
    <cellStyle name="Followed Hyperlink" xfId="273" builtinId="9" hidden="1"/>
    <cellStyle name="Followed Hyperlink" xfId="271"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87" builtinId="9" hidden="1"/>
    <cellStyle name="Followed Hyperlink" xfId="286" builtinId="9" hidden="1"/>
    <cellStyle name="Followed Hyperlink" xfId="284" builtinId="9" hidden="1"/>
    <cellStyle name="Followed Hyperlink" xfId="282" builtinId="9" hidden="1"/>
    <cellStyle name="Followed Hyperlink" xfId="279" builtinId="9" hidden="1"/>
    <cellStyle name="Followed Hyperlink" xfId="278" builtinId="9" hidden="1"/>
    <cellStyle name="Followed Hyperlink" xfId="296" builtinId="9" hidden="1"/>
    <cellStyle name="Followed Hyperlink" xfId="274" builtinId="9" hidden="1"/>
    <cellStyle name="Followed Hyperlink" xfId="280" builtinId="9" hidden="1"/>
    <cellStyle name="Followed Hyperlink" xfId="288" builtinId="9" hidden="1"/>
    <cellStyle name="Followed Hyperlink" xfId="283" builtinId="9" hidden="1"/>
    <cellStyle name="Followed Hyperlink" xfId="276" builtinId="9" hidden="1"/>
    <cellStyle name="Followed Hyperlink" xfId="277" builtinId="9" hidden="1"/>
    <cellStyle name="Followed Hyperlink" xfId="281" builtinId="9" hidden="1"/>
    <cellStyle name="Followed Hyperlink" xfId="275" builtinId="9" hidden="1"/>
    <cellStyle name="Followed Hyperlink" xfId="285" builtinId="9" hidden="1"/>
    <cellStyle name="Followed Hyperlink" xfId="297" builtinId="9" hidden="1"/>
    <cellStyle name="Followed Hyperlink" xfId="295"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Good" xfId="24" builtinId="26" customBuiltin="1"/>
    <cellStyle name="Heading 1" xfId="20" builtinId="16" customBuiltin="1"/>
    <cellStyle name="Heading 2" xfId="21" builtinId="17" customBuiltin="1"/>
    <cellStyle name="Heading 3" xfId="22" builtinId="18" customBuiltin="1"/>
    <cellStyle name="Heading 4" xfId="23" builtinId="19" customBuilti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48" builtinId="8"/>
    <cellStyle name="Hyperlink 2" xfId="60" xr:uid="{00000000-0005-0000-0000-00006C010000}"/>
    <cellStyle name="Hyperlink 2 2" xfId="414" xr:uid="{00000000-0005-0000-0000-00006D010000}"/>
    <cellStyle name="Hyperlink 2 3" xfId="410" xr:uid="{00000000-0005-0000-0000-00006E010000}"/>
    <cellStyle name="Input" xfId="27" builtinId="20" customBuiltin="1"/>
    <cellStyle name="Linked Cell" xfId="30" builtinId="24" customBuiltin="1"/>
    <cellStyle name="Neutral" xfId="26" builtinId="28" customBuiltin="1"/>
    <cellStyle name="Normal" xfId="0" builtinId="0"/>
    <cellStyle name="Normal 10 3" xfId="447" xr:uid="{00000000-0005-0000-0000-000073010000}"/>
    <cellStyle name="Normal 100" xfId="421" xr:uid="{00000000-0005-0000-0000-000074010000}"/>
    <cellStyle name="Normal 102" xfId="422" xr:uid="{00000000-0005-0000-0000-000075010000}"/>
    <cellStyle name="Normal 103" xfId="423" xr:uid="{00000000-0005-0000-0000-000076010000}"/>
    <cellStyle name="Normal 2" xfId="2" xr:uid="{00000000-0005-0000-0000-000077010000}"/>
    <cellStyle name="Normal 2 10 2" xfId="445" xr:uid="{00000000-0005-0000-0000-000078010000}"/>
    <cellStyle name="Normal 2 2" xfId="13" xr:uid="{00000000-0005-0000-0000-000079010000}"/>
    <cellStyle name="Normal 2 2 2" xfId="298" xr:uid="{00000000-0005-0000-0000-00007A010000}"/>
    <cellStyle name="Normal 2 2 2 2" xfId="416" xr:uid="{00000000-0005-0000-0000-00007B010000}"/>
    <cellStyle name="Normal 2 2 2 3" xfId="406" xr:uid="{00000000-0005-0000-0000-00007C010000}"/>
    <cellStyle name="Normal 2 2 3" xfId="407" xr:uid="{00000000-0005-0000-0000-00007D010000}"/>
    <cellStyle name="Normal 2 3" xfId="14" xr:uid="{00000000-0005-0000-0000-00007E010000}"/>
    <cellStyle name="Normal 2 5" xfId="408" xr:uid="{00000000-0005-0000-0000-00007F010000}"/>
    <cellStyle name="Normal 2 92" xfId="444" xr:uid="{00000000-0005-0000-0000-000080010000}"/>
    <cellStyle name="Normal 3" xfId="3" xr:uid="{00000000-0005-0000-0000-000081010000}"/>
    <cellStyle name="Normal 3 2" xfId="4" xr:uid="{00000000-0005-0000-0000-000082010000}"/>
    <cellStyle name="Normal 3 2 2" xfId="442" xr:uid="{00000000-0005-0000-0000-000083010000}"/>
    <cellStyle name="Normal 3 2 3" xfId="417" xr:uid="{00000000-0005-0000-0000-000084010000}"/>
    <cellStyle name="Normal 3 3" xfId="5" xr:uid="{00000000-0005-0000-0000-000085010000}"/>
    <cellStyle name="Normal 3 4" xfId="6" xr:uid="{00000000-0005-0000-0000-000086010000}"/>
    <cellStyle name="Normal 3 5" xfId="15" xr:uid="{00000000-0005-0000-0000-000087010000}"/>
    <cellStyle name="Normal 4" xfId="7" xr:uid="{00000000-0005-0000-0000-000088010000}"/>
    <cellStyle name="Normal 4 2" xfId="84" xr:uid="{00000000-0005-0000-0000-000089010000}"/>
    <cellStyle name="Normal 4 3" xfId="66" xr:uid="{00000000-0005-0000-0000-00008A010000}"/>
    <cellStyle name="Normal 4 4" xfId="64" xr:uid="{00000000-0005-0000-0000-00008B010000}"/>
    <cellStyle name="Normal 4 5" xfId="85" xr:uid="{00000000-0005-0000-0000-00008C010000}"/>
    <cellStyle name="Normal 4 6" xfId="97" xr:uid="{00000000-0005-0000-0000-00008D010000}"/>
    <cellStyle name="Normal 4 7" xfId="148" xr:uid="{00000000-0005-0000-0000-00008E010000}"/>
    <cellStyle name="Normal 4 8" xfId="150" xr:uid="{00000000-0005-0000-0000-00008F010000}"/>
    <cellStyle name="Normal 45" xfId="424" xr:uid="{00000000-0005-0000-0000-000090010000}"/>
    <cellStyle name="Normal 47" xfId="425" xr:uid="{00000000-0005-0000-0000-000091010000}"/>
    <cellStyle name="Normal 49" xfId="427" xr:uid="{00000000-0005-0000-0000-000092010000}"/>
    <cellStyle name="Normal 5" xfId="18" xr:uid="{00000000-0005-0000-0000-000093010000}"/>
    <cellStyle name="Normal 5 10" xfId="409" xr:uid="{00000000-0005-0000-0000-000094010000}"/>
    <cellStyle name="Normal 5 2" xfId="8" xr:uid="{00000000-0005-0000-0000-000095010000}"/>
    <cellStyle name="Normal 5 2 2" xfId="441" xr:uid="{00000000-0005-0000-0000-000096010000}"/>
    <cellStyle name="Normal 5 3" xfId="88" xr:uid="{00000000-0005-0000-0000-000097010000}"/>
    <cellStyle name="Normal 5 4" xfId="90" xr:uid="{00000000-0005-0000-0000-000098010000}"/>
    <cellStyle name="Normal 5 5" xfId="91" xr:uid="{00000000-0005-0000-0000-000099010000}"/>
    <cellStyle name="Normal 5 6" xfId="92" xr:uid="{00000000-0005-0000-0000-00009A010000}"/>
    <cellStyle name="Normal 5 7" xfId="98" xr:uid="{00000000-0005-0000-0000-00009B010000}"/>
    <cellStyle name="Normal 5 8" xfId="149" xr:uid="{00000000-0005-0000-0000-00009C010000}"/>
    <cellStyle name="Normal 5 9" xfId="164" xr:uid="{00000000-0005-0000-0000-00009D010000}"/>
    <cellStyle name="Normal 51" xfId="428" xr:uid="{00000000-0005-0000-0000-00009E010000}"/>
    <cellStyle name="Normal 52" xfId="429" xr:uid="{00000000-0005-0000-0000-00009F010000}"/>
    <cellStyle name="Normal 53" xfId="431" xr:uid="{00000000-0005-0000-0000-0000A0010000}"/>
    <cellStyle name="Normal 54" xfId="433" xr:uid="{00000000-0005-0000-0000-0000A1010000}"/>
    <cellStyle name="Normal 55" xfId="434" xr:uid="{00000000-0005-0000-0000-0000A2010000}"/>
    <cellStyle name="Normal 57" xfId="435" xr:uid="{00000000-0005-0000-0000-0000A3010000}"/>
    <cellStyle name="Normal 59" xfId="436" xr:uid="{00000000-0005-0000-0000-0000A4010000}"/>
    <cellStyle name="Normal 6" xfId="95" xr:uid="{00000000-0005-0000-0000-0000A5010000}"/>
    <cellStyle name="Normal 6 2" xfId="123" xr:uid="{00000000-0005-0000-0000-0000A6010000}"/>
    <cellStyle name="Normal 6 3" xfId="186" xr:uid="{00000000-0005-0000-0000-0000A7010000}"/>
    <cellStyle name="Normal 6 4" xfId="249" xr:uid="{00000000-0005-0000-0000-0000A8010000}"/>
    <cellStyle name="Normal 61" xfId="437" xr:uid="{00000000-0005-0000-0000-0000A9010000}"/>
    <cellStyle name="Normal 62" xfId="438" xr:uid="{00000000-0005-0000-0000-0000AA010000}"/>
    <cellStyle name="Normal 63" xfId="439" xr:uid="{00000000-0005-0000-0000-0000AB010000}"/>
    <cellStyle name="Normal 65" xfId="440" xr:uid="{00000000-0005-0000-0000-0000AC010000}"/>
    <cellStyle name="Normal 69" xfId="426" xr:uid="{00000000-0005-0000-0000-0000AD010000}"/>
    <cellStyle name="Normal 7" xfId="405" xr:uid="{00000000-0005-0000-0000-0000AE010000}"/>
    <cellStyle name="Normal 71" xfId="430" xr:uid="{00000000-0005-0000-0000-0000AF010000}"/>
    <cellStyle name="Normal 73" xfId="432" xr:uid="{00000000-0005-0000-0000-0000B0010000}"/>
    <cellStyle name="Normal 97" xfId="418" xr:uid="{00000000-0005-0000-0000-0000B1010000}"/>
    <cellStyle name="Normal 98" xfId="419" xr:uid="{00000000-0005-0000-0000-0000B2010000}"/>
    <cellStyle name="Normal 99" xfId="420" xr:uid="{00000000-0005-0000-0000-0000B3010000}"/>
    <cellStyle name="Normal_Supporting Info" xfId="446" xr:uid="{00000000-0005-0000-0000-0000B4010000}"/>
    <cellStyle name="Note" xfId="33" builtinId="10" customBuiltin="1"/>
    <cellStyle name="Output" xfId="28" builtinId="21" customBuiltin="1"/>
    <cellStyle name="Percent" xfId="9" builtinId="5"/>
    <cellStyle name="Percent 2" xfId="10" xr:uid="{00000000-0005-0000-0000-0000B8010000}"/>
    <cellStyle name="Percent 3" xfId="17" xr:uid="{00000000-0005-0000-0000-0000B9010000}"/>
    <cellStyle name="Percent 3 2" xfId="443" xr:uid="{00000000-0005-0000-0000-0000BA010000}"/>
    <cellStyle name="Percent 3 3" xfId="411" xr:uid="{00000000-0005-0000-0000-0000BB010000}"/>
    <cellStyle name="Percent 4" xfId="415" xr:uid="{00000000-0005-0000-0000-0000BC010000}"/>
    <cellStyle name="Percent 6" xfId="94" xr:uid="{00000000-0005-0000-0000-0000BD010000}"/>
    <cellStyle name="Title" xfId="19" builtinId="15" customBuiltin="1"/>
    <cellStyle name="Total" xfId="35" builtinId="25" customBuiltin="1"/>
    <cellStyle name="Warning Text" xfId="32" builtinId="11" customBuiltin="1"/>
  </cellStyles>
  <dxfs count="543">
    <dxf>
      <font>
        <b val="0"/>
        <i val="0"/>
        <strike val="0"/>
        <condense val="0"/>
        <extend val="0"/>
        <outline val="0"/>
        <shadow val="0"/>
        <u val="none"/>
        <vertAlign val="baseline"/>
        <sz val="11"/>
        <color theme="1"/>
        <name val="Arial"/>
        <scheme val="minor"/>
      </font>
      <border diagonalUp="0" diagonalDown="0">
        <left style="thin">
          <color theme="4"/>
        </left>
        <right style="thin">
          <color theme="4"/>
        </right>
        <top style="thin">
          <color theme="4"/>
        </top>
        <bottom/>
        <vertical/>
        <horizontal/>
      </border>
    </dxf>
    <dxf>
      <font>
        <b val="0"/>
        <i val="0"/>
        <strike val="0"/>
        <condense val="0"/>
        <extend val="0"/>
        <outline val="0"/>
        <shadow val="0"/>
        <u val="none"/>
        <vertAlign val="baseline"/>
        <sz val="11"/>
        <color theme="1"/>
        <name val="Arial"/>
        <scheme val="minor"/>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b/>
        <i val="0"/>
        <color rgb="FFFF0000"/>
      </font>
      <fill>
        <patternFill>
          <bgColor theme="5" tint="0.79998168889431442"/>
        </patternFill>
      </fill>
    </dxf>
    <dxf>
      <fill>
        <patternFill patternType="solid">
          <bgColor theme="0" tint="-4.9989318521683403E-2"/>
        </patternFill>
      </fill>
    </dxf>
    <dxf>
      <fill>
        <patternFill>
          <bgColor theme="0" tint="-4.9989318521683403E-2"/>
        </patternFill>
      </fill>
    </dxf>
    <dxf>
      <font>
        <color theme="0"/>
      </font>
    </dxf>
    <dxf>
      <font>
        <color rgb="FFFF0000"/>
      </font>
      <fill>
        <patternFill>
          <bgColor theme="5" tint="0.79998168889431442"/>
        </patternFill>
      </fill>
    </dxf>
    <dxf>
      <font>
        <color rgb="FFC0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ill>
        <patternFill>
          <bgColor theme="0" tint="-4.9989318521683403E-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color theme="0"/>
      </font>
    </dxf>
    <dxf>
      <font>
        <color rgb="FFFF0000"/>
      </font>
      <fill>
        <patternFill>
          <bgColor theme="5" tint="0.79998168889431442"/>
        </patternFill>
      </fill>
    </dxf>
    <dxf>
      <font>
        <color rgb="FFC00000"/>
      </font>
      <fill>
        <patternFill>
          <bgColor theme="5"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ont>
        <b/>
        <i val="0"/>
        <color rgb="FFFF0000"/>
      </font>
      <fill>
        <patternFill>
          <bgColor theme="5"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tint="-4.9989318521683403E-2"/>
        </patternFill>
      </fill>
    </dxf>
    <dxf>
      <font>
        <b/>
        <i val="0"/>
        <color rgb="FFFF0000"/>
      </font>
      <fill>
        <patternFill>
          <bgColor theme="5"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tint="-4.9989318521683403E-2"/>
        </patternFill>
      </fill>
    </dxf>
    <dxf>
      <font>
        <b/>
        <i val="0"/>
        <color rgb="FFFF0000"/>
      </font>
      <fill>
        <patternFill>
          <bgColor theme="5"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tint="-4.9989318521683403E-2"/>
        </patternFill>
      </fill>
    </dxf>
    <dxf>
      <font>
        <b/>
        <i val="0"/>
        <color rgb="FFFF0000"/>
      </font>
      <fill>
        <patternFill>
          <bgColor theme="5"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tint="-4.9989318521683403E-2"/>
        </patternFill>
      </fill>
    </dxf>
    <dxf>
      <fill>
        <patternFill>
          <bgColor theme="0" tint="-4.9989318521683403E-2"/>
        </patternFill>
      </fill>
    </dxf>
    <dxf>
      <font>
        <b/>
        <i val="0"/>
        <color rgb="FFFF0000"/>
      </font>
      <fill>
        <patternFill>
          <bgColor theme="5"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color rgb="FFFF0000"/>
      </font>
      <fill>
        <patternFill>
          <bgColor theme="5"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i val="0"/>
        <color rgb="FFFF0000"/>
      </font>
      <fill>
        <patternFill>
          <bgColor theme="5"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i val="0"/>
        <color rgb="FFFF0000"/>
      </font>
      <fill>
        <patternFill>
          <bgColor theme="5"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b/>
        <i val="0"/>
        <color rgb="FFFF0000"/>
      </font>
      <fill>
        <patternFill>
          <bgColor theme="5"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ont>
        <color rgb="FFC00000"/>
      </font>
      <fill>
        <patternFill>
          <bgColor theme="5" tint="0.79998168889431442"/>
        </patternFill>
      </fill>
    </dxf>
    <dxf>
      <font>
        <color rgb="FFC00000"/>
      </font>
      <fill>
        <patternFill>
          <bgColor theme="5" tint="0.79998168889431442"/>
        </patternFill>
      </fill>
    </dxf>
    <dxf>
      <font>
        <color rgb="FFC00000"/>
      </font>
      <fill>
        <patternFill>
          <bgColor theme="5" tint="0.79998168889431442"/>
        </patternFill>
      </fill>
    </dxf>
    <dxf>
      <font>
        <color rgb="FFC00000"/>
      </font>
      <fill>
        <patternFill>
          <bgColor theme="5" tint="0.79998168889431442"/>
        </patternFill>
      </fill>
    </dxf>
    <dxf>
      <font>
        <color rgb="FFC00000"/>
      </font>
      <fill>
        <patternFill>
          <bgColor theme="5" tint="0.79998168889431442"/>
        </patternFill>
      </fill>
    </dxf>
    <dxf>
      <font>
        <color rgb="FFC00000"/>
      </font>
      <fill>
        <patternFill>
          <bgColor theme="5" tint="0.79998168889431442"/>
        </patternFill>
      </fill>
    </dxf>
    <dxf>
      <font>
        <color rgb="FFC00000"/>
      </font>
      <fill>
        <patternFill>
          <bgColor theme="5" tint="0.79998168889431442"/>
        </patternFill>
      </fill>
    </dxf>
    <dxf>
      <font>
        <color rgb="FFC00000"/>
      </font>
      <fill>
        <patternFill>
          <bgColor theme="5" tint="0.79998168889431442"/>
        </patternFill>
      </fill>
    </dxf>
    <dxf>
      <font>
        <color rgb="FFC00000"/>
      </font>
      <fill>
        <patternFill>
          <bgColor theme="5" tint="0.79998168889431442"/>
        </patternFill>
      </fill>
    </dxf>
    <dxf>
      <font>
        <color rgb="FF00B050"/>
      </font>
    </dxf>
    <dxf>
      <font>
        <color rgb="FFFF0000"/>
      </font>
    </dxf>
    <dxf>
      <font>
        <color rgb="FFC00000"/>
      </font>
      <fill>
        <patternFill>
          <bgColor theme="5" tint="0.79998168889431442"/>
        </patternFill>
      </fill>
    </dxf>
    <dxf>
      <font>
        <color rgb="FF00B050"/>
      </font>
    </dxf>
    <dxf>
      <font>
        <color rgb="FFFF0000"/>
      </font>
    </dxf>
    <dxf>
      <font>
        <color rgb="FF00B050"/>
      </font>
    </dxf>
    <dxf>
      <font>
        <color rgb="FFFF0000"/>
      </font>
    </dxf>
    <dxf>
      <font>
        <color rgb="FFC00000"/>
      </font>
      <fill>
        <patternFill>
          <bgColor theme="5" tint="0.79998168889431442"/>
        </patternFill>
      </fill>
    </dxf>
    <dxf>
      <font>
        <color rgb="FFC00000"/>
      </font>
      <fill>
        <patternFill>
          <bgColor theme="5" tint="0.79998168889431442"/>
        </patternFill>
      </fill>
    </dxf>
    <dxf>
      <font>
        <color rgb="FFC00000"/>
      </font>
      <fill>
        <patternFill>
          <bgColor theme="5" tint="0.79998168889431442"/>
        </patternFill>
      </fill>
    </dxf>
    <dxf>
      <font>
        <color rgb="FFC00000"/>
      </font>
      <fill>
        <patternFill>
          <bgColor theme="5" tint="0.79998168889431442"/>
        </patternFill>
      </fill>
    </dxf>
    <dxf>
      <font>
        <color rgb="FFC00000"/>
      </font>
      <fill>
        <patternFill>
          <bgColor theme="5" tint="0.79998168889431442"/>
        </patternFill>
      </fill>
    </dxf>
    <dxf>
      <font>
        <color rgb="FFC0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C00000"/>
      </font>
      <fill>
        <patternFill>
          <bgColor theme="5" tint="0.79998168889431442"/>
        </patternFill>
      </fill>
    </dxf>
    <dxf>
      <font>
        <color theme="0"/>
      </font>
    </dxf>
    <dxf>
      <font>
        <color theme="0"/>
      </font>
    </dxf>
    <dxf>
      <font>
        <color rgb="FFC00000"/>
      </font>
      <fill>
        <patternFill>
          <bgColor theme="5" tint="0.79998168889431442"/>
        </patternFill>
      </fill>
    </dxf>
    <dxf>
      <font>
        <color rgb="FFC00000"/>
      </font>
      <fill>
        <patternFill>
          <bgColor theme="5" tint="0.79998168889431442"/>
        </patternFill>
      </fill>
    </dxf>
    <dxf>
      <font>
        <color rgb="FFC00000"/>
      </font>
      <fill>
        <patternFill>
          <bgColor theme="5" tint="0.79998168889431442"/>
        </patternFill>
      </fill>
    </dxf>
    <dxf>
      <font>
        <color rgb="FFC00000"/>
      </font>
      <fill>
        <patternFill>
          <bgColor theme="5" tint="0.79998168889431442"/>
        </patternFill>
      </fill>
    </dxf>
    <dxf>
      <font>
        <color rgb="FFC00000"/>
      </font>
      <fill>
        <patternFill>
          <bgColor theme="5" tint="0.79998168889431442"/>
        </patternFill>
      </fill>
    </dxf>
    <dxf>
      <font>
        <color rgb="FF00B050"/>
      </font>
    </dxf>
    <dxf>
      <font>
        <color rgb="FFFF0000"/>
      </font>
    </dxf>
    <dxf>
      <font>
        <color rgb="FF00B050"/>
      </font>
    </dxf>
    <dxf>
      <font>
        <color rgb="FFFF0000"/>
      </font>
    </dxf>
    <dxf>
      <font>
        <color rgb="FF00B050"/>
      </font>
    </dxf>
    <dxf>
      <font>
        <color rgb="FFFF0000"/>
      </font>
    </dxf>
    <dxf>
      <font>
        <color rgb="FFC00000"/>
      </font>
      <fill>
        <patternFill>
          <bgColor theme="5" tint="0.79998168889431442"/>
        </patternFill>
      </fill>
    </dxf>
    <dxf>
      <font>
        <color rgb="FFC0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ill>
        <patternFill>
          <bgColor theme="0" tint="-4.9989318521683403E-2"/>
        </patternFill>
      </fill>
    </dxf>
    <dxf>
      <font>
        <color theme="0"/>
      </font>
    </dxf>
    <dxf>
      <font>
        <color theme="0"/>
      </font>
    </dxf>
    <dxf>
      <font>
        <color rgb="FF00B050"/>
      </font>
    </dxf>
    <dxf>
      <font>
        <color rgb="FFFF0000"/>
      </font>
    </dxf>
    <dxf>
      <font>
        <color rgb="FFC00000"/>
      </font>
      <fill>
        <patternFill>
          <bgColor theme="5" tint="0.79998168889431442"/>
        </patternFill>
      </fill>
    </dxf>
    <dxf>
      <font>
        <color rgb="FF00B050"/>
      </font>
    </dxf>
    <dxf>
      <font>
        <color rgb="FFFF0000"/>
      </font>
    </dxf>
    <dxf>
      <font>
        <color rgb="FF00B050"/>
      </font>
    </dxf>
    <dxf>
      <font>
        <color rgb="FFFF0000"/>
      </font>
    </dxf>
    <dxf>
      <font>
        <color rgb="FFC00000"/>
      </font>
      <fill>
        <patternFill>
          <bgColor theme="5" tint="0.79998168889431442"/>
        </patternFill>
      </fill>
    </dxf>
    <dxf>
      <font>
        <color theme="0"/>
      </font>
    </dxf>
    <dxf>
      <font>
        <color theme="0"/>
      </font>
    </dxf>
    <dxf>
      <font>
        <color rgb="FFFF0000"/>
      </font>
      <fill>
        <patternFill>
          <bgColor theme="5" tint="0.79998168889431442"/>
        </patternFill>
      </fill>
    </dxf>
    <dxf>
      <font>
        <color theme="0"/>
      </font>
    </dxf>
    <dxf>
      <font>
        <color rgb="FFFF0000"/>
      </font>
      <fill>
        <patternFill>
          <bgColor theme="5" tint="0.79998168889431442"/>
        </patternFill>
      </fill>
    </dxf>
    <dxf>
      <font>
        <color rgb="FFC00000"/>
      </font>
      <fill>
        <patternFill>
          <bgColor theme="5" tint="0.79998168889431442"/>
        </patternFill>
      </fill>
    </dxf>
    <dxf>
      <fill>
        <patternFill>
          <bgColor theme="0"/>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strike val="0"/>
        <color theme="0" tint="-0.499984740745262"/>
      </font>
      <fill>
        <patternFill patternType="solid">
          <bgColor theme="0"/>
        </patternFill>
      </fill>
    </dxf>
    <dxf>
      <font>
        <color rgb="FFFF0000"/>
      </font>
    </dxf>
    <dxf>
      <font>
        <b/>
        <i val="0"/>
        <color rgb="FFFF0000"/>
      </font>
    </dxf>
    <dxf>
      <font>
        <b/>
        <i val="0"/>
        <color rgb="FFFF0000"/>
      </font>
    </dxf>
    <dxf>
      <font>
        <b/>
        <i val="0"/>
        <color rgb="FFFF0000"/>
      </font>
    </dxf>
    <dxf>
      <font>
        <b/>
        <i val="0"/>
        <color rgb="FFFF0000"/>
      </font>
    </dxf>
    <dxf>
      <border>
        <left style="thin">
          <color rgb="FF00B050"/>
        </left>
        <right style="thin">
          <color rgb="FF00B050"/>
        </right>
        <top style="thin">
          <color rgb="FF00B050"/>
        </top>
        <bottom style="thin">
          <color rgb="FF00B050"/>
        </bottom>
        <vertical/>
        <horizontal/>
      </border>
    </dxf>
    <dxf>
      <font>
        <color rgb="FF00B050"/>
      </font>
    </dxf>
    <dxf>
      <border>
        <left style="thin">
          <color rgb="FFFF0000"/>
        </left>
        <right style="thin">
          <color rgb="FFFF0000"/>
        </right>
        <top style="thin">
          <color rgb="FFFF0000"/>
        </top>
        <bottom style="thin">
          <color rgb="FFFF0000"/>
        </bottom>
        <vertical/>
        <horizontal/>
      </border>
    </dxf>
    <dxf>
      <font>
        <color rgb="FFFF0000"/>
      </font>
    </dxf>
    <dxf>
      <font>
        <strike val="0"/>
        <color theme="0" tint="-0.499984740745262"/>
      </font>
      <fill>
        <patternFill patternType="none">
          <bgColor auto="1"/>
        </patternFill>
      </fill>
    </dxf>
    <dxf>
      <font>
        <color theme="0" tint="-0.34998626667073579"/>
      </font>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ill>
        <patternFill>
          <bgColor theme="0" tint="-4.9989318521683403E-2"/>
        </patternFill>
      </fill>
      <border>
        <left style="thin">
          <color rgb="FF00B050"/>
        </left>
        <right style="thin">
          <color rgb="FF00B050"/>
        </right>
        <top style="thin">
          <color rgb="FF00B050"/>
        </top>
        <bottom style="thin">
          <color rgb="FF00B050"/>
        </bottom>
        <vertical/>
        <horizontal/>
      </border>
    </dxf>
    <dxf>
      <fill>
        <patternFill>
          <bgColor theme="0" tint="-4.9989318521683403E-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border>
        <left style="thin">
          <color rgb="FF00B050"/>
        </left>
        <right style="thin">
          <color rgb="FF00B050"/>
        </right>
        <top style="thin">
          <color rgb="FF00B050"/>
        </top>
        <bottom style="thin">
          <color rgb="FF00B050"/>
        </bottom>
        <vertical/>
        <horizontal/>
      </border>
    </dxf>
    <dxf>
      <fill>
        <patternFill>
          <bgColor theme="0" tint="-4.9989318521683403E-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border>
        <left style="thin">
          <color rgb="FF00B050"/>
        </left>
        <right style="thin">
          <color rgb="FF00B050"/>
        </right>
        <top style="thin">
          <color rgb="FF00B050"/>
        </top>
        <bottom style="thin">
          <color rgb="FF00B050"/>
        </bottom>
        <vertical/>
        <horizontal/>
      </border>
    </dxf>
    <dxf>
      <fill>
        <patternFill>
          <bgColor theme="0" tint="-4.9989318521683403E-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border>
        <left style="thin">
          <color rgb="FF00B050"/>
        </left>
        <right style="thin">
          <color rgb="FF00B050"/>
        </right>
        <top style="thin">
          <color rgb="FF00B050"/>
        </top>
        <bottom style="thin">
          <color rgb="FF00B050"/>
        </bottom>
        <vertical/>
        <horizontal/>
      </border>
    </dxf>
    <dxf>
      <fill>
        <patternFill>
          <bgColor theme="0" tint="-4.9989318521683403E-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border>
        <left style="thin">
          <color rgb="FF00B050"/>
        </left>
        <right style="thin">
          <color rgb="FF00B050"/>
        </right>
        <top style="thin">
          <color rgb="FF00B050"/>
        </top>
        <bottom style="thin">
          <color rgb="FF00B050"/>
        </bottom>
        <vertical/>
        <horizontal/>
      </border>
    </dxf>
    <dxf>
      <fill>
        <patternFill>
          <bgColor theme="0" tint="-4.9989318521683403E-2"/>
        </patternFill>
      </fill>
      <border>
        <left style="thin">
          <color rgb="FFFF0000"/>
        </left>
        <right style="thin">
          <color rgb="FFFF0000"/>
        </right>
        <top style="thin">
          <color rgb="FFFF0000"/>
        </top>
        <bottom style="thin">
          <color rgb="FFFF0000"/>
        </bottom>
        <vertical/>
        <horizontal/>
      </border>
    </dxf>
    <dxf>
      <font>
        <color rgb="FFFF0000"/>
      </font>
      <fill>
        <patternFill>
          <bgColor theme="0" tint="-4.9989318521683403E-2"/>
        </patternFill>
      </fill>
    </dxf>
    <dxf>
      <font>
        <color rgb="FF00B050"/>
      </font>
      <fill>
        <patternFill>
          <bgColor theme="0" tint="-4.9989318521683403E-2"/>
        </patternFill>
      </fill>
    </dxf>
    <dxf>
      <fill>
        <patternFill>
          <bgColor theme="0" tint="-4.9989318521683403E-2"/>
        </patternFill>
      </fill>
      <border>
        <left style="thin">
          <color rgb="FF00B050"/>
        </left>
        <right style="thin">
          <color rgb="FF00B050"/>
        </right>
        <top style="thin">
          <color rgb="FF00B050"/>
        </top>
        <bottom style="thin">
          <color rgb="FF00B050"/>
        </bottom>
        <vertical/>
        <horizontal/>
      </border>
    </dxf>
    <dxf>
      <fill>
        <patternFill>
          <bgColor theme="0" tint="-4.9989318521683403E-2"/>
        </patternFill>
      </fill>
      <border>
        <left style="thin">
          <color rgb="FFFF0000"/>
        </left>
        <right style="thin">
          <color rgb="FFFF0000"/>
        </right>
        <top style="thin">
          <color rgb="FFFF0000"/>
        </top>
        <bottom style="thin">
          <color rgb="FFFF0000"/>
        </bottom>
        <vertical/>
        <horizontal/>
      </border>
    </dxf>
    <dxf>
      <border>
        <left style="thin">
          <color rgb="FF00B050"/>
        </left>
        <right style="thin">
          <color rgb="FF00B050"/>
        </right>
        <top style="thin">
          <color rgb="FF00B050"/>
        </top>
        <bottom style="thin">
          <color rgb="FF00B050"/>
        </bottom>
        <vertical/>
        <horizontal/>
      </border>
    </dxf>
    <dxf>
      <border>
        <left style="thin">
          <color rgb="FFFF0000"/>
        </left>
        <right style="thin">
          <color rgb="FFFF0000"/>
        </right>
        <top style="thin">
          <color rgb="FFFF0000"/>
        </top>
        <bottom style="thin">
          <color rgb="FFFF0000"/>
        </bottom>
        <vertical/>
        <horizontal/>
      </border>
    </dxf>
    <dxf>
      <border>
        <left style="thin">
          <color rgb="FF00B050"/>
        </left>
        <right style="thin">
          <color rgb="FF00B050"/>
        </right>
        <top style="thin">
          <color rgb="FF00B050"/>
        </top>
        <bottom style="thin">
          <color rgb="FF00B050"/>
        </bottom>
        <vertical/>
        <horizontal/>
      </border>
    </dxf>
    <dxf>
      <border>
        <left style="thin">
          <color rgb="FFFF0000"/>
        </left>
        <right style="thin">
          <color rgb="FFFF0000"/>
        </right>
        <top style="thin">
          <color rgb="FFFF0000"/>
        </top>
        <bottom style="thin">
          <color rgb="FFFF0000"/>
        </bottom>
        <vertical/>
        <horizontal/>
      </border>
    </dxf>
    <dxf>
      <border>
        <left style="thin">
          <color rgb="FF00B050"/>
        </left>
        <right style="thin">
          <color rgb="FF00B050"/>
        </right>
        <top style="thin">
          <color rgb="FF00B050"/>
        </top>
        <bottom style="thin">
          <color rgb="FF00B050"/>
        </bottom>
        <vertical/>
        <horizontal/>
      </border>
    </dxf>
    <dxf>
      <border>
        <left style="thin">
          <color rgb="FFFF0000"/>
        </left>
        <right style="thin">
          <color rgb="FFFF0000"/>
        </right>
        <top style="thin">
          <color rgb="FFFF0000"/>
        </top>
        <bottom style="thin">
          <color rgb="FFFF0000"/>
        </bottom>
        <vertical/>
        <horizontal/>
      </border>
    </dxf>
    <dxf>
      <border>
        <left style="thin">
          <color rgb="FF00B050"/>
        </left>
        <right style="thin">
          <color rgb="FF00B050"/>
        </right>
        <top style="thin">
          <color rgb="FF00B050"/>
        </top>
        <bottom style="thin">
          <color rgb="FF00B050"/>
        </bottom>
        <vertical/>
        <horizontal/>
      </border>
    </dxf>
    <dxf>
      <border>
        <left style="thin">
          <color rgb="FFFF0000"/>
        </left>
        <right style="thin">
          <color rgb="FFFF0000"/>
        </right>
        <top style="thin">
          <color rgb="FFFF0000"/>
        </top>
        <bottom style="thin">
          <color rgb="FFFF0000"/>
        </bottom>
        <vertical/>
        <horizontal/>
      </border>
    </dxf>
    <dxf>
      <border>
        <left style="thin">
          <color rgb="FF00B050"/>
        </left>
        <right style="thin">
          <color rgb="FF00B050"/>
        </right>
        <top style="thin">
          <color rgb="FF00B050"/>
        </top>
        <bottom style="thin">
          <color rgb="FF00B050"/>
        </bottom>
        <vertical/>
        <horizontal/>
      </border>
    </dxf>
    <dxf>
      <border>
        <left style="thin">
          <color rgb="FFFF0000"/>
        </left>
        <right style="thin">
          <color rgb="FFFF0000"/>
        </right>
        <top style="thin">
          <color rgb="FFFF0000"/>
        </top>
        <bottom style="thin">
          <color rgb="FFFF0000"/>
        </bottom>
        <vertical/>
        <horizontal/>
      </border>
    </dxf>
    <dxf>
      <fill>
        <patternFill>
          <bgColor theme="0" tint="-4.9989318521683403E-2"/>
        </patternFill>
      </fill>
      <border>
        <left style="thin">
          <color rgb="FF00B050"/>
        </left>
        <right style="thin">
          <color rgb="FF00B050"/>
        </right>
        <top style="thin">
          <color rgb="FF00B050"/>
        </top>
        <bottom style="thin">
          <color rgb="FF00B050"/>
        </bottom>
        <vertical/>
        <horizontal/>
      </border>
    </dxf>
    <dxf>
      <fill>
        <patternFill>
          <bgColor theme="0" tint="-4.9989318521683403E-2"/>
        </patternFill>
      </fill>
      <border>
        <left style="thin">
          <color rgb="FFFF0000"/>
        </left>
        <right style="thin">
          <color rgb="FFFF0000"/>
        </right>
        <top style="thin">
          <color rgb="FFFF0000"/>
        </top>
        <bottom style="thin">
          <color rgb="FFFF0000"/>
        </bottom>
        <vertical/>
        <horizontal/>
      </border>
    </dxf>
    <dxf>
      <font>
        <color rgb="FFFF0000"/>
      </font>
      <fill>
        <patternFill>
          <bgColor theme="0" tint="-4.9989318521683403E-2"/>
        </patternFill>
      </fill>
    </dxf>
    <dxf>
      <font>
        <color rgb="FF00B050"/>
      </font>
      <fill>
        <patternFill>
          <bgColor theme="0" tint="-4.9989318521683403E-2"/>
        </patternFill>
      </fill>
    </dxf>
    <dxf>
      <border>
        <left style="thin">
          <color rgb="FF00B050"/>
        </left>
        <right style="thin">
          <color rgb="FF00B050"/>
        </right>
        <top style="thin">
          <color rgb="FF00B050"/>
        </top>
        <bottom style="thin">
          <color rgb="FF00B050"/>
        </bottom>
        <vertical/>
        <horizontal/>
      </border>
    </dxf>
    <dxf>
      <border>
        <left style="thin">
          <color rgb="FFFF0000"/>
        </left>
        <right style="thin">
          <color rgb="FFFF0000"/>
        </right>
        <top style="thin">
          <color rgb="FFFF0000"/>
        </top>
        <bottom style="thin">
          <color rgb="FFFF0000"/>
        </bottom>
        <vertical/>
        <horizontal/>
      </border>
    </dxf>
    <dxf>
      <font>
        <color rgb="FFFF0000"/>
      </font>
    </dxf>
    <dxf>
      <font>
        <color rgb="FF00B050"/>
      </font>
    </dxf>
    <dxf>
      <font>
        <color rgb="FFFF0000"/>
      </font>
    </dxf>
    <dxf>
      <font>
        <color rgb="FF00B050"/>
      </font>
    </dxf>
    <dxf>
      <border>
        <left style="thin">
          <color rgb="FF00B050"/>
        </left>
        <right style="thin">
          <color rgb="FF00B050"/>
        </right>
        <top style="thin">
          <color rgb="FF00B050"/>
        </top>
        <bottom style="thin">
          <color rgb="FF00B050"/>
        </bottom>
        <vertical/>
        <horizontal/>
      </border>
    </dxf>
    <dxf>
      <border>
        <left style="thin">
          <color rgb="FFFF0000"/>
        </left>
        <right style="thin">
          <color rgb="FFFF0000"/>
        </right>
        <top style="thin">
          <color rgb="FFFF0000"/>
        </top>
        <bottom style="thin">
          <color rgb="FFFF0000"/>
        </bottom>
        <vertical/>
        <horizontal/>
      </border>
    </dxf>
    <dxf>
      <border>
        <left style="thin">
          <color rgb="FF00B050"/>
        </left>
        <right style="thin">
          <color rgb="FF00B050"/>
        </right>
        <top style="thin">
          <color rgb="FF00B050"/>
        </top>
        <bottom style="thin">
          <color rgb="FF00B050"/>
        </bottom>
        <vertical/>
        <horizontal/>
      </border>
    </dxf>
    <dxf>
      <border>
        <left style="thin">
          <color rgb="FFFF0000"/>
        </left>
        <right style="thin">
          <color rgb="FFFF0000"/>
        </right>
        <top style="thin">
          <color rgb="FFFF0000"/>
        </top>
        <bottom style="thin">
          <color rgb="FFFF0000"/>
        </bottom>
        <vertical/>
        <horizontal/>
      </border>
    </dxf>
    <dxf>
      <font>
        <color rgb="FFFF0000"/>
      </font>
    </dxf>
    <dxf>
      <font>
        <color rgb="FF00B050"/>
      </font>
    </dxf>
    <dxf>
      <font>
        <color theme="0" tint="-0.34998626667073579"/>
      </font>
    </dxf>
    <dxf>
      <font>
        <color theme="0" tint="-0.34998626667073579"/>
      </font>
      <fill>
        <patternFill>
          <bgColor theme="0"/>
        </patternFill>
      </fill>
    </dxf>
    <dxf>
      <font>
        <strike val="0"/>
        <color theme="0" tint="-0.499984740745262"/>
      </font>
      <fill>
        <patternFill patternType="none">
          <bgColor auto="1"/>
        </patternFill>
      </fill>
    </dxf>
    <dxf>
      <font>
        <color theme="0" tint="-0.34998626667073579"/>
      </font>
    </dxf>
    <dxf>
      <font>
        <color theme="0" tint="-0.34998626667073579"/>
      </font>
      <fill>
        <patternFill>
          <bgColor theme="0"/>
        </patternFill>
      </fill>
    </dxf>
    <dxf>
      <font>
        <strike val="0"/>
        <color theme="0" tint="-0.499984740745262"/>
      </font>
      <fill>
        <patternFill patternType="none">
          <bgColor auto="1"/>
        </patternFill>
      </fill>
    </dxf>
    <dxf>
      <font>
        <color auto="1"/>
      </font>
      <border>
        <left style="thin">
          <color rgb="FF00B050"/>
        </left>
        <right style="thin">
          <color rgb="FF00B050"/>
        </right>
        <top style="thin">
          <color rgb="FF00B050"/>
        </top>
        <bottom style="thin">
          <color rgb="FF00B050"/>
        </bottom>
      </border>
    </dxf>
    <dxf>
      <font>
        <color auto="1"/>
      </font>
      <border>
        <left style="thin">
          <color rgb="FFFF0000"/>
        </left>
        <right style="thin">
          <color rgb="FFFF0000"/>
        </right>
        <top style="thin">
          <color rgb="FFFF0000"/>
        </top>
        <bottom style="thin">
          <color rgb="FFFF0000"/>
        </bottom>
      </border>
    </dxf>
    <dxf>
      <font>
        <color theme="0" tint="-0.34998626667073579"/>
      </font>
    </dxf>
    <dxf>
      <font>
        <color theme="0" tint="-0.34998626667073579"/>
      </font>
    </dxf>
    <dxf>
      <font>
        <color theme="0" tint="-0.34998626667073579"/>
      </font>
    </dxf>
    <dxf>
      <font>
        <color theme="0" tint="-0.34998626667073579"/>
      </font>
      <fill>
        <patternFill>
          <bgColor theme="0"/>
        </patternFill>
      </fill>
    </dxf>
    <dxf>
      <font>
        <strike val="0"/>
        <color theme="0" tint="-0.499984740745262"/>
      </font>
      <fill>
        <patternFill patternType="none">
          <bgColor auto="1"/>
        </patternFill>
      </fill>
    </dxf>
    <dxf>
      <fill>
        <patternFill>
          <bgColor theme="0" tint="-4.9989318521683403E-2"/>
        </patternFill>
      </fill>
    </dxf>
    <dxf>
      <fill>
        <patternFill>
          <bgColor rgb="FFE7E4D9"/>
        </patternFill>
      </fill>
    </dxf>
    <dxf>
      <fill>
        <patternFill>
          <bgColor rgb="FFE7E4D9"/>
        </patternFill>
      </fill>
    </dxf>
    <dxf>
      <fill>
        <patternFill>
          <bgColor rgb="FFE7E4D9"/>
        </patternFill>
      </fill>
    </dxf>
    <dxf>
      <fill>
        <patternFill>
          <bgColor rgb="FFE7E4D9"/>
        </patternFill>
      </fill>
    </dxf>
    <dxf>
      <fill>
        <patternFill>
          <bgColor rgb="FFE7E4D9"/>
        </patternFill>
      </fill>
    </dxf>
    <dxf>
      <fill>
        <patternFill>
          <bgColor rgb="FFE7E4D9"/>
        </patternFill>
      </fill>
    </dxf>
    <dxf>
      <fill>
        <patternFill>
          <bgColor rgb="FFE7E4D9"/>
        </patternFill>
      </fill>
    </dxf>
    <dxf>
      <fill>
        <patternFill>
          <bgColor rgb="FFE7E4D9"/>
        </patternFill>
      </fill>
    </dxf>
    <dxf>
      <fill>
        <patternFill>
          <bgColor rgb="FFE7E4D9"/>
        </patternFill>
      </fill>
    </dxf>
    <dxf>
      <fill>
        <patternFill>
          <bgColor rgb="FFE7E4D9"/>
        </patternFill>
      </fill>
    </dxf>
    <dxf>
      <fill>
        <patternFill>
          <bgColor rgb="FFE7E4D9"/>
        </patternFill>
      </fill>
    </dxf>
    <dxf>
      <font>
        <b/>
        <i val="0"/>
        <color theme="7"/>
      </font>
    </dxf>
    <dxf>
      <fill>
        <patternFill>
          <bgColor rgb="FFE7E4D9"/>
        </patternFill>
      </fill>
    </dxf>
    <dxf>
      <font>
        <color rgb="FFFF0000"/>
      </font>
    </dxf>
    <dxf>
      <font>
        <b/>
        <i val="0"/>
        <color theme="7"/>
      </font>
    </dxf>
    <dxf>
      <font>
        <b/>
        <i val="0"/>
        <color rgb="FFFF0000"/>
      </font>
    </dxf>
    <dxf>
      <fill>
        <patternFill>
          <bgColor rgb="FFE7E4D9"/>
        </patternFill>
      </fill>
    </dxf>
    <dxf>
      <font>
        <b/>
        <i val="0"/>
        <color theme="7"/>
      </font>
    </dxf>
    <dxf>
      <fill>
        <patternFill>
          <bgColor rgb="FFE7E4D9"/>
        </patternFill>
      </fill>
    </dxf>
    <dxf>
      <font>
        <color rgb="FFFF0000"/>
      </font>
      <fill>
        <patternFill>
          <bgColor theme="0" tint="-4.9989318521683403E-2"/>
        </patternFill>
      </fill>
    </dxf>
    <dxf>
      <font>
        <color rgb="FF00B050"/>
      </font>
      <fill>
        <patternFill>
          <bgColor theme="0" tint="-4.9989318521683403E-2"/>
        </patternFill>
      </fill>
    </dxf>
    <dxf>
      <font>
        <color rgb="FF00B050"/>
      </font>
      <fill>
        <patternFill>
          <bgColor theme="0" tint="-4.9989318521683403E-2"/>
        </patternFill>
      </fill>
    </dxf>
    <dxf>
      <font>
        <color rgb="FFFF0000"/>
      </font>
      <fill>
        <patternFill>
          <bgColor theme="0" tint="-4.9989318521683403E-2"/>
        </patternFill>
      </fill>
    </dxf>
    <dxf>
      <font>
        <color rgb="FFFF0000"/>
      </font>
      <fill>
        <patternFill>
          <bgColor theme="0" tint="-4.9989318521683403E-2"/>
        </patternFill>
      </fill>
    </dxf>
    <dxf>
      <font>
        <color rgb="FF00B050"/>
      </font>
      <fill>
        <patternFill>
          <bgColor theme="0" tint="-4.9989318521683403E-2"/>
        </patternFill>
      </fill>
    </dxf>
    <dxf>
      <border>
        <left style="thin">
          <color rgb="FF00B050"/>
        </left>
        <right style="thin">
          <color rgb="FF00B050"/>
        </right>
        <top style="thin">
          <color rgb="FF00B050"/>
        </top>
        <bottom style="thin">
          <color rgb="FF00B050"/>
        </bottom>
        <vertical/>
        <horizontal/>
      </border>
    </dxf>
    <dxf>
      <border>
        <left style="thin">
          <color rgb="FFFF0000"/>
        </left>
        <right style="thin">
          <color rgb="FFFF0000"/>
        </right>
        <top style="thin">
          <color rgb="FFFF0000"/>
        </top>
        <bottom style="thin">
          <color rgb="FFFF0000"/>
        </bottom>
        <vertical/>
        <horizontal/>
      </border>
    </dxf>
    <dxf>
      <border>
        <left style="thin">
          <color rgb="FF00B050"/>
        </left>
        <right style="thin">
          <color rgb="FF00B050"/>
        </right>
        <top style="thin">
          <color rgb="FF00B050"/>
        </top>
        <bottom style="thin">
          <color rgb="FF00B050"/>
        </bottom>
        <vertical/>
        <horizontal/>
      </border>
    </dxf>
    <dxf>
      <border>
        <left style="thin">
          <color rgb="FFFF0000"/>
        </left>
        <right style="thin">
          <color rgb="FFFF0000"/>
        </right>
        <top style="thin">
          <color rgb="FFFF0000"/>
        </top>
        <bottom style="thin">
          <color rgb="FFFF0000"/>
        </bottom>
        <vertical/>
        <horizontal/>
      </border>
    </dxf>
    <dxf>
      <fill>
        <patternFill>
          <bgColor theme="0" tint="-4.9989318521683403E-2"/>
        </patternFill>
      </fill>
      <border>
        <left style="thin">
          <color rgb="FF00B050"/>
        </left>
        <right style="thin">
          <color rgb="FF00B050"/>
        </right>
        <top style="thin">
          <color rgb="FF00B050"/>
        </top>
        <bottom style="thin">
          <color rgb="FF00B050"/>
        </bottom>
        <vertical/>
        <horizontal/>
      </border>
    </dxf>
    <dxf>
      <fill>
        <patternFill>
          <bgColor theme="0" tint="-4.9989318521683403E-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border>
        <left style="thin">
          <color rgb="FF00B050"/>
        </left>
        <right style="thin">
          <color rgb="FF00B050"/>
        </right>
        <top style="thin">
          <color rgb="FF00B050"/>
        </top>
        <bottom style="thin">
          <color rgb="FF00B050"/>
        </bottom>
        <vertical/>
        <horizontal/>
      </border>
    </dxf>
    <dxf>
      <fill>
        <patternFill>
          <bgColor theme="0" tint="-4.9989318521683403E-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border>
        <left style="thin">
          <color rgb="FF00B050"/>
        </left>
        <right style="thin">
          <color rgb="FF00B050"/>
        </right>
        <top style="thin">
          <color rgb="FF00B050"/>
        </top>
        <bottom style="thin">
          <color rgb="FF00B050"/>
        </bottom>
        <vertical/>
        <horizontal/>
      </border>
    </dxf>
    <dxf>
      <fill>
        <patternFill>
          <bgColor theme="0" tint="-4.9989318521683403E-2"/>
        </patternFill>
      </fill>
      <border>
        <left style="thin">
          <color rgb="FFFF0000"/>
        </left>
        <right style="thin">
          <color rgb="FFFF0000"/>
        </right>
        <top style="thin">
          <color rgb="FFFF0000"/>
        </top>
        <bottom style="thin">
          <color rgb="FFFF0000"/>
        </bottom>
        <vertical/>
        <horizontal/>
      </border>
    </dxf>
    <dxf>
      <font>
        <color rgb="FF00B050"/>
      </font>
      <fill>
        <patternFill>
          <bgColor theme="0" tint="-4.9989318521683403E-2"/>
        </patternFill>
      </fill>
    </dxf>
    <dxf>
      <font>
        <color rgb="FFFF0000"/>
      </font>
      <fill>
        <patternFill>
          <bgColor theme="0" tint="-4.9989318521683403E-2"/>
        </patternFill>
      </fill>
    </dxf>
    <dxf>
      <font>
        <color rgb="FF00B050"/>
      </font>
      <fill>
        <patternFill>
          <bgColor theme="0" tint="-4.9989318521683403E-2"/>
        </patternFill>
      </fill>
    </dxf>
    <dxf>
      <font>
        <color rgb="FFFF0000"/>
      </font>
      <fill>
        <patternFill>
          <bgColor theme="0" tint="-4.9989318521683403E-2"/>
        </patternFill>
      </fill>
    </dxf>
    <dxf>
      <font>
        <color rgb="FFFF0000"/>
      </font>
    </dxf>
    <dxf>
      <fill>
        <patternFill>
          <bgColor theme="0" tint="-4.9989318521683403E-2"/>
        </patternFill>
      </fill>
      <border>
        <left style="thin">
          <color rgb="FF00B050"/>
        </left>
        <right style="thin">
          <color rgb="FF00B050"/>
        </right>
        <top style="thin">
          <color rgb="FF00B050"/>
        </top>
        <bottom style="thin">
          <color rgb="FF00B050"/>
        </bottom>
        <vertical/>
        <horizontal/>
      </border>
    </dxf>
    <dxf>
      <fill>
        <patternFill>
          <bgColor theme="0" tint="-4.9989318521683403E-2"/>
        </patternFill>
      </fill>
      <border>
        <left style="thin">
          <color rgb="FFFF0000"/>
        </left>
        <right style="thin">
          <color rgb="FFFF0000"/>
        </right>
        <top style="thin">
          <color rgb="FFFF0000"/>
        </top>
        <bottom style="thin">
          <color rgb="FFFF0000"/>
        </bottom>
        <vertical/>
        <horizontal/>
      </border>
    </dxf>
    <dxf>
      <fill>
        <patternFill>
          <bgColor theme="0"/>
        </patternFill>
      </fill>
    </dxf>
    <dxf>
      <fill>
        <patternFill>
          <bgColor theme="0"/>
        </patternFill>
      </fill>
    </dxf>
    <dxf>
      <font>
        <b/>
        <i val="0"/>
        <color rgb="FFFF0000"/>
      </font>
      <fill>
        <patternFill patternType="none">
          <bgColor auto="1"/>
        </patternFill>
      </fill>
    </dxf>
    <dxf>
      <fill>
        <patternFill>
          <bgColor theme="0"/>
        </patternFill>
      </fill>
    </dxf>
    <dxf>
      <fill>
        <patternFill>
          <bgColor theme="0"/>
        </patternFill>
      </fill>
    </dxf>
    <dxf>
      <font>
        <color theme="0" tint="-0.34998626667073579"/>
      </font>
      <fill>
        <patternFill>
          <bgColor theme="0"/>
        </patternFill>
      </fill>
    </dxf>
    <dxf>
      <font>
        <color theme="0" tint="-0.34998626667073579"/>
      </font>
      <fill>
        <patternFill>
          <bgColor theme="0"/>
        </patternFill>
      </fill>
    </dxf>
    <dxf>
      <font>
        <color theme="0" tint="-0.34998626667073579"/>
      </font>
      <fill>
        <patternFill patternType="none">
          <bgColor auto="1"/>
        </patternFill>
      </fill>
    </dxf>
    <dxf>
      <font>
        <color theme="0" tint="-0.34998626667073579"/>
      </font>
      <fill>
        <patternFill patternType="none">
          <bgColor auto="1"/>
        </patternFill>
      </fill>
    </dxf>
    <dxf>
      <font>
        <color theme="0" tint="-0.34998626667073579"/>
      </font>
      <fill>
        <patternFill patternType="none">
          <bgColor auto="1"/>
        </patternFill>
      </fill>
    </dxf>
    <dxf>
      <font>
        <color theme="0" tint="-0.34998626667073579"/>
      </font>
      <fill>
        <patternFill patternType="solid">
          <bgColor theme="0"/>
        </patternFill>
      </fill>
    </dxf>
    <dxf>
      <font>
        <color theme="0" tint="-0.34998626667073579"/>
      </font>
      <fill>
        <patternFill>
          <bgColor theme="0"/>
        </patternFill>
      </fill>
    </dxf>
    <dxf>
      <font>
        <color theme="0" tint="-0.34998626667073579"/>
      </font>
      <fill>
        <patternFill patternType="none">
          <bgColor auto="1"/>
        </patternFill>
      </fill>
    </dxf>
    <dxf>
      <fill>
        <patternFill>
          <bgColor theme="0" tint="-4.9989318521683403E-2"/>
        </patternFill>
      </fill>
    </dxf>
    <dxf>
      <font>
        <color theme="0" tint="-0.34998626667073579"/>
      </font>
      <fill>
        <patternFill patternType="solid">
          <bgColor theme="0"/>
        </patternFill>
      </fill>
    </dxf>
    <dxf>
      <font>
        <strike val="0"/>
        <color theme="0" tint="-0.34998626667073579"/>
      </font>
      <fill>
        <patternFill patternType="none">
          <fgColor auto="1"/>
          <bgColor auto="1"/>
        </patternFill>
      </fill>
    </dxf>
    <dxf>
      <font>
        <strike val="0"/>
        <color theme="0" tint="-0.34998626667073579"/>
      </font>
      <fill>
        <patternFill patternType="solid">
          <bgColor theme="0"/>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color rgb="FFC00000"/>
      </font>
      <fill>
        <patternFill>
          <bgColor theme="5" tint="0.7999816888943144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ill>
        <patternFill>
          <bgColor theme="0" tint="-4.9989318521683403E-2"/>
        </patternFill>
      </fill>
    </dxf>
    <dxf>
      <fill>
        <patternFill>
          <bgColor theme="0" tint="-4.9989318521683403E-2"/>
        </patternFill>
      </fill>
    </dxf>
    <dxf>
      <font>
        <color theme="0"/>
      </font>
    </dxf>
    <dxf>
      <font>
        <color rgb="FFFF0000"/>
      </font>
      <fill>
        <patternFill>
          <bgColor theme="5" tint="0.79998168889431442"/>
        </patternFill>
      </fill>
    </dxf>
    <dxf>
      <font>
        <color rgb="FFC00000"/>
      </font>
      <fill>
        <patternFill>
          <bgColor theme="5" tint="0.79998168889431442"/>
        </patternFill>
      </fill>
    </dxf>
  </dxfs>
  <tableStyles count="0" defaultTableStyle="TableStyleMedium9" defaultPivotStyle="PivotStyleLight16"/>
  <colors>
    <mruColors>
      <color rgb="FFCCFFFF"/>
      <color rgb="FF848484"/>
      <color rgb="FFFFFF99"/>
      <color rgb="FF0000FF"/>
      <color rgb="FFFF66CC"/>
      <color rgb="FFFFFFCC"/>
      <color rgb="FF808080"/>
      <color rgb="FFFF7575"/>
      <color rgb="FFFADA63"/>
      <color rgb="FFE7E4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3.xml"/><Relationship Id="rId68" Type="http://schemas.openxmlformats.org/officeDocument/2006/relationships/externalLink" Target="externalLinks/externalLink8.xml"/><Relationship Id="rId84" Type="http://schemas.openxmlformats.org/officeDocument/2006/relationships/sharedStrings" Target="sharedStrings.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externalLink" Target="externalLinks/externalLink14.xml"/><Relationship Id="rId79" Type="http://schemas.openxmlformats.org/officeDocument/2006/relationships/externalLink" Target="externalLinks/externalLink1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4.xml"/><Relationship Id="rId69" Type="http://schemas.openxmlformats.org/officeDocument/2006/relationships/externalLink" Target="externalLinks/externalLink9.xml"/><Relationship Id="rId77" Type="http://schemas.openxmlformats.org/officeDocument/2006/relationships/externalLink" Target="externalLinks/externalLink1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externalLink" Target="externalLinks/externalLink12.xml"/><Relationship Id="rId80" Type="http://schemas.openxmlformats.org/officeDocument/2006/relationships/externalLink" Target="externalLinks/externalLink20.xml"/><Relationship Id="rId85"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externalLink" Target="externalLinks/externalLink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2.xml"/><Relationship Id="rId70" Type="http://schemas.openxmlformats.org/officeDocument/2006/relationships/externalLink" Target="externalLinks/externalLink10.xml"/><Relationship Id="rId75" Type="http://schemas.openxmlformats.org/officeDocument/2006/relationships/externalLink" Target="externalLinks/externalLink15.xml"/><Relationship Id="rId83" Type="http://schemas.openxmlformats.org/officeDocument/2006/relationships/styles" Target="styles.xml"/><Relationship Id="rId88"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externalLink" Target="externalLinks/externalLink5.xml"/><Relationship Id="rId73" Type="http://schemas.openxmlformats.org/officeDocument/2006/relationships/externalLink" Target="externalLinks/externalLink13.xml"/><Relationship Id="rId78" Type="http://schemas.openxmlformats.org/officeDocument/2006/relationships/externalLink" Target="externalLinks/externalLink18.xml"/><Relationship Id="rId81" Type="http://schemas.openxmlformats.org/officeDocument/2006/relationships/externalLink" Target="externalLinks/externalLink21.xml"/><Relationship Id="rId86"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externalLink" Target="externalLinks/externalLink16.xml"/><Relationship Id="rId7" Type="http://schemas.openxmlformats.org/officeDocument/2006/relationships/worksheet" Target="worksheets/sheet7.xml"/><Relationship Id="rId71" Type="http://schemas.openxmlformats.org/officeDocument/2006/relationships/externalLink" Target="externalLinks/externalLink1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externalLink" Target="externalLinks/externalLink6.xml"/><Relationship Id="rId87" Type="http://schemas.openxmlformats.org/officeDocument/2006/relationships/customXml" Target="../customXml/item2.xml"/><Relationship Id="rId61" Type="http://schemas.openxmlformats.org/officeDocument/2006/relationships/externalLink" Target="externalLinks/externalLink1.xml"/><Relationship Id="rId82" Type="http://schemas.openxmlformats.org/officeDocument/2006/relationships/theme" Target="theme/theme1.xml"/><Relationship Id="rId19" Type="http://schemas.openxmlformats.org/officeDocument/2006/relationships/worksheet" Target="worksheets/sheet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 Energy Savings (Site EUI)</a:t>
            </a:r>
          </a:p>
        </c:rich>
      </c:tx>
      <c:layout>
        <c:manualLayout>
          <c:xMode val="edge"/>
          <c:yMode val="edge"/>
          <c:x val="0.25202620261562231"/>
          <c:y val="3.1855317218203068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7094389389391504E-2"/>
          <c:y val="0.17819663788447249"/>
          <c:w val="0.54964929202580615"/>
          <c:h val="0.726430548998383"/>
        </c:manualLayout>
      </c:layout>
      <c:pieChart>
        <c:varyColors val="1"/>
        <c:ser>
          <c:idx val="0"/>
          <c:order val="0"/>
          <c:dPt>
            <c:idx val="0"/>
            <c:bubble3D val="0"/>
            <c:spPr>
              <a:solidFill>
                <a:srgbClr val="FFFF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A577-4AE1-A4DF-ADDDC448DE7F}"/>
              </c:ext>
            </c:extLst>
          </c:dPt>
          <c:dPt>
            <c:idx val="1"/>
            <c:bubble3D val="0"/>
            <c:spPr>
              <a:solidFill>
                <a:schemeClr val="bg1">
                  <a:lumMod val="65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A577-4AE1-A4DF-ADDDC448DE7F}"/>
              </c:ext>
            </c:extLst>
          </c:dPt>
          <c:dPt>
            <c:idx val="2"/>
            <c:bubble3D val="0"/>
            <c:spPr>
              <a:solidFill>
                <a:schemeClr val="accent6">
                  <a:lumMod val="75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A577-4AE1-A4DF-ADDDC448DE7F}"/>
              </c:ext>
            </c:extLst>
          </c:dPt>
          <c:dPt>
            <c:idx val="3"/>
            <c:bubble3D val="0"/>
            <c:spPr>
              <a:solidFill>
                <a:srgbClr val="FF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A577-4AE1-A4DF-ADDDC448DE7F}"/>
              </c:ext>
            </c:extLst>
          </c:dPt>
          <c:dPt>
            <c:idx val="4"/>
            <c:bubble3D val="0"/>
            <c:spPr>
              <a:solidFill>
                <a:schemeClr val="tx2">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A577-4AE1-A4DF-ADDDC448DE7F}"/>
              </c:ext>
            </c:extLst>
          </c:dPt>
          <c:dPt>
            <c:idx val="5"/>
            <c:bubble3D val="0"/>
            <c:spPr>
              <a:solidFill>
                <a:srgbClr val="FF66CC"/>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A577-4AE1-A4DF-ADDDC448DE7F}"/>
              </c:ext>
            </c:extLst>
          </c:dPt>
          <c:dPt>
            <c:idx val="6"/>
            <c:bubble3D val="0"/>
            <c:spPr>
              <a:solidFill>
                <a:srgbClr val="7030A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A577-4AE1-A4DF-ADDDC448DE7F}"/>
              </c:ext>
            </c:extLst>
          </c:dPt>
          <c:dPt>
            <c:idx val="7"/>
            <c:bubble3D val="0"/>
            <c:spPr>
              <a:solidFill>
                <a:schemeClr val="bg2">
                  <a:lumMod val="5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A577-4AE1-A4DF-ADDDC448DE7F}"/>
              </c:ext>
            </c:extLst>
          </c:dPt>
          <c:dPt>
            <c:idx val="8"/>
            <c:bubble3D val="0"/>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A577-4AE1-A4DF-ADDDC448DE7F}"/>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A577-4AE1-A4DF-ADDDC448DE7F}"/>
              </c:ext>
            </c:extLst>
          </c:dPt>
          <c:dPt>
            <c:idx val="1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A577-4AE1-A4DF-ADDDC448DE7F}"/>
              </c:ext>
            </c:extLst>
          </c:dPt>
          <c:dPt>
            <c:idx val="11"/>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A577-4AE1-A4DF-ADDDC448DE7F}"/>
              </c:ext>
            </c:extLst>
          </c:dPt>
          <c:dPt>
            <c:idx val="12"/>
            <c:bubble3D val="0"/>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9-A577-4AE1-A4DF-ADDDC448DE7F}"/>
              </c:ext>
            </c:extLst>
          </c:dPt>
          <c:dPt>
            <c:idx val="13"/>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B-A577-4AE1-A4DF-ADDDC448DE7F}"/>
              </c:ext>
            </c:extLst>
          </c:dPt>
          <c:dPt>
            <c:idx val="14"/>
            <c:bubble3D val="0"/>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D-A577-4AE1-A4DF-ADDDC448DE7F}"/>
              </c:ext>
            </c:extLst>
          </c:dPt>
          <c:dPt>
            <c:idx val="15"/>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A577-4AE1-A4DF-ADDDC448DE7F}"/>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'Quality Assurance Checks'!$B$51:$C$59</c:f>
              <c:strCache>
                <c:ptCount val="9"/>
                <c:pt idx="0">
                  <c:v>Lighting, Interior</c:v>
                </c:pt>
                <c:pt idx="1">
                  <c:v>Lighting, Exterior</c:v>
                </c:pt>
                <c:pt idx="2">
                  <c:v>SHW</c:v>
                </c:pt>
                <c:pt idx="3">
                  <c:v>Heat</c:v>
                </c:pt>
                <c:pt idx="4">
                  <c:v>Cool</c:v>
                </c:pt>
                <c:pt idx="5">
                  <c:v>Fans</c:v>
                </c:pt>
                <c:pt idx="6">
                  <c:v>Pumps</c:v>
                </c:pt>
                <c:pt idx="7">
                  <c:v>Other Regulated</c:v>
                </c:pt>
                <c:pt idx="8">
                  <c:v>Other Non-Regulated</c:v>
                </c:pt>
              </c:strCache>
            </c:strRef>
          </c:cat>
          <c:val>
            <c:numRef>
              <c:f>'Quality Assurance Checks'!$H$51:$H$59</c:f>
              <c:numCache>
                <c:formatCode>0%</c:formatCode>
                <c:ptCount val="9"/>
                <c:pt idx="0">
                  <c:v>#N/A</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20-A577-4AE1-A4DF-ADDDC448DE7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1455057461617399"/>
          <c:y val="9.1716594832379247E-2"/>
          <c:w val="0.26938066966644891"/>
          <c:h val="0.902295237685744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Baseline vs. Proposed Site EUI</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'Quality Assurance Checks'!$AK$1</c:f>
              <c:strCache>
                <c:ptCount val="1"/>
                <c:pt idx="0">
                  <c:v> Baseline </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'Quality Assurance Checks'!$B$51:$C$59</c:f>
              <c:strCache>
                <c:ptCount val="9"/>
                <c:pt idx="0">
                  <c:v>Lighting, Interior</c:v>
                </c:pt>
                <c:pt idx="1">
                  <c:v>Lighting, Exterior</c:v>
                </c:pt>
                <c:pt idx="2">
                  <c:v>SHW</c:v>
                </c:pt>
                <c:pt idx="3">
                  <c:v>Heat</c:v>
                </c:pt>
                <c:pt idx="4">
                  <c:v>Cool</c:v>
                </c:pt>
                <c:pt idx="5">
                  <c:v>Fans</c:v>
                </c:pt>
                <c:pt idx="6">
                  <c:v>Pumps</c:v>
                </c:pt>
                <c:pt idx="7">
                  <c:v>Other Regulated</c:v>
                </c:pt>
                <c:pt idx="8">
                  <c:v>Other Non-Regulated</c:v>
                </c:pt>
              </c:strCache>
            </c:strRef>
          </c:cat>
          <c:val>
            <c:numRef>
              <c:f>'Quality Assurance Checks'!$D$51:$D$59</c:f>
              <c:numCache>
                <c:formatCode>_(* #,##0.00_);_(* \(#,##0.00\);_(* ""??_);_(@_)</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8914-4CC6-88D0-6C2E3800AA64}"/>
            </c:ext>
          </c:extLst>
        </c:ser>
        <c:ser>
          <c:idx val="1"/>
          <c:order val="1"/>
          <c:tx>
            <c:strRef>
              <c:f>'Quality Assurance Checks'!$AK$2</c:f>
              <c:strCache>
                <c:ptCount val="1"/>
                <c:pt idx="0">
                  <c:v> Proposed </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'Quality Assurance Checks'!$B$51:$C$59</c:f>
              <c:strCache>
                <c:ptCount val="9"/>
                <c:pt idx="0">
                  <c:v>Lighting, Interior</c:v>
                </c:pt>
                <c:pt idx="1">
                  <c:v>Lighting, Exterior</c:v>
                </c:pt>
                <c:pt idx="2">
                  <c:v>SHW</c:v>
                </c:pt>
                <c:pt idx="3">
                  <c:v>Heat</c:v>
                </c:pt>
                <c:pt idx="4">
                  <c:v>Cool</c:v>
                </c:pt>
                <c:pt idx="5">
                  <c:v>Fans</c:v>
                </c:pt>
                <c:pt idx="6">
                  <c:v>Pumps</c:v>
                </c:pt>
                <c:pt idx="7">
                  <c:v>Other Regulated</c:v>
                </c:pt>
                <c:pt idx="8">
                  <c:v>Other Non-Regulated</c:v>
                </c:pt>
              </c:strCache>
            </c:strRef>
          </c:cat>
          <c:val>
            <c:numRef>
              <c:f>'Quality Assurance Checks'!$F$51:$F$59</c:f>
              <c:numCache>
                <c:formatCode>_(* #,##0.00_);_(* \(#,##0.00\);_(* ""??_);_(@_)</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8914-4CC6-88D0-6C2E3800AA64}"/>
            </c:ext>
          </c:extLst>
        </c:ser>
        <c:dLbls>
          <c:showLegendKey val="0"/>
          <c:showVal val="0"/>
          <c:showCatName val="0"/>
          <c:showSerName val="0"/>
          <c:showPercent val="0"/>
          <c:showBubbleSize val="0"/>
        </c:dLbls>
        <c:gapWidth val="115"/>
        <c:overlap val="-20"/>
        <c:axId val="308816656"/>
        <c:axId val="308817216"/>
      </c:barChart>
      <c:catAx>
        <c:axId val="308816656"/>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817216"/>
        <c:crosses val="autoZero"/>
        <c:auto val="1"/>
        <c:lblAlgn val="ctr"/>
        <c:lblOffset val="100"/>
        <c:noMultiLvlLbl val="0"/>
      </c:catAx>
      <c:valAx>
        <c:axId val="3088172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kBtu/sf/yr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816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Baseline vs. Proposed Cost</a:t>
            </a:r>
            <a:r>
              <a:rPr lang="en-US" baseline="0"/>
              <a:t> Intensity</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'Quality Assurance Checks'!$AK$1</c:f>
              <c:strCache>
                <c:ptCount val="1"/>
                <c:pt idx="0">
                  <c:v> Baseline </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'Quality Assurance Checks'!$B$51:$C$59</c:f>
              <c:strCache>
                <c:ptCount val="9"/>
                <c:pt idx="0">
                  <c:v>Lighting, Interior</c:v>
                </c:pt>
                <c:pt idx="1">
                  <c:v>Lighting, Exterior</c:v>
                </c:pt>
                <c:pt idx="2">
                  <c:v>SHW</c:v>
                </c:pt>
                <c:pt idx="3">
                  <c:v>Heat</c:v>
                </c:pt>
                <c:pt idx="4">
                  <c:v>Cool</c:v>
                </c:pt>
                <c:pt idx="5">
                  <c:v>Fans</c:v>
                </c:pt>
                <c:pt idx="6">
                  <c:v>Pumps</c:v>
                </c:pt>
                <c:pt idx="7">
                  <c:v>Other Regulated</c:v>
                </c:pt>
                <c:pt idx="8">
                  <c:v>Other Non-Regulated</c:v>
                </c:pt>
              </c:strCache>
            </c:strRef>
          </c:cat>
          <c:val>
            <c:numRef>
              <c:f>'Quality Assurance Checks'!$E$51:$E$59</c:f>
              <c:numCache>
                <c:formatCode>_(* #,##0.00_);_(* \(#,##0.00\);_(* ""??_);_(@_)</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5363-4A59-9267-F2E277AAF323}"/>
            </c:ext>
          </c:extLst>
        </c:ser>
        <c:ser>
          <c:idx val="1"/>
          <c:order val="1"/>
          <c:tx>
            <c:strRef>
              <c:f>'Quality Assurance Checks'!$AK$2</c:f>
              <c:strCache>
                <c:ptCount val="1"/>
                <c:pt idx="0">
                  <c:v> Proposed </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'Quality Assurance Checks'!$B$51:$C$59</c:f>
              <c:strCache>
                <c:ptCount val="9"/>
                <c:pt idx="0">
                  <c:v>Lighting, Interior</c:v>
                </c:pt>
                <c:pt idx="1">
                  <c:v>Lighting, Exterior</c:v>
                </c:pt>
                <c:pt idx="2">
                  <c:v>SHW</c:v>
                </c:pt>
                <c:pt idx="3">
                  <c:v>Heat</c:v>
                </c:pt>
                <c:pt idx="4">
                  <c:v>Cool</c:v>
                </c:pt>
                <c:pt idx="5">
                  <c:v>Fans</c:v>
                </c:pt>
                <c:pt idx="6">
                  <c:v>Pumps</c:v>
                </c:pt>
                <c:pt idx="7">
                  <c:v>Other Regulated</c:v>
                </c:pt>
                <c:pt idx="8">
                  <c:v>Other Non-Regulated</c:v>
                </c:pt>
              </c:strCache>
            </c:strRef>
          </c:cat>
          <c:val>
            <c:numRef>
              <c:f>'Quality Assurance Checks'!$I$51:$I$59</c:f>
              <c:numCache>
                <c:formatCode>_(* #,##0.00_);_(* \(#,##0.00\);_(* ""??_);_(@_)</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5363-4A59-9267-F2E277AAF323}"/>
            </c:ext>
          </c:extLst>
        </c:ser>
        <c:dLbls>
          <c:showLegendKey val="0"/>
          <c:showVal val="0"/>
          <c:showCatName val="0"/>
          <c:showSerName val="0"/>
          <c:showPercent val="0"/>
          <c:showBubbleSize val="0"/>
        </c:dLbls>
        <c:gapWidth val="115"/>
        <c:overlap val="-20"/>
        <c:axId val="315985872"/>
        <c:axId val="315986432"/>
      </c:barChart>
      <c:catAx>
        <c:axId val="315985872"/>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986432"/>
        <c:crosses val="autoZero"/>
        <c:auto val="1"/>
        <c:lblAlgn val="ctr"/>
        <c:lblOffset val="100"/>
        <c:noMultiLvlLbl val="0"/>
      </c:catAx>
      <c:valAx>
        <c:axId val="3159864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$/sf/yr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985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i="0" u="none" strike="noStrike" baseline="0">
                <a:effectLst/>
              </a:rPr>
              <a:t>% Energy Savings (Cost</a:t>
            </a:r>
            <a:r>
              <a:rPr lang="en-US"/>
              <a:t>)</a:t>
            </a:r>
          </a:p>
        </c:rich>
      </c:tx>
      <c:layout>
        <c:manualLayout>
          <c:xMode val="edge"/>
          <c:yMode val="edge"/>
          <c:x val="0.25202620261562231"/>
          <c:y val="3.1855317218203068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7094389389391504E-2"/>
          <c:y val="0.17819663788447249"/>
          <c:w val="0.54964929202580615"/>
          <c:h val="0.726430548998383"/>
        </c:manualLayout>
      </c:layout>
      <c:pieChart>
        <c:varyColors val="1"/>
        <c:ser>
          <c:idx val="0"/>
          <c:order val="0"/>
          <c:dPt>
            <c:idx val="0"/>
            <c:bubble3D val="0"/>
            <c:spPr>
              <a:solidFill>
                <a:srgbClr val="FFFF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62F4-4DBD-ACBD-04EC89C8B134}"/>
              </c:ext>
            </c:extLst>
          </c:dPt>
          <c:dPt>
            <c:idx val="1"/>
            <c:bubble3D val="0"/>
            <c:spPr>
              <a:solidFill>
                <a:schemeClr val="bg1">
                  <a:lumMod val="65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62F4-4DBD-ACBD-04EC89C8B134}"/>
              </c:ext>
            </c:extLst>
          </c:dPt>
          <c:dPt>
            <c:idx val="2"/>
            <c:bubble3D val="0"/>
            <c:spPr>
              <a:solidFill>
                <a:schemeClr val="accent6">
                  <a:lumMod val="75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62F4-4DBD-ACBD-04EC89C8B134}"/>
              </c:ext>
            </c:extLst>
          </c:dPt>
          <c:dPt>
            <c:idx val="3"/>
            <c:bubble3D val="0"/>
            <c:spPr>
              <a:solidFill>
                <a:srgbClr val="FF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62F4-4DBD-ACBD-04EC89C8B134}"/>
              </c:ext>
            </c:extLst>
          </c:dPt>
          <c:dPt>
            <c:idx val="4"/>
            <c:bubble3D val="0"/>
            <c:spPr>
              <a:solidFill>
                <a:schemeClr val="tx2">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62F4-4DBD-ACBD-04EC89C8B134}"/>
              </c:ext>
            </c:extLst>
          </c:dPt>
          <c:dPt>
            <c:idx val="5"/>
            <c:bubble3D val="0"/>
            <c:spPr>
              <a:solidFill>
                <a:srgbClr val="FF66CC"/>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62F4-4DBD-ACBD-04EC89C8B134}"/>
              </c:ext>
            </c:extLst>
          </c:dPt>
          <c:dPt>
            <c:idx val="6"/>
            <c:bubble3D val="0"/>
            <c:spPr>
              <a:solidFill>
                <a:srgbClr val="7030A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62F4-4DBD-ACBD-04EC89C8B134}"/>
              </c:ext>
            </c:extLst>
          </c:dPt>
          <c:dPt>
            <c:idx val="7"/>
            <c:bubble3D val="0"/>
            <c:spPr>
              <a:solidFill>
                <a:schemeClr val="bg2">
                  <a:lumMod val="5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62F4-4DBD-ACBD-04EC89C8B134}"/>
              </c:ext>
            </c:extLst>
          </c:dPt>
          <c:dPt>
            <c:idx val="8"/>
            <c:bubble3D val="0"/>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62F4-4DBD-ACBD-04EC89C8B134}"/>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62F4-4DBD-ACBD-04EC89C8B134}"/>
              </c:ext>
            </c:extLst>
          </c:dPt>
          <c:dPt>
            <c:idx val="1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62F4-4DBD-ACBD-04EC89C8B134}"/>
              </c:ext>
            </c:extLst>
          </c:dPt>
          <c:dPt>
            <c:idx val="11"/>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62F4-4DBD-ACBD-04EC89C8B134}"/>
              </c:ext>
            </c:extLst>
          </c:dPt>
          <c:dPt>
            <c:idx val="12"/>
            <c:bubble3D val="0"/>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9-62F4-4DBD-ACBD-04EC89C8B134}"/>
              </c:ext>
            </c:extLst>
          </c:dPt>
          <c:dPt>
            <c:idx val="13"/>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B-62F4-4DBD-ACBD-04EC89C8B134}"/>
              </c:ext>
            </c:extLst>
          </c:dPt>
          <c:dPt>
            <c:idx val="14"/>
            <c:bubble3D val="0"/>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D-62F4-4DBD-ACBD-04EC89C8B134}"/>
              </c:ext>
            </c:extLst>
          </c:dPt>
          <c:dPt>
            <c:idx val="15"/>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62F4-4DBD-ACBD-04EC89C8B134}"/>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'Quality Assurance Checks'!$B$51:$C$59</c:f>
              <c:strCache>
                <c:ptCount val="9"/>
                <c:pt idx="0">
                  <c:v>Lighting, Interior</c:v>
                </c:pt>
                <c:pt idx="1">
                  <c:v>Lighting, Exterior</c:v>
                </c:pt>
                <c:pt idx="2">
                  <c:v>SHW</c:v>
                </c:pt>
                <c:pt idx="3">
                  <c:v>Heat</c:v>
                </c:pt>
                <c:pt idx="4">
                  <c:v>Cool</c:v>
                </c:pt>
                <c:pt idx="5">
                  <c:v>Fans</c:v>
                </c:pt>
                <c:pt idx="6">
                  <c:v>Pumps</c:v>
                </c:pt>
                <c:pt idx="7">
                  <c:v>Other Regulated</c:v>
                </c:pt>
                <c:pt idx="8">
                  <c:v>Other Non-Regulated</c:v>
                </c:pt>
              </c:strCache>
            </c:strRef>
          </c:cat>
          <c:val>
            <c:numRef>
              <c:f>'Quality Assurance Checks'!$G$51:$G$59</c:f>
              <c:numCache>
                <c:formatCode>0%</c:formatCode>
                <c:ptCount val="9"/>
                <c:pt idx="0">
                  <c:v>#N/A</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20-62F4-4DBD-ACBD-04EC89C8B13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1455057461617399"/>
          <c:y val="9.1716594832379247E-2"/>
          <c:w val="0.26938066966644891"/>
          <c:h val="0.902295237685744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Baseline vs. ASHRAE 90.1-2004 Site EUI</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'Quality Assurance Checks'!$AL$1</c:f>
              <c:strCache>
                <c:ptCount val="1"/>
                <c:pt idx="0">
                  <c:v> Baseline </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extLst>
                <c:ext xmlns:c15="http://schemas.microsoft.com/office/drawing/2012/chart" uri="{02D57815-91ED-43cb-92C2-25804820EDAC}">
                  <c15:fullRef>
                    <c15:sqref>'Quality Assurance Checks'!$M$51:$N$59</c15:sqref>
                  </c15:fullRef>
                </c:ext>
              </c:extLst>
              <c:f>('Quality Assurance Checks'!$M$51:$N$51,'Quality Assurance Checks'!$M$53:$N$59)</c:f>
              <c:strCache>
                <c:ptCount val="8"/>
                <c:pt idx="0">
                  <c:v>Lighting, Interior</c:v>
                </c:pt>
                <c:pt idx="1">
                  <c:v>SHW</c:v>
                </c:pt>
                <c:pt idx="2">
                  <c:v>Heat</c:v>
                </c:pt>
                <c:pt idx="3">
                  <c:v>Cool</c:v>
                </c:pt>
                <c:pt idx="4">
                  <c:v>Fans</c:v>
                </c:pt>
                <c:pt idx="5">
                  <c:v>Pumps</c:v>
                </c:pt>
                <c:pt idx="6">
                  <c:v>Other Regulated</c:v>
                </c:pt>
                <c:pt idx="7">
                  <c:v>Other Non-Regulated</c:v>
                </c:pt>
              </c:strCache>
            </c:strRef>
          </c:cat>
          <c:val>
            <c:numRef>
              <c:extLst>
                <c:ext xmlns:c15="http://schemas.microsoft.com/office/drawing/2012/chart" uri="{02D57815-91ED-43cb-92C2-25804820EDAC}">
                  <c15:fullRef>
                    <c15:sqref>'Quality Assurance Checks'!$O$51:$O$59</c15:sqref>
                  </c15:fullRef>
                </c:ext>
              </c:extLst>
              <c:f>('Quality Assurance Checks'!$O$51,'Quality Assurance Checks'!$O$53:$O$59)</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3830-48AE-A3FF-C5048D5FC917}"/>
            </c:ext>
          </c:extLst>
        </c:ser>
        <c:ser>
          <c:idx val="1"/>
          <c:order val="1"/>
          <c:tx>
            <c:strRef>
              <c:f>'Quality Assurance Checks'!$AL$2</c:f>
              <c:strCache>
                <c:ptCount val="1"/>
                <c:pt idx="0">
                  <c:v> ASHRAE 90.1-2004 </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extLst>
                <c:ext xmlns:c15="http://schemas.microsoft.com/office/drawing/2012/chart" uri="{02D57815-91ED-43cb-92C2-25804820EDAC}">
                  <c15:fullRef>
                    <c15:sqref>'Quality Assurance Checks'!$M$51:$N$59</c15:sqref>
                  </c15:fullRef>
                </c:ext>
              </c:extLst>
              <c:f>('Quality Assurance Checks'!$M$51:$N$51,'Quality Assurance Checks'!$M$53:$N$59)</c:f>
              <c:strCache>
                <c:ptCount val="8"/>
                <c:pt idx="0">
                  <c:v>Lighting, Interior</c:v>
                </c:pt>
                <c:pt idx="1">
                  <c:v>SHW</c:v>
                </c:pt>
                <c:pt idx="2">
                  <c:v>Heat</c:v>
                </c:pt>
                <c:pt idx="3">
                  <c:v>Cool</c:v>
                </c:pt>
                <c:pt idx="4">
                  <c:v>Fans</c:v>
                </c:pt>
                <c:pt idx="5">
                  <c:v>Pumps</c:v>
                </c:pt>
                <c:pt idx="6">
                  <c:v>Other Regulated</c:v>
                </c:pt>
                <c:pt idx="7">
                  <c:v>Other Non-Regulated</c:v>
                </c:pt>
              </c:strCache>
            </c:strRef>
          </c:cat>
          <c:val>
            <c:numRef>
              <c:extLst>
                <c:ext xmlns:c15="http://schemas.microsoft.com/office/drawing/2012/chart" uri="{02D57815-91ED-43cb-92C2-25804820EDAC}">
                  <c15:fullRef>
                    <c15:sqref>'Quality Assurance Checks'!$P$51:$P$59</c15:sqref>
                  </c15:fullRef>
                </c:ext>
              </c:extLst>
              <c:f>('Quality Assurance Checks'!$P$51,'Quality Assurance Checks'!$P$53:$P$59)</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3830-48AE-A3FF-C5048D5FC917}"/>
            </c:ext>
          </c:extLst>
        </c:ser>
        <c:dLbls>
          <c:showLegendKey val="0"/>
          <c:showVal val="0"/>
          <c:showCatName val="0"/>
          <c:showSerName val="0"/>
          <c:showPercent val="0"/>
          <c:showBubbleSize val="0"/>
        </c:dLbls>
        <c:gapWidth val="115"/>
        <c:overlap val="-20"/>
        <c:axId val="315991472"/>
        <c:axId val="315992032"/>
      </c:barChart>
      <c:catAx>
        <c:axId val="315991472"/>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992032"/>
        <c:crosses val="autoZero"/>
        <c:auto val="1"/>
        <c:lblAlgn val="ctr"/>
        <c:lblOffset val="100"/>
        <c:noMultiLvlLbl val="0"/>
      </c:catAx>
      <c:valAx>
        <c:axId val="3159920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kBtu/sf/yr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99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Proposed vs. ASHRAE 90.1-2013 Site EUI</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'Quality Assurance Checks'!$AM$1</c:f>
              <c:strCache>
                <c:ptCount val="1"/>
                <c:pt idx="0">
                  <c:v> Proposed </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extLst>
                <c:ext xmlns:c15="http://schemas.microsoft.com/office/drawing/2012/chart" uri="{02D57815-91ED-43cb-92C2-25804820EDAC}">
                  <c15:fullRef>
                    <c15:sqref>'Quality Assurance Checks'!$V$51:$W$59</c15:sqref>
                  </c15:fullRef>
                </c:ext>
              </c:extLst>
              <c:f>('Quality Assurance Checks'!$V$51:$W$51,'Quality Assurance Checks'!$V$53:$W$59)</c:f>
              <c:strCache>
                <c:ptCount val="8"/>
                <c:pt idx="0">
                  <c:v>Lighting, Interior</c:v>
                </c:pt>
                <c:pt idx="1">
                  <c:v>SHW</c:v>
                </c:pt>
                <c:pt idx="2">
                  <c:v>Heat</c:v>
                </c:pt>
                <c:pt idx="3">
                  <c:v>Cool</c:v>
                </c:pt>
                <c:pt idx="4">
                  <c:v>Fans</c:v>
                </c:pt>
                <c:pt idx="5">
                  <c:v>Pumps</c:v>
                </c:pt>
                <c:pt idx="6">
                  <c:v>Other Regulated</c:v>
                </c:pt>
                <c:pt idx="7">
                  <c:v>Other Non-Regulated</c:v>
                </c:pt>
              </c:strCache>
            </c:strRef>
          </c:cat>
          <c:val>
            <c:numRef>
              <c:extLst>
                <c:ext xmlns:c15="http://schemas.microsoft.com/office/drawing/2012/chart" uri="{02D57815-91ED-43cb-92C2-25804820EDAC}">
                  <c15:fullRef>
                    <c15:sqref>'Quality Assurance Checks'!$X$51:$X$59</c15:sqref>
                  </c15:fullRef>
                </c:ext>
              </c:extLst>
              <c:f>('Quality Assurance Checks'!$X$51,'Quality Assurance Checks'!$X$53:$X$59)</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99E3-4977-8C73-8985620960CA}"/>
            </c:ext>
          </c:extLst>
        </c:ser>
        <c:ser>
          <c:idx val="1"/>
          <c:order val="1"/>
          <c:tx>
            <c:strRef>
              <c:f>'Quality Assurance Checks'!$AM$2</c:f>
              <c:strCache>
                <c:ptCount val="1"/>
                <c:pt idx="0">
                  <c:v> ASHRAE 90.1-2013 </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extLst>
                <c:ext xmlns:c15="http://schemas.microsoft.com/office/drawing/2012/chart" uri="{02D57815-91ED-43cb-92C2-25804820EDAC}">
                  <c15:fullRef>
                    <c15:sqref>'Quality Assurance Checks'!$V$51:$W$59</c15:sqref>
                  </c15:fullRef>
                </c:ext>
              </c:extLst>
              <c:f>('Quality Assurance Checks'!$V$51:$W$51,'Quality Assurance Checks'!$V$53:$W$59)</c:f>
              <c:strCache>
                <c:ptCount val="8"/>
                <c:pt idx="0">
                  <c:v>Lighting, Interior</c:v>
                </c:pt>
                <c:pt idx="1">
                  <c:v>SHW</c:v>
                </c:pt>
                <c:pt idx="2">
                  <c:v>Heat</c:v>
                </c:pt>
                <c:pt idx="3">
                  <c:v>Cool</c:v>
                </c:pt>
                <c:pt idx="4">
                  <c:v>Fans</c:v>
                </c:pt>
                <c:pt idx="5">
                  <c:v>Pumps</c:v>
                </c:pt>
                <c:pt idx="6">
                  <c:v>Other Regulated</c:v>
                </c:pt>
                <c:pt idx="7">
                  <c:v>Other Non-Regulated</c:v>
                </c:pt>
              </c:strCache>
            </c:strRef>
          </c:cat>
          <c:val>
            <c:numRef>
              <c:extLst>
                <c:ext xmlns:c15="http://schemas.microsoft.com/office/drawing/2012/chart" uri="{02D57815-91ED-43cb-92C2-25804820EDAC}">
                  <c15:fullRef>
                    <c15:sqref>'Quality Assurance Checks'!$Y$51:$Y$59</c15:sqref>
                  </c15:fullRef>
                </c:ext>
              </c:extLst>
              <c:f>('Quality Assurance Checks'!$Y$51,'Quality Assurance Checks'!$Y$53:$Y$59)</c:f>
              <c:numCache>
                <c:formatCode>_(* #,##0.00_);_(* \(#,##0.00\);_(* ""??_);_(@_)</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99E3-4977-8C73-8985620960CA}"/>
            </c:ext>
          </c:extLst>
        </c:ser>
        <c:dLbls>
          <c:showLegendKey val="0"/>
          <c:showVal val="0"/>
          <c:showCatName val="0"/>
          <c:showSerName val="0"/>
          <c:showPercent val="0"/>
          <c:showBubbleSize val="0"/>
        </c:dLbls>
        <c:gapWidth val="115"/>
        <c:overlap val="-20"/>
        <c:axId val="315459152"/>
        <c:axId val="315459712"/>
      </c:barChart>
      <c:catAx>
        <c:axId val="315459152"/>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459712"/>
        <c:crosses val="autoZero"/>
        <c:auto val="1"/>
        <c:lblAlgn val="ctr"/>
        <c:lblOffset val="100"/>
        <c:noMultiLvlLbl val="0"/>
      </c:catAx>
      <c:valAx>
        <c:axId val="31545971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kBtu/sf/yr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5459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Radio" checked="Checked" firstButton="1" fmlaLink="$R$125"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CheckBox" checked="Checked" fmlaLink="$AD$38" lockText="1"/>
</file>

<file path=xl/ctrlProps/ctrlProp10.xml><?xml version="1.0" encoding="utf-8"?>
<formControlPr xmlns="http://schemas.microsoft.com/office/spreadsheetml/2009/9/main" objectType="CheckBox" checked="Checked" fmlaLink="$T$71"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CheckBox" fmlaLink="$R$68" lockText="1"/>
</file>

<file path=xl/ctrlProps/ctrlProp18.xml><?xml version="1.0" encoding="utf-8"?>
<formControlPr xmlns="http://schemas.microsoft.com/office/spreadsheetml/2009/9/main" objectType="CheckBox" fmlaLink="$S$68" lockText="1"/>
</file>

<file path=xl/ctrlProps/ctrlProp19.xml><?xml version="1.0" encoding="utf-8"?>
<formControlPr xmlns="http://schemas.microsoft.com/office/spreadsheetml/2009/9/main" objectType="CheckBox" fmlaLink="$T$68" lockText="1"/>
</file>

<file path=xl/ctrlProps/ctrlProp20.xml><?xml version="1.0" encoding="utf-8"?>
<formControlPr xmlns="http://schemas.microsoft.com/office/spreadsheetml/2009/9/main" objectType="CheckBox"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fmlaLink="$R$67"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fmlaLink="$O$12" lockText="1" noThreeD="1"/>
</file>

<file path=xl/ctrlProps/ctrlProp29.xml><?xml version="1.0" encoding="utf-8"?>
<formControlPr xmlns="http://schemas.microsoft.com/office/spreadsheetml/2009/9/main" objectType="Radio" checked="Checked" firstButton="1" fmlaLink="$O$6"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Radio"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O$16" lockText="1"/>
</file>

<file path=xl/ctrlProps/ctrlProp80.xml><?xml version="1.0" encoding="utf-8"?>
<formControlPr xmlns="http://schemas.microsoft.com/office/spreadsheetml/2009/9/main" objectType="CheckBox" fmlaLink="$P$16"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Radio" checked="Checked" firstButton="1" fmlaLink="$S$126" lockText="1"/>
</file>

<file path=xl/ctrlProps/ctrlProp106.xml><?xml version="1.0" encoding="utf-8"?>
<formControlPr xmlns="http://schemas.microsoft.com/office/spreadsheetml/2009/9/main" objectType="Radio" lockText="1"/>
</file>

<file path=xl/ctrlProps/ctrlProp107.xml><?xml version="1.0" encoding="utf-8"?>
<formControlPr xmlns="http://schemas.microsoft.com/office/spreadsheetml/2009/9/main" objectType="Radio" lockText="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CheckBox" fmlaLink="$AE$56" lockText="1"/>
</file>

<file path=xl/ctrlProps/ctrlProp110.xml><?xml version="1.0" encoding="utf-8"?>
<formControlPr xmlns="http://schemas.microsoft.com/office/spreadsheetml/2009/9/main" objectType="CheckBox" fmlaLink="$U$82" lockText="1"/>
</file>

<file path=xl/ctrlProps/ctrlProp111.xml><?xml version="1.0" encoding="utf-8"?>
<formControlPr xmlns="http://schemas.microsoft.com/office/spreadsheetml/2009/9/main" objectType="Radio"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fmlaLink="$AE$28"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Radio" firstButton="1" fmlaLink="$R$77" lockText="1"/>
</file>

<file path=xl/ctrlProps/ctrlProp117.xml><?xml version="1.0" encoding="utf-8"?>
<formControlPr xmlns="http://schemas.microsoft.com/office/spreadsheetml/2009/9/main" objectType="Radio" lockText="1"/>
</file>

<file path=xl/ctrlProps/ctrlProp118.xml><?xml version="1.0" encoding="utf-8"?>
<formControlPr xmlns="http://schemas.microsoft.com/office/spreadsheetml/2009/9/main" objectType="Radio" lockText="1"/>
</file>

<file path=xl/ctrlProps/ctrlProp119.xml><?xml version="1.0" encoding="utf-8"?>
<formControlPr xmlns="http://schemas.microsoft.com/office/spreadsheetml/2009/9/main" objectType="GBox" noThreeD="1"/>
</file>

<file path=xl/ctrlProps/ctrlProp120.xml><?xml version="1.0" encoding="utf-8"?>
<formControlPr xmlns="http://schemas.microsoft.com/office/spreadsheetml/2009/9/main" objectType="CheckBox" checked="Checked" fmlaLink="$AD$26" lockText="1"/>
</file>

<file path=xl/ctrlProps/ctrlProp121.xml><?xml version="1.0" encoding="utf-8"?>
<formControlPr xmlns="http://schemas.microsoft.com/office/spreadsheetml/2009/9/main" objectType="CheckBox" checked="Checked" fmlaLink="$T$47" lockText="1" noThreeD="1"/>
</file>

<file path=xl/ctrlProps/ctrlProp122.xml><?xml version="1.0" encoding="utf-8"?>
<formControlPr xmlns="http://schemas.microsoft.com/office/spreadsheetml/2009/9/main" objectType="Radio"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Radio" checked="Checked" lockText="1"/>
</file>

<file path=xl/ctrlProps/ctrlProp131.xml><?xml version="1.0" encoding="utf-8"?>
<formControlPr xmlns="http://schemas.microsoft.com/office/spreadsheetml/2009/9/main" objectType="Radio" lockText="1"/>
</file>

<file path=xl/ctrlProps/ctrlProp132.xml><?xml version="1.0" encoding="utf-8"?>
<formControlPr xmlns="http://schemas.microsoft.com/office/spreadsheetml/2009/9/main" objectType="Radio" lockText="1"/>
</file>

<file path=xl/ctrlProps/ctrlProp133.xml><?xml version="1.0" encoding="utf-8"?>
<formControlPr xmlns="http://schemas.microsoft.com/office/spreadsheetml/2009/9/main" objectType="GBox" noThreeD="1"/>
</file>

<file path=xl/ctrlProps/ctrlProp134.xml><?xml version="1.0" encoding="utf-8"?>
<formControlPr xmlns="http://schemas.microsoft.com/office/spreadsheetml/2009/9/main" objectType="CheckBox" checked="Checked" fmlaLink="$AD$26" lockText="1"/>
</file>

<file path=xl/ctrlProps/ctrlProp135.xml><?xml version="1.0" encoding="utf-8"?>
<formControlPr xmlns="http://schemas.microsoft.com/office/spreadsheetml/2009/9/main" objectType="CheckBox" checked="Checked" fmlaLink="$T$47" lockText="1"/>
</file>

<file path=xl/ctrlProps/ctrlProp136.xml><?xml version="1.0" encoding="utf-8"?>
<formControlPr xmlns="http://schemas.microsoft.com/office/spreadsheetml/2009/9/main" objectType="Radio"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1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gif"/></Relationships>
</file>

<file path=xl/drawings/_rels/drawing19.xml.rels><?xml version="1.0" encoding="UTF-8" standalone="yes"?>
<Relationships xmlns="http://schemas.openxmlformats.org/package/2006/relationships"><Relationship Id="rId13" Type="http://schemas.openxmlformats.org/officeDocument/2006/relationships/image" Target="../media/image17.emf"/><Relationship Id="rId18" Type="http://schemas.openxmlformats.org/officeDocument/2006/relationships/image" Target="../media/image22.emf"/><Relationship Id="rId26" Type="http://schemas.openxmlformats.org/officeDocument/2006/relationships/image" Target="../media/image30.emf"/><Relationship Id="rId39" Type="http://schemas.openxmlformats.org/officeDocument/2006/relationships/image" Target="../media/image43.emf"/><Relationship Id="rId21" Type="http://schemas.openxmlformats.org/officeDocument/2006/relationships/image" Target="../media/image25.emf"/><Relationship Id="rId34" Type="http://schemas.openxmlformats.org/officeDocument/2006/relationships/image" Target="../media/image38.emf"/><Relationship Id="rId42" Type="http://schemas.openxmlformats.org/officeDocument/2006/relationships/image" Target="../media/image46.emf"/><Relationship Id="rId47" Type="http://schemas.openxmlformats.org/officeDocument/2006/relationships/image" Target="../media/image51.emf"/><Relationship Id="rId50" Type="http://schemas.openxmlformats.org/officeDocument/2006/relationships/image" Target="../media/image54.emf"/><Relationship Id="rId55" Type="http://schemas.openxmlformats.org/officeDocument/2006/relationships/image" Target="../media/image59.emf"/><Relationship Id="rId7" Type="http://schemas.openxmlformats.org/officeDocument/2006/relationships/image" Target="../media/image11.emf"/><Relationship Id="rId2" Type="http://schemas.openxmlformats.org/officeDocument/2006/relationships/image" Target="../media/image6.emf"/><Relationship Id="rId16" Type="http://schemas.openxmlformats.org/officeDocument/2006/relationships/image" Target="../media/image20.emf"/><Relationship Id="rId29" Type="http://schemas.openxmlformats.org/officeDocument/2006/relationships/image" Target="../media/image33.emf"/><Relationship Id="rId11" Type="http://schemas.openxmlformats.org/officeDocument/2006/relationships/image" Target="../media/image15.emf"/><Relationship Id="rId24" Type="http://schemas.openxmlformats.org/officeDocument/2006/relationships/image" Target="../media/image28.emf"/><Relationship Id="rId32" Type="http://schemas.openxmlformats.org/officeDocument/2006/relationships/image" Target="../media/image36.emf"/><Relationship Id="rId37" Type="http://schemas.openxmlformats.org/officeDocument/2006/relationships/image" Target="../media/image41.emf"/><Relationship Id="rId40" Type="http://schemas.openxmlformats.org/officeDocument/2006/relationships/image" Target="../media/image44.emf"/><Relationship Id="rId45" Type="http://schemas.openxmlformats.org/officeDocument/2006/relationships/image" Target="../media/image49.emf"/><Relationship Id="rId53" Type="http://schemas.openxmlformats.org/officeDocument/2006/relationships/image" Target="../media/image57.emf"/><Relationship Id="rId58" Type="http://schemas.openxmlformats.org/officeDocument/2006/relationships/image" Target="../media/image62.emf"/><Relationship Id="rId5" Type="http://schemas.openxmlformats.org/officeDocument/2006/relationships/image" Target="../media/image9.emf"/><Relationship Id="rId19" Type="http://schemas.openxmlformats.org/officeDocument/2006/relationships/image" Target="../media/image23.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 Id="rId22" Type="http://schemas.openxmlformats.org/officeDocument/2006/relationships/image" Target="../media/image2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39.emf"/><Relationship Id="rId43" Type="http://schemas.openxmlformats.org/officeDocument/2006/relationships/image" Target="../media/image47.emf"/><Relationship Id="rId48" Type="http://schemas.openxmlformats.org/officeDocument/2006/relationships/image" Target="../media/image52.emf"/><Relationship Id="rId56" Type="http://schemas.openxmlformats.org/officeDocument/2006/relationships/image" Target="../media/image60.emf"/><Relationship Id="rId8" Type="http://schemas.openxmlformats.org/officeDocument/2006/relationships/image" Target="../media/image12.emf"/><Relationship Id="rId51" Type="http://schemas.openxmlformats.org/officeDocument/2006/relationships/image" Target="../media/image55.emf"/><Relationship Id="rId3" Type="http://schemas.openxmlformats.org/officeDocument/2006/relationships/image" Target="../media/image7.emf"/><Relationship Id="rId12" Type="http://schemas.openxmlformats.org/officeDocument/2006/relationships/image" Target="../media/image16.emf"/><Relationship Id="rId17" Type="http://schemas.openxmlformats.org/officeDocument/2006/relationships/image" Target="../media/image21.emf"/><Relationship Id="rId25" Type="http://schemas.openxmlformats.org/officeDocument/2006/relationships/image" Target="../media/image29.emf"/><Relationship Id="rId33" Type="http://schemas.openxmlformats.org/officeDocument/2006/relationships/image" Target="../media/image37.emf"/><Relationship Id="rId38" Type="http://schemas.openxmlformats.org/officeDocument/2006/relationships/image" Target="../media/image42.emf"/><Relationship Id="rId46" Type="http://schemas.openxmlformats.org/officeDocument/2006/relationships/image" Target="../media/image50.emf"/><Relationship Id="rId59" Type="http://schemas.openxmlformats.org/officeDocument/2006/relationships/image" Target="../media/image63.emf"/><Relationship Id="rId20" Type="http://schemas.openxmlformats.org/officeDocument/2006/relationships/image" Target="../media/image24.emf"/><Relationship Id="rId41" Type="http://schemas.openxmlformats.org/officeDocument/2006/relationships/image" Target="../media/image45.emf"/><Relationship Id="rId54" Type="http://schemas.openxmlformats.org/officeDocument/2006/relationships/image" Target="../media/image58.emf"/><Relationship Id="rId1" Type="http://schemas.openxmlformats.org/officeDocument/2006/relationships/image" Target="../media/image5.emf"/><Relationship Id="rId6" Type="http://schemas.openxmlformats.org/officeDocument/2006/relationships/image" Target="../media/image10.emf"/><Relationship Id="rId15" Type="http://schemas.openxmlformats.org/officeDocument/2006/relationships/image" Target="../media/image19.emf"/><Relationship Id="rId23" Type="http://schemas.openxmlformats.org/officeDocument/2006/relationships/image" Target="../media/image27.emf"/><Relationship Id="rId28" Type="http://schemas.openxmlformats.org/officeDocument/2006/relationships/image" Target="../media/image32.emf"/><Relationship Id="rId36" Type="http://schemas.openxmlformats.org/officeDocument/2006/relationships/image" Target="../media/image40.emf"/><Relationship Id="rId49" Type="http://schemas.openxmlformats.org/officeDocument/2006/relationships/image" Target="../media/image53.emf"/><Relationship Id="rId57" Type="http://schemas.openxmlformats.org/officeDocument/2006/relationships/image" Target="../media/image61.emf"/><Relationship Id="rId10" Type="http://schemas.openxmlformats.org/officeDocument/2006/relationships/image" Target="../media/image14.emf"/><Relationship Id="rId31" Type="http://schemas.openxmlformats.org/officeDocument/2006/relationships/image" Target="../media/image35.emf"/><Relationship Id="rId44" Type="http://schemas.openxmlformats.org/officeDocument/2006/relationships/image" Target="../media/image48.emf"/><Relationship Id="rId52" Type="http://schemas.openxmlformats.org/officeDocument/2006/relationships/image" Target="../media/image56.emf"/><Relationship Id="rId60" Type="http://schemas.openxmlformats.org/officeDocument/2006/relationships/image" Target="../media/image64.emf"/></Relationships>
</file>

<file path=xl/drawings/_rels/drawing20.xml.rels><?xml version="1.0" encoding="UTF-8" standalone="yes"?>
<Relationships xmlns="http://schemas.openxmlformats.org/package/2006/relationships"><Relationship Id="rId8" Type="http://schemas.openxmlformats.org/officeDocument/2006/relationships/image" Target="../media/image72.emf"/><Relationship Id="rId13" Type="http://schemas.openxmlformats.org/officeDocument/2006/relationships/image" Target="../media/image77.emf"/><Relationship Id="rId18" Type="http://schemas.openxmlformats.org/officeDocument/2006/relationships/image" Target="../media/image82.emf"/><Relationship Id="rId3" Type="http://schemas.openxmlformats.org/officeDocument/2006/relationships/image" Target="../media/image67.emf"/><Relationship Id="rId7" Type="http://schemas.openxmlformats.org/officeDocument/2006/relationships/image" Target="../media/image71.emf"/><Relationship Id="rId12" Type="http://schemas.openxmlformats.org/officeDocument/2006/relationships/image" Target="../media/image76.emf"/><Relationship Id="rId17" Type="http://schemas.openxmlformats.org/officeDocument/2006/relationships/image" Target="../media/image81.emf"/><Relationship Id="rId2" Type="http://schemas.openxmlformats.org/officeDocument/2006/relationships/image" Target="../media/image66.emf"/><Relationship Id="rId16" Type="http://schemas.openxmlformats.org/officeDocument/2006/relationships/image" Target="../media/image80.emf"/><Relationship Id="rId1" Type="http://schemas.openxmlformats.org/officeDocument/2006/relationships/image" Target="../media/image65.emf"/><Relationship Id="rId6" Type="http://schemas.openxmlformats.org/officeDocument/2006/relationships/image" Target="../media/image70.emf"/><Relationship Id="rId11" Type="http://schemas.openxmlformats.org/officeDocument/2006/relationships/image" Target="../media/image75.emf"/><Relationship Id="rId5" Type="http://schemas.openxmlformats.org/officeDocument/2006/relationships/image" Target="../media/image69.emf"/><Relationship Id="rId15" Type="http://schemas.openxmlformats.org/officeDocument/2006/relationships/image" Target="../media/image79.emf"/><Relationship Id="rId10" Type="http://schemas.openxmlformats.org/officeDocument/2006/relationships/image" Target="../media/image74.emf"/><Relationship Id="rId19" Type="http://schemas.openxmlformats.org/officeDocument/2006/relationships/image" Target="../media/image83.emf"/><Relationship Id="rId4" Type="http://schemas.openxmlformats.org/officeDocument/2006/relationships/image" Target="../media/image68.emf"/><Relationship Id="rId9" Type="http://schemas.openxmlformats.org/officeDocument/2006/relationships/image" Target="../media/image73.emf"/><Relationship Id="rId14" Type="http://schemas.openxmlformats.org/officeDocument/2006/relationships/image" Target="../media/image78.emf"/></Relationships>
</file>

<file path=xl/drawings/_rels/drawing21.xml.rels><?xml version="1.0" encoding="UTF-8" standalone="yes"?>
<Relationships xmlns="http://schemas.openxmlformats.org/package/2006/relationships"><Relationship Id="rId8" Type="http://schemas.openxmlformats.org/officeDocument/2006/relationships/hyperlink" Target="https://www.energycodes.gov/development/commercial/cost_effectiveness" TargetMode="External"/><Relationship Id="rId3" Type="http://schemas.openxmlformats.org/officeDocument/2006/relationships/chart" Target="../charts/chart3.xml"/><Relationship Id="rId7" Type="http://schemas.openxmlformats.org/officeDocument/2006/relationships/hyperlink" Target="https://www.energycodes.gov/development/commercial/prototype_models" TargetMode="Externa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hyperlink" Target="http://comnet.org/reference-appendices"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33</xdr:row>
          <xdr:rowOff>99060</xdr:rowOff>
        </xdr:from>
        <xdr:to>
          <xdr:col>1</xdr:col>
          <xdr:colOff>1333500</xdr:colOff>
          <xdr:row>33</xdr:row>
          <xdr:rowOff>365760</xdr:rowOff>
        </xdr:to>
        <xdr:sp macro="" textlink="">
          <xdr:nvSpPr>
            <xdr:cNvPr id="215041" name="btnAddUtility" hidden="1">
              <a:extLst>
                <a:ext uri="{63B3BB69-23CF-44E3-9099-C40C66FF867C}">
                  <a14:compatExt spid="_x0000_s215041"/>
                </a:ext>
                <a:ext uri="{FF2B5EF4-FFF2-40B4-BE49-F238E27FC236}">
                  <a16:creationId xmlns:a16="http://schemas.microsoft.com/office/drawing/2014/main" id="{00000000-0008-0000-0000-000001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1386840</xdr:colOff>
          <xdr:row>33</xdr:row>
          <xdr:rowOff>99060</xdr:rowOff>
        </xdr:from>
        <xdr:to>
          <xdr:col>2</xdr:col>
          <xdr:colOff>1127760</xdr:colOff>
          <xdr:row>33</xdr:row>
          <xdr:rowOff>358140</xdr:rowOff>
        </xdr:to>
        <xdr:sp macro="" textlink="">
          <xdr:nvSpPr>
            <xdr:cNvPr id="215042" name="btnDeleteUtility" hidden="1">
              <a:extLst>
                <a:ext uri="{63B3BB69-23CF-44E3-9099-C40C66FF867C}">
                  <a14:compatExt spid="_x0000_s215042"/>
                </a:ext>
                <a:ext uri="{FF2B5EF4-FFF2-40B4-BE49-F238E27FC236}">
                  <a16:creationId xmlns:a16="http://schemas.microsoft.com/office/drawing/2014/main" id="{00000000-0008-0000-0000-000002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67</xdr:row>
          <xdr:rowOff>99060</xdr:rowOff>
        </xdr:from>
        <xdr:to>
          <xdr:col>1</xdr:col>
          <xdr:colOff>1424940</xdr:colOff>
          <xdr:row>67</xdr:row>
          <xdr:rowOff>365760</xdr:rowOff>
        </xdr:to>
        <xdr:sp macro="" textlink="">
          <xdr:nvSpPr>
            <xdr:cNvPr id="215043" name="btnAddRenewable" hidden="1">
              <a:extLst>
                <a:ext uri="{63B3BB69-23CF-44E3-9099-C40C66FF867C}">
                  <a14:compatExt spid="_x0000_s215043"/>
                </a:ext>
                <a:ext uri="{FF2B5EF4-FFF2-40B4-BE49-F238E27FC236}">
                  <a16:creationId xmlns:a16="http://schemas.microsoft.com/office/drawing/2014/main" id="{00000000-0008-0000-0000-000003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67</xdr:row>
          <xdr:rowOff>99060</xdr:rowOff>
        </xdr:from>
        <xdr:to>
          <xdr:col>2</xdr:col>
          <xdr:colOff>1394460</xdr:colOff>
          <xdr:row>67</xdr:row>
          <xdr:rowOff>365760</xdr:rowOff>
        </xdr:to>
        <xdr:sp macro="" textlink="">
          <xdr:nvSpPr>
            <xdr:cNvPr id="215044" name="btbDeleteRenewable" hidden="1">
              <a:extLst>
                <a:ext uri="{63B3BB69-23CF-44E3-9099-C40C66FF867C}">
                  <a14:compatExt spid="_x0000_s215044"/>
                </a:ext>
                <a:ext uri="{FF2B5EF4-FFF2-40B4-BE49-F238E27FC236}">
                  <a16:creationId xmlns:a16="http://schemas.microsoft.com/office/drawing/2014/main" id="{00000000-0008-0000-0000-000004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129540</xdr:colOff>
          <xdr:row>124</xdr:row>
          <xdr:rowOff>60960</xdr:rowOff>
        </xdr:from>
        <xdr:to>
          <xdr:col>1</xdr:col>
          <xdr:colOff>472440</xdr:colOff>
          <xdr:row>124</xdr:row>
          <xdr:rowOff>266700</xdr:rowOff>
        </xdr:to>
        <xdr:sp macro="" textlink="">
          <xdr:nvSpPr>
            <xdr:cNvPr id="215045" name="rbOutputReporting1" hidden="1">
              <a:extLst>
                <a:ext uri="{63B3BB69-23CF-44E3-9099-C40C66FF867C}">
                  <a14:compatExt spid="_x0000_s215045"/>
                </a:ext>
                <a:ext uri="{FF2B5EF4-FFF2-40B4-BE49-F238E27FC236}">
                  <a16:creationId xmlns:a16="http://schemas.microsoft.com/office/drawing/2014/main" id="{00000000-0008-0000-0000-0000054803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125</xdr:row>
          <xdr:rowOff>60960</xdr:rowOff>
        </xdr:from>
        <xdr:to>
          <xdr:col>1</xdr:col>
          <xdr:colOff>419100</xdr:colOff>
          <xdr:row>126</xdr:row>
          <xdr:rowOff>190500</xdr:rowOff>
        </xdr:to>
        <xdr:sp macro="" textlink="">
          <xdr:nvSpPr>
            <xdr:cNvPr id="215046" name="rbOutputReporting2" hidden="1">
              <a:extLst>
                <a:ext uri="{63B3BB69-23CF-44E3-9099-C40C66FF867C}">
                  <a14:compatExt spid="_x0000_s215046"/>
                </a:ext>
                <a:ext uri="{FF2B5EF4-FFF2-40B4-BE49-F238E27FC236}">
                  <a16:creationId xmlns:a16="http://schemas.microsoft.com/office/drawing/2014/main" id="{00000000-0008-0000-0000-0000064803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129</xdr:row>
          <xdr:rowOff>60960</xdr:rowOff>
        </xdr:from>
        <xdr:to>
          <xdr:col>1</xdr:col>
          <xdr:colOff>441960</xdr:colOff>
          <xdr:row>130</xdr:row>
          <xdr:rowOff>213360</xdr:rowOff>
        </xdr:to>
        <xdr:sp macro="" textlink="">
          <xdr:nvSpPr>
            <xdr:cNvPr id="215047" name="rbOutputReporting4" hidden="1">
              <a:extLst>
                <a:ext uri="{63B3BB69-23CF-44E3-9099-C40C66FF867C}">
                  <a14:compatExt spid="_x0000_s215047"/>
                </a:ext>
                <a:ext uri="{FF2B5EF4-FFF2-40B4-BE49-F238E27FC236}">
                  <a16:creationId xmlns:a16="http://schemas.microsoft.com/office/drawing/2014/main" id="{00000000-0008-0000-0000-0000074803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122</xdr:row>
          <xdr:rowOff>365760</xdr:rowOff>
        </xdr:from>
        <xdr:to>
          <xdr:col>11</xdr:col>
          <xdr:colOff>129540</xdr:colOff>
          <xdr:row>132</xdr:row>
          <xdr:rowOff>0</xdr:rowOff>
        </xdr:to>
        <xdr:sp macro="" textlink="">
          <xdr:nvSpPr>
            <xdr:cNvPr id="215048" name="rbgOutputReporting" hidden="1">
              <a:extLst>
                <a:ext uri="{63B3BB69-23CF-44E3-9099-C40C66FF867C}">
                  <a14:compatExt spid="_x0000_s215048"/>
                </a:ext>
                <a:ext uri="{FF2B5EF4-FFF2-40B4-BE49-F238E27FC236}">
                  <a16:creationId xmlns:a16="http://schemas.microsoft.com/office/drawing/2014/main" id="{00000000-0008-0000-0000-000008480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36</xdr:row>
          <xdr:rowOff>99060</xdr:rowOff>
        </xdr:from>
        <xdr:to>
          <xdr:col>1</xdr:col>
          <xdr:colOff>403860</xdr:colOff>
          <xdr:row>37</xdr:row>
          <xdr:rowOff>213360</xdr:rowOff>
        </xdr:to>
        <xdr:sp macro="" textlink="">
          <xdr:nvSpPr>
            <xdr:cNvPr id="215049" name="SiteRenewable Checkbox" hidden="1">
              <a:extLst>
                <a:ext uri="{63B3BB69-23CF-44E3-9099-C40C66FF867C}">
                  <a14:compatExt spid="_x0000_s215049"/>
                </a:ext>
                <a:ext uri="{FF2B5EF4-FFF2-40B4-BE49-F238E27FC236}">
                  <a16:creationId xmlns:a16="http://schemas.microsoft.com/office/drawing/2014/main" id="{00000000-0008-0000-0000-0000094803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70</xdr:row>
          <xdr:rowOff>76200</xdr:rowOff>
        </xdr:from>
        <xdr:to>
          <xdr:col>1</xdr:col>
          <xdr:colOff>403860</xdr:colOff>
          <xdr:row>71</xdr:row>
          <xdr:rowOff>251460</xdr:rowOff>
        </xdr:to>
        <xdr:sp macro="" textlink="">
          <xdr:nvSpPr>
            <xdr:cNvPr id="215050" name="ExcCalcCheckbox" hidden="1">
              <a:extLst>
                <a:ext uri="{63B3BB69-23CF-44E3-9099-C40C66FF867C}">
                  <a14:compatExt spid="_x0000_s215050"/>
                </a:ext>
                <a:ext uri="{FF2B5EF4-FFF2-40B4-BE49-F238E27FC236}">
                  <a16:creationId xmlns:a16="http://schemas.microsoft.com/office/drawing/2014/main" id="{00000000-0008-0000-0000-00000A4803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127</xdr:row>
          <xdr:rowOff>60960</xdr:rowOff>
        </xdr:from>
        <xdr:to>
          <xdr:col>1</xdr:col>
          <xdr:colOff>419100</xdr:colOff>
          <xdr:row>128</xdr:row>
          <xdr:rowOff>213360</xdr:rowOff>
        </xdr:to>
        <xdr:sp macro="" textlink="">
          <xdr:nvSpPr>
            <xdr:cNvPr id="215051" name="rbOutputReporting3" hidden="1">
              <a:extLst>
                <a:ext uri="{63B3BB69-23CF-44E3-9099-C40C66FF867C}">
                  <a14:compatExt spid="_x0000_s215051"/>
                </a:ext>
                <a:ext uri="{FF2B5EF4-FFF2-40B4-BE49-F238E27FC236}">
                  <a16:creationId xmlns:a16="http://schemas.microsoft.com/office/drawing/2014/main" id="{00000000-0008-0000-0000-00000B4803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434340</xdr:colOff>
          <xdr:row>67</xdr:row>
          <xdr:rowOff>152400</xdr:rowOff>
        </xdr:from>
        <xdr:to>
          <xdr:col>12</xdr:col>
          <xdr:colOff>937260</xdr:colOff>
          <xdr:row>67</xdr:row>
          <xdr:rowOff>403860</xdr:rowOff>
        </xdr:to>
        <xdr:sp macro="" textlink="">
          <xdr:nvSpPr>
            <xdr:cNvPr id="215052" name="btnRestoreRenewCost" hidden="1">
              <a:extLst>
                <a:ext uri="{63B3BB69-23CF-44E3-9099-C40C66FF867C}">
                  <a14:compatExt spid="_x0000_s215052"/>
                </a:ext>
                <a:ext uri="{FF2B5EF4-FFF2-40B4-BE49-F238E27FC236}">
                  <a16:creationId xmlns:a16="http://schemas.microsoft.com/office/drawing/2014/main" id="{00000000-0008-0000-0000-00000C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119</xdr:row>
          <xdr:rowOff>175260</xdr:rowOff>
        </xdr:from>
        <xdr:to>
          <xdr:col>1</xdr:col>
          <xdr:colOff>1424940</xdr:colOff>
          <xdr:row>119</xdr:row>
          <xdr:rowOff>441960</xdr:rowOff>
        </xdr:to>
        <xdr:sp macro="" textlink="">
          <xdr:nvSpPr>
            <xdr:cNvPr id="215053" name="btnAddExCalc" hidden="1">
              <a:extLst>
                <a:ext uri="{63B3BB69-23CF-44E3-9099-C40C66FF867C}">
                  <a14:compatExt spid="_x0000_s215053"/>
                </a:ext>
                <a:ext uri="{FF2B5EF4-FFF2-40B4-BE49-F238E27FC236}">
                  <a16:creationId xmlns:a16="http://schemas.microsoft.com/office/drawing/2014/main" id="{00000000-0008-0000-0000-00000D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119</xdr:row>
          <xdr:rowOff>167640</xdr:rowOff>
        </xdr:from>
        <xdr:to>
          <xdr:col>2</xdr:col>
          <xdr:colOff>1432560</xdr:colOff>
          <xdr:row>119</xdr:row>
          <xdr:rowOff>441960</xdr:rowOff>
        </xdr:to>
        <xdr:sp macro="" textlink="">
          <xdr:nvSpPr>
            <xdr:cNvPr id="215054" name="btnDeleteExCalc" hidden="1">
              <a:extLst>
                <a:ext uri="{63B3BB69-23CF-44E3-9099-C40C66FF867C}">
                  <a14:compatExt spid="_x0000_s215054"/>
                </a:ext>
                <a:ext uri="{FF2B5EF4-FFF2-40B4-BE49-F238E27FC236}">
                  <a16:creationId xmlns:a16="http://schemas.microsoft.com/office/drawing/2014/main" id="{00000000-0008-0000-0000-00000E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434340</xdr:colOff>
          <xdr:row>119</xdr:row>
          <xdr:rowOff>137160</xdr:rowOff>
        </xdr:from>
        <xdr:to>
          <xdr:col>12</xdr:col>
          <xdr:colOff>937260</xdr:colOff>
          <xdr:row>119</xdr:row>
          <xdr:rowOff>403860</xdr:rowOff>
        </xdr:to>
        <xdr:sp macro="" textlink="">
          <xdr:nvSpPr>
            <xdr:cNvPr id="215055" name="btnRestoreExCalCost" hidden="1">
              <a:extLst>
                <a:ext uri="{63B3BB69-23CF-44E3-9099-C40C66FF867C}">
                  <a14:compatExt spid="_x0000_s215055"/>
                </a:ext>
                <a:ext uri="{FF2B5EF4-FFF2-40B4-BE49-F238E27FC236}">
                  <a16:creationId xmlns:a16="http://schemas.microsoft.com/office/drawing/2014/main" id="{00000000-0008-0000-0000-00000F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518160</xdr:colOff>
          <xdr:row>331</xdr:row>
          <xdr:rowOff>137160</xdr:rowOff>
        </xdr:from>
        <xdr:to>
          <xdr:col>12</xdr:col>
          <xdr:colOff>1013460</xdr:colOff>
          <xdr:row>332</xdr:row>
          <xdr:rowOff>0</xdr:rowOff>
        </xdr:to>
        <xdr:sp macro="" textlink="">
          <xdr:nvSpPr>
            <xdr:cNvPr id="215056" name="Button 16" hidden="1">
              <a:extLst>
                <a:ext uri="{63B3BB69-23CF-44E3-9099-C40C66FF867C}">
                  <a14:compatExt spid="_x0000_s215056"/>
                </a:ext>
                <a:ext uri="{FF2B5EF4-FFF2-40B4-BE49-F238E27FC236}">
                  <a16:creationId xmlns:a16="http://schemas.microsoft.com/office/drawing/2014/main" id="{00000000-0008-0000-0000-0000104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763322</xdr:colOff>
      <xdr:row>2</xdr:row>
      <xdr:rowOff>190839</xdr:rowOff>
    </xdr:to>
    <xdr:pic>
      <xdr:nvPicPr>
        <xdr:cNvPr id="2" name="Picture 2">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0" y="0"/>
          <a:ext cx="763322" cy="773906"/>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99060</xdr:colOff>
          <xdr:row>66</xdr:row>
          <xdr:rowOff>175260</xdr:rowOff>
        </xdr:from>
        <xdr:to>
          <xdr:col>8</xdr:col>
          <xdr:colOff>1013460</xdr:colOff>
          <xdr:row>68</xdr:row>
          <xdr:rowOff>22860</xdr:rowOff>
        </xdr:to>
        <xdr:sp macro="" textlink="">
          <xdr:nvSpPr>
            <xdr:cNvPr id="38920" name="Check Box 8" hidden="1">
              <a:extLst>
                <a:ext uri="{63B3BB69-23CF-44E3-9099-C40C66FF867C}">
                  <a14:compatExt spid="_x0000_s38920"/>
                </a:ext>
                <a:ext uri="{FF2B5EF4-FFF2-40B4-BE49-F238E27FC236}">
                  <a16:creationId xmlns:a16="http://schemas.microsoft.com/office/drawing/2014/main" id="{00000000-0008-0000-0300-000008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District Cooling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358140</xdr:colOff>
          <xdr:row>66</xdr:row>
          <xdr:rowOff>175260</xdr:rowOff>
        </xdr:from>
        <xdr:to>
          <xdr:col>9</xdr:col>
          <xdr:colOff>1295400</xdr:colOff>
          <xdr:row>68</xdr:row>
          <xdr:rowOff>22860</xdr:rowOff>
        </xdr:to>
        <xdr:sp macro="" textlink="">
          <xdr:nvSpPr>
            <xdr:cNvPr id="38921" name="Check Box 9" hidden="1">
              <a:extLst>
                <a:ext uri="{63B3BB69-23CF-44E3-9099-C40C66FF867C}">
                  <a14:compatExt spid="_x0000_s38921"/>
                </a:ext>
                <a:ext uri="{FF2B5EF4-FFF2-40B4-BE49-F238E27FC236}">
                  <a16:creationId xmlns:a16="http://schemas.microsoft.com/office/drawing/2014/main" id="{00000000-0008-0000-0300-000009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District Heating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594360</xdr:colOff>
          <xdr:row>66</xdr:row>
          <xdr:rowOff>152400</xdr:rowOff>
        </xdr:from>
        <xdr:to>
          <xdr:col>10</xdr:col>
          <xdr:colOff>1501140</xdr:colOff>
          <xdr:row>68</xdr:row>
          <xdr:rowOff>22860</xdr:rowOff>
        </xdr:to>
        <xdr:sp macro="" textlink="">
          <xdr:nvSpPr>
            <xdr:cNvPr id="38922" name="Check Box 10" hidden="1">
              <a:extLst>
                <a:ext uri="{63B3BB69-23CF-44E3-9099-C40C66FF867C}">
                  <a14:compatExt spid="_x0000_s38922"/>
                </a:ext>
                <a:ext uri="{FF2B5EF4-FFF2-40B4-BE49-F238E27FC236}">
                  <a16:creationId xmlns:a16="http://schemas.microsoft.com/office/drawing/2014/main" id="{00000000-0008-0000-0300-00000A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CHP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58</xdr:row>
          <xdr:rowOff>175260</xdr:rowOff>
        </xdr:from>
        <xdr:to>
          <xdr:col>1</xdr:col>
          <xdr:colOff>327660</xdr:colOff>
          <xdr:row>59</xdr:row>
          <xdr:rowOff>251460</xdr:rowOff>
        </xdr:to>
        <xdr:sp macro="" textlink="">
          <xdr:nvSpPr>
            <xdr:cNvPr id="38927" name="Check Box 15" hidden="1">
              <a:extLst>
                <a:ext uri="{63B3BB69-23CF-44E3-9099-C40C66FF867C}">
                  <a14:compatExt spid="_x0000_s38927"/>
                </a:ext>
                <a:ext uri="{FF2B5EF4-FFF2-40B4-BE49-F238E27FC236}">
                  <a16:creationId xmlns:a16="http://schemas.microsoft.com/office/drawing/2014/main" id="{00000000-0008-0000-0300-00000F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59</xdr:row>
          <xdr:rowOff>480060</xdr:rowOff>
        </xdr:from>
        <xdr:to>
          <xdr:col>1</xdr:col>
          <xdr:colOff>327660</xdr:colOff>
          <xdr:row>60</xdr:row>
          <xdr:rowOff>251460</xdr:rowOff>
        </xdr:to>
        <xdr:sp macro="" textlink="">
          <xdr:nvSpPr>
            <xdr:cNvPr id="38928" name="Check Box 16" hidden="1">
              <a:extLst>
                <a:ext uri="{63B3BB69-23CF-44E3-9099-C40C66FF867C}">
                  <a14:compatExt spid="_x0000_s38928"/>
                </a:ext>
                <a:ext uri="{FF2B5EF4-FFF2-40B4-BE49-F238E27FC236}">
                  <a16:creationId xmlns:a16="http://schemas.microsoft.com/office/drawing/2014/main" id="{00000000-0008-0000-0300-000010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64</xdr:row>
          <xdr:rowOff>251460</xdr:rowOff>
        </xdr:from>
        <xdr:to>
          <xdr:col>1</xdr:col>
          <xdr:colOff>327660</xdr:colOff>
          <xdr:row>65</xdr:row>
          <xdr:rowOff>228600</xdr:rowOff>
        </xdr:to>
        <xdr:sp macro="" textlink="">
          <xdr:nvSpPr>
            <xdr:cNvPr id="38933" name="DES_Checkbox" hidden="1">
              <a:extLst>
                <a:ext uri="{63B3BB69-23CF-44E3-9099-C40C66FF867C}">
                  <a14:compatExt spid="_x0000_s38933"/>
                </a:ext>
                <a:ext uri="{FF2B5EF4-FFF2-40B4-BE49-F238E27FC236}">
                  <a16:creationId xmlns:a16="http://schemas.microsoft.com/office/drawing/2014/main" id="{00000000-0008-0000-0300-000015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25</xdr:row>
          <xdr:rowOff>60960</xdr:rowOff>
        </xdr:from>
        <xdr:to>
          <xdr:col>1</xdr:col>
          <xdr:colOff>1371600</xdr:colOff>
          <xdr:row>26</xdr:row>
          <xdr:rowOff>137160</xdr:rowOff>
        </xdr:to>
        <xdr:sp macro="" textlink="">
          <xdr:nvSpPr>
            <xdr:cNvPr id="38936" name="Button 24" hidden="1">
              <a:extLst>
                <a:ext uri="{63B3BB69-23CF-44E3-9099-C40C66FF867C}">
                  <a14:compatExt spid="_x0000_s38936"/>
                </a:ext>
                <a:ext uri="{FF2B5EF4-FFF2-40B4-BE49-F238E27FC236}">
                  <a16:creationId xmlns:a16="http://schemas.microsoft.com/office/drawing/2014/main" id="{00000000-0008-0000-0300-000018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Building Type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1447800</xdr:colOff>
          <xdr:row>25</xdr:row>
          <xdr:rowOff>60960</xdr:rowOff>
        </xdr:from>
        <xdr:to>
          <xdr:col>4</xdr:col>
          <xdr:colOff>762000</xdr:colOff>
          <xdr:row>26</xdr:row>
          <xdr:rowOff>137160</xdr:rowOff>
        </xdr:to>
        <xdr:sp macro="" textlink="">
          <xdr:nvSpPr>
            <xdr:cNvPr id="38937" name="Button 25" hidden="1">
              <a:extLst>
                <a:ext uri="{63B3BB69-23CF-44E3-9099-C40C66FF867C}">
                  <a14:compatExt spid="_x0000_s38937"/>
                </a:ext>
                <a:ext uri="{FF2B5EF4-FFF2-40B4-BE49-F238E27FC236}">
                  <a16:creationId xmlns:a16="http://schemas.microsoft.com/office/drawing/2014/main" id="{00000000-0008-0000-0300-000019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Building Type</a:t>
              </a:r>
            </a:p>
          </xdr:txBody>
        </xdr:sp>
        <xdr:clientData fPrintsWithSheet="0"/>
      </xdr:twoCellAnchor>
    </mc:Choice>
    <mc:Fallback/>
  </mc:AlternateContent>
  <xdr:twoCellAnchor editAs="oneCell">
    <xdr:from>
      <xdr:col>8</xdr:col>
      <xdr:colOff>1270000</xdr:colOff>
      <xdr:row>17</xdr:row>
      <xdr:rowOff>0</xdr:rowOff>
    </xdr:from>
    <xdr:to>
      <xdr:col>10</xdr:col>
      <xdr:colOff>50800</xdr:colOff>
      <xdr:row>18</xdr:row>
      <xdr:rowOff>12700</xdr:rowOff>
    </xdr:to>
    <xdr:sp macro="" textlink="">
      <xdr:nvSpPr>
        <xdr:cNvPr id="38944" name="CommandButton1" hidden="1">
          <a:extLst>
            <a:ext uri="{63B3BB69-23CF-44E3-9099-C40C66FF867C}">
              <a14:compatExt xmlns:a14="http://schemas.microsoft.com/office/drawing/2010/main" spid="_x0000_s38944"/>
            </a:ext>
            <a:ext uri="{FF2B5EF4-FFF2-40B4-BE49-F238E27FC236}">
              <a16:creationId xmlns:a16="http://schemas.microsoft.com/office/drawing/2014/main" id="{00000000-0008-0000-0300-0000209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762000</xdr:colOff>
      <xdr:row>17</xdr:row>
      <xdr:rowOff>0</xdr:rowOff>
    </xdr:from>
    <xdr:to>
      <xdr:col>10</xdr:col>
      <xdr:colOff>30480</xdr:colOff>
      <xdr:row>18</xdr:row>
      <xdr:rowOff>7620</xdr:rowOff>
    </xdr:to>
    <xdr:pic>
      <xdr:nvPicPr>
        <xdr:cNvPr id="2" name="CommandButton1">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83880" y="3627120"/>
          <a:ext cx="1905000" cy="2971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25</xdr:row>
          <xdr:rowOff>15240</xdr:rowOff>
        </xdr:from>
        <xdr:to>
          <xdr:col>2</xdr:col>
          <xdr:colOff>320040</xdr:colOff>
          <xdr:row>26</xdr:row>
          <xdr:rowOff>99060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400-000001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Building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xdr:colOff>
          <xdr:row>18</xdr:row>
          <xdr:rowOff>0</xdr:rowOff>
        </xdr:from>
        <xdr:to>
          <xdr:col>2</xdr:col>
          <xdr:colOff>289560</xdr:colOff>
          <xdr:row>18</xdr:row>
          <xdr:rowOff>243840</xdr:rowOff>
        </xdr:to>
        <xdr:sp macro="" textlink="">
          <xdr:nvSpPr>
            <xdr:cNvPr id="107526" name="btnAddEnergyModel" hidden="1">
              <a:extLst>
                <a:ext uri="{63B3BB69-23CF-44E3-9099-C40C66FF867C}">
                  <a14:compatExt spid="_x0000_s107526"/>
                </a:ext>
                <a:ext uri="{FF2B5EF4-FFF2-40B4-BE49-F238E27FC236}">
                  <a16:creationId xmlns:a16="http://schemas.microsoft.com/office/drawing/2014/main" id="{00000000-0008-0000-0400-000006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548640</xdr:colOff>
          <xdr:row>18</xdr:row>
          <xdr:rowOff>0</xdr:rowOff>
        </xdr:from>
        <xdr:to>
          <xdr:col>3</xdr:col>
          <xdr:colOff>662940</xdr:colOff>
          <xdr:row>18</xdr:row>
          <xdr:rowOff>243840</xdr:rowOff>
        </xdr:to>
        <xdr:sp macro="" textlink="">
          <xdr:nvSpPr>
            <xdr:cNvPr id="107527" name="btnDeleteEnergyModel" hidden="1">
              <a:extLst>
                <a:ext uri="{63B3BB69-23CF-44E3-9099-C40C66FF867C}">
                  <a14:compatExt spid="_x0000_s107527"/>
                </a:ext>
                <a:ext uri="{FF2B5EF4-FFF2-40B4-BE49-F238E27FC236}">
                  <a16:creationId xmlns:a16="http://schemas.microsoft.com/office/drawing/2014/main" id="{00000000-0008-0000-0400-000007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xdr:colOff>
          <xdr:row>11</xdr:row>
          <xdr:rowOff>175260</xdr:rowOff>
        </xdr:from>
        <xdr:to>
          <xdr:col>9</xdr:col>
          <xdr:colOff>624840</xdr:colOff>
          <xdr:row>11</xdr:row>
          <xdr:rowOff>472440</xdr:rowOff>
        </xdr:to>
        <xdr:sp macro="" textlink="">
          <xdr:nvSpPr>
            <xdr:cNvPr id="107531" name="EMSubset_Checkbox" descr="Project is submitting a subset of Energy Models for LEED Documentation. The energy consumption for the other buildings not individually submitted are reported as &quot;Residual Project&quot;" hidden="1">
              <a:extLst>
                <a:ext uri="{63B3BB69-23CF-44E3-9099-C40C66FF867C}">
                  <a14:compatExt spid="_x0000_s107531"/>
                </a:ext>
                <a:ext uri="{FF2B5EF4-FFF2-40B4-BE49-F238E27FC236}">
                  <a16:creationId xmlns:a16="http://schemas.microsoft.com/office/drawing/2014/main" id="{00000000-0008-0000-0400-00000B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Details for a subset of LEED-ND Building energy models is reported here. The results for the remaining project energy models must be summed and reported as "Residual Project".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5</xdr:row>
          <xdr:rowOff>0</xdr:rowOff>
        </xdr:from>
        <xdr:to>
          <xdr:col>9</xdr:col>
          <xdr:colOff>480060</xdr:colOff>
          <xdr:row>5</xdr:row>
          <xdr:rowOff>190500</xdr:rowOff>
        </xdr:to>
        <xdr:sp macro="" textlink="">
          <xdr:nvSpPr>
            <xdr:cNvPr id="107534" name="rb1EnergyModelreporting" hidden="1">
              <a:extLst>
                <a:ext uri="{63B3BB69-23CF-44E3-9099-C40C66FF867C}">
                  <a14:compatExt spid="_x0000_s107534"/>
                </a:ext>
                <a:ext uri="{FF2B5EF4-FFF2-40B4-BE49-F238E27FC236}">
                  <a16:creationId xmlns:a16="http://schemas.microsoft.com/office/drawing/2014/main" id="{00000000-0008-0000-0400-00000E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Model each building in a separate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6</xdr:row>
          <xdr:rowOff>0</xdr:rowOff>
        </xdr:from>
        <xdr:to>
          <xdr:col>9</xdr:col>
          <xdr:colOff>609600</xdr:colOff>
          <xdr:row>6</xdr:row>
          <xdr:rowOff>190500</xdr:rowOff>
        </xdr:to>
        <xdr:sp macro="" textlink="">
          <xdr:nvSpPr>
            <xdr:cNvPr id="107536" name="rb2EnergyModelreporting" hidden="1">
              <a:extLst>
                <a:ext uri="{63B3BB69-23CF-44E3-9099-C40C66FF867C}">
                  <a14:compatExt spid="_x0000_s107536"/>
                </a:ext>
                <a:ext uri="{FF2B5EF4-FFF2-40B4-BE49-F238E27FC236}">
                  <a16:creationId xmlns:a16="http://schemas.microsoft.com/office/drawing/2014/main" id="{00000000-0008-0000-0400-000010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Model all buildings in one combined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7</xdr:row>
          <xdr:rowOff>0</xdr:rowOff>
        </xdr:from>
        <xdr:to>
          <xdr:col>9</xdr:col>
          <xdr:colOff>533400</xdr:colOff>
          <xdr:row>7</xdr:row>
          <xdr:rowOff>228600</xdr:rowOff>
        </xdr:to>
        <xdr:sp macro="" textlink="">
          <xdr:nvSpPr>
            <xdr:cNvPr id="107538" name="rb3EnergyModelreporting" hidden="1">
              <a:extLst>
                <a:ext uri="{63B3BB69-23CF-44E3-9099-C40C66FF867C}">
                  <a14:compatExt spid="_x0000_s107538"/>
                </a:ext>
                <a:ext uri="{FF2B5EF4-FFF2-40B4-BE49-F238E27FC236}">
                  <a16:creationId xmlns:a16="http://schemas.microsoft.com/office/drawing/2014/main" id="{00000000-0008-0000-0400-000012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Model a custom group of buildings per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167640</xdr:colOff>
          <xdr:row>4</xdr:row>
          <xdr:rowOff>281940</xdr:rowOff>
        </xdr:from>
        <xdr:to>
          <xdr:col>9</xdr:col>
          <xdr:colOff>624840</xdr:colOff>
          <xdr:row>8</xdr:row>
          <xdr:rowOff>22860</xdr:rowOff>
        </xdr:to>
        <xdr:sp macro="" textlink="">
          <xdr:nvSpPr>
            <xdr:cNvPr id="107541" name="rbgOutputReporting" hidden="1">
              <a:extLst>
                <a:ext uri="{63B3BB69-23CF-44E3-9099-C40C66FF867C}">
                  <a14:compatExt spid="_x0000_s107541"/>
                </a:ext>
                <a:ext uri="{FF2B5EF4-FFF2-40B4-BE49-F238E27FC236}">
                  <a16:creationId xmlns:a16="http://schemas.microsoft.com/office/drawing/2014/main" id="{00000000-0008-0000-0400-000015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510540</xdr:colOff>
          <xdr:row>25</xdr:row>
          <xdr:rowOff>0</xdr:rowOff>
        </xdr:from>
        <xdr:to>
          <xdr:col>3</xdr:col>
          <xdr:colOff>662940</xdr:colOff>
          <xdr:row>26</xdr:row>
          <xdr:rowOff>99060</xdr:rowOff>
        </xdr:to>
        <xdr:sp macro="" textlink="">
          <xdr:nvSpPr>
            <xdr:cNvPr id="107542" name="Button 22" hidden="1">
              <a:extLst>
                <a:ext uri="{63B3BB69-23CF-44E3-9099-C40C66FF867C}">
                  <a14:compatExt spid="_x0000_s107542"/>
                </a:ext>
                <a:ext uri="{FF2B5EF4-FFF2-40B4-BE49-F238E27FC236}">
                  <a16:creationId xmlns:a16="http://schemas.microsoft.com/office/drawing/2014/main" id="{00000000-0008-0000-0400-000016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Building</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119</xdr:row>
          <xdr:rowOff>0</xdr:rowOff>
        </xdr:from>
        <xdr:to>
          <xdr:col>1</xdr:col>
          <xdr:colOff>1386840</xdr:colOff>
          <xdr:row>120</xdr:row>
          <xdr:rowOff>91440</xdr:rowOff>
        </xdr:to>
        <xdr:sp macro="" textlink="">
          <xdr:nvSpPr>
            <xdr:cNvPr id="96263" name="Button 7" hidden="1">
              <a:extLst>
                <a:ext uri="{63B3BB69-23CF-44E3-9099-C40C66FF867C}">
                  <a14:compatExt spid="_x0000_s96263"/>
                </a:ext>
                <a:ext uri="{FF2B5EF4-FFF2-40B4-BE49-F238E27FC236}">
                  <a16:creationId xmlns:a16="http://schemas.microsoft.com/office/drawing/2014/main" id="{00000000-0008-0000-0600-000007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403860</xdr:colOff>
          <xdr:row>119</xdr:row>
          <xdr:rowOff>0</xdr:rowOff>
        </xdr:from>
        <xdr:to>
          <xdr:col>2</xdr:col>
          <xdr:colOff>1737360</xdr:colOff>
          <xdr:row>120</xdr:row>
          <xdr:rowOff>91440</xdr:rowOff>
        </xdr:to>
        <xdr:sp macro="" textlink="">
          <xdr:nvSpPr>
            <xdr:cNvPr id="96265" name="Button 9" hidden="1">
              <a:extLst>
                <a:ext uri="{63B3BB69-23CF-44E3-9099-C40C66FF867C}">
                  <a14:compatExt spid="_x0000_s96265"/>
                </a:ext>
                <a:ext uri="{FF2B5EF4-FFF2-40B4-BE49-F238E27FC236}">
                  <a16:creationId xmlns:a16="http://schemas.microsoft.com/office/drawing/2014/main" id="{00000000-0008-0000-0600-000009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28</xdr:row>
          <xdr:rowOff>53340</xdr:rowOff>
        </xdr:from>
        <xdr:to>
          <xdr:col>2</xdr:col>
          <xdr:colOff>381000</xdr:colOff>
          <xdr:row>28</xdr:row>
          <xdr:rowOff>320040</xdr:rowOff>
        </xdr:to>
        <xdr:sp macro="" textlink="">
          <xdr:nvSpPr>
            <xdr:cNvPr id="169987" name="btnEFLH_On_Off_Abbreviated" hidden="1">
              <a:extLst>
                <a:ext uri="{63B3BB69-23CF-44E3-9099-C40C66FF867C}">
                  <a14:compatExt spid="_x0000_s169987"/>
                </a:ext>
                <a:ext uri="{FF2B5EF4-FFF2-40B4-BE49-F238E27FC236}">
                  <a16:creationId xmlns:a16="http://schemas.microsoft.com/office/drawing/2014/main" id="{00000000-0008-0000-0700-000003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53</xdr:row>
          <xdr:rowOff>60960</xdr:rowOff>
        </xdr:from>
        <xdr:to>
          <xdr:col>2</xdr:col>
          <xdr:colOff>304800</xdr:colOff>
          <xdr:row>53</xdr:row>
          <xdr:rowOff>327660</xdr:rowOff>
        </xdr:to>
        <xdr:sp macro="" textlink="">
          <xdr:nvSpPr>
            <xdr:cNvPr id="169988" name="btnEFLH_On_Off_Detailed" hidden="1">
              <a:extLst>
                <a:ext uri="{63B3BB69-23CF-44E3-9099-C40C66FF867C}">
                  <a14:compatExt spid="_x0000_s169988"/>
                </a:ext>
                <a:ext uri="{FF2B5EF4-FFF2-40B4-BE49-F238E27FC236}">
                  <a16:creationId xmlns:a16="http://schemas.microsoft.com/office/drawing/2014/main" id="{00000000-0008-0000-0700-000004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67</xdr:row>
          <xdr:rowOff>53340</xdr:rowOff>
        </xdr:from>
        <xdr:to>
          <xdr:col>2</xdr:col>
          <xdr:colOff>327660</xdr:colOff>
          <xdr:row>67</xdr:row>
          <xdr:rowOff>320040</xdr:rowOff>
        </xdr:to>
        <xdr:sp macro="" textlink="">
          <xdr:nvSpPr>
            <xdr:cNvPr id="169990" name="btnEFLH_Fraction_Abbreviated" hidden="1">
              <a:extLst>
                <a:ext uri="{63B3BB69-23CF-44E3-9099-C40C66FF867C}">
                  <a14:compatExt spid="_x0000_s169990"/>
                </a:ext>
                <a:ext uri="{FF2B5EF4-FFF2-40B4-BE49-F238E27FC236}">
                  <a16:creationId xmlns:a16="http://schemas.microsoft.com/office/drawing/2014/main" id="{00000000-0008-0000-0700-000006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110</xdr:row>
          <xdr:rowOff>22860</xdr:rowOff>
        </xdr:from>
        <xdr:to>
          <xdr:col>2</xdr:col>
          <xdr:colOff>289560</xdr:colOff>
          <xdr:row>110</xdr:row>
          <xdr:rowOff>304800</xdr:rowOff>
        </xdr:to>
        <xdr:sp macro="" textlink="">
          <xdr:nvSpPr>
            <xdr:cNvPr id="169991" name="btnEFLH_Fraction_Detailed" hidden="1">
              <a:extLst>
                <a:ext uri="{63B3BB69-23CF-44E3-9099-C40C66FF867C}">
                  <a14:compatExt spid="_x0000_s169991"/>
                </a:ext>
                <a:ext uri="{FF2B5EF4-FFF2-40B4-BE49-F238E27FC236}">
                  <a16:creationId xmlns:a16="http://schemas.microsoft.com/office/drawing/2014/main" id="{00000000-0008-0000-0700-000007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36</xdr:row>
          <xdr:rowOff>175260</xdr:rowOff>
        </xdr:from>
        <xdr:to>
          <xdr:col>2</xdr:col>
          <xdr:colOff>556260</xdr:colOff>
          <xdr:row>38</xdr:row>
          <xdr:rowOff>38100</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800-000003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632460</xdr:colOff>
          <xdr:row>36</xdr:row>
          <xdr:rowOff>175260</xdr:rowOff>
        </xdr:from>
        <xdr:to>
          <xdr:col>3</xdr:col>
          <xdr:colOff>320040</xdr:colOff>
          <xdr:row>38</xdr:row>
          <xdr:rowOff>38100</xdr:rowOff>
        </xdr:to>
        <xdr:sp macro="" textlink="">
          <xdr:nvSpPr>
            <xdr:cNvPr id="120837" name="Button 5" hidden="1">
              <a:extLst>
                <a:ext uri="{63B3BB69-23CF-44E3-9099-C40C66FF867C}">
                  <a14:compatExt spid="_x0000_s120837"/>
                </a:ext>
                <a:ext uri="{FF2B5EF4-FFF2-40B4-BE49-F238E27FC236}">
                  <a16:creationId xmlns:a16="http://schemas.microsoft.com/office/drawing/2014/main" id="{00000000-0008-0000-0800-000005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63</xdr:row>
          <xdr:rowOff>91440</xdr:rowOff>
        </xdr:from>
        <xdr:to>
          <xdr:col>2</xdr:col>
          <xdr:colOff>556260</xdr:colOff>
          <xdr:row>64</xdr:row>
          <xdr:rowOff>137160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800-000007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632460</xdr:colOff>
          <xdr:row>63</xdr:row>
          <xdr:rowOff>91440</xdr:rowOff>
        </xdr:from>
        <xdr:to>
          <xdr:col>3</xdr:col>
          <xdr:colOff>320040</xdr:colOff>
          <xdr:row>64</xdr:row>
          <xdr:rowOff>137160</xdr:rowOff>
        </xdr:to>
        <xdr:sp macro="" textlink="">
          <xdr:nvSpPr>
            <xdr:cNvPr id="120840" name="Button 8" hidden="1">
              <a:extLst>
                <a:ext uri="{63B3BB69-23CF-44E3-9099-C40C66FF867C}">
                  <a14:compatExt spid="_x0000_s120840"/>
                </a:ext>
                <a:ext uri="{FF2B5EF4-FFF2-40B4-BE49-F238E27FC236}">
                  <a16:creationId xmlns:a16="http://schemas.microsoft.com/office/drawing/2014/main" id="{00000000-0008-0000-0800-000008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76</xdr:row>
          <xdr:rowOff>91440</xdr:rowOff>
        </xdr:from>
        <xdr:to>
          <xdr:col>2</xdr:col>
          <xdr:colOff>556260</xdr:colOff>
          <xdr:row>77</xdr:row>
          <xdr:rowOff>137160</xdr:rowOff>
        </xdr:to>
        <xdr:sp macro="" textlink="">
          <xdr:nvSpPr>
            <xdr:cNvPr id="120841" name="Button 9" hidden="1">
              <a:extLst>
                <a:ext uri="{63B3BB69-23CF-44E3-9099-C40C66FF867C}">
                  <a14:compatExt spid="_x0000_s120841"/>
                </a:ext>
                <a:ext uri="{FF2B5EF4-FFF2-40B4-BE49-F238E27FC236}">
                  <a16:creationId xmlns:a16="http://schemas.microsoft.com/office/drawing/2014/main" id="{00000000-0008-0000-0800-000009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632460</xdr:colOff>
          <xdr:row>76</xdr:row>
          <xdr:rowOff>91440</xdr:rowOff>
        </xdr:from>
        <xdr:to>
          <xdr:col>3</xdr:col>
          <xdr:colOff>327660</xdr:colOff>
          <xdr:row>77</xdr:row>
          <xdr:rowOff>137160</xdr:rowOff>
        </xdr:to>
        <xdr:sp macro="" textlink="">
          <xdr:nvSpPr>
            <xdr:cNvPr id="120842" name="Button 10" hidden="1">
              <a:extLst>
                <a:ext uri="{63B3BB69-23CF-44E3-9099-C40C66FF867C}">
                  <a14:compatExt spid="_x0000_s120842"/>
                </a:ext>
                <a:ext uri="{FF2B5EF4-FFF2-40B4-BE49-F238E27FC236}">
                  <a16:creationId xmlns:a16="http://schemas.microsoft.com/office/drawing/2014/main" id="{00000000-0008-0000-0800-00000A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 Row</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70</xdr:row>
          <xdr:rowOff>175260</xdr:rowOff>
        </xdr:from>
        <xdr:to>
          <xdr:col>2</xdr:col>
          <xdr:colOff>213360</xdr:colOff>
          <xdr:row>70</xdr:row>
          <xdr:rowOff>441960</xdr:rowOff>
        </xdr:to>
        <xdr:sp macro="" textlink="">
          <xdr:nvSpPr>
            <xdr:cNvPr id="55319" name="Button 23" hidden="1">
              <a:extLst>
                <a:ext uri="{63B3BB69-23CF-44E3-9099-C40C66FF867C}">
                  <a14:compatExt spid="_x0000_s55319"/>
                </a:ext>
                <a:ext uri="{FF2B5EF4-FFF2-40B4-BE49-F238E27FC236}">
                  <a16:creationId xmlns:a16="http://schemas.microsoft.com/office/drawing/2014/main" id="{00000000-0008-0000-0900-000017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79</xdr:row>
          <xdr:rowOff>152400</xdr:rowOff>
        </xdr:from>
        <xdr:to>
          <xdr:col>2</xdr:col>
          <xdr:colOff>213360</xdr:colOff>
          <xdr:row>79</xdr:row>
          <xdr:rowOff>441960</xdr:rowOff>
        </xdr:to>
        <xdr:sp macro="" textlink="">
          <xdr:nvSpPr>
            <xdr:cNvPr id="55320" name="Button 24" hidden="1">
              <a:extLst>
                <a:ext uri="{63B3BB69-23CF-44E3-9099-C40C66FF867C}">
                  <a14:compatExt spid="_x0000_s55320"/>
                </a:ext>
                <a:ext uri="{FF2B5EF4-FFF2-40B4-BE49-F238E27FC236}">
                  <a16:creationId xmlns:a16="http://schemas.microsoft.com/office/drawing/2014/main" id="{00000000-0008-0000-0900-000018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472440</xdr:colOff>
          <xdr:row>70</xdr:row>
          <xdr:rowOff>167640</xdr:rowOff>
        </xdr:from>
        <xdr:to>
          <xdr:col>3</xdr:col>
          <xdr:colOff>708660</xdr:colOff>
          <xdr:row>70</xdr:row>
          <xdr:rowOff>441960</xdr:rowOff>
        </xdr:to>
        <xdr:sp macro="" textlink="">
          <xdr:nvSpPr>
            <xdr:cNvPr id="55339" name="Button 43" hidden="1">
              <a:extLst>
                <a:ext uri="{63B3BB69-23CF-44E3-9099-C40C66FF867C}">
                  <a14:compatExt spid="_x0000_s55339"/>
                </a:ext>
                <a:ext uri="{FF2B5EF4-FFF2-40B4-BE49-F238E27FC236}">
                  <a16:creationId xmlns:a16="http://schemas.microsoft.com/office/drawing/2014/main" id="{00000000-0008-0000-0900-00002B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79</xdr:row>
          <xdr:rowOff>152400</xdr:rowOff>
        </xdr:from>
        <xdr:to>
          <xdr:col>3</xdr:col>
          <xdr:colOff>708660</xdr:colOff>
          <xdr:row>79</xdr:row>
          <xdr:rowOff>419100</xdr:rowOff>
        </xdr:to>
        <xdr:sp macro="" textlink="">
          <xdr:nvSpPr>
            <xdr:cNvPr id="55340" name="Button 44" hidden="1">
              <a:extLst>
                <a:ext uri="{63B3BB69-23CF-44E3-9099-C40C66FF867C}">
                  <a14:compatExt spid="_x0000_s55340"/>
                </a:ext>
                <a:ext uri="{FF2B5EF4-FFF2-40B4-BE49-F238E27FC236}">
                  <a16:creationId xmlns:a16="http://schemas.microsoft.com/office/drawing/2014/main" id="{00000000-0008-0000-0900-00002C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114300</xdr:colOff>
          <xdr:row>70</xdr:row>
          <xdr:rowOff>167640</xdr:rowOff>
        </xdr:from>
        <xdr:to>
          <xdr:col>21</xdr:col>
          <xdr:colOff>190500</xdr:colOff>
          <xdr:row>70</xdr:row>
          <xdr:rowOff>441960</xdr:rowOff>
        </xdr:to>
        <xdr:sp macro="" textlink="">
          <xdr:nvSpPr>
            <xdr:cNvPr id="55342" name="Button 46" hidden="1">
              <a:extLst>
                <a:ext uri="{63B3BB69-23CF-44E3-9099-C40C66FF867C}">
                  <a14:compatExt spid="_x0000_s55342"/>
                </a:ext>
                <a:ext uri="{FF2B5EF4-FFF2-40B4-BE49-F238E27FC236}">
                  <a16:creationId xmlns:a16="http://schemas.microsoft.com/office/drawing/2014/main" id="{00000000-0008-0000-0900-00002E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472440</xdr:colOff>
          <xdr:row>79</xdr:row>
          <xdr:rowOff>152400</xdr:rowOff>
        </xdr:from>
        <xdr:to>
          <xdr:col>20</xdr:col>
          <xdr:colOff>396240</xdr:colOff>
          <xdr:row>79</xdr:row>
          <xdr:rowOff>419100</xdr:rowOff>
        </xdr:to>
        <xdr:sp macro="" textlink="">
          <xdr:nvSpPr>
            <xdr:cNvPr id="55343" name="Button 47" hidden="1">
              <a:extLst>
                <a:ext uri="{63B3BB69-23CF-44E3-9099-C40C66FF867C}">
                  <a14:compatExt spid="_x0000_s55343"/>
                </a:ext>
                <a:ext uri="{FF2B5EF4-FFF2-40B4-BE49-F238E27FC236}">
                  <a16:creationId xmlns:a16="http://schemas.microsoft.com/office/drawing/2014/main" id="{00000000-0008-0000-0900-00002F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50</xdr:row>
          <xdr:rowOff>175260</xdr:rowOff>
        </xdr:from>
        <xdr:to>
          <xdr:col>3</xdr:col>
          <xdr:colOff>762000</xdr:colOff>
          <xdr:row>50</xdr:row>
          <xdr:rowOff>441960</xdr:rowOff>
        </xdr:to>
        <xdr:sp macro="" textlink="">
          <xdr:nvSpPr>
            <xdr:cNvPr id="55344" name="Button 48" hidden="1">
              <a:extLst>
                <a:ext uri="{63B3BB69-23CF-44E3-9099-C40C66FF867C}">
                  <a14:compatExt spid="_x0000_s55344"/>
                </a:ext>
                <a:ext uri="{FF2B5EF4-FFF2-40B4-BE49-F238E27FC236}">
                  <a16:creationId xmlns:a16="http://schemas.microsoft.com/office/drawing/2014/main" id="{00000000-0008-0000-0900-000030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175260</xdr:rowOff>
        </xdr:from>
        <xdr:to>
          <xdr:col>2</xdr:col>
          <xdr:colOff>213360</xdr:colOff>
          <xdr:row>50</xdr:row>
          <xdr:rowOff>441960</xdr:rowOff>
        </xdr:to>
        <xdr:sp macro="" textlink="">
          <xdr:nvSpPr>
            <xdr:cNvPr id="55345" name="Button 49" hidden="1">
              <a:extLst>
                <a:ext uri="{63B3BB69-23CF-44E3-9099-C40C66FF867C}">
                  <a14:compatExt spid="_x0000_s55345"/>
                </a:ext>
                <a:ext uri="{FF2B5EF4-FFF2-40B4-BE49-F238E27FC236}">
                  <a16:creationId xmlns:a16="http://schemas.microsoft.com/office/drawing/2014/main" id="{00000000-0008-0000-0900-000031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152400</xdr:colOff>
          <xdr:row>54</xdr:row>
          <xdr:rowOff>175260</xdr:rowOff>
        </xdr:from>
        <xdr:to>
          <xdr:col>2</xdr:col>
          <xdr:colOff>251460</xdr:colOff>
          <xdr:row>55</xdr:row>
          <xdr:rowOff>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A00-000005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64</xdr:row>
          <xdr:rowOff>137160</xdr:rowOff>
        </xdr:from>
        <xdr:to>
          <xdr:col>2</xdr:col>
          <xdr:colOff>289560</xdr:colOff>
          <xdr:row>64</xdr:row>
          <xdr:rowOff>403860</xdr:rowOff>
        </xdr:to>
        <xdr:sp macro="" textlink="">
          <xdr:nvSpPr>
            <xdr:cNvPr id="20525" name="Button 45" hidden="1">
              <a:extLst>
                <a:ext uri="{63B3BB69-23CF-44E3-9099-C40C66FF867C}">
                  <a14:compatExt spid="_x0000_s20525"/>
                </a:ext>
                <a:ext uri="{FF2B5EF4-FFF2-40B4-BE49-F238E27FC236}">
                  <a16:creationId xmlns:a16="http://schemas.microsoft.com/office/drawing/2014/main" id="{00000000-0008-0000-0A00-00002D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74</xdr:row>
          <xdr:rowOff>137160</xdr:rowOff>
        </xdr:from>
        <xdr:to>
          <xdr:col>2</xdr:col>
          <xdr:colOff>289560</xdr:colOff>
          <xdr:row>74</xdr:row>
          <xdr:rowOff>403860</xdr:rowOff>
        </xdr:to>
        <xdr:sp macro="" textlink="">
          <xdr:nvSpPr>
            <xdr:cNvPr id="20526" name="Button 46" hidden="1">
              <a:extLst>
                <a:ext uri="{63B3BB69-23CF-44E3-9099-C40C66FF867C}">
                  <a14:compatExt spid="_x0000_s20526"/>
                </a:ext>
                <a:ext uri="{FF2B5EF4-FFF2-40B4-BE49-F238E27FC236}">
                  <a16:creationId xmlns:a16="http://schemas.microsoft.com/office/drawing/2014/main" id="{00000000-0008-0000-0A00-00002E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84</xdr:row>
          <xdr:rowOff>137160</xdr:rowOff>
        </xdr:from>
        <xdr:to>
          <xdr:col>2</xdr:col>
          <xdr:colOff>281940</xdr:colOff>
          <xdr:row>84</xdr:row>
          <xdr:rowOff>403860</xdr:rowOff>
        </xdr:to>
        <xdr:sp macro="" textlink="">
          <xdr:nvSpPr>
            <xdr:cNvPr id="20527" name="Button 47" hidden="1">
              <a:extLst>
                <a:ext uri="{63B3BB69-23CF-44E3-9099-C40C66FF867C}">
                  <a14:compatExt spid="_x0000_s20527"/>
                </a:ext>
                <a:ext uri="{FF2B5EF4-FFF2-40B4-BE49-F238E27FC236}">
                  <a16:creationId xmlns:a16="http://schemas.microsoft.com/office/drawing/2014/main" id="{00000000-0008-0000-0A00-00002F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94</xdr:row>
          <xdr:rowOff>137160</xdr:rowOff>
        </xdr:from>
        <xdr:to>
          <xdr:col>2</xdr:col>
          <xdr:colOff>281940</xdr:colOff>
          <xdr:row>94</xdr:row>
          <xdr:rowOff>403860</xdr:rowOff>
        </xdr:to>
        <xdr:sp macro="" textlink="">
          <xdr:nvSpPr>
            <xdr:cNvPr id="20529" name="Button 49" hidden="1">
              <a:extLst>
                <a:ext uri="{63B3BB69-23CF-44E3-9099-C40C66FF867C}">
                  <a14:compatExt spid="_x0000_s20529"/>
                </a:ext>
                <a:ext uri="{FF2B5EF4-FFF2-40B4-BE49-F238E27FC236}">
                  <a16:creationId xmlns:a16="http://schemas.microsoft.com/office/drawing/2014/main" id="{00000000-0008-0000-0A00-00003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104</xdr:row>
          <xdr:rowOff>99060</xdr:rowOff>
        </xdr:from>
        <xdr:to>
          <xdr:col>2</xdr:col>
          <xdr:colOff>251460</xdr:colOff>
          <xdr:row>104</xdr:row>
          <xdr:rowOff>381000</xdr:rowOff>
        </xdr:to>
        <xdr:sp macro="" textlink="">
          <xdr:nvSpPr>
            <xdr:cNvPr id="20530" name="Button 50" hidden="1">
              <a:extLst>
                <a:ext uri="{63B3BB69-23CF-44E3-9099-C40C66FF867C}">
                  <a14:compatExt spid="_x0000_s20530"/>
                </a:ext>
                <a:ext uri="{FF2B5EF4-FFF2-40B4-BE49-F238E27FC236}">
                  <a16:creationId xmlns:a16="http://schemas.microsoft.com/office/drawing/2014/main" id="{00000000-0008-0000-0A00-000032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434340</xdr:colOff>
          <xdr:row>54</xdr:row>
          <xdr:rowOff>175260</xdr:rowOff>
        </xdr:from>
        <xdr:to>
          <xdr:col>3</xdr:col>
          <xdr:colOff>822960</xdr:colOff>
          <xdr:row>55</xdr:row>
          <xdr:rowOff>0</xdr:rowOff>
        </xdr:to>
        <xdr:sp macro="" textlink="">
          <xdr:nvSpPr>
            <xdr:cNvPr id="20560" name="Button 80" hidden="1">
              <a:extLst>
                <a:ext uri="{63B3BB69-23CF-44E3-9099-C40C66FF867C}">
                  <a14:compatExt spid="_x0000_s20560"/>
                </a:ext>
                <a:ext uri="{FF2B5EF4-FFF2-40B4-BE49-F238E27FC236}">
                  <a16:creationId xmlns:a16="http://schemas.microsoft.com/office/drawing/2014/main" id="{00000000-0008-0000-0A00-000050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64</xdr:row>
          <xdr:rowOff>137160</xdr:rowOff>
        </xdr:from>
        <xdr:to>
          <xdr:col>3</xdr:col>
          <xdr:colOff>899160</xdr:colOff>
          <xdr:row>64</xdr:row>
          <xdr:rowOff>403860</xdr:rowOff>
        </xdr:to>
        <xdr:sp macro="" textlink="">
          <xdr:nvSpPr>
            <xdr:cNvPr id="20561" name="Button 81" hidden="1">
              <a:extLst>
                <a:ext uri="{63B3BB69-23CF-44E3-9099-C40C66FF867C}">
                  <a14:compatExt spid="_x0000_s20561"/>
                </a:ext>
                <a:ext uri="{FF2B5EF4-FFF2-40B4-BE49-F238E27FC236}">
                  <a16:creationId xmlns:a16="http://schemas.microsoft.com/office/drawing/2014/main" id="{00000000-0008-0000-0A00-00005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74</xdr:row>
          <xdr:rowOff>137160</xdr:rowOff>
        </xdr:from>
        <xdr:to>
          <xdr:col>3</xdr:col>
          <xdr:colOff>899160</xdr:colOff>
          <xdr:row>74</xdr:row>
          <xdr:rowOff>403860</xdr:rowOff>
        </xdr:to>
        <xdr:sp macro="" textlink="">
          <xdr:nvSpPr>
            <xdr:cNvPr id="20562" name="Button 82" hidden="1">
              <a:extLst>
                <a:ext uri="{63B3BB69-23CF-44E3-9099-C40C66FF867C}">
                  <a14:compatExt spid="_x0000_s20562"/>
                </a:ext>
                <a:ext uri="{FF2B5EF4-FFF2-40B4-BE49-F238E27FC236}">
                  <a16:creationId xmlns:a16="http://schemas.microsoft.com/office/drawing/2014/main" id="{00000000-0008-0000-0A00-000052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84</xdr:row>
          <xdr:rowOff>137160</xdr:rowOff>
        </xdr:from>
        <xdr:to>
          <xdr:col>3</xdr:col>
          <xdr:colOff>876300</xdr:colOff>
          <xdr:row>84</xdr:row>
          <xdr:rowOff>403860</xdr:rowOff>
        </xdr:to>
        <xdr:sp macro="" textlink="">
          <xdr:nvSpPr>
            <xdr:cNvPr id="20563" name="Button 83" hidden="1">
              <a:extLst>
                <a:ext uri="{63B3BB69-23CF-44E3-9099-C40C66FF867C}">
                  <a14:compatExt spid="_x0000_s20563"/>
                </a:ext>
                <a:ext uri="{FF2B5EF4-FFF2-40B4-BE49-F238E27FC236}">
                  <a16:creationId xmlns:a16="http://schemas.microsoft.com/office/drawing/2014/main" id="{00000000-0008-0000-0A00-00005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94</xdr:row>
          <xdr:rowOff>137160</xdr:rowOff>
        </xdr:from>
        <xdr:to>
          <xdr:col>3</xdr:col>
          <xdr:colOff>876300</xdr:colOff>
          <xdr:row>94</xdr:row>
          <xdr:rowOff>403860</xdr:rowOff>
        </xdr:to>
        <xdr:sp macro="" textlink="">
          <xdr:nvSpPr>
            <xdr:cNvPr id="20564" name="Button 84" hidden="1">
              <a:extLst>
                <a:ext uri="{63B3BB69-23CF-44E3-9099-C40C66FF867C}">
                  <a14:compatExt spid="_x0000_s20564"/>
                </a:ext>
                <a:ext uri="{FF2B5EF4-FFF2-40B4-BE49-F238E27FC236}">
                  <a16:creationId xmlns:a16="http://schemas.microsoft.com/office/drawing/2014/main" id="{00000000-0008-0000-0A00-000054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441960</xdr:colOff>
          <xdr:row>104</xdr:row>
          <xdr:rowOff>114300</xdr:rowOff>
        </xdr:from>
        <xdr:to>
          <xdr:col>3</xdr:col>
          <xdr:colOff>838200</xdr:colOff>
          <xdr:row>104</xdr:row>
          <xdr:rowOff>381000</xdr:rowOff>
        </xdr:to>
        <xdr:sp macro="" textlink="">
          <xdr:nvSpPr>
            <xdr:cNvPr id="20565" name="Button 85" hidden="1">
              <a:extLst>
                <a:ext uri="{63B3BB69-23CF-44E3-9099-C40C66FF867C}">
                  <a14:compatExt spid="_x0000_s20565"/>
                </a:ext>
                <a:ext uri="{FF2B5EF4-FFF2-40B4-BE49-F238E27FC236}">
                  <a16:creationId xmlns:a16="http://schemas.microsoft.com/office/drawing/2014/main" id="{00000000-0008-0000-0A00-000055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434340</xdr:colOff>
          <xdr:row>54</xdr:row>
          <xdr:rowOff>175260</xdr:rowOff>
        </xdr:from>
        <xdr:to>
          <xdr:col>22</xdr:col>
          <xdr:colOff>320040</xdr:colOff>
          <xdr:row>55</xdr:row>
          <xdr:rowOff>0</xdr:rowOff>
        </xdr:to>
        <xdr:sp macro="" textlink="">
          <xdr:nvSpPr>
            <xdr:cNvPr id="20567" name="Button 87" hidden="1">
              <a:extLst>
                <a:ext uri="{63B3BB69-23CF-44E3-9099-C40C66FF867C}">
                  <a14:compatExt spid="_x0000_s20567"/>
                </a:ext>
                <a:ext uri="{FF2B5EF4-FFF2-40B4-BE49-F238E27FC236}">
                  <a16:creationId xmlns:a16="http://schemas.microsoft.com/office/drawing/2014/main" id="{00000000-0008-0000-0A00-000057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64</xdr:row>
          <xdr:rowOff>137160</xdr:rowOff>
        </xdr:from>
        <xdr:to>
          <xdr:col>22</xdr:col>
          <xdr:colOff>53340</xdr:colOff>
          <xdr:row>64</xdr:row>
          <xdr:rowOff>403860</xdr:rowOff>
        </xdr:to>
        <xdr:sp macro="" textlink="">
          <xdr:nvSpPr>
            <xdr:cNvPr id="20570" name="Button 90" hidden="1">
              <a:extLst>
                <a:ext uri="{63B3BB69-23CF-44E3-9099-C40C66FF867C}">
                  <a14:compatExt spid="_x0000_s20570"/>
                </a:ext>
                <a:ext uri="{FF2B5EF4-FFF2-40B4-BE49-F238E27FC236}">
                  <a16:creationId xmlns:a16="http://schemas.microsoft.com/office/drawing/2014/main" id="{00000000-0008-0000-0A00-00005A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518160</xdr:colOff>
          <xdr:row>74</xdr:row>
          <xdr:rowOff>137160</xdr:rowOff>
        </xdr:from>
        <xdr:to>
          <xdr:col>22</xdr:col>
          <xdr:colOff>457200</xdr:colOff>
          <xdr:row>74</xdr:row>
          <xdr:rowOff>403860</xdr:rowOff>
        </xdr:to>
        <xdr:sp macro="" textlink="">
          <xdr:nvSpPr>
            <xdr:cNvPr id="20572" name="Button 92" hidden="1">
              <a:extLst>
                <a:ext uri="{63B3BB69-23CF-44E3-9099-C40C66FF867C}">
                  <a14:compatExt spid="_x0000_s20572"/>
                </a:ext>
                <a:ext uri="{FF2B5EF4-FFF2-40B4-BE49-F238E27FC236}">
                  <a16:creationId xmlns:a16="http://schemas.microsoft.com/office/drawing/2014/main" id="{00000000-0008-0000-0A00-00005C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152400</xdr:colOff>
          <xdr:row>84</xdr:row>
          <xdr:rowOff>137160</xdr:rowOff>
        </xdr:from>
        <xdr:to>
          <xdr:col>23</xdr:col>
          <xdr:colOff>213360</xdr:colOff>
          <xdr:row>84</xdr:row>
          <xdr:rowOff>403860</xdr:rowOff>
        </xdr:to>
        <xdr:sp macro="" textlink="">
          <xdr:nvSpPr>
            <xdr:cNvPr id="20573" name="Button 93" hidden="1">
              <a:extLst>
                <a:ext uri="{63B3BB69-23CF-44E3-9099-C40C66FF867C}">
                  <a14:compatExt spid="_x0000_s20573"/>
                </a:ext>
                <a:ext uri="{FF2B5EF4-FFF2-40B4-BE49-F238E27FC236}">
                  <a16:creationId xmlns:a16="http://schemas.microsoft.com/office/drawing/2014/main" id="{00000000-0008-0000-0A00-00005D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381000</xdr:colOff>
          <xdr:row>94</xdr:row>
          <xdr:rowOff>137160</xdr:rowOff>
        </xdr:from>
        <xdr:to>
          <xdr:col>22</xdr:col>
          <xdr:colOff>320040</xdr:colOff>
          <xdr:row>94</xdr:row>
          <xdr:rowOff>403860</xdr:rowOff>
        </xdr:to>
        <xdr:sp macro="" textlink="">
          <xdr:nvSpPr>
            <xdr:cNvPr id="20575" name="Button 95" hidden="1">
              <a:extLst>
                <a:ext uri="{63B3BB69-23CF-44E3-9099-C40C66FF867C}">
                  <a14:compatExt spid="_x0000_s20575"/>
                </a:ext>
                <a:ext uri="{FF2B5EF4-FFF2-40B4-BE49-F238E27FC236}">
                  <a16:creationId xmlns:a16="http://schemas.microsoft.com/office/drawing/2014/main" id="{00000000-0008-0000-0A00-00005F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190500</xdr:colOff>
          <xdr:row>104</xdr:row>
          <xdr:rowOff>114300</xdr:rowOff>
        </xdr:from>
        <xdr:to>
          <xdr:col>22</xdr:col>
          <xdr:colOff>129540</xdr:colOff>
          <xdr:row>104</xdr:row>
          <xdr:rowOff>381000</xdr:rowOff>
        </xdr:to>
        <xdr:sp macro="" textlink="">
          <xdr:nvSpPr>
            <xdr:cNvPr id="20576" name="Button 96" hidden="1">
              <a:extLst>
                <a:ext uri="{63B3BB69-23CF-44E3-9099-C40C66FF867C}">
                  <a14:compatExt spid="_x0000_s20576"/>
                </a:ext>
                <a:ext uri="{FF2B5EF4-FFF2-40B4-BE49-F238E27FC236}">
                  <a16:creationId xmlns:a16="http://schemas.microsoft.com/office/drawing/2014/main" id="{00000000-0008-0000-0A00-000060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96</xdr:col>
          <xdr:colOff>137160</xdr:colOff>
          <xdr:row>21</xdr:row>
          <xdr:rowOff>0</xdr:rowOff>
        </xdr:from>
        <xdr:to>
          <xdr:col>96</xdr:col>
          <xdr:colOff>990600</xdr:colOff>
          <xdr:row>22</xdr:row>
          <xdr:rowOff>53340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F00-000001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Column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480060</xdr:colOff>
          <xdr:row>60</xdr:row>
          <xdr:rowOff>22860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1000-000003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150</xdr:row>
          <xdr:rowOff>114300</xdr:rowOff>
        </xdr:from>
        <xdr:to>
          <xdr:col>2</xdr:col>
          <xdr:colOff>510540</xdr:colOff>
          <xdr:row>150</xdr:row>
          <xdr:rowOff>403860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1000-000020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594360</xdr:colOff>
          <xdr:row>150</xdr:row>
          <xdr:rowOff>129540</xdr:rowOff>
        </xdr:from>
        <xdr:to>
          <xdr:col>4</xdr:col>
          <xdr:colOff>137160</xdr:colOff>
          <xdr:row>150</xdr:row>
          <xdr:rowOff>403860</xdr:rowOff>
        </xdr:to>
        <xdr:sp macro="" textlink="">
          <xdr:nvSpPr>
            <xdr:cNvPr id="5374" name="Button 254" hidden="1">
              <a:extLst>
                <a:ext uri="{63B3BB69-23CF-44E3-9099-C40C66FF867C}">
                  <a14:compatExt spid="_x0000_s5374"/>
                </a:ext>
                <a:ext uri="{FF2B5EF4-FFF2-40B4-BE49-F238E27FC236}">
                  <a16:creationId xmlns:a16="http://schemas.microsoft.com/office/drawing/2014/main" id="{00000000-0008-0000-1000-0000FE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40</xdr:row>
          <xdr:rowOff>0</xdr:rowOff>
        </xdr:from>
        <xdr:to>
          <xdr:col>4</xdr:col>
          <xdr:colOff>53340</xdr:colOff>
          <xdr:row>60</xdr:row>
          <xdr:rowOff>22860</xdr:rowOff>
        </xdr:to>
        <xdr:sp macro="" textlink="">
          <xdr:nvSpPr>
            <xdr:cNvPr id="5375" name="Button 255" hidden="1">
              <a:extLst>
                <a:ext uri="{63B3BB69-23CF-44E3-9099-C40C66FF867C}">
                  <a14:compatExt spid="_x0000_s5375"/>
                </a:ext>
                <a:ext uri="{FF2B5EF4-FFF2-40B4-BE49-F238E27FC236}">
                  <a16:creationId xmlns:a16="http://schemas.microsoft.com/office/drawing/2014/main" id="{00000000-0008-0000-1000-0000FF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40</xdr:row>
          <xdr:rowOff>0</xdr:rowOff>
        </xdr:from>
        <xdr:to>
          <xdr:col>4</xdr:col>
          <xdr:colOff>53340</xdr:colOff>
          <xdr:row>60</xdr:row>
          <xdr:rowOff>22860</xdr:rowOff>
        </xdr:to>
        <xdr:sp macro="" textlink="">
          <xdr:nvSpPr>
            <xdr:cNvPr id="5376" name="Button 256" hidden="1">
              <a:extLst>
                <a:ext uri="{63B3BB69-23CF-44E3-9099-C40C66FF867C}">
                  <a14:compatExt spid="_x0000_s5376"/>
                </a:ext>
                <a:ext uri="{FF2B5EF4-FFF2-40B4-BE49-F238E27FC236}">
                  <a16:creationId xmlns:a16="http://schemas.microsoft.com/office/drawing/2014/main" id="{00000000-0008-0000-1000-0000001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103</xdr:row>
          <xdr:rowOff>99060</xdr:rowOff>
        </xdr:from>
        <xdr:to>
          <xdr:col>2</xdr:col>
          <xdr:colOff>114300</xdr:colOff>
          <xdr:row>103</xdr:row>
          <xdr:rowOff>365760</xdr:rowOff>
        </xdr:to>
        <xdr:sp macro="" textlink="">
          <xdr:nvSpPr>
            <xdr:cNvPr id="6174" name="Button 30" hidden="1">
              <a:extLst>
                <a:ext uri="{63B3BB69-23CF-44E3-9099-C40C66FF867C}">
                  <a14:compatExt spid="_x0000_s6174"/>
                </a:ext>
                <a:ext uri="{FF2B5EF4-FFF2-40B4-BE49-F238E27FC236}">
                  <a16:creationId xmlns:a16="http://schemas.microsoft.com/office/drawing/2014/main" id="{00000000-0008-0000-1600-00001E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15</xdr:row>
          <xdr:rowOff>114300</xdr:rowOff>
        </xdr:from>
        <xdr:to>
          <xdr:col>6</xdr:col>
          <xdr:colOff>403860</xdr:colOff>
          <xdr:row>15</xdr:row>
          <xdr:rowOff>365760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1600-00003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15</xdr:row>
          <xdr:rowOff>441960</xdr:rowOff>
        </xdr:from>
        <xdr:to>
          <xdr:col>6</xdr:col>
          <xdr:colOff>358140</xdr:colOff>
          <xdr:row>15</xdr:row>
          <xdr:rowOff>647700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1600-00003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510540</xdr:colOff>
          <xdr:row>103</xdr:row>
          <xdr:rowOff>99060</xdr:rowOff>
        </xdr:from>
        <xdr:to>
          <xdr:col>3</xdr:col>
          <xdr:colOff>708660</xdr:colOff>
          <xdr:row>103</xdr:row>
          <xdr:rowOff>365760</xdr:rowOff>
        </xdr:to>
        <xdr:sp macro="" textlink="">
          <xdr:nvSpPr>
            <xdr:cNvPr id="6227" name="Button 83" hidden="1">
              <a:extLst>
                <a:ext uri="{63B3BB69-23CF-44E3-9099-C40C66FF867C}">
                  <a14:compatExt spid="_x0000_s6227"/>
                </a:ext>
                <a:ext uri="{FF2B5EF4-FFF2-40B4-BE49-F238E27FC236}">
                  <a16:creationId xmlns:a16="http://schemas.microsoft.com/office/drawing/2014/main" id="{00000000-0008-0000-1600-00005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32</xdr:row>
          <xdr:rowOff>0</xdr:rowOff>
        </xdr:from>
        <xdr:to>
          <xdr:col>2</xdr:col>
          <xdr:colOff>129540</xdr:colOff>
          <xdr:row>33</xdr:row>
          <xdr:rowOff>251460</xdr:rowOff>
        </xdr:to>
        <xdr:sp macro="" textlink="">
          <xdr:nvSpPr>
            <xdr:cNvPr id="6230" name="Button 86" hidden="1">
              <a:extLst>
                <a:ext uri="{63B3BB69-23CF-44E3-9099-C40C66FF867C}">
                  <a14:compatExt spid="_x0000_s6230"/>
                </a:ext>
                <a:ext uri="{FF2B5EF4-FFF2-40B4-BE49-F238E27FC236}">
                  <a16:creationId xmlns:a16="http://schemas.microsoft.com/office/drawing/2014/main" id="{00000000-0008-0000-1600-000056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32</xdr:row>
          <xdr:rowOff>0</xdr:rowOff>
        </xdr:from>
        <xdr:to>
          <xdr:col>3</xdr:col>
          <xdr:colOff>708660</xdr:colOff>
          <xdr:row>33</xdr:row>
          <xdr:rowOff>251460</xdr:rowOff>
        </xdr:to>
        <xdr:sp macro="" textlink="">
          <xdr:nvSpPr>
            <xdr:cNvPr id="6231" name="Button 87" hidden="1">
              <a:extLst>
                <a:ext uri="{63B3BB69-23CF-44E3-9099-C40C66FF867C}">
                  <a14:compatExt spid="_x0000_s6231"/>
                </a:ext>
                <a:ext uri="{FF2B5EF4-FFF2-40B4-BE49-F238E27FC236}">
                  <a16:creationId xmlns:a16="http://schemas.microsoft.com/office/drawing/2014/main" id="{00000000-0008-0000-1600-000057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xdr:colOff>
          <xdr:row>114</xdr:row>
          <xdr:rowOff>99060</xdr:rowOff>
        </xdr:from>
        <xdr:to>
          <xdr:col>2</xdr:col>
          <xdr:colOff>91440</xdr:colOff>
          <xdr:row>114</xdr:row>
          <xdr:rowOff>365760</xdr:rowOff>
        </xdr:to>
        <xdr:sp macro="" textlink="">
          <xdr:nvSpPr>
            <xdr:cNvPr id="6238" name="Button 94" hidden="1">
              <a:extLst>
                <a:ext uri="{63B3BB69-23CF-44E3-9099-C40C66FF867C}">
                  <a14:compatExt spid="_x0000_s6238"/>
                </a:ext>
                <a:ext uri="{FF2B5EF4-FFF2-40B4-BE49-F238E27FC236}">
                  <a16:creationId xmlns:a16="http://schemas.microsoft.com/office/drawing/2014/main" id="{00000000-0008-0000-1600-00005E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114</xdr:row>
          <xdr:rowOff>99060</xdr:rowOff>
        </xdr:from>
        <xdr:to>
          <xdr:col>3</xdr:col>
          <xdr:colOff>708660</xdr:colOff>
          <xdr:row>114</xdr:row>
          <xdr:rowOff>365760</xdr:rowOff>
        </xdr:to>
        <xdr:sp macro="" textlink="">
          <xdr:nvSpPr>
            <xdr:cNvPr id="6239" name="Button 95" hidden="1">
              <a:extLst>
                <a:ext uri="{63B3BB69-23CF-44E3-9099-C40C66FF867C}">
                  <a14:compatExt spid="_x0000_s6239"/>
                </a:ext>
                <a:ext uri="{FF2B5EF4-FFF2-40B4-BE49-F238E27FC236}">
                  <a16:creationId xmlns:a16="http://schemas.microsoft.com/office/drawing/2014/main" id="{00000000-0008-0000-1600-00005F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105</xdr:row>
          <xdr:rowOff>381000</xdr:rowOff>
        </xdr:from>
        <xdr:to>
          <xdr:col>3</xdr:col>
          <xdr:colOff>472440</xdr:colOff>
          <xdr:row>106</xdr:row>
          <xdr:rowOff>190500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16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Credit is being taken for garage fan power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75</xdr:row>
          <xdr:rowOff>0</xdr:rowOff>
        </xdr:from>
        <xdr:to>
          <xdr:col>2</xdr:col>
          <xdr:colOff>129540</xdr:colOff>
          <xdr:row>84</xdr:row>
          <xdr:rowOff>99060</xdr:rowOff>
        </xdr:to>
        <xdr:sp macro="" textlink="">
          <xdr:nvSpPr>
            <xdr:cNvPr id="6243" name="Button 99" hidden="1">
              <a:extLst>
                <a:ext uri="{63B3BB69-23CF-44E3-9099-C40C66FF867C}">
                  <a14:compatExt spid="_x0000_s6243"/>
                </a:ext>
                <a:ext uri="{FF2B5EF4-FFF2-40B4-BE49-F238E27FC236}">
                  <a16:creationId xmlns:a16="http://schemas.microsoft.com/office/drawing/2014/main" id="{00000000-0008-0000-1600-00006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75</xdr:row>
          <xdr:rowOff>0</xdr:rowOff>
        </xdr:from>
        <xdr:to>
          <xdr:col>3</xdr:col>
          <xdr:colOff>708660</xdr:colOff>
          <xdr:row>84</xdr:row>
          <xdr:rowOff>76200</xdr:rowOff>
        </xdr:to>
        <xdr:sp macro="" textlink="">
          <xdr:nvSpPr>
            <xdr:cNvPr id="6244" name="Button 100" hidden="1">
              <a:extLst>
                <a:ext uri="{63B3BB69-23CF-44E3-9099-C40C66FF867C}">
                  <a14:compatExt spid="_x0000_s6244"/>
                </a:ext>
                <a:ext uri="{FF2B5EF4-FFF2-40B4-BE49-F238E27FC236}">
                  <a16:creationId xmlns:a16="http://schemas.microsoft.com/office/drawing/2014/main" id="{00000000-0008-0000-1600-000064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32</xdr:row>
          <xdr:rowOff>137160</xdr:rowOff>
        </xdr:from>
        <xdr:to>
          <xdr:col>2</xdr:col>
          <xdr:colOff>266700</xdr:colOff>
          <xdr:row>32</xdr:row>
          <xdr:rowOff>419100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1700-000007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50</xdr:row>
          <xdr:rowOff>129540</xdr:rowOff>
        </xdr:from>
        <xdr:to>
          <xdr:col>2</xdr:col>
          <xdr:colOff>1584960</xdr:colOff>
          <xdr:row>50</xdr:row>
          <xdr:rowOff>441960</xdr:rowOff>
        </xdr:to>
        <xdr:sp macro="" textlink="">
          <xdr:nvSpPr>
            <xdr:cNvPr id="7211" name="Button 43" hidden="1">
              <a:extLst>
                <a:ext uri="{63B3BB69-23CF-44E3-9099-C40C66FF867C}">
                  <a14:compatExt spid="_x0000_s7211"/>
                </a:ext>
                <a:ext uri="{FF2B5EF4-FFF2-40B4-BE49-F238E27FC236}">
                  <a16:creationId xmlns:a16="http://schemas.microsoft.com/office/drawing/2014/main" id="{00000000-0008-0000-1700-00002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50</xdr:row>
          <xdr:rowOff>152400</xdr:rowOff>
        </xdr:from>
        <xdr:to>
          <xdr:col>2</xdr:col>
          <xdr:colOff>266700</xdr:colOff>
          <xdr:row>50</xdr:row>
          <xdr:rowOff>441960</xdr:rowOff>
        </xdr:to>
        <xdr:sp macro="" textlink="">
          <xdr:nvSpPr>
            <xdr:cNvPr id="7213" name="Button 45" hidden="1">
              <a:extLst>
                <a:ext uri="{63B3BB69-23CF-44E3-9099-C40C66FF867C}">
                  <a14:compatExt spid="_x0000_s7213"/>
                </a:ext>
                <a:ext uri="{FF2B5EF4-FFF2-40B4-BE49-F238E27FC236}">
                  <a16:creationId xmlns:a16="http://schemas.microsoft.com/office/drawing/2014/main" id="{00000000-0008-0000-1700-00002D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34</xdr:row>
          <xdr:rowOff>114300</xdr:rowOff>
        </xdr:from>
        <xdr:to>
          <xdr:col>2</xdr:col>
          <xdr:colOff>358140</xdr:colOff>
          <xdr:row>34</xdr:row>
          <xdr:rowOff>381000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1900-000008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23</xdr:row>
          <xdr:rowOff>137160</xdr:rowOff>
        </xdr:from>
        <xdr:to>
          <xdr:col>2</xdr:col>
          <xdr:colOff>327660</xdr:colOff>
          <xdr:row>24</xdr:row>
          <xdr:rowOff>60960</xdr:rowOff>
        </xdr:to>
        <xdr:sp macro="" textlink="">
          <xdr:nvSpPr>
            <xdr:cNvPr id="9302" name="Button 86" hidden="1">
              <a:extLst>
                <a:ext uri="{63B3BB69-23CF-44E3-9099-C40C66FF867C}">
                  <a14:compatExt spid="_x0000_s9302"/>
                </a:ext>
                <a:ext uri="{FF2B5EF4-FFF2-40B4-BE49-F238E27FC236}">
                  <a16:creationId xmlns:a16="http://schemas.microsoft.com/office/drawing/2014/main" id="{00000000-0008-0000-1900-000056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632460</xdr:colOff>
          <xdr:row>34</xdr:row>
          <xdr:rowOff>129540</xdr:rowOff>
        </xdr:from>
        <xdr:to>
          <xdr:col>3</xdr:col>
          <xdr:colOff>213360</xdr:colOff>
          <xdr:row>34</xdr:row>
          <xdr:rowOff>403860</xdr:rowOff>
        </xdr:to>
        <xdr:sp macro="" textlink="">
          <xdr:nvSpPr>
            <xdr:cNvPr id="9479" name="Button 263" hidden="1">
              <a:extLst>
                <a:ext uri="{63B3BB69-23CF-44E3-9099-C40C66FF867C}">
                  <a14:compatExt spid="_x0000_s9479"/>
                </a:ext>
                <a:ext uri="{FF2B5EF4-FFF2-40B4-BE49-F238E27FC236}">
                  <a16:creationId xmlns:a16="http://schemas.microsoft.com/office/drawing/2014/main" id="{00000000-0008-0000-1900-0000072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632460</xdr:colOff>
          <xdr:row>23</xdr:row>
          <xdr:rowOff>137160</xdr:rowOff>
        </xdr:from>
        <xdr:to>
          <xdr:col>3</xdr:col>
          <xdr:colOff>213360</xdr:colOff>
          <xdr:row>24</xdr:row>
          <xdr:rowOff>76200</xdr:rowOff>
        </xdr:to>
        <xdr:sp macro="" textlink="">
          <xdr:nvSpPr>
            <xdr:cNvPr id="9480" name="Button 264" hidden="1">
              <a:extLst>
                <a:ext uri="{63B3BB69-23CF-44E3-9099-C40C66FF867C}">
                  <a14:compatExt spid="_x0000_s9480"/>
                </a:ext>
                <a:ext uri="{FF2B5EF4-FFF2-40B4-BE49-F238E27FC236}">
                  <a16:creationId xmlns:a16="http://schemas.microsoft.com/office/drawing/2014/main" id="{00000000-0008-0000-1900-0000082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137160</xdr:colOff>
          <xdr:row>6</xdr:row>
          <xdr:rowOff>60960</xdr:rowOff>
        </xdr:from>
        <xdr:to>
          <xdr:col>6</xdr:col>
          <xdr:colOff>1013460</xdr:colOff>
          <xdr:row>6</xdr:row>
          <xdr:rowOff>670560</xdr:rowOff>
        </xdr:to>
        <xdr:sp macro="" textlink="">
          <xdr:nvSpPr>
            <xdr:cNvPr id="10270" name="Button 30" hidden="1">
              <a:extLst>
                <a:ext uri="{63B3BB69-23CF-44E3-9099-C40C66FF867C}">
                  <a14:compatExt spid="_x0000_s10270"/>
                </a:ext>
                <a:ext uri="{FF2B5EF4-FFF2-40B4-BE49-F238E27FC236}">
                  <a16:creationId xmlns:a16="http://schemas.microsoft.com/office/drawing/2014/main" id="{00000000-0008-0000-1A00-00001E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396240</xdr:rowOff>
        </xdr:from>
        <xdr:to>
          <xdr:col>42</xdr:col>
          <xdr:colOff>60960</xdr:colOff>
          <xdr:row>6</xdr:row>
          <xdr:rowOff>708660</xdr:rowOff>
        </xdr:to>
        <xdr:sp macro="" textlink="">
          <xdr:nvSpPr>
            <xdr:cNvPr id="15704" name="Button 1368" hidden="1">
              <a:extLst>
                <a:ext uri="{63B3BB69-23CF-44E3-9099-C40C66FF867C}">
                  <a14:compatExt spid="_x0000_s15704"/>
                </a:ext>
                <a:ext uri="{FF2B5EF4-FFF2-40B4-BE49-F238E27FC236}">
                  <a16:creationId xmlns:a16="http://schemas.microsoft.com/office/drawing/2014/main" id="{00000000-0008-0000-1A00-0000583D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Below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396240</xdr:rowOff>
        </xdr:from>
        <xdr:to>
          <xdr:col>17</xdr:col>
          <xdr:colOff>60960</xdr:colOff>
          <xdr:row>6</xdr:row>
          <xdr:rowOff>708660</xdr:rowOff>
        </xdr:to>
        <xdr:sp macro="" textlink="">
          <xdr:nvSpPr>
            <xdr:cNvPr id="15721" name="Button 1385" hidden="1">
              <a:extLst>
                <a:ext uri="{63B3BB69-23CF-44E3-9099-C40C66FF867C}">
                  <a14:compatExt spid="_x0000_s15721"/>
                </a:ext>
                <a:ext uri="{FF2B5EF4-FFF2-40B4-BE49-F238E27FC236}">
                  <a16:creationId xmlns:a16="http://schemas.microsoft.com/office/drawing/2014/main" id="{00000000-0008-0000-1A00-0000693D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Below  System</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5</xdr:row>
          <xdr:rowOff>76200</xdr:rowOff>
        </xdr:from>
        <xdr:to>
          <xdr:col>5</xdr:col>
          <xdr:colOff>1028700</xdr:colOff>
          <xdr:row>6</xdr:row>
          <xdr:rowOff>556260</xdr:rowOff>
        </xdr:to>
        <xdr:sp macro="" textlink="">
          <xdr:nvSpPr>
            <xdr:cNvPr id="316417" name="Button 1" hidden="1">
              <a:extLst>
                <a:ext uri="{63B3BB69-23CF-44E3-9099-C40C66FF867C}">
                  <a14:compatExt spid="_x0000_s316417"/>
                </a:ext>
                <a:ext uri="{FF2B5EF4-FFF2-40B4-BE49-F238E27FC236}">
                  <a16:creationId xmlns:a16="http://schemas.microsoft.com/office/drawing/2014/main" id="{00000000-0008-0000-1B00-000001D4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Proposed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99060</xdr:colOff>
          <xdr:row>6</xdr:row>
          <xdr:rowOff>358140</xdr:rowOff>
        </xdr:from>
        <xdr:to>
          <xdr:col>43</xdr:col>
          <xdr:colOff>624840</xdr:colOff>
          <xdr:row>6</xdr:row>
          <xdr:rowOff>594360</xdr:rowOff>
        </xdr:to>
        <xdr:sp macro="" textlink="">
          <xdr:nvSpPr>
            <xdr:cNvPr id="316422" name="Button 6" hidden="1">
              <a:extLst>
                <a:ext uri="{63B3BB69-23CF-44E3-9099-C40C66FF867C}">
                  <a14:compatExt spid="_x0000_s316422"/>
                </a:ext>
                <a:ext uri="{FF2B5EF4-FFF2-40B4-BE49-F238E27FC236}">
                  <a16:creationId xmlns:a16="http://schemas.microsoft.com/office/drawing/2014/main" id="{00000000-0008-0000-1B00-000006D4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Below  System</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2834640</xdr:colOff>
          <xdr:row>5</xdr:row>
          <xdr:rowOff>137160</xdr:rowOff>
        </xdr:from>
        <xdr:to>
          <xdr:col>2</xdr:col>
          <xdr:colOff>1737360</xdr:colOff>
          <xdr:row>6</xdr:row>
          <xdr:rowOff>251460</xdr:rowOff>
        </xdr:to>
        <xdr:sp macro="" textlink="">
          <xdr:nvSpPr>
            <xdr:cNvPr id="11487" name="Button 223" hidden="1">
              <a:extLst>
                <a:ext uri="{63B3BB69-23CF-44E3-9099-C40C66FF867C}">
                  <a14:compatExt spid="_x0000_s11487"/>
                </a:ext>
                <a:ext uri="{FF2B5EF4-FFF2-40B4-BE49-F238E27FC236}">
                  <a16:creationId xmlns:a16="http://schemas.microsoft.com/office/drawing/2014/main" id="{00000000-0008-0000-1C00-0000D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Proposed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1584960</xdr:colOff>
          <xdr:row>5</xdr:row>
          <xdr:rowOff>137160</xdr:rowOff>
        </xdr:from>
        <xdr:to>
          <xdr:col>2</xdr:col>
          <xdr:colOff>3337560</xdr:colOff>
          <xdr:row>6</xdr:row>
          <xdr:rowOff>251460</xdr:rowOff>
        </xdr:to>
        <xdr:sp macro="" textlink="">
          <xdr:nvSpPr>
            <xdr:cNvPr id="11491" name="Button 227" hidden="1">
              <a:extLst>
                <a:ext uri="{63B3BB69-23CF-44E3-9099-C40C66FF867C}">
                  <a14:compatExt spid="_x0000_s11491"/>
                </a:ext>
                <a:ext uri="{FF2B5EF4-FFF2-40B4-BE49-F238E27FC236}">
                  <a16:creationId xmlns:a16="http://schemas.microsoft.com/office/drawing/2014/main" id="{00000000-0008-0000-1C00-0000E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Proposed System</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6</xdr:col>
      <xdr:colOff>110840</xdr:colOff>
      <xdr:row>0</xdr:row>
      <xdr:rowOff>87631</xdr:rowOff>
    </xdr:from>
    <xdr:to>
      <xdr:col>6</xdr:col>
      <xdr:colOff>790575</xdr:colOff>
      <xdr:row>2</xdr:row>
      <xdr:rowOff>110575</xdr:rowOff>
    </xdr:to>
    <xdr:pic>
      <xdr:nvPicPr>
        <xdr:cNvPr id="2" name="Picture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18620" y="87631"/>
          <a:ext cx="681640" cy="663024"/>
        </a:xfrm>
        <a:prstGeom prst="rect">
          <a:avLst/>
        </a:prstGeom>
      </xdr:spPr>
    </xdr:pic>
    <xdr:clientData/>
  </xdr:twoCellAnchor>
  <xdr:twoCellAnchor editAs="oneCell">
    <xdr:from>
      <xdr:col>1</xdr:col>
      <xdr:colOff>1737360</xdr:colOff>
      <xdr:row>0</xdr:row>
      <xdr:rowOff>0</xdr:rowOff>
    </xdr:from>
    <xdr:to>
      <xdr:col>1</xdr:col>
      <xdr:colOff>2895599</xdr:colOff>
      <xdr:row>2</xdr:row>
      <xdr:rowOff>152400</xdr:rowOff>
    </xdr:to>
    <xdr:pic>
      <xdr:nvPicPr>
        <xdr:cNvPr id="3" name="Picture 2" descr="S:\PAY FOR PERFORMANCE\Annual Program Changes\2016FY P4P &amp; CHP Edits\NJCEP_Full_Color_Logo-URL 540x300px(3).jpg">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86000" y="0"/>
          <a:ext cx="1158239" cy="792480"/>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139700</xdr:colOff>
      <xdr:row>11</xdr:row>
      <xdr:rowOff>215900</xdr:rowOff>
    </xdr:from>
    <xdr:to>
      <xdr:col>14</xdr:col>
      <xdr:colOff>241300</xdr:colOff>
      <xdr:row>11</xdr:row>
      <xdr:rowOff>558800</xdr:rowOff>
    </xdr:to>
    <xdr:sp macro="" textlink="">
      <xdr:nvSpPr>
        <xdr:cNvPr id="281601" name="CommandButton1" hidden="1">
          <a:extLst>
            <a:ext uri="{63B3BB69-23CF-44E3-9099-C40C66FF867C}">
              <a14:compatExt xmlns:a14="http://schemas.microsoft.com/office/drawing/2010/main" spid="_x0000_s281601"/>
            </a:ext>
            <a:ext uri="{FF2B5EF4-FFF2-40B4-BE49-F238E27FC236}">
              <a16:creationId xmlns:a16="http://schemas.microsoft.com/office/drawing/2014/main" id="{00000000-0008-0000-2000-000001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11</xdr:row>
      <xdr:rowOff>596900</xdr:rowOff>
    </xdr:from>
    <xdr:to>
      <xdr:col>14</xdr:col>
      <xdr:colOff>228600</xdr:colOff>
      <xdr:row>11</xdr:row>
      <xdr:rowOff>939800</xdr:rowOff>
    </xdr:to>
    <xdr:sp macro="" textlink="">
      <xdr:nvSpPr>
        <xdr:cNvPr id="281602" name="CommandButton2" hidden="1">
          <a:extLst>
            <a:ext uri="{63B3BB69-23CF-44E3-9099-C40C66FF867C}">
              <a14:compatExt xmlns:a14="http://schemas.microsoft.com/office/drawing/2010/main" spid="_x0000_s281602"/>
            </a:ext>
            <a:ext uri="{FF2B5EF4-FFF2-40B4-BE49-F238E27FC236}">
              <a16:creationId xmlns:a16="http://schemas.microsoft.com/office/drawing/2014/main" id="{00000000-0008-0000-2000-000002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12</xdr:row>
      <xdr:rowOff>393700</xdr:rowOff>
    </xdr:from>
    <xdr:to>
      <xdr:col>14</xdr:col>
      <xdr:colOff>241300</xdr:colOff>
      <xdr:row>12</xdr:row>
      <xdr:rowOff>736600</xdr:rowOff>
    </xdr:to>
    <xdr:sp macro="" textlink="">
      <xdr:nvSpPr>
        <xdr:cNvPr id="281603" name="CommandButton3" hidden="1">
          <a:extLst>
            <a:ext uri="{63B3BB69-23CF-44E3-9099-C40C66FF867C}">
              <a14:compatExt xmlns:a14="http://schemas.microsoft.com/office/drawing/2010/main" spid="_x0000_s281603"/>
            </a:ext>
            <a:ext uri="{FF2B5EF4-FFF2-40B4-BE49-F238E27FC236}">
              <a16:creationId xmlns:a16="http://schemas.microsoft.com/office/drawing/2014/main" id="{00000000-0008-0000-2000-000003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13</xdr:row>
      <xdr:rowOff>190500</xdr:rowOff>
    </xdr:from>
    <xdr:to>
      <xdr:col>14</xdr:col>
      <xdr:colOff>241300</xdr:colOff>
      <xdr:row>13</xdr:row>
      <xdr:rowOff>533400</xdr:rowOff>
    </xdr:to>
    <xdr:sp macro="" textlink="">
      <xdr:nvSpPr>
        <xdr:cNvPr id="281604" name="CommandButton5" hidden="1">
          <a:extLst>
            <a:ext uri="{63B3BB69-23CF-44E3-9099-C40C66FF867C}">
              <a14:compatExt xmlns:a14="http://schemas.microsoft.com/office/drawing/2010/main" spid="_x0000_s281604"/>
            </a:ext>
            <a:ext uri="{FF2B5EF4-FFF2-40B4-BE49-F238E27FC236}">
              <a16:creationId xmlns:a16="http://schemas.microsoft.com/office/drawing/2014/main" id="{00000000-0008-0000-2000-000004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13</xdr:row>
      <xdr:rowOff>596900</xdr:rowOff>
    </xdr:from>
    <xdr:to>
      <xdr:col>14</xdr:col>
      <xdr:colOff>241300</xdr:colOff>
      <xdr:row>13</xdr:row>
      <xdr:rowOff>939800</xdr:rowOff>
    </xdr:to>
    <xdr:sp macro="" textlink="">
      <xdr:nvSpPr>
        <xdr:cNvPr id="281605" name="CommandButton6" hidden="1">
          <a:extLst>
            <a:ext uri="{63B3BB69-23CF-44E3-9099-C40C66FF867C}">
              <a14:compatExt xmlns:a14="http://schemas.microsoft.com/office/drawing/2010/main" spid="_x0000_s281605"/>
            </a:ext>
            <a:ext uri="{FF2B5EF4-FFF2-40B4-BE49-F238E27FC236}">
              <a16:creationId xmlns:a16="http://schemas.microsoft.com/office/drawing/2014/main" id="{00000000-0008-0000-2000-000005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14</xdr:row>
      <xdr:rowOff>177800</xdr:rowOff>
    </xdr:from>
    <xdr:to>
      <xdr:col>14</xdr:col>
      <xdr:colOff>241300</xdr:colOff>
      <xdr:row>14</xdr:row>
      <xdr:rowOff>520700</xdr:rowOff>
    </xdr:to>
    <xdr:sp macro="" textlink="">
      <xdr:nvSpPr>
        <xdr:cNvPr id="281606" name="CommandButton7" hidden="1">
          <a:extLst>
            <a:ext uri="{63B3BB69-23CF-44E3-9099-C40C66FF867C}">
              <a14:compatExt xmlns:a14="http://schemas.microsoft.com/office/drawing/2010/main" spid="_x0000_s281606"/>
            </a:ext>
            <a:ext uri="{FF2B5EF4-FFF2-40B4-BE49-F238E27FC236}">
              <a16:creationId xmlns:a16="http://schemas.microsoft.com/office/drawing/2014/main" id="{00000000-0008-0000-2000-000006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14</xdr:row>
      <xdr:rowOff>571500</xdr:rowOff>
    </xdr:from>
    <xdr:to>
      <xdr:col>14</xdr:col>
      <xdr:colOff>241300</xdr:colOff>
      <xdr:row>14</xdr:row>
      <xdr:rowOff>914400</xdr:rowOff>
    </xdr:to>
    <xdr:sp macro="" textlink="">
      <xdr:nvSpPr>
        <xdr:cNvPr id="281607" name="CommandButton8" hidden="1">
          <a:extLst>
            <a:ext uri="{63B3BB69-23CF-44E3-9099-C40C66FF867C}">
              <a14:compatExt xmlns:a14="http://schemas.microsoft.com/office/drawing/2010/main" spid="_x0000_s281607"/>
            </a:ext>
            <a:ext uri="{FF2B5EF4-FFF2-40B4-BE49-F238E27FC236}">
              <a16:creationId xmlns:a16="http://schemas.microsoft.com/office/drawing/2014/main" id="{00000000-0008-0000-2000-000007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15</xdr:row>
      <xdr:rowOff>139700</xdr:rowOff>
    </xdr:from>
    <xdr:to>
      <xdr:col>14</xdr:col>
      <xdr:colOff>241300</xdr:colOff>
      <xdr:row>15</xdr:row>
      <xdr:rowOff>482600</xdr:rowOff>
    </xdr:to>
    <xdr:sp macro="" textlink="">
      <xdr:nvSpPr>
        <xdr:cNvPr id="281608" name="CommandButton9" hidden="1">
          <a:extLst>
            <a:ext uri="{63B3BB69-23CF-44E3-9099-C40C66FF867C}">
              <a14:compatExt xmlns:a14="http://schemas.microsoft.com/office/drawing/2010/main" spid="_x0000_s281608"/>
            </a:ext>
            <a:ext uri="{FF2B5EF4-FFF2-40B4-BE49-F238E27FC236}">
              <a16:creationId xmlns:a16="http://schemas.microsoft.com/office/drawing/2014/main" id="{00000000-0008-0000-2000-000008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15</xdr:row>
      <xdr:rowOff>546100</xdr:rowOff>
    </xdr:from>
    <xdr:to>
      <xdr:col>14</xdr:col>
      <xdr:colOff>241300</xdr:colOff>
      <xdr:row>15</xdr:row>
      <xdr:rowOff>889000</xdr:rowOff>
    </xdr:to>
    <xdr:sp macro="" textlink="">
      <xdr:nvSpPr>
        <xdr:cNvPr id="281609" name="CommandButton10" hidden="1">
          <a:extLst>
            <a:ext uri="{63B3BB69-23CF-44E3-9099-C40C66FF867C}">
              <a14:compatExt xmlns:a14="http://schemas.microsoft.com/office/drawing/2010/main" spid="_x0000_s281609"/>
            </a:ext>
            <a:ext uri="{FF2B5EF4-FFF2-40B4-BE49-F238E27FC236}">
              <a16:creationId xmlns:a16="http://schemas.microsoft.com/office/drawing/2014/main" id="{00000000-0008-0000-2000-000009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16</xdr:row>
      <xdr:rowOff>215900</xdr:rowOff>
    </xdr:from>
    <xdr:to>
      <xdr:col>14</xdr:col>
      <xdr:colOff>241300</xdr:colOff>
      <xdr:row>16</xdr:row>
      <xdr:rowOff>558800</xdr:rowOff>
    </xdr:to>
    <xdr:sp macro="" textlink="">
      <xdr:nvSpPr>
        <xdr:cNvPr id="281610" name="CommandButton11" hidden="1">
          <a:extLst>
            <a:ext uri="{63B3BB69-23CF-44E3-9099-C40C66FF867C}">
              <a14:compatExt xmlns:a14="http://schemas.microsoft.com/office/drawing/2010/main" spid="_x0000_s281610"/>
            </a:ext>
            <a:ext uri="{FF2B5EF4-FFF2-40B4-BE49-F238E27FC236}">
              <a16:creationId xmlns:a16="http://schemas.microsoft.com/office/drawing/2014/main" id="{00000000-0008-0000-2000-00000A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16</xdr:row>
      <xdr:rowOff>609600</xdr:rowOff>
    </xdr:from>
    <xdr:to>
      <xdr:col>14</xdr:col>
      <xdr:colOff>241300</xdr:colOff>
      <xdr:row>16</xdr:row>
      <xdr:rowOff>952500</xdr:rowOff>
    </xdr:to>
    <xdr:sp macro="" textlink="">
      <xdr:nvSpPr>
        <xdr:cNvPr id="281611" name="CommandButton12" hidden="1">
          <a:extLst>
            <a:ext uri="{63B3BB69-23CF-44E3-9099-C40C66FF867C}">
              <a14:compatExt xmlns:a14="http://schemas.microsoft.com/office/drawing/2010/main" spid="_x0000_s281611"/>
            </a:ext>
            <a:ext uri="{FF2B5EF4-FFF2-40B4-BE49-F238E27FC236}">
              <a16:creationId xmlns:a16="http://schemas.microsoft.com/office/drawing/2014/main" id="{00000000-0008-0000-2000-00000B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17</xdr:row>
      <xdr:rowOff>215900</xdr:rowOff>
    </xdr:from>
    <xdr:to>
      <xdr:col>14</xdr:col>
      <xdr:colOff>241300</xdr:colOff>
      <xdr:row>17</xdr:row>
      <xdr:rowOff>558800</xdr:rowOff>
    </xdr:to>
    <xdr:sp macro="" textlink="">
      <xdr:nvSpPr>
        <xdr:cNvPr id="281612" name="CommandButton13" hidden="1">
          <a:extLst>
            <a:ext uri="{63B3BB69-23CF-44E3-9099-C40C66FF867C}">
              <a14:compatExt xmlns:a14="http://schemas.microsoft.com/office/drawing/2010/main" spid="_x0000_s281612"/>
            </a:ext>
            <a:ext uri="{FF2B5EF4-FFF2-40B4-BE49-F238E27FC236}">
              <a16:creationId xmlns:a16="http://schemas.microsoft.com/office/drawing/2014/main" id="{00000000-0008-0000-2000-00000C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17</xdr:row>
      <xdr:rowOff>609600</xdr:rowOff>
    </xdr:from>
    <xdr:to>
      <xdr:col>14</xdr:col>
      <xdr:colOff>241300</xdr:colOff>
      <xdr:row>17</xdr:row>
      <xdr:rowOff>952500</xdr:rowOff>
    </xdr:to>
    <xdr:sp macro="" textlink="">
      <xdr:nvSpPr>
        <xdr:cNvPr id="281613" name="CommandButton14" hidden="1">
          <a:extLst>
            <a:ext uri="{63B3BB69-23CF-44E3-9099-C40C66FF867C}">
              <a14:compatExt xmlns:a14="http://schemas.microsoft.com/office/drawing/2010/main" spid="_x0000_s281613"/>
            </a:ext>
            <a:ext uri="{FF2B5EF4-FFF2-40B4-BE49-F238E27FC236}">
              <a16:creationId xmlns:a16="http://schemas.microsoft.com/office/drawing/2014/main" id="{00000000-0008-0000-2000-00000D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18</xdr:row>
      <xdr:rowOff>228600</xdr:rowOff>
    </xdr:from>
    <xdr:to>
      <xdr:col>14</xdr:col>
      <xdr:colOff>241300</xdr:colOff>
      <xdr:row>18</xdr:row>
      <xdr:rowOff>571500</xdr:rowOff>
    </xdr:to>
    <xdr:sp macro="" textlink="">
      <xdr:nvSpPr>
        <xdr:cNvPr id="281614" name="CommandButton15" hidden="1">
          <a:extLst>
            <a:ext uri="{63B3BB69-23CF-44E3-9099-C40C66FF867C}">
              <a14:compatExt xmlns:a14="http://schemas.microsoft.com/office/drawing/2010/main" spid="_x0000_s281614"/>
            </a:ext>
            <a:ext uri="{FF2B5EF4-FFF2-40B4-BE49-F238E27FC236}">
              <a16:creationId xmlns:a16="http://schemas.microsoft.com/office/drawing/2014/main" id="{00000000-0008-0000-2000-00000E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18</xdr:row>
      <xdr:rowOff>622300</xdr:rowOff>
    </xdr:from>
    <xdr:to>
      <xdr:col>14</xdr:col>
      <xdr:colOff>241300</xdr:colOff>
      <xdr:row>18</xdr:row>
      <xdr:rowOff>965200</xdr:rowOff>
    </xdr:to>
    <xdr:sp macro="" textlink="">
      <xdr:nvSpPr>
        <xdr:cNvPr id="281615" name="CommandButton16" hidden="1">
          <a:extLst>
            <a:ext uri="{63B3BB69-23CF-44E3-9099-C40C66FF867C}">
              <a14:compatExt xmlns:a14="http://schemas.microsoft.com/office/drawing/2010/main" spid="_x0000_s281615"/>
            </a:ext>
            <a:ext uri="{FF2B5EF4-FFF2-40B4-BE49-F238E27FC236}">
              <a16:creationId xmlns:a16="http://schemas.microsoft.com/office/drawing/2014/main" id="{00000000-0008-0000-2000-00000F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19</xdr:row>
      <xdr:rowOff>215900</xdr:rowOff>
    </xdr:from>
    <xdr:to>
      <xdr:col>14</xdr:col>
      <xdr:colOff>241300</xdr:colOff>
      <xdr:row>19</xdr:row>
      <xdr:rowOff>558800</xdr:rowOff>
    </xdr:to>
    <xdr:sp macro="" textlink="">
      <xdr:nvSpPr>
        <xdr:cNvPr id="281616" name="CommandButton17" hidden="1">
          <a:extLst>
            <a:ext uri="{63B3BB69-23CF-44E3-9099-C40C66FF867C}">
              <a14:compatExt xmlns:a14="http://schemas.microsoft.com/office/drawing/2010/main" spid="_x0000_s281616"/>
            </a:ext>
            <a:ext uri="{FF2B5EF4-FFF2-40B4-BE49-F238E27FC236}">
              <a16:creationId xmlns:a16="http://schemas.microsoft.com/office/drawing/2014/main" id="{00000000-0008-0000-2000-000010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19</xdr:row>
      <xdr:rowOff>609600</xdr:rowOff>
    </xdr:from>
    <xdr:to>
      <xdr:col>14</xdr:col>
      <xdr:colOff>241300</xdr:colOff>
      <xdr:row>19</xdr:row>
      <xdr:rowOff>952500</xdr:rowOff>
    </xdr:to>
    <xdr:sp macro="" textlink="">
      <xdr:nvSpPr>
        <xdr:cNvPr id="281617" name="CommandButton18" hidden="1">
          <a:extLst>
            <a:ext uri="{63B3BB69-23CF-44E3-9099-C40C66FF867C}">
              <a14:compatExt xmlns:a14="http://schemas.microsoft.com/office/drawing/2010/main" spid="_x0000_s281617"/>
            </a:ext>
            <a:ext uri="{FF2B5EF4-FFF2-40B4-BE49-F238E27FC236}">
              <a16:creationId xmlns:a16="http://schemas.microsoft.com/office/drawing/2014/main" id="{00000000-0008-0000-2000-000011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20</xdr:row>
      <xdr:rowOff>203200</xdr:rowOff>
    </xdr:from>
    <xdr:to>
      <xdr:col>14</xdr:col>
      <xdr:colOff>241300</xdr:colOff>
      <xdr:row>20</xdr:row>
      <xdr:rowOff>546100</xdr:rowOff>
    </xdr:to>
    <xdr:sp macro="" textlink="">
      <xdr:nvSpPr>
        <xdr:cNvPr id="281618" name="CommandButton19" hidden="1">
          <a:extLst>
            <a:ext uri="{63B3BB69-23CF-44E3-9099-C40C66FF867C}">
              <a14:compatExt xmlns:a14="http://schemas.microsoft.com/office/drawing/2010/main" spid="_x0000_s281618"/>
            </a:ext>
            <a:ext uri="{FF2B5EF4-FFF2-40B4-BE49-F238E27FC236}">
              <a16:creationId xmlns:a16="http://schemas.microsoft.com/office/drawing/2014/main" id="{00000000-0008-0000-2000-000012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20</xdr:row>
      <xdr:rowOff>571500</xdr:rowOff>
    </xdr:from>
    <xdr:to>
      <xdr:col>14</xdr:col>
      <xdr:colOff>241300</xdr:colOff>
      <xdr:row>20</xdr:row>
      <xdr:rowOff>914400</xdr:rowOff>
    </xdr:to>
    <xdr:sp macro="" textlink="">
      <xdr:nvSpPr>
        <xdr:cNvPr id="281619" name="CommandButton20" hidden="1">
          <a:extLst>
            <a:ext uri="{63B3BB69-23CF-44E3-9099-C40C66FF867C}">
              <a14:compatExt xmlns:a14="http://schemas.microsoft.com/office/drawing/2010/main" spid="_x0000_s281619"/>
            </a:ext>
            <a:ext uri="{FF2B5EF4-FFF2-40B4-BE49-F238E27FC236}">
              <a16:creationId xmlns:a16="http://schemas.microsoft.com/office/drawing/2014/main" id="{00000000-0008-0000-2000-000013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21</xdr:row>
      <xdr:rowOff>190500</xdr:rowOff>
    </xdr:from>
    <xdr:to>
      <xdr:col>14</xdr:col>
      <xdr:colOff>241300</xdr:colOff>
      <xdr:row>21</xdr:row>
      <xdr:rowOff>533400</xdr:rowOff>
    </xdr:to>
    <xdr:sp macro="" textlink="">
      <xdr:nvSpPr>
        <xdr:cNvPr id="281620" name="CommandButton21" hidden="1">
          <a:extLst>
            <a:ext uri="{63B3BB69-23CF-44E3-9099-C40C66FF867C}">
              <a14:compatExt xmlns:a14="http://schemas.microsoft.com/office/drawing/2010/main" spid="_x0000_s281620"/>
            </a:ext>
            <a:ext uri="{FF2B5EF4-FFF2-40B4-BE49-F238E27FC236}">
              <a16:creationId xmlns:a16="http://schemas.microsoft.com/office/drawing/2014/main" id="{00000000-0008-0000-2000-000014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21</xdr:row>
      <xdr:rowOff>596900</xdr:rowOff>
    </xdr:from>
    <xdr:to>
      <xdr:col>14</xdr:col>
      <xdr:colOff>241300</xdr:colOff>
      <xdr:row>21</xdr:row>
      <xdr:rowOff>939800</xdr:rowOff>
    </xdr:to>
    <xdr:sp macro="" textlink="">
      <xdr:nvSpPr>
        <xdr:cNvPr id="281621" name="CommandButton22" hidden="1">
          <a:extLst>
            <a:ext uri="{63B3BB69-23CF-44E3-9099-C40C66FF867C}">
              <a14:compatExt xmlns:a14="http://schemas.microsoft.com/office/drawing/2010/main" spid="_x0000_s281621"/>
            </a:ext>
            <a:ext uri="{FF2B5EF4-FFF2-40B4-BE49-F238E27FC236}">
              <a16:creationId xmlns:a16="http://schemas.microsoft.com/office/drawing/2014/main" id="{00000000-0008-0000-2000-000015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22</xdr:row>
      <xdr:rowOff>228600</xdr:rowOff>
    </xdr:from>
    <xdr:to>
      <xdr:col>14</xdr:col>
      <xdr:colOff>241300</xdr:colOff>
      <xdr:row>22</xdr:row>
      <xdr:rowOff>571500</xdr:rowOff>
    </xdr:to>
    <xdr:sp macro="" textlink="">
      <xdr:nvSpPr>
        <xdr:cNvPr id="281622" name="CommandButton23" hidden="1">
          <a:extLst>
            <a:ext uri="{63B3BB69-23CF-44E3-9099-C40C66FF867C}">
              <a14:compatExt xmlns:a14="http://schemas.microsoft.com/office/drawing/2010/main" spid="_x0000_s281622"/>
            </a:ext>
            <a:ext uri="{FF2B5EF4-FFF2-40B4-BE49-F238E27FC236}">
              <a16:creationId xmlns:a16="http://schemas.microsoft.com/office/drawing/2014/main" id="{00000000-0008-0000-2000-000016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22</xdr:row>
      <xdr:rowOff>635000</xdr:rowOff>
    </xdr:from>
    <xdr:to>
      <xdr:col>14</xdr:col>
      <xdr:colOff>241300</xdr:colOff>
      <xdr:row>22</xdr:row>
      <xdr:rowOff>977900</xdr:rowOff>
    </xdr:to>
    <xdr:sp macro="" textlink="">
      <xdr:nvSpPr>
        <xdr:cNvPr id="281623" name="CommandButton24" hidden="1">
          <a:extLst>
            <a:ext uri="{63B3BB69-23CF-44E3-9099-C40C66FF867C}">
              <a14:compatExt xmlns:a14="http://schemas.microsoft.com/office/drawing/2010/main" spid="_x0000_s281623"/>
            </a:ext>
            <a:ext uri="{FF2B5EF4-FFF2-40B4-BE49-F238E27FC236}">
              <a16:creationId xmlns:a16="http://schemas.microsoft.com/office/drawing/2014/main" id="{00000000-0008-0000-2000-000017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23</xdr:row>
      <xdr:rowOff>215900</xdr:rowOff>
    </xdr:from>
    <xdr:to>
      <xdr:col>14</xdr:col>
      <xdr:colOff>241300</xdr:colOff>
      <xdr:row>23</xdr:row>
      <xdr:rowOff>558800</xdr:rowOff>
    </xdr:to>
    <xdr:sp macro="" textlink="">
      <xdr:nvSpPr>
        <xdr:cNvPr id="281624" name="CommandButton25" hidden="1">
          <a:extLst>
            <a:ext uri="{63B3BB69-23CF-44E3-9099-C40C66FF867C}">
              <a14:compatExt xmlns:a14="http://schemas.microsoft.com/office/drawing/2010/main" spid="_x0000_s281624"/>
            </a:ext>
            <a:ext uri="{FF2B5EF4-FFF2-40B4-BE49-F238E27FC236}">
              <a16:creationId xmlns:a16="http://schemas.microsoft.com/office/drawing/2014/main" id="{00000000-0008-0000-2000-000018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23</xdr:row>
      <xdr:rowOff>635000</xdr:rowOff>
    </xdr:from>
    <xdr:to>
      <xdr:col>14</xdr:col>
      <xdr:colOff>241300</xdr:colOff>
      <xdr:row>23</xdr:row>
      <xdr:rowOff>977900</xdr:rowOff>
    </xdr:to>
    <xdr:sp macro="" textlink="">
      <xdr:nvSpPr>
        <xdr:cNvPr id="281625" name="CommandButton26" hidden="1">
          <a:extLst>
            <a:ext uri="{63B3BB69-23CF-44E3-9099-C40C66FF867C}">
              <a14:compatExt xmlns:a14="http://schemas.microsoft.com/office/drawing/2010/main" spid="_x0000_s281625"/>
            </a:ext>
            <a:ext uri="{FF2B5EF4-FFF2-40B4-BE49-F238E27FC236}">
              <a16:creationId xmlns:a16="http://schemas.microsoft.com/office/drawing/2014/main" id="{00000000-0008-0000-2000-000019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24</xdr:row>
      <xdr:rowOff>177800</xdr:rowOff>
    </xdr:from>
    <xdr:to>
      <xdr:col>14</xdr:col>
      <xdr:colOff>241300</xdr:colOff>
      <xdr:row>24</xdr:row>
      <xdr:rowOff>520700</xdr:rowOff>
    </xdr:to>
    <xdr:sp macro="" textlink="">
      <xdr:nvSpPr>
        <xdr:cNvPr id="281626" name="CommandButton27" hidden="1">
          <a:extLst>
            <a:ext uri="{63B3BB69-23CF-44E3-9099-C40C66FF867C}">
              <a14:compatExt xmlns:a14="http://schemas.microsoft.com/office/drawing/2010/main" spid="_x0000_s281626"/>
            </a:ext>
            <a:ext uri="{FF2B5EF4-FFF2-40B4-BE49-F238E27FC236}">
              <a16:creationId xmlns:a16="http://schemas.microsoft.com/office/drawing/2014/main" id="{00000000-0008-0000-2000-00001A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24</xdr:row>
      <xdr:rowOff>584200</xdr:rowOff>
    </xdr:from>
    <xdr:to>
      <xdr:col>14</xdr:col>
      <xdr:colOff>241300</xdr:colOff>
      <xdr:row>24</xdr:row>
      <xdr:rowOff>927100</xdr:rowOff>
    </xdr:to>
    <xdr:sp macro="" textlink="">
      <xdr:nvSpPr>
        <xdr:cNvPr id="281627" name="CommandButton28" hidden="1">
          <a:extLst>
            <a:ext uri="{63B3BB69-23CF-44E3-9099-C40C66FF867C}">
              <a14:compatExt xmlns:a14="http://schemas.microsoft.com/office/drawing/2010/main" spid="_x0000_s281627"/>
            </a:ext>
            <a:ext uri="{FF2B5EF4-FFF2-40B4-BE49-F238E27FC236}">
              <a16:creationId xmlns:a16="http://schemas.microsoft.com/office/drawing/2014/main" id="{00000000-0008-0000-2000-00001B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25</xdr:row>
      <xdr:rowOff>215900</xdr:rowOff>
    </xdr:from>
    <xdr:to>
      <xdr:col>14</xdr:col>
      <xdr:colOff>241300</xdr:colOff>
      <xdr:row>25</xdr:row>
      <xdr:rowOff>558800</xdr:rowOff>
    </xdr:to>
    <xdr:sp macro="" textlink="">
      <xdr:nvSpPr>
        <xdr:cNvPr id="281628" name="CommandButton29" hidden="1">
          <a:extLst>
            <a:ext uri="{63B3BB69-23CF-44E3-9099-C40C66FF867C}">
              <a14:compatExt xmlns:a14="http://schemas.microsoft.com/office/drawing/2010/main" spid="_x0000_s281628"/>
            </a:ext>
            <a:ext uri="{FF2B5EF4-FFF2-40B4-BE49-F238E27FC236}">
              <a16:creationId xmlns:a16="http://schemas.microsoft.com/office/drawing/2014/main" id="{00000000-0008-0000-2000-00001C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25</xdr:row>
      <xdr:rowOff>622300</xdr:rowOff>
    </xdr:from>
    <xdr:to>
      <xdr:col>14</xdr:col>
      <xdr:colOff>241300</xdr:colOff>
      <xdr:row>25</xdr:row>
      <xdr:rowOff>965200</xdr:rowOff>
    </xdr:to>
    <xdr:sp macro="" textlink="">
      <xdr:nvSpPr>
        <xdr:cNvPr id="281629" name="CommandButton30" hidden="1">
          <a:extLst>
            <a:ext uri="{63B3BB69-23CF-44E3-9099-C40C66FF867C}">
              <a14:compatExt xmlns:a14="http://schemas.microsoft.com/office/drawing/2010/main" spid="_x0000_s281629"/>
            </a:ext>
            <a:ext uri="{FF2B5EF4-FFF2-40B4-BE49-F238E27FC236}">
              <a16:creationId xmlns:a16="http://schemas.microsoft.com/office/drawing/2014/main" id="{00000000-0008-0000-2000-00001D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26</xdr:row>
      <xdr:rowOff>254000</xdr:rowOff>
    </xdr:from>
    <xdr:to>
      <xdr:col>14</xdr:col>
      <xdr:colOff>241300</xdr:colOff>
      <xdr:row>26</xdr:row>
      <xdr:rowOff>596900</xdr:rowOff>
    </xdr:to>
    <xdr:sp macro="" textlink="">
      <xdr:nvSpPr>
        <xdr:cNvPr id="281630" name="CommandButton31" hidden="1">
          <a:extLst>
            <a:ext uri="{63B3BB69-23CF-44E3-9099-C40C66FF867C}">
              <a14:compatExt xmlns:a14="http://schemas.microsoft.com/office/drawing/2010/main" spid="_x0000_s281630"/>
            </a:ext>
            <a:ext uri="{FF2B5EF4-FFF2-40B4-BE49-F238E27FC236}">
              <a16:creationId xmlns:a16="http://schemas.microsoft.com/office/drawing/2014/main" id="{00000000-0008-0000-2000-00001E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26</xdr:row>
      <xdr:rowOff>635000</xdr:rowOff>
    </xdr:from>
    <xdr:to>
      <xdr:col>14</xdr:col>
      <xdr:colOff>241300</xdr:colOff>
      <xdr:row>26</xdr:row>
      <xdr:rowOff>977900</xdr:rowOff>
    </xdr:to>
    <xdr:sp macro="" textlink="">
      <xdr:nvSpPr>
        <xdr:cNvPr id="281631" name="CommandButton32" hidden="1">
          <a:extLst>
            <a:ext uri="{63B3BB69-23CF-44E3-9099-C40C66FF867C}">
              <a14:compatExt xmlns:a14="http://schemas.microsoft.com/office/drawing/2010/main" spid="_x0000_s281631"/>
            </a:ext>
            <a:ext uri="{FF2B5EF4-FFF2-40B4-BE49-F238E27FC236}">
              <a16:creationId xmlns:a16="http://schemas.microsoft.com/office/drawing/2014/main" id="{00000000-0008-0000-2000-00001F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27</xdr:row>
      <xdr:rowOff>254000</xdr:rowOff>
    </xdr:from>
    <xdr:to>
      <xdr:col>14</xdr:col>
      <xdr:colOff>241300</xdr:colOff>
      <xdr:row>27</xdr:row>
      <xdr:rowOff>596900</xdr:rowOff>
    </xdr:to>
    <xdr:sp macro="" textlink="">
      <xdr:nvSpPr>
        <xdr:cNvPr id="281632" name="CommandButton33" hidden="1">
          <a:extLst>
            <a:ext uri="{63B3BB69-23CF-44E3-9099-C40C66FF867C}">
              <a14:compatExt xmlns:a14="http://schemas.microsoft.com/office/drawing/2010/main" spid="_x0000_s281632"/>
            </a:ext>
            <a:ext uri="{FF2B5EF4-FFF2-40B4-BE49-F238E27FC236}">
              <a16:creationId xmlns:a16="http://schemas.microsoft.com/office/drawing/2014/main" id="{00000000-0008-0000-2000-000020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27</xdr:row>
      <xdr:rowOff>647700</xdr:rowOff>
    </xdr:from>
    <xdr:to>
      <xdr:col>14</xdr:col>
      <xdr:colOff>241300</xdr:colOff>
      <xdr:row>27</xdr:row>
      <xdr:rowOff>990600</xdr:rowOff>
    </xdr:to>
    <xdr:sp macro="" textlink="">
      <xdr:nvSpPr>
        <xdr:cNvPr id="281633" name="CommandButton34" hidden="1">
          <a:extLst>
            <a:ext uri="{63B3BB69-23CF-44E3-9099-C40C66FF867C}">
              <a14:compatExt xmlns:a14="http://schemas.microsoft.com/office/drawing/2010/main" spid="_x0000_s281633"/>
            </a:ext>
            <a:ext uri="{FF2B5EF4-FFF2-40B4-BE49-F238E27FC236}">
              <a16:creationId xmlns:a16="http://schemas.microsoft.com/office/drawing/2014/main" id="{00000000-0008-0000-2000-000021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28</xdr:row>
      <xdr:rowOff>228600</xdr:rowOff>
    </xdr:from>
    <xdr:to>
      <xdr:col>14</xdr:col>
      <xdr:colOff>241300</xdr:colOff>
      <xdr:row>28</xdr:row>
      <xdr:rowOff>571500</xdr:rowOff>
    </xdr:to>
    <xdr:sp macro="" textlink="">
      <xdr:nvSpPr>
        <xdr:cNvPr id="281634" name="CommandButton35" hidden="1">
          <a:extLst>
            <a:ext uri="{63B3BB69-23CF-44E3-9099-C40C66FF867C}">
              <a14:compatExt xmlns:a14="http://schemas.microsoft.com/office/drawing/2010/main" spid="_x0000_s281634"/>
            </a:ext>
            <a:ext uri="{FF2B5EF4-FFF2-40B4-BE49-F238E27FC236}">
              <a16:creationId xmlns:a16="http://schemas.microsoft.com/office/drawing/2014/main" id="{00000000-0008-0000-2000-000022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28</xdr:row>
      <xdr:rowOff>635000</xdr:rowOff>
    </xdr:from>
    <xdr:to>
      <xdr:col>14</xdr:col>
      <xdr:colOff>241300</xdr:colOff>
      <xdr:row>28</xdr:row>
      <xdr:rowOff>977900</xdr:rowOff>
    </xdr:to>
    <xdr:sp macro="" textlink="">
      <xdr:nvSpPr>
        <xdr:cNvPr id="281635" name="CommandButton36" hidden="1">
          <a:extLst>
            <a:ext uri="{63B3BB69-23CF-44E3-9099-C40C66FF867C}">
              <a14:compatExt xmlns:a14="http://schemas.microsoft.com/office/drawing/2010/main" spid="_x0000_s281635"/>
            </a:ext>
            <a:ext uri="{FF2B5EF4-FFF2-40B4-BE49-F238E27FC236}">
              <a16:creationId xmlns:a16="http://schemas.microsoft.com/office/drawing/2014/main" id="{00000000-0008-0000-2000-000023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29</xdr:row>
      <xdr:rowOff>190500</xdr:rowOff>
    </xdr:from>
    <xdr:to>
      <xdr:col>14</xdr:col>
      <xdr:colOff>241300</xdr:colOff>
      <xdr:row>29</xdr:row>
      <xdr:rowOff>533400</xdr:rowOff>
    </xdr:to>
    <xdr:sp macro="" textlink="">
      <xdr:nvSpPr>
        <xdr:cNvPr id="281636" name="CommandButton37" hidden="1">
          <a:extLst>
            <a:ext uri="{63B3BB69-23CF-44E3-9099-C40C66FF867C}">
              <a14:compatExt xmlns:a14="http://schemas.microsoft.com/office/drawing/2010/main" spid="_x0000_s281636"/>
            </a:ext>
            <a:ext uri="{FF2B5EF4-FFF2-40B4-BE49-F238E27FC236}">
              <a16:creationId xmlns:a16="http://schemas.microsoft.com/office/drawing/2014/main" id="{00000000-0008-0000-2000-000024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29</xdr:row>
      <xdr:rowOff>596900</xdr:rowOff>
    </xdr:from>
    <xdr:to>
      <xdr:col>14</xdr:col>
      <xdr:colOff>241300</xdr:colOff>
      <xdr:row>29</xdr:row>
      <xdr:rowOff>939800</xdr:rowOff>
    </xdr:to>
    <xdr:sp macro="" textlink="">
      <xdr:nvSpPr>
        <xdr:cNvPr id="281637" name="CommandButton38" hidden="1">
          <a:extLst>
            <a:ext uri="{63B3BB69-23CF-44E3-9099-C40C66FF867C}">
              <a14:compatExt xmlns:a14="http://schemas.microsoft.com/office/drawing/2010/main" spid="_x0000_s281637"/>
            </a:ext>
            <a:ext uri="{FF2B5EF4-FFF2-40B4-BE49-F238E27FC236}">
              <a16:creationId xmlns:a16="http://schemas.microsoft.com/office/drawing/2014/main" id="{00000000-0008-0000-2000-000025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30</xdr:row>
      <xdr:rowOff>190500</xdr:rowOff>
    </xdr:from>
    <xdr:to>
      <xdr:col>14</xdr:col>
      <xdr:colOff>241300</xdr:colOff>
      <xdr:row>30</xdr:row>
      <xdr:rowOff>533400</xdr:rowOff>
    </xdr:to>
    <xdr:sp macro="" textlink="">
      <xdr:nvSpPr>
        <xdr:cNvPr id="281638" name="CommandButton39" hidden="1">
          <a:extLst>
            <a:ext uri="{63B3BB69-23CF-44E3-9099-C40C66FF867C}">
              <a14:compatExt xmlns:a14="http://schemas.microsoft.com/office/drawing/2010/main" spid="_x0000_s281638"/>
            </a:ext>
            <a:ext uri="{FF2B5EF4-FFF2-40B4-BE49-F238E27FC236}">
              <a16:creationId xmlns:a16="http://schemas.microsoft.com/office/drawing/2014/main" id="{00000000-0008-0000-2000-000026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30</xdr:row>
      <xdr:rowOff>596900</xdr:rowOff>
    </xdr:from>
    <xdr:to>
      <xdr:col>14</xdr:col>
      <xdr:colOff>241300</xdr:colOff>
      <xdr:row>30</xdr:row>
      <xdr:rowOff>939800</xdr:rowOff>
    </xdr:to>
    <xdr:sp macro="" textlink="">
      <xdr:nvSpPr>
        <xdr:cNvPr id="281639" name="CommandButton40" hidden="1">
          <a:extLst>
            <a:ext uri="{63B3BB69-23CF-44E3-9099-C40C66FF867C}">
              <a14:compatExt xmlns:a14="http://schemas.microsoft.com/office/drawing/2010/main" spid="_x0000_s281639"/>
            </a:ext>
            <a:ext uri="{FF2B5EF4-FFF2-40B4-BE49-F238E27FC236}">
              <a16:creationId xmlns:a16="http://schemas.microsoft.com/office/drawing/2014/main" id="{00000000-0008-0000-2000-000027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31</xdr:row>
      <xdr:rowOff>241300</xdr:rowOff>
    </xdr:from>
    <xdr:to>
      <xdr:col>14</xdr:col>
      <xdr:colOff>241300</xdr:colOff>
      <xdr:row>31</xdr:row>
      <xdr:rowOff>584200</xdr:rowOff>
    </xdr:to>
    <xdr:sp macro="" textlink="">
      <xdr:nvSpPr>
        <xdr:cNvPr id="281640" name="CommandButton41" hidden="1">
          <a:extLst>
            <a:ext uri="{63B3BB69-23CF-44E3-9099-C40C66FF867C}">
              <a14:compatExt xmlns:a14="http://schemas.microsoft.com/office/drawing/2010/main" spid="_x0000_s281640"/>
            </a:ext>
            <a:ext uri="{FF2B5EF4-FFF2-40B4-BE49-F238E27FC236}">
              <a16:creationId xmlns:a16="http://schemas.microsoft.com/office/drawing/2014/main" id="{00000000-0008-0000-2000-000028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31</xdr:row>
      <xdr:rowOff>647700</xdr:rowOff>
    </xdr:from>
    <xdr:to>
      <xdr:col>14</xdr:col>
      <xdr:colOff>241300</xdr:colOff>
      <xdr:row>31</xdr:row>
      <xdr:rowOff>990600</xdr:rowOff>
    </xdr:to>
    <xdr:sp macro="" textlink="">
      <xdr:nvSpPr>
        <xdr:cNvPr id="281641" name="CommandButton42" hidden="1">
          <a:extLst>
            <a:ext uri="{63B3BB69-23CF-44E3-9099-C40C66FF867C}">
              <a14:compatExt xmlns:a14="http://schemas.microsoft.com/office/drawing/2010/main" spid="_x0000_s281641"/>
            </a:ext>
            <a:ext uri="{FF2B5EF4-FFF2-40B4-BE49-F238E27FC236}">
              <a16:creationId xmlns:a16="http://schemas.microsoft.com/office/drawing/2014/main" id="{00000000-0008-0000-2000-000029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32</xdr:row>
      <xdr:rowOff>241300</xdr:rowOff>
    </xdr:from>
    <xdr:to>
      <xdr:col>14</xdr:col>
      <xdr:colOff>241300</xdr:colOff>
      <xdr:row>32</xdr:row>
      <xdr:rowOff>584200</xdr:rowOff>
    </xdr:to>
    <xdr:sp macro="" textlink="">
      <xdr:nvSpPr>
        <xdr:cNvPr id="281642" name="CommandButton43" hidden="1">
          <a:extLst>
            <a:ext uri="{63B3BB69-23CF-44E3-9099-C40C66FF867C}">
              <a14:compatExt xmlns:a14="http://schemas.microsoft.com/office/drawing/2010/main" spid="_x0000_s281642"/>
            </a:ext>
            <a:ext uri="{FF2B5EF4-FFF2-40B4-BE49-F238E27FC236}">
              <a16:creationId xmlns:a16="http://schemas.microsoft.com/office/drawing/2014/main" id="{00000000-0008-0000-2000-00002A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32</xdr:row>
      <xdr:rowOff>660400</xdr:rowOff>
    </xdr:from>
    <xdr:to>
      <xdr:col>14</xdr:col>
      <xdr:colOff>241300</xdr:colOff>
      <xdr:row>32</xdr:row>
      <xdr:rowOff>1003300</xdr:rowOff>
    </xdr:to>
    <xdr:sp macro="" textlink="">
      <xdr:nvSpPr>
        <xdr:cNvPr id="281643" name="CommandButton44" hidden="1">
          <a:extLst>
            <a:ext uri="{63B3BB69-23CF-44E3-9099-C40C66FF867C}">
              <a14:compatExt xmlns:a14="http://schemas.microsoft.com/office/drawing/2010/main" spid="_x0000_s281643"/>
            </a:ext>
            <a:ext uri="{FF2B5EF4-FFF2-40B4-BE49-F238E27FC236}">
              <a16:creationId xmlns:a16="http://schemas.microsoft.com/office/drawing/2014/main" id="{00000000-0008-0000-2000-00002B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33</xdr:row>
      <xdr:rowOff>215900</xdr:rowOff>
    </xdr:from>
    <xdr:to>
      <xdr:col>14</xdr:col>
      <xdr:colOff>241300</xdr:colOff>
      <xdr:row>33</xdr:row>
      <xdr:rowOff>558800</xdr:rowOff>
    </xdr:to>
    <xdr:sp macro="" textlink="">
      <xdr:nvSpPr>
        <xdr:cNvPr id="281644" name="CommandButton45" hidden="1">
          <a:extLst>
            <a:ext uri="{63B3BB69-23CF-44E3-9099-C40C66FF867C}">
              <a14:compatExt xmlns:a14="http://schemas.microsoft.com/office/drawing/2010/main" spid="_x0000_s281644"/>
            </a:ext>
            <a:ext uri="{FF2B5EF4-FFF2-40B4-BE49-F238E27FC236}">
              <a16:creationId xmlns:a16="http://schemas.microsoft.com/office/drawing/2014/main" id="{00000000-0008-0000-2000-00002C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34</xdr:row>
      <xdr:rowOff>254000</xdr:rowOff>
    </xdr:from>
    <xdr:to>
      <xdr:col>14</xdr:col>
      <xdr:colOff>241300</xdr:colOff>
      <xdr:row>34</xdr:row>
      <xdr:rowOff>596900</xdr:rowOff>
    </xdr:to>
    <xdr:sp macro="" textlink="">
      <xdr:nvSpPr>
        <xdr:cNvPr id="281645" name="CommandButton47" hidden="1">
          <a:extLst>
            <a:ext uri="{63B3BB69-23CF-44E3-9099-C40C66FF867C}">
              <a14:compatExt xmlns:a14="http://schemas.microsoft.com/office/drawing/2010/main" spid="_x0000_s281645"/>
            </a:ext>
            <a:ext uri="{FF2B5EF4-FFF2-40B4-BE49-F238E27FC236}">
              <a16:creationId xmlns:a16="http://schemas.microsoft.com/office/drawing/2014/main" id="{00000000-0008-0000-2000-00002D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34</xdr:row>
      <xdr:rowOff>647700</xdr:rowOff>
    </xdr:from>
    <xdr:to>
      <xdr:col>14</xdr:col>
      <xdr:colOff>241300</xdr:colOff>
      <xdr:row>34</xdr:row>
      <xdr:rowOff>990600</xdr:rowOff>
    </xdr:to>
    <xdr:sp macro="" textlink="">
      <xdr:nvSpPr>
        <xdr:cNvPr id="281646" name="CommandButton48" hidden="1">
          <a:extLst>
            <a:ext uri="{63B3BB69-23CF-44E3-9099-C40C66FF867C}">
              <a14:compatExt xmlns:a14="http://schemas.microsoft.com/office/drawing/2010/main" spid="_x0000_s281646"/>
            </a:ext>
            <a:ext uri="{FF2B5EF4-FFF2-40B4-BE49-F238E27FC236}">
              <a16:creationId xmlns:a16="http://schemas.microsoft.com/office/drawing/2014/main" id="{00000000-0008-0000-2000-00002E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35</xdr:row>
      <xdr:rowOff>254000</xdr:rowOff>
    </xdr:from>
    <xdr:to>
      <xdr:col>14</xdr:col>
      <xdr:colOff>241300</xdr:colOff>
      <xdr:row>35</xdr:row>
      <xdr:rowOff>596900</xdr:rowOff>
    </xdr:to>
    <xdr:sp macro="" textlink="">
      <xdr:nvSpPr>
        <xdr:cNvPr id="281647" name="CommandButton49" hidden="1">
          <a:extLst>
            <a:ext uri="{63B3BB69-23CF-44E3-9099-C40C66FF867C}">
              <a14:compatExt xmlns:a14="http://schemas.microsoft.com/office/drawing/2010/main" spid="_x0000_s281647"/>
            </a:ext>
            <a:ext uri="{FF2B5EF4-FFF2-40B4-BE49-F238E27FC236}">
              <a16:creationId xmlns:a16="http://schemas.microsoft.com/office/drawing/2014/main" id="{00000000-0008-0000-2000-00002F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35</xdr:row>
      <xdr:rowOff>660400</xdr:rowOff>
    </xdr:from>
    <xdr:to>
      <xdr:col>14</xdr:col>
      <xdr:colOff>241300</xdr:colOff>
      <xdr:row>35</xdr:row>
      <xdr:rowOff>1003300</xdr:rowOff>
    </xdr:to>
    <xdr:sp macro="" textlink="">
      <xdr:nvSpPr>
        <xdr:cNvPr id="281648" name="CommandButton50" hidden="1">
          <a:extLst>
            <a:ext uri="{63B3BB69-23CF-44E3-9099-C40C66FF867C}">
              <a14:compatExt xmlns:a14="http://schemas.microsoft.com/office/drawing/2010/main" spid="_x0000_s281648"/>
            </a:ext>
            <a:ext uri="{FF2B5EF4-FFF2-40B4-BE49-F238E27FC236}">
              <a16:creationId xmlns:a16="http://schemas.microsoft.com/office/drawing/2014/main" id="{00000000-0008-0000-2000-000030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36</xdr:row>
      <xdr:rowOff>177800</xdr:rowOff>
    </xdr:from>
    <xdr:to>
      <xdr:col>14</xdr:col>
      <xdr:colOff>241300</xdr:colOff>
      <xdr:row>36</xdr:row>
      <xdr:rowOff>520700</xdr:rowOff>
    </xdr:to>
    <xdr:sp macro="" textlink="">
      <xdr:nvSpPr>
        <xdr:cNvPr id="281649" name="CommandButton51" hidden="1">
          <a:extLst>
            <a:ext uri="{63B3BB69-23CF-44E3-9099-C40C66FF867C}">
              <a14:compatExt xmlns:a14="http://schemas.microsoft.com/office/drawing/2010/main" spid="_x0000_s281649"/>
            </a:ext>
            <a:ext uri="{FF2B5EF4-FFF2-40B4-BE49-F238E27FC236}">
              <a16:creationId xmlns:a16="http://schemas.microsoft.com/office/drawing/2014/main" id="{00000000-0008-0000-2000-000031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36</xdr:row>
      <xdr:rowOff>584200</xdr:rowOff>
    </xdr:from>
    <xdr:to>
      <xdr:col>14</xdr:col>
      <xdr:colOff>241300</xdr:colOff>
      <xdr:row>36</xdr:row>
      <xdr:rowOff>927100</xdr:rowOff>
    </xdr:to>
    <xdr:sp macro="" textlink="">
      <xdr:nvSpPr>
        <xdr:cNvPr id="281650" name="CommandButton52" hidden="1">
          <a:extLst>
            <a:ext uri="{63B3BB69-23CF-44E3-9099-C40C66FF867C}">
              <a14:compatExt xmlns:a14="http://schemas.microsoft.com/office/drawing/2010/main" spid="_x0000_s281650"/>
            </a:ext>
            <a:ext uri="{FF2B5EF4-FFF2-40B4-BE49-F238E27FC236}">
              <a16:creationId xmlns:a16="http://schemas.microsoft.com/office/drawing/2014/main" id="{00000000-0008-0000-2000-000032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13</xdr:col>
      <xdr:colOff>139700</xdr:colOff>
      <xdr:row>37</xdr:row>
      <xdr:rowOff>254000</xdr:rowOff>
    </xdr:from>
    <xdr:to>
      <xdr:col>14</xdr:col>
      <xdr:colOff>254000</xdr:colOff>
      <xdr:row>37</xdr:row>
      <xdr:rowOff>584200</xdr:rowOff>
    </xdr:to>
    <xdr:sp macro="" textlink="">
      <xdr:nvSpPr>
        <xdr:cNvPr id="281651" name="CommandButton53" hidden="1">
          <a:extLst>
            <a:ext uri="{63B3BB69-23CF-44E3-9099-C40C66FF867C}">
              <a14:compatExt xmlns:a14="http://schemas.microsoft.com/office/drawing/2010/main" spid="_x0000_s281651"/>
            </a:ext>
            <a:ext uri="{FF2B5EF4-FFF2-40B4-BE49-F238E27FC236}">
              <a16:creationId xmlns:a16="http://schemas.microsoft.com/office/drawing/2014/main" id="{00000000-0008-0000-2000-000033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13</xdr:col>
      <xdr:colOff>139700</xdr:colOff>
      <xdr:row>37</xdr:row>
      <xdr:rowOff>647700</xdr:rowOff>
    </xdr:from>
    <xdr:to>
      <xdr:col>14</xdr:col>
      <xdr:colOff>254000</xdr:colOff>
      <xdr:row>37</xdr:row>
      <xdr:rowOff>990600</xdr:rowOff>
    </xdr:to>
    <xdr:sp macro="" textlink="">
      <xdr:nvSpPr>
        <xdr:cNvPr id="281652" name="CommandButton54" hidden="1">
          <a:extLst>
            <a:ext uri="{63B3BB69-23CF-44E3-9099-C40C66FF867C}">
              <a14:compatExt xmlns:a14="http://schemas.microsoft.com/office/drawing/2010/main" spid="_x0000_s281652"/>
            </a:ext>
            <a:ext uri="{FF2B5EF4-FFF2-40B4-BE49-F238E27FC236}">
              <a16:creationId xmlns:a16="http://schemas.microsoft.com/office/drawing/2014/main" id="{00000000-0008-0000-2000-000034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38</xdr:row>
      <xdr:rowOff>304800</xdr:rowOff>
    </xdr:from>
    <xdr:to>
      <xdr:col>14</xdr:col>
      <xdr:colOff>241300</xdr:colOff>
      <xdr:row>38</xdr:row>
      <xdr:rowOff>647700</xdr:rowOff>
    </xdr:to>
    <xdr:sp macro="" textlink="">
      <xdr:nvSpPr>
        <xdr:cNvPr id="281653" name="CommandButton55" hidden="1">
          <a:extLst>
            <a:ext uri="{63B3BB69-23CF-44E3-9099-C40C66FF867C}">
              <a14:compatExt xmlns:a14="http://schemas.microsoft.com/office/drawing/2010/main" spid="_x0000_s281653"/>
            </a:ext>
            <a:ext uri="{FF2B5EF4-FFF2-40B4-BE49-F238E27FC236}">
              <a16:creationId xmlns:a16="http://schemas.microsoft.com/office/drawing/2014/main" id="{00000000-0008-0000-2000-000035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39</xdr:row>
      <xdr:rowOff>292100</xdr:rowOff>
    </xdr:from>
    <xdr:to>
      <xdr:col>14</xdr:col>
      <xdr:colOff>241300</xdr:colOff>
      <xdr:row>39</xdr:row>
      <xdr:rowOff>635000</xdr:rowOff>
    </xdr:to>
    <xdr:sp macro="" textlink="">
      <xdr:nvSpPr>
        <xdr:cNvPr id="281654" name="CommandButton57" hidden="1">
          <a:extLst>
            <a:ext uri="{63B3BB69-23CF-44E3-9099-C40C66FF867C}">
              <a14:compatExt xmlns:a14="http://schemas.microsoft.com/office/drawing/2010/main" spid="_x0000_s281654"/>
            </a:ext>
            <a:ext uri="{FF2B5EF4-FFF2-40B4-BE49-F238E27FC236}">
              <a16:creationId xmlns:a16="http://schemas.microsoft.com/office/drawing/2014/main" id="{00000000-0008-0000-2000-000036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39</xdr:row>
      <xdr:rowOff>762000</xdr:rowOff>
    </xdr:from>
    <xdr:to>
      <xdr:col>14</xdr:col>
      <xdr:colOff>241300</xdr:colOff>
      <xdr:row>39</xdr:row>
      <xdr:rowOff>1104900</xdr:rowOff>
    </xdr:to>
    <xdr:sp macro="" textlink="">
      <xdr:nvSpPr>
        <xdr:cNvPr id="281655" name="CommandButton58" hidden="1">
          <a:extLst>
            <a:ext uri="{63B3BB69-23CF-44E3-9099-C40C66FF867C}">
              <a14:compatExt xmlns:a14="http://schemas.microsoft.com/office/drawing/2010/main" spid="_x0000_s281655"/>
            </a:ext>
            <a:ext uri="{FF2B5EF4-FFF2-40B4-BE49-F238E27FC236}">
              <a16:creationId xmlns:a16="http://schemas.microsoft.com/office/drawing/2014/main" id="{00000000-0008-0000-2000-000037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40</xdr:row>
      <xdr:rowOff>342900</xdr:rowOff>
    </xdr:from>
    <xdr:to>
      <xdr:col>14</xdr:col>
      <xdr:colOff>241300</xdr:colOff>
      <xdr:row>40</xdr:row>
      <xdr:rowOff>685800</xdr:rowOff>
    </xdr:to>
    <xdr:sp macro="" textlink="">
      <xdr:nvSpPr>
        <xdr:cNvPr id="281656" name="CommandButton59" hidden="1">
          <a:extLst>
            <a:ext uri="{63B3BB69-23CF-44E3-9099-C40C66FF867C}">
              <a14:compatExt xmlns:a14="http://schemas.microsoft.com/office/drawing/2010/main" spid="_x0000_s281656"/>
            </a:ext>
            <a:ext uri="{FF2B5EF4-FFF2-40B4-BE49-F238E27FC236}">
              <a16:creationId xmlns:a16="http://schemas.microsoft.com/office/drawing/2014/main" id="{00000000-0008-0000-2000-000038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40</xdr:row>
      <xdr:rowOff>749300</xdr:rowOff>
    </xdr:from>
    <xdr:to>
      <xdr:col>14</xdr:col>
      <xdr:colOff>241300</xdr:colOff>
      <xdr:row>40</xdr:row>
      <xdr:rowOff>1092200</xdr:rowOff>
    </xdr:to>
    <xdr:sp macro="" textlink="">
      <xdr:nvSpPr>
        <xdr:cNvPr id="281657" name="CommandButton60" hidden="1">
          <a:extLst>
            <a:ext uri="{63B3BB69-23CF-44E3-9099-C40C66FF867C}">
              <a14:compatExt xmlns:a14="http://schemas.microsoft.com/office/drawing/2010/main" spid="_x0000_s281657"/>
            </a:ext>
            <a:ext uri="{FF2B5EF4-FFF2-40B4-BE49-F238E27FC236}">
              <a16:creationId xmlns:a16="http://schemas.microsoft.com/office/drawing/2014/main" id="{00000000-0008-0000-2000-000039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38</xdr:row>
      <xdr:rowOff>711200</xdr:rowOff>
    </xdr:from>
    <xdr:to>
      <xdr:col>14</xdr:col>
      <xdr:colOff>241300</xdr:colOff>
      <xdr:row>38</xdr:row>
      <xdr:rowOff>1054100</xdr:rowOff>
    </xdr:to>
    <xdr:sp macro="" textlink="">
      <xdr:nvSpPr>
        <xdr:cNvPr id="281658" name="CommandButton61" hidden="1">
          <a:extLst>
            <a:ext uri="{63B3BB69-23CF-44E3-9099-C40C66FF867C}">
              <a14:compatExt xmlns:a14="http://schemas.microsoft.com/office/drawing/2010/main" spid="_x0000_s281658"/>
            </a:ext>
            <a:ext uri="{FF2B5EF4-FFF2-40B4-BE49-F238E27FC236}">
              <a16:creationId xmlns:a16="http://schemas.microsoft.com/office/drawing/2014/main" id="{00000000-0008-0000-2000-00003A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33</xdr:row>
      <xdr:rowOff>635000</xdr:rowOff>
    </xdr:from>
    <xdr:to>
      <xdr:col>14</xdr:col>
      <xdr:colOff>241300</xdr:colOff>
      <xdr:row>33</xdr:row>
      <xdr:rowOff>977900</xdr:rowOff>
    </xdr:to>
    <xdr:sp macro="" textlink="">
      <xdr:nvSpPr>
        <xdr:cNvPr id="281659" name="CommandButton80" hidden="1">
          <a:extLst>
            <a:ext uri="{63B3BB69-23CF-44E3-9099-C40C66FF867C}">
              <a14:compatExt xmlns:a14="http://schemas.microsoft.com/office/drawing/2010/main" spid="_x0000_s281659"/>
            </a:ext>
            <a:ext uri="{FF2B5EF4-FFF2-40B4-BE49-F238E27FC236}">
              <a16:creationId xmlns:a16="http://schemas.microsoft.com/office/drawing/2014/main" id="{00000000-0008-0000-2000-00003B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139700</xdr:colOff>
      <xdr:row>12</xdr:row>
      <xdr:rowOff>787400</xdr:rowOff>
    </xdr:from>
    <xdr:to>
      <xdr:col>14</xdr:col>
      <xdr:colOff>241300</xdr:colOff>
      <xdr:row>12</xdr:row>
      <xdr:rowOff>1130300</xdr:rowOff>
    </xdr:to>
    <xdr:sp macro="" textlink="">
      <xdr:nvSpPr>
        <xdr:cNvPr id="281660" name="CommandButton81" hidden="1">
          <a:extLst>
            <a:ext uri="{63B3BB69-23CF-44E3-9099-C40C66FF867C}">
              <a14:compatExt xmlns:a14="http://schemas.microsoft.com/office/drawing/2010/main" spid="_x0000_s281660"/>
            </a:ext>
            <a:ext uri="{FF2B5EF4-FFF2-40B4-BE49-F238E27FC236}">
              <a16:creationId xmlns:a16="http://schemas.microsoft.com/office/drawing/2014/main" id="{00000000-0008-0000-2000-00003C4C04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13</xdr:col>
      <xdr:colOff>83820</xdr:colOff>
      <xdr:row>11</xdr:row>
      <xdr:rowOff>129540</xdr:rowOff>
    </xdr:from>
    <xdr:to>
      <xdr:col>14</xdr:col>
      <xdr:colOff>144780</xdr:colOff>
      <xdr:row>11</xdr:row>
      <xdr:rowOff>335280</xdr:rowOff>
    </xdr:to>
    <xdr:pic>
      <xdr:nvPicPr>
        <xdr:cNvPr id="2" name="CommandButton1">
          <a:extLst>
            <a:ext uri="{FF2B5EF4-FFF2-40B4-BE49-F238E27FC236}">
              <a16:creationId xmlns:a16="http://schemas.microsoft.com/office/drawing/2014/main" id="{00000000-0008-0000-2000-00000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318480" y="455676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11</xdr:row>
      <xdr:rowOff>358140</xdr:rowOff>
    </xdr:from>
    <xdr:to>
      <xdr:col>14</xdr:col>
      <xdr:colOff>137160</xdr:colOff>
      <xdr:row>11</xdr:row>
      <xdr:rowOff>563880</xdr:rowOff>
    </xdr:to>
    <xdr:pic>
      <xdr:nvPicPr>
        <xdr:cNvPr id="3" name="CommandButton2">
          <a:extLst>
            <a:ext uri="{FF2B5EF4-FFF2-40B4-BE49-F238E27FC236}">
              <a16:creationId xmlns:a16="http://schemas.microsoft.com/office/drawing/2014/main" id="{00000000-0008-0000-2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318480" y="4785360"/>
          <a:ext cx="174498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12</xdr:row>
      <xdr:rowOff>236220</xdr:rowOff>
    </xdr:from>
    <xdr:to>
      <xdr:col>14</xdr:col>
      <xdr:colOff>144780</xdr:colOff>
      <xdr:row>12</xdr:row>
      <xdr:rowOff>441960</xdr:rowOff>
    </xdr:to>
    <xdr:pic>
      <xdr:nvPicPr>
        <xdr:cNvPr id="4" name="CommandButton3">
          <a:extLst>
            <a:ext uri="{FF2B5EF4-FFF2-40B4-BE49-F238E27FC236}">
              <a16:creationId xmlns:a16="http://schemas.microsoft.com/office/drawing/2014/main" id="{00000000-0008-0000-2000-00000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318480" y="583692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13</xdr:row>
      <xdr:rowOff>114300</xdr:rowOff>
    </xdr:from>
    <xdr:to>
      <xdr:col>14</xdr:col>
      <xdr:colOff>144780</xdr:colOff>
      <xdr:row>13</xdr:row>
      <xdr:rowOff>320040</xdr:rowOff>
    </xdr:to>
    <xdr:pic>
      <xdr:nvPicPr>
        <xdr:cNvPr id="5" name="CommandButton5">
          <a:extLst>
            <a:ext uri="{FF2B5EF4-FFF2-40B4-BE49-F238E27FC236}">
              <a16:creationId xmlns:a16="http://schemas.microsoft.com/office/drawing/2014/main" id="{00000000-0008-0000-2000-000005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318480" y="688848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13</xdr:row>
      <xdr:rowOff>358140</xdr:rowOff>
    </xdr:from>
    <xdr:to>
      <xdr:col>14</xdr:col>
      <xdr:colOff>144780</xdr:colOff>
      <xdr:row>13</xdr:row>
      <xdr:rowOff>563880</xdr:rowOff>
    </xdr:to>
    <xdr:pic>
      <xdr:nvPicPr>
        <xdr:cNvPr id="6" name="CommandButton6">
          <a:extLst>
            <a:ext uri="{FF2B5EF4-FFF2-40B4-BE49-F238E27FC236}">
              <a16:creationId xmlns:a16="http://schemas.microsoft.com/office/drawing/2014/main" id="{00000000-0008-0000-2000-000006000000}"/>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8318480" y="713232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14</xdr:row>
      <xdr:rowOff>106680</xdr:rowOff>
    </xdr:from>
    <xdr:to>
      <xdr:col>14</xdr:col>
      <xdr:colOff>144780</xdr:colOff>
      <xdr:row>14</xdr:row>
      <xdr:rowOff>312420</xdr:rowOff>
    </xdr:to>
    <xdr:pic>
      <xdr:nvPicPr>
        <xdr:cNvPr id="7" name="CommandButton7">
          <a:extLst>
            <a:ext uri="{FF2B5EF4-FFF2-40B4-BE49-F238E27FC236}">
              <a16:creationId xmlns:a16="http://schemas.microsoft.com/office/drawing/2014/main" id="{00000000-0008-0000-2000-000007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8318480" y="805434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14</xdr:row>
      <xdr:rowOff>342900</xdr:rowOff>
    </xdr:from>
    <xdr:to>
      <xdr:col>14</xdr:col>
      <xdr:colOff>144780</xdr:colOff>
      <xdr:row>14</xdr:row>
      <xdr:rowOff>548640</xdr:rowOff>
    </xdr:to>
    <xdr:pic>
      <xdr:nvPicPr>
        <xdr:cNvPr id="8" name="CommandButton8">
          <a:extLst>
            <a:ext uri="{FF2B5EF4-FFF2-40B4-BE49-F238E27FC236}">
              <a16:creationId xmlns:a16="http://schemas.microsoft.com/office/drawing/2014/main" id="{00000000-0008-0000-2000-000008000000}"/>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8318480" y="829056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15</xdr:row>
      <xdr:rowOff>83820</xdr:rowOff>
    </xdr:from>
    <xdr:to>
      <xdr:col>14</xdr:col>
      <xdr:colOff>144780</xdr:colOff>
      <xdr:row>15</xdr:row>
      <xdr:rowOff>289560</xdr:rowOff>
    </xdr:to>
    <xdr:pic>
      <xdr:nvPicPr>
        <xdr:cNvPr id="9" name="CommandButton9">
          <a:extLst>
            <a:ext uri="{FF2B5EF4-FFF2-40B4-BE49-F238E27FC236}">
              <a16:creationId xmlns:a16="http://schemas.microsoft.com/office/drawing/2014/main" id="{00000000-0008-0000-2000-00000900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8318480" y="920496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15</xdr:row>
      <xdr:rowOff>327660</xdr:rowOff>
    </xdr:from>
    <xdr:to>
      <xdr:col>14</xdr:col>
      <xdr:colOff>144780</xdr:colOff>
      <xdr:row>15</xdr:row>
      <xdr:rowOff>533400</xdr:rowOff>
    </xdr:to>
    <xdr:pic>
      <xdr:nvPicPr>
        <xdr:cNvPr id="10" name="CommandButton10">
          <a:extLst>
            <a:ext uri="{FF2B5EF4-FFF2-40B4-BE49-F238E27FC236}">
              <a16:creationId xmlns:a16="http://schemas.microsoft.com/office/drawing/2014/main" id="{00000000-0008-0000-2000-00000A000000}"/>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8318480" y="944880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16</xdr:row>
      <xdr:rowOff>129540</xdr:rowOff>
    </xdr:from>
    <xdr:to>
      <xdr:col>14</xdr:col>
      <xdr:colOff>144780</xdr:colOff>
      <xdr:row>16</xdr:row>
      <xdr:rowOff>335280</xdr:rowOff>
    </xdr:to>
    <xdr:pic>
      <xdr:nvPicPr>
        <xdr:cNvPr id="11" name="CommandButton11">
          <a:extLst>
            <a:ext uri="{FF2B5EF4-FFF2-40B4-BE49-F238E27FC236}">
              <a16:creationId xmlns:a16="http://schemas.microsoft.com/office/drawing/2014/main" id="{00000000-0008-0000-2000-00000B000000}"/>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8318480" y="1042416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16</xdr:row>
      <xdr:rowOff>365760</xdr:rowOff>
    </xdr:from>
    <xdr:to>
      <xdr:col>14</xdr:col>
      <xdr:colOff>144780</xdr:colOff>
      <xdr:row>16</xdr:row>
      <xdr:rowOff>571500</xdr:rowOff>
    </xdr:to>
    <xdr:pic>
      <xdr:nvPicPr>
        <xdr:cNvPr id="12" name="CommandButton12">
          <a:extLst>
            <a:ext uri="{FF2B5EF4-FFF2-40B4-BE49-F238E27FC236}">
              <a16:creationId xmlns:a16="http://schemas.microsoft.com/office/drawing/2014/main" id="{00000000-0008-0000-2000-00000C000000}"/>
            </a:ext>
          </a:extLst>
        </xdr:cNvPr>
        <xdr:cNvPicPr preferRelativeResize="0">
          <a:picLocks noChangeArrowheads="1" noChangeShapeType="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8318480" y="1066038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17</xdr:row>
      <xdr:rowOff>129540</xdr:rowOff>
    </xdr:from>
    <xdr:to>
      <xdr:col>14</xdr:col>
      <xdr:colOff>144780</xdr:colOff>
      <xdr:row>17</xdr:row>
      <xdr:rowOff>335280</xdr:rowOff>
    </xdr:to>
    <xdr:pic>
      <xdr:nvPicPr>
        <xdr:cNvPr id="13" name="CommandButton13">
          <a:extLst>
            <a:ext uri="{FF2B5EF4-FFF2-40B4-BE49-F238E27FC236}">
              <a16:creationId xmlns:a16="http://schemas.microsoft.com/office/drawing/2014/main" id="{00000000-0008-0000-2000-00000D000000}"/>
            </a:ext>
          </a:extLst>
        </xdr:cNvPr>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8318480" y="1159764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17</xdr:row>
      <xdr:rowOff>365760</xdr:rowOff>
    </xdr:from>
    <xdr:to>
      <xdr:col>14</xdr:col>
      <xdr:colOff>144780</xdr:colOff>
      <xdr:row>17</xdr:row>
      <xdr:rowOff>571500</xdr:rowOff>
    </xdr:to>
    <xdr:pic>
      <xdr:nvPicPr>
        <xdr:cNvPr id="14" name="CommandButton14">
          <a:extLst>
            <a:ext uri="{FF2B5EF4-FFF2-40B4-BE49-F238E27FC236}">
              <a16:creationId xmlns:a16="http://schemas.microsoft.com/office/drawing/2014/main" id="{00000000-0008-0000-2000-00000E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8318480" y="1183386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18</xdr:row>
      <xdr:rowOff>137160</xdr:rowOff>
    </xdr:from>
    <xdr:to>
      <xdr:col>14</xdr:col>
      <xdr:colOff>144780</xdr:colOff>
      <xdr:row>18</xdr:row>
      <xdr:rowOff>342900</xdr:rowOff>
    </xdr:to>
    <xdr:pic>
      <xdr:nvPicPr>
        <xdr:cNvPr id="15" name="CommandButton15">
          <a:extLst>
            <a:ext uri="{FF2B5EF4-FFF2-40B4-BE49-F238E27FC236}">
              <a16:creationId xmlns:a16="http://schemas.microsoft.com/office/drawing/2014/main" id="{00000000-0008-0000-2000-00000F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8318480" y="1277874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18</xdr:row>
      <xdr:rowOff>373380</xdr:rowOff>
    </xdr:from>
    <xdr:to>
      <xdr:col>14</xdr:col>
      <xdr:colOff>144780</xdr:colOff>
      <xdr:row>18</xdr:row>
      <xdr:rowOff>579120</xdr:rowOff>
    </xdr:to>
    <xdr:pic>
      <xdr:nvPicPr>
        <xdr:cNvPr id="16" name="CommandButton16">
          <a:extLst>
            <a:ext uri="{FF2B5EF4-FFF2-40B4-BE49-F238E27FC236}">
              <a16:creationId xmlns:a16="http://schemas.microsoft.com/office/drawing/2014/main" id="{00000000-0008-0000-2000-000010000000}"/>
            </a:ext>
          </a:extLst>
        </xdr:cNvPr>
        <xdr:cNvPicPr preferRelativeResize="0">
          <a:picLocks noChangeArrowheads="1" noChangeShapeType="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318480" y="1301496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19</xdr:row>
      <xdr:rowOff>129540</xdr:rowOff>
    </xdr:from>
    <xdr:to>
      <xdr:col>14</xdr:col>
      <xdr:colOff>144780</xdr:colOff>
      <xdr:row>19</xdr:row>
      <xdr:rowOff>335280</xdr:rowOff>
    </xdr:to>
    <xdr:pic>
      <xdr:nvPicPr>
        <xdr:cNvPr id="17" name="CommandButton17">
          <a:extLst>
            <a:ext uri="{FF2B5EF4-FFF2-40B4-BE49-F238E27FC236}">
              <a16:creationId xmlns:a16="http://schemas.microsoft.com/office/drawing/2014/main" id="{00000000-0008-0000-2000-000011000000}"/>
            </a:ext>
          </a:extLst>
        </xdr:cNvPr>
        <xdr:cNvPicPr preferRelativeResize="0">
          <a:picLocks noChangeArrowheads="1" noChangeShapeType="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8318480" y="1394460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19</xdr:row>
      <xdr:rowOff>365760</xdr:rowOff>
    </xdr:from>
    <xdr:to>
      <xdr:col>14</xdr:col>
      <xdr:colOff>144780</xdr:colOff>
      <xdr:row>19</xdr:row>
      <xdr:rowOff>571500</xdr:rowOff>
    </xdr:to>
    <xdr:pic>
      <xdr:nvPicPr>
        <xdr:cNvPr id="18" name="CommandButton18">
          <a:extLst>
            <a:ext uri="{FF2B5EF4-FFF2-40B4-BE49-F238E27FC236}">
              <a16:creationId xmlns:a16="http://schemas.microsoft.com/office/drawing/2014/main" id="{00000000-0008-0000-2000-000012000000}"/>
            </a:ext>
          </a:extLst>
        </xdr:cNvPr>
        <xdr:cNvPicPr preferRelativeResize="0">
          <a:picLocks noChangeArrowheads="1" noChangeShapeType="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8318480" y="1418082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20</xdr:row>
      <xdr:rowOff>121920</xdr:rowOff>
    </xdr:from>
    <xdr:to>
      <xdr:col>14</xdr:col>
      <xdr:colOff>144780</xdr:colOff>
      <xdr:row>20</xdr:row>
      <xdr:rowOff>327660</xdr:rowOff>
    </xdr:to>
    <xdr:pic>
      <xdr:nvPicPr>
        <xdr:cNvPr id="19" name="CommandButton19">
          <a:extLst>
            <a:ext uri="{FF2B5EF4-FFF2-40B4-BE49-F238E27FC236}">
              <a16:creationId xmlns:a16="http://schemas.microsoft.com/office/drawing/2014/main" id="{00000000-0008-0000-2000-000013000000}"/>
            </a:ext>
          </a:extLst>
        </xdr:cNvPr>
        <xdr:cNvPicPr preferRelativeResize="0">
          <a:picLocks noChangeArrowheads="1" noChangeShapeType="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8318480" y="1511046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20</xdr:row>
      <xdr:rowOff>342900</xdr:rowOff>
    </xdr:from>
    <xdr:to>
      <xdr:col>14</xdr:col>
      <xdr:colOff>144780</xdr:colOff>
      <xdr:row>20</xdr:row>
      <xdr:rowOff>548640</xdr:rowOff>
    </xdr:to>
    <xdr:pic>
      <xdr:nvPicPr>
        <xdr:cNvPr id="20" name="CommandButton20">
          <a:extLst>
            <a:ext uri="{FF2B5EF4-FFF2-40B4-BE49-F238E27FC236}">
              <a16:creationId xmlns:a16="http://schemas.microsoft.com/office/drawing/2014/main" id="{00000000-0008-0000-2000-000014000000}"/>
            </a:ext>
          </a:extLst>
        </xdr:cNvPr>
        <xdr:cNvPicPr preferRelativeResize="0">
          <a:picLocks noChangeArrowheads="1" noChangeShapeType="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8318480" y="1533144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21</xdr:row>
      <xdr:rowOff>114300</xdr:rowOff>
    </xdr:from>
    <xdr:to>
      <xdr:col>14</xdr:col>
      <xdr:colOff>144780</xdr:colOff>
      <xdr:row>21</xdr:row>
      <xdr:rowOff>320040</xdr:rowOff>
    </xdr:to>
    <xdr:pic>
      <xdr:nvPicPr>
        <xdr:cNvPr id="21" name="CommandButton21">
          <a:extLst>
            <a:ext uri="{FF2B5EF4-FFF2-40B4-BE49-F238E27FC236}">
              <a16:creationId xmlns:a16="http://schemas.microsoft.com/office/drawing/2014/main" id="{00000000-0008-0000-2000-000015000000}"/>
            </a:ext>
          </a:extLst>
        </xdr:cNvPr>
        <xdr:cNvPicPr preferRelativeResize="0">
          <a:picLocks noChangeArrowheads="1" noChangeShapeType="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8318480" y="1627632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21</xdr:row>
      <xdr:rowOff>358140</xdr:rowOff>
    </xdr:from>
    <xdr:to>
      <xdr:col>14</xdr:col>
      <xdr:colOff>144780</xdr:colOff>
      <xdr:row>21</xdr:row>
      <xdr:rowOff>563880</xdr:rowOff>
    </xdr:to>
    <xdr:pic>
      <xdr:nvPicPr>
        <xdr:cNvPr id="22" name="CommandButton22">
          <a:extLst>
            <a:ext uri="{FF2B5EF4-FFF2-40B4-BE49-F238E27FC236}">
              <a16:creationId xmlns:a16="http://schemas.microsoft.com/office/drawing/2014/main" id="{00000000-0008-0000-2000-000016000000}"/>
            </a:ext>
          </a:extLst>
        </xdr:cNvPr>
        <xdr:cNvPicPr preferRelativeResize="0">
          <a:picLocks noChangeArrowheads="1" noChangeShapeType="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8318480" y="1652016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22</xdr:row>
      <xdr:rowOff>137160</xdr:rowOff>
    </xdr:from>
    <xdr:to>
      <xdr:col>14</xdr:col>
      <xdr:colOff>144780</xdr:colOff>
      <xdr:row>22</xdr:row>
      <xdr:rowOff>342900</xdr:rowOff>
    </xdr:to>
    <xdr:pic>
      <xdr:nvPicPr>
        <xdr:cNvPr id="23" name="CommandButton23">
          <a:extLst>
            <a:ext uri="{FF2B5EF4-FFF2-40B4-BE49-F238E27FC236}">
              <a16:creationId xmlns:a16="http://schemas.microsoft.com/office/drawing/2014/main" id="{00000000-0008-0000-2000-000017000000}"/>
            </a:ext>
          </a:extLst>
        </xdr:cNvPr>
        <xdr:cNvPicPr preferRelativeResize="0">
          <a:picLocks noChangeArrowheads="1" noChangeShapeType="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8318480" y="1747266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22</xdr:row>
      <xdr:rowOff>381000</xdr:rowOff>
    </xdr:from>
    <xdr:to>
      <xdr:col>14</xdr:col>
      <xdr:colOff>144780</xdr:colOff>
      <xdr:row>22</xdr:row>
      <xdr:rowOff>586740</xdr:rowOff>
    </xdr:to>
    <xdr:pic>
      <xdr:nvPicPr>
        <xdr:cNvPr id="24" name="CommandButton24">
          <a:extLst>
            <a:ext uri="{FF2B5EF4-FFF2-40B4-BE49-F238E27FC236}">
              <a16:creationId xmlns:a16="http://schemas.microsoft.com/office/drawing/2014/main" id="{00000000-0008-0000-2000-000018000000}"/>
            </a:ext>
          </a:extLst>
        </xdr:cNvPr>
        <xdr:cNvPicPr preferRelativeResize="0">
          <a:picLocks noChangeArrowheads="1" noChangeShapeType="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18318480" y="1771650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23</xdr:row>
      <xdr:rowOff>129540</xdr:rowOff>
    </xdr:from>
    <xdr:to>
      <xdr:col>14</xdr:col>
      <xdr:colOff>144780</xdr:colOff>
      <xdr:row>23</xdr:row>
      <xdr:rowOff>335280</xdr:rowOff>
    </xdr:to>
    <xdr:pic>
      <xdr:nvPicPr>
        <xdr:cNvPr id="25" name="CommandButton25">
          <a:extLst>
            <a:ext uri="{FF2B5EF4-FFF2-40B4-BE49-F238E27FC236}">
              <a16:creationId xmlns:a16="http://schemas.microsoft.com/office/drawing/2014/main" id="{00000000-0008-0000-2000-000019000000}"/>
            </a:ext>
          </a:extLst>
        </xdr:cNvPr>
        <xdr:cNvPicPr preferRelativeResize="0">
          <a:picLocks noChangeArrowheads="1" noChangeShapeType="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8318480" y="1863852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23</xdr:row>
      <xdr:rowOff>381000</xdr:rowOff>
    </xdr:from>
    <xdr:to>
      <xdr:col>14</xdr:col>
      <xdr:colOff>144780</xdr:colOff>
      <xdr:row>23</xdr:row>
      <xdr:rowOff>586740</xdr:rowOff>
    </xdr:to>
    <xdr:pic>
      <xdr:nvPicPr>
        <xdr:cNvPr id="26" name="CommandButton26">
          <a:extLst>
            <a:ext uri="{FF2B5EF4-FFF2-40B4-BE49-F238E27FC236}">
              <a16:creationId xmlns:a16="http://schemas.microsoft.com/office/drawing/2014/main" id="{00000000-0008-0000-2000-00001A000000}"/>
            </a:ext>
          </a:extLst>
        </xdr:cNvPr>
        <xdr:cNvPicPr preferRelativeResize="0">
          <a:picLocks noChangeArrowheads="1" noChangeShapeType="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8318480" y="1888998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24</xdr:row>
      <xdr:rowOff>106680</xdr:rowOff>
    </xdr:from>
    <xdr:to>
      <xdr:col>14</xdr:col>
      <xdr:colOff>144780</xdr:colOff>
      <xdr:row>24</xdr:row>
      <xdr:rowOff>312420</xdr:rowOff>
    </xdr:to>
    <xdr:pic>
      <xdr:nvPicPr>
        <xdr:cNvPr id="27" name="CommandButton27">
          <a:extLst>
            <a:ext uri="{FF2B5EF4-FFF2-40B4-BE49-F238E27FC236}">
              <a16:creationId xmlns:a16="http://schemas.microsoft.com/office/drawing/2014/main" id="{00000000-0008-0000-2000-00001B000000}"/>
            </a:ext>
          </a:extLst>
        </xdr:cNvPr>
        <xdr:cNvPicPr preferRelativeResize="0">
          <a:picLocks noChangeArrowheads="1" noChangeShapeType="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8318480" y="1978914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24</xdr:row>
      <xdr:rowOff>350520</xdr:rowOff>
    </xdr:from>
    <xdr:to>
      <xdr:col>14</xdr:col>
      <xdr:colOff>144780</xdr:colOff>
      <xdr:row>24</xdr:row>
      <xdr:rowOff>556260</xdr:rowOff>
    </xdr:to>
    <xdr:pic>
      <xdr:nvPicPr>
        <xdr:cNvPr id="28" name="CommandButton28">
          <a:extLst>
            <a:ext uri="{FF2B5EF4-FFF2-40B4-BE49-F238E27FC236}">
              <a16:creationId xmlns:a16="http://schemas.microsoft.com/office/drawing/2014/main" id="{00000000-0008-0000-2000-00001C000000}"/>
            </a:ext>
          </a:extLst>
        </xdr:cNvPr>
        <xdr:cNvPicPr preferRelativeResize="0">
          <a:picLocks noChangeArrowheads="1" noChangeShapeType="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18318480" y="2003298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25</xdr:row>
      <xdr:rowOff>129540</xdr:rowOff>
    </xdr:from>
    <xdr:to>
      <xdr:col>14</xdr:col>
      <xdr:colOff>144780</xdr:colOff>
      <xdr:row>25</xdr:row>
      <xdr:rowOff>335280</xdr:rowOff>
    </xdr:to>
    <xdr:pic>
      <xdr:nvPicPr>
        <xdr:cNvPr id="29" name="CommandButton29">
          <a:extLst>
            <a:ext uri="{FF2B5EF4-FFF2-40B4-BE49-F238E27FC236}">
              <a16:creationId xmlns:a16="http://schemas.microsoft.com/office/drawing/2014/main" id="{00000000-0008-0000-2000-00001D000000}"/>
            </a:ext>
          </a:extLst>
        </xdr:cNvPr>
        <xdr:cNvPicPr preferRelativeResize="0">
          <a:picLocks noChangeArrowheads="1" noChangeShapeType="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8318480" y="2098548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25</xdr:row>
      <xdr:rowOff>373380</xdr:rowOff>
    </xdr:from>
    <xdr:to>
      <xdr:col>14</xdr:col>
      <xdr:colOff>144780</xdr:colOff>
      <xdr:row>25</xdr:row>
      <xdr:rowOff>579120</xdr:rowOff>
    </xdr:to>
    <xdr:pic>
      <xdr:nvPicPr>
        <xdr:cNvPr id="30" name="CommandButton30">
          <a:extLst>
            <a:ext uri="{FF2B5EF4-FFF2-40B4-BE49-F238E27FC236}">
              <a16:creationId xmlns:a16="http://schemas.microsoft.com/office/drawing/2014/main" id="{00000000-0008-0000-2000-00001E000000}"/>
            </a:ext>
          </a:extLst>
        </xdr:cNvPr>
        <xdr:cNvPicPr preferRelativeResize="0">
          <a:picLocks noChangeArrowheads="1" noChangeShapeType="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18318480" y="2122932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26</xdr:row>
      <xdr:rowOff>152400</xdr:rowOff>
    </xdr:from>
    <xdr:to>
      <xdr:col>14</xdr:col>
      <xdr:colOff>144780</xdr:colOff>
      <xdr:row>26</xdr:row>
      <xdr:rowOff>358140</xdr:rowOff>
    </xdr:to>
    <xdr:pic>
      <xdr:nvPicPr>
        <xdr:cNvPr id="31" name="CommandButton31">
          <a:extLst>
            <a:ext uri="{FF2B5EF4-FFF2-40B4-BE49-F238E27FC236}">
              <a16:creationId xmlns:a16="http://schemas.microsoft.com/office/drawing/2014/main" id="{00000000-0008-0000-2000-00001F000000}"/>
            </a:ext>
          </a:extLst>
        </xdr:cNvPr>
        <xdr:cNvPicPr preferRelativeResize="0">
          <a:picLocks noChangeArrowheads="1" noChangeShapeType="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8318480" y="2218182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26</xdr:row>
      <xdr:rowOff>381000</xdr:rowOff>
    </xdr:from>
    <xdr:to>
      <xdr:col>14</xdr:col>
      <xdr:colOff>144780</xdr:colOff>
      <xdr:row>26</xdr:row>
      <xdr:rowOff>586740</xdr:rowOff>
    </xdr:to>
    <xdr:pic>
      <xdr:nvPicPr>
        <xdr:cNvPr id="32" name="CommandButton32">
          <a:extLst>
            <a:ext uri="{FF2B5EF4-FFF2-40B4-BE49-F238E27FC236}">
              <a16:creationId xmlns:a16="http://schemas.microsoft.com/office/drawing/2014/main" id="{00000000-0008-0000-2000-000020000000}"/>
            </a:ext>
          </a:extLst>
        </xdr:cNvPr>
        <xdr:cNvPicPr preferRelativeResize="0">
          <a:picLocks noChangeArrowheads="1" noChangeShapeType="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8318480" y="2241042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27</xdr:row>
      <xdr:rowOff>152400</xdr:rowOff>
    </xdr:from>
    <xdr:to>
      <xdr:col>14</xdr:col>
      <xdr:colOff>144780</xdr:colOff>
      <xdr:row>27</xdr:row>
      <xdr:rowOff>358140</xdr:rowOff>
    </xdr:to>
    <xdr:pic>
      <xdr:nvPicPr>
        <xdr:cNvPr id="33" name="CommandButton33">
          <a:extLst>
            <a:ext uri="{FF2B5EF4-FFF2-40B4-BE49-F238E27FC236}">
              <a16:creationId xmlns:a16="http://schemas.microsoft.com/office/drawing/2014/main" id="{00000000-0008-0000-2000-000021000000}"/>
            </a:ext>
          </a:extLst>
        </xdr:cNvPr>
        <xdr:cNvPicPr preferRelativeResize="0">
          <a:picLocks noChangeArrowheads="1" noChangeShapeType="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8318480" y="2335530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27</xdr:row>
      <xdr:rowOff>388620</xdr:rowOff>
    </xdr:from>
    <xdr:to>
      <xdr:col>14</xdr:col>
      <xdr:colOff>144780</xdr:colOff>
      <xdr:row>27</xdr:row>
      <xdr:rowOff>594360</xdr:rowOff>
    </xdr:to>
    <xdr:pic>
      <xdr:nvPicPr>
        <xdr:cNvPr id="34" name="CommandButton34">
          <a:extLst>
            <a:ext uri="{FF2B5EF4-FFF2-40B4-BE49-F238E27FC236}">
              <a16:creationId xmlns:a16="http://schemas.microsoft.com/office/drawing/2014/main" id="{00000000-0008-0000-2000-000022000000}"/>
            </a:ext>
          </a:extLst>
        </xdr:cNvPr>
        <xdr:cNvPicPr preferRelativeResize="0">
          <a:picLocks noChangeArrowheads="1" noChangeShapeType="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18318480" y="2359152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28</xdr:row>
      <xdr:rowOff>137160</xdr:rowOff>
    </xdr:from>
    <xdr:to>
      <xdr:col>14</xdr:col>
      <xdr:colOff>144780</xdr:colOff>
      <xdr:row>28</xdr:row>
      <xdr:rowOff>342900</xdr:rowOff>
    </xdr:to>
    <xdr:pic>
      <xdr:nvPicPr>
        <xdr:cNvPr id="35" name="CommandButton35">
          <a:extLst>
            <a:ext uri="{FF2B5EF4-FFF2-40B4-BE49-F238E27FC236}">
              <a16:creationId xmlns:a16="http://schemas.microsoft.com/office/drawing/2014/main" id="{00000000-0008-0000-2000-000023000000}"/>
            </a:ext>
          </a:extLst>
        </xdr:cNvPr>
        <xdr:cNvPicPr preferRelativeResize="0">
          <a:picLocks noChangeArrowheads="1" noChangeShapeType="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18318480" y="2451354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28</xdr:row>
      <xdr:rowOff>381000</xdr:rowOff>
    </xdr:from>
    <xdr:to>
      <xdr:col>14</xdr:col>
      <xdr:colOff>144780</xdr:colOff>
      <xdr:row>28</xdr:row>
      <xdr:rowOff>586740</xdr:rowOff>
    </xdr:to>
    <xdr:pic>
      <xdr:nvPicPr>
        <xdr:cNvPr id="36" name="CommandButton36">
          <a:extLst>
            <a:ext uri="{FF2B5EF4-FFF2-40B4-BE49-F238E27FC236}">
              <a16:creationId xmlns:a16="http://schemas.microsoft.com/office/drawing/2014/main" id="{00000000-0008-0000-2000-000024000000}"/>
            </a:ext>
          </a:extLst>
        </xdr:cNvPr>
        <xdr:cNvPicPr preferRelativeResize="0">
          <a:picLocks noChangeArrowheads="1" noChangeShapeType="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18318480" y="2475738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29</xdr:row>
      <xdr:rowOff>114300</xdr:rowOff>
    </xdr:from>
    <xdr:to>
      <xdr:col>14</xdr:col>
      <xdr:colOff>144780</xdr:colOff>
      <xdr:row>29</xdr:row>
      <xdr:rowOff>320040</xdr:rowOff>
    </xdr:to>
    <xdr:pic>
      <xdr:nvPicPr>
        <xdr:cNvPr id="37" name="CommandButton37">
          <a:extLst>
            <a:ext uri="{FF2B5EF4-FFF2-40B4-BE49-F238E27FC236}">
              <a16:creationId xmlns:a16="http://schemas.microsoft.com/office/drawing/2014/main" id="{00000000-0008-0000-2000-000025000000}"/>
            </a:ext>
          </a:extLst>
        </xdr:cNvPr>
        <xdr:cNvPicPr preferRelativeResize="0">
          <a:picLocks noChangeArrowheads="1" noChangeShapeType="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8318480" y="2566416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29</xdr:row>
      <xdr:rowOff>358140</xdr:rowOff>
    </xdr:from>
    <xdr:to>
      <xdr:col>14</xdr:col>
      <xdr:colOff>144780</xdr:colOff>
      <xdr:row>29</xdr:row>
      <xdr:rowOff>563880</xdr:rowOff>
    </xdr:to>
    <xdr:pic>
      <xdr:nvPicPr>
        <xdr:cNvPr id="38" name="CommandButton38">
          <a:extLst>
            <a:ext uri="{FF2B5EF4-FFF2-40B4-BE49-F238E27FC236}">
              <a16:creationId xmlns:a16="http://schemas.microsoft.com/office/drawing/2014/main" id="{00000000-0008-0000-2000-000026000000}"/>
            </a:ext>
          </a:extLst>
        </xdr:cNvPr>
        <xdr:cNvPicPr preferRelativeResize="0">
          <a:picLocks noChangeArrowheads="1" noChangeShapeType="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18318480" y="2590800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30</xdr:row>
      <xdr:rowOff>114300</xdr:rowOff>
    </xdr:from>
    <xdr:to>
      <xdr:col>14</xdr:col>
      <xdr:colOff>144780</xdr:colOff>
      <xdr:row>30</xdr:row>
      <xdr:rowOff>320040</xdr:rowOff>
    </xdr:to>
    <xdr:pic>
      <xdr:nvPicPr>
        <xdr:cNvPr id="39" name="CommandButton39">
          <a:extLst>
            <a:ext uri="{FF2B5EF4-FFF2-40B4-BE49-F238E27FC236}">
              <a16:creationId xmlns:a16="http://schemas.microsoft.com/office/drawing/2014/main" id="{00000000-0008-0000-2000-000027000000}"/>
            </a:ext>
          </a:extLst>
        </xdr:cNvPr>
        <xdr:cNvPicPr preferRelativeResize="0">
          <a:picLocks noChangeArrowheads="1" noChangeShapeType="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18318480" y="2683764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30</xdr:row>
      <xdr:rowOff>358140</xdr:rowOff>
    </xdr:from>
    <xdr:to>
      <xdr:col>14</xdr:col>
      <xdr:colOff>144780</xdr:colOff>
      <xdr:row>30</xdr:row>
      <xdr:rowOff>563880</xdr:rowOff>
    </xdr:to>
    <xdr:pic>
      <xdr:nvPicPr>
        <xdr:cNvPr id="40" name="CommandButton40">
          <a:extLst>
            <a:ext uri="{FF2B5EF4-FFF2-40B4-BE49-F238E27FC236}">
              <a16:creationId xmlns:a16="http://schemas.microsoft.com/office/drawing/2014/main" id="{00000000-0008-0000-2000-000028000000}"/>
            </a:ext>
          </a:extLst>
        </xdr:cNvPr>
        <xdr:cNvPicPr preferRelativeResize="0">
          <a:picLocks noChangeArrowheads="1" noChangeShapeType="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18318480" y="2708148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31</xdr:row>
      <xdr:rowOff>144780</xdr:rowOff>
    </xdr:from>
    <xdr:to>
      <xdr:col>14</xdr:col>
      <xdr:colOff>144780</xdr:colOff>
      <xdr:row>31</xdr:row>
      <xdr:rowOff>350520</xdr:rowOff>
    </xdr:to>
    <xdr:pic>
      <xdr:nvPicPr>
        <xdr:cNvPr id="41" name="CommandButton41">
          <a:extLst>
            <a:ext uri="{FF2B5EF4-FFF2-40B4-BE49-F238E27FC236}">
              <a16:creationId xmlns:a16="http://schemas.microsoft.com/office/drawing/2014/main" id="{00000000-0008-0000-2000-000029000000}"/>
            </a:ext>
          </a:extLst>
        </xdr:cNvPr>
        <xdr:cNvPicPr preferRelativeResize="0">
          <a:picLocks noChangeArrowheads="1" noChangeShapeType="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8318480" y="2804160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31</xdr:row>
      <xdr:rowOff>388620</xdr:rowOff>
    </xdr:from>
    <xdr:to>
      <xdr:col>14</xdr:col>
      <xdr:colOff>144780</xdr:colOff>
      <xdr:row>31</xdr:row>
      <xdr:rowOff>594360</xdr:rowOff>
    </xdr:to>
    <xdr:pic>
      <xdr:nvPicPr>
        <xdr:cNvPr id="42" name="CommandButton42">
          <a:extLst>
            <a:ext uri="{FF2B5EF4-FFF2-40B4-BE49-F238E27FC236}">
              <a16:creationId xmlns:a16="http://schemas.microsoft.com/office/drawing/2014/main" id="{00000000-0008-0000-2000-00002A000000}"/>
            </a:ext>
          </a:extLst>
        </xdr:cNvPr>
        <xdr:cNvPicPr preferRelativeResize="0">
          <a:picLocks noChangeArrowheads="1" noChangeShapeType="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18318480" y="2828544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32</xdr:row>
      <xdr:rowOff>144780</xdr:rowOff>
    </xdr:from>
    <xdr:to>
      <xdr:col>14</xdr:col>
      <xdr:colOff>144780</xdr:colOff>
      <xdr:row>32</xdr:row>
      <xdr:rowOff>350520</xdr:rowOff>
    </xdr:to>
    <xdr:pic>
      <xdr:nvPicPr>
        <xdr:cNvPr id="43" name="CommandButton43">
          <a:extLst>
            <a:ext uri="{FF2B5EF4-FFF2-40B4-BE49-F238E27FC236}">
              <a16:creationId xmlns:a16="http://schemas.microsoft.com/office/drawing/2014/main" id="{00000000-0008-0000-2000-00002B000000}"/>
            </a:ext>
          </a:extLst>
        </xdr:cNvPr>
        <xdr:cNvPicPr preferRelativeResize="0">
          <a:picLocks noChangeArrowheads="1" noChangeShapeType="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18318480" y="2921508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32</xdr:row>
      <xdr:rowOff>396240</xdr:rowOff>
    </xdr:from>
    <xdr:to>
      <xdr:col>14</xdr:col>
      <xdr:colOff>144780</xdr:colOff>
      <xdr:row>32</xdr:row>
      <xdr:rowOff>601980</xdr:rowOff>
    </xdr:to>
    <xdr:pic>
      <xdr:nvPicPr>
        <xdr:cNvPr id="44" name="CommandButton44">
          <a:extLst>
            <a:ext uri="{FF2B5EF4-FFF2-40B4-BE49-F238E27FC236}">
              <a16:creationId xmlns:a16="http://schemas.microsoft.com/office/drawing/2014/main" id="{00000000-0008-0000-2000-00002C000000}"/>
            </a:ext>
          </a:extLst>
        </xdr:cNvPr>
        <xdr:cNvPicPr preferRelativeResize="0">
          <a:picLocks noChangeArrowheads="1" noChangeShapeType="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18318480" y="2946654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33</xdr:row>
      <xdr:rowOff>129540</xdr:rowOff>
    </xdr:from>
    <xdr:to>
      <xdr:col>14</xdr:col>
      <xdr:colOff>144780</xdr:colOff>
      <xdr:row>33</xdr:row>
      <xdr:rowOff>335280</xdr:rowOff>
    </xdr:to>
    <xdr:pic>
      <xdr:nvPicPr>
        <xdr:cNvPr id="45" name="CommandButton45">
          <a:extLst>
            <a:ext uri="{FF2B5EF4-FFF2-40B4-BE49-F238E27FC236}">
              <a16:creationId xmlns:a16="http://schemas.microsoft.com/office/drawing/2014/main" id="{00000000-0008-0000-2000-00002D000000}"/>
            </a:ext>
          </a:extLst>
        </xdr:cNvPr>
        <xdr:cNvPicPr preferRelativeResize="0">
          <a:picLocks noChangeArrowheads="1" noChangeShapeType="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8318480" y="3037332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34</xdr:row>
      <xdr:rowOff>152400</xdr:rowOff>
    </xdr:from>
    <xdr:to>
      <xdr:col>14</xdr:col>
      <xdr:colOff>144780</xdr:colOff>
      <xdr:row>34</xdr:row>
      <xdr:rowOff>358140</xdr:rowOff>
    </xdr:to>
    <xdr:pic>
      <xdr:nvPicPr>
        <xdr:cNvPr id="46" name="CommandButton47">
          <a:extLst>
            <a:ext uri="{FF2B5EF4-FFF2-40B4-BE49-F238E27FC236}">
              <a16:creationId xmlns:a16="http://schemas.microsoft.com/office/drawing/2014/main" id="{00000000-0008-0000-2000-00002E000000}"/>
            </a:ext>
          </a:extLst>
        </xdr:cNvPr>
        <xdr:cNvPicPr preferRelativeResize="0">
          <a:picLocks noChangeArrowheads="1" noChangeShapeType="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18318480" y="3156966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34</xdr:row>
      <xdr:rowOff>388620</xdr:rowOff>
    </xdr:from>
    <xdr:to>
      <xdr:col>14</xdr:col>
      <xdr:colOff>144780</xdr:colOff>
      <xdr:row>34</xdr:row>
      <xdr:rowOff>594360</xdr:rowOff>
    </xdr:to>
    <xdr:pic>
      <xdr:nvPicPr>
        <xdr:cNvPr id="47" name="CommandButton48">
          <a:extLst>
            <a:ext uri="{FF2B5EF4-FFF2-40B4-BE49-F238E27FC236}">
              <a16:creationId xmlns:a16="http://schemas.microsoft.com/office/drawing/2014/main" id="{00000000-0008-0000-2000-00002F000000}"/>
            </a:ext>
          </a:extLst>
        </xdr:cNvPr>
        <xdr:cNvPicPr preferRelativeResize="0">
          <a:picLocks noChangeArrowheads="1" noChangeShapeType="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18318480" y="3180588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35</xdr:row>
      <xdr:rowOff>152400</xdr:rowOff>
    </xdr:from>
    <xdr:to>
      <xdr:col>14</xdr:col>
      <xdr:colOff>144780</xdr:colOff>
      <xdr:row>35</xdr:row>
      <xdr:rowOff>358140</xdr:rowOff>
    </xdr:to>
    <xdr:pic>
      <xdr:nvPicPr>
        <xdr:cNvPr id="48" name="CommandButton49">
          <a:extLst>
            <a:ext uri="{FF2B5EF4-FFF2-40B4-BE49-F238E27FC236}">
              <a16:creationId xmlns:a16="http://schemas.microsoft.com/office/drawing/2014/main" id="{00000000-0008-0000-2000-000030000000}"/>
            </a:ext>
          </a:extLst>
        </xdr:cNvPr>
        <xdr:cNvPicPr preferRelativeResize="0">
          <a:picLocks noChangeArrowheads="1" noChangeShapeType="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18318480" y="3274314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35</xdr:row>
      <xdr:rowOff>396240</xdr:rowOff>
    </xdr:from>
    <xdr:to>
      <xdr:col>14</xdr:col>
      <xdr:colOff>144780</xdr:colOff>
      <xdr:row>35</xdr:row>
      <xdr:rowOff>601980</xdr:rowOff>
    </xdr:to>
    <xdr:pic>
      <xdr:nvPicPr>
        <xdr:cNvPr id="49" name="CommandButton50">
          <a:extLst>
            <a:ext uri="{FF2B5EF4-FFF2-40B4-BE49-F238E27FC236}">
              <a16:creationId xmlns:a16="http://schemas.microsoft.com/office/drawing/2014/main" id="{00000000-0008-0000-2000-000031000000}"/>
            </a:ext>
          </a:extLst>
        </xdr:cNvPr>
        <xdr:cNvPicPr preferRelativeResize="0">
          <a:picLocks noChangeArrowheads="1" noChangeShapeType="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8318480" y="3298698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36</xdr:row>
      <xdr:rowOff>106680</xdr:rowOff>
    </xdr:from>
    <xdr:to>
      <xdr:col>14</xdr:col>
      <xdr:colOff>144780</xdr:colOff>
      <xdr:row>36</xdr:row>
      <xdr:rowOff>312420</xdr:rowOff>
    </xdr:to>
    <xdr:pic>
      <xdr:nvPicPr>
        <xdr:cNvPr id="50" name="CommandButton51">
          <a:extLst>
            <a:ext uri="{FF2B5EF4-FFF2-40B4-BE49-F238E27FC236}">
              <a16:creationId xmlns:a16="http://schemas.microsoft.com/office/drawing/2014/main" id="{00000000-0008-0000-2000-000032000000}"/>
            </a:ext>
          </a:extLst>
        </xdr:cNvPr>
        <xdr:cNvPicPr preferRelativeResize="0">
          <a:picLocks noChangeArrowheads="1" noChangeShapeType="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18318480" y="3387090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36</xdr:row>
      <xdr:rowOff>350520</xdr:rowOff>
    </xdr:from>
    <xdr:to>
      <xdr:col>14</xdr:col>
      <xdr:colOff>144780</xdr:colOff>
      <xdr:row>36</xdr:row>
      <xdr:rowOff>556260</xdr:rowOff>
    </xdr:to>
    <xdr:pic>
      <xdr:nvPicPr>
        <xdr:cNvPr id="51" name="CommandButton52">
          <a:extLst>
            <a:ext uri="{FF2B5EF4-FFF2-40B4-BE49-F238E27FC236}">
              <a16:creationId xmlns:a16="http://schemas.microsoft.com/office/drawing/2014/main" id="{00000000-0008-0000-2000-000033000000}"/>
            </a:ext>
          </a:extLst>
        </xdr:cNvPr>
        <xdr:cNvPicPr preferRelativeResize="0">
          <a:picLocks noChangeArrowheads="1" noChangeShapeType="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18318480" y="3411474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13</xdr:col>
      <xdr:colOff>83820</xdr:colOff>
      <xdr:row>37</xdr:row>
      <xdr:rowOff>152400</xdr:rowOff>
    </xdr:from>
    <xdr:to>
      <xdr:col>14</xdr:col>
      <xdr:colOff>152400</xdr:colOff>
      <xdr:row>37</xdr:row>
      <xdr:rowOff>350520</xdr:rowOff>
    </xdr:to>
    <xdr:pic>
      <xdr:nvPicPr>
        <xdr:cNvPr id="52" name="CommandButton53">
          <a:extLst>
            <a:ext uri="{FF2B5EF4-FFF2-40B4-BE49-F238E27FC236}">
              <a16:creationId xmlns:a16="http://schemas.microsoft.com/office/drawing/2014/main" id="{00000000-0008-0000-2000-000034000000}"/>
            </a:ext>
          </a:extLst>
        </xdr:cNvPr>
        <xdr:cNvPicPr preferRelativeResize="0">
          <a:picLocks noChangeArrowheads="1" noChangeShapeType="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18318480" y="35090100"/>
          <a:ext cx="1760220" cy="1981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13</xdr:col>
      <xdr:colOff>83820</xdr:colOff>
      <xdr:row>37</xdr:row>
      <xdr:rowOff>388620</xdr:rowOff>
    </xdr:from>
    <xdr:to>
      <xdr:col>14</xdr:col>
      <xdr:colOff>152400</xdr:colOff>
      <xdr:row>37</xdr:row>
      <xdr:rowOff>594360</xdr:rowOff>
    </xdr:to>
    <xdr:pic>
      <xdr:nvPicPr>
        <xdr:cNvPr id="53" name="CommandButton54">
          <a:extLst>
            <a:ext uri="{FF2B5EF4-FFF2-40B4-BE49-F238E27FC236}">
              <a16:creationId xmlns:a16="http://schemas.microsoft.com/office/drawing/2014/main" id="{00000000-0008-0000-2000-000035000000}"/>
            </a:ext>
          </a:extLst>
        </xdr:cNvPr>
        <xdr:cNvPicPr preferRelativeResize="0">
          <a:picLocks noChangeArrowheads="1" noChangeShapeType="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8318480" y="35326320"/>
          <a:ext cx="176022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38</xdr:row>
      <xdr:rowOff>182880</xdr:rowOff>
    </xdr:from>
    <xdr:to>
      <xdr:col>14</xdr:col>
      <xdr:colOff>144780</xdr:colOff>
      <xdr:row>38</xdr:row>
      <xdr:rowOff>388620</xdr:rowOff>
    </xdr:to>
    <xdr:pic>
      <xdr:nvPicPr>
        <xdr:cNvPr id="54" name="CommandButton55">
          <a:extLst>
            <a:ext uri="{FF2B5EF4-FFF2-40B4-BE49-F238E27FC236}">
              <a16:creationId xmlns:a16="http://schemas.microsoft.com/office/drawing/2014/main" id="{00000000-0008-0000-2000-000036000000}"/>
            </a:ext>
          </a:extLst>
        </xdr:cNvPr>
        <xdr:cNvPicPr preferRelativeResize="0">
          <a:picLocks noChangeArrowheads="1" noChangeShapeType="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18318480" y="3629406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39</xdr:row>
      <xdr:rowOff>175260</xdr:rowOff>
    </xdr:from>
    <xdr:to>
      <xdr:col>14</xdr:col>
      <xdr:colOff>144780</xdr:colOff>
      <xdr:row>39</xdr:row>
      <xdr:rowOff>381000</xdr:rowOff>
    </xdr:to>
    <xdr:pic>
      <xdr:nvPicPr>
        <xdr:cNvPr id="55" name="CommandButton57">
          <a:extLst>
            <a:ext uri="{FF2B5EF4-FFF2-40B4-BE49-F238E27FC236}">
              <a16:creationId xmlns:a16="http://schemas.microsoft.com/office/drawing/2014/main" id="{00000000-0008-0000-2000-000037000000}"/>
            </a:ext>
          </a:extLst>
        </xdr:cNvPr>
        <xdr:cNvPicPr preferRelativeResize="0">
          <a:picLocks noChangeArrowheads="1" noChangeShapeType="1"/>
        </xdr:cNvPicPr>
      </xdr:nvPicPr>
      <xdr:blipFill>
        <a:blip xmlns:r="http://schemas.openxmlformats.org/officeDocument/2006/relationships" r:embed="rId54">
          <a:extLst>
            <a:ext uri="{28A0092B-C50C-407E-A947-70E740481C1C}">
              <a14:useLocalDpi xmlns:a14="http://schemas.microsoft.com/office/drawing/2010/main" val="0"/>
            </a:ext>
          </a:extLst>
        </a:blip>
        <a:srcRect/>
        <a:stretch>
          <a:fillRect/>
        </a:stretch>
      </xdr:blipFill>
      <xdr:spPr bwMode="auto">
        <a:xfrm>
          <a:off x="18318480" y="3745992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39</xdr:row>
      <xdr:rowOff>457200</xdr:rowOff>
    </xdr:from>
    <xdr:to>
      <xdr:col>14</xdr:col>
      <xdr:colOff>144780</xdr:colOff>
      <xdr:row>39</xdr:row>
      <xdr:rowOff>662940</xdr:rowOff>
    </xdr:to>
    <xdr:pic>
      <xdr:nvPicPr>
        <xdr:cNvPr id="56" name="CommandButton58">
          <a:extLst>
            <a:ext uri="{FF2B5EF4-FFF2-40B4-BE49-F238E27FC236}">
              <a16:creationId xmlns:a16="http://schemas.microsoft.com/office/drawing/2014/main" id="{00000000-0008-0000-2000-000038000000}"/>
            </a:ext>
          </a:extLst>
        </xdr:cNvPr>
        <xdr:cNvPicPr preferRelativeResize="0">
          <a:picLocks noChangeArrowheads="1" noChangeShapeType="1"/>
        </xdr:cNvPicPr>
      </xdr:nvPicPr>
      <xdr:blipFill>
        <a:blip xmlns:r="http://schemas.openxmlformats.org/officeDocument/2006/relationships" r:embed="rId55">
          <a:extLst>
            <a:ext uri="{28A0092B-C50C-407E-A947-70E740481C1C}">
              <a14:useLocalDpi xmlns:a14="http://schemas.microsoft.com/office/drawing/2010/main" val="0"/>
            </a:ext>
          </a:extLst>
        </a:blip>
        <a:srcRect/>
        <a:stretch>
          <a:fillRect/>
        </a:stretch>
      </xdr:blipFill>
      <xdr:spPr bwMode="auto">
        <a:xfrm>
          <a:off x="18318480" y="3774186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40</xdr:row>
      <xdr:rowOff>205740</xdr:rowOff>
    </xdr:from>
    <xdr:to>
      <xdr:col>14</xdr:col>
      <xdr:colOff>144780</xdr:colOff>
      <xdr:row>40</xdr:row>
      <xdr:rowOff>411480</xdr:rowOff>
    </xdr:to>
    <xdr:pic>
      <xdr:nvPicPr>
        <xdr:cNvPr id="57" name="CommandButton59">
          <a:extLst>
            <a:ext uri="{FF2B5EF4-FFF2-40B4-BE49-F238E27FC236}">
              <a16:creationId xmlns:a16="http://schemas.microsoft.com/office/drawing/2014/main" id="{00000000-0008-0000-2000-000039000000}"/>
            </a:ext>
          </a:extLst>
        </xdr:cNvPr>
        <xdr:cNvPicPr preferRelativeResize="0">
          <a:picLocks noChangeArrowheads="1" noChangeShapeType="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18318480" y="3866388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40</xdr:row>
      <xdr:rowOff>449580</xdr:rowOff>
    </xdr:from>
    <xdr:to>
      <xdr:col>14</xdr:col>
      <xdr:colOff>144780</xdr:colOff>
      <xdr:row>40</xdr:row>
      <xdr:rowOff>655320</xdr:rowOff>
    </xdr:to>
    <xdr:pic>
      <xdr:nvPicPr>
        <xdr:cNvPr id="58" name="CommandButton60">
          <a:extLst>
            <a:ext uri="{FF2B5EF4-FFF2-40B4-BE49-F238E27FC236}">
              <a16:creationId xmlns:a16="http://schemas.microsoft.com/office/drawing/2014/main" id="{00000000-0008-0000-2000-00003A000000}"/>
            </a:ext>
          </a:extLst>
        </xdr:cNvPr>
        <xdr:cNvPicPr preferRelativeResize="0">
          <a:picLocks noChangeArrowheads="1" noChangeShapeType="1"/>
        </xdr:cNvPicPr>
      </xdr:nvPicPr>
      <xdr:blipFill>
        <a:blip xmlns:r="http://schemas.openxmlformats.org/officeDocument/2006/relationships" r:embed="rId57">
          <a:extLst>
            <a:ext uri="{28A0092B-C50C-407E-A947-70E740481C1C}">
              <a14:useLocalDpi xmlns:a14="http://schemas.microsoft.com/office/drawing/2010/main" val="0"/>
            </a:ext>
          </a:extLst>
        </a:blip>
        <a:srcRect/>
        <a:stretch>
          <a:fillRect/>
        </a:stretch>
      </xdr:blipFill>
      <xdr:spPr bwMode="auto">
        <a:xfrm>
          <a:off x="18318480" y="3890772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38</xdr:row>
      <xdr:rowOff>426720</xdr:rowOff>
    </xdr:from>
    <xdr:to>
      <xdr:col>14</xdr:col>
      <xdr:colOff>144780</xdr:colOff>
      <xdr:row>38</xdr:row>
      <xdr:rowOff>632460</xdr:rowOff>
    </xdr:to>
    <xdr:pic>
      <xdr:nvPicPr>
        <xdr:cNvPr id="59" name="CommandButton61">
          <a:extLst>
            <a:ext uri="{FF2B5EF4-FFF2-40B4-BE49-F238E27FC236}">
              <a16:creationId xmlns:a16="http://schemas.microsoft.com/office/drawing/2014/main" id="{00000000-0008-0000-2000-00003B000000}"/>
            </a:ext>
          </a:extLst>
        </xdr:cNvPr>
        <xdr:cNvPicPr preferRelativeResize="0">
          <a:picLocks noChangeArrowheads="1" noChangeShapeType="1"/>
        </xdr:cNvPicPr>
      </xdr:nvPicPr>
      <xdr:blipFill>
        <a:blip xmlns:r="http://schemas.openxmlformats.org/officeDocument/2006/relationships" r:embed="rId58">
          <a:extLst>
            <a:ext uri="{28A0092B-C50C-407E-A947-70E740481C1C}">
              <a14:useLocalDpi xmlns:a14="http://schemas.microsoft.com/office/drawing/2010/main" val="0"/>
            </a:ext>
          </a:extLst>
        </a:blip>
        <a:srcRect/>
        <a:stretch>
          <a:fillRect/>
        </a:stretch>
      </xdr:blipFill>
      <xdr:spPr bwMode="auto">
        <a:xfrm>
          <a:off x="18318480" y="3653790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33</xdr:row>
      <xdr:rowOff>381000</xdr:rowOff>
    </xdr:from>
    <xdr:to>
      <xdr:col>14</xdr:col>
      <xdr:colOff>144780</xdr:colOff>
      <xdr:row>33</xdr:row>
      <xdr:rowOff>586740</xdr:rowOff>
    </xdr:to>
    <xdr:pic>
      <xdr:nvPicPr>
        <xdr:cNvPr id="60" name="CommandButton80">
          <a:extLst>
            <a:ext uri="{FF2B5EF4-FFF2-40B4-BE49-F238E27FC236}">
              <a16:creationId xmlns:a16="http://schemas.microsoft.com/office/drawing/2014/main" id="{00000000-0008-0000-2000-00003C000000}"/>
            </a:ext>
          </a:extLst>
        </xdr:cNvPr>
        <xdr:cNvPicPr preferRelativeResize="0">
          <a:picLocks noChangeArrowheads="1" noChangeShapeType="1"/>
        </xdr:cNvPicPr>
      </xdr:nvPicPr>
      <xdr:blipFill>
        <a:blip xmlns:r="http://schemas.openxmlformats.org/officeDocument/2006/relationships" r:embed="rId59">
          <a:extLst>
            <a:ext uri="{28A0092B-C50C-407E-A947-70E740481C1C}">
              <a14:useLocalDpi xmlns:a14="http://schemas.microsoft.com/office/drawing/2010/main" val="0"/>
            </a:ext>
          </a:extLst>
        </a:blip>
        <a:srcRect/>
        <a:stretch>
          <a:fillRect/>
        </a:stretch>
      </xdr:blipFill>
      <xdr:spPr bwMode="auto">
        <a:xfrm>
          <a:off x="18318480" y="3062478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13</xdr:col>
      <xdr:colOff>83820</xdr:colOff>
      <xdr:row>12</xdr:row>
      <xdr:rowOff>472440</xdr:rowOff>
    </xdr:from>
    <xdr:to>
      <xdr:col>14</xdr:col>
      <xdr:colOff>144780</xdr:colOff>
      <xdr:row>12</xdr:row>
      <xdr:rowOff>678180</xdr:rowOff>
    </xdr:to>
    <xdr:pic>
      <xdr:nvPicPr>
        <xdr:cNvPr id="61" name="CommandButton81">
          <a:extLst>
            <a:ext uri="{FF2B5EF4-FFF2-40B4-BE49-F238E27FC236}">
              <a16:creationId xmlns:a16="http://schemas.microsoft.com/office/drawing/2014/main" id="{00000000-0008-0000-2000-00003D000000}"/>
            </a:ext>
          </a:extLst>
        </xdr:cNvPr>
        <xdr:cNvPicPr preferRelativeResize="0">
          <a:picLocks noChangeArrowheads="1" noChangeShapeType="1"/>
        </xdr:cNvPicPr>
      </xdr:nvPicPr>
      <xdr:blipFill>
        <a:blip xmlns:r="http://schemas.openxmlformats.org/officeDocument/2006/relationships" r:embed="rId60">
          <a:extLst>
            <a:ext uri="{28A0092B-C50C-407E-A947-70E740481C1C}">
              <a14:useLocalDpi xmlns:a14="http://schemas.microsoft.com/office/drawing/2010/main" val="0"/>
            </a:ext>
          </a:extLst>
        </a:blip>
        <a:srcRect/>
        <a:stretch>
          <a:fillRect/>
        </a:stretch>
      </xdr:blipFill>
      <xdr:spPr bwMode="auto">
        <a:xfrm>
          <a:off x="18318480" y="6073140"/>
          <a:ext cx="1752600" cy="20574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1082040</xdr:colOff>
          <xdr:row>24</xdr:row>
          <xdr:rowOff>99060</xdr:rowOff>
        </xdr:from>
        <xdr:to>
          <xdr:col>18</xdr:col>
          <xdr:colOff>937260</xdr:colOff>
          <xdr:row>24</xdr:row>
          <xdr:rowOff>365760</xdr:rowOff>
        </xdr:to>
        <xdr:sp macro="" textlink="">
          <xdr:nvSpPr>
            <xdr:cNvPr id="139265" name="btnAddUtility" hidden="1">
              <a:extLst>
                <a:ext uri="{63B3BB69-23CF-44E3-9099-C40C66FF867C}">
                  <a14:compatExt spid="_x0000_s139265"/>
                </a:ext>
                <a:ext uri="{FF2B5EF4-FFF2-40B4-BE49-F238E27FC236}">
                  <a16:creationId xmlns:a16="http://schemas.microsoft.com/office/drawing/2014/main" id="{00000000-0008-0000-2200-000001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975360</xdr:colOff>
          <xdr:row>24</xdr:row>
          <xdr:rowOff>99060</xdr:rowOff>
        </xdr:from>
        <xdr:to>
          <xdr:col>20</xdr:col>
          <xdr:colOff>91440</xdr:colOff>
          <xdr:row>24</xdr:row>
          <xdr:rowOff>358140</xdr:rowOff>
        </xdr:to>
        <xdr:sp macro="" textlink="">
          <xdr:nvSpPr>
            <xdr:cNvPr id="139266" name="btnDeleteUtility" hidden="1">
              <a:extLst>
                <a:ext uri="{63B3BB69-23CF-44E3-9099-C40C66FF867C}">
                  <a14:compatExt spid="_x0000_s139266"/>
                </a:ext>
                <a:ext uri="{FF2B5EF4-FFF2-40B4-BE49-F238E27FC236}">
                  <a16:creationId xmlns:a16="http://schemas.microsoft.com/office/drawing/2014/main" id="{00000000-0008-0000-2200-000002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129540</xdr:colOff>
          <xdr:row>125</xdr:row>
          <xdr:rowOff>60960</xdr:rowOff>
        </xdr:from>
        <xdr:to>
          <xdr:col>1</xdr:col>
          <xdr:colOff>472440</xdr:colOff>
          <xdr:row>125</xdr:row>
          <xdr:rowOff>266700</xdr:rowOff>
        </xdr:to>
        <xdr:sp macro="" textlink="">
          <xdr:nvSpPr>
            <xdr:cNvPr id="139269" name="rbOutputReporting1" hidden="1">
              <a:extLst>
                <a:ext uri="{63B3BB69-23CF-44E3-9099-C40C66FF867C}">
                  <a14:compatExt spid="_x0000_s139269"/>
                </a:ext>
                <a:ext uri="{FF2B5EF4-FFF2-40B4-BE49-F238E27FC236}">
                  <a16:creationId xmlns:a16="http://schemas.microsoft.com/office/drawing/2014/main" id="{00000000-0008-0000-2200-000005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126</xdr:row>
          <xdr:rowOff>60960</xdr:rowOff>
        </xdr:from>
        <xdr:to>
          <xdr:col>1</xdr:col>
          <xdr:colOff>419100</xdr:colOff>
          <xdr:row>127</xdr:row>
          <xdr:rowOff>190500</xdr:rowOff>
        </xdr:to>
        <xdr:sp macro="" textlink="">
          <xdr:nvSpPr>
            <xdr:cNvPr id="139270" name="rbOutputReporting2" hidden="1">
              <a:extLst>
                <a:ext uri="{63B3BB69-23CF-44E3-9099-C40C66FF867C}">
                  <a14:compatExt spid="_x0000_s139270"/>
                </a:ext>
                <a:ext uri="{FF2B5EF4-FFF2-40B4-BE49-F238E27FC236}">
                  <a16:creationId xmlns:a16="http://schemas.microsoft.com/office/drawing/2014/main" id="{00000000-0008-0000-2200-000006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130</xdr:row>
          <xdr:rowOff>60960</xdr:rowOff>
        </xdr:from>
        <xdr:to>
          <xdr:col>1</xdr:col>
          <xdr:colOff>441960</xdr:colOff>
          <xdr:row>131</xdr:row>
          <xdr:rowOff>213360</xdr:rowOff>
        </xdr:to>
        <xdr:sp macro="" textlink="">
          <xdr:nvSpPr>
            <xdr:cNvPr id="139271" name="rbOutputReporting4" hidden="1">
              <a:extLst>
                <a:ext uri="{63B3BB69-23CF-44E3-9099-C40C66FF867C}">
                  <a14:compatExt spid="_x0000_s139271"/>
                </a:ext>
                <a:ext uri="{FF2B5EF4-FFF2-40B4-BE49-F238E27FC236}">
                  <a16:creationId xmlns:a16="http://schemas.microsoft.com/office/drawing/2014/main" id="{00000000-0008-0000-2200-000007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123</xdr:row>
          <xdr:rowOff>365760</xdr:rowOff>
        </xdr:from>
        <xdr:to>
          <xdr:col>15</xdr:col>
          <xdr:colOff>975360</xdr:colOff>
          <xdr:row>133</xdr:row>
          <xdr:rowOff>0</xdr:rowOff>
        </xdr:to>
        <xdr:sp macro="" textlink="">
          <xdr:nvSpPr>
            <xdr:cNvPr id="139272" name="rbgOutputReporting" hidden="1">
              <a:extLst>
                <a:ext uri="{63B3BB69-23CF-44E3-9099-C40C66FF867C}">
                  <a14:compatExt spid="_x0000_s139272"/>
                </a:ext>
                <a:ext uri="{FF2B5EF4-FFF2-40B4-BE49-F238E27FC236}">
                  <a16:creationId xmlns:a16="http://schemas.microsoft.com/office/drawing/2014/main" id="{00000000-0008-0000-2200-00000820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54</xdr:row>
          <xdr:rowOff>99060</xdr:rowOff>
        </xdr:from>
        <xdr:to>
          <xdr:col>1</xdr:col>
          <xdr:colOff>396240</xdr:colOff>
          <xdr:row>55</xdr:row>
          <xdr:rowOff>205740</xdr:rowOff>
        </xdr:to>
        <xdr:sp macro="" textlink="">
          <xdr:nvSpPr>
            <xdr:cNvPr id="139273" name="SiteRenewable Checkbox" hidden="1">
              <a:extLst>
                <a:ext uri="{63B3BB69-23CF-44E3-9099-C40C66FF867C}">
                  <a14:compatExt spid="_x0000_s139273"/>
                </a:ext>
                <a:ext uri="{FF2B5EF4-FFF2-40B4-BE49-F238E27FC236}">
                  <a16:creationId xmlns:a16="http://schemas.microsoft.com/office/drawing/2014/main" id="{00000000-0008-0000-2200-000009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81</xdr:row>
          <xdr:rowOff>76200</xdr:rowOff>
        </xdr:from>
        <xdr:to>
          <xdr:col>1</xdr:col>
          <xdr:colOff>403860</xdr:colOff>
          <xdr:row>82</xdr:row>
          <xdr:rowOff>251460</xdr:rowOff>
        </xdr:to>
        <xdr:sp macro="" textlink="">
          <xdr:nvSpPr>
            <xdr:cNvPr id="139274" name="ExcCalcCheckbox" hidden="1">
              <a:extLst>
                <a:ext uri="{63B3BB69-23CF-44E3-9099-C40C66FF867C}">
                  <a14:compatExt spid="_x0000_s139274"/>
                </a:ext>
                <a:ext uri="{FF2B5EF4-FFF2-40B4-BE49-F238E27FC236}">
                  <a16:creationId xmlns:a16="http://schemas.microsoft.com/office/drawing/2014/main" id="{00000000-0008-0000-2200-00000A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128</xdr:row>
          <xdr:rowOff>60960</xdr:rowOff>
        </xdr:from>
        <xdr:to>
          <xdr:col>1</xdr:col>
          <xdr:colOff>419100</xdr:colOff>
          <xdr:row>129</xdr:row>
          <xdr:rowOff>213360</xdr:rowOff>
        </xdr:to>
        <xdr:sp macro="" textlink="">
          <xdr:nvSpPr>
            <xdr:cNvPr id="139275" name="rbOutputReporting3" hidden="1">
              <a:extLst>
                <a:ext uri="{63B3BB69-23CF-44E3-9099-C40C66FF867C}">
                  <a14:compatExt spid="_x0000_s139275"/>
                </a:ext>
                <a:ext uri="{FF2B5EF4-FFF2-40B4-BE49-F238E27FC236}">
                  <a16:creationId xmlns:a16="http://schemas.microsoft.com/office/drawing/2014/main" id="{00000000-0008-0000-2200-00000B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518160</xdr:colOff>
          <xdr:row>316</xdr:row>
          <xdr:rowOff>137160</xdr:rowOff>
        </xdr:from>
        <xdr:to>
          <xdr:col>12</xdr:col>
          <xdr:colOff>289560</xdr:colOff>
          <xdr:row>317</xdr:row>
          <xdr:rowOff>0</xdr:rowOff>
        </xdr:to>
        <xdr:sp macro="" textlink="">
          <xdr:nvSpPr>
            <xdr:cNvPr id="139292" name="btnRestoreExCalCost" hidden="1">
              <a:extLst>
                <a:ext uri="{63B3BB69-23CF-44E3-9099-C40C66FF867C}">
                  <a14:compatExt spid="_x0000_s139292"/>
                </a:ext>
                <a:ext uri="{FF2B5EF4-FFF2-40B4-BE49-F238E27FC236}">
                  <a16:creationId xmlns:a16="http://schemas.microsoft.com/office/drawing/2014/main" id="{00000000-0008-0000-2200-00001C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xdr:twoCellAnchor editAs="oneCell">
    <xdr:from>
      <xdr:col>15</xdr:col>
      <xdr:colOff>25400</xdr:colOff>
      <xdr:row>16</xdr:row>
      <xdr:rowOff>63500</xdr:rowOff>
    </xdr:from>
    <xdr:to>
      <xdr:col>15</xdr:col>
      <xdr:colOff>1460500</xdr:colOff>
      <xdr:row>16</xdr:row>
      <xdr:rowOff>444500</xdr:rowOff>
    </xdr:to>
    <xdr:sp macro="" textlink="">
      <xdr:nvSpPr>
        <xdr:cNvPr id="139293" name="CommandButton1" hidden="1">
          <a:extLst>
            <a:ext uri="{63B3BB69-23CF-44E3-9099-C40C66FF867C}">
              <a14:compatExt xmlns:a14="http://schemas.microsoft.com/office/drawing/2010/main" spid="_x0000_s139293"/>
            </a:ext>
            <a:ext uri="{FF2B5EF4-FFF2-40B4-BE49-F238E27FC236}">
              <a16:creationId xmlns:a16="http://schemas.microsoft.com/office/drawing/2014/main" id="{00000000-0008-0000-2200-00001D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25400</xdr:colOff>
      <xdr:row>17</xdr:row>
      <xdr:rowOff>63500</xdr:rowOff>
    </xdr:from>
    <xdr:to>
      <xdr:col>15</xdr:col>
      <xdr:colOff>1460500</xdr:colOff>
      <xdr:row>17</xdr:row>
      <xdr:rowOff>444500</xdr:rowOff>
    </xdr:to>
    <xdr:sp macro="" textlink="">
      <xdr:nvSpPr>
        <xdr:cNvPr id="139294" name="CommandButton2" hidden="1">
          <a:extLst>
            <a:ext uri="{63B3BB69-23CF-44E3-9099-C40C66FF867C}">
              <a14:compatExt xmlns:a14="http://schemas.microsoft.com/office/drawing/2010/main" spid="_x0000_s139294"/>
            </a:ext>
            <a:ext uri="{FF2B5EF4-FFF2-40B4-BE49-F238E27FC236}">
              <a16:creationId xmlns:a16="http://schemas.microsoft.com/office/drawing/2014/main" id="{00000000-0008-0000-2200-00001E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25400</xdr:colOff>
      <xdr:row>18</xdr:row>
      <xdr:rowOff>63500</xdr:rowOff>
    </xdr:from>
    <xdr:to>
      <xdr:col>15</xdr:col>
      <xdr:colOff>1473200</xdr:colOff>
      <xdr:row>18</xdr:row>
      <xdr:rowOff>431800</xdr:rowOff>
    </xdr:to>
    <xdr:sp macro="" textlink="">
      <xdr:nvSpPr>
        <xdr:cNvPr id="139295" name="CommandButton3" hidden="1">
          <a:extLst>
            <a:ext uri="{63B3BB69-23CF-44E3-9099-C40C66FF867C}">
              <a14:compatExt xmlns:a14="http://schemas.microsoft.com/office/drawing/2010/main" spid="_x0000_s139295"/>
            </a:ext>
            <a:ext uri="{FF2B5EF4-FFF2-40B4-BE49-F238E27FC236}">
              <a16:creationId xmlns:a16="http://schemas.microsoft.com/office/drawing/2014/main" id="{00000000-0008-0000-2200-00001F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25400</xdr:colOff>
      <xdr:row>19</xdr:row>
      <xdr:rowOff>63500</xdr:rowOff>
    </xdr:from>
    <xdr:to>
      <xdr:col>15</xdr:col>
      <xdr:colOff>1473200</xdr:colOff>
      <xdr:row>19</xdr:row>
      <xdr:rowOff>457200</xdr:rowOff>
    </xdr:to>
    <xdr:sp macro="" textlink="">
      <xdr:nvSpPr>
        <xdr:cNvPr id="139296" name="CommandButton4" hidden="1">
          <a:extLst>
            <a:ext uri="{63B3BB69-23CF-44E3-9099-C40C66FF867C}">
              <a14:compatExt xmlns:a14="http://schemas.microsoft.com/office/drawing/2010/main" spid="_x0000_s139296"/>
            </a:ext>
            <a:ext uri="{FF2B5EF4-FFF2-40B4-BE49-F238E27FC236}">
              <a16:creationId xmlns:a16="http://schemas.microsoft.com/office/drawing/2014/main" id="{00000000-0008-0000-2200-000020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38100</xdr:colOff>
      <xdr:row>20</xdr:row>
      <xdr:rowOff>63500</xdr:rowOff>
    </xdr:from>
    <xdr:to>
      <xdr:col>15</xdr:col>
      <xdr:colOff>1473200</xdr:colOff>
      <xdr:row>20</xdr:row>
      <xdr:rowOff>444500</xdr:rowOff>
    </xdr:to>
    <xdr:sp macro="" textlink="">
      <xdr:nvSpPr>
        <xdr:cNvPr id="139297" name="CommandButton5" hidden="1">
          <a:extLst>
            <a:ext uri="{63B3BB69-23CF-44E3-9099-C40C66FF867C}">
              <a14:compatExt xmlns:a14="http://schemas.microsoft.com/office/drawing/2010/main" spid="_x0000_s139297"/>
            </a:ext>
            <a:ext uri="{FF2B5EF4-FFF2-40B4-BE49-F238E27FC236}">
              <a16:creationId xmlns:a16="http://schemas.microsoft.com/office/drawing/2014/main" id="{00000000-0008-0000-2200-000021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25400</xdr:colOff>
      <xdr:row>21</xdr:row>
      <xdr:rowOff>63500</xdr:rowOff>
    </xdr:from>
    <xdr:to>
      <xdr:col>15</xdr:col>
      <xdr:colOff>1473200</xdr:colOff>
      <xdr:row>21</xdr:row>
      <xdr:rowOff>444500</xdr:rowOff>
    </xdr:to>
    <xdr:sp macro="" textlink="">
      <xdr:nvSpPr>
        <xdr:cNvPr id="139298" name="CommandButton6" hidden="1">
          <a:extLst>
            <a:ext uri="{63B3BB69-23CF-44E3-9099-C40C66FF867C}">
              <a14:compatExt xmlns:a14="http://schemas.microsoft.com/office/drawing/2010/main" spid="_x0000_s139298"/>
            </a:ext>
            <a:ext uri="{FF2B5EF4-FFF2-40B4-BE49-F238E27FC236}">
              <a16:creationId xmlns:a16="http://schemas.microsoft.com/office/drawing/2014/main" id="{00000000-0008-0000-2200-000022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6</xdr:col>
      <xdr:colOff>63500</xdr:colOff>
      <xdr:row>141</xdr:row>
      <xdr:rowOff>635000</xdr:rowOff>
    </xdr:from>
    <xdr:to>
      <xdr:col>9</xdr:col>
      <xdr:colOff>977900</xdr:colOff>
      <xdr:row>142</xdr:row>
      <xdr:rowOff>139700</xdr:rowOff>
    </xdr:to>
    <xdr:sp macro="" textlink="">
      <xdr:nvSpPr>
        <xdr:cNvPr id="139299" name="CommandButton7" hidden="1">
          <a:extLst>
            <a:ext uri="{63B3BB69-23CF-44E3-9099-C40C66FF867C}">
              <a14:compatExt xmlns:a14="http://schemas.microsoft.com/office/drawing/2010/main" spid="_x0000_s139299"/>
            </a:ext>
            <a:ext uri="{FF2B5EF4-FFF2-40B4-BE49-F238E27FC236}">
              <a16:creationId xmlns:a16="http://schemas.microsoft.com/office/drawing/2014/main" id="{00000000-0008-0000-2200-000023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6</xdr:col>
      <xdr:colOff>1079500</xdr:colOff>
      <xdr:row>227</xdr:row>
      <xdr:rowOff>38100</xdr:rowOff>
    </xdr:from>
    <xdr:to>
      <xdr:col>8</xdr:col>
      <xdr:colOff>101600</xdr:colOff>
      <xdr:row>234</xdr:row>
      <xdr:rowOff>152400</xdr:rowOff>
    </xdr:to>
    <xdr:sp macro="" textlink="">
      <xdr:nvSpPr>
        <xdr:cNvPr id="139300" name="CommandButton8" hidden="1">
          <a:extLst>
            <a:ext uri="{63B3BB69-23CF-44E3-9099-C40C66FF867C}">
              <a14:compatExt xmlns:a14="http://schemas.microsoft.com/office/drawing/2010/main" spid="_x0000_s139300"/>
            </a:ext>
            <a:ext uri="{FF2B5EF4-FFF2-40B4-BE49-F238E27FC236}">
              <a16:creationId xmlns:a16="http://schemas.microsoft.com/office/drawing/2014/main" id="{00000000-0008-0000-2200-000024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xdr:col>
          <xdr:colOff>60960</xdr:colOff>
          <xdr:row>27</xdr:row>
          <xdr:rowOff>205740</xdr:rowOff>
        </xdr:from>
        <xdr:to>
          <xdr:col>1</xdr:col>
          <xdr:colOff>403860</xdr:colOff>
          <xdr:row>28</xdr:row>
          <xdr:rowOff>213360</xdr:rowOff>
        </xdr:to>
        <xdr:sp macro="" textlink="">
          <xdr:nvSpPr>
            <xdr:cNvPr id="139397" name="SiteRenewable Checkbox" hidden="1">
              <a:extLst>
                <a:ext uri="{63B3BB69-23CF-44E3-9099-C40C66FF867C}">
                  <a14:compatExt spid="_x0000_s139397"/>
                </a:ext>
                <a:ext uri="{FF2B5EF4-FFF2-40B4-BE49-F238E27FC236}">
                  <a16:creationId xmlns:a16="http://schemas.microsoft.com/office/drawing/2014/main" id="{00000000-0008-0000-2200-000085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16</xdr:col>
      <xdr:colOff>0</xdr:colOff>
      <xdr:row>17</xdr:row>
      <xdr:rowOff>63500</xdr:rowOff>
    </xdr:from>
    <xdr:to>
      <xdr:col>16</xdr:col>
      <xdr:colOff>1104900</xdr:colOff>
      <xdr:row>17</xdr:row>
      <xdr:rowOff>444500</xdr:rowOff>
    </xdr:to>
    <xdr:sp macro="" textlink="">
      <xdr:nvSpPr>
        <xdr:cNvPr id="139414" name="CommandButton11" hidden="1">
          <a:extLst>
            <a:ext uri="{63B3BB69-23CF-44E3-9099-C40C66FF867C}">
              <a14:compatExt xmlns:a14="http://schemas.microsoft.com/office/drawing/2010/main" spid="_x0000_s139414"/>
            </a:ext>
            <a:ext uri="{FF2B5EF4-FFF2-40B4-BE49-F238E27FC236}">
              <a16:creationId xmlns:a16="http://schemas.microsoft.com/office/drawing/2014/main" id="{00000000-0008-0000-2200-000096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16</xdr:col>
      <xdr:colOff>12700</xdr:colOff>
      <xdr:row>18</xdr:row>
      <xdr:rowOff>50800</xdr:rowOff>
    </xdr:from>
    <xdr:to>
      <xdr:col>16</xdr:col>
      <xdr:colOff>1117600</xdr:colOff>
      <xdr:row>18</xdr:row>
      <xdr:rowOff>431800</xdr:rowOff>
    </xdr:to>
    <xdr:sp macro="" textlink="">
      <xdr:nvSpPr>
        <xdr:cNvPr id="139415" name="CommandButton12" hidden="1">
          <a:extLst>
            <a:ext uri="{63B3BB69-23CF-44E3-9099-C40C66FF867C}">
              <a14:compatExt xmlns:a14="http://schemas.microsoft.com/office/drawing/2010/main" spid="_x0000_s139415"/>
            </a:ext>
            <a:ext uri="{FF2B5EF4-FFF2-40B4-BE49-F238E27FC236}">
              <a16:creationId xmlns:a16="http://schemas.microsoft.com/office/drawing/2014/main" id="{00000000-0008-0000-2200-000097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16</xdr:col>
      <xdr:colOff>0</xdr:colOff>
      <xdr:row>19</xdr:row>
      <xdr:rowOff>63500</xdr:rowOff>
    </xdr:from>
    <xdr:to>
      <xdr:col>16</xdr:col>
      <xdr:colOff>1104900</xdr:colOff>
      <xdr:row>19</xdr:row>
      <xdr:rowOff>444500</xdr:rowOff>
    </xdr:to>
    <xdr:sp macro="" textlink="">
      <xdr:nvSpPr>
        <xdr:cNvPr id="139416" name="CommandButton13" hidden="1">
          <a:extLst>
            <a:ext uri="{63B3BB69-23CF-44E3-9099-C40C66FF867C}">
              <a14:compatExt xmlns:a14="http://schemas.microsoft.com/office/drawing/2010/main" spid="_x0000_s139416"/>
            </a:ext>
            <a:ext uri="{FF2B5EF4-FFF2-40B4-BE49-F238E27FC236}">
              <a16:creationId xmlns:a16="http://schemas.microsoft.com/office/drawing/2014/main" id="{00000000-0008-0000-2200-000098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16</xdr:col>
      <xdr:colOff>12700</xdr:colOff>
      <xdr:row>20</xdr:row>
      <xdr:rowOff>63500</xdr:rowOff>
    </xdr:from>
    <xdr:to>
      <xdr:col>16</xdr:col>
      <xdr:colOff>1117600</xdr:colOff>
      <xdr:row>20</xdr:row>
      <xdr:rowOff>444500</xdr:rowOff>
    </xdr:to>
    <xdr:sp macro="" textlink="">
      <xdr:nvSpPr>
        <xdr:cNvPr id="139417" name="CommandButton14" hidden="1">
          <a:extLst>
            <a:ext uri="{63B3BB69-23CF-44E3-9099-C40C66FF867C}">
              <a14:compatExt xmlns:a14="http://schemas.microsoft.com/office/drawing/2010/main" spid="_x0000_s139417"/>
            </a:ext>
            <a:ext uri="{FF2B5EF4-FFF2-40B4-BE49-F238E27FC236}">
              <a16:creationId xmlns:a16="http://schemas.microsoft.com/office/drawing/2014/main" id="{00000000-0008-0000-2200-000099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16</xdr:col>
      <xdr:colOff>25400</xdr:colOff>
      <xdr:row>21</xdr:row>
      <xdr:rowOff>63500</xdr:rowOff>
    </xdr:from>
    <xdr:to>
      <xdr:col>16</xdr:col>
      <xdr:colOff>1130300</xdr:colOff>
      <xdr:row>21</xdr:row>
      <xdr:rowOff>444500</xdr:rowOff>
    </xdr:to>
    <xdr:sp macro="" textlink="">
      <xdr:nvSpPr>
        <xdr:cNvPr id="139418" name="CommandButton15" hidden="1">
          <a:extLst>
            <a:ext uri="{63B3BB69-23CF-44E3-9099-C40C66FF867C}">
              <a14:compatExt xmlns:a14="http://schemas.microsoft.com/office/drawing/2010/main" spid="_x0000_s139418"/>
            </a:ext>
            <a:ext uri="{FF2B5EF4-FFF2-40B4-BE49-F238E27FC236}">
              <a16:creationId xmlns:a16="http://schemas.microsoft.com/office/drawing/2014/main" id="{00000000-0008-0000-2200-00009A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16</xdr:col>
      <xdr:colOff>0</xdr:colOff>
      <xdr:row>16</xdr:row>
      <xdr:rowOff>63500</xdr:rowOff>
    </xdr:from>
    <xdr:to>
      <xdr:col>16</xdr:col>
      <xdr:colOff>1104900</xdr:colOff>
      <xdr:row>16</xdr:row>
      <xdr:rowOff>444500</xdr:rowOff>
    </xdr:to>
    <xdr:sp macro="" textlink="">
      <xdr:nvSpPr>
        <xdr:cNvPr id="139419" name="CommandButton9" hidden="1">
          <a:extLst>
            <a:ext uri="{63B3BB69-23CF-44E3-9099-C40C66FF867C}">
              <a14:compatExt xmlns:a14="http://schemas.microsoft.com/office/drawing/2010/main" spid="_x0000_s139419"/>
            </a:ext>
            <a:ext uri="{FF2B5EF4-FFF2-40B4-BE49-F238E27FC236}">
              <a16:creationId xmlns:a16="http://schemas.microsoft.com/office/drawing/2014/main" id="{00000000-0008-0000-2200-00009B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25400</xdr:colOff>
      <xdr:row>213</xdr:row>
      <xdr:rowOff>50800</xdr:rowOff>
    </xdr:from>
    <xdr:to>
      <xdr:col>11</xdr:col>
      <xdr:colOff>101600</xdr:colOff>
      <xdr:row>213</xdr:row>
      <xdr:rowOff>482600</xdr:rowOff>
    </xdr:to>
    <xdr:sp macro="" textlink="">
      <xdr:nvSpPr>
        <xdr:cNvPr id="139421" name="CommandButton10" hidden="1">
          <a:extLst>
            <a:ext uri="{63B3BB69-23CF-44E3-9099-C40C66FF867C}">
              <a14:compatExt xmlns:a14="http://schemas.microsoft.com/office/drawing/2010/main" spid="_x0000_s139421"/>
            </a:ext>
            <a:ext uri="{FF2B5EF4-FFF2-40B4-BE49-F238E27FC236}">
              <a16:creationId xmlns:a16="http://schemas.microsoft.com/office/drawing/2014/main" id="{00000000-0008-0000-2200-00009D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11</xdr:col>
      <xdr:colOff>25400</xdr:colOff>
      <xdr:row>306</xdr:row>
      <xdr:rowOff>50800</xdr:rowOff>
    </xdr:from>
    <xdr:to>
      <xdr:col>12</xdr:col>
      <xdr:colOff>50800</xdr:colOff>
      <xdr:row>307</xdr:row>
      <xdr:rowOff>50800</xdr:rowOff>
    </xdr:to>
    <xdr:sp macro="" textlink="">
      <xdr:nvSpPr>
        <xdr:cNvPr id="139422" name="CommandButton16" hidden="1">
          <a:extLst>
            <a:ext uri="{63B3BB69-23CF-44E3-9099-C40C66FF867C}">
              <a14:compatExt xmlns:a14="http://schemas.microsoft.com/office/drawing/2010/main" spid="_x0000_s139422"/>
            </a:ext>
            <a:ext uri="{FF2B5EF4-FFF2-40B4-BE49-F238E27FC236}">
              <a16:creationId xmlns:a16="http://schemas.microsoft.com/office/drawing/2014/main" id="{00000000-0008-0000-2200-00009E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25400</xdr:colOff>
      <xdr:row>306</xdr:row>
      <xdr:rowOff>50800</xdr:rowOff>
    </xdr:from>
    <xdr:to>
      <xdr:col>7</xdr:col>
      <xdr:colOff>1092200</xdr:colOff>
      <xdr:row>307</xdr:row>
      <xdr:rowOff>50800</xdr:rowOff>
    </xdr:to>
    <xdr:sp macro="" textlink="">
      <xdr:nvSpPr>
        <xdr:cNvPr id="139423" name="CommandButton17" hidden="1">
          <a:extLst>
            <a:ext uri="{63B3BB69-23CF-44E3-9099-C40C66FF867C}">
              <a14:compatExt xmlns:a14="http://schemas.microsoft.com/office/drawing/2010/main" spid="_x0000_s139423"/>
            </a:ext>
            <a:ext uri="{FF2B5EF4-FFF2-40B4-BE49-F238E27FC236}">
              <a16:creationId xmlns:a16="http://schemas.microsoft.com/office/drawing/2014/main" id="{00000000-0008-0000-2200-00009F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12</xdr:col>
      <xdr:colOff>1104900</xdr:colOff>
      <xdr:row>316</xdr:row>
      <xdr:rowOff>63500</xdr:rowOff>
    </xdr:from>
    <xdr:to>
      <xdr:col>14</xdr:col>
      <xdr:colOff>0</xdr:colOff>
      <xdr:row>317</xdr:row>
      <xdr:rowOff>139700</xdr:rowOff>
    </xdr:to>
    <xdr:sp macro="" textlink="">
      <xdr:nvSpPr>
        <xdr:cNvPr id="139424" name="CommandButton18" hidden="1">
          <a:extLst>
            <a:ext uri="{63B3BB69-23CF-44E3-9099-C40C66FF867C}">
              <a14:compatExt xmlns:a14="http://schemas.microsoft.com/office/drawing/2010/main" spid="_x0000_s139424"/>
            </a:ext>
            <a:ext uri="{FF2B5EF4-FFF2-40B4-BE49-F238E27FC236}">
              <a16:creationId xmlns:a16="http://schemas.microsoft.com/office/drawing/2014/main" id="{00000000-0008-0000-2200-0000A0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14</xdr:col>
      <xdr:colOff>25400</xdr:colOff>
      <xdr:row>316</xdr:row>
      <xdr:rowOff>63500</xdr:rowOff>
    </xdr:from>
    <xdr:to>
      <xdr:col>14</xdr:col>
      <xdr:colOff>1155700</xdr:colOff>
      <xdr:row>317</xdr:row>
      <xdr:rowOff>139700</xdr:rowOff>
    </xdr:to>
    <xdr:sp macro="" textlink="">
      <xdr:nvSpPr>
        <xdr:cNvPr id="139425" name="CommandButton19" hidden="1">
          <a:extLst>
            <a:ext uri="{63B3BB69-23CF-44E3-9099-C40C66FF867C}">
              <a14:compatExt xmlns:a14="http://schemas.microsoft.com/office/drawing/2010/main" spid="_x0000_s139425"/>
            </a:ext>
            <a:ext uri="{FF2B5EF4-FFF2-40B4-BE49-F238E27FC236}">
              <a16:creationId xmlns:a16="http://schemas.microsoft.com/office/drawing/2014/main" id="{00000000-0008-0000-2200-0000A12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15240</xdr:colOff>
      <xdr:row>16</xdr:row>
      <xdr:rowOff>38100</xdr:rowOff>
    </xdr:from>
    <xdr:to>
      <xdr:col>15</xdr:col>
      <xdr:colOff>876300</xdr:colOff>
      <xdr:row>16</xdr:row>
      <xdr:rowOff>266700</xdr:rowOff>
    </xdr:to>
    <xdr:pic>
      <xdr:nvPicPr>
        <xdr:cNvPr id="2" name="CommandButton1">
          <a:extLst>
            <a:ext uri="{FF2B5EF4-FFF2-40B4-BE49-F238E27FC236}">
              <a16:creationId xmlns:a16="http://schemas.microsoft.com/office/drawing/2014/main" id="{00000000-0008-0000-2200-00000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605760" y="4076700"/>
          <a:ext cx="86106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15</xdr:col>
      <xdr:colOff>15240</xdr:colOff>
      <xdr:row>17</xdr:row>
      <xdr:rowOff>38100</xdr:rowOff>
    </xdr:from>
    <xdr:to>
      <xdr:col>15</xdr:col>
      <xdr:colOff>876300</xdr:colOff>
      <xdr:row>17</xdr:row>
      <xdr:rowOff>266700</xdr:rowOff>
    </xdr:to>
    <xdr:pic>
      <xdr:nvPicPr>
        <xdr:cNvPr id="3" name="CommandButton2">
          <a:extLst>
            <a:ext uri="{FF2B5EF4-FFF2-40B4-BE49-F238E27FC236}">
              <a16:creationId xmlns:a16="http://schemas.microsoft.com/office/drawing/2014/main" id="{00000000-0008-0000-22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605760" y="4572000"/>
          <a:ext cx="86106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15</xdr:col>
      <xdr:colOff>15240</xdr:colOff>
      <xdr:row>18</xdr:row>
      <xdr:rowOff>38100</xdr:rowOff>
    </xdr:from>
    <xdr:to>
      <xdr:col>15</xdr:col>
      <xdr:colOff>883920</xdr:colOff>
      <xdr:row>18</xdr:row>
      <xdr:rowOff>259080</xdr:rowOff>
    </xdr:to>
    <xdr:pic>
      <xdr:nvPicPr>
        <xdr:cNvPr id="4" name="CommandButton3">
          <a:extLst>
            <a:ext uri="{FF2B5EF4-FFF2-40B4-BE49-F238E27FC236}">
              <a16:creationId xmlns:a16="http://schemas.microsoft.com/office/drawing/2014/main" id="{00000000-0008-0000-2200-00000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605760" y="5067300"/>
          <a:ext cx="868680" cy="2209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15</xdr:col>
      <xdr:colOff>15240</xdr:colOff>
      <xdr:row>19</xdr:row>
      <xdr:rowOff>38100</xdr:rowOff>
    </xdr:from>
    <xdr:to>
      <xdr:col>15</xdr:col>
      <xdr:colOff>883920</xdr:colOff>
      <xdr:row>19</xdr:row>
      <xdr:rowOff>274320</xdr:rowOff>
    </xdr:to>
    <xdr:pic>
      <xdr:nvPicPr>
        <xdr:cNvPr id="5" name="CommandButton4">
          <a:extLst>
            <a:ext uri="{FF2B5EF4-FFF2-40B4-BE49-F238E27FC236}">
              <a16:creationId xmlns:a16="http://schemas.microsoft.com/office/drawing/2014/main" id="{00000000-0008-0000-2200-000005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605760" y="5562600"/>
          <a:ext cx="86868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15</xdr:col>
      <xdr:colOff>22860</xdr:colOff>
      <xdr:row>20</xdr:row>
      <xdr:rowOff>38100</xdr:rowOff>
    </xdr:from>
    <xdr:to>
      <xdr:col>15</xdr:col>
      <xdr:colOff>883920</xdr:colOff>
      <xdr:row>20</xdr:row>
      <xdr:rowOff>266700</xdr:rowOff>
    </xdr:to>
    <xdr:pic>
      <xdr:nvPicPr>
        <xdr:cNvPr id="6" name="CommandButton5">
          <a:extLst>
            <a:ext uri="{FF2B5EF4-FFF2-40B4-BE49-F238E27FC236}">
              <a16:creationId xmlns:a16="http://schemas.microsoft.com/office/drawing/2014/main" id="{00000000-0008-0000-2200-000006000000}"/>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5613380" y="6057900"/>
          <a:ext cx="86106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15</xdr:col>
      <xdr:colOff>15240</xdr:colOff>
      <xdr:row>21</xdr:row>
      <xdr:rowOff>38100</xdr:rowOff>
    </xdr:from>
    <xdr:to>
      <xdr:col>15</xdr:col>
      <xdr:colOff>883920</xdr:colOff>
      <xdr:row>21</xdr:row>
      <xdr:rowOff>266700</xdr:rowOff>
    </xdr:to>
    <xdr:pic>
      <xdr:nvPicPr>
        <xdr:cNvPr id="7" name="CommandButton6">
          <a:extLst>
            <a:ext uri="{FF2B5EF4-FFF2-40B4-BE49-F238E27FC236}">
              <a16:creationId xmlns:a16="http://schemas.microsoft.com/office/drawing/2014/main" id="{00000000-0008-0000-2200-000007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605760" y="6553200"/>
          <a:ext cx="86868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6</xdr:col>
      <xdr:colOff>38100</xdr:colOff>
      <xdr:row>141</xdr:row>
      <xdr:rowOff>381000</xdr:rowOff>
    </xdr:from>
    <xdr:to>
      <xdr:col>9</xdr:col>
      <xdr:colOff>586740</xdr:colOff>
      <xdr:row>142</xdr:row>
      <xdr:rowOff>83820</xdr:rowOff>
    </xdr:to>
    <xdr:pic>
      <xdr:nvPicPr>
        <xdr:cNvPr id="8" name="CommandButton7">
          <a:extLst>
            <a:ext uri="{FF2B5EF4-FFF2-40B4-BE49-F238E27FC236}">
              <a16:creationId xmlns:a16="http://schemas.microsoft.com/office/drawing/2014/main" id="{00000000-0008-0000-2200-000008000000}"/>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92140" y="17731740"/>
          <a:ext cx="3909060" cy="457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6</xdr:col>
      <xdr:colOff>647700</xdr:colOff>
      <xdr:row>227</xdr:row>
      <xdr:rowOff>22860</xdr:rowOff>
    </xdr:from>
    <xdr:to>
      <xdr:col>8</xdr:col>
      <xdr:colOff>60960</xdr:colOff>
      <xdr:row>234</xdr:row>
      <xdr:rowOff>91440</xdr:rowOff>
    </xdr:to>
    <xdr:pic>
      <xdr:nvPicPr>
        <xdr:cNvPr id="9" name="CommandButton8">
          <a:extLst>
            <a:ext uri="{FF2B5EF4-FFF2-40B4-BE49-F238E27FC236}">
              <a16:creationId xmlns:a16="http://schemas.microsoft.com/office/drawing/2014/main" id="{00000000-0008-0000-2200-00000900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301740" y="37315140"/>
          <a:ext cx="1653540" cy="342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16</xdr:col>
      <xdr:colOff>0</xdr:colOff>
      <xdr:row>17</xdr:row>
      <xdr:rowOff>38100</xdr:rowOff>
    </xdr:from>
    <xdr:to>
      <xdr:col>16</xdr:col>
      <xdr:colOff>662940</xdr:colOff>
      <xdr:row>17</xdr:row>
      <xdr:rowOff>266700</xdr:rowOff>
    </xdr:to>
    <xdr:pic>
      <xdr:nvPicPr>
        <xdr:cNvPr id="10" name="CommandButton11">
          <a:extLst>
            <a:ext uri="{FF2B5EF4-FFF2-40B4-BE49-F238E27FC236}">
              <a16:creationId xmlns:a16="http://schemas.microsoft.com/office/drawing/2014/main" id="{00000000-0008-0000-2200-00000A000000}"/>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7091660" y="4572000"/>
          <a:ext cx="66294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16</xdr:col>
      <xdr:colOff>7620</xdr:colOff>
      <xdr:row>18</xdr:row>
      <xdr:rowOff>30480</xdr:rowOff>
    </xdr:from>
    <xdr:to>
      <xdr:col>16</xdr:col>
      <xdr:colOff>670560</xdr:colOff>
      <xdr:row>18</xdr:row>
      <xdr:rowOff>259080</xdr:rowOff>
    </xdr:to>
    <xdr:pic>
      <xdr:nvPicPr>
        <xdr:cNvPr id="11" name="CommandButton12">
          <a:extLst>
            <a:ext uri="{FF2B5EF4-FFF2-40B4-BE49-F238E27FC236}">
              <a16:creationId xmlns:a16="http://schemas.microsoft.com/office/drawing/2014/main" id="{00000000-0008-0000-2200-00000B000000}"/>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099280" y="5059680"/>
          <a:ext cx="66294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16</xdr:col>
      <xdr:colOff>0</xdr:colOff>
      <xdr:row>19</xdr:row>
      <xdr:rowOff>38100</xdr:rowOff>
    </xdr:from>
    <xdr:to>
      <xdr:col>16</xdr:col>
      <xdr:colOff>662940</xdr:colOff>
      <xdr:row>19</xdr:row>
      <xdr:rowOff>266700</xdr:rowOff>
    </xdr:to>
    <xdr:pic>
      <xdr:nvPicPr>
        <xdr:cNvPr id="12" name="CommandButton13">
          <a:extLst>
            <a:ext uri="{FF2B5EF4-FFF2-40B4-BE49-F238E27FC236}">
              <a16:creationId xmlns:a16="http://schemas.microsoft.com/office/drawing/2014/main" id="{00000000-0008-0000-2200-00000C000000}"/>
            </a:ext>
          </a:extLst>
        </xdr:cNvPr>
        <xdr:cNvPicPr preferRelativeResize="0">
          <a:picLocks noChangeArrowheads="1" noChangeShapeType="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7091660" y="5562600"/>
          <a:ext cx="66294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16</xdr:col>
      <xdr:colOff>7620</xdr:colOff>
      <xdr:row>20</xdr:row>
      <xdr:rowOff>38100</xdr:rowOff>
    </xdr:from>
    <xdr:to>
      <xdr:col>16</xdr:col>
      <xdr:colOff>670560</xdr:colOff>
      <xdr:row>20</xdr:row>
      <xdr:rowOff>266700</xdr:rowOff>
    </xdr:to>
    <xdr:pic>
      <xdr:nvPicPr>
        <xdr:cNvPr id="13" name="CommandButton14">
          <a:extLst>
            <a:ext uri="{FF2B5EF4-FFF2-40B4-BE49-F238E27FC236}">
              <a16:creationId xmlns:a16="http://schemas.microsoft.com/office/drawing/2014/main" id="{00000000-0008-0000-2200-00000D000000}"/>
            </a:ext>
          </a:extLst>
        </xdr:cNvPr>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7099280" y="6057900"/>
          <a:ext cx="66294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16</xdr:col>
      <xdr:colOff>15240</xdr:colOff>
      <xdr:row>21</xdr:row>
      <xdr:rowOff>38100</xdr:rowOff>
    </xdr:from>
    <xdr:to>
      <xdr:col>16</xdr:col>
      <xdr:colOff>678180</xdr:colOff>
      <xdr:row>21</xdr:row>
      <xdr:rowOff>266700</xdr:rowOff>
    </xdr:to>
    <xdr:pic>
      <xdr:nvPicPr>
        <xdr:cNvPr id="14" name="CommandButton15">
          <a:extLst>
            <a:ext uri="{FF2B5EF4-FFF2-40B4-BE49-F238E27FC236}">
              <a16:creationId xmlns:a16="http://schemas.microsoft.com/office/drawing/2014/main" id="{00000000-0008-0000-2200-00000E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7106900" y="6553200"/>
          <a:ext cx="66294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16</xdr:col>
      <xdr:colOff>0</xdr:colOff>
      <xdr:row>16</xdr:row>
      <xdr:rowOff>38100</xdr:rowOff>
    </xdr:from>
    <xdr:to>
      <xdr:col>16</xdr:col>
      <xdr:colOff>662940</xdr:colOff>
      <xdr:row>16</xdr:row>
      <xdr:rowOff>266700</xdr:rowOff>
    </xdr:to>
    <xdr:pic>
      <xdr:nvPicPr>
        <xdr:cNvPr id="15" name="CommandButton9">
          <a:extLst>
            <a:ext uri="{FF2B5EF4-FFF2-40B4-BE49-F238E27FC236}">
              <a16:creationId xmlns:a16="http://schemas.microsoft.com/office/drawing/2014/main" id="{00000000-0008-0000-2200-00000F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7091660" y="4076700"/>
          <a:ext cx="66294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15240</xdr:colOff>
      <xdr:row>213</xdr:row>
      <xdr:rowOff>30480</xdr:rowOff>
    </xdr:from>
    <xdr:to>
      <xdr:col>11</xdr:col>
      <xdr:colOff>60960</xdr:colOff>
      <xdr:row>213</xdr:row>
      <xdr:rowOff>289560</xdr:rowOff>
    </xdr:to>
    <xdr:pic>
      <xdr:nvPicPr>
        <xdr:cNvPr id="16" name="CommandButton10" hidden="1">
          <a:extLst>
            <a:ext uri="{FF2B5EF4-FFF2-40B4-BE49-F238E27FC236}">
              <a16:creationId xmlns:a16="http://schemas.microsoft.com/office/drawing/2014/main" id="{00000000-0008-0000-2200-000010000000}"/>
            </a:ext>
          </a:extLst>
        </xdr:cNvPr>
        <xdr:cNvPicPr preferRelativeResize="0">
          <a:picLocks noChangeArrowheads="1" noChangeShapeType="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0149840" y="33642300"/>
          <a:ext cx="1036320" cy="2590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11</xdr:col>
      <xdr:colOff>15240</xdr:colOff>
      <xdr:row>306</xdr:row>
      <xdr:rowOff>30480</xdr:rowOff>
    </xdr:from>
    <xdr:to>
      <xdr:col>12</xdr:col>
      <xdr:colOff>30480</xdr:colOff>
      <xdr:row>307</xdr:row>
      <xdr:rowOff>30480</xdr:rowOff>
    </xdr:to>
    <xdr:pic>
      <xdr:nvPicPr>
        <xdr:cNvPr id="17" name="CommandButton16" hidden="1">
          <a:extLst>
            <a:ext uri="{FF2B5EF4-FFF2-40B4-BE49-F238E27FC236}">
              <a16:creationId xmlns:a16="http://schemas.microsoft.com/office/drawing/2014/main" id="{00000000-0008-0000-2200-000011000000}"/>
            </a:ext>
          </a:extLst>
        </xdr:cNvPr>
        <xdr:cNvPicPr preferRelativeResize="0">
          <a:picLocks noChangeArrowheads="1" noChangeShapeType="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1140440" y="53530500"/>
          <a:ext cx="1059180" cy="419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7</xdr:col>
      <xdr:colOff>15240</xdr:colOff>
      <xdr:row>306</xdr:row>
      <xdr:rowOff>30480</xdr:rowOff>
    </xdr:from>
    <xdr:to>
      <xdr:col>7</xdr:col>
      <xdr:colOff>655320</xdr:colOff>
      <xdr:row>307</xdr:row>
      <xdr:rowOff>30480</xdr:rowOff>
    </xdr:to>
    <xdr:pic>
      <xdr:nvPicPr>
        <xdr:cNvPr id="18" name="CommandButton17" hidden="1">
          <a:extLst>
            <a:ext uri="{FF2B5EF4-FFF2-40B4-BE49-F238E27FC236}">
              <a16:creationId xmlns:a16="http://schemas.microsoft.com/office/drawing/2014/main" id="{00000000-0008-0000-2200-000012000000}"/>
            </a:ext>
          </a:extLst>
        </xdr:cNvPr>
        <xdr:cNvPicPr preferRelativeResize="0">
          <a:picLocks noChangeArrowheads="1" noChangeShapeType="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789420" y="53530500"/>
          <a:ext cx="640080" cy="419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12</xdr:col>
      <xdr:colOff>662940</xdr:colOff>
      <xdr:row>316</xdr:row>
      <xdr:rowOff>38100</xdr:rowOff>
    </xdr:from>
    <xdr:to>
      <xdr:col>14</xdr:col>
      <xdr:colOff>0</xdr:colOff>
      <xdr:row>317</xdr:row>
      <xdr:rowOff>83820</xdr:rowOff>
    </xdr:to>
    <xdr:pic>
      <xdr:nvPicPr>
        <xdr:cNvPr id="19" name="CommandButton18" hidden="1">
          <a:extLst>
            <a:ext uri="{FF2B5EF4-FFF2-40B4-BE49-F238E27FC236}">
              <a16:creationId xmlns:a16="http://schemas.microsoft.com/office/drawing/2014/main" id="{00000000-0008-0000-2200-000013000000}"/>
            </a:ext>
          </a:extLst>
        </xdr:cNvPr>
        <xdr:cNvPicPr preferRelativeResize="0">
          <a:picLocks noChangeArrowheads="1" noChangeShapeType="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2832080" y="55961280"/>
          <a:ext cx="1577340" cy="44196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14</xdr:col>
      <xdr:colOff>15240</xdr:colOff>
      <xdr:row>316</xdr:row>
      <xdr:rowOff>38100</xdr:rowOff>
    </xdr:from>
    <xdr:to>
      <xdr:col>14</xdr:col>
      <xdr:colOff>693420</xdr:colOff>
      <xdr:row>317</xdr:row>
      <xdr:rowOff>83820</xdr:rowOff>
    </xdr:to>
    <xdr:pic>
      <xdr:nvPicPr>
        <xdr:cNvPr id="20" name="CommandButton19" hidden="1">
          <a:extLst>
            <a:ext uri="{FF2B5EF4-FFF2-40B4-BE49-F238E27FC236}">
              <a16:creationId xmlns:a16="http://schemas.microsoft.com/office/drawing/2014/main" id="{00000000-0008-0000-2200-000014000000}"/>
            </a:ext>
          </a:extLst>
        </xdr:cNvPr>
        <xdr:cNvPicPr preferRelativeResize="0">
          <a:picLocks noChangeArrowheads="1" noChangeShapeType="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4424660" y="55961280"/>
          <a:ext cx="678180" cy="44196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5</xdr:col>
      <xdr:colOff>1032734</xdr:colOff>
      <xdr:row>8</xdr:row>
      <xdr:rowOff>31865</xdr:rowOff>
    </xdr:from>
    <xdr:to>
      <xdr:col>8</xdr:col>
      <xdr:colOff>1276028</xdr:colOff>
      <xdr:row>26</xdr:row>
      <xdr:rowOff>121998</xdr:rowOff>
    </xdr:to>
    <xdr:graphicFrame macro="">
      <xdr:nvGraphicFramePr>
        <xdr:cNvPr id="6" name="Chart 5">
          <a:extLst>
            <a:ext uri="{FF2B5EF4-FFF2-40B4-BE49-F238E27FC236}">
              <a16:creationId xmlns:a16="http://schemas.microsoft.com/office/drawing/2014/main" id="{00000000-0008-0000-2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95249</xdr:colOff>
      <xdr:row>8</xdr:row>
      <xdr:rowOff>27214</xdr:rowOff>
    </xdr:from>
    <xdr:to>
      <xdr:col>5</xdr:col>
      <xdr:colOff>1039385</xdr:colOff>
      <xdr:row>26</xdr:row>
      <xdr:rowOff>118195</xdr:rowOff>
    </xdr:to>
    <xdr:graphicFrame macro="">
      <xdr:nvGraphicFramePr>
        <xdr:cNvPr id="7" name="Chart 6">
          <a:extLst>
            <a:ext uri="{FF2B5EF4-FFF2-40B4-BE49-F238E27FC236}">
              <a16:creationId xmlns:a16="http://schemas.microsoft.com/office/drawing/2014/main" id="{00000000-0008-0000-2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95250</xdr:colOff>
      <xdr:row>26</xdr:row>
      <xdr:rowOff>116554</xdr:rowOff>
    </xdr:from>
    <xdr:to>
      <xdr:col>5</xdr:col>
      <xdr:colOff>1039386</xdr:colOff>
      <xdr:row>42</xdr:row>
      <xdr:rowOff>99350</xdr:rowOff>
    </xdr:to>
    <xdr:graphicFrame macro="">
      <xdr:nvGraphicFramePr>
        <xdr:cNvPr id="8" name="Chart 7">
          <a:extLst>
            <a:ext uri="{FF2B5EF4-FFF2-40B4-BE49-F238E27FC236}">
              <a16:creationId xmlns:a16="http://schemas.microsoft.com/office/drawing/2014/main" id="{00000000-0008-0000-2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1035772</xdr:colOff>
      <xdr:row>26</xdr:row>
      <xdr:rowOff>112888</xdr:rowOff>
    </xdr:from>
    <xdr:to>
      <xdr:col>8</xdr:col>
      <xdr:colOff>1279066</xdr:colOff>
      <xdr:row>42</xdr:row>
      <xdr:rowOff>95250</xdr:rowOff>
    </xdr:to>
    <xdr:graphicFrame macro="">
      <xdr:nvGraphicFramePr>
        <xdr:cNvPr id="9" name="Chart 8">
          <a:extLst>
            <a:ext uri="{FF2B5EF4-FFF2-40B4-BE49-F238E27FC236}">
              <a16:creationId xmlns:a16="http://schemas.microsoft.com/office/drawing/2014/main" id="{00000000-0008-0000-2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1276990</xdr:colOff>
      <xdr:row>8</xdr:row>
      <xdr:rowOff>26252</xdr:rowOff>
    </xdr:from>
    <xdr:to>
      <xdr:col>16</xdr:col>
      <xdr:colOff>323574</xdr:colOff>
      <xdr:row>26</xdr:row>
      <xdr:rowOff>114299</xdr:rowOff>
    </xdr:to>
    <xdr:graphicFrame macro="">
      <xdr:nvGraphicFramePr>
        <xdr:cNvPr id="10" name="Chart 9">
          <a:extLst>
            <a:ext uri="{FF2B5EF4-FFF2-40B4-BE49-F238E27FC236}">
              <a16:creationId xmlns:a16="http://schemas.microsoft.com/office/drawing/2014/main" id="{00000000-0008-0000-2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1274415</xdr:colOff>
      <xdr:row>26</xdr:row>
      <xdr:rowOff>113639</xdr:rowOff>
    </xdr:from>
    <xdr:to>
      <xdr:col>16</xdr:col>
      <xdr:colOff>323849</xdr:colOff>
      <xdr:row>42</xdr:row>
      <xdr:rowOff>95250</xdr:rowOff>
    </xdr:to>
    <xdr:graphicFrame macro="">
      <xdr:nvGraphicFramePr>
        <xdr:cNvPr id="11" name="Chart 10">
          <a:extLst>
            <a:ext uri="{FF2B5EF4-FFF2-40B4-BE49-F238E27FC236}">
              <a16:creationId xmlns:a16="http://schemas.microsoft.com/office/drawing/2014/main" id="{00000000-0008-0000-2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1306286</xdr:colOff>
      <xdr:row>0</xdr:row>
      <xdr:rowOff>707572</xdr:rowOff>
    </xdr:from>
    <xdr:to>
      <xdr:col>6</xdr:col>
      <xdr:colOff>517072</xdr:colOff>
      <xdr:row>1</xdr:row>
      <xdr:rowOff>258536</xdr:rowOff>
    </xdr:to>
    <xdr:sp macro="" textlink="">
      <xdr:nvSpPr>
        <xdr:cNvPr id="2" name="Rectangle 1">
          <a:hlinkClick xmlns:r="http://schemas.openxmlformats.org/officeDocument/2006/relationships" r:id="rId7"/>
          <a:extLst>
            <a:ext uri="{FF2B5EF4-FFF2-40B4-BE49-F238E27FC236}">
              <a16:creationId xmlns:a16="http://schemas.microsoft.com/office/drawing/2014/main" id="{00000000-0008-0000-2A00-000002000000}"/>
            </a:ext>
          </a:extLst>
        </xdr:cNvPr>
        <xdr:cNvSpPr/>
      </xdr:nvSpPr>
      <xdr:spPr>
        <a:xfrm>
          <a:off x="10259786" y="707572"/>
          <a:ext cx="557893"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476250</xdr:colOff>
      <xdr:row>0</xdr:row>
      <xdr:rowOff>707571</xdr:rowOff>
    </xdr:from>
    <xdr:to>
      <xdr:col>7</xdr:col>
      <xdr:colOff>1034143</xdr:colOff>
      <xdr:row>1</xdr:row>
      <xdr:rowOff>258535</xdr:rowOff>
    </xdr:to>
    <xdr:sp macro="" textlink="">
      <xdr:nvSpPr>
        <xdr:cNvPr id="12" name="Rectangle 11">
          <a:hlinkClick xmlns:r="http://schemas.openxmlformats.org/officeDocument/2006/relationships" r:id="rId8"/>
          <a:extLst>
            <a:ext uri="{FF2B5EF4-FFF2-40B4-BE49-F238E27FC236}">
              <a16:creationId xmlns:a16="http://schemas.microsoft.com/office/drawing/2014/main" id="{00000000-0008-0000-2A00-00000C000000}"/>
            </a:ext>
          </a:extLst>
        </xdr:cNvPr>
        <xdr:cNvSpPr/>
      </xdr:nvSpPr>
      <xdr:spPr>
        <a:xfrm>
          <a:off x="12123964" y="707571"/>
          <a:ext cx="557893"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639535</xdr:colOff>
      <xdr:row>1</xdr:row>
      <xdr:rowOff>149678</xdr:rowOff>
    </xdr:from>
    <xdr:to>
      <xdr:col>0</xdr:col>
      <xdr:colOff>1197428</xdr:colOff>
      <xdr:row>3</xdr:row>
      <xdr:rowOff>13607</xdr:rowOff>
    </xdr:to>
    <xdr:sp macro="" textlink="">
      <xdr:nvSpPr>
        <xdr:cNvPr id="13" name="Rectangle 12">
          <a:hlinkClick xmlns:r="http://schemas.openxmlformats.org/officeDocument/2006/relationships" r:id="rId9"/>
          <a:extLst>
            <a:ext uri="{FF2B5EF4-FFF2-40B4-BE49-F238E27FC236}">
              <a16:creationId xmlns:a16="http://schemas.microsoft.com/office/drawing/2014/main" id="{00000000-0008-0000-2A00-00000D000000}"/>
            </a:ext>
          </a:extLst>
        </xdr:cNvPr>
        <xdr:cNvSpPr/>
      </xdr:nvSpPr>
      <xdr:spPr>
        <a:xfrm>
          <a:off x="1714499" y="884464"/>
          <a:ext cx="557893"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43</xdr:row>
          <xdr:rowOff>99060</xdr:rowOff>
        </xdr:from>
        <xdr:to>
          <xdr:col>1</xdr:col>
          <xdr:colOff>1424940</xdr:colOff>
          <xdr:row>43</xdr:row>
          <xdr:rowOff>365760</xdr:rowOff>
        </xdr:to>
        <xdr:sp macro="" textlink="">
          <xdr:nvSpPr>
            <xdr:cNvPr id="160771" name="btnAddRenewable" hidden="1">
              <a:extLst>
                <a:ext uri="{63B3BB69-23CF-44E3-9099-C40C66FF867C}">
                  <a14:compatExt spid="_x0000_s160771"/>
                </a:ext>
                <a:ext uri="{FF2B5EF4-FFF2-40B4-BE49-F238E27FC236}">
                  <a16:creationId xmlns:a16="http://schemas.microsoft.com/office/drawing/2014/main" id="{00000000-0008-0000-2B00-000003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43</xdr:row>
          <xdr:rowOff>99060</xdr:rowOff>
        </xdr:from>
        <xdr:to>
          <xdr:col>2</xdr:col>
          <xdr:colOff>1394460</xdr:colOff>
          <xdr:row>43</xdr:row>
          <xdr:rowOff>365760</xdr:rowOff>
        </xdr:to>
        <xdr:sp macro="" textlink="">
          <xdr:nvSpPr>
            <xdr:cNvPr id="160772" name="btbDeleteRenewable" hidden="1">
              <a:extLst>
                <a:ext uri="{63B3BB69-23CF-44E3-9099-C40C66FF867C}">
                  <a14:compatExt spid="_x0000_s160772"/>
                </a:ext>
                <a:ext uri="{FF2B5EF4-FFF2-40B4-BE49-F238E27FC236}">
                  <a16:creationId xmlns:a16="http://schemas.microsoft.com/office/drawing/2014/main" id="{00000000-0008-0000-2B00-000004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76</xdr:row>
          <xdr:rowOff>60960</xdr:rowOff>
        </xdr:from>
        <xdr:to>
          <xdr:col>1</xdr:col>
          <xdr:colOff>441960</xdr:colOff>
          <xdr:row>76</xdr:row>
          <xdr:rowOff>266700</xdr:rowOff>
        </xdr:to>
        <xdr:sp macro="" textlink="">
          <xdr:nvSpPr>
            <xdr:cNvPr id="160773" name="rbOutputReporting1" hidden="1">
              <a:extLst>
                <a:ext uri="{63B3BB69-23CF-44E3-9099-C40C66FF867C}">
                  <a14:compatExt spid="_x0000_s160773"/>
                </a:ext>
                <a:ext uri="{FF2B5EF4-FFF2-40B4-BE49-F238E27FC236}">
                  <a16:creationId xmlns:a16="http://schemas.microsoft.com/office/drawing/2014/main" id="{00000000-0008-0000-2B00-000005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77</xdr:row>
          <xdr:rowOff>60960</xdr:rowOff>
        </xdr:from>
        <xdr:to>
          <xdr:col>1</xdr:col>
          <xdr:colOff>419100</xdr:colOff>
          <xdr:row>78</xdr:row>
          <xdr:rowOff>190500</xdr:rowOff>
        </xdr:to>
        <xdr:sp macro="" textlink="">
          <xdr:nvSpPr>
            <xdr:cNvPr id="160774" name="rbOutputReporting2" hidden="1">
              <a:extLst>
                <a:ext uri="{63B3BB69-23CF-44E3-9099-C40C66FF867C}">
                  <a14:compatExt spid="_x0000_s160774"/>
                </a:ext>
                <a:ext uri="{FF2B5EF4-FFF2-40B4-BE49-F238E27FC236}">
                  <a16:creationId xmlns:a16="http://schemas.microsoft.com/office/drawing/2014/main" id="{00000000-0008-0000-2B00-000006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60960</xdr:rowOff>
        </xdr:from>
        <xdr:to>
          <xdr:col>1</xdr:col>
          <xdr:colOff>441960</xdr:colOff>
          <xdr:row>82</xdr:row>
          <xdr:rowOff>213360</xdr:rowOff>
        </xdr:to>
        <xdr:sp macro="" textlink="">
          <xdr:nvSpPr>
            <xdr:cNvPr id="160775" name="rbOutputReporting4" hidden="1">
              <a:extLst>
                <a:ext uri="{63B3BB69-23CF-44E3-9099-C40C66FF867C}">
                  <a14:compatExt spid="_x0000_s160775"/>
                </a:ext>
                <a:ext uri="{FF2B5EF4-FFF2-40B4-BE49-F238E27FC236}">
                  <a16:creationId xmlns:a16="http://schemas.microsoft.com/office/drawing/2014/main" id="{00000000-0008-0000-2B00-000007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74</xdr:row>
          <xdr:rowOff>365760</xdr:rowOff>
        </xdr:from>
        <xdr:to>
          <xdr:col>11</xdr:col>
          <xdr:colOff>129540</xdr:colOff>
          <xdr:row>84</xdr:row>
          <xdr:rowOff>0</xdr:rowOff>
        </xdr:to>
        <xdr:sp macro="" textlink="">
          <xdr:nvSpPr>
            <xdr:cNvPr id="160776" name="rbgOutputReporting" hidden="1">
              <a:extLst>
                <a:ext uri="{63B3BB69-23CF-44E3-9099-C40C66FF867C}">
                  <a14:compatExt spid="_x0000_s160776"/>
                </a:ext>
                <a:ext uri="{FF2B5EF4-FFF2-40B4-BE49-F238E27FC236}">
                  <a16:creationId xmlns:a16="http://schemas.microsoft.com/office/drawing/2014/main" id="{00000000-0008-0000-2B00-000008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24</xdr:row>
          <xdr:rowOff>99060</xdr:rowOff>
        </xdr:from>
        <xdr:to>
          <xdr:col>1</xdr:col>
          <xdr:colOff>403860</xdr:colOff>
          <xdr:row>25</xdr:row>
          <xdr:rowOff>213360</xdr:rowOff>
        </xdr:to>
        <xdr:sp macro="" textlink="">
          <xdr:nvSpPr>
            <xdr:cNvPr id="160777" name="SiteRenewable Checkbox" hidden="1">
              <a:extLst>
                <a:ext uri="{63B3BB69-23CF-44E3-9099-C40C66FF867C}">
                  <a14:compatExt spid="_x0000_s160777"/>
                </a:ext>
                <a:ext uri="{FF2B5EF4-FFF2-40B4-BE49-F238E27FC236}">
                  <a16:creationId xmlns:a16="http://schemas.microsoft.com/office/drawing/2014/main" id="{00000000-0008-0000-2B00-000009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46</xdr:row>
          <xdr:rowOff>76200</xdr:rowOff>
        </xdr:from>
        <xdr:to>
          <xdr:col>1</xdr:col>
          <xdr:colOff>403860</xdr:colOff>
          <xdr:row>47</xdr:row>
          <xdr:rowOff>251460</xdr:rowOff>
        </xdr:to>
        <xdr:sp macro="" textlink="">
          <xdr:nvSpPr>
            <xdr:cNvPr id="160778" name="ExcCalcCheckbox" hidden="1">
              <a:extLst>
                <a:ext uri="{63B3BB69-23CF-44E3-9099-C40C66FF867C}">
                  <a14:compatExt spid="_x0000_s160778"/>
                </a:ext>
                <a:ext uri="{FF2B5EF4-FFF2-40B4-BE49-F238E27FC236}">
                  <a16:creationId xmlns:a16="http://schemas.microsoft.com/office/drawing/2014/main" id="{00000000-0008-0000-2B00-00000A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60960</xdr:rowOff>
        </xdr:from>
        <xdr:to>
          <xdr:col>1</xdr:col>
          <xdr:colOff>419100</xdr:colOff>
          <xdr:row>80</xdr:row>
          <xdr:rowOff>213360</xdr:rowOff>
        </xdr:to>
        <xdr:sp macro="" textlink="">
          <xdr:nvSpPr>
            <xdr:cNvPr id="160779" name="rbOutputReporting3" hidden="1">
              <a:extLst>
                <a:ext uri="{63B3BB69-23CF-44E3-9099-C40C66FF867C}">
                  <a14:compatExt spid="_x0000_s160779"/>
                </a:ext>
                <a:ext uri="{FF2B5EF4-FFF2-40B4-BE49-F238E27FC236}">
                  <a16:creationId xmlns:a16="http://schemas.microsoft.com/office/drawing/2014/main" id="{00000000-0008-0000-2B00-00000B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434340</xdr:colOff>
          <xdr:row>43</xdr:row>
          <xdr:rowOff>152400</xdr:rowOff>
        </xdr:from>
        <xdr:to>
          <xdr:col>12</xdr:col>
          <xdr:colOff>937260</xdr:colOff>
          <xdr:row>43</xdr:row>
          <xdr:rowOff>403860</xdr:rowOff>
        </xdr:to>
        <xdr:sp macro="" textlink="">
          <xdr:nvSpPr>
            <xdr:cNvPr id="160780" name="btnRestoreRenewCost" hidden="1">
              <a:extLst>
                <a:ext uri="{63B3BB69-23CF-44E3-9099-C40C66FF867C}">
                  <a14:compatExt spid="_x0000_s160780"/>
                </a:ext>
                <a:ext uri="{FF2B5EF4-FFF2-40B4-BE49-F238E27FC236}">
                  <a16:creationId xmlns:a16="http://schemas.microsoft.com/office/drawing/2014/main" id="{00000000-0008-0000-2B00-00000C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71</xdr:row>
          <xdr:rowOff>175260</xdr:rowOff>
        </xdr:from>
        <xdr:to>
          <xdr:col>1</xdr:col>
          <xdr:colOff>1424940</xdr:colOff>
          <xdr:row>71</xdr:row>
          <xdr:rowOff>441960</xdr:rowOff>
        </xdr:to>
        <xdr:sp macro="" textlink="">
          <xdr:nvSpPr>
            <xdr:cNvPr id="160781" name="btnAddExCalc" hidden="1">
              <a:extLst>
                <a:ext uri="{63B3BB69-23CF-44E3-9099-C40C66FF867C}">
                  <a14:compatExt spid="_x0000_s160781"/>
                </a:ext>
                <a:ext uri="{FF2B5EF4-FFF2-40B4-BE49-F238E27FC236}">
                  <a16:creationId xmlns:a16="http://schemas.microsoft.com/office/drawing/2014/main" id="{00000000-0008-0000-2B00-00000D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71</xdr:row>
          <xdr:rowOff>167640</xdr:rowOff>
        </xdr:from>
        <xdr:to>
          <xdr:col>2</xdr:col>
          <xdr:colOff>1432560</xdr:colOff>
          <xdr:row>71</xdr:row>
          <xdr:rowOff>441960</xdr:rowOff>
        </xdr:to>
        <xdr:sp macro="" textlink="">
          <xdr:nvSpPr>
            <xdr:cNvPr id="160782" name="btnDeleteExCalc" hidden="1">
              <a:extLst>
                <a:ext uri="{63B3BB69-23CF-44E3-9099-C40C66FF867C}">
                  <a14:compatExt spid="_x0000_s160782"/>
                </a:ext>
                <a:ext uri="{FF2B5EF4-FFF2-40B4-BE49-F238E27FC236}">
                  <a16:creationId xmlns:a16="http://schemas.microsoft.com/office/drawing/2014/main" id="{00000000-0008-0000-2B00-00000E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434340</xdr:colOff>
          <xdr:row>71</xdr:row>
          <xdr:rowOff>137160</xdr:rowOff>
        </xdr:from>
        <xdr:to>
          <xdr:col>12</xdr:col>
          <xdr:colOff>937260</xdr:colOff>
          <xdr:row>71</xdr:row>
          <xdr:rowOff>403860</xdr:rowOff>
        </xdr:to>
        <xdr:sp macro="" textlink="">
          <xdr:nvSpPr>
            <xdr:cNvPr id="160783" name="btnRestoreExCalCost" hidden="1">
              <a:extLst>
                <a:ext uri="{63B3BB69-23CF-44E3-9099-C40C66FF867C}">
                  <a14:compatExt spid="_x0000_s160783"/>
                </a:ext>
                <a:ext uri="{FF2B5EF4-FFF2-40B4-BE49-F238E27FC236}">
                  <a16:creationId xmlns:a16="http://schemas.microsoft.com/office/drawing/2014/main" id="{00000000-0008-0000-2B00-00000F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518160</xdr:colOff>
          <xdr:row>235</xdr:row>
          <xdr:rowOff>137160</xdr:rowOff>
        </xdr:from>
        <xdr:to>
          <xdr:col>12</xdr:col>
          <xdr:colOff>1028700</xdr:colOff>
          <xdr:row>236</xdr:row>
          <xdr:rowOff>0</xdr:rowOff>
        </xdr:to>
        <xdr:sp macro="" textlink="">
          <xdr:nvSpPr>
            <xdr:cNvPr id="160790" name="btnRestoreExCalCost" hidden="1">
              <a:extLst>
                <a:ext uri="{63B3BB69-23CF-44E3-9099-C40C66FF867C}">
                  <a14:compatExt spid="_x0000_s160790"/>
                </a:ext>
                <a:ext uri="{FF2B5EF4-FFF2-40B4-BE49-F238E27FC236}">
                  <a16:creationId xmlns:a16="http://schemas.microsoft.com/office/drawing/2014/main" id="{00000000-0008-0000-2B00-000016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43</xdr:row>
          <xdr:rowOff>99060</xdr:rowOff>
        </xdr:from>
        <xdr:to>
          <xdr:col>1</xdr:col>
          <xdr:colOff>1424940</xdr:colOff>
          <xdr:row>43</xdr:row>
          <xdr:rowOff>365760</xdr:rowOff>
        </xdr:to>
        <xdr:sp macro="" textlink="">
          <xdr:nvSpPr>
            <xdr:cNvPr id="160793" name="btnAddRenewable" hidden="1">
              <a:extLst>
                <a:ext uri="{63B3BB69-23CF-44E3-9099-C40C66FF867C}">
                  <a14:compatExt spid="_x0000_s160793"/>
                </a:ext>
                <a:ext uri="{FF2B5EF4-FFF2-40B4-BE49-F238E27FC236}">
                  <a16:creationId xmlns:a16="http://schemas.microsoft.com/office/drawing/2014/main" id="{00000000-0008-0000-2B00-000019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43</xdr:row>
          <xdr:rowOff>99060</xdr:rowOff>
        </xdr:from>
        <xdr:to>
          <xdr:col>2</xdr:col>
          <xdr:colOff>1394460</xdr:colOff>
          <xdr:row>43</xdr:row>
          <xdr:rowOff>365760</xdr:rowOff>
        </xdr:to>
        <xdr:sp macro="" textlink="">
          <xdr:nvSpPr>
            <xdr:cNvPr id="160794" name="btbDeleteRenewable" hidden="1">
              <a:extLst>
                <a:ext uri="{63B3BB69-23CF-44E3-9099-C40C66FF867C}">
                  <a14:compatExt spid="_x0000_s160794"/>
                </a:ext>
                <a:ext uri="{FF2B5EF4-FFF2-40B4-BE49-F238E27FC236}">
                  <a16:creationId xmlns:a16="http://schemas.microsoft.com/office/drawing/2014/main" id="{00000000-0008-0000-2B00-00001A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129540</xdr:colOff>
          <xdr:row>76</xdr:row>
          <xdr:rowOff>60960</xdr:rowOff>
        </xdr:from>
        <xdr:to>
          <xdr:col>1</xdr:col>
          <xdr:colOff>472440</xdr:colOff>
          <xdr:row>76</xdr:row>
          <xdr:rowOff>266700</xdr:rowOff>
        </xdr:to>
        <xdr:sp macro="" textlink="">
          <xdr:nvSpPr>
            <xdr:cNvPr id="160795" name="rbOutputReporting1" hidden="1">
              <a:extLst>
                <a:ext uri="{63B3BB69-23CF-44E3-9099-C40C66FF867C}">
                  <a14:compatExt spid="_x0000_s160795"/>
                </a:ext>
                <a:ext uri="{FF2B5EF4-FFF2-40B4-BE49-F238E27FC236}">
                  <a16:creationId xmlns:a16="http://schemas.microsoft.com/office/drawing/2014/main" id="{00000000-0008-0000-2B00-00001B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77</xdr:row>
          <xdr:rowOff>60960</xdr:rowOff>
        </xdr:from>
        <xdr:to>
          <xdr:col>1</xdr:col>
          <xdr:colOff>419100</xdr:colOff>
          <xdr:row>78</xdr:row>
          <xdr:rowOff>190500</xdr:rowOff>
        </xdr:to>
        <xdr:sp macro="" textlink="">
          <xdr:nvSpPr>
            <xdr:cNvPr id="160796" name="rbOutputReporting2" hidden="1">
              <a:extLst>
                <a:ext uri="{63B3BB69-23CF-44E3-9099-C40C66FF867C}">
                  <a14:compatExt spid="_x0000_s160796"/>
                </a:ext>
                <a:ext uri="{FF2B5EF4-FFF2-40B4-BE49-F238E27FC236}">
                  <a16:creationId xmlns:a16="http://schemas.microsoft.com/office/drawing/2014/main" id="{00000000-0008-0000-2B00-00001C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60960</xdr:rowOff>
        </xdr:from>
        <xdr:to>
          <xdr:col>1</xdr:col>
          <xdr:colOff>441960</xdr:colOff>
          <xdr:row>82</xdr:row>
          <xdr:rowOff>213360</xdr:rowOff>
        </xdr:to>
        <xdr:sp macro="" textlink="">
          <xdr:nvSpPr>
            <xdr:cNvPr id="160797" name="rbOutputReporting4" hidden="1">
              <a:extLst>
                <a:ext uri="{63B3BB69-23CF-44E3-9099-C40C66FF867C}">
                  <a14:compatExt spid="_x0000_s160797"/>
                </a:ext>
                <a:ext uri="{FF2B5EF4-FFF2-40B4-BE49-F238E27FC236}">
                  <a16:creationId xmlns:a16="http://schemas.microsoft.com/office/drawing/2014/main" id="{00000000-0008-0000-2B00-00001D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74</xdr:row>
          <xdr:rowOff>365760</xdr:rowOff>
        </xdr:from>
        <xdr:to>
          <xdr:col>11</xdr:col>
          <xdr:colOff>129540</xdr:colOff>
          <xdr:row>84</xdr:row>
          <xdr:rowOff>0</xdr:rowOff>
        </xdr:to>
        <xdr:sp macro="" textlink="">
          <xdr:nvSpPr>
            <xdr:cNvPr id="160798" name="rbgOutputReporting" hidden="1">
              <a:extLst>
                <a:ext uri="{63B3BB69-23CF-44E3-9099-C40C66FF867C}">
                  <a14:compatExt spid="_x0000_s160798"/>
                </a:ext>
                <a:ext uri="{FF2B5EF4-FFF2-40B4-BE49-F238E27FC236}">
                  <a16:creationId xmlns:a16="http://schemas.microsoft.com/office/drawing/2014/main" id="{00000000-0008-0000-2B00-00001E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24</xdr:row>
          <xdr:rowOff>99060</xdr:rowOff>
        </xdr:from>
        <xdr:to>
          <xdr:col>1</xdr:col>
          <xdr:colOff>403860</xdr:colOff>
          <xdr:row>25</xdr:row>
          <xdr:rowOff>213360</xdr:rowOff>
        </xdr:to>
        <xdr:sp macro="" textlink="">
          <xdr:nvSpPr>
            <xdr:cNvPr id="160799" name="SiteRenewable Checkbox" hidden="1">
              <a:extLst>
                <a:ext uri="{63B3BB69-23CF-44E3-9099-C40C66FF867C}">
                  <a14:compatExt spid="_x0000_s160799"/>
                </a:ext>
                <a:ext uri="{FF2B5EF4-FFF2-40B4-BE49-F238E27FC236}">
                  <a16:creationId xmlns:a16="http://schemas.microsoft.com/office/drawing/2014/main" id="{00000000-0008-0000-2B00-00001F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46</xdr:row>
          <xdr:rowOff>76200</xdr:rowOff>
        </xdr:from>
        <xdr:to>
          <xdr:col>1</xdr:col>
          <xdr:colOff>403860</xdr:colOff>
          <xdr:row>47</xdr:row>
          <xdr:rowOff>251460</xdr:rowOff>
        </xdr:to>
        <xdr:sp macro="" textlink="">
          <xdr:nvSpPr>
            <xdr:cNvPr id="160800" name="ExcCalcCheckbox" hidden="1">
              <a:extLst>
                <a:ext uri="{63B3BB69-23CF-44E3-9099-C40C66FF867C}">
                  <a14:compatExt spid="_x0000_s160800"/>
                </a:ext>
                <a:ext uri="{FF2B5EF4-FFF2-40B4-BE49-F238E27FC236}">
                  <a16:creationId xmlns:a16="http://schemas.microsoft.com/office/drawing/2014/main" id="{00000000-0008-0000-2B00-000020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60960</xdr:rowOff>
        </xdr:from>
        <xdr:to>
          <xdr:col>1</xdr:col>
          <xdr:colOff>419100</xdr:colOff>
          <xdr:row>80</xdr:row>
          <xdr:rowOff>213360</xdr:rowOff>
        </xdr:to>
        <xdr:sp macro="" textlink="">
          <xdr:nvSpPr>
            <xdr:cNvPr id="160801" name="rbOutputReporting3" hidden="1">
              <a:extLst>
                <a:ext uri="{63B3BB69-23CF-44E3-9099-C40C66FF867C}">
                  <a14:compatExt spid="_x0000_s160801"/>
                </a:ext>
                <a:ext uri="{FF2B5EF4-FFF2-40B4-BE49-F238E27FC236}">
                  <a16:creationId xmlns:a16="http://schemas.microsoft.com/office/drawing/2014/main" id="{00000000-0008-0000-2B00-000021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434340</xdr:colOff>
          <xdr:row>43</xdr:row>
          <xdr:rowOff>152400</xdr:rowOff>
        </xdr:from>
        <xdr:to>
          <xdr:col>12</xdr:col>
          <xdr:colOff>937260</xdr:colOff>
          <xdr:row>43</xdr:row>
          <xdr:rowOff>403860</xdr:rowOff>
        </xdr:to>
        <xdr:sp macro="" textlink="">
          <xdr:nvSpPr>
            <xdr:cNvPr id="160802" name="btnRestoreRenewCost" hidden="1">
              <a:extLst>
                <a:ext uri="{63B3BB69-23CF-44E3-9099-C40C66FF867C}">
                  <a14:compatExt spid="_x0000_s160802"/>
                </a:ext>
                <a:ext uri="{FF2B5EF4-FFF2-40B4-BE49-F238E27FC236}">
                  <a16:creationId xmlns:a16="http://schemas.microsoft.com/office/drawing/2014/main" id="{00000000-0008-0000-2B00-000022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71</xdr:row>
          <xdr:rowOff>175260</xdr:rowOff>
        </xdr:from>
        <xdr:to>
          <xdr:col>1</xdr:col>
          <xdr:colOff>1424940</xdr:colOff>
          <xdr:row>71</xdr:row>
          <xdr:rowOff>441960</xdr:rowOff>
        </xdr:to>
        <xdr:sp macro="" textlink="">
          <xdr:nvSpPr>
            <xdr:cNvPr id="160803" name="btnAddExCalc" hidden="1">
              <a:extLst>
                <a:ext uri="{63B3BB69-23CF-44E3-9099-C40C66FF867C}">
                  <a14:compatExt spid="_x0000_s160803"/>
                </a:ext>
                <a:ext uri="{FF2B5EF4-FFF2-40B4-BE49-F238E27FC236}">
                  <a16:creationId xmlns:a16="http://schemas.microsoft.com/office/drawing/2014/main" id="{00000000-0008-0000-2B00-000023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71</xdr:row>
          <xdr:rowOff>167640</xdr:rowOff>
        </xdr:from>
        <xdr:to>
          <xdr:col>2</xdr:col>
          <xdr:colOff>1432560</xdr:colOff>
          <xdr:row>71</xdr:row>
          <xdr:rowOff>441960</xdr:rowOff>
        </xdr:to>
        <xdr:sp macro="" textlink="">
          <xdr:nvSpPr>
            <xdr:cNvPr id="160804" name="btnDeleteExCalc" hidden="1">
              <a:extLst>
                <a:ext uri="{63B3BB69-23CF-44E3-9099-C40C66FF867C}">
                  <a14:compatExt spid="_x0000_s160804"/>
                </a:ext>
                <a:ext uri="{FF2B5EF4-FFF2-40B4-BE49-F238E27FC236}">
                  <a16:creationId xmlns:a16="http://schemas.microsoft.com/office/drawing/2014/main" id="{00000000-0008-0000-2B00-000024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434340</xdr:colOff>
          <xdr:row>71</xdr:row>
          <xdr:rowOff>137160</xdr:rowOff>
        </xdr:from>
        <xdr:to>
          <xdr:col>12</xdr:col>
          <xdr:colOff>937260</xdr:colOff>
          <xdr:row>71</xdr:row>
          <xdr:rowOff>403860</xdr:rowOff>
        </xdr:to>
        <xdr:sp macro="" textlink="">
          <xdr:nvSpPr>
            <xdr:cNvPr id="160805" name="btnRestoreExCalCost" hidden="1">
              <a:extLst>
                <a:ext uri="{63B3BB69-23CF-44E3-9099-C40C66FF867C}">
                  <a14:compatExt spid="_x0000_s160805"/>
                </a:ext>
                <a:ext uri="{FF2B5EF4-FFF2-40B4-BE49-F238E27FC236}">
                  <a16:creationId xmlns:a16="http://schemas.microsoft.com/office/drawing/2014/main" id="{00000000-0008-0000-2B00-000025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518160</xdr:colOff>
          <xdr:row>235</xdr:row>
          <xdr:rowOff>137160</xdr:rowOff>
        </xdr:from>
        <xdr:to>
          <xdr:col>12</xdr:col>
          <xdr:colOff>1013460</xdr:colOff>
          <xdr:row>236</xdr:row>
          <xdr:rowOff>0</xdr:rowOff>
        </xdr:to>
        <xdr:sp macro="" textlink="">
          <xdr:nvSpPr>
            <xdr:cNvPr id="160806" name="Button 38" hidden="1">
              <a:extLst>
                <a:ext uri="{63B3BB69-23CF-44E3-9099-C40C66FF867C}">
                  <a14:compatExt spid="_x0000_s160806"/>
                </a:ext>
                <a:ext uri="{FF2B5EF4-FFF2-40B4-BE49-F238E27FC236}">
                  <a16:creationId xmlns:a16="http://schemas.microsoft.com/office/drawing/2014/main" id="{00000000-0008-0000-2B00-000026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Air-Side%20HVAC"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va/Dropbox%20(Karpman%20Consulting)/LEED%2090.1%202016%20Template/Performance%20Path%20Calculator_AppG2016%20V1.2_Example%20-WORKING%20VERSION%207-31-18.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Z:\Dropbox%20(Karpman%20Consulting)\Work\Project%20Folders\TRC\NJCEP\P4P\NC%202016%20Program%20Development\P4P%20Template%20V4.0f%20(combined).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Multifamily%20Detai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Eva/Dropbox%20(Karpman%20Consulting)/NYSERDA%20NCP/90.1%202013%20with%20BM%20Program%20Documents/WB%20Template/Sample%20Template/NCPXXXXX%20WB%20Template%20V4_SAMPLE%2090.1-2013.xlsm"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Lighting%20Lookup"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PathMissing" Target="6%20-%20General%20HVAC"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Eva/Dropbox%20(Karpman%20Consulting)/NYSERDA%20NCP/90.1%202013%20with%20BM%20Program%20Documents/WB%20Template/Testing/Performance%20Path%20Calculator_AppG2016%20v0.1%20EXAMPLE.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Eva/Dropbox%20(Karpman%20Consulting)/NYSERDA%20NCP/90.1%202013%20with%20BM%20Program%20Documents/WB%20Template/Testing/v4_Minimum%20Energy%20Performance%20Calculator_June_7_2016_90.1_2016_UNLOCKED_v4.xlsm"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LPD-Space%20by%20Space"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Other%20Lookup" TargetMode="External"/></Relationships>
</file>

<file path=xl/externalLinks/_rels/externalLink12.xml.rels><?xml version="1.0" encoding="UTF-8" standalone="yes"?>
<Relationships xmlns="http://schemas.openxmlformats.org/package/2006/relationships"><Relationship Id="rId1" Type="http://schemas.microsoft.com/office/2006/relationships/xlExternalLinkPath/xlPathMissing" Target="General%20HVAC"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General%20Lighting" TargetMode="External"/></Relationships>
</file>

<file path=xl/externalLinks/_rels/externalLink14.xml.rels><?xml version="1.0" encoding="UTF-8" standalone="yes"?>
<Relationships xmlns="http://schemas.openxmlformats.org/package/2006/relationships"><Relationship Id="rId1" Type="http://schemas.microsoft.com/office/2006/relationships/xlExternalLinkPath/xlPathMissing" Target="3A%20-%20Interior%20Lighting" TargetMode="External"/></Relationships>
</file>

<file path=xl/externalLinks/_rels/externalLink15.xml.rels><?xml version="1.0" encoding="UTF-8" standalone="yes"?>
<Relationships xmlns="http://schemas.openxmlformats.org/package/2006/relationships"><Relationship Id="rId1" Type="http://schemas.microsoft.com/office/2006/relationships/xlExternalLinkPath/xlPathMissing" Target="Multiple%20Buildings%20Details" TargetMode="External"/></Relationships>
</file>

<file path=xl/externalLinks/_rels/externalLink16.xml.rels><?xml version="1.0" encoding="UTF-8" standalone="yes"?>
<Relationships xmlns="http://schemas.openxmlformats.org/package/2006/relationships"><Relationship Id="rId1" Type="http://schemas.microsoft.com/office/2006/relationships/xlExternalLinkPath/xlPathMissing" Target="Performance_Outputs_1" TargetMode="External"/></Relationships>
</file>

<file path=xl/externalLinks/_rels/externalLink17.xml.rels><?xml version="1.0" encoding="UTF-8" standalone="yes"?>
<Relationships xmlns="http://schemas.openxmlformats.org/package/2006/relationships"><Relationship Id="rId1" Type="http://schemas.microsoft.com/office/2006/relationships/xlExternalLinkPath/xlPathMissing" Target="Envelope%20Lookup" TargetMode="External"/></Relationships>
</file>

<file path=xl/externalLinks/_rels/externalLink18.xml.rels><?xml version="1.0" encoding="UTF-8" standalone="yes"?>
<Relationships xmlns="http://schemas.openxmlformats.org/package/2006/relationships"><Relationship Id="rId1" Type="http://schemas.microsoft.com/office/2006/relationships/xlExternalLinkPath/xlPathMissing" Target="Service%20Water%20Heating" TargetMode="External"/></Relationships>
</file>

<file path=xl/externalLinks/_rels/externalLink19.xml.rels><?xml version="1.0" encoding="UTF-8" standalone="yes"?>
<Relationships xmlns="http://schemas.openxmlformats.org/package/2006/relationships"><Relationship Id="rId1" Type="http://schemas.microsoft.com/office/2006/relationships/xlExternalLinkPath/xlPathMissing" Target="Lighting%20Counts" TargetMode="External"/></Relationships>
</file>

<file path=xl/externalLinks/_rels/externalLink20.xml.rels><?xml version="1.0" encoding="UTF-8" standalone="yes"?>
<Relationships xmlns="http://schemas.openxmlformats.org/package/2006/relationships"><Relationship Id="rId1" Type="http://schemas.microsoft.com/office/2006/relationships/xlExternalLinkPath/xlPathMissing" Target="2%20-%20Shading%20&amp;%20Fenestration"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Users/ebsko/Dropbox%20(Karpman%20Consulting)/P4P/NC%202016%20Program%20Development/LEED%20Templates%20Master/old/v4_Minimum%20Energy%20Performance%20Calculator_01_28_2016_Fix_Unlocked%20-%20UPDATE%206-15-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ir-Side HVAC"/>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_Outputs_0"/>
      <sheetName val="Instructions"/>
      <sheetName val="Definitions"/>
      <sheetName val="General Information"/>
      <sheetName val="1 - Multiple Buildings Details"/>
      <sheetName val="2a - Schedules"/>
      <sheetName val="2b - EFLH Calculator"/>
      <sheetName val="3 - Multifamily Details"/>
      <sheetName val="4 - Shading and Fenestration"/>
      <sheetName val="5 - Opaque Assemblies"/>
      <sheetName val="DropdownData"/>
      <sheetName val="Envelope Assumptions"/>
      <sheetName val="Envelope Lookup 90.1-2007"/>
      <sheetName val="Envelope Lookup 90.1-2013"/>
      <sheetName val="Envelope Lookup 90.1-2010"/>
      <sheetName val="6a - Lighting Counts"/>
      <sheetName val="6b - General Lighting"/>
      <sheetName val="Lighting Assumptions"/>
      <sheetName val="Lighting Assumptions 90.1-2007"/>
      <sheetName val="Lighting Assumptions 90.1-2013"/>
      <sheetName val="Lighting Assumptions 90.1-2010"/>
      <sheetName val="7 - Process Loads"/>
      <sheetName val="8 - Service Water Heating"/>
      <sheetName val="SWH Lookup"/>
      <sheetName val="9 - General HVAC"/>
      <sheetName val="10a - Baseline Air-Side HVAC"/>
      <sheetName val="10b - Proposed Air-Side HVAC"/>
      <sheetName val="11 - Water-Side HVAC"/>
      <sheetName val="Results from eQuest"/>
      <sheetName val="ECM"/>
      <sheetName val="Detailed Measures"/>
      <sheetName val="Results from Trace"/>
      <sheetName val="12 - Performance_Outputs_1"/>
      <sheetName val="90.1-2004 Site EUI"/>
      <sheetName val="90.1-2013 Site EUI"/>
      <sheetName val="Revision Notes"/>
      <sheetName val="Quality Assurance Checks"/>
      <sheetName val="Performance_Outputs_0 old"/>
      <sheetName val="Performance_Outputs_Summary"/>
      <sheetName val="BPF 2013BM"/>
      <sheetName val="BPF 2007"/>
      <sheetName val="BPF 2010"/>
      <sheetName val="BPF 2013"/>
      <sheetName val="BPF 2016"/>
      <sheetName val="Summary"/>
      <sheetName val="P4P - LEED Inputs"/>
      <sheetName val="Revision Log"/>
      <sheetName val="Version Update Checklist"/>
      <sheetName val="Rating System Descriptions"/>
      <sheetName val="HVAC Lookup"/>
      <sheetName val="HVAC Lookup 90.1-2007"/>
      <sheetName val="HVAC Lookup 90.1-2013"/>
      <sheetName val="HVAC Lookup 90.1-2010"/>
      <sheetName val="District Energy Path 3"/>
    </sheetNames>
    <sheetDataSet>
      <sheetData sheetId="0"/>
      <sheetData sheetId="1"/>
      <sheetData sheetId="2"/>
      <sheetData sheetId="3">
        <row r="7">
          <cell r="E7" t="str">
            <v>203 Case Study</v>
          </cell>
        </row>
        <row r="9">
          <cell r="E9" t="str">
            <v>ENERGY STAR MFHR</v>
          </cell>
          <cell r="K9" t="str">
            <v>Homes</v>
          </cell>
        </row>
        <row r="11">
          <cell r="K11" t="str">
            <v>IP</v>
          </cell>
        </row>
        <row r="13">
          <cell r="F13" t="str">
            <v>No</v>
          </cell>
        </row>
        <row r="23">
          <cell r="F23">
            <v>109301</v>
          </cell>
        </row>
        <row r="24">
          <cell r="G24">
            <v>1</v>
          </cell>
          <cell r="H24">
            <v>0</v>
          </cell>
        </row>
        <row r="26">
          <cell r="F26" t="str">
            <v>Yes</v>
          </cell>
        </row>
        <row r="40">
          <cell r="C40" t="str">
            <v>eQuest</v>
          </cell>
        </row>
        <row r="42">
          <cell r="C42" t="str">
            <v>ASHRAE 90.1 2016 Appendix G</v>
          </cell>
        </row>
        <row r="67">
          <cell r="K67" t="b">
            <v>0</v>
          </cell>
        </row>
        <row r="68">
          <cell r="M68" t="b">
            <v>0</v>
          </cell>
        </row>
      </sheetData>
      <sheetData sheetId="4">
        <row r="12">
          <cell r="O12" t="b">
            <v>0</v>
          </cell>
        </row>
        <row r="16">
          <cell r="B16" t="str">
            <v>Simulation ID</v>
          </cell>
          <cell r="J16" t="str">
            <v>Multiplier</v>
          </cell>
        </row>
        <row r="17">
          <cell r="B17" t="str">
            <v>203 Case Study</v>
          </cell>
          <cell r="J17">
            <v>0</v>
          </cell>
        </row>
        <row r="22">
          <cell r="B22" t="str">
            <v>Building ID</v>
          </cell>
          <cell r="E22" t="str">
            <v>Simulation ID</v>
          </cell>
          <cell r="F22" t="str">
            <v>Multiplier</v>
          </cell>
          <cell r="G22" t="str">
            <v>Conditioned</v>
          </cell>
          <cell r="H22" t="str">
            <v>Unconditioned</v>
          </cell>
          <cell r="I22" t="str">
            <v>New</v>
          </cell>
          <cell r="J22" t="str">
            <v>Renovation/Existing</v>
          </cell>
        </row>
        <row r="23">
          <cell r="B23" t="str">
            <v>Residual Project</v>
          </cell>
          <cell r="E23" t="str">
            <v>Residual Project</v>
          </cell>
          <cell r="J23">
            <v>0</v>
          </cell>
        </row>
        <row r="24">
          <cell r="B24" t="str">
            <v>203 Case Study</v>
          </cell>
          <cell r="E24">
            <v>1</v>
          </cell>
          <cell r="J24">
            <v>1</v>
          </cell>
        </row>
        <row r="25">
          <cell r="B25" t="str">
            <v>All</v>
          </cell>
        </row>
      </sheetData>
      <sheetData sheetId="5"/>
      <sheetData sheetId="6"/>
      <sheetData sheetId="7">
        <row r="11">
          <cell r="B11" t="str">
            <v>Building ID</v>
          </cell>
          <cell r="D11" t="str">
            <v>S_Unit</v>
          </cell>
          <cell r="E11" t="str">
            <v>S_Area</v>
          </cell>
          <cell r="F11" t="str">
            <v>1B_Unit</v>
          </cell>
          <cell r="G11" t="str">
            <v>1B_Area</v>
          </cell>
          <cell r="H11" t="str">
            <v>2B_Unit</v>
          </cell>
          <cell r="I11" t="str">
            <v>2B_Area</v>
          </cell>
          <cell r="J11" t="str">
            <v>3B_Unit</v>
          </cell>
          <cell r="K11" t="str">
            <v>3B_Area</v>
          </cell>
          <cell r="L11" t="str">
            <v>4B_Unit</v>
          </cell>
          <cell r="M11" t="str">
            <v>4B_Area</v>
          </cell>
          <cell r="N11" t="str">
            <v>5B_Unit</v>
          </cell>
          <cell r="O11" t="str">
            <v>5B_Area</v>
          </cell>
          <cell r="P11" t="str">
            <v>6B_Unit</v>
          </cell>
          <cell r="Q11" t="str">
            <v>6B_Area</v>
          </cell>
          <cell r="R11" t="str">
            <v>7B_Unit</v>
          </cell>
          <cell r="S11" t="str">
            <v>7B_Area</v>
          </cell>
          <cell r="T11" t="str">
            <v>8B_Unit</v>
          </cell>
          <cell r="U11" t="str">
            <v>8B_Area</v>
          </cell>
        </row>
        <row r="12">
          <cell r="B12" t="str">
            <v>203 Case Study</v>
          </cell>
          <cell r="F12">
            <v>80</v>
          </cell>
          <cell r="G12">
            <v>954</v>
          </cell>
        </row>
        <row r="16">
          <cell r="U16">
            <v>1</v>
          </cell>
        </row>
        <row r="17">
          <cell r="U17">
            <v>954</v>
          </cell>
        </row>
        <row r="19">
          <cell r="U19">
            <v>1</v>
          </cell>
        </row>
        <row r="21">
          <cell r="B21" t="str">
            <v>Building ID</v>
          </cell>
          <cell r="D21" t="str">
            <v>Total Number of Units</v>
          </cell>
          <cell r="F21" t="str">
            <v>Total Number of Bedrooms</v>
          </cell>
          <cell r="H21" t="str">
            <v>Total Area of Dwelling Units (square feet)</v>
          </cell>
          <cell r="K21" t="str">
            <v>Average Number of Bedrooms Per Unit</v>
          </cell>
          <cell r="N21" t="str">
            <v>Average Floor Area per Unit (square feet)</v>
          </cell>
          <cell r="Q21" t="str">
            <v>Average Floor Area Per Unit for Reference Building (square feet)</v>
          </cell>
        </row>
        <row r="22">
          <cell r="B22" t="str">
            <v>203 Case Study</v>
          </cell>
          <cell r="D22">
            <v>80</v>
          </cell>
          <cell r="F22">
            <v>80</v>
          </cell>
          <cell r="H22">
            <v>76320</v>
          </cell>
          <cell r="K22">
            <v>1</v>
          </cell>
          <cell r="N22">
            <v>954</v>
          </cell>
          <cell r="Q22">
            <v>1000</v>
          </cell>
        </row>
        <row r="31">
          <cell r="B31" t="str">
            <v>Building ID</v>
          </cell>
          <cell r="C31" t="str">
            <v>Load_Source</v>
          </cell>
          <cell r="D31" t="str">
            <v>Qty</v>
          </cell>
          <cell r="E31" t="str">
            <v>Energy_Star</v>
          </cell>
          <cell r="F31" t="str">
            <v>Avg_Bedrooms_DU</v>
          </cell>
          <cell r="G31" t="str">
            <v>Blank1</v>
          </cell>
          <cell r="H31" t="str">
            <v>Base_Elec_Consumption</v>
          </cell>
          <cell r="I31" t="str">
            <v>Design_Elec_Consumption</v>
          </cell>
          <cell r="J31" t="str">
            <v>Elec_Sens_Ratio</v>
          </cell>
          <cell r="K31" t="str">
            <v>Elec_Latent_Ratio</v>
          </cell>
          <cell r="L31" t="str">
            <v>Blank2</v>
          </cell>
          <cell r="M31" t="str">
            <v>Base_Ng_Consumption</v>
          </cell>
          <cell r="N31" t="str">
            <v>Design_Ng_Consumption</v>
          </cell>
          <cell r="O31" t="str">
            <v>NG_Sens_Ratio</v>
          </cell>
          <cell r="P31" t="str">
            <v>NG_Latent_Ratio</v>
          </cell>
          <cell r="Q31" t="str">
            <v>Blank3</v>
          </cell>
          <cell r="R31" t="str">
            <v>Base_DHW_Equip</v>
          </cell>
          <cell r="S31" t="str">
            <v>Design_DHW_Equip</v>
          </cell>
          <cell r="T31" t="str">
            <v>Base_DHW_Annual</v>
          </cell>
          <cell r="U31" t="str">
            <v>Design_DHW_Annual</v>
          </cell>
        </row>
        <row r="32">
          <cell r="B32" t="str">
            <v>203 Case Study</v>
          </cell>
        </row>
        <row r="33">
          <cell r="B33" t="str">
            <v>203 Case Study</v>
          </cell>
        </row>
        <row r="34">
          <cell r="B34" t="str">
            <v>203 Case Study</v>
          </cell>
        </row>
        <row r="57">
          <cell r="B57" t="str">
            <v>Building ID</v>
          </cell>
          <cell r="C57" t="str">
            <v>Load_Source</v>
          </cell>
          <cell r="D57" t="str">
            <v>Qty</v>
          </cell>
          <cell r="E57" t="str">
            <v>Energy_Star</v>
          </cell>
          <cell r="F57" t="str">
            <v>Avg_Bedrooms_DU</v>
          </cell>
          <cell r="H57" t="str">
            <v>Base_Elec_Consumption</v>
          </cell>
          <cell r="I57" t="str">
            <v>Design_Elec_Consumption</v>
          </cell>
          <cell r="J57" t="str">
            <v>Elec_Sens_Ratio</v>
          </cell>
          <cell r="K57" t="str">
            <v>Elec_Latent_Ratio</v>
          </cell>
          <cell r="M57" t="str">
            <v>Base_Ng_Consumption</v>
          </cell>
          <cell r="N57" t="str">
            <v>Design_Ng_Consumption</v>
          </cell>
          <cell r="O57" t="str">
            <v>NG_Sens_Ratio</v>
          </cell>
          <cell r="P57" t="str">
            <v>NG_Latent_Ratio</v>
          </cell>
          <cell r="R57" t="str">
            <v>Base_DHW_Equip</v>
          </cell>
          <cell r="S57" t="str">
            <v>Design_DHW_Equip</v>
          </cell>
          <cell r="T57" t="str">
            <v>Base_DHW_Annual</v>
          </cell>
          <cell r="U57" t="str">
            <v>Design_DHW_Annual</v>
          </cell>
        </row>
        <row r="58">
          <cell r="B58" t="str">
            <v>203 Case Study</v>
          </cell>
        </row>
        <row r="59">
          <cell r="B59" t="str">
            <v>203 Case Study</v>
          </cell>
        </row>
        <row r="60">
          <cell r="B60" t="str">
            <v>203 Case Study</v>
          </cell>
        </row>
        <row r="81">
          <cell r="B81" t="str">
            <v>Low</v>
          </cell>
          <cell r="C81" t="str">
            <v>Demographics such as all occupants working, seniors, middle income, and higher population density.</v>
          </cell>
          <cell r="S81">
            <v>12</v>
          </cell>
          <cell r="T81" t="str">
            <v>gallons/day</v>
          </cell>
        </row>
        <row r="82">
          <cell r="B82" t="str">
            <v>Medium</v>
          </cell>
          <cell r="C82" t="str">
            <v>Demographics such as mixture of working / non-working occupants, mixture of age groups, medium population densities.</v>
          </cell>
          <cell r="S82">
            <v>25</v>
          </cell>
          <cell r="T82" t="str">
            <v>gallons/day</v>
          </cell>
        </row>
        <row r="83">
          <cell r="B83" t="str">
            <v>High</v>
          </cell>
          <cell r="C83" t="str">
            <v>Demographics such high percentages of children, low income, public assistance, or no occupants working.</v>
          </cell>
          <cell r="S83">
            <v>44</v>
          </cell>
          <cell r="T83" t="str">
            <v>gallons/day</v>
          </cell>
        </row>
      </sheetData>
      <sheetData sheetId="8"/>
      <sheetData sheetId="9"/>
      <sheetData sheetId="10">
        <row r="2">
          <cell r="B2" t="str">
            <v>Electricity</v>
          </cell>
          <cell r="C2">
            <v>2.5499999999999998</v>
          </cell>
          <cell r="E2" t="str">
            <v>kWh</v>
          </cell>
          <cell r="F2" t="str">
            <v>Kilowatt hour</v>
          </cell>
          <cell r="G2">
            <v>3.4119999999999999</v>
          </cell>
          <cell r="I2" t="str">
            <v>kW</v>
          </cell>
          <cell r="J2" t="str">
            <v>Kilowatt</v>
          </cell>
          <cell r="K2">
            <v>3.4119999999999999</v>
          </cell>
          <cell r="Q2" t="str">
            <v>Default EIA Rates</v>
          </cell>
          <cell r="W2" t="str">
            <v>LEED v4 BD+C: New Construction</v>
          </cell>
          <cell r="AF2" t="str">
            <v xml:space="preserve"> 0%-10.0%</v>
          </cell>
          <cell r="AG2" t="str">
            <v xml:space="preserve"> 0%-2.0%</v>
          </cell>
          <cell r="AL2" t="str">
            <v>Photovoltaic system</v>
          </cell>
          <cell r="AO2" t="str">
            <v>EnergyPlus</v>
          </cell>
          <cell r="AQ2" t="str">
            <v>ASHRAE 90.1-2007</v>
          </cell>
          <cell r="AR2" t="str">
            <v>ASHRAE 90.1 2016 Appendix G</v>
          </cell>
          <cell r="AV2" t="str">
            <v>1A</v>
          </cell>
          <cell r="AY2" t="str">
            <v>CZ1</v>
          </cell>
          <cell r="CS2" t="str">
            <v>Vertical Fenestration varies by less than 5%</v>
          </cell>
          <cell r="CU2" t="str">
            <v>Refrigerator</v>
          </cell>
          <cell r="CV2">
            <v>529</v>
          </cell>
          <cell r="CW2">
            <v>423</v>
          </cell>
          <cell r="CX2">
            <v>1</v>
          </cell>
          <cell r="CY2">
            <v>0</v>
          </cell>
          <cell r="DE2">
            <v>0</v>
          </cell>
          <cell r="DF2">
            <v>1</v>
          </cell>
          <cell r="DG2">
            <v>0</v>
          </cell>
          <cell r="DH2">
            <v>0</v>
          </cell>
          <cell r="DO2" t="str">
            <v>Primary HVAC System</v>
          </cell>
          <cell r="DR2">
            <v>2</v>
          </cell>
        </row>
        <row r="3">
          <cell r="B3" t="str">
            <v>Natural Gas</v>
          </cell>
          <cell r="C3">
            <v>1.05</v>
          </cell>
          <cell r="E3" t="str">
            <v>MWh</v>
          </cell>
          <cell r="F3" t="str">
            <v>Megawatt hour</v>
          </cell>
          <cell r="G3">
            <v>3412</v>
          </cell>
          <cell r="I3" t="str">
            <v>MW</v>
          </cell>
          <cell r="J3" t="str">
            <v>Megawatt</v>
          </cell>
          <cell r="K3">
            <v>3412</v>
          </cell>
          <cell r="Q3" t="str">
            <v>Fixed Rates per unit of consumption</v>
          </cell>
          <cell r="W3" t="str">
            <v>ENERGY STAR MFHR</v>
          </cell>
          <cell r="AF3" t="str">
            <v xml:space="preserve"> 10.1%-20.0%</v>
          </cell>
          <cell r="AG3" t="str">
            <v xml:space="preserve"> 2.1%+</v>
          </cell>
          <cell r="AL3" t="str">
            <v>Wind energy system</v>
          </cell>
          <cell r="AO3" t="str">
            <v>EnergyPro</v>
          </cell>
          <cell r="AQ3" t="str">
            <v>ASHRAE 90.1-2010</v>
          </cell>
          <cell r="AR3" t="str">
            <v>California Title-24 2013, Part 6</v>
          </cell>
          <cell r="AV3" t="str">
            <v>1B</v>
          </cell>
          <cell r="AY3" t="str">
            <v>CZ2</v>
          </cell>
          <cell r="CS3" t="str">
            <v>Energy code does not require four orientations</v>
          </cell>
          <cell r="CU3" t="str">
            <v>Dishwasher</v>
          </cell>
          <cell r="CV3">
            <v>206</v>
          </cell>
          <cell r="CW3">
            <v>164</v>
          </cell>
          <cell r="CX3">
            <v>0.6</v>
          </cell>
          <cell r="CY3">
            <v>0.15</v>
          </cell>
          <cell r="CZ3">
            <v>0</v>
          </cell>
          <cell r="DE3">
            <v>0</v>
          </cell>
          <cell r="DF3">
            <v>1</v>
          </cell>
          <cell r="DG3">
            <v>1290</v>
          </cell>
          <cell r="DH3">
            <v>860</v>
          </cell>
          <cell r="DO3" t="str">
            <v>All</v>
          </cell>
          <cell r="DR3" t="str">
            <v>203 Case Study</v>
          </cell>
        </row>
        <row r="4">
          <cell r="B4" t="str">
            <v>District Cooling</v>
          </cell>
          <cell r="C4">
            <v>1</v>
          </cell>
          <cell r="E4" t="str">
            <v>kBtu</v>
          </cell>
          <cell r="F4" t="str">
            <v>(British thermal unit) x 1,000</v>
          </cell>
          <cell r="G4">
            <v>1</v>
          </cell>
          <cell r="I4" t="str">
            <v>Btuh</v>
          </cell>
          <cell r="J4" t="str">
            <v>British thermal unit per hour</v>
          </cell>
          <cell r="K4">
            <v>1E-3</v>
          </cell>
          <cell r="Q4" t="str">
            <v>Fixed Rates per unit of consumption varying seasonally</v>
          </cell>
          <cell r="W4" t="str">
            <v>ECCCNYS ASHRAE Standard 90.1 Appendix G</v>
          </cell>
          <cell r="AF4" t="str">
            <v xml:space="preserve"> 20.1%-30.0%</v>
          </cell>
          <cell r="AL4" t="str">
            <v>Solar thermal system</v>
          </cell>
          <cell r="AO4" t="str">
            <v>eQuest</v>
          </cell>
          <cell r="AQ4" t="str">
            <v>ASHRAE 90.1-2013</v>
          </cell>
          <cell r="AR4" t="str">
            <v>Other approved code</v>
          </cell>
          <cell r="AV4" t="str">
            <v>2A</v>
          </cell>
          <cell r="AY4" t="str">
            <v>CZ3</v>
          </cell>
          <cell r="CS4" t="str">
            <v>Building is more than 50% existing based on floor area</v>
          </cell>
          <cell r="CU4" t="str">
            <v>Clothes Washer (In-unit)</v>
          </cell>
          <cell r="CV4">
            <v>81</v>
          </cell>
          <cell r="CW4">
            <v>57</v>
          </cell>
          <cell r="CX4">
            <v>0.8</v>
          </cell>
          <cell r="CY4">
            <v>0</v>
          </cell>
          <cell r="CZ4">
            <v>0</v>
          </cell>
          <cell r="DE4">
            <v>0</v>
          </cell>
          <cell r="DF4">
            <v>1</v>
          </cell>
          <cell r="DG4">
            <v>2435.8000000000002</v>
          </cell>
          <cell r="DH4">
            <v>1127.4000000000001</v>
          </cell>
          <cell r="DO4" t="str">
            <v>Other HVAC System</v>
          </cell>
          <cell r="DR4" t="str">
            <v>All</v>
          </cell>
        </row>
        <row r="5">
          <cell r="B5" t="str">
            <v>District Hot Water</v>
          </cell>
          <cell r="C5">
            <v>1.2</v>
          </cell>
          <cell r="E5" t="str">
            <v>therm</v>
          </cell>
          <cell r="F5" t="str">
            <v>therm</v>
          </cell>
          <cell r="G5">
            <v>100</v>
          </cell>
          <cell r="I5" t="str">
            <v>MBH</v>
          </cell>
          <cell r="J5" t="str">
            <v>(British thermal unit per hour) x 1,000</v>
          </cell>
          <cell r="K5">
            <v>1</v>
          </cell>
          <cell r="Q5" t="str">
            <v>Fixed Rates per unit of consumption and demand</v>
          </cell>
          <cell r="AF5" t="str">
            <v xml:space="preserve"> 30.1%-40.0%</v>
          </cell>
          <cell r="AL5" t="str">
            <v>Geothermal heating system (not geoexchange)</v>
          </cell>
          <cell r="AO5" t="str">
            <v>HAP</v>
          </cell>
          <cell r="AV5" t="str">
            <v>2B</v>
          </cell>
          <cell r="AY5" t="str">
            <v>CZ4</v>
          </cell>
          <cell r="CS5" t="str">
            <v>Design is dictated by site consideration*</v>
          </cell>
          <cell r="CU5" t="str">
            <v>Cooking (electric stove/range)</v>
          </cell>
          <cell r="CV5">
            <v>604</v>
          </cell>
          <cell r="CW5">
            <v>604</v>
          </cell>
          <cell r="CX5">
            <v>0.4</v>
          </cell>
          <cell r="CY5">
            <v>0.3</v>
          </cell>
          <cell r="CZ5">
            <v>0</v>
          </cell>
          <cell r="DE5">
            <v>0</v>
          </cell>
          <cell r="DF5">
            <v>1</v>
          </cell>
          <cell r="DG5">
            <v>0</v>
          </cell>
          <cell r="DH5">
            <v>0</v>
          </cell>
          <cell r="DR5" t="e">
            <v>#N/A</v>
          </cell>
        </row>
        <row r="6">
          <cell r="B6" t="str">
            <v>District Steam</v>
          </cell>
          <cell r="C6">
            <v>1.2</v>
          </cell>
          <cell r="E6" t="str">
            <v>Btu x 10^6</v>
          </cell>
          <cell r="F6" t="str">
            <v>(British thermal unit) x 1,000,000</v>
          </cell>
          <cell r="G6">
            <v>1000</v>
          </cell>
          <cell r="I6" t="str">
            <v>Btuh x 10^3</v>
          </cell>
          <cell r="J6" t="str">
            <v>(British thermal unit per hour) x 1,000</v>
          </cell>
          <cell r="K6">
            <v>1</v>
          </cell>
          <cell r="Q6" t="str">
            <v>Fixed Rates per unit of consumption and demand varying seasonally</v>
          </cell>
          <cell r="AL6" t="str">
            <v>Geothermal electric system</v>
          </cell>
          <cell r="AO6" t="str">
            <v>IES</v>
          </cell>
          <cell r="AV6" t="str">
            <v>3A</v>
          </cell>
          <cell r="AY6" t="str">
            <v>CZ5</v>
          </cell>
          <cell r="CU6" t="str">
            <v>Cooking (gas stove/range)</v>
          </cell>
          <cell r="CZ6">
            <v>0</v>
          </cell>
          <cell r="DA6">
            <v>45</v>
          </cell>
          <cell r="DB6">
            <v>45</v>
          </cell>
          <cell r="DC6">
            <v>0.3</v>
          </cell>
          <cell r="DD6">
            <v>0.2</v>
          </cell>
          <cell r="DE6">
            <v>0</v>
          </cell>
          <cell r="DF6">
            <v>1</v>
          </cell>
          <cell r="DG6">
            <v>0</v>
          </cell>
          <cell r="DH6">
            <v>0</v>
          </cell>
          <cell r="DR6" t="e">
            <v>#N/A</v>
          </cell>
        </row>
        <row r="7">
          <cell r="B7" t="str">
            <v>Fuel Oil / Diesel</v>
          </cell>
          <cell r="C7">
            <v>1.01</v>
          </cell>
          <cell r="E7" t="str">
            <v>MJ</v>
          </cell>
          <cell r="F7" t="str">
            <v>(Joules) x 1,000,000</v>
          </cell>
          <cell r="G7">
            <v>0.94799999999999995</v>
          </cell>
          <cell r="I7" t="str">
            <v>Btuh x 10^6</v>
          </cell>
          <cell r="J7" t="str">
            <v>(British thermal unit per hour) x 1,000,000</v>
          </cell>
          <cell r="K7">
            <v>1000</v>
          </cell>
          <cell r="Q7" t="str">
            <v>Time of Use Rates per unit of consumption</v>
          </cell>
          <cell r="AL7" t="str">
            <v>On-site untreated wood waste - thermal</v>
          </cell>
          <cell r="AO7" t="str">
            <v>Trace</v>
          </cell>
          <cell r="AV7" t="str">
            <v>3B</v>
          </cell>
          <cell r="AY7" t="str">
            <v>CZ6</v>
          </cell>
          <cell r="CU7" t="str">
            <v>Clothes Dryer (In-unit electric)</v>
          </cell>
          <cell r="CV7" t="str">
            <v>418</v>
          </cell>
          <cell r="CW7" t="str">
            <v>418</v>
          </cell>
          <cell r="CX7">
            <v>0.15</v>
          </cell>
          <cell r="CY7">
            <v>0.05</v>
          </cell>
          <cell r="CZ7">
            <v>139</v>
          </cell>
          <cell r="DE7">
            <v>0</v>
          </cell>
          <cell r="DF7">
            <v>1</v>
          </cell>
          <cell r="DG7">
            <v>0</v>
          </cell>
          <cell r="DH7">
            <v>0</v>
          </cell>
          <cell r="DR7" t="e">
            <v>#N/A</v>
          </cell>
        </row>
        <row r="8">
          <cell r="B8" t="str">
            <v>Propane</v>
          </cell>
          <cell r="C8">
            <v>1.01</v>
          </cell>
          <cell r="E8" t="str">
            <v>Ton Hours</v>
          </cell>
          <cell r="F8" t="str">
            <v>Ton Hours</v>
          </cell>
          <cell r="G8">
            <v>12</v>
          </cell>
          <cell r="I8" t="str">
            <v>MMBTUH</v>
          </cell>
          <cell r="J8" t="str">
            <v>(British thermal unit per hour) x 1,000,000</v>
          </cell>
          <cell r="K8">
            <v>1000</v>
          </cell>
          <cell r="Q8" t="str">
            <v>Time of Use Rates per unit of consumption and demand</v>
          </cell>
          <cell r="AL8" t="str">
            <v>On-site untreated wood waste - electric generator</v>
          </cell>
          <cell r="AO8" t="str">
            <v>Other</v>
          </cell>
          <cell r="AV8" t="str">
            <v>3C</v>
          </cell>
          <cell r="AY8" t="str">
            <v>CZ7</v>
          </cell>
          <cell r="CU8" t="str">
            <v>Clothes Dryer (In-unit gas)</v>
          </cell>
          <cell r="CV8">
            <v>26.5</v>
          </cell>
          <cell r="CW8">
            <v>26.5</v>
          </cell>
          <cell r="CX8">
            <v>1</v>
          </cell>
          <cell r="CY8">
            <v>0</v>
          </cell>
          <cell r="CZ8">
            <v>8.8000000000000007</v>
          </cell>
          <cell r="DC8">
            <v>0.1</v>
          </cell>
          <cell r="DD8">
            <v>0.05</v>
          </cell>
          <cell r="DE8">
            <v>12.7</v>
          </cell>
          <cell r="DF8">
            <v>1</v>
          </cell>
          <cell r="DG8">
            <v>0</v>
          </cell>
          <cell r="DH8">
            <v>0</v>
          </cell>
          <cell r="DR8" t="e">
            <v>#N/A</v>
          </cell>
        </row>
        <row r="9">
          <cell r="B9" t="str">
            <v>Fuel Oil (No. 5 &amp; No.6)</v>
          </cell>
          <cell r="C9">
            <v>1.01</v>
          </cell>
          <cell r="I9" t="str">
            <v>ton</v>
          </cell>
          <cell r="J9" t="str">
            <v>ton</v>
          </cell>
          <cell r="K9">
            <v>12</v>
          </cell>
          <cell r="Q9" t="str">
            <v>Time of Use Rates per unit of consumption varying seasonally</v>
          </cell>
          <cell r="AL9" t="str">
            <v>On-site agricultural crops or waste - thermal</v>
          </cell>
          <cell r="AV9" t="str">
            <v>4A</v>
          </cell>
          <cell r="AY9" t="str">
            <v>CZ8</v>
          </cell>
          <cell r="CU9" t="str">
            <v>Range hood, up to 500 cfm</v>
          </cell>
          <cell r="CV9">
            <v>0.31739130434782614</v>
          </cell>
          <cell r="CW9">
            <v>0.26071428571428573</v>
          </cell>
          <cell r="CX9">
            <v>0</v>
          </cell>
          <cell r="CY9">
            <v>0</v>
          </cell>
          <cell r="CZ9">
            <v>0</v>
          </cell>
          <cell r="DE9">
            <v>0</v>
          </cell>
          <cell r="DF9">
            <v>1</v>
          </cell>
          <cell r="DR9" t="e">
            <v>#N/A</v>
          </cell>
        </row>
        <row r="10">
          <cell r="B10" t="str">
            <v>Kerosene</v>
          </cell>
          <cell r="C10">
            <v>1.01</v>
          </cell>
          <cell r="Q10" t="str">
            <v>Time of Use Rates per unit of consumption and demand varying seasonally</v>
          </cell>
          <cell r="AL10" t="str">
            <v>On-site agricultural crops or waste - electric</v>
          </cell>
          <cell r="AV10" t="str">
            <v>4B</v>
          </cell>
          <cell r="AY10" t="str">
            <v>CZ9</v>
          </cell>
          <cell r="CU10" t="str">
            <v>Bath / Utility Fan, 10 to 89 cfm</v>
          </cell>
          <cell r="CV10">
            <v>0.60833333333333339</v>
          </cell>
          <cell r="CW10">
            <v>0.52142857142857146</v>
          </cell>
          <cell r="CX10">
            <v>0</v>
          </cell>
          <cell r="CY10">
            <v>0</v>
          </cell>
          <cell r="CZ10">
            <v>0</v>
          </cell>
          <cell r="DE10">
            <v>0</v>
          </cell>
          <cell r="DF10">
            <v>1</v>
          </cell>
          <cell r="DR10" t="e">
            <v>#N/A</v>
          </cell>
        </row>
        <row r="11">
          <cell r="B11" t="str">
            <v>Coal (anthracite)</v>
          </cell>
          <cell r="C11">
            <v>1</v>
          </cell>
          <cell r="Q11" t="str">
            <v>Block Charges per unit of consumptoin</v>
          </cell>
          <cell r="AL11" t="str">
            <v>On-site animal or organic waste - thermal</v>
          </cell>
          <cell r="AV11" t="str">
            <v>4C</v>
          </cell>
          <cell r="AY11" t="str">
            <v>CZ10</v>
          </cell>
          <cell r="CU11" t="str">
            <v>Bath / Utility Fan, 90 to 500 cfm</v>
          </cell>
          <cell r="CV11">
            <v>0.31739130434782614</v>
          </cell>
          <cell r="CW11">
            <v>0.26071428571428573</v>
          </cell>
          <cell r="CX11">
            <v>0</v>
          </cell>
          <cell r="CY11">
            <v>0</v>
          </cell>
          <cell r="CZ11">
            <v>0</v>
          </cell>
          <cell r="DE11">
            <v>0</v>
          </cell>
          <cell r="DF11">
            <v>1</v>
          </cell>
          <cell r="DR11" t="e">
            <v>#N/A</v>
          </cell>
        </row>
        <row r="12">
          <cell r="B12" t="str">
            <v>Coal (bituminous)</v>
          </cell>
          <cell r="C12">
            <v>1</v>
          </cell>
          <cell r="Q12" t="str">
            <v>Block charges per unit of consumption and demand</v>
          </cell>
          <cell r="AL12" t="str">
            <v>On-site animal or organic waste - electric</v>
          </cell>
          <cell r="AV12" t="str">
            <v>5A</v>
          </cell>
          <cell r="AY12" t="str">
            <v>CZ11</v>
          </cell>
          <cell r="DR12" t="e">
            <v>#N/A</v>
          </cell>
        </row>
        <row r="13">
          <cell r="B13" t="str">
            <v>Coke</v>
          </cell>
          <cell r="C13">
            <v>1</v>
          </cell>
          <cell r="Q13" t="str">
            <v>Block charges per unit of consumption varying seasonally</v>
          </cell>
          <cell r="AL13" t="str">
            <v>On-site landfill gas - thermal</v>
          </cell>
          <cell r="AV13" t="str">
            <v>5B</v>
          </cell>
          <cell r="AY13" t="str">
            <v>CZ12</v>
          </cell>
          <cell r="DR13" t="e">
            <v>#N/A</v>
          </cell>
        </row>
        <row r="14">
          <cell r="B14" t="str">
            <v>Wood</v>
          </cell>
          <cell r="C14">
            <v>1</v>
          </cell>
          <cell r="Q14" t="str">
            <v>Block charges per unit of consumption and demand varying seasonally</v>
          </cell>
          <cell r="AL14" t="str">
            <v>On-site landfill gas - electric</v>
          </cell>
          <cell r="AV14" t="str">
            <v>5C</v>
          </cell>
          <cell r="AY14" t="str">
            <v>CZ13</v>
          </cell>
          <cell r="DR14" t="e">
            <v>#N/A</v>
          </cell>
        </row>
        <row r="15">
          <cell r="AV15" t="str">
            <v>6A</v>
          </cell>
          <cell r="AY15" t="str">
            <v>CZ14</v>
          </cell>
          <cell r="DR15" t="e">
            <v>#N/A</v>
          </cell>
        </row>
        <row r="16">
          <cell r="AV16" t="str">
            <v>6B</v>
          </cell>
          <cell r="AY16" t="str">
            <v>CZ15</v>
          </cell>
          <cell r="DR16" t="e">
            <v>#N/A</v>
          </cell>
        </row>
        <row r="17">
          <cell r="AV17" t="str">
            <v>7A</v>
          </cell>
          <cell r="AY17" t="str">
            <v>CZ16</v>
          </cell>
          <cell r="CU17" t="str">
            <v>Clothes Washer (Commercial)</v>
          </cell>
          <cell r="CV17">
            <v>196</v>
          </cell>
          <cell r="CW17">
            <v>138</v>
          </cell>
          <cell r="CX17">
            <v>0.8</v>
          </cell>
          <cell r="CY17">
            <v>0</v>
          </cell>
          <cell r="CZ17">
            <v>0</v>
          </cell>
          <cell r="DE17">
            <v>0</v>
          </cell>
          <cell r="DF17">
            <v>1</v>
          </cell>
          <cell r="DG17">
            <v>5903</v>
          </cell>
          <cell r="DH17">
            <v>2732.2000000000003</v>
          </cell>
          <cell r="DR17" t="e">
            <v>#N/A</v>
          </cell>
        </row>
        <row r="18">
          <cell r="AV18" t="str">
            <v>7B</v>
          </cell>
          <cell r="CU18" t="str">
            <v>Clothes Dryer (Commercial electric)</v>
          </cell>
          <cell r="CV18">
            <v>418</v>
          </cell>
          <cell r="CW18">
            <v>418</v>
          </cell>
          <cell r="CX18">
            <v>0.15</v>
          </cell>
          <cell r="CY18">
            <v>0.05</v>
          </cell>
          <cell r="CZ18">
            <v>139</v>
          </cell>
          <cell r="DE18">
            <v>0</v>
          </cell>
          <cell r="DF18">
            <v>2.423</v>
          </cell>
          <cell r="DG18">
            <v>0</v>
          </cell>
          <cell r="DH18">
            <v>0</v>
          </cell>
          <cell r="DR18" t="e">
            <v>#N/A</v>
          </cell>
        </row>
        <row r="19">
          <cell r="AV19">
            <v>8</v>
          </cell>
          <cell r="CU19" t="str">
            <v>Clothes Dryer (Commercial gas)</v>
          </cell>
          <cell r="CV19">
            <v>26.5</v>
          </cell>
          <cell r="CW19">
            <v>26.5</v>
          </cell>
          <cell r="CX19">
            <v>0.1</v>
          </cell>
          <cell r="CY19">
            <v>0.05</v>
          </cell>
          <cell r="CZ19">
            <v>8.8000000000000007</v>
          </cell>
          <cell r="DC19">
            <v>0.1</v>
          </cell>
          <cell r="DD19">
            <v>0.05</v>
          </cell>
          <cell r="DE19">
            <v>12.7</v>
          </cell>
          <cell r="DF19">
            <v>2.423</v>
          </cell>
          <cell r="DG19">
            <v>0</v>
          </cell>
          <cell r="DH19">
            <v>0</v>
          </cell>
          <cell r="DR19" t="e">
            <v>#N/A</v>
          </cell>
        </row>
        <row r="20">
          <cell r="DR20" t="e">
            <v>#N/A</v>
          </cell>
        </row>
        <row r="21">
          <cell r="DR21" t="e">
            <v>#N/A</v>
          </cell>
        </row>
        <row r="22">
          <cell r="DR22" t="e">
            <v>#N/A</v>
          </cell>
        </row>
        <row r="23">
          <cell r="DR23" t="e">
            <v>#N/A</v>
          </cell>
        </row>
        <row r="24">
          <cell r="DR24" t="e">
            <v>#N/A</v>
          </cell>
        </row>
        <row r="25">
          <cell r="DR25" t="e">
            <v>#N/A</v>
          </cell>
        </row>
        <row r="26">
          <cell r="DR26" t="e">
            <v>#N/A</v>
          </cell>
        </row>
        <row r="27">
          <cell r="DR27" t="e">
            <v>#N/A</v>
          </cell>
        </row>
        <row r="28">
          <cell r="DR28" t="e">
            <v>#N/A</v>
          </cell>
        </row>
        <row r="29">
          <cell r="DR29" t="e">
            <v>#N/A</v>
          </cell>
        </row>
        <row r="30">
          <cell r="DR30" t="e">
            <v>#N/A</v>
          </cell>
        </row>
        <row r="31">
          <cell r="DR31" t="e">
            <v>#N/A</v>
          </cell>
        </row>
        <row r="32">
          <cell r="DR32" t="e">
            <v>#N/A</v>
          </cell>
        </row>
        <row r="33">
          <cell r="DR33" t="e">
            <v>#N/A</v>
          </cell>
        </row>
        <row r="34">
          <cell r="DR34" t="e">
            <v>#N/A</v>
          </cell>
        </row>
        <row r="35">
          <cell r="DR35" t="e">
            <v>#N/A</v>
          </cell>
        </row>
        <row r="36">
          <cell r="DR36" t="e">
            <v>#N/A</v>
          </cell>
        </row>
        <row r="37">
          <cell r="DR37" t="e">
            <v>#N/A</v>
          </cell>
        </row>
        <row r="38">
          <cell r="DR38" t="e">
            <v>#N/A</v>
          </cell>
        </row>
        <row r="39">
          <cell r="DR39" t="e">
            <v>#N/A</v>
          </cell>
        </row>
        <row r="40">
          <cell r="DR40" t="e">
            <v>#N/A</v>
          </cell>
        </row>
        <row r="41">
          <cell r="DR41" t="e">
            <v>#N/A</v>
          </cell>
        </row>
        <row r="42">
          <cell r="DR42" t="e">
            <v>#N/A</v>
          </cell>
        </row>
        <row r="65">
          <cell r="DX65" t="str">
            <v>90% Construction Documents</v>
          </cell>
        </row>
        <row r="66">
          <cell r="DX66" t="str">
            <v>100% Construction Documents</v>
          </cell>
        </row>
        <row r="67">
          <cell r="DX67" t="str">
            <v>As-built Construction Documents</v>
          </cell>
        </row>
        <row r="68">
          <cell r="DX68" t="str">
            <v>Other - Please Describe</v>
          </cell>
        </row>
        <row r="90">
          <cell r="C90">
            <v>0</v>
          </cell>
        </row>
        <row r="96">
          <cell r="C96" t="b">
            <v>0</v>
          </cell>
        </row>
        <row r="98">
          <cell r="C98" t="b">
            <v>0</v>
          </cell>
        </row>
        <row r="101">
          <cell r="B101">
            <v>0</v>
          </cell>
        </row>
        <row r="102">
          <cell r="B102" t="str">
            <v>Electricity</v>
          </cell>
        </row>
        <row r="103">
          <cell r="B103" t="str">
            <v>Natural Gas</v>
          </cell>
        </row>
        <row r="104">
          <cell r="B104">
            <v>0</v>
          </cell>
        </row>
        <row r="105">
          <cell r="B105">
            <v>0</v>
          </cell>
        </row>
        <row r="106">
          <cell r="B106">
            <v>0</v>
          </cell>
        </row>
      </sheetData>
      <sheetData sheetId="11">
        <row r="3">
          <cell r="CI3" t="str">
            <v>Grocery Store</v>
          </cell>
        </row>
        <row r="4">
          <cell r="CI4" t="str">
            <v>Healthcare (outpatient)</v>
          </cell>
        </row>
        <row r="5">
          <cell r="CI5" t="str">
            <v>Hospital</v>
          </cell>
        </row>
        <row r="6">
          <cell r="CI6" t="str">
            <v>Hotel/motel (≤ 75 rooms)</v>
          </cell>
        </row>
        <row r="7">
          <cell r="CI7" t="str">
            <v>Hotel/motel (&gt; 75 rooms)</v>
          </cell>
        </row>
        <row r="8">
          <cell r="CI8" t="str">
            <v>Office (≤ 5,000 sf)</v>
          </cell>
        </row>
        <row r="9">
          <cell r="CI9" t="str">
            <v>Office (5,000 to 50,000 sf)</v>
          </cell>
        </row>
        <row r="10">
          <cell r="CI10" t="str">
            <v>Office (&gt;50,000 sf)</v>
          </cell>
        </row>
        <row r="11">
          <cell r="CI11" t="str">
            <v>Restaurant (quick service)</v>
          </cell>
        </row>
        <row r="12">
          <cell r="CI12" t="str">
            <v>Restaurant (full service)</v>
          </cell>
        </row>
        <row r="13">
          <cell r="CI13" t="str">
            <v>Retail (stand alone)</v>
          </cell>
        </row>
        <row r="14">
          <cell r="CI14" t="str">
            <v>Retail (strip mall)</v>
          </cell>
        </row>
        <row r="15">
          <cell r="CI15" t="str">
            <v>School (primary)</v>
          </cell>
        </row>
        <row r="16">
          <cell r="CI16" t="str">
            <v>School (secondary or university)</v>
          </cell>
        </row>
        <row r="17">
          <cell r="CI17" t="str">
            <v>Warehouse (nonrefrigeratied)</v>
          </cell>
        </row>
        <row r="18">
          <cell r="CI18" t="str">
            <v>Other</v>
          </cell>
        </row>
      </sheetData>
      <sheetData sheetId="12"/>
      <sheetData sheetId="13"/>
      <sheetData sheetId="14"/>
      <sheetData sheetId="15">
        <row r="26">
          <cell r="H26">
            <v>109668</v>
          </cell>
        </row>
      </sheetData>
      <sheetData sheetId="16">
        <row r="25">
          <cell r="AC25">
            <v>2</v>
          </cell>
        </row>
        <row r="32">
          <cell r="B32">
            <v>0</v>
          </cell>
          <cell r="D32">
            <v>0</v>
          </cell>
          <cell r="E32">
            <v>0</v>
          </cell>
          <cell r="F32">
            <v>0</v>
          </cell>
          <cell r="G32">
            <v>0</v>
          </cell>
          <cell r="H32" t="str">
            <v>-</v>
          </cell>
          <cell r="I32" t="str">
            <v>-</v>
          </cell>
          <cell r="J32" t="str">
            <v>-</v>
          </cell>
          <cell r="K32" t="str">
            <v>-</v>
          </cell>
          <cell r="L32">
            <v>0</v>
          </cell>
          <cell r="M32">
            <v>0</v>
          </cell>
        </row>
        <row r="33">
          <cell r="B33">
            <v>0</v>
          </cell>
        </row>
        <row r="34">
          <cell r="B34">
            <v>0</v>
          </cell>
        </row>
        <row r="35">
          <cell r="B35">
            <v>0</v>
          </cell>
        </row>
        <row r="36">
          <cell r="B36">
            <v>0</v>
          </cell>
        </row>
        <row r="37">
          <cell r="B37">
            <v>0</v>
          </cell>
        </row>
        <row r="38">
          <cell r="B38">
            <v>0</v>
          </cell>
        </row>
        <row r="50">
          <cell r="A50" t="str">
            <v>G</v>
          </cell>
          <cell r="B50">
            <v>0</v>
          </cell>
          <cell r="D50">
            <v>0</v>
          </cell>
          <cell r="E50">
            <v>0</v>
          </cell>
          <cell r="F50">
            <v>0</v>
          </cell>
          <cell r="G50">
            <v>0</v>
          </cell>
          <cell r="H50" t="str">
            <v>-</v>
          </cell>
          <cell r="I50" t="str">
            <v>-</v>
          </cell>
          <cell r="J50" t="str">
            <v>-</v>
          </cell>
          <cell r="K50" t="str">
            <v>-</v>
          </cell>
          <cell r="L50">
            <v>0</v>
          </cell>
          <cell r="M50">
            <v>0</v>
          </cell>
          <cell r="W50">
            <v>0</v>
          </cell>
          <cell r="X50">
            <v>0</v>
          </cell>
          <cell r="Y50">
            <v>0</v>
          </cell>
        </row>
        <row r="51">
          <cell r="A51" t="str">
            <v>G</v>
          </cell>
          <cell r="B51">
            <v>0</v>
          </cell>
          <cell r="D51">
            <v>0</v>
          </cell>
          <cell r="E51">
            <v>0</v>
          </cell>
          <cell r="F51">
            <v>0</v>
          </cell>
          <cell r="G51">
            <v>0</v>
          </cell>
          <cell r="H51" t="str">
            <v>-</v>
          </cell>
          <cell r="I51" t="str">
            <v>-</v>
          </cell>
          <cell r="J51" t="str">
            <v>-</v>
          </cell>
          <cell r="K51" t="str">
            <v>-</v>
          </cell>
          <cell r="L51">
            <v>0</v>
          </cell>
          <cell r="M51">
            <v>0</v>
          </cell>
          <cell r="W51">
            <v>0</v>
          </cell>
          <cell r="X51">
            <v>0</v>
          </cell>
          <cell r="Y51">
            <v>0</v>
          </cell>
        </row>
        <row r="52">
          <cell r="A52" t="str">
            <v>G</v>
          </cell>
          <cell r="B52">
            <v>0</v>
          </cell>
          <cell r="D52">
            <v>0</v>
          </cell>
          <cell r="E52">
            <v>0</v>
          </cell>
          <cell r="F52">
            <v>0</v>
          </cell>
          <cell r="G52">
            <v>0</v>
          </cell>
          <cell r="H52" t="str">
            <v>-</v>
          </cell>
          <cell r="I52" t="str">
            <v>-</v>
          </cell>
          <cell r="J52" t="str">
            <v>-</v>
          </cell>
          <cell r="K52" t="str">
            <v>-</v>
          </cell>
          <cell r="L52">
            <v>0</v>
          </cell>
          <cell r="M52">
            <v>0</v>
          </cell>
          <cell r="W52">
            <v>0</v>
          </cell>
          <cell r="X52">
            <v>0</v>
          </cell>
          <cell r="Y52">
            <v>0</v>
          </cell>
        </row>
        <row r="53">
          <cell r="A53" t="str">
            <v>G</v>
          </cell>
          <cell r="B53">
            <v>0</v>
          </cell>
          <cell r="D53">
            <v>0</v>
          </cell>
          <cell r="E53">
            <v>0</v>
          </cell>
          <cell r="F53">
            <v>0</v>
          </cell>
          <cell r="G53">
            <v>0</v>
          </cell>
          <cell r="H53" t="str">
            <v>-</v>
          </cell>
          <cell r="I53" t="str">
            <v>-</v>
          </cell>
          <cell r="J53" t="str">
            <v>-</v>
          </cell>
          <cell r="K53" t="str">
            <v>-</v>
          </cell>
          <cell r="L53">
            <v>0</v>
          </cell>
          <cell r="M53">
            <v>0</v>
          </cell>
          <cell r="W53">
            <v>0</v>
          </cell>
          <cell r="X53">
            <v>0</v>
          </cell>
          <cell r="Y53">
            <v>0</v>
          </cell>
        </row>
        <row r="54">
          <cell r="A54" t="str">
            <v>G</v>
          </cell>
          <cell r="B54">
            <v>0</v>
          </cell>
          <cell r="D54">
            <v>0</v>
          </cell>
          <cell r="E54">
            <v>0</v>
          </cell>
          <cell r="F54">
            <v>0</v>
          </cell>
          <cell r="G54">
            <v>0</v>
          </cell>
          <cell r="H54" t="str">
            <v>-</v>
          </cell>
          <cell r="I54" t="str">
            <v>-</v>
          </cell>
          <cell r="J54" t="str">
            <v>-</v>
          </cell>
          <cell r="K54" t="str">
            <v>-</v>
          </cell>
          <cell r="L54">
            <v>0</v>
          </cell>
          <cell r="M54">
            <v>0</v>
          </cell>
          <cell r="W54">
            <v>0</v>
          </cell>
          <cell r="X54">
            <v>0</v>
          </cell>
          <cell r="Y54">
            <v>0</v>
          </cell>
        </row>
        <row r="55">
          <cell r="A55" t="str">
            <v>G</v>
          </cell>
          <cell r="B55">
            <v>0</v>
          </cell>
          <cell r="D55">
            <v>0</v>
          </cell>
          <cell r="E55">
            <v>0</v>
          </cell>
          <cell r="F55">
            <v>0</v>
          </cell>
          <cell r="G55">
            <v>0</v>
          </cell>
          <cell r="H55" t="str">
            <v>-</v>
          </cell>
          <cell r="I55" t="str">
            <v>-</v>
          </cell>
          <cell r="J55" t="str">
            <v>-</v>
          </cell>
          <cell r="K55" t="str">
            <v>-</v>
          </cell>
          <cell r="L55">
            <v>0</v>
          </cell>
          <cell r="M55">
            <v>0</v>
          </cell>
          <cell r="W55">
            <v>0</v>
          </cell>
          <cell r="X55">
            <v>0</v>
          </cell>
          <cell r="Y55">
            <v>0</v>
          </cell>
        </row>
        <row r="56">
          <cell r="A56" t="str">
            <v>G</v>
          </cell>
          <cell r="B56">
            <v>0</v>
          </cell>
          <cell r="D56">
            <v>0</v>
          </cell>
          <cell r="E56">
            <v>0</v>
          </cell>
          <cell r="F56">
            <v>0</v>
          </cell>
          <cell r="G56">
            <v>0</v>
          </cell>
          <cell r="H56" t="str">
            <v>-</v>
          </cell>
          <cell r="I56" t="str">
            <v>-</v>
          </cell>
          <cell r="J56" t="str">
            <v>-</v>
          </cell>
          <cell r="K56" t="str">
            <v>-</v>
          </cell>
          <cell r="L56">
            <v>0</v>
          </cell>
          <cell r="M56">
            <v>0</v>
          </cell>
          <cell r="W56">
            <v>0</v>
          </cell>
          <cell r="X56">
            <v>0</v>
          </cell>
          <cell r="Y56">
            <v>0</v>
          </cell>
        </row>
        <row r="57">
          <cell r="A57" t="str">
            <v>G</v>
          </cell>
          <cell r="B57">
            <v>0</v>
          </cell>
          <cell r="D57">
            <v>0</v>
          </cell>
          <cell r="E57">
            <v>0</v>
          </cell>
          <cell r="F57">
            <v>0</v>
          </cell>
          <cell r="G57">
            <v>0</v>
          </cell>
          <cell r="H57" t="str">
            <v>-</v>
          </cell>
          <cell r="I57" t="str">
            <v>-</v>
          </cell>
          <cell r="J57" t="str">
            <v>-</v>
          </cell>
          <cell r="K57" t="str">
            <v>-</v>
          </cell>
          <cell r="L57">
            <v>0</v>
          </cell>
          <cell r="M57">
            <v>0</v>
          </cell>
          <cell r="W57">
            <v>0</v>
          </cell>
          <cell r="X57">
            <v>0</v>
          </cell>
          <cell r="Y57">
            <v>0</v>
          </cell>
        </row>
        <row r="58">
          <cell r="A58" t="str">
            <v>G</v>
          </cell>
          <cell r="B58">
            <v>0</v>
          </cell>
          <cell r="D58">
            <v>0</v>
          </cell>
          <cell r="E58">
            <v>0</v>
          </cell>
          <cell r="F58">
            <v>0</v>
          </cell>
          <cell r="G58">
            <v>0</v>
          </cell>
          <cell r="H58" t="str">
            <v>-</v>
          </cell>
          <cell r="I58" t="str">
            <v>-</v>
          </cell>
          <cell r="J58" t="str">
            <v>-</v>
          </cell>
          <cell r="K58" t="str">
            <v>-</v>
          </cell>
          <cell r="L58">
            <v>0</v>
          </cell>
          <cell r="M58">
            <v>0</v>
          </cell>
          <cell r="W58">
            <v>0</v>
          </cell>
          <cell r="X58">
            <v>0</v>
          </cell>
          <cell r="Y58">
            <v>0</v>
          </cell>
        </row>
        <row r="59">
          <cell r="A59" t="str">
            <v>G</v>
          </cell>
          <cell r="B59">
            <v>0</v>
          </cell>
          <cell r="D59">
            <v>0</v>
          </cell>
          <cell r="E59">
            <v>0</v>
          </cell>
          <cell r="F59">
            <v>0</v>
          </cell>
          <cell r="G59">
            <v>0</v>
          </cell>
          <cell r="H59" t="str">
            <v>-</v>
          </cell>
          <cell r="I59" t="str">
            <v>-</v>
          </cell>
          <cell r="J59" t="str">
            <v>-</v>
          </cell>
          <cell r="K59" t="str">
            <v>-</v>
          </cell>
          <cell r="L59">
            <v>0</v>
          </cell>
          <cell r="M59">
            <v>0</v>
          </cell>
          <cell r="W59">
            <v>0</v>
          </cell>
          <cell r="X59">
            <v>0</v>
          </cell>
          <cell r="Y59">
            <v>0</v>
          </cell>
        </row>
        <row r="60">
          <cell r="A60" t="str">
            <v>G</v>
          </cell>
          <cell r="B60" t="str">
            <v>Total</v>
          </cell>
          <cell r="D60">
            <v>109668</v>
          </cell>
          <cell r="E60">
            <v>84203.88</v>
          </cell>
          <cell r="F60">
            <v>132472.79</v>
          </cell>
          <cell r="G60">
            <v>0</v>
          </cell>
          <cell r="H60">
            <v>0.76780719991246316</v>
          </cell>
          <cell r="I60">
            <v>1.2079438851807274</v>
          </cell>
          <cell r="J60">
            <v>0</v>
          </cell>
          <cell r="K60">
            <v>0.75348670532881068</v>
          </cell>
          <cell r="L60">
            <v>82633.38</v>
          </cell>
          <cell r="M60">
            <v>0.7874884651858336</v>
          </cell>
          <cell r="N60" t="str">
            <v>#</v>
          </cell>
          <cell r="X60">
            <v>0</v>
          </cell>
          <cell r="Y60">
            <v>1</v>
          </cell>
          <cell r="AK60" t="str">
            <v>N/A</v>
          </cell>
        </row>
        <row r="61">
          <cell r="A61" t="str">
            <v>G</v>
          </cell>
        </row>
        <row r="62">
          <cell r="A62" t="str">
            <v>G</v>
          </cell>
        </row>
        <row r="63">
          <cell r="A63" t="str">
            <v>G</v>
          </cell>
        </row>
        <row r="64">
          <cell r="A64" t="str">
            <v>G</v>
          </cell>
        </row>
        <row r="65">
          <cell r="A65" t="str">
            <v>B</v>
          </cell>
        </row>
        <row r="70">
          <cell r="A70" t="str">
            <v>G</v>
          </cell>
        </row>
        <row r="71">
          <cell r="A71" t="str">
            <v>G</v>
          </cell>
        </row>
        <row r="72">
          <cell r="A72" t="str">
            <v>G</v>
          </cell>
        </row>
        <row r="79">
          <cell r="A79" t="str">
            <v>G</v>
          </cell>
        </row>
        <row r="80">
          <cell r="A80" t="str">
            <v>G</v>
          </cell>
        </row>
        <row r="81">
          <cell r="A81" t="str">
            <v>G</v>
          </cell>
        </row>
        <row r="82">
          <cell r="A82" t="str">
            <v>G</v>
          </cell>
        </row>
        <row r="83">
          <cell r="A83" t="str">
            <v>G</v>
          </cell>
        </row>
        <row r="84">
          <cell r="A84" t="str">
            <v>G</v>
          </cell>
        </row>
        <row r="85">
          <cell r="A85" t="str">
            <v>D</v>
          </cell>
        </row>
        <row r="91">
          <cell r="A91" t="str">
            <v>G</v>
          </cell>
        </row>
        <row r="92">
          <cell r="A92" t="str">
            <v>G</v>
          </cell>
        </row>
        <row r="93">
          <cell r="A93" t="str">
            <v>G</v>
          </cell>
        </row>
        <row r="94">
          <cell r="A94" t="str">
            <v>G</v>
          </cell>
        </row>
        <row r="95">
          <cell r="A95" t="str">
            <v>G</v>
          </cell>
        </row>
        <row r="96">
          <cell r="A96" t="str">
            <v>G</v>
          </cell>
        </row>
        <row r="107">
          <cell r="B107">
            <v>0</v>
          </cell>
          <cell r="G107" t="str">
            <v>Base_LPD</v>
          </cell>
          <cell r="J107" t="str">
            <v>Design_LPD</v>
          </cell>
          <cell r="L107" t="str">
            <v>Base_Power</v>
          </cell>
          <cell r="O107" t="str">
            <v>Design_Power</v>
          </cell>
        </row>
        <row r="108">
          <cell r="B108" t="str">
            <v>203 Case Study</v>
          </cell>
          <cell r="G108">
            <v>1.2079438851807274</v>
          </cell>
          <cell r="J108">
            <v>0.75348670532881068</v>
          </cell>
          <cell r="L108">
            <v>132.47279</v>
          </cell>
          <cell r="O108">
            <v>82.633380000000002</v>
          </cell>
        </row>
        <row r="121">
          <cell r="P121" t="str">
            <v>NA</v>
          </cell>
        </row>
        <row r="158">
          <cell r="B158" t="str">
            <v>Index</v>
          </cell>
          <cell r="F158" t="str">
            <v>Required Input</v>
          </cell>
          <cell r="H158" t="str">
            <v>Quantity of Required Input for Project</v>
          </cell>
          <cell r="I158" t="str">
            <v>Allowed LPD</v>
          </cell>
          <cell r="J158" t="str">
            <v>Lighting Power Allowance 
(W)</v>
          </cell>
          <cell r="M158" t="str">
            <v>Design Lighting Power 
(W)</v>
          </cell>
        </row>
        <row r="159">
          <cell r="B159" t="str">
            <v>Building facades</v>
          </cell>
          <cell r="F159" t="str">
            <v>Area</v>
          </cell>
          <cell r="I159">
            <v>0.2</v>
          </cell>
          <cell r="J159">
            <v>0</v>
          </cell>
        </row>
        <row r="160">
          <cell r="B160" t="str">
            <v>ATMs and night depositories</v>
          </cell>
          <cell r="F160" t="str">
            <v>Number of ATMs</v>
          </cell>
          <cell r="I160" t="str">
            <v>270 W+90 per additional</v>
          </cell>
          <cell r="J160">
            <v>0</v>
          </cell>
        </row>
        <row r="161">
          <cell r="B161" t="str">
            <v>Entrances and gatehouse inspection stations at guarded facilities</v>
          </cell>
          <cell r="F161" t="str">
            <v>Uncovered Area</v>
          </cell>
          <cell r="I161">
            <v>1.25</v>
          </cell>
          <cell r="J161">
            <v>0</v>
          </cell>
        </row>
        <row r="162">
          <cell r="B162" t="str">
            <v>Loading areas for law enforcement, fire, ambulance, and other emergency service vehicles</v>
          </cell>
          <cell r="F162" t="str">
            <v>Uncovered Area</v>
          </cell>
          <cell r="I162">
            <v>0.5</v>
          </cell>
          <cell r="J162">
            <v>0</v>
          </cell>
        </row>
        <row r="163">
          <cell r="B163" t="str">
            <v>Drive-through windows at fast food restaurants</v>
          </cell>
          <cell r="F163" t="str">
            <v>Number of Drive-throughs</v>
          </cell>
          <cell r="I163">
            <v>400</v>
          </cell>
          <cell r="J163">
            <v>0</v>
          </cell>
        </row>
        <row r="164">
          <cell r="B164" t="str">
            <v>Parking near 24-hour retail entrances</v>
          </cell>
          <cell r="F164" t="str">
            <v>Main Entries</v>
          </cell>
          <cell r="I164">
            <v>800</v>
          </cell>
          <cell r="J164">
            <v>0</v>
          </cell>
        </row>
        <row r="165">
          <cell r="B165" t="str">
            <v>Total nontradable surface lighting allowance</v>
          </cell>
          <cell r="J165">
            <v>0</v>
          </cell>
          <cell r="M165">
            <v>0</v>
          </cell>
        </row>
        <row r="171">
          <cell r="B171" t="str">
            <v>Index</v>
          </cell>
          <cell r="J171" t="str">
            <v>Base</v>
          </cell>
          <cell r="M171" t="str">
            <v>Design</v>
          </cell>
        </row>
        <row r="172">
          <cell r="B172" t="str">
            <v>Total modeled exterior lighting power, including base allowance, based on inputs above (kW)</v>
          </cell>
          <cell r="J172">
            <v>0</v>
          </cell>
          <cell r="M172">
            <v>0</v>
          </cell>
        </row>
      </sheetData>
      <sheetData sheetId="17">
        <row r="3">
          <cell r="D3" t="str">
            <v>Automotive facility</v>
          </cell>
          <cell r="G3" t="str">
            <v>Audience Seating/Auditorium</v>
          </cell>
        </row>
        <row r="4">
          <cell r="D4" t="str">
            <v>Convention center</v>
          </cell>
          <cell r="G4" t="str">
            <v>Audience Seating/Convention center</v>
          </cell>
          <cell r="L4" t="str">
            <v>Parking lots and drives</v>
          </cell>
        </row>
        <row r="5">
          <cell r="D5" t="str">
            <v>Courthouse</v>
          </cell>
          <cell r="G5" t="str">
            <v>Audience Seating/Gymnasium</v>
          </cell>
          <cell r="L5" t="str">
            <v>Walkways less than 10 ft wide</v>
          </cell>
        </row>
        <row r="6">
          <cell r="D6" t="str">
            <v>Dining: bar lounge/leisure</v>
          </cell>
          <cell r="G6" t="str">
            <v>Audience Seating/Motion Picture Theatre</v>
          </cell>
          <cell r="L6" t="str">
            <v>Walkways 10 ft wide or greater</v>
          </cell>
        </row>
        <row r="7">
          <cell r="D7" t="str">
            <v>Dining: cafeteria/fast food</v>
          </cell>
          <cell r="G7" t="str">
            <v>Audience Seating/Penitentiary</v>
          </cell>
          <cell r="L7" t="str">
            <v>Plaza areas</v>
          </cell>
        </row>
        <row r="8">
          <cell r="D8" t="str">
            <v>Dining: family</v>
          </cell>
          <cell r="G8" t="str">
            <v>Audience Seating/Performing Arts Theater</v>
          </cell>
          <cell r="L8" t="str">
            <v>Special feature areas</v>
          </cell>
        </row>
        <row r="9">
          <cell r="D9" t="str">
            <v>Dormitory</v>
          </cell>
          <cell r="G9" t="str">
            <v>Audience Seating/Religious Building</v>
          </cell>
          <cell r="L9" t="str">
            <v>Stairways</v>
          </cell>
        </row>
        <row r="10">
          <cell r="D10" t="str">
            <v>Exercise center</v>
          </cell>
          <cell r="G10" t="str">
            <v>Audience Seating/Sports Arena</v>
          </cell>
          <cell r="L10" t="str">
            <v>Main entries</v>
          </cell>
        </row>
        <row r="11">
          <cell r="D11" t="str">
            <v>Fire Station</v>
          </cell>
          <cell r="G11" t="str">
            <v>Audience Seating/Transportation facility</v>
          </cell>
          <cell r="L11" t="str">
            <v>Other doors</v>
          </cell>
        </row>
        <row r="12">
          <cell r="D12" t="str">
            <v>Gymnasium</v>
          </cell>
          <cell r="G12" t="str">
            <v>Audience Seating/All Other</v>
          </cell>
          <cell r="L12" t="str">
            <v>Canopies (free standing and attached and overhangs)</v>
          </cell>
        </row>
        <row r="13">
          <cell r="D13" t="str">
            <v>Health-care clinic</v>
          </cell>
          <cell r="G13" t="str">
            <v>Atrium ≤40 ft high</v>
          </cell>
          <cell r="L13" t="str">
            <v>Outdoor Sales Open areas (including vehicle sales lots)</v>
          </cell>
        </row>
        <row r="14">
          <cell r="D14" t="str">
            <v>Hospital</v>
          </cell>
          <cell r="G14" t="str">
            <v>Atrium &gt;40 ft high</v>
          </cell>
          <cell r="L14" t="str">
            <v>Outdoor Sales Street frontage for vehicle sales lots in addition to open-area allowance)</v>
          </cell>
        </row>
        <row r="15">
          <cell r="D15" t="str">
            <v>Hotel/motel</v>
          </cell>
          <cell r="G15" t="str">
            <v>Banking Activity Area</v>
          </cell>
        </row>
        <row r="16">
          <cell r="D16" t="str">
            <v>Library</v>
          </cell>
          <cell r="G16" t="str">
            <v>Classroom/Lecture Hall/Training Room in Penitentiary</v>
          </cell>
        </row>
        <row r="17">
          <cell r="D17" t="str">
            <v>Manufacturing facility</v>
          </cell>
          <cell r="G17" t="str">
            <v>Classroom/Lecture Hall/Training Room in All Other</v>
          </cell>
        </row>
        <row r="18">
          <cell r="D18" t="str">
            <v>Motion picture theater</v>
          </cell>
          <cell r="G18" t="str">
            <v>Conference/Meeting/Multipurpose Room</v>
          </cell>
        </row>
        <row r="19">
          <cell r="D19" t="str">
            <v>Multifamily</v>
          </cell>
          <cell r="G19" t="str">
            <v>Confinement Cells</v>
          </cell>
        </row>
        <row r="20">
          <cell r="D20" t="str">
            <v>Museum</v>
          </cell>
          <cell r="G20" t="str">
            <v>Copy/Print Room</v>
          </cell>
        </row>
        <row r="21">
          <cell r="D21" t="str">
            <v>Office</v>
          </cell>
          <cell r="G21" t="str">
            <v>Corridor/Facility for Visually Impaired</v>
          </cell>
        </row>
        <row r="22">
          <cell r="D22" t="str">
            <v>Parking garage</v>
          </cell>
          <cell r="G22" t="str">
            <v>Corridor/Hospital</v>
          </cell>
        </row>
        <row r="23">
          <cell r="D23" t="str">
            <v>Penitentiary</v>
          </cell>
          <cell r="G23" t="str">
            <v>Corridor/Manufacturing Facility</v>
          </cell>
        </row>
        <row r="24">
          <cell r="D24" t="str">
            <v>Performing arts theater</v>
          </cell>
          <cell r="G24" t="str">
            <v>Corridor/All Other</v>
          </cell>
        </row>
        <row r="25">
          <cell r="D25" t="str">
            <v>Police station</v>
          </cell>
          <cell r="G25" t="str">
            <v>Courtroom</v>
          </cell>
        </row>
        <row r="26">
          <cell r="D26" t="str">
            <v>Post office</v>
          </cell>
          <cell r="G26" t="str">
            <v>Computer Room</v>
          </cell>
        </row>
        <row r="27">
          <cell r="D27" t="str">
            <v>Religious building</v>
          </cell>
          <cell r="G27" t="str">
            <v>Dining Area/Penitentiary</v>
          </cell>
        </row>
        <row r="28">
          <cell r="D28" t="str">
            <v>Retail</v>
          </cell>
          <cell r="G28" t="str">
            <v>Dining Area/Facility for Visually Impaired</v>
          </cell>
        </row>
        <row r="29">
          <cell r="D29" t="str">
            <v>School/university</v>
          </cell>
          <cell r="G29" t="str">
            <v>Dining Area/bar/Lounge or Leisure Dining</v>
          </cell>
        </row>
        <row r="30">
          <cell r="D30" t="str">
            <v>Sports arena</v>
          </cell>
          <cell r="G30" t="str">
            <v>Dining Area/Cafeteria/Fast Food</v>
          </cell>
        </row>
        <row r="31">
          <cell r="D31" t="str">
            <v>Town hall</v>
          </cell>
          <cell r="G31" t="str">
            <v>Dining Area/Family Dining</v>
          </cell>
        </row>
        <row r="32">
          <cell r="D32" t="str">
            <v>Transportation</v>
          </cell>
          <cell r="G32" t="str">
            <v>Dining Area/All Other</v>
          </cell>
        </row>
        <row r="33">
          <cell r="D33" t="str">
            <v>Warehouse</v>
          </cell>
          <cell r="G33" t="str">
            <v>Electrical/Mechanical Room</v>
          </cell>
        </row>
        <row r="34">
          <cell r="D34" t="str">
            <v>Workshop</v>
          </cell>
          <cell r="G34" t="str">
            <v>Emergency Vehicle Garage</v>
          </cell>
        </row>
        <row r="35">
          <cell r="G35" t="str">
            <v>Food Preparation Area</v>
          </cell>
        </row>
        <row r="36">
          <cell r="G36" t="str">
            <v>Guest Room</v>
          </cell>
        </row>
        <row r="37">
          <cell r="G37" t="str">
            <v>Judges Chambers</v>
          </cell>
        </row>
        <row r="38">
          <cell r="G38" t="str">
            <v>Laboratory/Classroom</v>
          </cell>
        </row>
        <row r="39">
          <cell r="G39" t="str">
            <v>Laboratory/All Other</v>
          </cell>
        </row>
        <row r="40">
          <cell r="G40" t="str">
            <v>Laundry/Washing Area</v>
          </cell>
        </row>
        <row r="41">
          <cell r="G41" t="str">
            <v>Loading Dock, Interior</v>
          </cell>
        </row>
        <row r="42">
          <cell r="G42" t="str">
            <v>Lobby/Facility for Visually Impaired</v>
          </cell>
        </row>
        <row r="43">
          <cell r="G43" t="str">
            <v>Lobby/Elevator</v>
          </cell>
        </row>
        <row r="44">
          <cell r="G44" t="str">
            <v>Lobby/Hotel</v>
          </cell>
        </row>
        <row r="45">
          <cell r="G45" t="str">
            <v>Lobby/Motion Picture Theater</v>
          </cell>
        </row>
        <row r="46">
          <cell r="G46" t="str">
            <v>Lobby/Performing Arts Theater</v>
          </cell>
        </row>
        <row r="47">
          <cell r="G47" t="str">
            <v>Lobby/All Other</v>
          </cell>
        </row>
        <row r="48">
          <cell r="G48" t="str">
            <v>Locker Room</v>
          </cell>
        </row>
        <row r="49">
          <cell r="G49" t="str">
            <v>Lounge/Breakroom/in Healthcare Facility</v>
          </cell>
        </row>
        <row r="50">
          <cell r="G50" t="str">
            <v>Lounge/Breakroom/All Other</v>
          </cell>
        </row>
        <row r="51">
          <cell r="G51" t="str">
            <v>Office/Enclosed</v>
          </cell>
        </row>
        <row r="52">
          <cell r="G52" t="str">
            <v>Office/Open Plan</v>
          </cell>
        </row>
        <row r="53">
          <cell r="G53" t="str">
            <v>Parking Area, Interior</v>
          </cell>
        </row>
        <row r="54">
          <cell r="G54" t="str">
            <v>Pharmacy Area</v>
          </cell>
        </row>
        <row r="55">
          <cell r="G55" t="str">
            <v>Restroom/Facility for the Visually Impaired</v>
          </cell>
        </row>
        <row r="56">
          <cell r="G56" t="str">
            <v>Restroom/ All Other</v>
          </cell>
        </row>
        <row r="57">
          <cell r="G57" t="str">
            <v>Sales Area</v>
          </cell>
        </row>
        <row r="58">
          <cell r="G58" t="str">
            <v>Seating Area, General</v>
          </cell>
        </row>
        <row r="59">
          <cell r="G59" t="str">
            <v>Stairwell</v>
          </cell>
        </row>
        <row r="60">
          <cell r="G60" t="str">
            <v>Storage Room/Hospital</v>
          </cell>
        </row>
        <row r="61">
          <cell r="G61" t="str">
            <v>Storage Room/≥50 sqft</v>
          </cell>
        </row>
        <row r="62">
          <cell r="G62" t="str">
            <v>Storage Room/&lt;50 sgft</v>
          </cell>
        </row>
        <row r="63">
          <cell r="G63" t="str">
            <v>Vehicular Maintenance Area</v>
          </cell>
        </row>
        <row r="64">
          <cell r="G64" t="str">
            <v>Workshop</v>
          </cell>
        </row>
        <row r="65">
          <cell r="G65" t="str">
            <v>Assisted Living Facility/Chapel</v>
          </cell>
        </row>
        <row r="66">
          <cell r="G66" t="str">
            <v>Assisted Living Facility/Recreation Room</v>
          </cell>
        </row>
        <row r="67">
          <cell r="G67" t="str">
            <v>Convention Center-Exhibit Space</v>
          </cell>
        </row>
        <row r="68">
          <cell r="G68" t="str">
            <v>Dormitory-Living Quarters</v>
          </cell>
        </row>
        <row r="69">
          <cell r="G69" t="str">
            <v>Fire Station-Sleeping Quarters</v>
          </cell>
        </row>
        <row r="70">
          <cell r="G70" t="str">
            <v>Gymnasium/Fitness Center/Exercise Area</v>
          </cell>
        </row>
        <row r="71">
          <cell r="G71" t="str">
            <v>Gymnasium/Fitness Center/Playing Area</v>
          </cell>
        </row>
        <row r="72">
          <cell r="G72" t="str">
            <v>Healthcare Facility/Emergency Room</v>
          </cell>
        </row>
        <row r="73">
          <cell r="G73" t="str">
            <v>Healthcare Facility/Exam/Treatment Room</v>
          </cell>
        </row>
        <row r="74">
          <cell r="G74" t="str">
            <v>Healthcare Facility/Imaging Room</v>
          </cell>
        </row>
        <row r="75">
          <cell r="G75" t="str">
            <v>Healthcare Facility/Medical Supply Room</v>
          </cell>
        </row>
        <row r="76">
          <cell r="G76" t="str">
            <v>Healthcare Facility/Nursery</v>
          </cell>
        </row>
        <row r="77">
          <cell r="G77" t="str">
            <v>Healthcare Facility/Nurses Station</v>
          </cell>
        </row>
        <row r="78">
          <cell r="G78" t="str">
            <v>Healthcare Facility/Operating Room</v>
          </cell>
        </row>
        <row r="79">
          <cell r="G79" t="str">
            <v>Healthcare Facility/Patient Room</v>
          </cell>
        </row>
        <row r="80">
          <cell r="G80" t="str">
            <v>Healthcare Facility/Physical Therapy Room</v>
          </cell>
        </row>
        <row r="81">
          <cell r="G81" t="str">
            <v>Healthcare Facility/Recovery Room</v>
          </cell>
        </row>
        <row r="82">
          <cell r="G82" t="str">
            <v>Library/Reading Area</v>
          </cell>
        </row>
        <row r="83">
          <cell r="G83" t="str">
            <v>Library/Stacks</v>
          </cell>
        </row>
        <row r="84">
          <cell r="G84" t="str">
            <v>Manufacturing Facility/Detailed Manufacturing Area</v>
          </cell>
        </row>
        <row r="85">
          <cell r="G85" t="str">
            <v>Manufacturing Facility/Equipment Room</v>
          </cell>
        </row>
        <row r="86">
          <cell r="G86" t="str">
            <v>Manufacturing Facility/Extra High Bay Area (&gt;50 ft floor-to-ceiling height)</v>
          </cell>
        </row>
        <row r="87">
          <cell r="G87" t="str">
            <v>Manufacturing Facility/High Bay Area (25-50 ft floor-to-ceiling height)</v>
          </cell>
        </row>
        <row r="88">
          <cell r="G88" t="str">
            <v>Manufacturing Facility/Low Bay Area (&lt;25 ft floor-to-ceiling height)</v>
          </cell>
        </row>
        <row r="89">
          <cell r="G89" t="str">
            <v>Museum/General Exhibition Area</v>
          </cell>
        </row>
        <row r="90">
          <cell r="G90" t="str">
            <v>Museum/Restoration Room</v>
          </cell>
        </row>
        <row r="91">
          <cell r="G91" t="str">
            <v>Post Office/Sorting Area</v>
          </cell>
        </row>
        <row r="92">
          <cell r="G92" t="str">
            <v>Religious Building/Fellowship Hall</v>
          </cell>
        </row>
        <row r="93">
          <cell r="G93" t="str">
            <v>Religious building/Worship/Choir area</v>
          </cell>
        </row>
        <row r="94">
          <cell r="G94" t="str">
            <v>Retail Facilities/Dressing/Fitting Room</v>
          </cell>
        </row>
        <row r="95">
          <cell r="G95" t="str">
            <v>Retail Facilities/Mall Concourse</v>
          </cell>
        </row>
        <row r="96">
          <cell r="G96" t="str">
            <v>Sporting Arena-Playing Area/Class I Facility</v>
          </cell>
        </row>
        <row r="97">
          <cell r="G97" t="str">
            <v>Sporting Arena-Playing Area/Class II Facility</v>
          </cell>
        </row>
        <row r="98">
          <cell r="G98" t="str">
            <v>Sporting Arena-Playing Area/Class III Facility</v>
          </cell>
        </row>
        <row r="99">
          <cell r="G99" t="str">
            <v>Sporting Arena-Playing Area/Class IV Facility</v>
          </cell>
        </row>
        <row r="100">
          <cell r="G100" t="str">
            <v>Transportation Facility/Baggage/Carousel Area</v>
          </cell>
        </row>
        <row r="101">
          <cell r="G101" t="str">
            <v>Transportation Facility/Airport Concourse</v>
          </cell>
        </row>
        <row r="102">
          <cell r="G102" t="str">
            <v>Transportation Facility/Terminal Ticket Counter</v>
          </cell>
        </row>
        <row r="103">
          <cell r="G103" t="str">
            <v>Warehouse-Storage Area/Medium to Bulky, Palletized Items</v>
          </cell>
        </row>
        <row r="104">
          <cell r="G104" t="str">
            <v>Warehouse-Storage Area/Smaller, Hand Carried Items</v>
          </cell>
        </row>
        <row r="105">
          <cell r="G105" t="str">
            <v>Dwelling Unit</v>
          </cell>
        </row>
        <row r="106">
          <cell r="G106" t="str">
            <v>Elevator (interior)</v>
          </cell>
        </row>
        <row r="107">
          <cell r="G107" t="str">
            <v>Multiple</v>
          </cell>
        </row>
        <row r="108">
          <cell r="G108" t="str">
            <v>Exercise Room</v>
          </cell>
        </row>
        <row r="109">
          <cell r="G109" t="str">
            <v>Trash Chute/Room</v>
          </cell>
        </row>
        <row r="110">
          <cell r="G110" t="str">
            <v>Janitor Closet</v>
          </cell>
        </row>
        <row r="111">
          <cell r="G111" t="str">
            <v>Community Room</v>
          </cell>
        </row>
        <row r="112">
          <cell r="G112" t="str">
            <v>Tenant Storage</v>
          </cell>
        </row>
      </sheetData>
      <sheetData sheetId="18"/>
      <sheetData sheetId="19"/>
      <sheetData sheetId="20"/>
      <sheetData sheetId="21"/>
      <sheetData sheetId="22">
        <row r="65">
          <cell r="B65" t="str">
            <v>Building ID</v>
          </cell>
          <cell r="C65" t="str">
            <v>Fixture_Type</v>
          </cell>
          <cell r="D65" t="str">
            <v>Fixture_Temp</v>
          </cell>
          <cell r="E65" t="str">
            <v>Percent_HW</v>
          </cell>
          <cell r="G65" t="str">
            <v>Base_Fixture_Flow</v>
          </cell>
          <cell r="H65" t="str">
            <v>Base_Total_Annual_Fixture_Consumption</v>
          </cell>
          <cell r="I65" t="str">
            <v>Base_Annual_HW_Fixture_Consumption</v>
          </cell>
          <cell r="K65" t="str">
            <v>Design_Fixture_Flow</v>
          </cell>
          <cell r="L65" t="str">
            <v>Design_Total_Annual_Fixture_Consumption</v>
          </cell>
          <cell r="M65" t="str">
            <v>Design_Annual_HW_Fixture_Consumption</v>
          </cell>
          <cell r="N65" t="str">
            <v>Design_Annual_HW_Fixture_Consumption</v>
          </cell>
          <cell r="P65">
            <v>0</v>
          </cell>
          <cell r="AD65" t="str">
            <v>Fixture_DT</v>
          </cell>
        </row>
        <row r="66">
          <cell r="B66" t="str">
            <v>No Reference</v>
          </cell>
          <cell r="I66">
            <v>0</v>
          </cell>
          <cell r="M66">
            <v>0</v>
          </cell>
          <cell r="P66" t="str">
            <v>N/A</v>
          </cell>
          <cell r="T66" t="str">
            <v>N/A</v>
          </cell>
          <cell r="X66" t="str">
            <v>Low-Flow Fixtures</v>
          </cell>
          <cell r="Y66">
            <v>0</v>
          </cell>
          <cell r="Z66" t="str">
            <v>Fixtrue type of  with fixture outlet temperature of  (F) and (/1) % hot water. The  has a flow rate of  gpm with annual total water consumption of  gallons/year.</v>
          </cell>
          <cell r="AA66" t="str">
            <v>Fixtrue type of  with fixture outlet temperature of  (F) and (/1) % hot water. The  has a flow rate of  gpm with annual total water consumption of  gallons/year.</v>
          </cell>
          <cell r="AD66">
            <v>0</v>
          </cell>
        </row>
        <row r="67">
          <cell r="B67" t="str">
            <v>No Reference</v>
          </cell>
          <cell r="I67">
            <v>0</v>
          </cell>
          <cell r="M67">
            <v>0</v>
          </cell>
          <cell r="P67" t="str">
            <v>N/A</v>
          </cell>
          <cell r="T67" t="str">
            <v>N/A</v>
          </cell>
          <cell r="X67" t="str">
            <v>Low-Flow Fixtures</v>
          </cell>
          <cell r="Y67">
            <v>0</v>
          </cell>
          <cell r="Z67" t="str">
            <v>Fixtrue type of  with fixture outlet temperature of  (F) and (/1) % hot water. The  has a flow rate of  gpm with annual total water consumption of  gallons/year.</v>
          </cell>
          <cell r="AA67" t="str">
            <v>Fixtrue type of  with fixture outlet temperature of  (F) and (/1) % hot water. The  has a flow rate of  gpm with annual total water consumption of  gallons/year.</v>
          </cell>
          <cell r="AD67">
            <v>0</v>
          </cell>
        </row>
        <row r="68">
          <cell r="B68" t="str">
            <v>No Reference</v>
          </cell>
          <cell r="I68">
            <v>0</v>
          </cell>
          <cell r="M68">
            <v>0</v>
          </cell>
          <cell r="P68" t="str">
            <v>N/A</v>
          </cell>
          <cell r="T68" t="str">
            <v>N/A</v>
          </cell>
          <cell r="X68" t="str">
            <v>Low-Flow Fixtures</v>
          </cell>
          <cell r="Y68">
            <v>0</v>
          </cell>
          <cell r="Z68" t="str">
            <v>Fixtrue type of  with fixture outlet temperature of  (F) and (/1) % hot water. The  has a flow rate of  gpm with annual total water consumption of  gallons/year.</v>
          </cell>
          <cell r="AA68" t="str">
            <v>Fixtrue type of  with fixture outlet temperature of  (F) and (/1) % hot water. The  has a flow rate of  gpm with annual total water consumption of  gallons/year.</v>
          </cell>
          <cell r="AD68">
            <v>0</v>
          </cell>
        </row>
        <row r="69">
          <cell r="B69" t="str">
            <v>No Reference</v>
          </cell>
          <cell r="I69">
            <v>0</v>
          </cell>
          <cell r="M69">
            <v>0</v>
          </cell>
          <cell r="P69" t="str">
            <v>N/A</v>
          </cell>
          <cell r="X69" t="str">
            <v>Low-Flow Fixtures</v>
          </cell>
          <cell r="Y69">
            <v>0</v>
          </cell>
          <cell r="Z69" t="str">
            <v>Fixtrue type of  with fixture outlet temperature of  (F) and (/1) % hot water. The  has a flow rate of  gpm with annual total water consumption of  gallons/year.</v>
          </cell>
          <cell r="AA69" t="str">
            <v>Fixtrue type of  with fixture outlet temperature of  (F) and (/1) % hot water. The  has a flow rate of  gpm with annual total water consumption of  gallons/year.</v>
          </cell>
          <cell r="AD69">
            <v>0</v>
          </cell>
        </row>
        <row r="75">
          <cell r="B75" t="str">
            <v>Building ID</v>
          </cell>
          <cell r="C75" t="str">
            <v>DHW_EFLH</v>
          </cell>
          <cell r="D75" t="str">
            <v>DHW_Supply_Temp</v>
          </cell>
          <cell r="G75" t="str">
            <v>Base_Modeled_DHW_Flow</v>
          </cell>
          <cell r="H75" t="str">
            <v>Base_Fixture_HW_Use</v>
          </cell>
          <cell r="I75" t="str">
            <v>Base_DHW_Heater_Use</v>
          </cell>
          <cell r="K75" t="str">
            <v>Design_Modeled_DHW_Flow</v>
          </cell>
          <cell r="L75" t="str">
            <v>Design_Fixture_HW_Use</v>
          </cell>
          <cell r="M75" t="str">
            <v>Design_DHW_Heater_Use</v>
          </cell>
        </row>
        <row r="76">
          <cell r="B76" t="e">
            <v>#REF!</v>
          </cell>
          <cell r="C76" t="e">
            <v>#REF!</v>
          </cell>
          <cell r="G76">
            <v>0</v>
          </cell>
          <cell r="H76">
            <v>0</v>
          </cell>
          <cell r="I76">
            <v>0</v>
          </cell>
          <cell r="K76">
            <v>0</v>
          </cell>
          <cell r="L76">
            <v>0</v>
          </cell>
          <cell r="M76">
            <v>0</v>
          </cell>
        </row>
      </sheetData>
      <sheetData sheetId="23"/>
      <sheetData sheetId="24">
        <row r="19">
          <cell r="C19" t="str">
            <v>HW Baseboard + Window AC + Continuous Exhaust</v>
          </cell>
        </row>
        <row r="20">
          <cell r="C20" t="str">
            <v>Gas-fired Packaged Single Zone</v>
          </cell>
        </row>
        <row r="21">
          <cell r="C21" t="str">
            <v>HW Baseboard</v>
          </cell>
        </row>
        <row r="23">
          <cell r="C23" t="str">
            <v xml:space="preserve">Unspecified HVAC </v>
          </cell>
        </row>
        <row r="30">
          <cell r="B30" t="str">
            <v>Building ID</v>
          </cell>
          <cell r="C30" t="str">
            <v>Model Input Parameter</v>
          </cell>
          <cell r="D30" t="str">
            <v>Table G3.1.1-3 System Type 
(or Semiconditioned System Description)</v>
          </cell>
          <cell r="E30" t="str">
            <v>G3.1.1 Exception 
(or Semiconditioned Capacity and Area)</v>
          </cell>
          <cell r="F30" t="str">
            <v>Spaces Modeled</v>
          </cell>
        </row>
        <row r="31">
          <cell r="B31" t="str">
            <v>No Reference</v>
          </cell>
        </row>
        <row r="32">
          <cell r="B32" t="str">
            <v>No Reference</v>
          </cell>
        </row>
        <row r="33">
          <cell r="B33" t="str">
            <v>No Reference</v>
          </cell>
        </row>
        <row r="34">
          <cell r="B34" t="str">
            <v>No Reference</v>
          </cell>
        </row>
      </sheetData>
      <sheetData sheetId="25">
        <row r="10">
          <cell r="I10" t="str">
            <v>No Reference</v>
          </cell>
        </row>
        <row r="14">
          <cell r="I14">
            <v>2088</v>
          </cell>
          <cell r="J14">
            <v>2088</v>
          </cell>
          <cell r="K14" t="str">
            <v>kBtu/h</v>
          </cell>
          <cell r="L14">
            <v>23200</v>
          </cell>
          <cell r="M14">
            <v>23200</v>
          </cell>
          <cell r="N14">
            <v>0</v>
          </cell>
        </row>
        <row r="19">
          <cell r="I19">
            <v>1898</v>
          </cell>
          <cell r="J19">
            <v>1898</v>
          </cell>
          <cell r="K19" t="str">
            <v>kBtu/h</v>
          </cell>
          <cell r="L19">
            <v>1898</v>
          </cell>
        </row>
        <row r="23">
          <cell r="I23">
            <v>55126</v>
          </cell>
          <cell r="J23" t="str">
            <v>N/A</v>
          </cell>
          <cell r="K23" t="str">
            <v>CFM</v>
          </cell>
        </row>
        <row r="24">
          <cell r="I24">
            <v>5192</v>
          </cell>
          <cell r="J24" t="str">
            <v>N/A</v>
          </cell>
          <cell r="K24" t="str">
            <v>CFM</v>
          </cell>
        </row>
        <row r="34">
          <cell r="I34">
            <v>16.537799999999997</v>
          </cell>
          <cell r="J34">
            <v>16.537799999999997</v>
          </cell>
          <cell r="K34" t="str">
            <v>kW</v>
          </cell>
        </row>
      </sheetData>
      <sheetData sheetId="26">
        <row r="10">
          <cell r="I10" t="str">
            <v>203 Case Study</v>
          </cell>
        </row>
        <row r="14">
          <cell r="D14">
            <v>1986</v>
          </cell>
        </row>
        <row r="18">
          <cell r="D18" t="str">
            <v>3,119</v>
          </cell>
        </row>
        <row r="22">
          <cell r="D22" t="str">
            <v>66,504</v>
          </cell>
        </row>
        <row r="23">
          <cell r="D23" t="str">
            <v>11,043</v>
          </cell>
        </row>
        <row r="33">
          <cell r="D33">
            <v>14</v>
          </cell>
        </row>
      </sheetData>
      <sheetData sheetId="27"/>
      <sheetData sheetId="28"/>
      <sheetData sheetId="29"/>
      <sheetData sheetId="30"/>
      <sheetData sheetId="31"/>
      <sheetData sheetId="32">
        <row r="87">
          <cell r="B87" t="str">
            <v>Electricity</v>
          </cell>
          <cell r="G87">
            <v>0</v>
          </cell>
          <cell r="H87" t="str">
            <v>kWh</v>
          </cell>
          <cell r="I87">
            <v>0</v>
          </cell>
          <cell r="J87">
            <v>0</v>
          </cell>
          <cell r="K87">
            <v>0</v>
          </cell>
          <cell r="L87">
            <v>0</v>
          </cell>
          <cell r="M87">
            <v>0</v>
          </cell>
          <cell r="Q87">
            <v>3.4120000000000001E-3</v>
          </cell>
          <cell r="R87">
            <v>8.7005999999999993E-3</v>
          </cell>
        </row>
        <row r="88">
          <cell r="B88" t="str">
            <v>Natural Gas</v>
          </cell>
          <cell r="G88">
            <v>0</v>
          </cell>
          <cell r="H88" t="str">
            <v>therm</v>
          </cell>
          <cell r="I88">
            <v>0</v>
          </cell>
          <cell r="J88">
            <v>0</v>
          </cell>
          <cell r="K88">
            <v>0</v>
          </cell>
          <cell r="L88">
            <v>0</v>
          </cell>
          <cell r="M88">
            <v>0</v>
          </cell>
          <cell r="Q88">
            <v>0.1</v>
          </cell>
          <cell r="R88">
            <v>0.10500000000000001</v>
          </cell>
        </row>
        <row r="89">
          <cell r="B89">
            <v>0</v>
          </cell>
          <cell r="G89">
            <v>0</v>
          </cell>
          <cell r="H89">
            <v>0</v>
          </cell>
          <cell r="I89">
            <v>0</v>
          </cell>
          <cell r="J89">
            <v>0</v>
          </cell>
          <cell r="K89">
            <v>0</v>
          </cell>
          <cell r="L89">
            <v>0</v>
          </cell>
          <cell r="M89">
            <v>0</v>
          </cell>
          <cell r="Q89">
            <v>0</v>
          </cell>
          <cell r="R89">
            <v>0</v>
          </cell>
        </row>
        <row r="90">
          <cell r="B90">
            <v>0</v>
          </cell>
          <cell r="G90">
            <v>0</v>
          </cell>
          <cell r="H90">
            <v>0</v>
          </cell>
          <cell r="I90">
            <v>0</v>
          </cell>
          <cell r="J90">
            <v>0</v>
          </cell>
          <cell r="K90">
            <v>0</v>
          </cell>
          <cell r="L90">
            <v>0</v>
          </cell>
          <cell r="M90">
            <v>0</v>
          </cell>
          <cell r="Q90">
            <v>0</v>
          </cell>
          <cell r="R90">
            <v>0</v>
          </cell>
        </row>
        <row r="91">
          <cell r="B91">
            <v>0</v>
          </cell>
          <cell r="G91">
            <v>0</v>
          </cell>
          <cell r="H91">
            <v>0</v>
          </cell>
          <cell r="I91">
            <v>0</v>
          </cell>
          <cell r="J91">
            <v>0</v>
          </cell>
          <cell r="K91">
            <v>0</v>
          </cell>
          <cell r="L91">
            <v>0</v>
          </cell>
          <cell r="M91">
            <v>0</v>
          </cell>
          <cell r="Q91">
            <v>0</v>
          </cell>
          <cell r="R91">
            <v>0</v>
          </cell>
        </row>
        <row r="92">
          <cell r="B92">
            <v>0</v>
          </cell>
          <cell r="G92">
            <v>0</v>
          </cell>
          <cell r="H92">
            <v>0</v>
          </cell>
          <cell r="I92">
            <v>0</v>
          </cell>
          <cell r="J92">
            <v>0</v>
          </cell>
          <cell r="K92">
            <v>0</v>
          </cell>
          <cell r="L92">
            <v>0</v>
          </cell>
          <cell r="M92">
            <v>0</v>
          </cell>
          <cell r="Q92">
            <v>0</v>
          </cell>
          <cell r="R92">
            <v>0</v>
          </cell>
        </row>
        <row r="119">
          <cell r="B119" t="str">
            <v>Interior lighting</v>
          </cell>
          <cell r="E119" t="str">
            <v>Electricity</v>
          </cell>
          <cell r="F119" t="str">
            <v>Consumption (kWh)</v>
          </cell>
          <cell r="G119">
            <v>202034</v>
          </cell>
          <cell r="H119">
            <v>202034</v>
          </cell>
          <cell r="I119">
            <v>202034</v>
          </cell>
          <cell r="J119">
            <v>202034</v>
          </cell>
          <cell r="K119">
            <v>202034</v>
          </cell>
          <cell r="Q119">
            <v>3.4120000000000001E-3</v>
          </cell>
          <cell r="R119">
            <v>8.7005999999999993E-3</v>
          </cell>
          <cell r="S119">
            <v>4751.5051740357485</v>
          </cell>
        </row>
        <row r="120">
          <cell r="F120" t="str">
            <v>Demand (kW)</v>
          </cell>
          <cell r="G120">
            <v>42.52</v>
          </cell>
          <cell r="H120">
            <v>42.52</v>
          </cell>
          <cell r="I120">
            <v>42.52</v>
          </cell>
          <cell r="J120">
            <v>42.52</v>
          </cell>
          <cell r="K120">
            <v>42.52</v>
          </cell>
          <cell r="Q120">
            <v>0</v>
          </cell>
          <cell r="R120">
            <v>0</v>
          </cell>
          <cell r="S120">
            <v>0</v>
          </cell>
        </row>
        <row r="121">
          <cell r="B121" t="str">
            <v>Lighting in Apartments</v>
          </cell>
          <cell r="E121" t="str">
            <v>Electricity</v>
          </cell>
          <cell r="F121" t="str">
            <v>Consumption (kWh)</v>
          </cell>
          <cell r="G121">
            <v>71403</v>
          </cell>
          <cell r="H121">
            <v>71403</v>
          </cell>
          <cell r="I121">
            <v>71403</v>
          </cell>
          <cell r="J121">
            <v>71403</v>
          </cell>
          <cell r="K121">
            <v>71403</v>
          </cell>
          <cell r="Q121">
            <v>3.4120000000000001E-3</v>
          </cell>
          <cell r="R121">
            <v>8.7005999999999993E-3</v>
          </cell>
          <cell r="S121">
            <v>1708.2057416267942</v>
          </cell>
        </row>
        <row r="122">
          <cell r="F122" t="str">
            <v>Demand (kW)</v>
          </cell>
          <cell r="G122">
            <v>41.8</v>
          </cell>
          <cell r="H122">
            <v>41.8</v>
          </cell>
          <cell r="I122">
            <v>41.8</v>
          </cell>
          <cell r="J122">
            <v>41.8</v>
          </cell>
          <cell r="K122">
            <v>41.8</v>
          </cell>
          <cell r="Q122">
            <v>0</v>
          </cell>
          <cell r="R122">
            <v>0</v>
          </cell>
          <cell r="S122">
            <v>0</v>
          </cell>
        </row>
        <row r="123">
          <cell r="B123" t="str">
            <v>Interior lighting - process</v>
          </cell>
          <cell r="D123" t="str">
            <v>x</v>
          </cell>
          <cell r="E123" t="str">
            <v>Electricity</v>
          </cell>
          <cell r="F123" t="str">
            <v>Consumption (kWh)</v>
          </cell>
          <cell r="G123">
            <v>0</v>
          </cell>
          <cell r="H123">
            <v>0</v>
          </cell>
          <cell r="I123">
            <v>0</v>
          </cell>
          <cell r="J123">
            <v>0</v>
          </cell>
          <cell r="K123">
            <v>0</v>
          </cell>
          <cell r="Q123">
            <v>3.4120000000000001E-3</v>
          </cell>
          <cell r="R123">
            <v>8.7005999999999993E-3</v>
          </cell>
          <cell r="S123">
            <v>0</v>
          </cell>
        </row>
        <row r="124">
          <cell r="F124" t="str">
            <v>Demand (kW)</v>
          </cell>
          <cell r="G124">
            <v>0</v>
          </cell>
          <cell r="H124">
            <v>0</v>
          </cell>
          <cell r="I124">
            <v>0</v>
          </cell>
          <cell r="J124">
            <v>0</v>
          </cell>
          <cell r="K124">
            <v>0</v>
          </cell>
          <cell r="Q124">
            <v>0</v>
          </cell>
          <cell r="R124">
            <v>0</v>
          </cell>
          <cell r="S124">
            <v>0</v>
          </cell>
        </row>
        <row r="125">
          <cell r="B125" t="str">
            <v>Exterior lighting</v>
          </cell>
          <cell r="E125" t="str">
            <v>Electricity</v>
          </cell>
          <cell r="F125" t="str">
            <v>Consumption (kWh)</v>
          </cell>
          <cell r="G125">
            <v>0</v>
          </cell>
          <cell r="H125">
            <v>0</v>
          </cell>
          <cell r="I125">
            <v>0</v>
          </cell>
          <cell r="J125">
            <v>0</v>
          </cell>
          <cell r="K125">
            <v>0</v>
          </cell>
          <cell r="Q125">
            <v>3.4120000000000001E-3</v>
          </cell>
          <cell r="R125">
            <v>8.7005999999999993E-3</v>
          </cell>
          <cell r="S125">
            <v>0</v>
          </cell>
        </row>
        <row r="126">
          <cell r="F126" t="str">
            <v>Demand (kW)</v>
          </cell>
          <cell r="G126">
            <v>0</v>
          </cell>
          <cell r="H126">
            <v>0</v>
          </cell>
          <cell r="I126">
            <v>0</v>
          </cell>
          <cell r="J126">
            <v>0</v>
          </cell>
          <cell r="K126">
            <v>0</v>
          </cell>
          <cell r="Q126">
            <v>0</v>
          </cell>
          <cell r="R126">
            <v>0</v>
          </cell>
          <cell r="S126">
            <v>0</v>
          </cell>
        </row>
        <row r="127">
          <cell r="B127" t="str">
            <v>Space heating</v>
          </cell>
          <cell r="E127" t="str">
            <v>Natural Gas</v>
          </cell>
          <cell r="F127" t="str">
            <v>Consumption (therm)</v>
          </cell>
          <cell r="G127">
            <v>22657</v>
          </cell>
          <cell r="H127">
            <v>20633</v>
          </cell>
          <cell r="I127">
            <v>21376</v>
          </cell>
          <cell r="J127">
            <v>21520</v>
          </cell>
          <cell r="K127">
            <v>21546.5</v>
          </cell>
          <cell r="Q127">
            <v>0.1</v>
          </cell>
          <cell r="R127">
            <v>0.10500000000000001</v>
          </cell>
          <cell r="S127">
            <v>0</v>
          </cell>
        </row>
        <row r="128">
          <cell r="F128" t="str">
            <v>Demand (Btuh x 10^6)</v>
          </cell>
          <cell r="G128">
            <v>0</v>
          </cell>
          <cell r="H128">
            <v>0</v>
          </cell>
          <cell r="I128">
            <v>0</v>
          </cell>
          <cell r="J128">
            <v>0</v>
          </cell>
          <cell r="K128">
            <v>0</v>
          </cell>
          <cell r="Q128">
            <v>0</v>
          </cell>
          <cell r="R128">
            <v>0</v>
          </cell>
          <cell r="S128">
            <v>0</v>
          </cell>
        </row>
        <row r="129">
          <cell r="B129" t="str">
            <v>Space heating</v>
          </cell>
          <cell r="E129" t="str">
            <v>Electricity</v>
          </cell>
          <cell r="F129" t="str">
            <v>Consumption (kWh)</v>
          </cell>
          <cell r="G129">
            <v>0</v>
          </cell>
          <cell r="H129">
            <v>0</v>
          </cell>
          <cell r="I129">
            <v>0</v>
          </cell>
          <cell r="J129">
            <v>0</v>
          </cell>
          <cell r="K129">
            <v>0</v>
          </cell>
          <cell r="Q129">
            <v>3.4120000000000001E-3</v>
          </cell>
          <cell r="R129">
            <v>8.7005999999999993E-3</v>
          </cell>
          <cell r="S129">
            <v>0</v>
          </cell>
        </row>
        <row r="130">
          <cell r="F130" t="str">
            <v>Demand (kW)</v>
          </cell>
          <cell r="G130">
            <v>0</v>
          </cell>
          <cell r="H130">
            <v>0</v>
          </cell>
          <cell r="I130">
            <v>0</v>
          </cell>
          <cell r="J130">
            <v>0</v>
          </cell>
          <cell r="K130">
            <v>0</v>
          </cell>
          <cell r="Q130">
            <v>0</v>
          </cell>
          <cell r="R130">
            <v>0</v>
          </cell>
          <cell r="S130">
            <v>0</v>
          </cell>
        </row>
        <row r="131">
          <cell r="B131" t="str">
            <v>Heat Pump Supplementary</v>
          </cell>
          <cell r="E131" t="str">
            <v>Electricity</v>
          </cell>
          <cell r="F131" t="str">
            <v>Consumption (kWh)</v>
          </cell>
          <cell r="G131">
            <v>0</v>
          </cell>
          <cell r="H131">
            <v>0</v>
          </cell>
          <cell r="I131">
            <v>0</v>
          </cell>
          <cell r="J131">
            <v>0</v>
          </cell>
          <cell r="K131">
            <v>0</v>
          </cell>
          <cell r="Q131">
            <v>3.4120000000000001E-3</v>
          </cell>
          <cell r="R131">
            <v>8.7005999999999993E-3</v>
          </cell>
          <cell r="S131">
            <v>0</v>
          </cell>
        </row>
        <row r="132">
          <cell r="F132" t="str">
            <v>Demand (kW)</v>
          </cell>
          <cell r="G132">
            <v>0</v>
          </cell>
          <cell r="H132">
            <v>0</v>
          </cell>
          <cell r="I132">
            <v>0</v>
          </cell>
          <cell r="J132">
            <v>0</v>
          </cell>
          <cell r="K132">
            <v>0</v>
          </cell>
          <cell r="Q132">
            <v>0</v>
          </cell>
          <cell r="R132">
            <v>0</v>
          </cell>
          <cell r="S132">
            <v>0</v>
          </cell>
        </row>
        <row r="133">
          <cell r="B133" t="str">
            <v>Space cooling</v>
          </cell>
          <cell r="E133" t="str">
            <v>Electricity</v>
          </cell>
          <cell r="F133" t="str">
            <v>Consumption (kWh)</v>
          </cell>
          <cell r="G133">
            <v>174404</v>
          </cell>
          <cell r="H133">
            <v>178167</v>
          </cell>
          <cell r="I133">
            <v>196144</v>
          </cell>
          <cell r="J133">
            <v>172305</v>
          </cell>
          <cell r="K133">
            <v>180255</v>
          </cell>
          <cell r="Q133">
            <v>3.4120000000000001E-3</v>
          </cell>
          <cell r="R133">
            <v>8.7005999999999993E-3</v>
          </cell>
          <cell r="S133">
            <v>1065.5100563034771</v>
          </cell>
        </row>
        <row r="134">
          <cell r="F134" t="str">
            <v>Demand (kW)</v>
          </cell>
          <cell r="G134">
            <v>168.44</v>
          </cell>
          <cell r="H134">
            <v>165.56</v>
          </cell>
          <cell r="I134">
            <v>179.62</v>
          </cell>
          <cell r="J134">
            <v>163.07</v>
          </cell>
          <cell r="K134">
            <v>169.17250000000001</v>
          </cell>
          <cell r="Q134">
            <v>0</v>
          </cell>
          <cell r="R134">
            <v>0</v>
          </cell>
          <cell r="S134">
            <v>0</v>
          </cell>
        </row>
        <row r="135">
          <cell r="B135" t="str">
            <v>Space cooling</v>
          </cell>
          <cell r="E135" t="str">
            <v>Natural Gas</v>
          </cell>
          <cell r="F135" t="str">
            <v>Consumption (therm)</v>
          </cell>
          <cell r="G135">
            <v>0</v>
          </cell>
          <cell r="H135">
            <v>0</v>
          </cell>
          <cell r="I135">
            <v>0</v>
          </cell>
          <cell r="J135">
            <v>0</v>
          </cell>
          <cell r="K135">
            <v>0</v>
          </cell>
          <cell r="Q135">
            <v>0.1</v>
          </cell>
          <cell r="R135">
            <v>0.10500000000000001</v>
          </cell>
          <cell r="S135">
            <v>0</v>
          </cell>
        </row>
        <row r="136">
          <cell r="F136" t="str">
            <v>Demand (Btuh x 10^6)</v>
          </cell>
          <cell r="G136">
            <v>0</v>
          </cell>
          <cell r="H136">
            <v>0</v>
          </cell>
          <cell r="I136">
            <v>0</v>
          </cell>
          <cell r="J136">
            <v>0</v>
          </cell>
          <cell r="K136">
            <v>0</v>
          </cell>
          <cell r="Q136">
            <v>0</v>
          </cell>
          <cell r="R136">
            <v>0</v>
          </cell>
          <cell r="S136">
            <v>0</v>
          </cell>
        </row>
        <row r="137">
          <cell r="B137" t="str">
            <v>Pumps</v>
          </cell>
          <cell r="E137" t="str">
            <v>Electricity</v>
          </cell>
          <cell r="F137" t="str">
            <v>Consumption (kWh)</v>
          </cell>
          <cell r="G137">
            <v>2473</v>
          </cell>
          <cell r="H137">
            <v>2366</v>
          </cell>
          <cell r="I137">
            <v>2480</v>
          </cell>
          <cell r="J137">
            <v>2357</v>
          </cell>
          <cell r="K137">
            <v>2419</v>
          </cell>
          <cell r="Q137">
            <v>3.4120000000000001E-3</v>
          </cell>
          <cell r="R137">
            <v>8.7005999999999993E-3</v>
          </cell>
          <cell r="S137">
            <v>2695.2646239554319</v>
          </cell>
        </row>
        <row r="138">
          <cell r="F138" t="str">
            <v>Demand (kW)</v>
          </cell>
          <cell r="G138">
            <v>0.9</v>
          </cell>
          <cell r="H138">
            <v>0.89</v>
          </cell>
          <cell r="I138">
            <v>0.91</v>
          </cell>
          <cell r="J138">
            <v>0.89</v>
          </cell>
          <cell r="K138">
            <v>0.89750000000000008</v>
          </cell>
          <cell r="Q138">
            <v>0</v>
          </cell>
          <cell r="R138">
            <v>0</v>
          </cell>
          <cell r="S138">
            <v>0</v>
          </cell>
        </row>
        <row r="139">
          <cell r="B139" t="str">
            <v>Heat rejection</v>
          </cell>
          <cell r="E139" t="str">
            <v>Electricity</v>
          </cell>
          <cell r="F139" t="str">
            <v>Consumption (kWh)</v>
          </cell>
          <cell r="G139">
            <v>0</v>
          </cell>
          <cell r="H139">
            <v>0</v>
          </cell>
          <cell r="I139">
            <v>0</v>
          </cell>
          <cell r="J139">
            <v>0</v>
          </cell>
          <cell r="K139">
            <v>0</v>
          </cell>
          <cell r="Q139">
            <v>3.4120000000000001E-3</v>
          </cell>
          <cell r="R139">
            <v>8.7005999999999993E-3</v>
          </cell>
          <cell r="S139">
            <v>0</v>
          </cell>
        </row>
        <row r="140">
          <cell r="F140" t="str">
            <v>Demand (kW)</v>
          </cell>
          <cell r="G140">
            <v>0</v>
          </cell>
          <cell r="H140">
            <v>0</v>
          </cell>
          <cell r="I140">
            <v>0</v>
          </cell>
          <cell r="J140">
            <v>0</v>
          </cell>
          <cell r="K140">
            <v>0</v>
          </cell>
          <cell r="Q140">
            <v>0</v>
          </cell>
          <cell r="R140">
            <v>0</v>
          </cell>
          <cell r="S140">
            <v>0</v>
          </cell>
        </row>
        <row r="141">
          <cell r="B141" t="str">
            <v>Fans - interior ventilation</v>
          </cell>
          <cell r="E141" t="str">
            <v>Electricity</v>
          </cell>
          <cell r="F141" t="str">
            <v>Consumption (kWh)</v>
          </cell>
          <cell r="G141">
            <v>163647</v>
          </cell>
          <cell r="H141">
            <v>158160</v>
          </cell>
          <cell r="I141">
            <v>182578</v>
          </cell>
          <cell r="J141">
            <v>153817</v>
          </cell>
          <cell r="K141">
            <v>164550.5</v>
          </cell>
          <cell r="Q141">
            <v>3.4120000000000001E-3</v>
          </cell>
          <cell r="R141">
            <v>8.7005999999999993E-3</v>
          </cell>
          <cell r="S141">
            <v>6682.9322773885669</v>
          </cell>
        </row>
        <row r="142">
          <cell r="F142" t="str">
            <v>Demand (kW)</v>
          </cell>
          <cell r="G142">
            <v>24.16</v>
          </cell>
          <cell r="H142">
            <v>23.98</v>
          </cell>
          <cell r="I142">
            <v>27.34</v>
          </cell>
          <cell r="J142">
            <v>23.01</v>
          </cell>
          <cell r="K142">
            <v>24.622500000000002</v>
          </cell>
          <cell r="Q142">
            <v>0</v>
          </cell>
          <cell r="R142">
            <v>0</v>
          </cell>
          <cell r="S142">
            <v>0</v>
          </cell>
        </row>
        <row r="143">
          <cell r="B143" t="str">
            <v>Fans - parking garage</v>
          </cell>
          <cell r="E143" t="str">
            <v>Electricity</v>
          </cell>
          <cell r="F143" t="str">
            <v>Consumption (kWh)</v>
          </cell>
          <cell r="G143">
            <v>0</v>
          </cell>
          <cell r="H143">
            <v>0</v>
          </cell>
          <cell r="I143">
            <v>0</v>
          </cell>
          <cell r="J143">
            <v>0</v>
          </cell>
          <cell r="K143">
            <v>0</v>
          </cell>
          <cell r="Q143">
            <v>3.4120000000000001E-3</v>
          </cell>
          <cell r="R143">
            <v>8.7005999999999993E-3</v>
          </cell>
          <cell r="S143">
            <v>0</v>
          </cell>
        </row>
        <row r="144">
          <cell r="F144" t="str">
            <v>Demand (kW)</v>
          </cell>
          <cell r="G144">
            <v>0</v>
          </cell>
          <cell r="H144">
            <v>0</v>
          </cell>
          <cell r="I144">
            <v>0</v>
          </cell>
          <cell r="J144">
            <v>0</v>
          </cell>
          <cell r="K144">
            <v>0</v>
          </cell>
          <cell r="Q144">
            <v>0</v>
          </cell>
          <cell r="R144">
            <v>0</v>
          </cell>
          <cell r="S144">
            <v>0</v>
          </cell>
        </row>
        <row r="145">
          <cell r="B145" t="str">
            <v>Fans - Kitchen Ventilation</v>
          </cell>
          <cell r="E145" t="str">
            <v>Electricity</v>
          </cell>
          <cell r="F145" t="str">
            <v>Consumption (kWh)</v>
          </cell>
          <cell r="G145">
            <v>0</v>
          </cell>
          <cell r="H145">
            <v>0</v>
          </cell>
          <cell r="I145">
            <v>0</v>
          </cell>
          <cell r="J145">
            <v>0</v>
          </cell>
          <cell r="K145">
            <v>0</v>
          </cell>
          <cell r="Q145">
            <v>3.4120000000000001E-3</v>
          </cell>
          <cell r="R145">
            <v>8.7005999999999993E-3</v>
          </cell>
          <cell r="S145">
            <v>0</v>
          </cell>
        </row>
        <row r="146">
          <cell r="F146" t="str">
            <v>Demand (kW)</v>
          </cell>
          <cell r="G146">
            <v>0</v>
          </cell>
          <cell r="H146">
            <v>0</v>
          </cell>
          <cell r="I146">
            <v>0</v>
          </cell>
          <cell r="J146">
            <v>0</v>
          </cell>
          <cell r="K146">
            <v>0</v>
          </cell>
          <cell r="Q146">
            <v>0</v>
          </cell>
          <cell r="R146">
            <v>0</v>
          </cell>
          <cell r="S146">
            <v>0</v>
          </cell>
        </row>
        <row r="147">
          <cell r="B147" t="str">
            <v>Service water heating</v>
          </cell>
          <cell r="E147" t="str">
            <v>Natural Gas</v>
          </cell>
          <cell r="F147" t="str">
            <v>Consumption (therm)</v>
          </cell>
          <cell r="G147">
            <v>12200</v>
          </cell>
          <cell r="H147">
            <v>12200</v>
          </cell>
          <cell r="I147">
            <v>12200</v>
          </cell>
          <cell r="J147">
            <v>12200</v>
          </cell>
          <cell r="K147">
            <v>12200</v>
          </cell>
          <cell r="Q147">
            <v>0.1</v>
          </cell>
          <cell r="R147">
            <v>0.10500000000000001</v>
          </cell>
          <cell r="S147">
            <v>0</v>
          </cell>
        </row>
        <row r="148">
          <cell r="F148" t="str">
            <v>Demand (Btuh x 10^6)</v>
          </cell>
          <cell r="G148">
            <v>0</v>
          </cell>
          <cell r="H148">
            <v>0</v>
          </cell>
          <cell r="I148">
            <v>0</v>
          </cell>
          <cell r="J148">
            <v>0</v>
          </cell>
          <cell r="K148">
            <v>0</v>
          </cell>
          <cell r="Q148">
            <v>0</v>
          </cell>
          <cell r="R148">
            <v>0</v>
          </cell>
          <cell r="S148">
            <v>0</v>
          </cell>
        </row>
        <row r="149">
          <cell r="B149" t="str">
            <v>Service water heating</v>
          </cell>
          <cell r="E149" t="str">
            <v>Electricity</v>
          </cell>
          <cell r="F149" t="str">
            <v>Consumption (kWh)</v>
          </cell>
          <cell r="G149">
            <v>810</v>
          </cell>
          <cell r="H149">
            <v>809</v>
          </cell>
          <cell r="I149">
            <v>809</v>
          </cell>
          <cell r="J149">
            <v>810</v>
          </cell>
          <cell r="K149">
            <v>809.5</v>
          </cell>
          <cell r="Q149">
            <v>3.4120000000000001E-3</v>
          </cell>
          <cell r="R149">
            <v>8.7005999999999993E-3</v>
          </cell>
          <cell r="S149">
            <v>7359.0909090909099</v>
          </cell>
        </row>
        <row r="150">
          <cell r="F150" t="str">
            <v>Demand (kW)</v>
          </cell>
          <cell r="G150">
            <v>0.11</v>
          </cell>
          <cell r="H150">
            <v>0.11</v>
          </cell>
          <cell r="I150">
            <v>0.11</v>
          </cell>
          <cell r="J150">
            <v>0.11</v>
          </cell>
          <cell r="K150">
            <v>0.11</v>
          </cell>
          <cell r="Q150">
            <v>0</v>
          </cell>
          <cell r="R150">
            <v>0</v>
          </cell>
          <cell r="S150">
            <v>0</v>
          </cell>
        </row>
        <row r="151">
          <cell r="B151" t="str">
            <v>Misc Equipment</v>
          </cell>
          <cell r="D151" t="str">
            <v>x</v>
          </cell>
          <cell r="E151" t="str">
            <v>Electricity</v>
          </cell>
          <cell r="F151" t="str">
            <v>Consumption (kWh)</v>
          </cell>
          <cell r="G151">
            <v>466392</v>
          </cell>
          <cell r="H151">
            <v>466392</v>
          </cell>
          <cell r="I151">
            <v>466392</v>
          </cell>
          <cell r="J151">
            <v>466392</v>
          </cell>
          <cell r="K151">
            <v>466392</v>
          </cell>
          <cell r="Q151">
            <v>3.4120000000000001E-3</v>
          </cell>
          <cell r="R151">
            <v>8.7005999999999993E-3</v>
          </cell>
          <cell r="S151">
            <v>7672.1829248231616</v>
          </cell>
        </row>
        <row r="152">
          <cell r="F152" t="str">
            <v>Demand (kW)</v>
          </cell>
          <cell r="G152">
            <v>60.79</v>
          </cell>
          <cell r="H152">
            <v>60.79</v>
          </cell>
          <cell r="I152">
            <v>60.79</v>
          </cell>
          <cell r="J152">
            <v>60.79</v>
          </cell>
          <cell r="K152">
            <v>60.79</v>
          </cell>
          <cell r="Q152">
            <v>0</v>
          </cell>
          <cell r="R152">
            <v>0</v>
          </cell>
          <cell r="S152">
            <v>0</v>
          </cell>
        </row>
        <row r="153">
          <cell r="B153" t="str">
            <v>Misc Equipment</v>
          </cell>
          <cell r="D153" t="str">
            <v>x</v>
          </cell>
          <cell r="E153" t="str">
            <v>Natural Gas</v>
          </cell>
          <cell r="F153" t="str">
            <v>Consumption (therm)</v>
          </cell>
          <cell r="G153">
            <v>0</v>
          </cell>
          <cell r="H153">
            <v>0</v>
          </cell>
          <cell r="I153">
            <v>0</v>
          </cell>
          <cell r="J153">
            <v>0</v>
          </cell>
          <cell r="K153">
            <v>0</v>
          </cell>
          <cell r="Q153">
            <v>0.1</v>
          </cell>
          <cell r="R153">
            <v>0.10500000000000001</v>
          </cell>
          <cell r="S153">
            <v>0</v>
          </cell>
        </row>
        <row r="154">
          <cell r="F154" t="str">
            <v>Demand (Btuh x 10^6)</v>
          </cell>
          <cell r="G154">
            <v>0</v>
          </cell>
          <cell r="H154">
            <v>0</v>
          </cell>
          <cell r="I154">
            <v>0</v>
          </cell>
          <cell r="J154">
            <v>0</v>
          </cell>
          <cell r="K154">
            <v>0</v>
          </cell>
          <cell r="Q154">
            <v>0</v>
          </cell>
          <cell r="R154">
            <v>0</v>
          </cell>
          <cell r="S154">
            <v>0</v>
          </cell>
        </row>
        <row r="155">
          <cell r="B155" t="str">
            <v>IT equipment</v>
          </cell>
          <cell r="D155" t="str">
            <v>x</v>
          </cell>
          <cell r="E155" t="str">
            <v>Electricity</v>
          </cell>
          <cell r="F155" t="str">
            <v>Consumption (kWh)</v>
          </cell>
          <cell r="G155">
            <v>0</v>
          </cell>
          <cell r="H155">
            <v>0</v>
          </cell>
          <cell r="I155">
            <v>0</v>
          </cell>
          <cell r="J155">
            <v>0</v>
          </cell>
          <cell r="K155">
            <v>0</v>
          </cell>
          <cell r="Q155">
            <v>3.4120000000000001E-3</v>
          </cell>
          <cell r="R155">
            <v>8.7005999999999993E-3</v>
          </cell>
          <cell r="S155">
            <v>0</v>
          </cell>
        </row>
        <row r="156">
          <cell r="F156" t="str">
            <v>Demand (kW)</v>
          </cell>
          <cell r="G156">
            <v>0</v>
          </cell>
          <cell r="H156">
            <v>0</v>
          </cell>
          <cell r="I156">
            <v>0</v>
          </cell>
          <cell r="J156">
            <v>0</v>
          </cell>
          <cell r="K156">
            <v>0</v>
          </cell>
          <cell r="Q156">
            <v>0</v>
          </cell>
          <cell r="R156">
            <v>0</v>
          </cell>
          <cell r="S156">
            <v>0</v>
          </cell>
        </row>
        <row r="157">
          <cell r="B157" t="str">
            <v>Cooking</v>
          </cell>
          <cell r="D157" t="str">
            <v>x</v>
          </cell>
          <cell r="E157" t="str">
            <v>Electricity</v>
          </cell>
          <cell r="F157" t="str">
            <v>Consumption (kWh)</v>
          </cell>
          <cell r="G157">
            <v>0</v>
          </cell>
          <cell r="H157">
            <v>0</v>
          </cell>
          <cell r="I157">
            <v>0</v>
          </cell>
          <cell r="J157">
            <v>0</v>
          </cell>
          <cell r="K157">
            <v>0</v>
          </cell>
          <cell r="Q157">
            <v>3.4120000000000001E-3</v>
          </cell>
          <cell r="R157">
            <v>8.7005999999999993E-3</v>
          </cell>
          <cell r="S157">
            <v>0</v>
          </cell>
        </row>
        <row r="158">
          <cell r="F158" t="str">
            <v>Demand (kW)</v>
          </cell>
          <cell r="G158">
            <v>0</v>
          </cell>
          <cell r="H158">
            <v>0</v>
          </cell>
          <cell r="I158">
            <v>0</v>
          </cell>
          <cell r="J158">
            <v>0</v>
          </cell>
          <cell r="K158">
            <v>0</v>
          </cell>
          <cell r="Q158">
            <v>0</v>
          </cell>
          <cell r="R158">
            <v>0</v>
          </cell>
          <cell r="S158">
            <v>0</v>
          </cell>
        </row>
        <row r="159">
          <cell r="B159" t="str">
            <v>Industrial Process</v>
          </cell>
          <cell r="D159" t="str">
            <v>x</v>
          </cell>
          <cell r="E159" t="str">
            <v>Electricity</v>
          </cell>
          <cell r="F159" t="str">
            <v>Consumption (kWh)</v>
          </cell>
          <cell r="G159">
            <v>0</v>
          </cell>
          <cell r="H159">
            <v>0</v>
          </cell>
          <cell r="I159">
            <v>0</v>
          </cell>
          <cell r="J159">
            <v>0</v>
          </cell>
          <cell r="K159">
            <v>0</v>
          </cell>
          <cell r="Q159">
            <v>3.4120000000000001E-3</v>
          </cell>
          <cell r="R159">
            <v>8.7005999999999993E-3</v>
          </cell>
          <cell r="S159">
            <v>0</v>
          </cell>
        </row>
        <row r="160">
          <cell r="F160" t="str">
            <v>Demand (kW)</v>
          </cell>
          <cell r="G160">
            <v>0</v>
          </cell>
          <cell r="H160">
            <v>0</v>
          </cell>
          <cell r="I160">
            <v>0</v>
          </cell>
          <cell r="J160">
            <v>0</v>
          </cell>
          <cell r="K160">
            <v>0</v>
          </cell>
          <cell r="Q160">
            <v>0</v>
          </cell>
          <cell r="R160">
            <v>0</v>
          </cell>
          <cell r="S160">
            <v>0</v>
          </cell>
        </row>
        <row r="161">
          <cell r="B161" t="str">
            <v>Refrigeration Equipment (Regulated)</v>
          </cell>
          <cell r="E161" t="str">
            <v>Electricity</v>
          </cell>
          <cell r="F161" t="str">
            <v>Consumption (kWh)</v>
          </cell>
          <cell r="G161">
            <v>0</v>
          </cell>
          <cell r="H161">
            <v>0</v>
          </cell>
          <cell r="I161">
            <v>0</v>
          </cell>
          <cell r="J161">
            <v>0</v>
          </cell>
          <cell r="K161">
            <v>0</v>
          </cell>
          <cell r="Q161">
            <v>3.4120000000000001E-3</v>
          </cell>
          <cell r="R161">
            <v>8.7005999999999993E-3</v>
          </cell>
          <cell r="S161">
            <v>0</v>
          </cell>
        </row>
        <row r="162">
          <cell r="F162" t="str">
            <v>Demand (kW)</v>
          </cell>
          <cell r="G162">
            <v>0</v>
          </cell>
          <cell r="H162">
            <v>0</v>
          </cell>
          <cell r="I162">
            <v>0</v>
          </cell>
          <cell r="J162">
            <v>0</v>
          </cell>
          <cell r="K162">
            <v>0</v>
          </cell>
          <cell r="Q162">
            <v>0</v>
          </cell>
          <cell r="R162">
            <v>0</v>
          </cell>
          <cell r="S162">
            <v>0</v>
          </cell>
        </row>
        <row r="163">
          <cell r="B163" t="str">
            <v>Refrigeration Equipment (Unregulated)</v>
          </cell>
          <cell r="D163" t="str">
            <v>x</v>
          </cell>
          <cell r="E163" t="str">
            <v>Electricity</v>
          </cell>
          <cell r="F163" t="str">
            <v>Consumption (kWh)</v>
          </cell>
          <cell r="G163">
            <v>0</v>
          </cell>
          <cell r="H163">
            <v>0</v>
          </cell>
          <cell r="I163">
            <v>0</v>
          </cell>
          <cell r="J163">
            <v>0</v>
          </cell>
          <cell r="K163">
            <v>0</v>
          </cell>
          <cell r="Q163">
            <v>3.4120000000000001E-3</v>
          </cell>
          <cell r="R163">
            <v>8.7005999999999993E-3</v>
          </cell>
          <cell r="S163">
            <v>0</v>
          </cell>
        </row>
        <row r="164">
          <cell r="F164" t="str">
            <v>Demand (kW)</v>
          </cell>
          <cell r="G164">
            <v>0</v>
          </cell>
          <cell r="H164">
            <v>0</v>
          </cell>
          <cell r="I164">
            <v>0</v>
          </cell>
          <cell r="J164">
            <v>0</v>
          </cell>
          <cell r="K164">
            <v>0</v>
          </cell>
          <cell r="Q164">
            <v>0</v>
          </cell>
          <cell r="R164">
            <v>0</v>
          </cell>
          <cell r="S164">
            <v>0</v>
          </cell>
        </row>
        <row r="165">
          <cell r="B165" t="str">
            <v>Elevators and escalators</v>
          </cell>
          <cell r="E165" t="str">
            <v>Electricity</v>
          </cell>
          <cell r="F165" t="str">
            <v>Consumption (kWh)</v>
          </cell>
          <cell r="G165">
            <v>0</v>
          </cell>
          <cell r="H165">
            <v>0</v>
          </cell>
          <cell r="I165">
            <v>0</v>
          </cell>
          <cell r="J165">
            <v>0</v>
          </cell>
          <cell r="K165">
            <v>0</v>
          </cell>
          <cell r="Q165">
            <v>3.4120000000000001E-3</v>
          </cell>
          <cell r="R165">
            <v>8.7005999999999993E-3</v>
          </cell>
          <cell r="S165">
            <v>0</v>
          </cell>
        </row>
        <row r="166">
          <cell r="F166" t="str">
            <v>Demand (kW)</v>
          </cell>
          <cell r="G166">
            <v>0</v>
          </cell>
          <cell r="H166">
            <v>0</v>
          </cell>
          <cell r="I166">
            <v>0</v>
          </cell>
          <cell r="J166">
            <v>0</v>
          </cell>
          <cell r="K166">
            <v>0</v>
          </cell>
          <cell r="Q166">
            <v>0</v>
          </cell>
          <cell r="R166">
            <v>0</v>
          </cell>
          <cell r="S166">
            <v>0</v>
          </cell>
        </row>
        <row r="167">
          <cell r="B167" t="str">
            <v>Building Transformers</v>
          </cell>
          <cell r="E167" t="str">
            <v>Electricity</v>
          </cell>
          <cell r="F167" t="str">
            <v>Consumption (kWh)</v>
          </cell>
          <cell r="G167">
            <v>0</v>
          </cell>
          <cell r="H167">
            <v>0</v>
          </cell>
          <cell r="I167">
            <v>0</v>
          </cell>
          <cell r="J167">
            <v>0</v>
          </cell>
          <cell r="K167">
            <v>0</v>
          </cell>
          <cell r="Q167">
            <v>3.4120000000000001E-3</v>
          </cell>
          <cell r="R167">
            <v>8.7005999999999993E-3</v>
          </cell>
          <cell r="S167">
            <v>0</v>
          </cell>
        </row>
        <row r="168">
          <cell r="F168" t="str">
            <v>Demand (kW)</v>
          </cell>
          <cell r="G168">
            <v>0</v>
          </cell>
          <cell r="H168">
            <v>0</v>
          </cell>
          <cell r="I168">
            <v>0</v>
          </cell>
          <cell r="J168">
            <v>0</v>
          </cell>
          <cell r="K168">
            <v>0</v>
          </cell>
          <cell r="Q168">
            <v>0</v>
          </cell>
          <cell r="R168">
            <v>0</v>
          </cell>
          <cell r="S168">
            <v>0</v>
          </cell>
        </row>
        <row r="169">
          <cell r="F169">
            <v>0</v>
          </cell>
          <cell r="G169">
            <v>0</v>
          </cell>
          <cell r="H169">
            <v>0</v>
          </cell>
          <cell r="I169">
            <v>0</v>
          </cell>
          <cell r="J169">
            <v>0</v>
          </cell>
          <cell r="K169">
            <v>0</v>
          </cell>
          <cell r="Q169">
            <v>0</v>
          </cell>
          <cell r="R169">
            <v>0</v>
          </cell>
          <cell r="S169">
            <v>0</v>
          </cell>
        </row>
        <row r="170">
          <cell r="F170">
            <v>0</v>
          </cell>
          <cell r="G170">
            <v>0</v>
          </cell>
          <cell r="H170">
            <v>0</v>
          </cell>
          <cell r="I170">
            <v>0</v>
          </cell>
          <cell r="J170">
            <v>0</v>
          </cell>
          <cell r="K170">
            <v>0</v>
          </cell>
          <cell r="Q170">
            <v>0</v>
          </cell>
          <cell r="R170">
            <v>0</v>
          </cell>
          <cell r="S170">
            <v>0</v>
          </cell>
        </row>
        <row r="171">
          <cell r="F171">
            <v>0</v>
          </cell>
          <cell r="G171">
            <v>0</v>
          </cell>
          <cell r="H171">
            <v>0</v>
          </cell>
          <cell r="I171">
            <v>0</v>
          </cell>
          <cell r="J171">
            <v>0</v>
          </cell>
          <cell r="K171">
            <v>0</v>
          </cell>
          <cell r="Q171">
            <v>0</v>
          </cell>
          <cell r="R171">
            <v>0</v>
          </cell>
          <cell r="S171">
            <v>0</v>
          </cell>
        </row>
        <row r="172">
          <cell r="F172">
            <v>0</v>
          </cell>
          <cell r="G172">
            <v>0</v>
          </cell>
          <cell r="H172">
            <v>0</v>
          </cell>
          <cell r="I172">
            <v>0</v>
          </cell>
          <cell r="J172">
            <v>0</v>
          </cell>
          <cell r="K172">
            <v>0</v>
          </cell>
          <cell r="Q172">
            <v>0</v>
          </cell>
          <cell r="R172">
            <v>0</v>
          </cell>
          <cell r="S172">
            <v>0</v>
          </cell>
        </row>
        <row r="173">
          <cell r="F173">
            <v>0</v>
          </cell>
          <cell r="G173">
            <v>0</v>
          </cell>
          <cell r="H173">
            <v>0</v>
          </cell>
          <cell r="I173">
            <v>0</v>
          </cell>
          <cell r="J173">
            <v>0</v>
          </cell>
          <cell r="K173">
            <v>0</v>
          </cell>
          <cell r="Q173">
            <v>0</v>
          </cell>
          <cell r="R173">
            <v>0</v>
          </cell>
          <cell r="S173">
            <v>0</v>
          </cell>
        </row>
        <row r="174">
          <cell r="F174">
            <v>0</v>
          </cell>
          <cell r="G174">
            <v>0</v>
          </cell>
          <cell r="H174">
            <v>0</v>
          </cell>
          <cell r="I174">
            <v>0</v>
          </cell>
          <cell r="J174">
            <v>0</v>
          </cell>
          <cell r="K174">
            <v>0</v>
          </cell>
          <cell r="Q174">
            <v>0</v>
          </cell>
          <cell r="R174">
            <v>0</v>
          </cell>
          <cell r="S174">
            <v>0</v>
          </cell>
        </row>
        <row r="175">
          <cell r="F175">
            <v>0</v>
          </cell>
          <cell r="G175">
            <v>0</v>
          </cell>
          <cell r="H175">
            <v>0</v>
          </cell>
          <cell r="I175">
            <v>0</v>
          </cell>
          <cell r="J175">
            <v>0</v>
          </cell>
          <cell r="K175">
            <v>0</v>
          </cell>
          <cell r="Q175">
            <v>0</v>
          </cell>
          <cell r="R175">
            <v>0</v>
          </cell>
          <cell r="S175">
            <v>0</v>
          </cell>
        </row>
        <row r="176">
          <cell r="F176">
            <v>0</v>
          </cell>
          <cell r="G176">
            <v>0</v>
          </cell>
          <cell r="H176">
            <v>0</v>
          </cell>
          <cell r="I176">
            <v>0</v>
          </cell>
          <cell r="J176">
            <v>0</v>
          </cell>
          <cell r="K176">
            <v>0</v>
          </cell>
          <cell r="Q176">
            <v>0</v>
          </cell>
          <cell r="R176">
            <v>0</v>
          </cell>
          <cell r="S176">
            <v>0</v>
          </cell>
        </row>
      </sheetData>
      <sheetData sheetId="33"/>
      <sheetData sheetId="34"/>
      <sheetData sheetId="35"/>
      <sheetData sheetId="36"/>
      <sheetData sheetId="37"/>
      <sheetData sheetId="38"/>
      <sheetData sheetId="39"/>
      <sheetData sheetId="40"/>
      <sheetData sheetId="41"/>
      <sheetData sheetId="42">
        <row r="4">
          <cell r="B4" t="str">
            <v>Office</v>
          </cell>
        </row>
        <row r="5">
          <cell r="B5" t="str">
            <v>Retail</v>
          </cell>
        </row>
        <row r="6">
          <cell r="B6" t="str">
            <v>School</v>
          </cell>
        </row>
        <row r="7">
          <cell r="B7" t="str">
            <v>Healthcare/hospital</v>
          </cell>
        </row>
        <row r="8">
          <cell r="B8" t="str">
            <v>Restaurant</v>
          </cell>
        </row>
        <row r="9">
          <cell r="B9" t="str">
            <v>Hotel/motel</v>
          </cell>
        </row>
        <row r="10">
          <cell r="B10" t="str">
            <v>Warehouse</v>
          </cell>
        </row>
        <row r="11">
          <cell r="B11" t="str">
            <v>Multifamily</v>
          </cell>
        </row>
        <row r="12">
          <cell r="B12" t="str">
            <v>All Others</v>
          </cell>
        </row>
      </sheetData>
      <sheetData sheetId="43"/>
      <sheetData sheetId="44"/>
      <sheetData sheetId="45"/>
      <sheetData sheetId="46"/>
      <sheetData sheetId="47"/>
      <sheetData sheetId="48"/>
      <sheetData sheetId="49">
        <row r="8">
          <cell r="AA8" t="str">
            <v>All capacities</v>
          </cell>
        </row>
        <row r="10">
          <cell r="A10" t="str">
            <v>System 1 - PTAC</v>
          </cell>
          <cell r="B10" t="str">
            <v>System 1 - PTAC</v>
          </cell>
          <cell r="C10" t="str">
            <v>System 1 (District Cooling) - 4-pipe CV Fan Coil with HW Boiler</v>
          </cell>
          <cell r="D10" t="str">
            <v>System 1 (District Heating) - PTAC</v>
          </cell>
          <cell r="E10" t="str">
            <v>System 1 (District Heating &amp; Cooling) - 4-pipe CV Fan Coil</v>
          </cell>
          <cell r="F10" t="str">
            <v>Describe the California Title-24 Baseline System Type</v>
          </cell>
          <cell r="G10">
            <v>1</v>
          </cell>
          <cell r="H10" t="str">
            <v>System 1 - PTAC</v>
          </cell>
          <cell r="I10" t="str">
            <v>System 1 - PTAC</v>
          </cell>
          <cell r="J10">
            <v>1</v>
          </cell>
          <cell r="K10">
            <v>2.9999999999999997E-4</v>
          </cell>
          <cell r="L10">
            <v>6.4000000000000005E-4</v>
          </cell>
          <cell r="M10">
            <v>0</v>
          </cell>
          <cell r="N10">
            <v>0</v>
          </cell>
          <cell r="O10">
            <v>0</v>
          </cell>
          <cell r="Q10">
            <v>0</v>
          </cell>
          <cell r="R10">
            <v>0</v>
          </cell>
          <cell r="T10">
            <v>0.82499999999999996</v>
          </cell>
          <cell r="U10">
            <v>0.90424242424242429</v>
          </cell>
        </row>
        <row r="11">
          <cell r="A11" t="str">
            <v>System 2 - PTHP</v>
          </cell>
          <cell r="B11" t="str">
            <v>System 2 - PTHP</v>
          </cell>
          <cell r="C11" t="str">
            <v>System 2 (District Cooling) - 4-pipe CV Fan Coil with HW Boiler</v>
          </cell>
          <cell r="D11">
            <v>0</v>
          </cell>
          <cell r="E11">
            <v>0</v>
          </cell>
          <cell r="F11">
            <v>0</v>
          </cell>
          <cell r="G11">
            <v>2</v>
          </cell>
          <cell r="H11" t="str">
            <v>System 2 - PTHP</v>
          </cell>
          <cell r="I11" t="str">
            <v>System 2 - PTHP</v>
          </cell>
          <cell r="J11">
            <v>2</v>
          </cell>
          <cell r="K11">
            <v>2.9999999999999997E-4</v>
          </cell>
          <cell r="L11">
            <v>6.4000000000000005E-4</v>
          </cell>
          <cell r="M11">
            <v>0</v>
          </cell>
          <cell r="N11">
            <v>0</v>
          </cell>
          <cell r="O11">
            <v>0</v>
          </cell>
          <cell r="Q11">
            <v>1</v>
          </cell>
          <cell r="R11">
            <v>0.8</v>
          </cell>
          <cell r="S11">
            <v>0.82499999999999996</v>
          </cell>
          <cell r="T11">
            <v>0.84</v>
          </cell>
          <cell r="U11">
            <v>0.88809523809523816</v>
          </cell>
        </row>
        <row r="12">
          <cell r="A12" t="str">
            <v>System 3 - PSZ-AC</v>
          </cell>
          <cell r="B12" t="str">
            <v>System 3 - PSZ-AC</v>
          </cell>
          <cell r="C12" t="str">
            <v>System 3 (District Cooling) - 2-pipe CV AHU with Fossil Fuel Furnace</v>
          </cell>
          <cell r="D12" t="str">
            <v>System 3 (District Heating) - PSZ-AC with District Heating</v>
          </cell>
          <cell r="E12" t="str">
            <v>System 3 (District Heating &amp; Cooling) - 4-pipe CV AHU</v>
          </cell>
          <cell r="F12">
            <v>0</v>
          </cell>
          <cell r="G12">
            <v>3</v>
          </cell>
          <cell r="H12" t="str">
            <v>System 3 - PSZ-AC</v>
          </cell>
          <cell r="I12" t="str">
            <v>System 3 - PSZ-AC</v>
          </cell>
          <cell r="J12">
            <v>3</v>
          </cell>
          <cell r="K12">
            <v>9.3999999999999997E-4</v>
          </cell>
          <cell r="L12">
            <v>1.5E-3</v>
          </cell>
          <cell r="M12">
            <v>1</v>
          </cell>
          <cell r="N12">
            <v>1</v>
          </cell>
          <cell r="O12">
            <v>0</v>
          </cell>
          <cell r="Q12">
            <v>1.5</v>
          </cell>
          <cell r="R12">
            <v>1.1000000000000001</v>
          </cell>
          <cell r="S12">
            <v>0.84</v>
          </cell>
          <cell r="T12">
            <v>0.84</v>
          </cell>
          <cell r="U12">
            <v>0.88809523809523816</v>
          </cell>
        </row>
        <row r="13">
          <cell r="A13" t="str">
            <v>System 4 - PSZ-HP</v>
          </cell>
          <cell r="B13" t="str">
            <v>System 4 - PSZ-HP</v>
          </cell>
          <cell r="C13" t="str">
            <v>System 4 (District Cooling) - 2-pipe CV AHU with Fossil Fuel Furnace</v>
          </cell>
          <cell r="D13">
            <v>0</v>
          </cell>
          <cell r="E13">
            <v>0</v>
          </cell>
          <cell r="F13">
            <v>0</v>
          </cell>
          <cell r="G13">
            <v>4</v>
          </cell>
          <cell r="H13" t="str">
            <v>System 4 - PSZ-HP</v>
          </cell>
          <cell r="I13" t="str">
            <v>System 4 - PSZ-HP</v>
          </cell>
          <cell r="J13">
            <v>4</v>
          </cell>
          <cell r="K13">
            <v>9.3999999999999997E-4</v>
          </cell>
          <cell r="L13">
            <v>1.5E-3</v>
          </cell>
          <cell r="M13">
            <v>1</v>
          </cell>
          <cell r="N13">
            <v>1</v>
          </cell>
          <cell r="O13">
            <v>0</v>
          </cell>
          <cell r="Q13">
            <v>2</v>
          </cell>
          <cell r="R13">
            <v>1.5</v>
          </cell>
          <cell r="S13">
            <v>0.84</v>
          </cell>
          <cell r="T13">
            <v>0.875</v>
          </cell>
          <cell r="U13">
            <v>0.85257142857142854</v>
          </cell>
        </row>
        <row r="14">
          <cell r="A14" t="str">
            <v>System 5 - Packaged VAV with Reheat</v>
          </cell>
          <cell r="B14" t="str">
            <v>System 5 - Packaged VAV with Reheat</v>
          </cell>
          <cell r="C14" t="str">
            <v>System 5 (District Cooling) - Change to System 7 - VAV with Reheat</v>
          </cell>
          <cell r="D14" t="str">
            <v>System 5 (District Heating) - Packaged VAV with Reheat</v>
          </cell>
          <cell r="E14" t="str">
            <v>System 5 (District Heating &amp; Cooling) - Change to System 7 - VAV with Reheat</v>
          </cell>
          <cell r="F14">
            <v>0</v>
          </cell>
          <cell r="G14">
            <v>5</v>
          </cell>
          <cell r="H14" t="str">
            <v>System 5 - Packaged VAV with Reheat</v>
          </cell>
          <cell r="I14" t="str">
            <v>System 5 - Packaged VAV with Reheat</v>
          </cell>
          <cell r="J14">
            <v>5</v>
          </cell>
          <cell r="K14">
            <v>1.2999999999999999E-3</v>
          </cell>
          <cell r="L14">
            <v>2.0999999999999999E-3</v>
          </cell>
          <cell r="M14">
            <v>1</v>
          </cell>
          <cell r="N14">
            <v>1</v>
          </cell>
          <cell r="O14">
            <v>0</v>
          </cell>
          <cell r="Q14">
            <v>3</v>
          </cell>
          <cell r="R14">
            <v>2.2000000000000002</v>
          </cell>
          <cell r="S14">
            <v>0.875</v>
          </cell>
          <cell r="T14">
            <v>0.875</v>
          </cell>
          <cell r="U14">
            <v>0.85257142857142854</v>
          </cell>
        </row>
        <row r="15">
          <cell r="A15" t="str">
            <v>System 6 - Packaged VAV with PFP Boxes</v>
          </cell>
          <cell r="B15" t="str">
            <v>System 6 - Packaged VAV with PFP Boxes</v>
          </cell>
          <cell r="C15" t="str">
            <v>System 6 (District Cooling) - Change to System 8 - VAV with PFP Boxes</v>
          </cell>
          <cell r="D15">
            <v>0</v>
          </cell>
          <cell r="E15">
            <v>0</v>
          </cell>
          <cell r="F15">
            <v>0</v>
          </cell>
          <cell r="G15">
            <v>6</v>
          </cell>
          <cell r="H15" t="str">
            <v>System 6 - Packaged VAV with PFP Boxes</v>
          </cell>
          <cell r="I15" t="str">
            <v>System 6 - Packaged VAV with PFP Boxes</v>
          </cell>
          <cell r="J15">
            <v>6</v>
          </cell>
          <cell r="K15">
            <v>1.2999999999999999E-3</v>
          </cell>
          <cell r="L15">
            <v>2.0999999999999999E-3</v>
          </cell>
          <cell r="M15">
            <v>1</v>
          </cell>
          <cell r="N15">
            <v>1</v>
          </cell>
          <cell r="O15">
            <v>0</v>
          </cell>
          <cell r="Q15">
            <v>5</v>
          </cell>
          <cell r="R15">
            <v>3.7</v>
          </cell>
          <cell r="S15">
            <v>0.875</v>
          </cell>
          <cell r="T15">
            <v>0.89500000000000002</v>
          </cell>
          <cell r="U15">
            <v>0.83351955307262571</v>
          </cell>
        </row>
        <row r="16">
          <cell r="A16" t="str">
            <v>System 7 - VAV with Reheat</v>
          </cell>
          <cell r="B16" t="str">
            <v>System 7 - VAV with Reheat</v>
          </cell>
          <cell r="C16" t="str">
            <v>System 7 (District Cooling) - VAV with Reheat</v>
          </cell>
          <cell r="D16" t="str">
            <v>System 7 (District Heating) - VAV with Reheat</v>
          </cell>
          <cell r="E16" t="str">
            <v>System 7 (District Heating &amp; Cooling) - VAV with Reheat</v>
          </cell>
          <cell r="F16">
            <v>0</v>
          </cell>
          <cell r="G16">
            <v>7</v>
          </cell>
          <cell r="H16" t="str">
            <v>System 7 - VAV with Reheat</v>
          </cell>
          <cell r="I16" t="str">
            <v>System 7 - VAV with Reheat</v>
          </cell>
          <cell r="J16">
            <v>7</v>
          </cell>
          <cell r="K16">
            <v>1.2999999999999999E-3</v>
          </cell>
          <cell r="L16">
            <v>2.0999999999999999E-3</v>
          </cell>
          <cell r="M16">
            <v>1</v>
          </cell>
          <cell r="N16">
            <v>1</v>
          </cell>
          <cell r="O16">
            <v>0</v>
          </cell>
          <cell r="Q16">
            <v>7.5</v>
          </cell>
          <cell r="R16">
            <v>5.6</v>
          </cell>
          <cell r="S16">
            <v>0.89500000000000002</v>
          </cell>
          <cell r="T16">
            <v>0.89500000000000002</v>
          </cell>
          <cell r="U16">
            <v>0.83351955307262571</v>
          </cell>
          <cell r="AA16" t="str">
            <v>&lt;65,000 Btu/h</v>
          </cell>
        </row>
        <row r="17">
          <cell r="A17" t="str">
            <v>System 8 - VAV with PFP Boxes</v>
          </cell>
          <cell r="B17" t="str">
            <v>System 8 - VAV with PFP Boxes</v>
          </cell>
          <cell r="C17" t="str">
            <v>System 8 (District Cooling) - VAV with PFP Boxes</v>
          </cell>
          <cell r="D17">
            <v>0</v>
          </cell>
          <cell r="E17">
            <v>0</v>
          </cell>
          <cell r="F17">
            <v>0</v>
          </cell>
          <cell r="G17">
            <v>8</v>
          </cell>
          <cell r="H17" t="str">
            <v>System 8 - VAV with PFP Boxes</v>
          </cell>
          <cell r="I17" t="str">
            <v>System 8 - VAV with PFP Boxes</v>
          </cell>
          <cell r="J17">
            <v>8</v>
          </cell>
          <cell r="K17">
            <v>1.2999999999999999E-3</v>
          </cell>
          <cell r="L17">
            <v>2.0999999999999999E-3</v>
          </cell>
          <cell r="M17">
            <v>1</v>
          </cell>
          <cell r="N17">
            <v>1</v>
          </cell>
          <cell r="O17">
            <v>0</v>
          </cell>
          <cell r="Q17">
            <v>10</v>
          </cell>
          <cell r="R17">
            <v>7.5</v>
          </cell>
          <cell r="S17">
            <v>0.89500000000000002</v>
          </cell>
          <cell r="T17">
            <v>0.91</v>
          </cell>
          <cell r="U17">
            <v>0.81978021978021975</v>
          </cell>
          <cell r="AA17" t="str">
            <v>≥65,000 Btu/h and
&lt;135,000 Btu/h</v>
          </cell>
        </row>
        <row r="18">
          <cell r="A18" t="str">
            <v>System 9 - Heating and Ventilation</v>
          </cell>
          <cell r="B18" t="str">
            <v>System 9 - Heating and Ventilation</v>
          </cell>
          <cell r="C18" t="str">
            <v>System 9 - Heating and Ventilation</v>
          </cell>
          <cell r="D18" t="str">
            <v>System 9 (District Heating) - Heating and Ventilation</v>
          </cell>
          <cell r="E18" t="str">
            <v>System 9 (District Heating) - Heating and Ventilation</v>
          </cell>
          <cell r="F18">
            <v>0</v>
          </cell>
          <cell r="G18">
            <v>9</v>
          </cell>
          <cell r="H18" t="str">
            <v>System 9 - Heating and Ventilation</v>
          </cell>
          <cell r="I18" t="str">
            <v>System 9 - Heating and Ventilation</v>
          </cell>
          <cell r="J18">
            <v>9</v>
          </cell>
          <cell r="K18">
            <v>2.9999999999999997E-4</v>
          </cell>
          <cell r="L18">
            <v>6.4000000000000005E-4</v>
          </cell>
          <cell r="M18">
            <v>0</v>
          </cell>
          <cell r="N18">
            <v>0</v>
          </cell>
          <cell r="O18">
            <v>1</v>
          </cell>
          <cell r="Q18">
            <v>15</v>
          </cell>
          <cell r="R18">
            <v>11.1</v>
          </cell>
          <cell r="S18">
            <v>0.91</v>
          </cell>
          <cell r="T18">
            <v>0.91</v>
          </cell>
          <cell r="U18">
            <v>0.81978021978021975</v>
          </cell>
          <cell r="AA18" t="str">
            <v>≥135,000 Btu/h and
&lt;240,000 Btu/h</v>
          </cell>
        </row>
        <row r="19">
          <cell r="A19" t="str">
            <v>System 10 - Heating and Ventilation</v>
          </cell>
          <cell r="B19" t="str">
            <v>System 10 - Heating and Ventilation</v>
          </cell>
          <cell r="C19" t="str">
            <v>System 10 - Heating and Ventilation</v>
          </cell>
          <cell r="D19">
            <v>0</v>
          </cell>
          <cell r="E19">
            <v>0</v>
          </cell>
          <cell r="F19">
            <v>0</v>
          </cell>
          <cell r="G19">
            <v>10</v>
          </cell>
          <cell r="H19" t="str">
            <v>System 10 - Heating and Ventilation</v>
          </cell>
          <cell r="I19" t="str">
            <v>System 10 - Heating and Ventilation</v>
          </cell>
          <cell r="J19">
            <v>10</v>
          </cell>
          <cell r="K19">
            <v>2.9999999999999997E-4</v>
          </cell>
          <cell r="L19">
            <v>6.4000000000000005E-4</v>
          </cell>
          <cell r="M19">
            <v>0</v>
          </cell>
          <cell r="N19">
            <v>0</v>
          </cell>
          <cell r="O19">
            <v>1</v>
          </cell>
          <cell r="Q19">
            <v>20</v>
          </cell>
          <cell r="R19">
            <v>14.9</v>
          </cell>
          <cell r="S19">
            <v>0.91</v>
          </cell>
          <cell r="T19">
            <v>0.92400000000000004</v>
          </cell>
          <cell r="U19">
            <v>0.80735930735930728</v>
          </cell>
          <cell r="AA19" t="str">
            <v>≥240,000 Btu/h</v>
          </cell>
        </row>
        <row r="20">
          <cell r="A20" t="str">
            <v>System 11 - SZ-VAV</v>
          </cell>
          <cell r="B20" t="str">
            <v>System 11 - SZ-VAV</v>
          </cell>
          <cell r="C20" t="str">
            <v>System 11 (District Cooling) - SZ-VAV</v>
          </cell>
          <cell r="D20" t="str">
            <v>System 11 (District Heating) - SZ-VAV</v>
          </cell>
          <cell r="E20" t="str">
            <v>System 11 (District Heating &amp; Cooling) - SZ-VAV</v>
          </cell>
          <cell r="F20">
            <v>0</v>
          </cell>
          <cell r="G20">
            <v>11</v>
          </cell>
          <cell r="H20" t="str">
            <v>System 11 - SZ-VAV</v>
          </cell>
          <cell r="I20" t="str">
            <v>System 11 - SZ-VAV</v>
          </cell>
          <cell r="J20">
            <v>11</v>
          </cell>
          <cell r="K20">
            <v>6.2E-4</v>
          </cell>
          <cell r="L20">
            <v>1.3226666666666669E-3</v>
          </cell>
          <cell r="M20">
            <v>1</v>
          </cell>
          <cell r="N20">
            <v>1</v>
          </cell>
          <cell r="O20">
            <v>0</v>
          </cell>
          <cell r="Q20">
            <v>25</v>
          </cell>
          <cell r="R20">
            <v>18.7</v>
          </cell>
          <cell r="S20">
            <v>0.92400000000000004</v>
          </cell>
          <cell r="T20">
            <v>0.92400000000000004</v>
          </cell>
          <cell r="U20">
            <v>0.80735930735930728</v>
          </cell>
          <cell r="AA20" t="str">
            <v>&lt;65,000 Btu/h</v>
          </cell>
        </row>
        <row r="21">
          <cell r="A21" t="str">
            <v>System 12 - SZ-CV-HW</v>
          </cell>
          <cell r="B21" t="str">
            <v>System 12 - SZ-CV-HW</v>
          </cell>
          <cell r="C21" t="str">
            <v>System 12 (District Cooling) - SZ-CV-HW</v>
          </cell>
          <cell r="D21" t="str">
            <v>System 12 (District Heating) - SZ-CV-HW</v>
          </cell>
          <cell r="E21" t="str">
            <v>System 12 (District Heating &amp; Cooling) - SZ-CV-HW</v>
          </cell>
          <cell r="F21">
            <v>0</v>
          </cell>
          <cell r="G21">
            <v>12</v>
          </cell>
          <cell r="H21" t="str">
            <v>System 12 - SZ-CV-HW</v>
          </cell>
          <cell r="I21" t="str">
            <v>System 12 - SZ-CV-HW</v>
          </cell>
          <cell r="J21">
            <v>12</v>
          </cell>
          <cell r="K21">
            <v>2.9999999999999997E-4</v>
          </cell>
          <cell r="L21">
            <v>6.4000000000000005E-4</v>
          </cell>
          <cell r="M21">
            <v>1</v>
          </cell>
          <cell r="N21">
            <v>1</v>
          </cell>
          <cell r="O21">
            <v>0</v>
          </cell>
          <cell r="Q21">
            <v>30</v>
          </cell>
          <cell r="R21">
            <v>22.4</v>
          </cell>
          <cell r="S21">
            <v>0.92400000000000004</v>
          </cell>
          <cell r="T21">
            <v>0.93</v>
          </cell>
          <cell r="U21">
            <v>0.80215053763440858</v>
          </cell>
          <cell r="AA21" t="str">
            <v>≥65,000 Btu/h and
&lt;135,000 Btu/h</v>
          </cell>
        </row>
        <row r="22">
          <cell r="A22" t="str">
            <v>System 13 - SZ-CV-ER</v>
          </cell>
          <cell r="B22" t="str">
            <v>System 13 - SZ-CV-ER</v>
          </cell>
          <cell r="C22" t="str">
            <v>System 13 (District Cooling) - SZ-CV-ER</v>
          </cell>
          <cell r="D22" t="str">
            <v>System 13 (District Heating) - SZ-CV-ER</v>
          </cell>
          <cell r="E22" t="str">
            <v>System 13 (District Heating &amp; Cooling) - SZ-CV-ER</v>
          </cell>
          <cell r="F22">
            <v>0</v>
          </cell>
          <cell r="G22">
            <v>13</v>
          </cell>
          <cell r="H22" t="str">
            <v>System 13 - SZ-CV-ER</v>
          </cell>
          <cell r="I22" t="str">
            <v>System 13 - SZ-CV-ER</v>
          </cell>
          <cell r="J22">
            <v>13</v>
          </cell>
          <cell r="K22">
            <v>2.9999999999999997E-4</v>
          </cell>
          <cell r="L22">
            <v>6.4000000000000005E-4</v>
          </cell>
          <cell r="M22">
            <v>1</v>
          </cell>
          <cell r="N22">
            <v>1</v>
          </cell>
          <cell r="O22">
            <v>0</v>
          </cell>
          <cell r="Q22">
            <v>40</v>
          </cell>
          <cell r="R22">
            <v>29.8</v>
          </cell>
          <cell r="S22">
            <v>0.93</v>
          </cell>
          <cell r="T22">
            <v>0.93</v>
          </cell>
          <cell r="U22">
            <v>0.80215053763440858</v>
          </cell>
          <cell r="AA22" t="str">
            <v>≥135,000 Btu/h and
&lt;240,000 Btu/h</v>
          </cell>
        </row>
        <row r="23">
          <cell r="C23" t="str">
            <v>System 1 - PTAC</v>
          </cell>
          <cell r="D23" t="str">
            <v>System 1 - PTAC</v>
          </cell>
          <cell r="E23" t="str">
            <v>System 1 - PTAC</v>
          </cell>
          <cell r="F23">
            <v>0</v>
          </cell>
          <cell r="G23">
            <v>1</v>
          </cell>
          <cell r="K23">
            <v>2.9999999999999997E-4</v>
          </cell>
          <cell r="L23">
            <v>6.4000000000000005E-4</v>
          </cell>
          <cell r="M23">
            <v>0</v>
          </cell>
          <cell r="N23">
            <v>0</v>
          </cell>
          <cell r="O23">
            <v>0</v>
          </cell>
          <cell r="Q23">
            <v>50</v>
          </cell>
          <cell r="R23">
            <v>37.299999999999997</v>
          </cell>
          <cell r="S23">
            <v>0.93</v>
          </cell>
          <cell r="T23">
            <v>0.93600000000000005</v>
          </cell>
          <cell r="U23">
            <v>0.79700854700854695</v>
          </cell>
          <cell r="AA23" t="str">
            <v>≥240,000 Btu/h and
&lt;760,000 Btu/h</v>
          </cell>
        </row>
        <row r="24">
          <cell r="C24" t="str">
            <v>System 2 - PTHP</v>
          </cell>
          <cell r="D24" t="str">
            <v>System 2 - PTHP</v>
          </cell>
          <cell r="E24" t="str">
            <v>System 2 - PTHP</v>
          </cell>
          <cell r="F24">
            <v>0</v>
          </cell>
          <cell r="G24">
            <v>2</v>
          </cell>
          <cell r="K24">
            <v>2.9999999999999997E-4</v>
          </cell>
          <cell r="L24">
            <v>6.4000000000000005E-4</v>
          </cell>
          <cell r="M24">
            <v>0</v>
          </cell>
          <cell r="N24">
            <v>0</v>
          </cell>
          <cell r="O24">
            <v>0</v>
          </cell>
          <cell r="Q24">
            <v>60</v>
          </cell>
          <cell r="R24">
            <v>44.8</v>
          </cell>
          <cell r="S24">
            <v>0.93600000000000005</v>
          </cell>
          <cell r="T24">
            <v>0.94099999999999995</v>
          </cell>
          <cell r="U24">
            <v>0.7927736450584485</v>
          </cell>
          <cell r="AA24" t="str">
            <v>≥760,000 Btu/h</v>
          </cell>
        </row>
        <row r="25">
          <cell r="C25" t="str">
            <v>System 3 - PSZ-AC</v>
          </cell>
          <cell r="D25" t="str">
            <v>System 3 - PSZ-AC</v>
          </cell>
          <cell r="E25" t="str">
            <v>System 3 - PSZ-AC</v>
          </cell>
          <cell r="F25">
            <v>0</v>
          </cell>
          <cell r="G25">
            <v>3</v>
          </cell>
          <cell r="K25">
            <v>9.3999999999999997E-4</v>
          </cell>
          <cell r="L25">
            <v>1.5E-3</v>
          </cell>
          <cell r="M25">
            <v>1</v>
          </cell>
          <cell r="N25">
            <v>1</v>
          </cell>
          <cell r="O25">
            <v>0</v>
          </cell>
          <cell r="Q25">
            <v>75</v>
          </cell>
          <cell r="R25">
            <v>56</v>
          </cell>
          <cell r="S25">
            <v>0.94099999999999995</v>
          </cell>
          <cell r="T25">
            <v>0.94499999999999995</v>
          </cell>
          <cell r="U25">
            <v>0.78941798941798946</v>
          </cell>
        </row>
        <row r="26">
          <cell r="A26">
            <v>0</v>
          </cell>
          <cell r="B26">
            <v>0</v>
          </cell>
          <cell r="C26" t="str">
            <v>System 4 - PSZ-HP</v>
          </cell>
          <cell r="D26" t="str">
            <v>System 4 - PSZ-HP</v>
          </cell>
          <cell r="E26" t="str">
            <v>System 4 - PSZ-HP</v>
          </cell>
          <cell r="F26">
            <v>0</v>
          </cell>
          <cell r="G26">
            <v>4</v>
          </cell>
          <cell r="H26">
            <v>0</v>
          </cell>
          <cell r="I26">
            <v>0</v>
          </cell>
          <cell r="K26">
            <v>9.3999999999999997E-4</v>
          </cell>
          <cell r="L26">
            <v>1.5E-3</v>
          </cell>
          <cell r="M26">
            <v>1</v>
          </cell>
          <cell r="N26">
            <v>1</v>
          </cell>
          <cell r="O26">
            <v>0</v>
          </cell>
          <cell r="Q26">
            <v>100</v>
          </cell>
          <cell r="R26">
            <v>74.599999999999994</v>
          </cell>
          <cell r="S26">
            <v>0.94499999999999995</v>
          </cell>
          <cell r="T26">
            <v>0.94499999999999995</v>
          </cell>
          <cell r="U26">
            <v>0.78941798941798946</v>
          </cell>
        </row>
        <row r="27">
          <cell r="A27">
            <v>0</v>
          </cell>
          <cell r="B27">
            <v>0</v>
          </cell>
          <cell r="C27" t="str">
            <v>System 5 - Packaged VAV with Reheat</v>
          </cell>
          <cell r="D27" t="str">
            <v>System 5 - Packaged VAV with Reheat</v>
          </cell>
          <cell r="E27" t="str">
            <v>System 5 - Packaged VAV with Reheat</v>
          </cell>
          <cell r="F27">
            <v>0</v>
          </cell>
          <cell r="G27">
            <v>5</v>
          </cell>
          <cell r="H27">
            <v>0</v>
          </cell>
          <cell r="I27">
            <v>0</v>
          </cell>
          <cell r="K27">
            <v>1.2999999999999999E-3</v>
          </cell>
          <cell r="L27">
            <v>2.0999999999999999E-3</v>
          </cell>
          <cell r="M27">
            <v>1</v>
          </cell>
          <cell r="N27">
            <v>1</v>
          </cell>
          <cell r="O27">
            <v>0</v>
          </cell>
          <cell r="Q27">
            <v>125</v>
          </cell>
          <cell r="R27">
            <v>93.3</v>
          </cell>
          <cell r="S27">
            <v>0.94499999999999995</v>
          </cell>
          <cell r="T27">
            <v>0.95</v>
          </cell>
          <cell r="U27">
            <v>0.78526315789473689</v>
          </cell>
        </row>
        <row r="28">
          <cell r="A28">
            <v>0</v>
          </cell>
          <cell r="B28">
            <v>0</v>
          </cell>
          <cell r="C28" t="str">
            <v>System 6 - Packaged VAV with PFP Boxes</v>
          </cell>
          <cell r="D28" t="str">
            <v>System 6 - Packaged VAV with PFP Boxes</v>
          </cell>
          <cell r="E28" t="str">
            <v>System 6 - Packaged VAV with PFP Boxes</v>
          </cell>
          <cell r="F28">
            <v>0</v>
          </cell>
          <cell r="G28">
            <v>6</v>
          </cell>
          <cell r="H28">
            <v>0</v>
          </cell>
          <cell r="I28">
            <v>0</v>
          </cell>
          <cell r="K28">
            <v>1.2999999999999999E-3</v>
          </cell>
          <cell r="L28">
            <v>2.0999999999999999E-3</v>
          </cell>
          <cell r="M28">
            <v>1</v>
          </cell>
          <cell r="N28">
            <v>1</v>
          </cell>
          <cell r="O28">
            <v>0</v>
          </cell>
          <cell r="Q28">
            <v>150</v>
          </cell>
          <cell r="R28">
            <v>111.9</v>
          </cell>
          <cell r="S28">
            <v>0.95</v>
          </cell>
          <cell r="T28">
            <v>0.95</v>
          </cell>
          <cell r="U28">
            <v>0.78526315789473689</v>
          </cell>
        </row>
        <row r="29">
          <cell r="A29">
            <v>0</v>
          </cell>
          <cell r="B29">
            <v>0</v>
          </cell>
          <cell r="C29" t="str">
            <v>System 7 - VAV with Reheat</v>
          </cell>
          <cell r="D29" t="str">
            <v>System 7 - VAV with Reheat</v>
          </cell>
          <cell r="E29" t="str">
            <v>System 7 - VAV with Reheat</v>
          </cell>
          <cell r="F29">
            <v>0</v>
          </cell>
          <cell r="G29">
            <v>7</v>
          </cell>
          <cell r="H29">
            <v>0</v>
          </cell>
          <cell r="I29">
            <v>0</v>
          </cell>
          <cell r="K29">
            <v>1.2999999999999999E-3</v>
          </cell>
          <cell r="L29">
            <v>2.0999999999999999E-3</v>
          </cell>
          <cell r="M29">
            <v>1</v>
          </cell>
          <cell r="N29">
            <v>1</v>
          </cell>
          <cell r="O29">
            <v>0</v>
          </cell>
          <cell r="Q29">
            <v>200</v>
          </cell>
          <cell r="R29">
            <v>149.19999999999999</v>
          </cell>
          <cell r="S29">
            <v>0.95</v>
          </cell>
          <cell r="T29">
            <v>0.95</v>
          </cell>
          <cell r="U29">
            <v>0.78526315789473689</v>
          </cell>
        </row>
        <row r="30">
          <cell r="A30">
            <v>0</v>
          </cell>
          <cell r="B30">
            <v>0</v>
          </cell>
          <cell r="C30" t="str">
            <v>System 8 - VAV with PFP Boxes</v>
          </cell>
          <cell r="D30" t="str">
            <v>System 8 - VAV with PFP Boxes</v>
          </cell>
          <cell r="E30" t="str">
            <v>System 8 - VAV with PFP Boxes</v>
          </cell>
          <cell r="F30">
            <v>0</v>
          </cell>
          <cell r="G30">
            <v>8</v>
          </cell>
          <cell r="H30">
            <v>0</v>
          </cell>
          <cell r="I30">
            <v>0</v>
          </cell>
          <cell r="K30">
            <v>1.2999999999999999E-3</v>
          </cell>
          <cell r="L30">
            <v>2.0999999999999999E-3</v>
          </cell>
          <cell r="M30">
            <v>1</v>
          </cell>
          <cell r="N30">
            <v>1</v>
          </cell>
          <cell r="O30">
            <v>0</v>
          </cell>
          <cell r="S30">
            <v>0.95</v>
          </cell>
        </row>
        <row r="31">
          <cell r="A31">
            <v>0</v>
          </cell>
          <cell r="B31">
            <v>0</v>
          </cell>
          <cell r="D31" t="str">
            <v>System 9 - Heating and Ventilation</v>
          </cell>
          <cell r="E31" t="str">
            <v>System 9 - Heating and Ventilation</v>
          </cell>
          <cell r="F31">
            <v>0</v>
          </cell>
          <cell r="G31">
            <v>9</v>
          </cell>
          <cell r="H31">
            <v>0</v>
          </cell>
          <cell r="I31">
            <v>0</v>
          </cell>
          <cell r="K31">
            <v>2.9999999999999997E-4</v>
          </cell>
          <cell r="L31">
            <v>6.4000000000000005E-4</v>
          </cell>
          <cell r="M31">
            <v>0</v>
          </cell>
          <cell r="N31">
            <v>0</v>
          </cell>
          <cell r="O31">
            <v>1</v>
          </cell>
        </row>
        <row r="32">
          <cell r="A32">
            <v>0</v>
          </cell>
          <cell r="B32">
            <v>0</v>
          </cell>
          <cell r="D32" t="str">
            <v>System 10 - Heating and Ventilation</v>
          </cell>
          <cell r="E32" t="str">
            <v>System 10 - Heating and Ventilation</v>
          </cell>
          <cell r="F32">
            <v>0</v>
          </cell>
          <cell r="G32">
            <v>10</v>
          </cell>
          <cell r="H32">
            <v>0</v>
          </cell>
          <cell r="I32">
            <v>0</v>
          </cell>
          <cell r="K32">
            <v>2.9999999999999997E-4</v>
          </cell>
          <cell r="L32">
            <v>6.4000000000000005E-4</v>
          </cell>
          <cell r="M32">
            <v>0</v>
          </cell>
          <cell r="N32">
            <v>0</v>
          </cell>
          <cell r="O32">
            <v>1</v>
          </cell>
        </row>
        <row r="33">
          <cell r="C33" t="str">
            <v>System 11 - SZ-VAV</v>
          </cell>
          <cell r="D33" t="str">
            <v>System 11 - SZ-VAV</v>
          </cell>
          <cell r="E33" t="str">
            <v>System 11 - SZ-VAV</v>
          </cell>
          <cell r="G33">
            <v>11</v>
          </cell>
          <cell r="K33">
            <v>6.2E-4</v>
          </cell>
          <cell r="L33">
            <v>1.32E-3</v>
          </cell>
          <cell r="M33">
            <v>1</v>
          </cell>
          <cell r="N33">
            <v>1</v>
          </cell>
          <cell r="O33">
            <v>0</v>
          </cell>
          <cell r="AA33" t="str">
            <v>N/A</v>
          </cell>
        </row>
        <row r="34">
          <cell r="C34" t="str">
            <v>System 12 - SZ-CV-HW</v>
          </cell>
          <cell r="D34" t="str">
            <v>System 12 - SZ-CV-HW</v>
          </cell>
          <cell r="E34" t="str">
            <v>System 12 - SZ-CV-HW</v>
          </cell>
          <cell r="G34">
            <v>12</v>
          </cell>
          <cell r="K34">
            <v>2.9999999999999997E-4</v>
          </cell>
          <cell r="L34">
            <v>6.4000000000000005E-4</v>
          </cell>
          <cell r="M34">
            <v>1</v>
          </cell>
          <cell r="N34">
            <v>1</v>
          </cell>
          <cell r="O34">
            <v>0</v>
          </cell>
        </row>
        <row r="35">
          <cell r="C35" t="str">
            <v>System 13 - SZ-CV-ER</v>
          </cell>
          <cell r="D35" t="str">
            <v>System 13 - SZ-CV-ER</v>
          </cell>
          <cell r="E35" t="str">
            <v>System 13 - SZ-CV-ER</v>
          </cell>
          <cell r="G35">
            <v>13</v>
          </cell>
          <cell r="K35">
            <v>2.9999999999999997E-4</v>
          </cell>
          <cell r="L35">
            <v>6.4000000000000005E-4</v>
          </cell>
          <cell r="M35">
            <v>1</v>
          </cell>
          <cell r="N35">
            <v>1</v>
          </cell>
          <cell r="O35">
            <v>0</v>
          </cell>
        </row>
        <row r="38">
          <cell r="AA38" t="str">
            <v>&lt;225,000 Btu/h</v>
          </cell>
        </row>
        <row r="39">
          <cell r="AA39" t="str">
            <v>≥225,000 Btu/h</v>
          </cell>
        </row>
        <row r="43">
          <cell r="AA43" t="str">
            <v>N/A</v>
          </cell>
        </row>
        <row r="51">
          <cell r="AA51" t="str">
            <v>&lt;225,000 Btu/h</v>
          </cell>
        </row>
        <row r="52">
          <cell r="AA52" t="str">
            <v>≥225,000 Btu/h</v>
          </cell>
        </row>
        <row r="53">
          <cell r="AA53" t="str">
            <v>N/A</v>
          </cell>
        </row>
        <row r="56">
          <cell r="AA56" t="str">
            <v>N/A</v>
          </cell>
        </row>
      </sheetData>
      <sheetData sheetId="50"/>
      <sheetData sheetId="51"/>
      <sheetData sheetId="52"/>
      <sheetData sheetId="53">
        <row r="60">
          <cell r="B60">
            <v>0</v>
          </cell>
          <cell r="C60">
            <v>0</v>
          </cell>
          <cell r="D60">
            <v>1</v>
          </cell>
          <cell r="E60" t="str">
            <v>Screw</v>
          </cell>
          <cell r="F60">
            <v>5.5819999999999999</v>
          </cell>
          <cell r="G60">
            <v>0.1791472590469366</v>
          </cell>
          <cell r="H60">
            <v>1.2514333333333332E-2</v>
          </cell>
          <cell r="K60">
            <v>9.0103199999999987E-3</v>
          </cell>
          <cell r="L60">
            <v>3.2423500000000001E-2</v>
          </cell>
          <cell r="O60">
            <v>1.4070931355439208E-2</v>
          </cell>
          <cell r="P60">
            <v>0.24716634373570912</v>
          </cell>
          <cell r="Q60">
            <v>4.0458582867143251</v>
          </cell>
        </row>
        <row r="61">
          <cell r="B61">
            <v>65.217391304347828</v>
          </cell>
          <cell r="C61">
            <v>229.56521739130437</v>
          </cell>
          <cell r="D61">
            <v>1</v>
          </cell>
          <cell r="E61" t="str">
            <v>Screw</v>
          </cell>
          <cell r="F61">
            <v>5.718</v>
          </cell>
          <cell r="G61">
            <v>0.17488632388947184</v>
          </cell>
          <cell r="H61">
            <v>1.2514333333333332E-2</v>
          </cell>
          <cell r="K61">
            <v>9.0103199999999987E-3</v>
          </cell>
          <cell r="L61">
            <v>3.2423500000000001E-2</v>
          </cell>
          <cell r="O61">
            <v>1.4070931355439208E-2</v>
          </cell>
          <cell r="P61">
            <v>0.24290540857824436</v>
          </cell>
          <cell r="Q61">
            <v>4.1168288752939866</v>
          </cell>
        </row>
        <row r="62">
          <cell r="B62">
            <v>130.43478260869566</v>
          </cell>
          <cell r="C62">
            <v>459.13043478260875</v>
          </cell>
          <cell r="D62">
            <v>1</v>
          </cell>
          <cell r="E62" t="str">
            <v>Screw</v>
          </cell>
          <cell r="F62">
            <v>6.0640000000000001</v>
          </cell>
          <cell r="G62">
            <v>0.16490765171503957</v>
          </cell>
          <cell r="H62">
            <v>1.2514333333333332E-2</v>
          </cell>
          <cell r="K62">
            <v>9.0103199999999987E-3</v>
          </cell>
          <cell r="L62">
            <v>3.2423500000000001E-2</v>
          </cell>
          <cell r="O62">
            <v>1.4070931355439208E-2</v>
          </cell>
          <cell r="P62">
            <v>0.23292673640381209</v>
          </cell>
          <cell r="Q62">
            <v>4.2931954289109848</v>
          </cell>
        </row>
        <row r="63">
          <cell r="B63">
            <v>260.86956521739131</v>
          </cell>
          <cell r="C63">
            <v>917.39130434782612</v>
          </cell>
          <cell r="D63">
            <v>2</v>
          </cell>
          <cell r="E63" t="str">
            <v>Screw</v>
          </cell>
          <cell r="F63">
            <v>6.0640000000000001</v>
          </cell>
          <cell r="G63">
            <v>0.16490765171503957</v>
          </cell>
          <cell r="H63">
            <v>6.2571666666666661E-3</v>
          </cell>
          <cell r="I63">
            <v>2.5028666666666662E-3</v>
          </cell>
          <cell r="K63">
            <v>5.2560199999999993E-3</v>
          </cell>
          <cell r="L63">
            <v>1.621175E-2</v>
          </cell>
          <cell r="M63">
            <v>6.4846999999999995E-3</v>
          </cell>
          <cell r="O63">
            <v>1.4070931355439208E-2</v>
          </cell>
          <cell r="P63">
            <v>0.21569108640381213</v>
          </cell>
          <cell r="Q63">
            <v>4.6362602028338893</v>
          </cell>
        </row>
        <row r="64">
          <cell r="B64">
            <v>521.73913043478262</v>
          </cell>
          <cell r="C64">
            <v>1834.7826086956522</v>
          </cell>
          <cell r="D64">
            <v>2</v>
          </cell>
          <cell r="E64" t="str">
            <v>Centrifugal</v>
          </cell>
          <cell r="F64">
            <v>5.9009999999999998</v>
          </cell>
          <cell r="G64">
            <v>0.16946280291476021</v>
          </cell>
          <cell r="H64">
            <v>6.2571666666666661E-3</v>
          </cell>
          <cell r="I64">
            <v>2.5028666666666662E-3</v>
          </cell>
          <cell r="K64">
            <v>5.2560199999999993E-3</v>
          </cell>
          <cell r="L64">
            <v>1.621175E-2</v>
          </cell>
          <cell r="M64">
            <v>6.4846999999999995E-3</v>
          </cell>
          <cell r="O64">
            <v>1.4070931355439208E-2</v>
          </cell>
          <cell r="P64">
            <v>0.22024623760353276</v>
          </cell>
          <cell r="Q64">
            <v>4.5403726796010426</v>
          </cell>
        </row>
        <row r="65">
          <cell r="B65">
            <v>1043.4782608695652</v>
          </cell>
          <cell r="C65">
            <v>3669.5652173913045</v>
          </cell>
          <cell r="D65">
            <v>3</v>
          </cell>
          <cell r="E65" t="str">
            <v>Centrifugal</v>
          </cell>
          <cell r="F65">
            <v>6.4059999999999997</v>
          </cell>
          <cell r="G65">
            <v>0.15610365282547611</v>
          </cell>
          <cell r="H65">
            <v>4.1714444444444438E-3</v>
          </cell>
          <cell r="I65">
            <v>2.0857222222222219E-3</v>
          </cell>
          <cell r="J65">
            <v>8.3428888888888891E-4</v>
          </cell>
          <cell r="K65">
            <v>5.2560199999999993E-3</v>
          </cell>
          <cell r="L65">
            <v>1.0807833333333332E-2</v>
          </cell>
          <cell r="M65">
            <v>5.4039166666666662E-3</v>
          </cell>
          <cell r="N65">
            <v>2.1615666666666665E-3</v>
          </cell>
          <cell r="O65">
            <v>1.4070931355439208E-2</v>
          </cell>
          <cell r="P65">
            <v>0.20089537640313757</v>
          </cell>
          <cell r="Q65">
            <v>4.977715355645099</v>
          </cell>
        </row>
        <row r="73">
          <cell r="C73">
            <v>4.977715355645099</v>
          </cell>
        </row>
        <row r="116">
          <cell r="B116">
            <v>0</v>
          </cell>
          <cell r="C116">
            <v>0</v>
          </cell>
          <cell r="D116">
            <v>0.8</v>
          </cell>
          <cell r="E116">
            <v>0.8</v>
          </cell>
          <cell r="F116">
            <v>3.7373760000000002E-3</v>
          </cell>
          <cell r="G116">
            <v>0.8</v>
          </cell>
          <cell r="H116">
            <v>0.8</v>
          </cell>
          <cell r="I116">
            <v>267.5674055808139</v>
          </cell>
        </row>
        <row r="117">
          <cell r="B117">
            <v>240000</v>
          </cell>
          <cell r="C117">
            <v>88</v>
          </cell>
          <cell r="D117">
            <v>0.8</v>
          </cell>
          <cell r="E117">
            <v>0.82</v>
          </cell>
          <cell r="F117">
            <v>2.1801360000000001E-3</v>
          </cell>
          <cell r="G117">
            <v>0.8</v>
          </cell>
          <cell r="H117">
            <v>0.82</v>
          </cell>
          <cell r="I117">
            <v>458.68698099568098</v>
          </cell>
        </row>
        <row r="118">
          <cell r="B118">
            <v>2000000</v>
          </cell>
          <cell r="C118">
            <v>733</v>
          </cell>
          <cell r="D118">
            <v>0.82</v>
          </cell>
          <cell r="E118">
            <v>0.84</v>
          </cell>
          <cell r="F118">
            <v>2.1801360000000001E-3</v>
          </cell>
          <cell r="G118">
            <v>0.82</v>
          </cell>
          <cell r="H118">
            <v>0.84</v>
          </cell>
          <cell r="I118">
            <v>458.68698099568098</v>
          </cell>
        </row>
        <row r="126">
          <cell r="C126">
            <v>0.84</v>
          </cell>
          <cell r="F126">
            <v>458.68698099568098</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4P - Instructions"/>
      <sheetName val="P4P - Measure Support"/>
      <sheetName val="P4P - Support Data"/>
      <sheetName val="P4P - TRC Version Documentation"/>
      <sheetName val="P4P - General Info"/>
      <sheetName val="LEED Instructions"/>
      <sheetName val="Definitions"/>
      <sheetName val="General Information"/>
      <sheetName val="Multiple Buildings Details"/>
      <sheetName val="Schedules"/>
      <sheetName val="EFLH Calculator"/>
      <sheetName val="Multifamily Details"/>
      <sheetName val="Opaque Assemblies"/>
      <sheetName val="Shading and Fenestration"/>
      <sheetName val="DropdownData"/>
      <sheetName val="Envelope Assumptions"/>
      <sheetName val="Lighting Counts"/>
      <sheetName val="General Lighting"/>
      <sheetName val="Lighting Assumptions"/>
      <sheetName val="Process Loads"/>
      <sheetName val="Service Water Heating"/>
      <sheetName val="General HVAC"/>
      <sheetName val="Air-Side HVAC"/>
      <sheetName val="Water-Side HVAC"/>
      <sheetName val="Results from eQuest"/>
      <sheetName val="Results from Trace"/>
      <sheetName val="Performance_Outputs_Summary"/>
      <sheetName val="Summary"/>
      <sheetName val="Performance_Outputs_1"/>
      <sheetName val="Performance_Outputs_0"/>
      <sheetName val="HVAC Lookup"/>
      <sheetName val="P4P - Measure Info"/>
      <sheetName val="P4P - Measure Simulation"/>
      <sheetName val="P4P - bEQ Inputs"/>
      <sheetName val="P4P - Project Summary"/>
      <sheetName val="P4P Cx Plan - Measure List"/>
      <sheetName val="P4P Incentive Structure"/>
      <sheetName val="District Energy Path 3"/>
    </sheetNames>
    <sheetDataSet>
      <sheetData sheetId="0"/>
      <sheetData sheetId="1"/>
      <sheetData sheetId="2"/>
      <sheetData sheetId="3"/>
      <sheetData sheetId="4">
        <row r="23">
          <cell r="C23" t="str">
            <v>&lt;Choose&gt;</v>
          </cell>
        </row>
      </sheetData>
      <sheetData sheetId="5">
        <row r="80">
          <cell r="I80" t="str">
            <v>90% Construction Documents</v>
          </cell>
        </row>
        <row r="81">
          <cell r="I81" t="str">
            <v>100% Construction Documents</v>
          </cell>
        </row>
        <row r="82">
          <cell r="I82" t="str">
            <v>As-built Construction Documents</v>
          </cell>
        </row>
        <row r="83">
          <cell r="I83" t="str">
            <v>Other - Please Describe</v>
          </cell>
        </row>
      </sheetData>
      <sheetData sheetId="6"/>
      <sheetData sheetId="7">
        <row r="8">
          <cell r="E8" t="str">
            <v>Project Names</v>
          </cell>
        </row>
        <row r="10">
          <cell r="E10" t="str">
            <v>LEED v4 BD+C: New Construction</v>
          </cell>
          <cell r="I10" t="str">
            <v>New Construction</v>
          </cell>
        </row>
        <row r="12">
          <cell r="I12" t="str">
            <v>IP</v>
          </cell>
        </row>
        <row r="14">
          <cell r="F14">
            <v>1</v>
          </cell>
        </row>
        <row r="16">
          <cell r="F16">
            <v>0</v>
          </cell>
        </row>
        <row r="20">
          <cell r="F20" t="str">
            <v>No</v>
          </cell>
        </row>
        <row r="27">
          <cell r="F27">
            <v>0</v>
          </cell>
        </row>
        <row r="65">
          <cell r="I65" t="b">
            <v>0</v>
          </cell>
        </row>
        <row r="66">
          <cell r="K66" t="b">
            <v>0</v>
          </cell>
        </row>
      </sheetData>
      <sheetData sheetId="8">
        <row r="12">
          <cell r="O12" t="b">
            <v>0</v>
          </cell>
        </row>
        <row r="16">
          <cell r="B16" t="str">
            <v>Simulation ID</v>
          </cell>
          <cell r="J16" t="str">
            <v>Multiplier</v>
          </cell>
        </row>
        <row r="17">
          <cell r="B17" t="str">
            <v>Project Names</v>
          </cell>
          <cell r="J17">
            <v>1</v>
          </cell>
        </row>
        <row r="22">
          <cell r="B22" t="str">
            <v>Building ID</v>
          </cell>
          <cell r="E22" t="str">
            <v>Simulation ID</v>
          </cell>
          <cell r="F22" t="str">
            <v>Multiplier</v>
          </cell>
          <cell r="G22" t="str">
            <v>Conditioned</v>
          </cell>
          <cell r="H22" t="str">
            <v>Unconditioned</v>
          </cell>
          <cell r="I22" t="str">
            <v>New</v>
          </cell>
          <cell r="J22" t="str">
            <v>Renovation/Existing</v>
          </cell>
        </row>
        <row r="23">
          <cell r="B23" t="str">
            <v>Residual Project</v>
          </cell>
          <cell r="E23" t="str">
            <v>Residual Project</v>
          </cell>
          <cell r="J23">
            <v>0</v>
          </cell>
        </row>
        <row r="24">
          <cell r="B24" t="str">
            <v>Project Names</v>
          </cell>
          <cell r="E24">
            <v>1</v>
          </cell>
          <cell r="F24">
            <v>2</v>
          </cell>
          <cell r="G24">
            <v>1000</v>
          </cell>
          <cell r="H24">
            <v>500</v>
          </cell>
          <cell r="I24">
            <v>1</v>
          </cell>
          <cell r="J24">
            <v>0</v>
          </cell>
        </row>
        <row r="25">
          <cell r="B25" t="str">
            <v>All</v>
          </cell>
        </row>
      </sheetData>
      <sheetData sheetId="9"/>
      <sheetData sheetId="10"/>
      <sheetData sheetId="11">
        <row r="11">
          <cell r="B11" t="str">
            <v>Building ID</v>
          </cell>
          <cell r="D11" t="str">
            <v>S_Unit</v>
          </cell>
          <cell r="E11" t="str">
            <v>S_Area</v>
          </cell>
          <cell r="F11" t="str">
            <v>1B_Unit</v>
          </cell>
          <cell r="G11" t="str">
            <v>1B_Area</v>
          </cell>
          <cell r="H11" t="str">
            <v>2B_Unit</v>
          </cell>
          <cell r="I11" t="str">
            <v>2B_Area</v>
          </cell>
          <cell r="J11" t="str">
            <v>3B_Unit</v>
          </cell>
          <cell r="K11" t="str">
            <v>3B_Area</v>
          </cell>
          <cell r="L11" t="str">
            <v>4B_Unit</v>
          </cell>
          <cell r="M11" t="str">
            <v>4B_Area</v>
          </cell>
          <cell r="N11" t="str">
            <v>5B_Unit</v>
          </cell>
          <cell r="O11" t="str">
            <v>5B_Area</v>
          </cell>
          <cell r="P11" t="str">
            <v>6B_Unit</v>
          </cell>
          <cell r="Q11" t="str">
            <v>6B_Area</v>
          </cell>
          <cell r="R11" t="str">
            <v>7B_Unit</v>
          </cell>
          <cell r="S11" t="str">
            <v>7B_Area</v>
          </cell>
          <cell r="T11" t="str">
            <v>8B_Unit</v>
          </cell>
          <cell r="U11" t="str">
            <v>8B_Area</v>
          </cell>
        </row>
        <row r="12">
          <cell r="B12" t="str">
            <v>Project Names</v>
          </cell>
        </row>
        <row r="16">
          <cell r="U16">
            <v>0</v>
          </cell>
        </row>
        <row r="17">
          <cell r="U17">
            <v>0</v>
          </cell>
        </row>
        <row r="19">
          <cell r="U19">
            <v>0</v>
          </cell>
        </row>
        <row r="21">
          <cell r="B21" t="str">
            <v>Building ID</v>
          </cell>
          <cell r="D21" t="str">
            <v>Total Number of Units</v>
          </cell>
          <cell r="F21" t="str">
            <v>Total Number of Bedrroms</v>
          </cell>
          <cell r="H21" t="str">
            <v>Total Area of Dwelling Units (square feet)</v>
          </cell>
          <cell r="K21" t="str">
            <v>Average Number of Bedrooms Per Unit</v>
          </cell>
          <cell r="N21" t="str">
            <v>Average Floor Area per Unit (square feet)</v>
          </cell>
          <cell r="Q21" t="str">
            <v>Average Floor Area Per Unit for Reference Building (square feet)</v>
          </cell>
        </row>
        <row r="22">
          <cell r="B22" t="str">
            <v>Project Names</v>
          </cell>
          <cell r="D22">
            <v>0</v>
          </cell>
          <cell r="F22">
            <v>0</v>
          </cell>
          <cell r="H22">
            <v>0</v>
          </cell>
          <cell r="K22">
            <v>0</v>
          </cell>
          <cell r="N22">
            <v>0</v>
          </cell>
          <cell r="Q22">
            <v>0</v>
          </cell>
        </row>
        <row r="31">
          <cell r="B31" t="str">
            <v>Building ID</v>
          </cell>
          <cell r="C31" t="str">
            <v>Load_Source</v>
          </cell>
          <cell r="D31" t="str">
            <v>Qty</v>
          </cell>
          <cell r="E31" t="str">
            <v>Energy_Star</v>
          </cell>
          <cell r="F31" t="str">
            <v>Avg_Bedrooms_DU</v>
          </cell>
          <cell r="G31" t="str">
            <v>Blank1</v>
          </cell>
          <cell r="H31" t="str">
            <v>Base_Elec_Consumption</v>
          </cell>
          <cell r="I31" t="str">
            <v>Design_Elec_Consumption</v>
          </cell>
          <cell r="J31" t="str">
            <v>Elec_Sens_Ratio</v>
          </cell>
          <cell r="K31" t="str">
            <v>Elec_Latent_Ratio</v>
          </cell>
          <cell r="L31" t="str">
            <v>Blank2</v>
          </cell>
          <cell r="M31" t="str">
            <v>Base_Ng_Consumption</v>
          </cell>
          <cell r="N31" t="str">
            <v>Design_Ng_Consumption</v>
          </cell>
          <cell r="O31" t="str">
            <v>NG_Sens_Ratio</v>
          </cell>
          <cell r="P31" t="str">
            <v>NG_Latent_Ratio</v>
          </cell>
          <cell r="Q31" t="str">
            <v>Blank3</v>
          </cell>
          <cell r="R31" t="str">
            <v>Base_DHW_Equip</v>
          </cell>
          <cell r="S31" t="str">
            <v>Design_DHW_Equip</v>
          </cell>
          <cell r="T31" t="str">
            <v>Base_DHW_Annual</v>
          </cell>
          <cell r="U31" t="str">
            <v>Design_DHW_Annual</v>
          </cell>
        </row>
        <row r="32">
          <cell r="B32" t="str">
            <v>Project Names</v>
          </cell>
        </row>
        <row r="33">
          <cell r="B33" t="str">
            <v>Project Names</v>
          </cell>
        </row>
        <row r="34">
          <cell r="B34" t="str">
            <v>Project Names</v>
          </cell>
        </row>
        <row r="35">
          <cell r="B35" t="str">
            <v>Project Names</v>
          </cell>
        </row>
        <row r="58">
          <cell r="B58" t="str">
            <v>Building ID</v>
          </cell>
          <cell r="C58" t="str">
            <v>Load_Source</v>
          </cell>
          <cell r="D58" t="str">
            <v>Qty</v>
          </cell>
          <cell r="E58" t="str">
            <v>Energy_Star</v>
          </cell>
          <cell r="F58" t="str">
            <v>Avg_Bedrooms_DU</v>
          </cell>
          <cell r="H58" t="str">
            <v>Base_Elec_Consumption</v>
          </cell>
          <cell r="I58" t="str">
            <v>Design_Elec_Consumption</v>
          </cell>
          <cell r="J58" t="str">
            <v>Elec_Sens_Ratio</v>
          </cell>
          <cell r="K58" t="str">
            <v>Elec_Latent_Ratio</v>
          </cell>
          <cell r="M58" t="str">
            <v>Base_Ng_Consumption</v>
          </cell>
          <cell r="N58" t="str">
            <v>Design_Ng_Consumption</v>
          </cell>
          <cell r="O58" t="str">
            <v>NG_Sens_Ratio</v>
          </cell>
          <cell r="P58" t="str">
            <v>NG_Latent_Ratio</v>
          </cell>
          <cell r="R58" t="str">
            <v>Base_DHW_Equip</v>
          </cell>
          <cell r="S58" t="str">
            <v>Design_DHW_Equip</v>
          </cell>
          <cell r="T58" t="str">
            <v>Base_DHW_Annual</v>
          </cell>
          <cell r="U58" t="str">
            <v>Design_DHW_Annual</v>
          </cell>
        </row>
        <row r="59">
          <cell r="B59" t="str">
            <v>Project Names</v>
          </cell>
        </row>
        <row r="60">
          <cell r="B60" t="str">
            <v>Project Names</v>
          </cell>
        </row>
        <row r="61">
          <cell r="B61" t="str">
            <v>Project Names</v>
          </cell>
        </row>
        <row r="62">
          <cell r="B62" t="str">
            <v>Project Names</v>
          </cell>
        </row>
        <row r="81">
          <cell r="B81" t="str">
            <v>Low</v>
          </cell>
          <cell r="C81" t="str">
            <v>Demographics such as all occupants working, seniors, middle income, and higher population density.</v>
          </cell>
          <cell r="S81">
            <v>12</v>
          </cell>
          <cell r="T81" t="str">
            <v>gallons/day</v>
          </cell>
        </row>
        <row r="82">
          <cell r="B82" t="str">
            <v>Medium</v>
          </cell>
          <cell r="C82" t="str">
            <v>Demographics such as mixture of working / non-working occupants, mixture of age groups, medium population densities.</v>
          </cell>
          <cell r="S82">
            <v>25</v>
          </cell>
          <cell r="T82" t="str">
            <v>gallons/day</v>
          </cell>
        </row>
        <row r="83">
          <cell r="B83" t="str">
            <v>High</v>
          </cell>
          <cell r="C83" t="str">
            <v>Demographics such high percentages of children, low income, public assistance, or no occupants working.</v>
          </cell>
          <cell r="S83">
            <v>44</v>
          </cell>
          <cell r="T83" t="str">
            <v>gallons/day</v>
          </cell>
        </row>
      </sheetData>
      <sheetData sheetId="12"/>
      <sheetData sheetId="13"/>
      <sheetData sheetId="14">
        <row r="2">
          <cell r="B2" t="str">
            <v>Electricity</v>
          </cell>
          <cell r="C2">
            <v>3.14</v>
          </cell>
          <cell r="E2" t="str">
            <v>kWh</v>
          </cell>
          <cell r="F2" t="str">
            <v>Kilowatt hour</v>
          </cell>
          <cell r="G2">
            <v>3.4119999999999999</v>
          </cell>
          <cell r="K2" t="str">
            <v>kW</v>
          </cell>
          <cell r="L2" t="str">
            <v>Kilowatt</v>
          </cell>
          <cell r="M2">
            <v>3.4119999999999999</v>
          </cell>
          <cell r="S2" t="str">
            <v>Default EIA Rates</v>
          </cell>
          <cell r="Y2" t="str">
            <v>LEED v4 BD+C: New Construction</v>
          </cell>
          <cell r="AH2" t="str">
            <v xml:space="preserve"> 0%-10.0%</v>
          </cell>
          <cell r="AI2" t="str">
            <v xml:space="preserve"> 0%-2.0%</v>
          </cell>
          <cell r="AN2" t="str">
            <v>Photovoltaic system</v>
          </cell>
          <cell r="AQ2" t="str">
            <v>EnergyPlus</v>
          </cell>
          <cell r="AT2" t="str">
            <v>ASHRAE 90.1 2013 Appendix G</v>
          </cell>
          <cell r="AX2" t="str">
            <v>1A</v>
          </cell>
          <cell r="AY2" t="str">
            <v>CZ1</v>
          </cell>
          <cell r="CS2" t="str">
            <v>Vertical Fenestration varies by less than 5%</v>
          </cell>
          <cell r="CU2" t="str">
            <v>Refrigerator</v>
          </cell>
          <cell r="CV2">
            <v>529</v>
          </cell>
          <cell r="CW2">
            <v>423</v>
          </cell>
          <cell r="CX2">
            <v>1</v>
          </cell>
          <cell r="CY2">
            <v>0</v>
          </cell>
          <cell r="DE2">
            <v>0</v>
          </cell>
          <cell r="DF2">
            <v>1</v>
          </cell>
          <cell r="DG2">
            <v>0</v>
          </cell>
          <cell r="DH2">
            <v>0</v>
          </cell>
          <cell r="DO2" t="str">
            <v>Primary HVAC System</v>
          </cell>
          <cell r="DR2">
            <v>2</v>
          </cell>
        </row>
        <row r="3">
          <cell r="B3" t="str">
            <v>Natural Gas</v>
          </cell>
          <cell r="C3">
            <v>1.05</v>
          </cell>
          <cell r="E3" t="str">
            <v>MWh</v>
          </cell>
          <cell r="F3" t="str">
            <v>Megawatt hour</v>
          </cell>
          <cell r="G3">
            <v>3412</v>
          </cell>
          <cell r="K3" t="str">
            <v>MW</v>
          </cell>
          <cell r="L3" t="str">
            <v>Megawatt</v>
          </cell>
          <cell r="M3">
            <v>3412</v>
          </cell>
          <cell r="S3" t="str">
            <v>Fixed Rates per unit of consumption</v>
          </cell>
          <cell r="Y3" t="str">
            <v>LEED v4 BD+C: Core and Shell</v>
          </cell>
          <cell r="AH3" t="str">
            <v xml:space="preserve"> 10.1%-20.0%</v>
          </cell>
          <cell r="AI3" t="str">
            <v xml:space="preserve"> 2.1%+</v>
          </cell>
          <cell r="AN3" t="str">
            <v>Wind energy system</v>
          </cell>
          <cell r="AQ3" t="str">
            <v>EnergyPro</v>
          </cell>
          <cell r="AT3" t="str">
            <v>California Title-24 2013, Part 6</v>
          </cell>
          <cell r="AX3" t="str">
            <v>1B</v>
          </cell>
          <cell r="AY3" t="str">
            <v>CZ2</v>
          </cell>
          <cell r="CS3" t="str">
            <v>Energy code does not require four orientations</v>
          </cell>
          <cell r="CU3" t="str">
            <v>Dishwasher</v>
          </cell>
          <cell r="CV3">
            <v>206</v>
          </cell>
          <cell r="CW3">
            <v>164</v>
          </cell>
          <cell r="CX3">
            <v>0.6</v>
          </cell>
          <cell r="CY3">
            <v>0.15</v>
          </cell>
          <cell r="CZ3">
            <v>0</v>
          </cell>
          <cell r="DE3">
            <v>0</v>
          </cell>
          <cell r="DF3">
            <v>1</v>
          </cell>
          <cell r="DG3">
            <v>1290</v>
          </cell>
          <cell r="DH3">
            <v>860</v>
          </cell>
          <cell r="DO3" t="str">
            <v>All</v>
          </cell>
          <cell r="DR3" t="str">
            <v>Project Names</v>
          </cell>
        </row>
        <row r="4">
          <cell r="B4" t="str">
            <v>District Cooling</v>
          </cell>
          <cell r="C4">
            <v>1</v>
          </cell>
          <cell r="E4" t="str">
            <v>kBtu</v>
          </cell>
          <cell r="F4" t="str">
            <v>(British thermal unit) x 1,000</v>
          </cell>
          <cell r="G4">
            <v>1</v>
          </cell>
          <cell r="K4" t="str">
            <v>Btuh</v>
          </cell>
          <cell r="L4" t="str">
            <v>British thermal unit per hour</v>
          </cell>
          <cell r="M4">
            <v>1E-3</v>
          </cell>
          <cell r="S4" t="str">
            <v>Fixed Rates per unit of consumption varying seasonally</v>
          </cell>
          <cell r="Y4" t="str">
            <v>LEED v4 BD+C: Schools</v>
          </cell>
          <cell r="AH4" t="str">
            <v xml:space="preserve"> 20.1%-30.0%</v>
          </cell>
          <cell r="AN4" t="str">
            <v>Solar thermal system</v>
          </cell>
          <cell r="AQ4" t="str">
            <v>eQuest</v>
          </cell>
          <cell r="AT4" t="str">
            <v>Other approved code</v>
          </cell>
          <cell r="AX4" t="str">
            <v>2A</v>
          </cell>
          <cell r="AY4" t="str">
            <v>CZ3</v>
          </cell>
          <cell r="CS4" t="str">
            <v>Building is more than 50% existing based on floor area</v>
          </cell>
          <cell r="CU4" t="str">
            <v>Clothes Washer (In-unit)</v>
          </cell>
          <cell r="CV4">
            <v>81</v>
          </cell>
          <cell r="CW4">
            <v>57</v>
          </cell>
          <cell r="CX4">
            <v>0.8</v>
          </cell>
          <cell r="CY4">
            <v>0</v>
          </cell>
          <cell r="CZ4">
            <v>0</v>
          </cell>
          <cell r="DE4">
            <v>0</v>
          </cell>
          <cell r="DF4">
            <v>1</v>
          </cell>
          <cell r="DG4">
            <v>2435.8000000000002</v>
          </cell>
          <cell r="DH4">
            <v>1127.4000000000001</v>
          </cell>
          <cell r="DO4" t="str">
            <v>Other HVAC System</v>
          </cell>
          <cell r="DR4" t="str">
            <v>All</v>
          </cell>
        </row>
        <row r="5">
          <cell r="B5" t="str">
            <v>District Hot Water</v>
          </cell>
          <cell r="C5">
            <v>1.2</v>
          </cell>
          <cell r="E5" t="str">
            <v>therm</v>
          </cell>
          <cell r="F5" t="str">
            <v>therm</v>
          </cell>
          <cell r="G5">
            <v>100</v>
          </cell>
          <cell r="K5" t="str">
            <v>MBH</v>
          </cell>
          <cell r="L5" t="str">
            <v>(British thermal unit per hour) x 1,000</v>
          </cell>
          <cell r="M5">
            <v>1</v>
          </cell>
          <cell r="S5" t="str">
            <v>Fixed Rates per unit of consumption and demand</v>
          </cell>
          <cell r="Y5" t="str">
            <v>LEED v4 BD+C: Retail</v>
          </cell>
          <cell r="AH5" t="str">
            <v xml:space="preserve"> 30.1%-40.0%</v>
          </cell>
          <cell r="AN5" t="str">
            <v>Geothermal heating system (not geoexchange)</v>
          </cell>
          <cell r="AQ5" t="str">
            <v>HAP</v>
          </cell>
          <cell r="AX5" t="str">
            <v>2B</v>
          </cell>
          <cell r="AY5" t="str">
            <v>CZ4</v>
          </cell>
          <cell r="CS5" t="str">
            <v>Design is dictated by site consideration*</v>
          </cell>
          <cell r="CU5" t="str">
            <v>Cooking (electric stove/range)</v>
          </cell>
          <cell r="CV5">
            <v>604</v>
          </cell>
          <cell r="CW5">
            <v>604</v>
          </cell>
          <cell r="CX5">
            <v>0.4</v>
          </cell>
          <cell r="CY5">
            <v>0.3</v>
          </cell>
          <cell r="CZ5">
            <v>0</v>
          </cell>
          <cell r="DE5">
            <v>0</v>
          </cell>
          <cell r="DF5">
            <v>1</v>
          </cell>
          <cell r="DG5">
            <v>0</v>
          </cell>
          <cell r="DH5">
            <v>0</v>
          </cell>
          <cell r="DR5" t="e">
            <v>#N/A</v>
          </cell>
        </row>
        <row r="6">
          <cell r="B6" t="str">
            <v>District Steam</v>
          </cell>
          <cell r="C6">
            <v>1.2</v>
          </cell>
          <cell r="E6" t="str">
            <v>Btu x 10^6</v>
          </cell>
          <cell r="F6" t="str">
            <v>(British thermal unit) x 1,000,000</v>
          </cell>
          <cell r="G6">
            <v>1000</v>
          </cell>
          <cell r="K6" t="str">
            <v>Btuh x 10^3</v>
          </cell>
          <cell r="L6" t="str">
            <v>(British thermal unit per hour) x 1,000</v>
          </cell>
          <cell r="M6">
            <v>1</v>
          </cell>
          <cell r="S6" t="str">
            <v>Fixed Rates per unit of consumption and demand varying seasonally</v>
          </cell>
          <cell r="Y6" t="str">
            <v>LEED v4 BD+C: Data Centers</v>
          </cell>
          <cell r="AN6" t="str">
            <v>Geothermal electric system</v>
          </cell>
          <cell r="AQ6" t="str">
            <v>IES</v>
          </cell>
          <cell r="AX6" t="str">
            <v>3A</v>
          </cell>
          <cell r="AY6" t="str">
            <v>CZ5</v>
          </cell>
          <cell r="CU6" t="str">
            <v>Cooking (gas stove/range)</v>
          </cell>
          <cell r="CZ6">
            <v>0</v>
          </cell>
          <cell r="DA6">
            <v>45</v>
          </cell>
          <cell r="DB6">
            <v>45</v>
          </cell>
          <cell r="DC6">
            <v>0.3</v>
          </cell>
          <cell r="DD6">
            <v>0.2</v>
          </cell>
          <cell r="DE6">
            <v>0</v>
          </cell>
          <cell r="DF6">
            <v>1</v>
          </cell>
          <cell r="DG6">
            <v>0</v>
          </cell>
          <cell r="DH6">
            <v>0</v>
          </cell>
          <cell r="DR6" t="e">
            <v>#N/A</v>
          </cell>
        </row>
        <row r="7">
          <cell r="B7" t="str">
            <v>Fuel Oil / Diesel</v>
          </cell>
          <cell r="C7">
            <v>1.01</v>
          </cell>
          <cell r="E7" t="str">
            <v>MJ</v>
          </cell>
          <cell r="F7" t="str">
            <v>(Joules) x 1,000,000</v>
          </cell>
          <cell r="G7">
            <v>0.94799999999999995</v>
          </cell>
          <cell r="K7" t="str">
            <v>Btuh x 10^6</v>
          </cell>
          <cell r="L7" t="str">
            <v>(British thermal unit per hour) x 1,000,000</v>
          </cell>
          <cell r="M7">
            <v>1000</v>
          </cell>
          <cell r="S7" t="str">
            <v>Time of Use Rates per unit of consumption</v>
          </cell>
          <cell r="Y7" t="str">
            <v>LEED v4 BD+C: Warehouses and Distribution Centers</v>
          </cell>
          <cell r="AN7" t="str">
            <v>On-site untreated wood waste - thermal</v>
          </cell>
          <cell r="AQ7" t="str">
            <v>Trace</v>
          </cell>
          <cell r="AX7" t="str">
            <v>3B</v>
          </cell>
          <cell r="AY7" t="str">
            <v>CZ6</v>
          </cell>
          <cell r="CU7" t="str">
            <v>Clothes Dryer (In-unit electric)</v>
          </cell>
          <cell r="CV7" t="str">
            <v>418</v>
          </cell>
          <cell r="CW7" t="str">
            <v>418</v>
          </cell>
          <cell r="CX7">
            <v>0.15</v>
          </cell>
          <cell r="CY7">
            <v>0.05</v>
          </cell>
          <cell r="CZ7">
            <v>139</v>
          </cell>
          <cell r="DE7">
            <v>0</v>
          </cell>
          <cell r="DF7">
            <v>1</v>
          </cell>
          <cell r="DG7">
            <v>0</v>
          </cell>
          <cell r="DH7">
            <v>0</v>
          </cell>
          <cell r="DR7" t="e">
            <v>#N/A</v>
          </cell>
        </row>
        <row r="8">
          <cell r="B8" t="str">
            <v>Propane</v>
          </cell>
          <cell r="C8">
            <v>1.01</v>
          </cell>
          <cell r="E8" t="str">
            <v>Ton Hours</v>
          </cell>
          <cell r="F8" t="str">
            <v>Ton Hours</v>
          </cell>
          <cell r="G8">
            <v>12</v>
          </cell>
          <cell r="K8" t="str">
            <v>MMBTUH</v>
          </cell>
          <cell r="L8" t="str">
            <v>(British thermal unit per hour) x 1,000,000</v>
          </cell>
          <cell r="M8">
            <v>1000</v>
          </cell>
          <cell r="S8" t="str">
            <v>Time of Use Rates per unit of consumption and demand</v>
          </cell>
          <cell r="Y8" t="str">
            <v>LEED v4 BD+C: Hospitality</v>
          </cell>
          <cell r="AN8" t="str">
            <v>On-site untreated wood waste - electric generator</v>
          </cell>
          <cell r="AQ8" t="str">
            <v>Other</v>
          </cell>
          <cell r="AX8" t="str">
            <v>3C</v>
          </cell>
          <cell r="AY8" t="str">
            <v>CZ7</v>
          </cell>
          <cell r="CU8" t="str">
            <v>Clothes Dryer (In-unit gas)</v>
          </cell>
          <cell r="CV8">
            <v>26.5</v>
          </cell>
          <cell r="CW8">
            <v>26.5</v>
          </cell>
          <cell r="CX8">
            <v>1</v>
          </cell>
          <cell r="CY8">
            <v>0</v>
          </cell>
          <cell r="CZ8">
            <v>8.8000000000000007</v>
          </cell>
          <cell r="DC8">
            <v>0.1</v>
          </cell>
          <cell r="DD8">
            <v>0.05</v>
          </cell>
          <cell r="DE8">
            <v>12.7</v>
          </cell>
          <cell r="DF8">
            <v>1</v>
          </cell>
          <cell r="DG8">
            <v>0</v>
          </cell>
          <cell r="DH8">
            <v>0</v>
          </cell>
          <cell r="DR8" t="e">
            <v>#N/A</v>
          </cell>
        </row>
        <row r="9">
          <cell r="B9" t="str">
            <v>Fuel Oil (No. 5 &amp; No.6)</v>
          </cell>
          <cell r="C9">
            <v>1.01</v>
          </cell>
          <cell r="K9" t="str">
            <v>ton</v>
          </cell>
          <cell r="L9" t="str">
            <v>ton</v>
          </cell>
          <cell r="M9">
            <v>12</v>
          </cell>
          <cell r="S9" t="str">
            <v>Time of Use Rates per unit of consumption varying seasonally</v>
          </cell>
          <cell r="Y9" t="str">
            <v>LEED v4 BD+C: Healthcare</v>
          </cell>
          <cell r="AN9" t="str">
            <v>On-site agricultural crops or waste - thermal</v>
          </cell>
          <cell r="AX9" t="str">
            <v>4A</v>
          </cell>
          <cell r="AY9" t="str">
            <v>CZ8</v>
          </cell>
          <cell r="CU9" t="str">
            <v>Range hoood, up to 500 cfm</v>
          </cell>
          <cell r="CV9">
            <v>0.31739130434782614</v>
          </cell>
          <cell r="CW9">
            <v>0.26071428571428573</v>
          </cell>
          <cell r="CX9">
            <v>0</v>
          </cell>
          <cell r="CY9">
            <v>0</v>
          </cell>
          <cell r="CZ9">
            <v>0</v>
          </cell>
          <cell r="DE9">
            <v>0</v>
          </cell>
          <cell r="DF9">
            <v>1</v>
          </cell>
          <cell r="DR9" t="e">
            <v>#N/A</v>
          </cell>
        </row>
        <row r="10">
          <cell r="B10" t="str">
            <v>Kerosene</v>
          </cell>
          <cell r="C10">
            <v>1.01</v>
          </cell>
          <cell r="S10" t="str">
            <v>Time of Use Rates per unit of consumption and demand varying seasonally</v>
          </cell>
          <cell r="Y10" t="str">
            <v>LEED v4 ID+C: Commercial Interiors</v>
          </cell>
          <cell r="AN10" t="str">
            <v>On-site agricultural crops or waste - electric</v>
          </cell>
          <cell r="AX10" t="str">
            <v>4B</v>
          </cell>
          <cell r="AY10" t="str">
            <v>CZ9</v>
          </cell>
          <cell r="CU10" t="str">
            <v>Bath / Utility Fan, 10 to 89 cfm</v>
          </cell>
          <cell r="CV10">
            <v>0.60833333333333339</v>
          </cell>
          <cell r="CW10">
            <v>0.52142857142857146</v>
          </cell>
          <cell r="CX10">
            <v>0</v>
          </cell>
          <cell r="CY10">
            <v>0</v>
          </cell>
          <cell r="CZ10">
            <v>0</v>
          </cell>
          <cell r="DE10">
            <v>0</v>
          </cell>
          <cell r="DF10">
            <v>1</v>
          </cell>
          <cell r="DR10" t="e">
            <v>#N/A</v>
          </cell>
        </row>
        <row r="11">
          <cell r="B11" t="str">
            <v>Coal (anthracite)</v>
          </cell>
          <cell r="C11">
            <v>1</v>
          </cell>
          <cell r="S11" t="str">
            <v>Block Charges per unit of consumptoin</v>
          </cell>
          <cell r="Y11" t="str">
            <v>LEED v4 ID+C: Retail</v>
          </cell>
          <cell r="AN11" t="str">
            <v>On-site animal or organic waste - thermal</v>
          </cell>
          <cell r="AX11" t="str">
            <v>4C</v>
          </cell>
          <cell r="AY11" t="str">
            <v>CZ10</v>
          </cell>
          <cell r="CU11" t="str">
            <v>Bath / Utility Fan, 90 to 500 cfm</v>
          </cell>
          <cell r="CV11">
            <v>0.31739130434782614</v>
          </cell>
          <cell r="CW11">
            <v>0.26071428571428573</v>
          </cell>
          <cell r="CX11">
            <v>0</v>
          </cell>
          <cell r="CY11">
            <v>0</v>
          </cell>
          <cell r="CZ11">
            <v>0</v>
          </cell>
          <cell r="DE11">
            <v>0</v>
          </cell>
          <cell r="DF11">
            <v>1</v>
          </cell>
          <cell r="DR11" t="e">
            <v>#N/A</v>
          </cell>
        </row>
        <row r="12">
          <cell r="B12" t="str">
            <v>Coal (bituminous)</v>
          </cell>
          <cell r="C12">
            <v>1</v>
          </cell>
          <cell r="S12" t="str">
            <v>Block charges per unit of consumption and demand</v>
          </cell>
          <cell r="Y12" t="str">
            <v>LEED v4 ID+C: Hospitality</v>
          </cell>
          <cell r="AN12" t="str">
            <v>On-site animal or organic waste - electric</v>
          </cell>
          <cell r="AX12" t="str">
            <v>5A</v>
          </cell>
          <cell r="AY12" t="str">
            <v>CZ11</v>
          </cell>
          <cell r="DR12" t="e">
            <v>#N/A</v>
          </cell>
        </row>
        <row r="13">
          <cell r="B13" t="str">
            <v>Coke</v>
          </cell>
          <cell r="C13">
            <v>1</v>
          </cell>
          <cell r="S13" t="str">
            <v>Block charges per unit of consumption varying seasonally</v>
          </cell>
          <cell r="Y13" t="str">
            <v>LEED v4 BD+C: Multifamily Midrise</v>
          </cell>
          <cell r="AN13" t="str">
            <v>On-site landfill gas - thermal</v>
          </cell>
          <cell r="AX13" t="str">
            <v>5B</v>
          </cell>
          <cell r="AY13" t="str">
            <v>CZ12</v>
          </cell>
          <cell r="DR13" t="e">
            <v>#N/A</v>
          </cell>
        </row>
        <row r="14">
          <cell r="B14" t="str">
            <v>Wood</v>
          </cell>
          <cell r="C14">
            <v>1</v>
          </cell>
          <cell r="S14" t="str">
            <v>Block charges per unit of consumption and demand varying seasonally</v>
          </cell>
          <cell r="Y14" t="str">
            <v>LEED v4: Neighborhood Development</v>
          </cell>
          <cell r="AN14" t="str">
            <v>On-site landfill gas - electric</v>
          </cell>
          <cell r="AX14" t="str">
            <v>5C</v>
          </cell>
          <cell r="AY14" t="str">
            <v>CZ13</v>
          </cell>
          <cell r="DR14" t="e">
            <v>#N/A</v>
          </cell>
        </row>
        <row r="15">
          <cell r="AX15" t="str">
            <v>6A</v>
          </cell>
          <cell r="AY15" t="str">
            <v>CZ14</v>
          </cell>
          <cell r="DR15" t="e">
            <v>#N/A</v>
          </cell>
        </row>
        <row r="16">
          <cell r="AX16" t="str">
            <v>6B</v>
          </cell>
          <cell r="AY16" t="str">
            <v>CZ15</v>
          </cell>
          <cell r="DR16" t="e">
            <v>#N/A</v>
          </cell>
        </row>
        <row r="17">
          <cell r="AX17" t="str">
            <v>7A</v>
          </cell>
          <cell r="AY17" t="str">
            <v>CZ16</v>
          </cell>
          <cell r="CU17" t="str">
            <v>Clothes Washer (Commercial)</v>
          </cell>
          <cell r="CV17">
            <v>196</v>
          </cell>
          <cell r="CW17">
            <v>138</v>
          </cell>
          <cell r="CX17">
            <v>0.8</v>
          </cell>
          <cell r="CY17">
            <v>0</v>
          </cell>
          <cell r="CZ17">
            <v>0</v>
          </cell>
          <cell r="DE17">
            <v>0</v>
          </cell>
          <cell r="DF17">
            <v>1</v>
          </cell>
          <cell r="DG17">
            <v>5903</v>
          </cell>
          <cell r="DH17">
            <v>2732.2000000000003</v>
          </cell>
          <cell r="DR17" t="e">
            <v>#N/A</v>
          </cell>
        </row>
        <row r="18">
          <cell r="AX18" t="str">
            <v>7B</v>
          </cell>
          <cell r="CU18" t="str">
            <v>Clothes Dryer (Commercial electric)</v>
          </cell>
          <cell r="CV18">
            <v>418</v>
          </cell>
          <cell r="CW18">
            <v>418</v>
          </cell>
          <cell r="CX18">
            <v>0.15</v>
          </cell>
          <cell r="CY18">
            <v>0.05</v>
          </cell>
          <cell r="CZ18">
            <v>139</v>
          </cell>
          <cell r="DE18">
            <v>0</v>
          </cell>
          <cell r="DF18">
            <v>2.423</v>
          </cell>
          <cell r="DG18">
            <v>0</v>
          </cell>
          <cell r="DH18">
            <v>0</v>
          </cell>
          <cell r="DR18" t="e">
            <v>#N/A</v>
          </cell>
        </row>
        <row r="19">
          <cell r="AX19">
            <v>8</v>
          </cell>
          <cell r="CU19" t="str">
            <v>Clothes Dryer (Commercial gas)</v>
          </cell>
          <cell r="CV19">
            <v>26.5</v>
          </cell>
          <cell r="CW19">
            <v>26.5</v>
          </cell>
          <cell r="CX19">
            <v>1</v>
          </cell>
          <cell r="CY19">
            <v>0</v>
          </cell>
          <cell r="CZ19">
            <v>8.8000000000000007</v>
          </cell>
          <cell r="DC19">
            <v>0.1</v>
          </cell>
          <cell r="DD19">
            <v>0.05</v>
          </cell>
          <cell r="DE19">
            <v>12.7</v>
          </cell>
          <cell r="DF19">
            <v>2.423</v>
          </cell>
          <cell r="DG19">
            <v>0</v>
          </cell>
          <cell r="DH19">
            <v>0</v>
          </cell>
          <cell r="DR19" t="e">
            <v>#N/A</v>
          </cell>
        </row>
        <row r="20">
          <cell r="DR20" t="e">
            <v>#N/A</v>
          </cell>
        </row>
        <row r="21">
          <cell r="DR21" t="e">
            <v>#N/A</v>
          </cell>
        </row>
        <row r="22">
          <cell r="DR22" t="e">
            <v>#N/A</v>
          </cell>
        </row>
        <row r="23">
          <cell r="DR23" t="e">
            <v>#N/A</v>
          </cell>
        </row>
        <row r="24">
          <cell r="DR24" t="e">
            <v>#N/A</v>
          </cell>
        </row>
        <row r="25">
          <cell r="DR25" t="e">
            <v>#N/A</v>
          </cell>
        </row>
        <row r="26">
          <cell r="DR26" t="e">
            <v>#N/A</v>
          </cell>
        </row>
        <row r="27">
          <cell r="DR27" t="e">
            <v>#N/A</v>
          </cell>
        </row>
        <row r="28">
          <cell r="DR28" t="e">
            <v>#N/A</v>
          </cell>
        </row>
        <row r="29">
          <cell r="DR29" t="e">
            <v>#N/A</v>
          </cell>
        </row>
        <row r="30">
          <cell r="DR30" t="e">
            <v>#N/A</v>
          </cell>
        </row>
        <row r="31">
          <cell r="DR31" t="e">
            <v>#N/A</v>
          </cell>
        </row>
        <row r="32">
          <cell r="DR32" t="e">
            <v>#N/A</v>
          </cell>
        </row>
        <row r="33">
          <cell r="DR33" t="e">
            <v>#N/A</v>
          </cell>
        </row>
        <row r="34">
          <cell r="DR34" t="e">
            <v>#N/A</v>
          </cell>
        </row>
        <row r="35">
          <cell r="DR35" t="e">
            <v>#N/A</v>
          </cell>
        </row>
        <row r="36">
          <cell r="DR36" t="e">
            <v>#N/A</v>
          </cell>
        </row>
        <row r="37">
          <cell r="DR37" t="e">
            <v>#N/A</v>
          </cell>
        </row>
        <row r="38">
          <cell r="DR38" t="e">
            <v>#N/A</v>
          </cell>
        </row>
        <row r="39">
          <cell r="DR39" t="e">
            <v>#N/A</v>
          </cell>
        </row>
        <row r="40">
          <cell r="DR40" t="e">
            <v>#N/A</v>
          </cell>
        </row>
        <row r="41">
          <cell r="DR41" t="e">
            <v>#N/A</v>
          </cell>
        </row>
        <row r="42">
          <cell r="DR42" t="e">
            <v>#N/A</v>
          </cell>
        </row>
        <row r="90">
          <cell r="C90">
            <v>0</v>
          </cell>
        </row>
        <row r="96">
          <cell r="C96" t="b">
            <v>0</v>
          </cell>
        </row>
        <row r="98">
          <cell r="C98" t="b">
            <v>0</v>
          </cell>
        </row>
        <row r="101">
          <cell r="B101">
            <v>0</v>
          </cell>
        </row>
        <row r="102">
          <cell r="B102" t="str">
            <v>Electricity</v>
          </cell>
        </row>
        <row r="103">
          <cell r="B103" t="str">
            <v>Natural Gas</v>
          </cell>
        </row>
        <row r="104">
          <cell r="B104">
            <v>0</v>
          </cell>
        </row>
        <row r="105">
          <cell r="B105">
            <v>0</v>
          </cell>
        </row>
        <row r="106">
          <cell r="B106">
            <v>0</v>
          </cell>
        </row>
      </sheetData>
      <sheetData sheetId="15">
        <row r="3">
          <cell r="CI3" t="str">
            <v>Grocery Store</v>
          </cell>
        </row>
        <row r="4">
          <cell r="CI4" t="str">
            <v>Healthcare (outpatient)</v>
          </cell>
        </row>
        <row r="5">
          <cell r="CI5" t="str">
            <v>Hospital</v>
          </cell>
        </row>
        <row r="6">
          <cell r="CI6" t="str">
            <v>Hotel/motel (≤ 75 rooms)</v>
          </cell>
        </row>
        <row r="7">
          <cell r="CI7" t="str">
            <v>Hotel/motel (&gt; 75 rooms)</v>
          </cell>
        </row>
        <row r="8">
          <cell r="CI8" t="str">
            <v>Office (≤ 5,000 sf)</v>
          </cell>
        </row>
        <row r="9">
          <cell r="CI9" t="str">
            <v>Office (5,000 to 50,000 sf)</v>
          </cell>
        </row>
        <row r="10">
          <cell r="CI10" t="str">
            <v>Office (&gt;50,000 sf)</v>
          </cell>
        </row>
        <row r="11">
          <cell r="CI11" t="str">
            <v>Restaurant (quick service)</v>
          </cell>
        </row>
        <row r="12">
          <cell r="CI12" t="str">
            <v>Restaurant (full service)</v>
          </cell>
        </row>
        <row r="13">
          <cell r="CI13" t="str">
            <v>Retail (stand alone)</v>
          </cell>
        </row>
        <row r="14">
          <cell r="CI14" t="str">
            <v>Retail (strip mall)</v>
          </cell>
        </row>
        <row r="15">
          <cell r="CI15" t="str">
            <v>School (primary)</v>
          </cell>
        </row>
        <row r="16">
          <cell r="CI16" t="str">
            <v>School (secondary or university)</v>
          </cell>
        </row>
        <row r="17">
          <cell r="CI17" t="str">
            <v>Warehouse (nonrefrigeratied)</v>
          </cell>
        </row>
        <row r="18">
          <cell r="CI18" t="str">
            <v>Other</v>
          </cell>
        </row>
      </sheetData>
      <sheetData sheetId="16">
        <row r="26">
          <cell r="H26">
            <v>0</v>
          </cell>
        </row>
      </sheetData>
      <sheetData sheetId="17">
        <row r="46">
          <cell r="A46" t="str">
            <v>G</v>
          </cell>
          <cell r="B46">
            <v>0</v>
          </cell>
          <cell r="D46">
            <v>0</v>
          </cell>
          <cell r="E46">
            <v>0</v>
          </cell>
          <cell r="F46" t="str">
            <v>-</v>
          </cell>
          <cell r="G46">
            <v>0</v>
          </cell>
          <cell r="H46" t="str">
            <v>-</v>
          </cell>
          <cell r="S46">
            <v>0</v>
          </cell>
        </row>
        <row r="47">
          <cell r="A47" t="str">
            <v>G</v>
          </cell>
          <cell r="B47">
            <v>0</v>
          </cell>
          <cell r="D47">
            <v>0</v>
          </cell>
          <cell r="E47">
            <v>0</v>
          </cell>
          <cell r="F47" t="str">
            <v>-</v>
          </cell>
          <cell r="G47">
            <v>0</v>
          </cell>
          <cell r="H47" t="str">
            <v>-</v>
          </cell>
          <cell r="S47">
            <v>0</v>
          </cell>
        </row>
        <row r="48">
          <cell r="A48" t="str">
            <v>G</v>
          </cell>
          <cell r="B48">
            <v>0</v>
          </cell>
          <cell r="D48">
            <v>0</v>
          </cell>
          <cell r="E48">
            <v>0</v>
          </cell>
          <cell r="F48" t="str">
            <v>-</v>
          </cell>
          <cell r="G48">
            <v>0</v>
          </cell>
          <cell r="H48" t="str">
            <v>-</v>
          </cell>
          <cell r="S48">
            <v>0</v>
          </cell>
        </row>
        <row r="49">
          <cell r="A49" t="str">
            <v>G</v>
          </cell>
          <cell r="B49">
            <v>0</v>
          </cell>
          <cell r="D49">
            <v>0</v>
          </cell>
          <cell r="E49">
            <v>0</v>
          </cell>
          <cell r="F49" t="str">
            <v>-</v>
          </cell>
          <cell r="G49">
            <v>0</v>
          </cell>
          <cell r="H49" t="str">
            <v>-</v>
          </cell>
          <cell r="S49">
            <v>0</v>
          </cell>
        </row>
        <row r="50">
          <cell r="A50" t="str">
            <v>G</v>
          </cell>
          <cell r="B50">
            <v>0</v>
          </cell>
          <cell r="D50">
            <v>0</v>
          </cell>
          <cell r="E50">
            <v>0</v>
          </cell>
          <cell r="F50" t="str">
            <v>-</v>
          </cell>
          <cell r="G50">
            <v>0</v>
          </cell>
          <cell r="H50" t="str">
            <v>-</v>
          </cell>
          <cell r="S50">
            <v>0</v>
          </cell>
        </row>
        <row r="51">
          <cell r="A51" t="str">
            <v>G</v>
          </cell>
          <cell r="B51">
            <v>0</v>
          </cell>
          <cell r="D51">
            <v>0</v>
          </cell>
          <cell r="E51">
            <v>0</v>
          </cell>
          <cell r="F51" t="str">
            <v>-</v>
          </cell>
          <cell r="G51">
            <v>0</v>
          </cell>
          <cell r="H51" t="str">
            <v>-</v>
          </cell>
          <cell r="S51">
            <v>0</v>
          </cell>
        </row>
        <row r="52">
          <cell r="A52" t="str">
            <v>G</v>
          </cell>
          <cell r="B52">
            <v>0</v>
          </cell>
          <cell r="D52">
            <v>0</v>
          </cell>
          <cell r="E52">
            <v>0</v>
          </cell>
          <cell r="F52" t="str">
            <v>-</v>
          </cell>
          <cell r="G52">
            <v>0</v>
          </cell>
          <cell r="H52" t="str">
            <v>-</v>
          </cell>
          <cell r="S52">
            <v>0</v>
          </cell>
        </row>
        <row r="53">
          <cell r="A53" t="str">
            <v>G</v>
          </cell>
          <cell r="B53">
            <v>0</v>
          </cell>
          <cell r="D53">
            <v>0</v>
          </cell>
          <cell r="E53">
            <v>0</v>
          </cell>
          <cell r="F53" t="str">
            <v>-</v>
          </cell>
          <cell r="G53">
            <v>0</v>
          </cell>
          <cell r="H53" t="str">
            <v>-</v>
          </cell>
          <cell r="S53">
            <v>0</v>
          </cell>
        </row>
        <row r="54">
          <cell r="A54" t="str">
            <v>G</v>
          </cell>
          <cell r="B54">
            <v>0</v>
          </cell>
          <cell r="D54">
            <v>0</v>
          </cell>
          <cell r="E54">
            <v>0</v>
          </cell>
          <cell r="F54" t="str">
            <v>-</v>
          </cell>
          <cell r="G54">
            <v>0</v>
          </cell>
          <cell r="H54" t="str">
            <v>-</v>
          </cell>
          <cell r="S54">
            <v>0</v>
          </cell>
        </row>
        <row r="55">
          <cell r="A55" t="str">
            <v>G</v>
          </cell>
          <cell r="B55">
            <v>0</v>
          </cell>
          <cell r="D55">
            <v>0</v>
          </cell>
          <cell r="E55">
            <v>0</v>
          </cell>
          <cell r="F55" t="str">
            <v>-</v>
          </cell>
          <cell r="G55">
            <v>0</v>
          </cell>
          <cell r="H55" t="str">
            <v>-</v>
          </cell>
          <cell r="S55">
            <v>0</v>
          </cell>
        </row>
        <row r="56">
          <cell r="A56" t="str">
            <v>G</v>
          </cell>
          <cell r="B56" t="str">
            <v>Total</v>
          </cell>
          <cell r="D56">
            <v>0</v>
          </cell>
          <cell r="E56">
            <v>0</v>
          </cell>
          <cell r="F56" t="str">
            <v>-</v>
          </cell>
          <cell r="G56">
            <v>0</v>
          </cell>
          <cell r="H56" t="str">
            <v>-</v>
          </cell>
        </row>
        <row r="57">
          <cell r="A57" t="str">
            <v>G</v>
          </cell>
        </row>
        <row r="58">
          <cell r="A58" t="str">
            <v>G</v>
          </cell>
        </row>
        <row r="59">
          <cell r="A59" t="str">
            <v>B</v>
          </cell>
        </row>
        <row r="64">
          <cell r="A64" t="str">
            <v>G</v>
          </cell>
        </row>
        <row r="65">
          <cell r="A65" t="str">
            <v>G</v>
          </cell>
        </row>
        <row r="66">
          <cell r="A66" t="str">
            <v>G</v>
          </cell>
        </row>
        <row r="71">
          <cell r="A71" t="str">
            <v>G</v>
          </cell>
        </row>
        <row r="72">
          <cell r="A72" t="str">
            <v>G</v>
          </cell>
        </row>
        <row r="73">
          <cell r="A73" t="str">
            <v>G</v>
          </cell>
        </row>
        <row r="74">
          <cell r="A74" t="str">
            <v>G</v>
          </cell>
        </row>
        <row r="75">
          <cell r="A75" t="str">
            <v>G</v>
          </cell>
        </row>
        <row r="76">
          <cell r="A76" t="str">
            <v>G</v>
          </cell>
        </row>
        <row r="77">
          <cell r="A77" t="str">
            <v>D</v>
          </cell>
        </row>
        <row r="83">
          <cell r="A83" t="str">
            <v>G</v>
          </cell>
        </row>
        <row r="84">
          <cell r="A84" t="str">
            <v>G</v>
          </cell>
        </row>
        <row r="85">
          <cell r="A85" t="str">
            <v>G</v>
          </cell>
        </row>
        <row r="86">
          <cell r="A86" t="str">
            <v>G</v>
          </cell>
        </row>
        <row r="87">
          <cell r="A87" t="str">
            <v>G</v>
          </cell>
        </row>
        <row r="88">
          <cell r="A88" t="str">
            <v>G</v>
          </cell>
        </row>
        <row r="97">
          <cell r="B97" t="str">
            <v>Building ID</v>
          </cell>
          <cell r="G97" t="str">
            <v>Base_LPD</v>
          </cell>
          <cell r="J97" t="str">
            <v>Design_LPD</v>
          </cell>
          <cell r="L97" t="str">
            <v>Base_Power</v>
          </cell>
          <cell r="O97" t="str">
            <v>Design_Power</v>
          </cell>
        </row>
        <row r="98">
          <cell r="B98" t="str">
            <v>Project Names</v>
          </cell>
          <cell r="G98" t="str">
            <v>-</v>
          </cell>
          <cell r="J98" t="str">
            <v>-</v>
          </cell>
          <cell r="L98" t="str">
            <v>-</v>
          </cell>
          <cell r="O98" t="str">
            <v>-</v>
          </cell>
        </row>
        <row r="136">
          <cell r="B136" t="str">
            <v>Index</v>
          </cell>
          <cell r="F136" t="str">
            <v>Required Input</v>
          </cell>
          <cell r="H136" t="str">
            <v>Quantity of Required Input for Project</v>
          </cell>
          <cell r="I136" t="str">
            <v>Allowed LPD</v>
          </cell>
          <cell r="J136" t="str">
            <v>Lighting Power Allowance 
(W)</v>
          </cell>
          <cell r="M136" t="str">
            <v>Design Lighting Power 
(W)</v>
          </cell>
        </row>
        <row r="137">
          <cell r="B137" t="str">
            <v>Building facades</v>
          </cell>
          <cell r="F137" t="str">
            <v>Length</v>
          </cell>
          <cell r="I137">
            <v>5</v>
          </cell>
          <cell r="J137">
            <v>0</v>
          </cell>
        </row>
        <row r="138">
          <cell r="B138" t="str">
            <v>ATMs and night depositories</v>
          </cell>
          <cell r="F138" t="str">
            <v>Number of ATMs</v>
          </cell>
          <cell r="I138" t="str">
            <v>270 W+90 per additional</v>
          </cell>
          <cell r="J138">
            <v>0</v>
          </cell>
        </row>
        <row r="139">
          <cell r="B139" t="str">
            <v>Entrances and gatehouse inspection stations at guarded facilities</v>
          </cell>
          <cell r="F139" t="str">
            <v>Uncovered Area</v>
          </cell>
          <cell r="I139">
            <v>1.25</v>
          </cell>
          <cell r="J139">
            <v>0</v>
          </cell>
        </row>
        <row r="140">
          <cell r="B140" t="str">
            <v>Loading areas for law enforcement, fire, ambulance, and other emergency service vehicles</v>
          </cell>
          <cell r="F140" t="str">
            <v>Uncovered Area</v>
          </cell>
          <cell r="I140">
            <v>0.5</v>
          </cell>
          <cell r="J140">
            <v>0</v>
          </cell>
        </row>
        <row r="141">
          <cell r="B141" t="str">
            <v>Drive-through windows at fast food restaurants</v>
          </cell>
          <cell r="F141" t="str">
            <v>Drive-throughs</v>
          </cell>
          <cell r="I141">
            <v>400</v>
          </cell>
          <cell r="J141">
            <v>0</v>
          </cell>
        </row>
        <row r="142">
          <cell r="B142" t="str">
            <v>Parking near 24-hour retail entrances</v>
          </cell>
          <cell r="F142" t="str">
            <v>Main Entries</v>
          </cell>
          <cell r="I142">
            <v>800</v>
          </cell>
          <cell r="J142">
            <v>0</v>
          </cell>
        </row>
        <row r="143">
          <cell r="B143" t="str">
            <v>Total nontradable surface lighting allowance</v>
          </cell>
          <cell r="J143">
            <v>0</v>
          </cell>
          <cell r="M143">
            <v>0</v>
          </cell>
        </row>
        <row r="147">
          <cell r="B147" t="str">
            <v>Index</v>
          </cell>
          <cell r="J147" t="str">
            <v>Base</v>
          </cell>
          <cell r="M147" t="str">
            <v>Design</v>
          </cell>
        </row>
        <row r="148">
          <cell r="B148" t="str">
            <v>Total modeled exterior lighting power, including base allowance, based on inputs above (kW)</v>
          </cell>
          <cell r="J148">
            <v>0</v>
          </cell>
          <cell r="M148">
            <v>0</v>
          </cell>
        </row>
      </sheetData>
      <sheetData sheetId="18">
        <row r="3">
          <cell r="D3" t="str">
            <v>Automotive facility</v>
          </cell>
          <cell r="G3" t="str">
            <v>Audience Seating/Auditorium</v>
          </cell>
        </row>
        <row r="4">
          <cell r="D4" t="str">
            <v>Convention center</v>
          </cell>
          <cell r="G4" t="str">
            <v>Audience Seating/Convention center</v>
          </cell>
          <cell r="L4" t="str">
            <v>Parking lots and drives</v>
          </cell>
        </row>
        <row r="5">
          <cell r="D5" t="str">
            <v>Courthouse</v>
          </cell>
          <cell r="G5" t="str">
            <v>Audience Seating/Gymnasium</v>
          </cell>
          <cell r="L5" t="str">
            <v>Walkways less than 10 ft wide</v>
          </cell>
        </row>
        <row r="6">
          <cell r="D6" t="str">
            <v>Dining: bar lounge/leisure</v>
          </cell>
          <cell r="G6" t="str">
            <v>Audience Seating/Motion Picture Theatre</v>
          </cell>
          <cell r="L6" t="str">
            <v>Walkways 10 ft wide or greater</v>
          </cell>
        </row>
        <row r="7">
          <cell r="D7" t="str">
            <v>Dining: cafeteria/fast food</v>
          </cell>
          <cell r="G7" t="str">
            <v>Audience Seating/Penitentiary</v>
          </cell>
          <cell r="L7" t="str">
            <v>Plaza areas</v>
          </cell>
        </row>
        <row r="8">
          <cell r="D8" t="str">
            <v>Dining: family</v>
          </cell>
          <cell r="G8" t="str">
            <v>Audience Seating/Performing Arts Theater</v>
          </cell>
          <cell r="L8" t="str">
            <v>Special feature areas</v>
          </cell>
        </row>
        <row r="9">
          <cell r="D9" t="str">
            <v>Dormitory</v>
          </cell>
          <cell r="G9" t="str">
            <v>Audience Seating/Religious Building</v>
          </cell>
          <cell r="L9" t="str">
            <v>Stairways</v>
          </cell>
        </row>
        <row r="10">
          <cell r="D10" t="str">
            <v>Exercise center</v>
          </cell>
          <cell r="G10" t="str">
            <v>Audience Seating/Sports Arena</v>
          </cell>
          <cell r="L10" t="str">
            <v>Main entries</v>
          </cell>
        </row>
        <row r="11">
          <cell r="D11" t="str">
            <v>Fire Station</v>
          </cell>
          <cell r="G11" t="str">
            <v>Audience Seating/Transportation facility</v>
          </cell>
          <cell r="L11" t="str">
            <v>Other doors</v>
          </cell>
        </row>
        <row r="12">
          <cell r="D12" t="str">
            <v>Gymnasium</v>
          </cell>
          <cell r="G12" t="str">
            <v>Audience Seating/All Other</v>
          </cell>
          <cell r="L12" t="str">
            <v>Canopies (free standing and attached and overhangs)</v>
          </cell>
        </row>
        <row r="13">
          <cell r="D13" t="str">
            <v>Health-care clinic</v>
          </cell>
          <cell r="G13" t="str">
            <v>Atrium ≤40 ft high</v>
          </cell>
          <cell r="L13" t="str">
            <v>Outdoor Sales Open areas (including vehicle sales lots)</v>
          </cell>
        </row>
        <row r="14">
          <cell r="D14" t="str">
            <v>Hospital</v>
          </cell>
          <cell r="G14" t="str">
            <v>Atrium &gt;40 ft high</v>
          </cell>
          <cell r="L14" t="str">
            <v>Outdoor Sales Street frontage for vehicle sales lots in addition to open-area allowance)</v>
          </cell>
        </row>
        <row r="15">
          <cell r="D15" t="str">
            <v>Hotel/motel</v>
          </cell>
          <cell r="G15" t="str">
            <v>Banking Activity Area</v>
          </cell>
        </row>
        <row r="16">
          <cell r="D16" t="str">
            <v>Library</v>
          </cell>
          <cell r="G16" t="str">
            <v>Classroom/Lecture Hall/Training Room in Penitentiary</v>
          </cell>
        </row>
        <row r="17">
          <cell r="D17" t="str">
            <v>Manufacturing facility</v>
          </cell>
          <cell r="G17" t="str">
            <v>Classroom/Lecture Hall/Training Room in All Other</v>
          </cell>
        </row>
        <row r="18">
          <cell r="D18" t="str">
            <v>Motion picture theater</v>
          </cell>
          <cell r="G18" t="str">
            <v>Conference/Meeting/Multipurpose Room</v>
          </cell>
        </row>
        <row r="19">
          <cell r="D19" t="str">
            <v>Multifamily</v>
          </cell>
          <cell r="G19" t="str">
            <v>Confinement Cells</v>
          </cell>
        </row>
        <row r="20">
          <cell r="D20" t="str">
            <v>Museum</v>
          </cell>
          <cell r="G20" t="str">
            <v>Copy/Print Room</v>
          </cell>
        </row>
        <row r="21">
          <cell r="D21" t="str">
            <v>Office</v>
          </cell>
          <cell r="G21" t="str">
            <v>Corridor/Facility for Visually Impaired</v>
          </cell>
        </row>
        <row r="22">
          <cell r="D22" t="str">
            <v>Parking garage</v>
          </cell>
          <cell r="G22" t="str">
            <v>Corridor/Hospital</v>
          </cell>
        </row>
        <row r="23">
          <cell r="D23" t="str">
            <v>Penitentiary</v>
          </cell>
          <cell r="G23" t="str">
            <v>Corridor/Manufacturing Facility</v>
          </cell>
        </row>
        <row r="24">
          <cell r="D24" t="str">
            <v>Performing arts theater</v>
          </cell>
          <cell r="G24" t="str">
            <v>Corridor/All Other</v>
          </cell>
        </row>
        <row r="25">
          <cell r="D25" t="str">
            <v>Police station</v>
          </cell>
          <cell r="G25" t="str">
            <v>Courtroom</v>
          </cell>
        </row>
        <row r="26">
          <cell r="D26" t="str">
            <v>Post office</v>
          </cell>
          <cell r="G26" t="str">
            <v>Computer Room</v>
          </cell>
        </row>
        <row r="27">
          <cell r="D27" t="str">
            <v>Religious building</v>
          </cell>
          <cell r="G27" t="str">
            <v>Dining Area/Penitentiary</v>
          </cell>
        </row>
        <row r="28">
          <cell r="D28" t="str">
            <v>Retail</v>
          </cell>
          <cell r="G28" t="str">
            <v>Dining Area/Facility for Visually Impaired</v>
          </cell>
        </row>
        <row r="29">
          <cell r="D29" t="str">
            <v>School/university</v>
          </cell>
          <cell r="G29" t="str">
            <v>Dining Area/bar/Lounge or Leisure Dining</v>
          </cell>
        </row>
        <row r="30">
          <cell r="D30" t="str">
            <v>Sports arena</v>
          </cell>
          <cell r="G30" t="str">
            <v>Dining Area/Cafeteria/Fast Food</v>
          </cell>
        </row>
        <row r="31">
          <cell r="D31" t="str">
            <v>Town hall</v>
          </cell>
          <cell r="G31" t="str">
            <v>Dining Area/Family Dining</v>
          </cell>
        </row>
        <row r="32">
          <cell r="D32" t="str">
            <v>Transportation</v>
          </cell>
          <cell r="G32" t="str">
            <v>Dining Area/All Other</v>
          </cell>
        </row>
        <row r="33">
          <cell r="D33" t="str">
            <v>Warehouse</v>
          </cell>
          <cell r="G33" t="str">
            <v>Electrical/Mechanical Room</v>
          </cell>
        </row>
        <row r="34">
          <cell r="D34" t="str">
            <v>Workshop</v>
          </cell>
          <cell r="G34" t="str">
            <v>Emergency Vehicle Garage</v>
          </cell>
        </row>
        <row r="35">
          <cell r="G35" t="str">
            <v>Food Preparation Area</v>
          </cell>
        </row>
        <row r="36">
          <cell r="G36" t="str">
            <v>Guest Room</v>
          </cell>
        </row>
        <row r="37">
          <cell r="G37" t="str">
            <v>Judges Chambers</v>
          </cell>
        </row>
        <row r="38">
          <cell r="G38" t="str">
            <v>Laboratory/Classroom</v>
          </cell>
        </row>
        <row r="39">
          <cell r="G39" t="str">
            <v>Laboratory/All Other</v>
          </cell>
        </row>
        <row r="40">
          <cell r="G40" t="str">
            <v>Laundry/Washing Area</v>
          </cell>
        </row>
        <row r="41">
          <cell r="G41" t="str">
            <v>Loading Dock, Interior</v>
          </cell>
        </row>
        <row r="42">
          <cell r="G42" t="str">
            <v>Lobby/Facility for Visually Impaired</v>
          </cell>
        </row>
        <row r="43">
          <cell r="G43" t="str">
            <v>Lobby/Elevator</v>
          </cell>
        </row>
        <row r="44">
          <cell r="G44" t="str">
            <v>Lobby/Hotel</v>
          </cell>
        </row>
        <row r="45">
          <cell r="G45" t="str">
            <v>Lobby/Motion Picture Theater</v>
          </cell>
        </row>
        <row r="46">
          <cell r="G46" t="str">
            <v>Lobby/Performing Arts Theater</v>
          </cell>
        </row>
        <row r="47">
          <cell r="G47" t="str">
            <v>Lobby/All Other</v>
          </cell>
        </row>
        <row r="48">
          <cell r="G48" t="str">
            <v>Locker Room</v>
          </cell>
        </row>
        <row r="49">
          <cell r="G49" t="str">
            <v>Lounge/Breakroom/in Healthcare Facility</v>
          </cell>
        </row>
        <row r="50">
          <cell r="G50" t="str">
            <v>Lounge/Breakroom/All Other</v>
          </cell>
        </row>
        <row r="51">
          <cell r="G51" t="str">
            <v>Office/Enclosed</v>
          </cell>
        </row>
        <row r="52">
          <cell r="G52" t="str">
            <v>Office/Open Plan</v>
          </cell>
        </row>
        <row r="53">
          <cell r="G53" t="str">
            <v>Parking Area, Interior</v>
          </cell>
        </row>
        <row r="54">
          <cell r="G54" t="str">
            <v>Pharmacy Area</v>
          </cell>
        </row>
        <row r="55">
          <cell r="G55" t="str">
            <v>Restroom/Facility for the Visually Impaired</v>
          </cell>
        </row>
        <row r="56">
          <cell r="G56" t="str">
            <v>Restroom/ All Other</v>
          </cell>
        </row>
        <row r="57">
          <cell r="G57" t="str">
            <v>Sales Area</v>
          </cell>
        </row>
        <row r="58">
          <cell r="G58" t="str">
            <v>Seating Area, General</v>
          </cell>
        </row>
        <row r="59">
          <cell r="G59" t="str">
            <v>Stairwell</v>
          </cell>
        </row>
        <row r="60">
          <cell r="G60" t="str">
            <v>Storage Room/Hospital</v>
          </cell>
        </row>
        <row r="61">
          <cell r="G61" t="str">
            <v>Storage Room/≥50 sqft</v>
          </cell>
        </row>
        <row r="62">
          <cell r="G62" t="str">
            <v>Storage Room/&lt;50 sgft</v>
          </cell>
        </row>
        <row r="63">
          <cell r="G63" t="str">
            <v>Vehicular Maintenance Area</v>
          </cell>
        </row>
        <row r="64">
          <cell r="G64" t="str">
            <v>Workshop</v>
          </cell>
        </row>
        <row r="65">
          <cell r="G65" t="str">
            <v>Assisted Living Facility/Chapel</v>
          </cell>
        </row>
        <row r="66">
          <cell r="G66" t="str">
            <v>Assisted Living Facility/Recreation Room</v>
          </cell>
        </row>
        <row r="67">
          <cell r="G67" t="str">
            <v>Convention Center-Exhibit Space</v>
          </cell>
        </row>
        <row r="68">
          <cell r="G68" t="str">
            <v>Dormitory-Living Quarters</v>
          </cell>
        </row>
        <row r="69">
          <cell r="G69" t="str">
            <v>Fire Station-Sleeping Quarters</v>
          </cell>
        </row>
        <row r="70">
          <cell r="G70" t="str">
            <v>Gymnasium/Fitness Center/Exercise Area</v>
          </cell>
        </row>
        <row r="71">
          <cell r="G71" t="str">
            <v>Gymnasium/Fitness Center/Playing Area</v>
          </cell>
        </row>
        <row r="72">
          <cell r="G72" t="str">
            <v>Healthcare Facility/Emergency Room</v>
          </cell>
        </row>
        <row r="73">
          <cell r="G73" t="str">
            <v>Healthcare Facility/Exam/Treatment Room</v>
          </cell>
        </row>
        <row r="74">
          <cell r="G74" t="str">
            <v>Healthcare Facility/Imaging Room</v>
          </cell>
        </row>
        <row r="75">
          <cell r="G75" t="str">
            <v>Healthcare Facility/Medical Supply Room</v>
          </cell>
        </row>
        <row r="76">
          <cell r="G76" t="str">
            <v>Healthcare Facility/Nursery</v>
          </cell>
        </row>
        <row r="77">
          <cell r="G77" t="str">
            <v>Healthcare Facility/Nurses Station</v>
          </cell>
        </row>
        <row r="78">
          <cell r="G78" t="str">
            <v>Healthcare Facility/Operating Room</v>
          </cell>
        </row>
        <row r="79">
          <cell r="G79" t="str">
            <v>Healthcare Facility/Patient Room</v>
          </cell>
        </row>
        <row r="80">
          <cell r="G80" t="str">
            <v>Healthcare Facility/Physical Therapy Room</v>
          </cell>
        </row>
        <row r="81">
          <cell r="G81" t="str">
            <v>Healthcare Facility/Recovery Room</v>
          </cell>
        </row>
        <row r="82">
          <cell r="G82" t="str">
            <v>Library/Reading Area</v>
          </cell>
        </row>
        <row r="83">
          <cell r="G83" t="str">
            <v>Library/Stacks</v>
          </cell>
        </row>
        <row r="84">
          <cell r="G84" t="str">
            <v>Manufacturing Facility/Detailed Manufacturing Area</v>
          </cell>
        </row>
        <row r="85">
          <cell r="G85" t="str">
            <v>Manufacturing Facility/Equipment Room</v>
          </cell>
        </row>
        <row r="86">
          <cell r="G86" t="str">
            <v>Manufacturing Facility/Extra High Bay Area (&gt;50 ft floor-to-ceiling height)</v>
          </cell>
        </row>
        <row r="87">
          <cell r="G87" t="str">
            <v>Manufacturing Facility/High Bay Area (25-50 ft floor-to-ceiling height)</v>
          </cell>
        </row>
        <row r="88">
          <cell r="G88" t="str">
            <v>Manufacturing Facility/Low Bay Area (&lt;25 ft floor-to-ceiling height)</v>
          </cell>
        </row>
        <row r="89">
          <cell r="G89" t="str">
            <v>Museum/General Exhibition Area</v>
          </cell>
        </row>
        <row r="90">
          <cell r="G90" t="str">
            <v>Museum/Restoration Room</v>
          </cell>
        </row>
        <row r="91">
          <cell r="G91" t="str">
            <v>Post Office/Sorting Area</v>
          </cell>
        </row>
        <row r="92">
          <cell r="G92" t="str">
            <v>Religious Building/Fellowship Hall</v>
          </cell>
        </row>
        <row r="93">
          <cell r="G93" t="str">
            <v>Religious building/Worship/Choir area</v>
          </cell>
        </row>
        <row r="94">
          <cell r="G94" t="str">
            <v>Retail Facilities/Dressing/Fitting Room</v>
          </cell>
        </row>
        <row r="95">
          <cell r="G95" t="str">
            <v>Retail Facilities/Mall Concourse</v>
          </cell>
        </row>
        <row r="96">
          <cell r="G96" t="str">
            <v>Sporting Arena-Playing Area/Class I Facility</v>
          </cell>
        </row>
        <row r="97">
          <cell r="G97" t="str">
            <v>Sporting Arena-Playing Area/Class II Facility</v>
          </cell>
        </row>
        <row r="98">
          <cell r="G98" t="str">
            <v>Sporting Arena-Playing Area/Class III Facility</v>
          </cell>
        </row>
        <row r="99">
          <cell r="G99" t="str">
            <v>Sporting Arena-Playing Area/Class IV Facility</v>
          </cell>
        </row>
        <row r="100">
          <cell r="G100" t="str">
            <v>Transportation Facility/Baggage/Carousel Area</v>
          </cell>
        </row>
        <row r="101">
          <cell r="G101" t="str">
            <v>Transportation Facility/Airport Concourse</v>
          </cell>
        </row>
        <row r="102">
          <cell r="G102" t="str">
            <v>Transportation Facility/Terminal Ticket Counter</v>
          </cell>
        </row>
        <row r="103">
          <cell r="G103" t="str">
            <v>Warehouse-Storage Area/Medium to Bulky, Palletized Items</v>
          </cell>
        </row>
        <row r="104">
          <cell r="G104" t="str">
            <v>Warehouse-Storage Area/Smaller, Hand Carried Items</v>
          </cell>
        </row>
        <row r="105">
          <cell r="G105" t="str">
            <v>Dwelling Unit</v>
          </cell>
        </row>
        <row r="106">
          <cell r="G106" t="str">
            <v>Multiple</v>
          </cell>
        </row>
      </sheetData>
      <sheetData sheetId="19"/>
      <sheetData sheetId="20">
        <row r="35">
          <cell r="B35" t="str">
            <v>Building ID</v>
          </cell>
          <cell r="C35" t="str">
            <v>Fixture_Type</v>
          </cell>
          <cell r="D35" t="str">
            <v>Fixture_Temp</v>
          </cell>
          <cell r="E35" t="str">
            <v>Percent_HW</v>
          </cell>
          <cell r="G35" t="str">
            <v>Base_Fixture_Flow</v>
          </cell>
          <cell r="H35" t="str">
            <v>Base_Total_Annual_Fixture_Consumption</v>
          </cell>
          <cell r="I35" t="str">
            <v>Base_Annual_HW_Fixture_Consumption</v>
          </cell>
          <cell r="K35" t="str">
            <v>Design_Fixture_Flow</v>
          </cell>
          <cell r="L35" t="str">
            <v>Design_Total_Annual_Fixture_Consumption</v>
          </cell>
          <cell r="M35" t="str">
            <v>Design_Annual_HW_Fixture_Consumption</v>
          </cell>
        </row>
        <row r="36">
          <cell r="B36" t="str">
            <v>Project Names</v>
          </cell>
          <cell r="I36">
            <v>0</v>
          </cell>
          <cell r="M36">
            <v>0</v>
          </cell>
        </row>
        <row r="37">
          <cell r="B37" t="str">
            <v>Project Names</v>
          </cell>
          <cell r="I37">
            <v>0</v>
          </cell>
          <cell r="M37">
            <v>0</v>
          </cell>
        </row>
        <row r="38">
          <cell r="B38" t="str">
            <v>Project Names</v>
          </cell>
          <cell r="I38">
            <v>0</v>
          </cell>
          <cell r="M38">
            <v>0</v>
          </cell>
        </row>
        <row r="39">
          <cell r="B39" t="str">
            <v>Project Names</v>
          </cell>
          <cell r="I39">
            <v>0</v>
          </cell>
          <cell r="M39">
            <v>0</v>
          </cell>
        </row>
        <row r="43">
          <cell r="B43" t="str">
            <v>Building ID</v>
          </cell>
          <cell r="C43" t="str">
            <v>DHW_EFLH</v>
          </cell>
          <cell r="D43" t="str">
            <v>DHW_Supply_Temp</v>
          </cell>
          <cell r="G43" t="str">
            <v>Base_Fixture_HW_Use</v>
          </cell>
          <cell r="H43" t="str">
            <v>Base_DHW_Heater_Use</v>
          </cell>
          <cell r="I43" t="str">
            <v>Base_Modeled_DHW_Flow</v>
          </cell>
          <cell r="K43" t="str">
            <v>Design_Fixture_HW_Use</v>
          </cell>
          <cell r="L43" t="str">
            <v>Design_DHW_Heater_Use</v>
          </cell>
          <cell r="M43" t="str">
            <v>Design_Modeled_DHW_Flow</v>
          </cell>
        </row>
        <row r="44">
          <cell r="B44" t="str">
            <v>Project Names</v>
          </cell>
          <cell r="C44">
            <v>0</v>
          </cell>
          <cell r="G44">
            <v>0</v>
          </cell>
          <cell r="H44">
            <v>0</v>
          </cell>
          <cell r="I44">
            <v>0</v>
          </cell>
          <cell r="K44">
            <v>0</v>
          </cell>
          <cell r="L44">
            <v>0</v>
          </cell>
          <cell r="M44">
            <v>0</v>
          </cell>
        </row>
      </sheetData>
      <sheetData sheetId="21"/>
      <sheetData sheetId="22">
        <row r="35">
          <cell r="M35">
            <v>0</v>
          </cell>
        </row>
      </sheetData>
      <sheetData sheetId="23"/>
      <sheetData sheetId="24"/>
      <sheetData sheetId="25"/>
      <sheetData sheetId="26"/>
      <sheetData sheetId="27"/>
      <sheetData sheetId="28">
        <row r="97">
          <cell r="B97" t="str">
            <v>Interior lighting</v>
          </cell>
          <cell r="E97" t="str">
            <v>Electricity</v>
          </cell>
          <cell r="F97" t="str">
            <v>Consumption (kWh)</v>
          </cell>
          <cell r="G97">
            <v>0</v>
          </cell>
          <cell r="H97">
            <v>0</v>
          </cell>
          <cell r="I97">
            <v>0</v>
          </cell>
          <cell r="J97">
            <v>0</v>
          </cell>
          <cell r="K97">
            <v>0</v>
          </cell>
          <cell r="Q97">
            <v>3.4120000000000001E-3</v>
          </cell>
          <cell r="R97">
            <v>1.0713680000000001E-2</v>
          </cell>
          <cell r="S97">
            <v>0</v>
          </cell>
        </row>
        <row r="98">
          <cell r="F98" t="str">
            <v>Demand (kW)</v>
          </cell>
          <cell r="G98">
            <v>0</v>
          </cell>
          <cell r="H98">
            <v>0</v>
          </cell>
          <cell r="I98">
            <v>0</v>
          </cell>
          <cell r="J98">
            <v>0</v>
          </cell>
          <cell r="K98">
            <v>0</v>
          </cell>
          <cell r="Q98">
            <v>0</v>
          </cell>
          <cell r="R98">
            <v>0</v>
          </cell>
          <cell r="S98">
            <v>0</v>
          </cell>
        </row>
        <row r="99">
          <cell r="B99" t="str">
            <v>Exterior lighting</v>
          </cell>
          <cell r="E99" t="str">
            <v>Electricity</v>
          </cell>
          <cell r="F99" t="str">
            <v>Consumption (kWh)</v>
          </cell>
          <cell r="G99">
            <v>0</v>
          </cell>
          <cell r="H99">
            <v>0</v>
          </cell>
          <cell r="I99">
            <v>0</v>
          </cell>
          <cell r="J99">
            <v>0</v>
          </cell>
          <cell r="K99">
            <v>0</v>
          </cell>
          <cell r="Q99">
            <v>3.4120000000000001E-3</v>
          </cell>
          <cell r="R99">
            <v>1.0713680000000001E-2</v>
          </cell>
          <cell r="S99">
            <v>0</v>
          </cell>
        </row>
        <row r="100">
          <cell r="F100" t="str">
            <v>Demand (kW)</v>
          </cell>
          <cell r="G100">
            <v>0</v>
          </cell>
          <cell r="H100">
            <v>0</v>
          </cell>
          <cell r="I100">
            <v>0</v>
          </cell>
          <cell r="J100">
            <v>0</v>
          </cell>
          <cell r="K100">
            <v>0</v>
          </cell>
          <cell r="Q100">
            <v>0</v>
          </cell>
          <cell r="R100">
            <v>0</v>
          </cell>
          <cell r="S100">
            <v>0</v>
          </cell>
        </row>
        <row r="101">
          <cell r="B101" t="str">
            <v>Space heating</v>
          </cell>
          <cell r="E101" t="str">
            <v>Natural Gas</v>
          </cell>
          <cell r="F101" t="str">
            <v>Consumption (therm)</v>
          </cell>
          <cell r="G101">
            <v>0</v>
          </cell>
          <cell r="H101">
            <v>0</v>
          </cell>
          <cell r="I101">
            <v>0</v>
          </cell>
          <cell r="J101">
            <v>0</v>
          </cell>
          <cell r="K101">
            <v>0</v>
          </cell>
          <cell r="Q101">
            <v>0.1</v>
          </cell>
          <cell r="R101">
            <v>0.10500000000000001</v>
          </cell>
          <cell r="S101">
            <v>0</v>
          </cell>
        </row>
        <row r="102">
          <cell r="F102" t="str">
            <v>Demand (Btuh x 10^6)</v>
          </cell>
          <cell r="G102">
            <v>0</v>
          </cell>
          <cell r="H102">
            <v>0</v>
          </cell>
          <cell r="I102">
            <v>0</v>
          </cell>
          <cell r="J102">
            <v>0</v>
          </cell>
          <cell r="K102">
            <v>0</v>
          </cell>
          <cell r="Q102">
            <v>0</v>
          </cell>
          <cell r="R102">
            <v>0</v>
          </cell>
          <cell r="S102">
            <v>0</v>
          </cell>
        </row>
        <row r="103">
          <cell r="B103" t="str">
            <v>Space cooling</v>
          </cell>
          <cell r="E103" t="str">
            <v>Electricity</v>
          </cell>
          <cell r="F103" t="str">
            <v>Consumption (kWh)</v>
          </cell>
          <cell r="G103">
            <v>0</v>
          </cell>
          <cell r="H103">
            <v>0</v>
          </cell>
          <cell r="I103">
            <v>0</v>
          </cell>
          <cell r="J103">
            <v>0</v>
          </cell>
          <cell r="K103">
            <v>0</v>
          </cell>
          <cell r="Q103">
            <v>3.4120000000000001E-3</v>
          </cell>
          <cell r="R103">
            <v>1.0713680000000001E-2</v>
          </cell>
          <cell r="S103">
            <v>0</v>
          </cell>
        </row>
        <row r="104">
          <cell r="F104" t="str">
            <v>Demand (kW)</v>
          </cell>
          <cell r="G104">
            <v>0</v>
          </cell>
          <cell r="H104">
            <v>0</v>
          </cell>
          <cell r="I104">
            <v>0</v>
          </cell>
          <cell r="J104">
            <v>0</v>
          </cell>
          <cell r="K104">
            <v>0</v>
          </cell>
          <cell r="Q104">
            <v>0</v>
          </cell>
          <cell r="R104">
            <v>0</v>
          </cell>
          <cell r="S104">
            <v>0</v>
          </cell>
        </row>
        <row r="105">
          <cell r="B105" t="str">
            <v>Pumps</v>
          </cell>
          <cell r="E105" t="str">
            <v>Electricity</v>
          </cell>
          <cell r="F105" t="str">
            <v>Consumption (kWh)</v>
          </cell>
          <cell r="G105">
            <v>0</v>
          </cell>
          <cell r="H105">
            <v>0</v>
          </cell>
          <cell r="I105">
            <v>0</v>
          </cell>
          <cell r="J105">
            <v>0</v>
          </cell>
          <cell r="K105">
            <v>0</v>
          </cell>
          <cell r="Q105">
            <v>3.4120000000000001E-3</v>
          </cell>
          <cell r="R105">
            <v>1.0713680000000001E-2</v>
          </cell>
          <cell r="S105">
            <v>0</v>
          </cell>
        </row>
        <row r="106">
          <cell r="F106" t="str">
            <v>Demand (kW)</v>
          </cell>
          <cell r="G106">
            <v>0</v>
          </cell>
          <cell r="H106">
            <v>0</v>
          </cell>
          <cell r="I106">
            <v>0</v>
          </cell>
          <cell r="J106">
            <v>0</v>
          </cell>
          <cell r="K106">
            <v>0</v>
          </cell>
          <cell r="Q106">
            <v>0</v>
          </cell>
          <cell r="R106">
            <v>0</v>
          </cell>
          <cell r="S106">
            <v>0</v>
          </cell>
        </row>
        <row r="107">
          <cell r="B107" t="str">
            <v>Heat rejection</v>
          </cell>
          <cell r="E107" t="str">
            <v>Electricity</v>
          </cell>
          <cell r="F107" t="str">
            <v>Consumption (kWh)</v>
          </cell>
          <cell r="G107">
            <v>0</v>
          </cell>
          <cell r="H107">
            <v>0</v>
          </cell>
          <cell r="I107">
            <v>0</v>
          </cell>
          <cell r="J107">
            <v>0</v>
          </cell>
          <cell r="K107">
            <v>0</v>
          </cell>
          <cell r="Q107">
            <v>3.4120000000000001E-3</v>
          </cell>
          <cell r="R107">
            <v>1.0713680000000001E-2</v>
          </cell>
          <cell r="S107">
            <v>0</v>
          </cell>
        </row>
        <row r="108">
          <cell r="F108" t="str">
            <v>Demand (kW)</v>
          </cell>
          <cell r="G108">
            <v>0</v>
          </cell>
          <cell r="H108">
            <v>0</v>
          </cell>
          <cell r="I108">
            <v>0</v>
          </cell>
          <cell r="J108">
            <v>0</v>
          </cell>
          <cell r="K108">
            <v>0</v>
          </cell>
          <cell r="Q108">
            <v>0</v>
          </cell>
          <cell r="R108">
            <v>0</v>
          </cell>
          <cell r="S108">
            <v>0</v>
          </cell>
        </row>
        <row r="109">
          <cell r="B109" t="str">
            <v>Fans - interior ventilation</v>
          </cell>
          <cell r="E109" t="str">
            <v>Electricity</v>
          </cell>
          <cell r="F109" t="str">
            <v>Consumption (kWh)</v>
          </cell>
          <cell r="G109">
            <v>0</v>
          </cell>
          <cell r="H109">
            <v>0</v>
          </cell>
          <cell r="I109">
            <v>0</v>
          </cell>
          <cell r="J109">
            <v>0</v>
          </cell>
          <cell r="K109">
            <v>0</v>
          </cell>
          <cell r="Q109">
            <v>3.4120000000000001E-3</v>
          </cell>
          <cell r="R109">
            <v>1.0713680000000001E-2</v>
          </cell>
          <cell r="S109">
            <v>0</v>
          </cell>
        </row>
        <row r="110">
          <cell r="F110" t="str">
            <v>Demand (kW)</v>
          </cell>
          <cell r="G110">
            <v>0</v>
          </cell>
          <cell r="H110">
            <v>0</v>
          </cell>
          <cell r="I110">
            <v>0</v>
          </cell>
          <cell r="J110">
            <v>0</v>
          </cell>
          <cell r="K110">
            <v>0</v>
          </cell>
          <cell r="Q110">
            <v>0</v>
          </cell>
          <cell r="R110">
            <v>0</v>
          </cell>
          <cell r="S110">
            <v>0</v>
          </cell>
        </row>
        <row r="111">
          <cell r="B111" t="str">
            <v>Fans - parking garage</v>
          </cell>
          <cell r="D111" t="str">
            <v>x</v>
          </cell>
          <cell r="E111" t="str">
            <v>Electricity</v>
          </cell>
          <cell r="F111" t="str">
            <v>Consumption (kWh)</v>
          </cell>
          <cell r="G111">
            <v>0</v>
          </cell>
          <cell r="H111">
            <v>0</v>
          </cell>
          <cell r="I111">
            <v>0</v>
          </cell>
          <cell r="J111">
            <v>0</v>
          </cell>
          <cell r="K111">
            <v>0</v>
          </cell>
          <cell r="Q111">
            <v>3.4120000000000001E-3</v>
          </cell>
          <cell r="R111">
            <v>1.0713680000000001E-2</v>
          </cell>
          <cell r="S111">
            <v>0</v>
          </cell>
        </row>
        <row r="112">
          <cell r="F112" t="str">
            <v>Demand (kW)</v>
          </cell>
          <cell r="G112">
            <v>0</v>
          </cell>
          <cell r="H112">
            <v>0</v>
          </cell>
          <cell r="I112">
            <v>0</v>
          </cell>
          <cell r="J112">
            <v>0</v>
          </cell>
          <cell r="K112">
            <v>0</v>
          </cell>
          <cell r="Q112">
            <v>0</v>
          </cell>
          <cell r="R112">
            <v>0</v>
          </cell>
          <cell r="S112">
            <v>0</v>
          </cell>
        </row>
        <row r="113">
          <cell r="B113" t="str">
            <v>Service water heating</v>
          </cell>
          <cell r="E113" t="str">
            <v>Natural Gas</v>
          </cell>
          <cell r="F113" t="str">
            <v>Consumption (therm)</v>
          </cell>
          <cell r="G113">
            <v>0</v>
          </cell>
          <cell r="H113">
            <v>0</v>
          </cell>
          <cell r="I113">
            <v>0</v>
          </cell>
          <cell r="J113">
            <v>0</v>
          </cell>
          <cell r="K113">
            <v>0</v>
          </cell>
          <cell r="Q113">
            <v>0.1</v>
          </cell>
          <cell r="R113">
            <v>0.10500000000000001</v>
          </cell>
          <cell r="S113">
            <v>0</v>
          </cell>
        </row>
        <row r="114">
          <cell r="F114" t="str">
            <v>Demand (Btuh x 10^6)</v>
          </cell>
          <cell r="G114">
            <v>0</v>
          </cell>
          <cell r="H114">
            <v>0</v>
          </cell>
          <cell r="I114">
            <v>0</v>
          </cell>
          <cell r="J114">
            <v>0</v>
          </cell>
          <cell r="K114">
            <v>0</v>
          </cell>
          <cell r="Q114">
            <v>0</v>
          </cell>
          <cell r="R114">
            <v>0</v>
          </cell>
          <cell r="S114">
            <v>0</v>
          </cell>
        </row>
        <row r="115">
          <cell r="B115" t="str">
            <v>Receptacle equipment</v>
          </cell>
          <cell r="D115" t="str">
            <v>x</v>
          </cell>
          <cell r="E115" t="str">
            <v>Electricity</v>
          </cell>
          <cell r="F115" t="str">
            <v>Consumption (kWh)</v>
          </cell>
          <cell r="G115">
            <v>0</v>
          </cell>
          <cell r="H115">
            <v>0</v>
          </cell>
          <cell r="I115">
            <v>0</v>
          </cell>
          <cell r="J115">
            <v>0</v>
          </cell>
          <cell r="K115">
            <v>0</v>
          </cell>
          <cell r="Q115">
            <v>3.4120000000000001E-3</v>
          </cell>
          <cell r="R115">
            <v>1.0713680000000001E-2</v>
          </cell>
          <cell r="S115">
            <v>0</v>
          </cell>
        </row>
        <row r="116">
          <cell r="F116" t="str">
            <v>Demand (kW)</v>
          </cell>
          <cell r="G116">
            <v>0</v>
          </cell>
          <cell r="H116">
            <v>0</v>
          </cell>
          <cell r="I116">
            <v>0</v>
          </cell>
          <cell r="J116">
            <v>0</v>
          </cell>
          <cell r="K116">
            <v>0</v>
          </cell>
          <cell r="Q116">
            <v>0</v>
          </cell>
          <cell r="R116">
            <v>0</v>
          </cell>
          <cell r="S116">
            <v>0</v>
          </cell>
        </row>
        <row r="117">
          <cell r="B117" t="str">
            <v>IT equipment</v>
          </cell>
          <cell r="D117" t="str">
            <v>x</v>
          </cell>
          <cell r="E117" t="str">
            <v>Electricity</v>
          </cell>
          <cell r="F117" t="str">
            <v>Consumption (kWh)</v>
          </cell>
          <cell r="G117">
            <v>0</v>
          </cell>
          <cell r="H117">
            <v>0</v>
          </cell>
          <cell r="I117">
            <v>0</v>
          </cell>
          <cell r="J117">
            <v>0</v>
          </cell>
          <cell r="K117">
            <v>0</v>
          </cell>
          <cell r="Q117">
            <v>3.4120000000000001E-3</v>
          </cell>
          <cell r="R117">
            <v>1.0713680000000001E-2</v>
          </cell>
          <cell r="S117">
            <v>0</v>
          </cell>
        </row>
        <row r="118">
          <cell r="F118" t="str">
            <v>Demand (kW)</v>
          </cell>
          <cell r="G118">
            <v>0</v>
          </cell>
          <cell r="H118">
            <v>0</v>
          </cell>
          <cell r="I118">
            <v>0</v>
          </cell>
          <cell r="J118">
            <v>0</v>
          </cell>
          <cell r="K118">
            <v>0</v>
          </cell>
          <cell r="Q118">
            <v>0</v>
          </cell>
          <cell r="R118">
            <v>0</v>
          </cell>
          <cell r="S118">
            <v>0</v>
          </cell>
        </row>
        <row r="119">
          <cell r="B119" t="str">
            <v>Interior lighting - process</v>
          </cell>
          <cell r="D119" t="str">
            <v>x</v>
          </cell>
          <cell r="E119" t="str">
            <v>Electricity</v>
          </cell>
          <cell r="F119" t="str">
            <v>Consumption (kWh)</v>
          </cell>
          <cell r="G119">
            <v>0</v>
          </cell>
          <cell r="H119">
            <v>0</v>
          </cell>
          <cell r="I119">
            <v>0</v>
          </cell>
          <cell r="J119">
            <v>0</v>
          </cell>
          <cell r="K119">
            <v>0</v>
          </cell>
          <cell r="Q119">
            <v>3.4120000000000001E-3</v>
          </cell>
          <cell r="R119">
            <v>1.0713680000000001E-2</v>
          </cell>
          <cell r="S119">
            <v>0</v>
          </cell>
        </row>
        <row r="120">
          <cell r="F120" t="str">
            <v>Demand (kW)</v>
          </cell>
          <cell r="G120">
            <v>0</v>
          </cell>
          <cell r="H120">
            <v>0</v>
          </cell>
          <cell r="I120">
            <v>0</v>
          </cell>
          <cell r="J120">
            <v>0</v>
          </cell>
          <cell r="K120">
            <v>0</v>
          </cell>
          <cell r="Q120">
            <v>0</v>
          </cell>
          <cell r="R120">
            <v>0</v>
          </cell>
          <cell r="S120">
            <v>0</v>
          </cell>
        </row>
        <row r="121">
          <cell r="B121" t="str">
            <v>Refrigeration equipment</v>
          </cell>
          <cell r="D121" t="str">
            <v>x</v>
          </cell>
          <cell r="E121" t="str">
            <v>Electricity</v>
          </cell>
          <cell r="F121" t="str">
            <v>Consumption (kWh)</v>
          </cell>
          <cell r="G121">
            <v>0</v>
          </cell>
          <cell r="H121">
            <v>0</v>
          </cell>
          <cell r="I121">
            <v>0</v>
          </cell>
          <cell r="J121">
            <v>0</v>
          </cell>
          <cell r="K121">
            <v>0</v>
          </cell>
          <cell r="Q121">
            <v>3.4120000000000001E-3</v>
          </cell>
          <cell r="R121">
            <v>1.0713680000000001E-2</v>
          </cell>
          <cell r="S121">
            <v>0</v>
          </cell>
        </row>
        <row r="122">
          <cell r="F122" t="str">
            <v>Demand (kW)</v>
          </cell>
          <cell r="G122">
            <v>0</v>
          </cell>
          <cell r="H122">
            <v>0</v>
          </cell>
          <cell r="I122">
            <v>0</v>
          </cell>
          <cell r="J122">
            <v>0</v>
          </cell>
          <cell r="K122">
            <v>0</v>
          </cell>
          <cell r="Q122">
            <v>0</v>
          </cell>
          <cell r="R122">
            <v>0</v>
          </cell>
          <cell r="S122">
            <v>0</v>
          </cell>
        </row>
        <row r="123">
          <cell r="B123" t="str">
            <v>Fans - Kitchen Ventilation</v>
          </cell>
          <cell r="D123" t="str">
            <v>x</v>
          </cell>
          <cell r="E123" t="str">
            <v>Electricity</v>
          </cell>
          <cell r="F123" t="str">
            <v>Consumption (kWh)</v>
          </cell>
          <cell r="G123">
            <v>0</v>
          </cell>
          <cell r="H123">
            <v>0</v>
          </cell>
          <cell r="I123">
            <v>0</v>
          </cell>
          <cell r="J123">
            <v>0</v>
          </cell>
          <cell r="K123">
            <v>0</v>
          </cell>
          <cell r="Q123">
            <v>3.4120000000000001E-3</v>
          </cell>
          <cell r="R123">
            <v>1.0713680000000001E-2</v>
          </cell>
          <cell r="S123">
            <v>0</v>
          </cell>
        </row>
        <row r="124">
          <cell r="F124" t="str">
            <v>Demand (kW)</v>
          </cell>
          <cell r="G124">
            <v>0</v>
          </cell>
          <cell r="H124">
            <v>0</v>
          </cell>
          <cell r="I124">
            <v>0</v>
          </cell>
          <cell r="J124">
            <v>0</v>
          </cell>
          <cell r="K124">
            <v>0</v>
          </cell>
          <cell r="Q124">
            <v>0</v>
          </cell>
          <cell r="R124">
            <v>0</v>
          </cell>
          <cell r="S124">
            <v>0</v>
          </cell>
        </row>
        <row r="125">
          <cell r="B125" t="str">
            <v>Cooking</v>
          </cell>
          <cell r="D125" t="str">
            <v>x</v>
          </cell>
          <cell r="E125" t="str">
            <v>Electricity</v>
          </cell>
          <cell r="F125" t="str">
            <v>Consumption (kWh)</v>
          </cell>
          <cell r="G125">
            <v>0</v>
          </cell>
          <cell r="H125">
            <v>0</v>
          </cell>
          <cell r="I125">
            <v>0</v>
          </cell>
          <cell r="J125">
            <v>0</v>
          </cell>
          <cell r="K125">
            <v>0</v>
          </cell>
          <cell r="Q125">
            <v>3.4120000000000001E-3</v>
          </cell>
          <cell r="R125">
            <v>1.0713680000000001E-2</v>
          </cell>
          <cell r="S125">
            <v>0</v>
          </cell>
        </row>
        <row r="126">
          <cell r="F126" t="str">
            <v>Demand (kW)</v>
          </cell>
          <cell r="G126">
            <v>0</v>
          </cell>
          <cell r="H126">
            <v>0</v>
          </cell>
          <cell r="I126">
            <v>0</v>
          </cell>
          <cell r="J126">
            <v>0</v>
          </cell>
          <cell r="K126">
            <v>0</v>
          </cell>
          <cell r="Q126">
            <v>0</v>
          </cell>
          <cell r="R126">
            <v>0</v>
          </cell>
          <cell r="S126">
            <v>0</v>
          </cell>
        </row>
        <row r="127">
          <cell r="B127" t="str">
            <v>Industrial Process</v>
          </cell>
          <cell r="D127" t="str">
            <v>x</v>
          </cell>
          <cell r="E127" t="str">
            <v>Electricity</v>
          </cell>
          <cell r="F127" t="str">
            <v>Consumption (kWh)</v>
          </cell>
          <cell r="G127">
            <v>0</v>
          </cell>
          <cell r="H127">
            <v>0</v>
          </cell>
          <cell r="I127">
            <v>0</v>
          </cell>
          <cell r="J127">
            <v>0</v>
          </cell>
          <cell r="K127">
            <v>0</v>
          </cell>
          <cell r="Q127">
            <v>3.4120000000000001E-3</v>
          </cell>
          <cell r="R127">
            <v>1.0713680000000001E-2</v>
          </cell>
          <cell r="S127">
            <v>0</v>
          </cell>
        </row>
        <row r="128">
          <cell r="F128" t="str">
            <v>Demand (kW)</v>
          </cell>
          <cell r="G128">
            <v>0</v>
          </cell>
          <cell r="H128">
            <v>0</v>
          </cell>
          <cell r="I128">
            <v>0</v>
          </cell>
          <cell r="J128">
            <v>0</v>
          </cell>
          <cell r="K128">
            <v>0</v>
          </cell>
          <cell r="Q128">
            <v>0</v>
          </cell>
          <cell r="R128">
            <v>0</v>
          </cell>
          <cell r="S128">
            <v>0</v>
          </cell>
        </row>
        <row r="129">
          <cell r="B129" t="str">
            <v>Elevators and escalators</v>
          </cell>
          <cell r="D129" t="str">
            <v>x</v>
          </cell>
          <cell r="E129" t="str">
            <v>Electricity</v>
          </cell>
          <cell r="F129" t="str">
            <v>Consumption (kWh)</v>
          </cell>
          <cell r="G129">
            <v>0</v>
          </cell>
          <cell r="H129">
            <v>0</v>
          </cell>
          <cell r="I129">
            <v>0</v>
          </cell>
          <cell r="J129">
            <v>0</v>
          </cell>
          <cell r="K129">
            <v>0</v>
          </cell>
          <cell r="Q129">
            <v>3.4120000000000001E-3</v>
          </cell>
          <cell r="R129">
            <v>1.0713680000000001E-2</v>
          </cell>
          <cell r="S129">
            <v>0</v>
          </cell>
        </row>
        <row r="130">
          <cell r="F130" t="str">
            <v>Demand (kW)</v>
          </cell>
          <cell r="G130">
            <v>0</v>
          </cell>
          <cell r="H130">
            <v>0</v>
          </cell>
          <cell r="I130">
            <v>0</v>
          </cell>
          <cell r="J130">
            <v>0</v>
          </cell>
          <cell r="K130">
            <v>0</v>
          </cell>
          <cell r="Q130">
            <v>0</v>
          </cell>
          <cell r="R130">
            <v>0</v>
          </cell>
          <cell r="S130">
            <v>0</v>
          </cell>
        </row>
        <row r="131">
          <cell r="B131" t="str">
            <v>Heat Pump Supplementary</v>
          </cell>
          <cell r="E131" t="str">
            <v>Electricity</v>
          </cell>
          <cell r="F131" t="str">
            <v>Consumption (kWh)</v>
          </cell>
          <cell r="G131">
            <v>0</v>
          </cell>
          <cell r="H131">
            <v>0</v>
          </cell>
          <cell r="I131">
            <v>0</v>
          </cell>
          <cell r="J131">
            <v>0</v>
          </cell>
          <cell r="K131">
            <v>0</v>
          </cell>
          <cell r="Q131">
            <v>3.4120000000000001E-3</v>
          </cell>
          <cell r="R131">
            <v>1.0713680000000001E-2</v>
          </cell>
          <cell r="S131">
            <v>0</v>
          </cell>
        </row>
        <row r="132">
          <cell r="F132" t="str">
            <v>Demand (kW)</v>
          </cell>
          <cell r="G132">
            <v>0</v>
          </cell>
          <cell r="H132">
            <v>0</v>
          </cell>
          <cell r="I132">
            <v>0</v>
          </cell>
          <cell r="J132">
            <v>0</v>
          </cell>
          <cell r="K132">
            <v>0</v>
          </cell>
          <cell r="Q132">
            <v>0</v>
          </cell>
          <cell r="R132">
            <v>0</v>
          </cell>
          <cell r="S132">
            <v>0</v>
          </cell>
        </row>
        <row r="133">
          <cell r="B133" t="str">
            <v>Space Heating</v>
          </cell>
          <cell r="E133" t="str">
            <v>Electricity</v>
          </cell>
          <cell r="F133" t="str">
            <v>Consumption (kWh)</v>
          </cell>
          <cell r="G133">
            <v>0</v>
          </cell>
          <cell r="H133">
            <v>0</v>
          </cell>
          <cell r="I133">
            <v>0</v>
          </cell>
          <cell r="J133">
            <v>0</v>
          </cell>
          <cell r="K133">
            <v>0</v>
          </cell>
          <cell r="Q133">
            <v>3.4120000000000001E-3</v>
          </cell>
          <cell r="R133">
            <v>1.0713680000000001E-2</v>
          </cell>
          <cell r="S133">
            <v>0</v>
          </cell>
        </row>
        <row r="134">
          <cell r="F134" t="str">
            <v>Demand (kW)</v>
          </cell>
          <cell r="G134">
            <v>0</v>
          </cell>
          <cell r="H134">
            <v>0</v>
          </cell>
          <cell r="I134">
            <v>0</v>
          </cell>
          <cell r="J134">
            <v>0</v>
          </cell>
          <cell r="K134">
            <v>0</v>
          </cell>
          <cell r="Q134">
            <v>0</v>
          </cell>
          <cell r="R134">
            <v>0</v>
          </cell>
          <cell r="S134">
            <v>0</v>
          </cell>
        </row>
        <row r="135">
          <cell r="B135" t="str">
            <v>Misc Equipment (Gas)</v>
          </cell>
          <cell r="D135" t="str">
            <v>x</v>
          </cell>
          <cell r="E135" t="str">
            <v>Natural Gas</v>
          </cell>
          <cell r="F135" t="str">
            <v>Consumption (therm)</v>
          </cell>
          <cell r="G135">
            <v>0</v>
          </cell>
          <cell r="H135">
            <v>0</v>
          </cell>
          <cell r="I135">
            <v>0</v>
          </cell>
          <cell r="J135">
            <v>0</v>
          </cell>
          <cell r="K135">
            <v>0</v>
          </cell>
          <cell r="Q135">
            <v>0.1</v>
          </cell>
          <cell r="R135">
            <v>0.10500000000000001</v>
          </cell>
          <cell r="S135">
            <v>0</v>
          </cell>
        </row>
        <row r="136">
          <cell r="F136" t="str">
            <v>Demand (Btuh x 10^6)</v>
          </cell>
          <cell r="G136">
            <v>0</v>
          </cell>
          <cell r="H136">
            <v>0</v>
          </cell>
          <cell r="I136">
            <v>0</v>
          </cell>
          <cell r="J136">
            <v>0</v>
          </cell>
          <cell r="K136">
            <v>0</v>
          </cell>
          <cell r="Q136">
            <v>0</v>
          </cell>
          <cell r="R136">
            <v>0</v>
          </cell>
          <cell r="S136">
            <v>0</v>
          </cell>
        </row>
        <row r="137">
          <cell r="B137" t="str">
            <v>Auxilary (Gas)</v>
          </cell>
          <cell r="E137" t="str">
            <v>Natural Gas</v>
          </cell>
          <cell r="F137" t="str">
            <v>Consumption (therm)</v>
          </cell>
          <cell r="G137">
            <v>0</v>
          </cell>
          <cell r="H137">
            <v>0</v>
          </cell>
          <cell r="I137">
            <v>0</v>
          </cell>
          <cell r="J137">
            <v>0</v>
          </cell>
          <cell r="K137">
            <v>0</v>
          </cell>
          <cell r="Q137">
            <v>0.1</v>
          </cell>
          <cell r="R137">
            <v>0.10500000000000001</v>
          </cell>
          <cell r="S137">
            <v>0</v>
          </cell>
        </row>
        <row r="138">
          <cell r="F138" t="str">
            <v>Demand (Btuh x 10^6)</v>
          </cell>
          <cell r="G138">
            <v>0</v>
          </cell>
          <cell r="H138">
            <v>0</v>
          </cell>
          <cell r="I138">
            <v>0</v>
          </cell>
          <cell r="J138">
            <v>0</v>
          </cell>
          <cell r="K138">
            <v>0</v>
          </cell>
          <cell r="Q138">
            <v>0</v>
          </cell>
          <cell r="R138">
            <v>0</v>
          </cell>
          <cell r="S138">
            <v>0</v>
          </cell>
        </row>
        <row r="139">
          <cell r="F139">
            <v>0</v>
          </cell>
          <cell r="G139">
            <v>0</v>
          </cell>
          <cell r="H139">
            <v>0</v>
          </cell>
          <cell r="I139">
            <v>0</v>
          </cell>
          <cell r="J139">
            <v>0</v>
          </cell>
          <cell r="K139">
            <v>0</v>
          </cell>
          <cell r="Q139">
            <v>0</v>
          </cell>
          <cell r="R139">
            <v>0</v>
          </cell>
          <cell r="S139">
            <v>0</v>
          </cell>
        </row>
        <row r="140">
          <cell r="F140">
            <v>0</v>
          </cell>
          <cell r="G140">
            <v>0</v>
          </cell>
          <cell r="H140">
            <v>0</v>
          </cell>
          <cell r="I140">
            <v>0</v>
          </cell>
          <cell r="J140">
            <v>0</v>
          </cell>
          <cell r="K140">
            <v>0</v>
          </cell>
          <cell r="Q140">
            <v>0</v>
          </cell>
          <cell r="R140">
            <v>0</v>
          </cell>
          <cell r="S140">
            <v>0</v>
          </cell>
        </row>
        <row r="141">
          <cell r="F141">
            <v>0</v>
          </cell>
          <cell r="G141">
            <v>0</v>
          </cell>
          <cell r="H141">
            <v>0</v>
          </cell>
          <cell r="I141">
            <v>0</v>
          </cell>
          <cell r="J141">
            <v>0</v>
          </cell>
          <cell r="K141">
            <v>0</v>
          </cell>
          <cell r="Q141">
            <v>0</v>
          </cell>
          <cell r="R141">
            <v>0</v>
          </cell>
          <cell r="S141">
            <v>0</v>
          </cell>
        </row>
        <row r="142">
          <cell r="F142">
            <v>0</v>
          </cell>
          <cell r="G142">
            <v>0</v>
          </cell>
          <cell r="H142">
            <v>0</v>
          </cell>
          <cell r="I142">
            <v>0</v>
          </cell>
          <cell r="J142">
            <v>0</v>
          </cell>
          <cell r="K142">
            <v>0</v>
          </cell>
          <cell r="Q142">
            <v>0</v>
          </cell>
          <cell r="R142">
            <v>0</v>
          </cell>
          <cell r="S142">
            <v>0</v>
          </cell>
        </row>
        <row r="143">
          <cell r="F143">
            <v>0</v>
          </cell>
          <cell r="G143">
            <v>0</v>
          </cell>
          <cell r="H143">
            <v>0</v>
          </cell>
          <cell r="I143">
            <v>0</v>
          </cell>
          <cell r="J143">
            <v>0</v>
          </cell>
          <cell r="K143">
            <v>0</v>
          </cell>
          <cell r="Q143">
            <v>0</v>
          </cell>
          <cell r="R143">
            <v>0</v>
          </cell>
          <cell r="S143">
            <v>0</v>
          </cell>
        </row>
        <row r="144">
          <cell r="F144">
            <v>0</v>
          </cell>
          <cell r="G144">
            <v>0</v>
          </cell>
          <cell r="H144">
            <v>0</v>
          </cell>
          <cell r="I144">
            <v>0</v>
          </cell>
          <cell r="J144">
            <v>0</v>
          </cell>
          <cell r="K144">
            <v>0</v>
          </cell>
          <cell r="Q144">
            <v>0</v>
          </cell>
          <cell r="R144">
            <v>0</v>
          </cell>
          <cell r="S144">
            <v>0</v>
          </cell>
        </row>
        <row r="171">
          <cell r="AC171">
            <v>1</v>
          </cell>
          <cell r="AD171" t="str">
            <v>Interior lighting</v>
          </cell>
        </row>
        <row r="173">
          <cell r="AC173">
            <v>2</v>
          </cell>
          <cell r="AD173" t="str">
            <v>Exterior lighting</v>
          </cell>
        </row>
        <row r="175">
          <cell r="AC175">
            <v>3</v>
          </cell>
          <cell r="AD175" t="str">
            <v>Space heating</v>
          </cell>
        </row>
        <row r="177">
          <cell r="AC177">
            <v>4</v>
          </cell>
          <cell r="AD177" t="str">
            <v>Space cooling</v>
          </cell>
        </row>
        <row r="179">
          <cell r="AC179">
            <v>5</v>
          </cell>
          <cell r="AD179" t="str">
            <v>Pumps</v>
          </cell>
        </row>
        <row r="181">
          <cell r="AC181">
            <v>6</v>
          </cell>
          <cell r="AD181" t="str">
            <v>Heat rejection</v>
          </cell>
        </row>
        <row r="183">
          <cell r="AC183">
            <v>7</v>
          </cell>
          <cell r="AD183" t="str">
            <v>Fans - interior ventilation</v>
          </cell>
        </row>
        <row r="185">
          <cell r="AC185">
            <v>8</v>
          </cell>
          <cell r="AD185" t="str">
            <v>Fans - parking garage</v>
          </cell>
        </row>
        <row r="187">
          <cell r="AC187">
            <v>9</v>
          </cell>
          <cell r="AD187" t="str">
            <v>Service water heating</v>
          </cell>
        </row>
        <row r="189">
          <cell r="AC189">
            <v>10</v>
          </cell>
          <cell r="AD189" t="str">
            <v>Receptacle equipment</v>
          </cell>
        </row>
        <row r="191">
          <cell r="AC191">
            <v>11</v>
          </cell>
          <cell r="AD191" t="str">
            <v>IT equipment</v>
          </cell>
        </row>
        <row r="193">
          <cell r="AC193">
            <v>12</v>
          </cell>
          <cell r="AD193" t="str">
            <v>Interior lighting - process</v>
          </cell>
        </row>
        <row r="195">
          <cell r="AC195">
            <v>13</v>
          </cell>
          <cell r="AD195" t="str">
            <v>Refrigeration equipment</v>
          </cell>
        </row>
        <row r="197">
          <cell r="AC197">
            <v>14</v>
          </cell>
          <cell r="AD197" t="str">
            <v>Fans - Kitchen Ventilation</v>
          </cell>
        </row>
        <row r="199">
          <cell r="AC199">
            <v>15</v>
          </cell>
          <cell r="AD199" t="str">
            <v>Cooking</v>
          </cell>
        </row>
        <row r="201">
          <cell r="AC201">
            <v>16</v>
          </cell>
          <cell r="AD201" t="str">
            <v>Industrial Process</v>
          </cell>
        </row>
        <row r="203">
          <cell r="AC203">
            <v>17</v>
          </cell>
          <cell r="AD203" t="str">
            <v>Elevators and escalators</v>
          </cell>
        </row>
        <row r="205">
          <cell r="AC205">
            <v>18</v>
          </cell>
          <cell r="AD205" t="str">
            <v>Heat Pump Supplementary</v>
          </cell>
        </row>
        <row r="207">
          <cell r="AC207">
            <v>19</v>
          </cell>
          <cell r="AD207" t="str">
            <v>Space Heating</v>
          </cell>
        </row>
        <row r="209">
          <cell r="AC209">
            <v>20</v>
          </cell>
          <cell r="AD209" t="str">
            <v>Misc Equipment (Gas)</v>
          </cell>
        </row>
        <row r="211">
          <cell r="AC211">
            <v>21</v>
          </cell>
          <cell r="AD211" t="str">
            <v>Auxilary (Gas)</v>
          </cell>
        </row>
        <row r="213">
          <cell r="AC213">
            <v>22</v>
          </cell>
          <cell r="AD213">
            <v>0</v>
          </cell>
        </row>
        <row r="215">
          <cell r="AC215">
            <v>23</v>
          </cell>
          <cell r="AD215">
            <v>0</v>
          </cell>
        </row>
        <row r="217">
          <cell r="AC217">
            <v>24</v>
          </cell>
          <cell r="AD217">
            <v>0</v>
          </cell>
        </row>
      </sheetData>
      <sheetData sheetId="29"/>
      <sheetData sheetId="30">
        <row r="8">
          <cell r="AA8" t="str">
            <v>All capacities</v>
          </cell>
        </row>
        <row r="10">
          <cell r="A10" t="str">
            <v>System 1 - PTAC</v>
          </cell>
          <cell r="B10" t="str">
            <v>System 1 - PTAC</v>
          </cell>
          <cell r="C10" t="str">
            <v>System 1 (District Cooling) - 4-pipe CV Fan Coil with HW Boiler</v>
          </cell>
          <cell r="D10" t="str">
            <v>System 1 (District Heating) - PTAC</v>
          </cell>
          <cell r="E10" t="str">
            <v>System 1 (District Heating &amp; Cooling) - 4-pipe CV Fan Coil</v>
          </cell>
          <cell r="F10" t="str">
            <v>Describe the California Title-24 Baseline System Type</v>
          </cell>
          <cell r="G10">
            <v>1</v>
          </cell>
          <cell r="H10" t="str">
            <v>System 1 - PTAC</v>
          </cell>
          <cell r="I10" t="str">
            <v>System 1 - PTAC</v>
          </cell>
          <cell r="K10">
            <v>2.9999999999999997E-4</v>
          </cell>
          <cell r="L10">
            <v>6.4000000000000005E-4</v>
          </cell>
          <cell r="M10">
            <v>0</v>
          </cell>
          <cell r="N10">
            <v>0</v>
          </cell>
          <cell r="O10">
            <v>0</v>
          </cell>
          <cell r="Q10">
            <v>0</v>
          </cell>
          <cell r="R10">
            <v>0</v>
          </cell>
          <cell r="T10">
            <v>0.82499999999999996</v>
          </cell>
          <cell r="U10">
            <v>0.90424242424242429</v>
          </cell>
        </row>
        <row r="11">
          <cell r="A11" t="str">
            <v>System 2 - PTHP</v>
          </cell>
          <cell r="B11" t="str">
            <v>System 2 - PTHP</v>
          </cell>
          <cell r="C11" t="str">
            <v>System 2 (District Cooling) - 4-pipe CV Fan Coil with HW Boiler</v>
          </cell>
          <cell r="D11">
            <v>0</v>
          </cell>
          <cell r="E11">
            <v>0</v>
          </cell>
          <cell r="F11">
            <v>0</v>
          </cell>
          <cell r="G11">
            <v>2</v>
          </cell>
          <cell r="H11" t="str">
            <v>System 2 - PTHP</v>
          </cell>
          <cell r="I11" t="str">
            <v>System 2 - PTHP</v>
          </cell>
          <cell r="K11">
            <v>2.9999999999999997E-4</v>
          </cell>
          <cell r="L11">
            <v>6.4000000000000005E-4</v>
          </cell>
          <cell r="M11">
            <v>0</v>
          </cell>
          <cell r="N11">
            <v>0</v>
          </cell>
          <cell r="O11">
            <v>0</v>
          </cell>
          <cell r="Q11">
            <v>1</v>
          </cell>
          <cell r="R11">
            <v>0.8</v>
          </cell>
          <cell r="S11">
            <v>0.82499999999999996</v>
          </cell>
          <cell r="T11">
            <v>0.84</v>
          </cell>
          <cell r="U11">
            <v>0.88809523809523816</v>
          </cell>
        </row>
        <row r="12">
          <cell r="A12" t="str">
            <v>System 3 - PSZ-AC</v>
          </cell>
          <cell r="B12" t="str">
            <v>System 3 - PSZ-AC</v>
          </cell>
          <cell r="C12" t="str">
            <v>System 3 (District Cooling) - 2-pipe CV AHU with Fossil Fuel Furnace</v>
          </cell>
          <cell r="D12" t="str">
            <v>System 3 (District Heating) - PSZ-AC with District Heating</v>
          </cell>
          <cell r="E12" t="str">
            <v>System 3 (District Heating &amp; Cooling) - 4-pipe CV AHU</v>
          </cell>
          <cell r="F12">
            <v>0</v>
          </cell>
          <cell r="G12">
            <v>3</v>
          </cell>
          <cell r="H12" t="str">
            <v>System 3 - PSZ-AC</v>
          </cell>
          <cell r="I12" t="str">
            <v>System 3 - PSZ-AC</v>
          </cell>
          <cell r="K12">
            <v>9.3999999999999997E-4</v>
          </cell>
          <cell r="L12">
            <v>1.5E-3</v>
          </cell>
          <cell r="M12">
            <v>1</v>
          </cell>
          <cell r="N12">
            <v>1</v>
          </cell>
          <cell r="O12">
            <v>0</v>
          </cell>
          <cell r="Q12">
            <v>1.5</v>
          </cell>
          <cell r="R12">
            <v>1.1000000000000001</v>
          </cell>
          <cell r="S12">
            <v>0.84</v>
          </cell>
          <cell r="T12">
            <v>0.84</v>
          </cell>
          <cell r="U12">
            <v>0.88809523809523816</v>
          </cell>
        </row>
        <row r="13">
          <cell r="A13" t="str">
            <v>System 4 - PSZ-HP</v>
          </cell>
          <cell r="B13" t="str">
            <v>System 4 - PSZ-HP</v>
          </cell>
          <cell r="C13" t="str">
            <v>System 4 (District Cooling) - 2-pipe CV AHU with Fossil Fuel Furnace</v>
          </cell>
          <cell r="D13">
            <v>0</v>
          </cell>
          <cell r="E13">
            <v>0</v>
          </cell>
          <cell r="F13">
            <v>0</v>
          </cell>
          <cell r="G13">
            <v>4</v>
          </cell>
          <cell r="H13" t="str">
            <v>System 4 - PSZ-HP</v>
          </cell>
          <cell r="I13" t="str">
            <v>System 4 - PSZ-HP</v>
          </cell>
          <cell r="K13">
            <v>9.3999999999999997E-4</v>
          </cell>
          <cell r="L13">
            <v>1.5E-3</v>
          </cell>
          <cell r="M13">
            <v>1</v>
          </cell>
          <cell r="N13">
            <v>1</v>
          </cell>
          <cell r="O13">
            <v>0</v>
          </cell>
          <cell r="Q13">
            <v>2</v>
          </cell>
          <cell r="R13">
            <v>1.5</v>
          </cell>
          <cell r="S13">
            <v>0.84</v>
          </cell>
          <cell r="T13">
            <v>0.875</v>
          </cell>
          <cell r="U13">
            <v>0.85257142857142854</v>
          </cell>
        </row>
        <row r="14">
          <cell r="A14" t="str">
            <v>System 5 - Packaged VAV with Reheat</v>
          </cell>
          <cell r="B14" t="str">
            <v>System 5 - Packaged VAV with Reheat</v>
          </cell>
          <cell r="C14" t="str">
            <v>System 5 (District Cooling) - Change to System 7 - VAV with Reheat</v>
          </cell>
          <cell r="D14" t="str">
            <v>System 5 (District Heating) - Packaged VAV with Reheat</v>
          </cell>
          <cell r="E14" t="str">
            <v>System 5 (District Heating &amp; Cooling) - Change to System 7 - VAV with Reheat</v>
          </cell>
          <cell r="F14">
            <v>0</v>
          </cell>
          <cell r="G14">
            <v>5</v>
          </cell>
          <cell r="H14" t="str">
            <v>System 5 - Packaged VAV with Reheat</v>
          </cell>
          <cell r="I14" t="str">
            <v>System 5 - Packaged VAV with Reheat</v>
          </cell>
          <cell r="K14">
            <v>1.2999999999999999E-3</v>
          </cell>
          <cell r="L14">
            <v>2.0999999999999999E-3</v>
          </cell>
          <cell r="M14">
            <v>1</v>
          </cell>
          <cell r="N14">
            <v>1</v>
          </cell>
          <cell r="O14">
            <v>0</v>
          </cell>
          <cell r="Q14">
            <v>3</v>
          </cell>
          <cell r="R14">
            <v>2.2000000000000002</v>
          </cell>
          <cell r="S14">
            <v>0.86499999999999999</v>
          </cell>
          <cell r="T14">
            <v>0.875</v>
          </cell>
          <cell r="U14">
            <v>0.85257142857142854</v>
          </cell>
        </row>
        <row r="15">
          <cell r="A15" t="str">
            <v>System 6 - Packaged VAV with PFP Boxes</v>
          </cell>
          <cell r="B15" t="str">
            <v>System 6 - Packaged VAV with PFP Boxes</v>
          </cell>
          <cell r="C15" t="str">
            <v>System 6 (District Cooling) - Change to System 8 - VAV with PFP Boxes</v>
          </cell>
          <cell r="D15">
            <v>0</v>
          </cell>
          <cell r="E15">
            <v>0</v>
          </cell>
          <cell r="F15">
            <v>0</v>
          </cell>
          <cell r="G15">
            <v>6</v>
          </cell>
          <cell r="H15" t="str">
            <v>System 6 - Packaged VAV with PFP Boxes</v>
          </cell>
          <cell r="I15" t="str">
            <v>System 6 - Packaged VAV with PFP Boxes</v>
          </cell>
          <cell r="K15">
            <v>1.2999999999999999E-3</v>
          </cell>
          <cell r="L15">
            <v>2.0999999999999999E-3</v>
          </cell>
          <cell r="M15">
            <v>1</v>
          </cell>
          <cell r="N15">
            <v>1</v>
          </cell>
          <cell r="O15">
            <v>0</v>
          </cell>
          <cell r="Q15">
            <v>5</v>
          </cell>
          <cell r="R15">
            <v>3.7</v>
          </cell>
          <cell r="S15">
            <v>0.875</v>
          </cell>
          <cell r="T15">
            <v>0.89500000000000002</v>
          </cell>
          <cell r="U15">
            <v>0.83351955307262571</v>
          </cell>
        </row>
        <row r="16">
          <cell r="A16" t="str">
            <v>System 7 - VAV with Reheat</v>
          </cell>
          <cell r="B16" t="str">
            <v>System 7 - VAV with Reheat</v>
          </cell>
          <cell r="C16" t="str">
            <v>System 7 (District Cooling) - VAV with Reheat</v>
          </cell>
          <cell r="D16" t="str">
            <v>System 7 (District Heating) - VAV with Reheat</v>
          </cell>
          <cell r="E16" t="str">
            <v>System 7 (District Heating &amp; Cooling) - VAV with Reheat</v>
          </cell>
          <cell r="F16">
            <v>0</v>
          </cell>
          <cell r="G16">
            <v>7</v>
          </cell>
          <cell r="H16" t="str">
            <v>System 7 - VAV with Reheat</v>
          </cell>
          <cell r="I16" t="str">
            <v>System 7 - VAV with Reheat</v>
          </cell>
          <cell r="K16">
            <v>1.2999999999999999E-3</v>
          </cell>
          <cell r="L16">
            <v>2.0999999999999999E-3</v>
          </cell>
          <cell r="M16">
            <v>1</v>
          </cell>
          <cell r="N16">
            <v>1</v>
          </cell>
          <cell r="O16">
            <v>0</v>
          </cell>
          <cell r="Q16">
            <v>7.5</v>
          </cell>
          <cell r="R16">
            <v>5.6</v>
          </cell>
          <cell r="S16">
            <v>0.88500000000000001</v>
          </cell>
          <cell r="T16">
            <v>0.89500000000000002</v>
          </cell>
          <cell r="U16">
            <v>0.83351955307262571</v>
          </cell>
          <cell r="AA16" t="str">
            <v>&lt;65,000 Btu/h</v>
          </cell>
        </row>
        <row r="17">
          <cell r="A17" t="str">
            <v>System 8 - VAV with PFP Boxes</v>
          </cell>
          <cell r="B17" t="str">
            <v>System 8 - VAV with PFP Boxes</v>
          </cell>
          <cell r="C17" t="str">
            <v>System 8 (District Cooling) - VAV with PFP Boxes</v>
          </cell>
          <cell r="D17">
            <v>0</v>
          </cell>
          <cell r="E17">
            <v>0</v>
          </cell>
          <cell r="F17">
            <v>0</v>
          </cell>
          <cell r="G17">
            <v>8</v>
          </cell>
          <cell r="H17" t="str">
            <v>System 8 - VAV with PFP Boxes</v>
          </cell>
          <cell r="I17" t="str">
            <v>System 8 - VAV with PFP Boxes</v>
          </cell>
          <cell r="K17">
            <v>1.2999999999999999E-3</v>
          </cell>
          <cell r="L17">
            <v>2.0999999999999999E-3</v>
          </cell>
          <cell r="M17">
            <v>1</v>
          </cell>
          <cell r="N17">
            <v>1</v>
          </cell>
          <cell r="O17">
            <v>0</v>
          </cell>
          <cell r="Q17">
            <v>10</v>
          </cell>
          <cell r="R17">
            <v>7.5</v>
          </cell>
          <cell r="S17">
            <v>0.89500000000000002</v>
          </cell>
          <cell r="T17">
            <v>0.91</v>
          </cell>
          <cell r="U17">
            <v>0.81978021978021975</v>
          </cell>
          <cell r="AA17" t="str">
            <v>≥65,000 Btu/h and
&lt;135,000 Btu/h</v>
          </cell>
        </row>
        <row r="18">
          <cell r="A18" t="str">
            <v>System 9 - Heating and Ventilation</v>
          </cell>
          <cell r="B18" t="str">
            <v>System 9 - Heating and Ventilation</v>
          </cell>
          <cell r="C18" t="str">
            <v>System 9 - Heating and Ventilation</v>
          </cell>
          <cell r="D18" t="str">
            <v>System 9 (District Heating) - Heating and Ventilation</v>
          </cell>
          <cell r="E18" t="str">
            <v>System 9 (District Heating) - Heating and Ventilation</v>
          </cell>
          <cell r="F18">
            <v>0</v>
          </cell>
          <cell r="G18">
            <v>9</v>
          </cell>
          <cell r="H18" t="str">
            <v>System 9 - Heating and Ventilation</v>
          </cell>
          <cell r="I18" t="str">
            <v>System 9 - Heating and Ventilation</v>
          </cell>
          <cell r="K18">
            <v>2.9999999999999997E-4</v>
          </cell>
          <cell r="L18">
            <v>6.4000000000000005E-4</v>
          </cell>
          <cell r="M18">
            <v>0</v>
          </cell>
          <cell r="N18">
            <v>0</v>
          </cell>
          <cell r="O18">
            <v>1</v>
          </cell>
          <cell r="Q18">
            <v>15</v>
          </cell>
          <cell r="R18">
            <v>11.1</v>
          </cell>
          <cell r="S18">
            <v>0.91</v>
          </cell>
          <cell r="T18">
            <v>0.91</v>
          </cell>
          <cell r="U18">
            <v>0.81978021978021975</v>
          </cell>
          <cell r="AA18" t="str">
            <v>≥135,000 Btu/h and
&lt;240,000 Btu/h</v>
          </cell>
        </row>
        <row r="19">
          <cell r="A19" t="str">
            <v>System 10 - Heating and Ventilation</v>
          </cell>
          <cell r="B19" t="str">
            <v>System 10 - Heating and Ventilation</v>
          </cell>
          <cell r="C19" t="str">
            <v>System 10 - Heating and Ventilation</v>
          </cell>
          <cell r="D19">
            <v>0</v>
          </cell>
          <cell r="E19">
            <v>0</v>
          </cell>
          <cell r="F19">
            <v>0</v>
          </cell>
          <cell r="G19">
            <v>10</v>
          </cell>
          <cell r="H19" t="str">
            <v>System 10 - Heating and Ventilation</v>
          </cell>
          <cell r="I19" t="str">
            <v>System 10 - Heating and Ventilation</v>
          </cell>
          <cell r="K19">
            <v>2.9999999999999997E-4</v>
          </cell>
          <cell r="L19">
            <v>6.4000000000000005E-4</v>
          </cell>
          <cell r="M19">
            <v>0</v>
          </cell>
          <cell r="N19">
            <v>0</v>
          </cell>
          <cell r="O19">
            <v>1</v>
          </cell>
          <cell r="Q19">
            <v>20</v>
          </cell>
          <cell r="R19">
            <v>14.9</v>
          </cell>
          <cell r="S19">
            <v>0.91</v>
          </cell>
          <cell r="T19">
            <v>0.92400000000000004</v>
          </cell>
          <cell r="U19">
            <v>0.80735930735930728</v>
          </cell>
          <cell r="AA19" t="str">
            <v>≥240,000 Btu/h</v>
          </cell>
        </row>
        <row r="20">
          <cell r="A20" t="str">
            <v>System 11 - SZ-VAV</v>
          </cell>
          <cell r="B20" t="str">
            <v>System 11 - SZ-VAV</v>
          </cell>
          <cell r="C20" t="str">
            <v>System 11 (District Cooling) - SZ-VAV</v>
          </cell>
          <cell r="D20" t="str">
            <v>System 11 (District Heating) - SZ-VAV</v>
          </cell>
          <cell r="E20" t="str">
            <v>System 11 (District Heating &amp; Cooling) - SZ-VAV</v>
          </cell>
          <cell r="F20">
            <v>0</v>
          </cell>
          <cell r="G20">
            <v>11</v>
          </cell>
          <cell r="H20" t="str">
            <v>System 11 - SZ-VAV</v>
          </cell>
          <cell r="I20" t="str">
            <v>System 11 - SZ-VAV</v>
          </cell>
          <cell r="K20">
            <v>6.2E-4</v>
          </cell>
          <cell r="L20">
            <v>1.3226666666666669E-3</v>
          </cell>
          <cell r="M20">
            <v>1</v>
          </cell>
          <cell r="N20">
            <v>1</v>
          </cell>
          <cell r="O20">
            <v>0</v>
          </cell>
          <cell r="Q20">
            <v>25</v>
          </cell>
          <cell r="R20">
            <v>18.7</v>
          </cell>
          <cell r="S20">
            <v>0.91700000000000004</v>
          </cell>
          <cell r="T20">
            <v>0.92400000000000004</v>
          </cell>
          <cell r="U20">
            <v>0.80735930735930728</v>
          </cell>
          <cell r="AA20" t="str">
            <v>&lt;65,000 Btu/h</v>
          </cell>
        </row>
        <row r="21">
          <cell r="A21" t="str">
            <v>System 12 - SZ-CV-HW</v>
          </cell>
          <cell r="B21" t="str">
            <v>System 12 - SZ-CV-HW</v>
          </cell>
          <cell r="C21" t="str">
            <v>System 12 (District Cooling) - SZ-CV-HW</v>
          </cell>
          <cell r="D21" t="str">
            <v>System 12 (District Heating) - SZ-CV-HW</v>
          </cell>
          <cell r="E21" t="str">
            <v>System 12 (District Heating &amp; Cooling) - SZ-CV-HW</v>
          </cell>
          <cell r="F21">
            <v>0</v>
          </cell>
          <cell r="G21">
            <v>12</v>
          </cell>
          <cell r="H21" t="str">
            <v>System 12 - SZ-CV-HW</v>
          </cell>
          <cell r="I21" t="str">
            <v>System 12 - SZ-CV-HW</v>
          </cell>
          <cell r="K21">
            <v>2.9999999999999997E-4</v>
          </cell>
          <cell r="L21">
            <v>6.4000000000000005E-4</v>
          </cell>
          <cell r="M21">
            <v>1</v>
          </cell>
          <cell r="N21">
            <v>1</v>
          </cell>
          <cell r="O21">
            <v>0</v>
          </cell>
          <cell r="Q21">
            <v>30</v>
          </cell>
          <cell r="R21">
            <v>22.4</v>
          </cell>
          <cell r="S21">
            <v>0.92400000000000004</v>
          </cell>
          <cell r="T21">
            <v>0.93</v>
          </cell>
          <cell r="U21">
            <v>0.80215053763440858</v>
          </cell>
          <cell r="AA21" t="str">
            <v>≥65,000 Btu/h and
&lt;135,000 Btu/h</v>
          </cell>
        </row>
        <row r="22">
          <cell r="A22" t="str">
            <v>System 13 - SZ-CV-ER</v>
          </cell>
          <cell r="B22" t="str">
            <v>System 13 - SZ-CV-ER</v>
          </cell>
          <cell r="C22" t="str">
            <v>System 13 (District Cooling) - SZ-CV-ER</v>
          </cell>
          <cell r="D22" t="str">
            <v>System 13 (District Heating) - SZ-CV-ER</v>
          </cell>
          <cell r="E22" t="str">
            <v>System 13 (District Heating &amp; Cooling) - SZ-CV-ER</v>
          </cell>
          <cell r="F22">
            <v>0</v>
          </cell>
          <cell r="G22">
            <v>13</v>
          </cell>
          <cell r="H22" t="str">
            <v>System 13 - SZ-CV-ER</v>
          </cell>
          <cell r="I22" t="str">
            <v>System 13 - SZ-CV-ER</v>
          </cell>
          <cell r="K22">
            <v>2.9999999999999997E-4</v>
          </cell>
          <cell r="L22">
            <v>6.4000000000000005E-4</v>
          </cell>
          <cell r="M22">
            <v>1</v>
          </cell>
          <cell r="N22">
            <v>1</v>
          </cell>
          <cell r="O22">
            <v>0</v>
          </cell>
          <cell r="Q22">
            <v>40</v>
          </cell>
          <cell r="R22">
            <v>29.8</v>
          </cell>
          <cell r="S22">
            <v>0.93</v>
          </cell>
          <cell r="T22">
            <v>0.93</v>
          </cell>
          <cell r="U22">
            <v>0.80215053763440858</v>
          </cell>
          <cell r="AA22" t="str">
            <v>≥135,000 Btu/h and
&lt;240,000 Btu/h</v>
          </cell>
        </row>
        <row r="23">
          <cell r="C23" t="str">
            <v>System 1 - PTAC</v>
          </cell>
          <cell r="D23" t="str">
            <v>System 1 - PTAC</v>
          </cell>
          <cell r="E23" t="str">
            <v>System 1 - PTAC</v>
          </cell>
          <cell r="F23">
            <v>0</v>
          </cell>
          <cell r="G23">
            <v>1</v>
          </cell>
          <cell r="K23">
            <v>2.9999999999999997E-4</v>
          </cell>
          <cell r="L23">
            <v>6.4000000000000005E-4</v>
          </cell>
          <cell r="M23">
            <v>0</v>
          </cell>
          <cell r="N23">
            <v>0</v>
          </cell>
          <cell r="O23">
            <v>0</v>
          </cell>
          <cell r="Q23">
            <v>50</v>
          </cell>
          <cell r="R23">
            <v>37.299999999999997</v>
          </cell>
          <cell r="S23">
            <v>0.93</v>
          </cell>
          <cell r="T23">
            <v>0.93600000000000005</v>
          </cell>
          <cell r="U23">
            <v>0.79700854700854695</v>
          </cell>
          <cell r="AA23" t="str">
            <v>≥240,000 Btu/h and
&lt;760,000 Btu/h</v>
          </cell>
        </row>
        <row r="24">
          <cell r="C24" t="str">
            <v>System 2 - PTHP</v>
          </cell>
          <cell r="D24" t="str">
            <v>System 2 - PTHP</v>
          </cell>
          <cell r="E24" t="str">
            <v>System 2 - PTHP</v>
          </cell>
          <cell r="F24">
            <v>0</v>
          </cell>
          <cell r="G24">
            <v>2</v>
          </cell>
          <cell r="K24">
            <v>2.9999999999999997E-4</v>
          </cell>
          <cell r="L24">
            <v>6.4000000000000005E-4</v>
          </cell>
          <cell r="M24">
            <v>0</v>
          </cell>
          <cell r="N24">
            <v>0</v>
          </cell>
          <cell r="O24">
            <v>0</v>
          </cell>
          <cell r="Q24">
            <v>60</v>
          </cell>
          <cell r="R24">
            <v>44.8</v>
          </cell>
          <cell r="S24">
            <v>0.93600000000000005</v>
          </cell>
          <cell r="T24">
            <v>0.94099999999999995</v>
          </cell>
          <cell r="U24">
            <v>0.7927736450584485</v>
          </cell>
          <cell r="AA24" t="str">
            <v>≥760,000 Btu/h</v>
          </cell>
        </row>
        <row r="25">
          <cell r="C25" t="str">
            <v>System 3 - PSZ-AC</v>
          </cell>
          <cell r="D25" t="str">
            <v>System 3 - PSZ-AC</v>
          </cell>
          <cell r="E25" t="str">
            <v>System 3 - PSZ-AC</v>
          </cell>
          <cell r="F25">
            <v>0</v>
          </cell>
          <cell r="G25">
            <v>3</v>
          </cell>
          <cell r="K25">
            <v>9.3999999999999997E-4</v>
          </cell>
          <cell r="L25">
            <v>1.5E-3</v>
          </cell>
          <cell r="M25">
            <v>1</v>
          </cell>
          <cell r="N25">
            <v>1</v>
          </cell>
          <cell r="O25">
            <v>0</v>
          </cell>
          <cell r="Q25">
            <v>75</v>
          </cell>
          <cell r="R25">
            <v>56</v>
          </cell>
          <cell r="S25">
            <v>0.94099999999999995</v>
          </cell>
          <cell r="T25">
            <v>0.94499999999999995</v>
          </cell>
          <cell r="U25">
            <v>0.78941798941798946</v>
          </cell>
        </row>
        <row r="26">
          <cell r="A26">
            <v>0</v>
          </cell>
          <cell r="B26">
            <v>0</v>
          </cell>
          <cell r="C26" t="str">
            <v>System 4 - PSZ-HP</v>
          </cell>
          <cell r="D26" t="str">
            <v>System 4 - PSZ-HP</v>
          </cell>
          <cell r="E26" t="str">
            <v>System 4 - PSZ-HP</v>
          </cell>
          <cell r="F26">
            <v>0</v>
          </cell>
          <cell r="G26">
            <v>4</v>
          </cell>
          <cell r="H26">
            <v>0</v>
          </cell>
          <cell r="I26">
            <v>0</v>
          </cell>
          <cell r="K26">
            <v>9.3999999999999997E-4</v>
          </cell>
          <cell r="L26">
            <v>1.5E-3</v>
          </cell>
          <cell r="M26">
            <v>1</v>
          </cell>
          <cell r="N26">
            <v>1</v>
          </cell>
          <cell r="O26">
            <v>0</v>
          </cell>
          <cell r="Q26">
            <v>100</v>
          </cell>
          <cell r="R26">
            <v>74.599999999999994</v>
          </cell>
          <cell r="S26">
            <v>0.94099999999999995</v>
          </cell>
          <cell r="T26">
            <v>0.94499999999999995</v>
          </cell>
          <cell r="U26">
            <v>0.78941798941798946</v>
          </cell>
        </row>
        <row r="27">
          <cell r="A27">
            <v>0</v>
          </cell>
          <cell r="B27">
            <v>0</v>
          </cell>
          <cell r="C27" t="str">
            <v>System 5 - Packaged VAV with Reheat</v>
          </cell>
          <cell r="D27" t="str">
            <v>System 5 - Packaged VAV with Reheat</v>
          </cell>
          <cell r="E27" t="str">
            <v>System 5 - Packaged VAV with Reheat</v>
          </cell>
          <cell r="F27">
            <v>0</v>
          </cell>
          <cell r="G27">
            <v>5</v>
          </cell>
          <cell r="H27">
            <v>0</v>
          </cell>
          <cell r="I27">
            <v>0</v>
          </cell>
          <cell r="K27">
            <v>1.2999999999999999E-3</v>
          </cell>
          <cell r="L27">
            <v>2.0999999999999999E-3</v>
          </cell>
          <cell r="M27">
            <v>1</v>
          </cell>
          <cell r="N27">
            <v>1</v>
          </cell>
          <cell r="O27">
            <v>0</v>
          </cell>
          <cell r="Q27">
            <v>125</v>
          </cell>
          <cell r="R27">
            <v>93.3</v>
          </cell>
          <cell r="S27">
            <v>0.94499999999999995</v>
          </cell>
          <cell r="T27">
            <v>0.95</v>
          </cell>
          <cell r="U27">
            <v>0.78526315789473689</v>
          </cell>
        </row>
        <row r="28">
          <cell r="A28">
            <v>0</v>
          </cell>
          <cell r="B28">
            <v>0</v>
          </cell>
          <cell r="C28" t="str">
            <v>System 6 - Packaged VAV with PFP Boxes</v>
          </cell>
          <cell r="D28" t="str">
            <v>System 6 - Packaged VAV with PFP Boxes</v>
          </cell>
          <cell r="E28" t="str">
            <v>System 6 - Packaged VAV with PFP Boxes</v>
          </cell>
          <cell r="F28">
            <v>0</v>
          </cell>
          <cell r="G28">
            <v>6</v>
          </cell>
          <cell r="H28">
            <v>0</v>
          </cell>
          <cell r="I28">
            <v>0</v>
          </cell>
          <cell r="K28">
            <v>1.2999999999999999E-3</v>
          </cell>
          <cell r="L28">
            <v>2.0999999999999999E-3</v>
          </cell>
          <cell r="M28">
            <v>1</v>
          </cell>
          <cell r="N28">
            <v>1</v>
          </cell>
          <cell r="O28">
            <v>0</v>
          </cell>
          <cell r="Q28">
            <v>150</v>
          </cell>
          <cell r="R28">
            <v>111.9</v>
          </cell>
          <cell r="S28">
            <v>0.95</v>
          </cell>
          <cell r="T28">
            <v>0.95</v>
          </cell>
          <cell r="U28">
            <v>0.78526315789473689</v>
          </cell>
        </row>
        <row r="29">
          <cell r="A29">
            <v>0</v>
          </cell>
          <cell r="B29">
            <v>0</v>
          </cell>
          <cell r="C29" t="str">
            <v>System 7 - VAV with Reheat</v>
          </cell>
          <cell r="D29" t="str">
            <v>System 7 - VAV with Reheat</v>
          </cell>
          <cell r="E29" t="str">
            <v>System 7 - VAV with Reheat</v>
          </cell>
          <cell r="F29">
            <v>0</v>
          </cell>
          <cell r="G29">
            <v>7</v>
          </cell>
          <cell r="H29">
            <v>0</v>
          </cell>
          <cell r="I29">
            <v>0</v>
          </cell>
          <cell r="K29">
            <v>1.2999999999999999E-3</v>
          </cell>
          <cell r="L29">
            <v>2.0999999999999999E-3</v>
          </cell>
          <cell r="M29">
            <v>1</v>
          </cell>
          <cell r="N29">
            <v>1</v>
          </cell>
          <cell r="O29">
            <v>0</v>
          </cell>
          <cell r="Q29">
            <v>200</v>
          </cell>
          <cell r="R29">
            <v>149.19999999999999</v>
          </cell>
          <cell r="S29">
            <v>0.95</v>
          </cell>
          <cell r="T29">
            <v>0.95</v>
          </cell>
          <cell r="U29">
            <v>0.78526315789473689</v>
          </cell>
        </row>
        <row r="30">
          <cell r="A30">
            <v>0</v>
          </cell>
          <cell r="B30">
            <v>0</v>
          </cell>
          <cell r="C30" t="str">
            <v>System 8 - VAV with PFP Boxes</v>
          </cell>
          <cell r="D30" t="str">
            <v>System 8 - VAV with PFP Boxes</v>
          </cell>
          <cell r="E30" t="str">
            <v>System 8 - VAV with PFP Boxes</v>
          </cell>
          <cell r="F30">
            <v>0</v>
          </cell>
          <cell r="G30">
            <v>8</v>
          </cell>
          <cell r="H30">
            <v>0</v>
          </cell>
          <cell r="I30">
            <v>0</v>
          </cell>
          <cell r="K30">
            <v>1.2999999999999999E-3</v>
          </cell>
          <cell r="L30">
            <v>2.0999999999999999E-3</v>
          </cell>
          <cell r="M30">
            <v>1</v>
          </cell>
          <cell r="N30">
            <v>1</v>
          </cell>
          <cell r="O30">
            <v>0</v>
          </cell>
        </row>
        <row r="31">
          <cell r="A31">
            <v>0</v>
          </cell>
          <cell r="B31">
            <v>0</v>
          </cell>
          <cell r="D31" t="str">
            <v>System 9 - Heating and Ventilation</v>
          </cell>
          <cell r="E31" t="str">
            <v>System 9 - Heating and Ventilation</v>
          </cell>
          <cell r="F31">
            <v>0</v>
          </cell>
          <cell r="G31">
            <v>9</v>
          </cell>
          <cell r="H31">
            <v>0</v>
          </cell>
          <cell r="I31">
            <v>0</v>
          </cell>
          <cell r="K31">
            <v>2.9999999999999997E-4</v>
          </cell>
          <cell r="L31">
            <v>6.4000000000000005E-4</v>
          </cell>
          <cell r="M31">
            <v>0</v>
          </cell>
          <cell r="N31">
            <v>0</v>
          </cell>
          <cell r="O31">
            <v>1</v>
          </cell>
        </row>
        <row r="32">
          <cell r="A32">
            <v>0</v>
          </cell>
          <cell r="B32">
            <v>0</v>
          </cell>
          <cell r="D32" t="str">
            <v>System 10 - Heating and Ventilation</v>
          </cell>
          <cell r="E32" t="str">
            <v>System 10 - Heating and Ventilation</v>
          </cell>
          <cell r="F32">
            <v>0</v>
          </cell>
          <cell r="G32">
            <v>10</v>
          </cell>
          <cell r="H32">
            <v>0</v>
          </cell>
          <cell r="I32">
            <v>0</v>
          </cell>
          <cell r="K32">
            <v>2.9999999999999997E-4</v>
          </cell>
          <cell r="L32">
            <v>6.4000000000000005E-4</v>
          </cell>
          <cell r="M32">
            <v>0</v>
          </cell>
          <cell r="N32">
            <v>0</v>
          </cell>
          <cell r="O32">
            <v>1</v>
          </cell>
        </row>
        <row r="33">
          <cell r="C33" t="str">
            <v>System 11 - SZ-VAV</v>
          </cell>
          <cell r="D33" t="str">
            <v>System 11 - SZ-VAV</v>
          </cell>
          <cell r="E33" t="str">
            <v>System 11 - SZ-VAV</v>
          </cell>
          <cell r="G33">
            <v>11</v>
          </cell>
          <cell r="K33">
            <v>6.2E-4</v>
          </cell>
          <cell r="L33">
            <v>1.32E-3</v>
          </cell>
          <cell r="M33">
            <v>1</v>
          </cell>
          <cell r="N33">
            <v>1</v>
          </cell>
          <cell r="O33">
            <v>0</v>
          </cell>
          <cell r="AA33" t="str">
            <v>All capacities</v>
          </cell>
        </row>
        <row r="34">
          <cell r="C34" t="str">
            <v>System 12 - SZ-CV-HW</v>
          </cell>
          <cell r="D34" t="str">
            <v>System 12 - SZ-CV-HW</v>
          </cell>
          <cell r="E34" t="str">
            <v>System 12 - SZ-CV-HW</v>
          </cell>
          <cell r="G34">
            <v>12</v>
          </cell>
          <cell r="K34">
            <v>2.9999999999999997E-4</v>
          </cell>
          <cell r="L34">
            <v>6.4000000000000005E-4</v>
          </cell>
          <cell r="M34">
            <v>1</v>
          </cell>
          <cell r="N34">
            <v>1</v>
          </cell>
          <cell r="O34">
            <v>0</v>
          </cell>
          <cell r="AA34" t="str">
            <v>All capacities</v>
          </cell>
        </row>
        <row r="35">
          <cell r="C35" t="str">
            <v>System 13 - SZ-CV-ER</v>
          </cell>
          <cell r="D35" t="str">
            <v>System 13 - SZ-CV-ER</v>
          </cell>
          <cell r="E35" t="str">
            <v>System 13 - SZ-CV-ER</v>
          </cell>
          <cell r="G35">
            <v>13</v>
          </cell>
          <cell r="K35">
            <v>2.9999999999999997E-4</v>
          </cell>
          <cell r="L35">
            <v>6.4000000000000005E-4</v>
          </cell>
          <cell r="M35">
            <v>1</v>
          </cell>
          <cell r="N35">
            <v>1</v>
          </cell>
          <cell r="O35">
            <v>0</v>
          </cell>
          <cell r="AA35" t="str">
            <v>&lt;225,000 Btu/h</v>
          </cell>
        </row>
        <row r="36">
          <cell r="AA36" t="str">
            <v>≥225,000 Btu/h</v>
          </cell>
        </row>
        <row r="37">
          <cell r="AA37" t="str">
            <v>&lt;65,000 Btu/h
(cooling capacity)</v>
          </cell>
        </row>
        <row r="38">
          <cell r="AA38" t="str">
            <v>≥65,000 Btu/h and
&lt;135,000 Btu/h
(cooling capacity)
47°F db/43°F wb
outdoor air</v>
          </cell>
        </row>
        <row r="39">
          <cell r="AA39" t="str">
            <v>≥135,000 Btu/h
(cooling capacity)
47°F db/43°F wb
outdoor air</v>
          </cell>
        </row>
      </sheetData>
      <sheetData sheetId="31"/>
      <sheetData sheetId="32"/>
      <sheetData sheetId="33"/>
      <sheetData sheetId="34"/>
      <sheetData sheetId="35"/>
      <sheetData sheetId="36"/>
      <sheetData sheetId="37">
        <row r="60">
          <cell r="B60">
            <v>0</v>
          </cell>
          <cell r="C60">
            <v>0</v>
          </cell>
          <cell r="D60">
            <v>1</v>
          </cell>
          <cell r="E60" t="str">
            <v>Screw</v>
          </cell>
          <cell r="F60">
            <v>5.5819999999999999</v>
          </cell>
          <cell r="G60">
            <v>0.1791472590469366</v>
          </cell>
          <cell r="H60">
            <v>1.2514333333333332E-2</v>
          </cell>
          <cell r="K60">
            <v>9.0103199999999987E-3</v>
          </cell>
          <cell r="L60">
            <v>3.2423500000000001E-2</v>
          </cell>
          <cell r="O60">
            <v>1.4070931355439208E-2</v>
          </cell>
          <cell r="P60">
            <v>0.24716634373570912</v>
          </cell>
          <cell r="Q60">
            <v>4.0458582867143251</v>
          </cell>
        </row>
        <row r="61">
          <cell r="B61">
            <v>65.217391304347828</v>
          </cell>
          <cell r="C61">
            <v>229.56521739130437</v>
          </cell>
          <cell r="D61">
            <v>1</v>
          </cell>
          <cell r="E61" t="str">
            <v>Screw</v>
          </cell>
          <cell r="F61">
            <v>5.718</v>
          </cell>
          <cell r="G61">
            <v>0.17488632388947184</v>
          </cell>
          <cell r="H61">
            <v>1.2514333333333332E-2</v>
          </cell>
          <cell r="K61">
            <v>9.0103199999999987E-3</v>
          </cell>
          <cell r="L61">
            <v>3.2423500000000001E-2</v>
          </cell>
          <cell r="O61">
            <v>1.4070931355439208E-2</v>
          </cell>
          <cell r="P61">
            <v>0.24290540857824436</v>
          </cell>
          <cell r="Q61">
            <v>4.1168288752939866</v>
          </cell>
        </row>
        <row r="62">
          <cell r="B62">
            <v>130.43478260869566</v>
          </cell>
          <cell r="C62">
            <v>459.13043478260875</v>
          </cell>
          <cell r="D62">
            <v>1</v>
          </cell>
          <cell r="E62" t="str">
            <v>Screw</v>
          </cell>
          <cell r="F62">
            <v>6.0640000000000001</v>
          </cell>
          <cell r="G62">
            <v>0.16490765171503957</v>
          </cell>
          <cell r="H62">
            <v>1.2514333333333332E-2</v>
          </cell>
          <cell r="K62">
            <v>9.0103199999999987E-3</v>
          </cell>
          <cell r="L62">
            <v>3.2423500000000001E-2</v>
          </cell>
          <cell r="O62">
            <v>1.4070931355439208E-2</v>
          </cell>
          <cell r="P62">
            <v>0.23292673640381209</v>
          </cell>
          <cell r="Q62">
            <v>4.2931954289109848</v>
          </cell>
        </row>
        <row r="63">
          <cell r="B63">
            <v>260.86956521739131</v>
          </cell>
          <cell r="C63">
            <v>917.39130434782612</v>
          </cell>
          <cell r="D63">
            <v>2</v>
          </cell>
          <cell r="E63" t="str">
            <v>Screw</v>
          </cell>
          <cell r="F63">
            <v>6.0640000000000001</v>
          </cell>
          <cell r="G63">
            <v>0.16490765171503957</v>
          </cell>
          <cell r="H63">
            <v>6.2571666666666661E-3</v>
          </cell>
          <cell r="I63">
            <v>2.5028666666666662E-3</v>
          </cell>
          <cell r="K63">
            <v>5.2560199999999993E-3</v>
          </cell>
          <cell r="L63">
            <v>1.621175E-2</v>
          </cell>
          <cell r="M63">
            <v>6.4846999999999995E-3</v>
          </cell>
          <cell r="O63">
            <v>1.4070931355439208E-2</v>
          </cell>
          <cell r="P63">
            <v>0.21569108640381213</v>
          </cell>
          <cell r="Q63">
            <v>4.6362602028338893</v>
          </cell>
        </row>
        <row r="64">
          <cell r="B64">
            <v>521.73913043478262</v>
          </cell>
          <cell r="C64">
            <v>1834.7826086956522</v>
          </cell>
          <cell r="D64">
            <v>2</v>
          </cell>
          <cell r="E64" t="str">
            <v>Centrifugal</v>
          </cell>
          <cell r="F64">
            <v>5.9009999999999998</v>
          </cell>
          <cell r="G64">
            <v>0.16946280291476021</v>
          </cell>
          <cell r="H64">
            <v>6.2571666666666661E-3</v>
          </cell>
          <cell r="I64">
            <v>2.5028666666666662E-3</v>
          </cell>
          <cell r="K64">
            <v>5.2560199999999993E-3</v>
          </cell>
          <cell r="L64">
            <v>1.621175E-2</v>
          </cell>
          <cell r="M64">
            <v>6.4846999999999995E-3</v>
          </cell>
          <cell r="O64">
            <v>1.4070931355439208E-2</v>
          </cell>
          <cell r="P64">
            <v>0.22024623760353276</v>
          </cell>
          <cell r="Q64">
            <v>4.5403726796010426</v>
          </cell>
        </row>
        <row r="65">
          <cell r="B65">
            <v>1043.4782608695652</v>
          </cell>
          <cell r="C65">
            <v>3669.5652173913045</v>
          </cell>
          <cell r="D65">
            <v>3</v>
          </cell>
          <cell r="E65" t="str">
            <v>Centrifugal</v>
          </cell>
          <cell r="F65">
            <v>6.4059999999999997</v>
          </cell>
          <cell r="G65">
            <v>0.15610365282547611</v>
          </cell>
          <cell r="H65">
            <v>4.1714444444444438E-3</v>
          </cell>
          <cell r="I65">
            <v>2.0857222222222219E-3</v>
          </cell>
          <cell r="J65">
            <v>8.3428888888888891E-4</v>
          </cell>
          <cell r="K65">
            <v>5.2560199999999993E-3</v>
          </cell>
          <cell r="L65">
            <v>1.0807833333333332E-2</v>
          </cell>
          <cell r="M65">
            <v>5.4039166666666662E-3</v>
          </cell>
          <cell r="N65">
            <v>2.1615666666666665E-3</v>
          </cell>
          <cell r="O65">
            <v>1.4070931355439208E-2</v>
          </cell>
          <cell r="P65">
            <v>0.20089537640313757</v>
          </cell>
          <cell r="Q65">
            <v>4.977715355645099</v>
          </cell>
        </row>
        <row r="73">
          <cell r="C73">
            <v>4.977715355645099</v>
          </cell>
        </row>
        <row r="116">
          <cell r="B116">
            <v>0</v>
          </cell>
          <cell r="C116">
            <v>0</v>
          </cell>
          <cell r="D116">
            <v>0.8</v>
          </cell>
          <cell r="E116">
            <v>0.8</v>
          </cell>
          <cell r="F116">
            <v>3.7373760000000002E-3</v>
          </cell>
          <cell r="G116">
            <v>0.8</v>
          </cell>
          <cell r="H116">
            <v>0.8</v>
          </cell>
          <cell r="I116">
            <v>267.5674055808139</v>
          </cell>
        </row>
        <row r="117">
          <cell r="B117">
            <v>240000</v>
          </cell>
          <cell r="C117">
            <v>88</v>
          </cell>
          <cell r="D117">
            <v>0.8</v>
          </cell>
          <cell r="E117">
            <v>0.82</v>
          </cell>
          <cell r="F117">
            <v>2.1801360000000001E-3</v>
          </cell>
          <cell r="G117">
            <v>0.8</v>
          </cell>
          <cell r="H117">
            <v>0.82</v>
          </cell>
          <cell r="I117">
            <v>458.68698099568098</v>
          </cell>
        </row>
        <row r="118">
          <cell r="B118">
            <v>2000000</v>
          </cell>
          <cell r="C118">
            <v>733</v>
          </cell>
          <cell r="D118">
            <v>0.82</v>
          </cell>
          <cell r="E118">
            <v>0.84</v>
          </cell>
          <cell r="F118">
            <v>2.1801360000000001E-3</v>
          </cell>
          <cell r="G118">
            <v>0.82</v>
          </cell>
          <cell r="H118">
            <v>0.84</v>
          </cell>
          <cell r="I118">
            <v>458.68698099568098</v>
          </cell>
        </row>
        <row r="126">
          <cell r="C126">
            <v>0.84</v>
          </cell>
          <cell r="F126">
            <v>458.68698099568098</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ultifamily Details"/>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QC Checklist"/>
      <sheetName val="Envelope Lookup"/>
      <sheetName val="1 - Opaque Envelope"/>
      <sheetName val="LookUp"/>
      <sheetName val="2 - Shading &amp; Fenestration"/>
      <sheetName val="3A - Interior Lighting"/>
      <sheetName val="3B - LPD by Space Type"/>
      <sheetName val="LPD-Space by Space"/>
      <sheetName val="Lighting Lookup"/>
      <sheetName val="3C - Exterior Lighting"/>
      <sheetName val="4 - Equipment"/>
      <sheetName val="5 - Service Water Heating"/>
      <sheetName val="6 - General HVAC"/>
      <sheetName val="7 - Air-Side HVAC Details"/>
      <sheetName val="Air-Side DataBank"/>
      <sheetName val="8 - Water-Side HVAC Details"/>
      <sheetName val="9 - QC"/>
      <sheetName val="HVAC Lookup"/>
      <sheetName val="Revision Log"/>
    </sheetNames>
    <sheetDataSet>
      <sheetData sheetId="0" refreshError="1"/>
      <sheetData sheetId="1" refreshError="1"/>
      <sheetData sheetId="2" refreshError="1"/>
      <sheetData sheetId="3" refreshError="1"/>
      <sheetData sheetId="4" refreshError="1"/>
      <sheetData sheetId="5">
        <row r="41">
          <cell r="H41" t="str">
            <v>NFRC testing for site-assembled fenestration</v>
          </cell>
        </row>
      </sheetData>
      <sheetData sheetId="6">
        <row r="27">
          <cell r="I27">
            <v>0</v>
          </cell>
        </row>
      </sheetData>
      <sheetData sheetId="7" refreshError="1"/>
      <sheetData sheetId="8">
        <row r="4">
          <cell r="A4" t="str">
            <v>-</v>
          </cell>
        </row>
        <row r="5">
          <cell r="A5" t="str">
            <v>Atrium/&lt;20 ft high</v>
          </cell>
          <cell r="L5" t="str">
            <v>Automotive Facility</v>
          </cell>
        </row>
        <row r="6">
          <cell r="A6" t="str">
            <v>Atrium/≥20 ft and ≤40 ft high</v>
          </cell>
          <cell r="L6" t="str">
            <v>Convention Center</v>
          </cell>
        </row>
        <row r="7">
          <cell r="A7" t="str">
            <v>Atrium/&gt;40 ft high</v>
          </cell>
          <cell r="L7" t="str">
            <v>Courthouse</v>
          </cell>
        </row>
        <row r="8">
          <cell r="A8" t="str">
            <v>Audience Seating/Auditorium</v>
          </cell>
          <cell r="L8" t="str">
            <v>Dining:Bar lounge/leisure</v>
          </cell>
        </row>
        <row r="9">
          <cell r="A9" t="str">
            <v>Audience Seating/Convention center</v>
          </cell>
          <cell r="L9" t="str">
            <v>Dining:cafeteria/fast food</v>
          </cell>
        </row>
        <row r="10">
          <cell r="A10" t="str">
            <v>Audience Seating/Gymnasium</v>
          </cell>
          <cell r="L10" t="str">
            <v>Dining Family</v>
          </cell>
        </row>
        <row r="11">
          <cell r="A11" t="str">
            <v>Audience Seating/Motion Picture Theatre</v>
          </cell>
          <cell r="L11" t="str">
            <v>Dormitory</v>
          </cell>
        </row>
        <row r="12">
          <cell r="A12" t="str">
            <v>Audience Seating/Penitentiary</v>
          </cell>
          <cell r="L12" t="str">
            <v>Exercise Center</v>
          </cell>
        </row>
        <row r="13">
          <cell r="A13" t="str">
            <v>Audience Seating/Performing Arts Theater</v>
          </cell>
          <cell r="L13" t="str">
            <v>Fire station</v>
          </cell>
        </row>
        <row r="14">
          <cell r="A14" t="str">
            <v>Audience Seating/Religious Building</v>
          </cell>
          <cell r="L14" t="str">
            <v>Gymnasium</v>
          </cell>
        </row>
        <row r="15">
          <cell r="A15" t="str">
            <v>Audience Seating/Sports Arena</v>
          </cell>
          <cell r="L15" t="str">
            <v>Health-care clinic</v>
          </cell>
        </row>
        <row r="16">
          <cell r="A16" t="str">
            <v>Audience Seating/All Other</v>
          </cell>
          <cell r="L16" t="str">
            <v>Hospital</v>
          </cell>
        </row>
        <row r="17">
          <cell r="A17" t="str">
            <v>Banking Activity Area</v>
          </cell>
          <cell r="L17" t="str">
            <v>Hotel</v>
          </cell>
        </row>
        <row r="18">
          <cell r="A18" t="str">
            <v>Classroom/Lecture Hall/Training Room in Penitentiary</v>
          </cell>
          <cell r="L18" t="str">
            <v>Library</v>
          </cell>
        </row>
        <row r="19">
          <cell r="A19" t="str">
            <v>Classroom/Lecture Hall/Training Room in All Other</v>
          </cell>
          <cell r="L19" t="str">
            <v>Manufacturing Facility</v>
          </cell>
        </row>
        <row r="20">
          <cell r="A20" t="str">
            <v>Conference/Meeting/Multipurpose Room</v>
          </cell>
          <cell r="L20" t="str">
            <v>Motel</v>
          </cell>
        </row>
        <row r="21">
          <cell r="A21" t="str">
            <v>Confinement Cells</v>
          </cell>
          <cell r="L21" t="str">
            <v>Motion Picture Theatre</v>
          </cell>
        </row>
        <row r="22">
          <cell r="A22" t="str">
            <v>Copy/Print Room</v>
          </cell>
          <cell r="L22" t="str">
            <v>Multifamily</v>
          </cell>
        </row>
        <row r="23">
          <cell r="A23" t="str">
            <v>Corridor/Facility ofr Visually Impaired</v>
          </cell>
          <cell r="L23" t="str">
            <v>Museum</v>
          </cell>
        </row>
        <row r="24">
          <cell r="A24" t="str">
            <v>Corridor/Hospital</v>
          </cell>
          <cell r="L24" t="str">
            <v>Office</v>
          </cell>
        </row>
        <row r="25">
          <cell r="A25" t="str">
            <v>Corridor/Manufacturing Macility</v>
          </cell>
          <cell r="L25" t="str">
            <v>Parking Garage</v>
          </cell>
        </row>
        <row r="26">
          <cell r="A26" t="str">
            <v>Corridor/All Other</v>
          </cell>
          <cell r="L26" t="str">
            <v>Penitentiary</v>
          </cell>
        </row>
        <row r="27">
          <cell r="A27" t="str">
            <v>Courtroom</v>
          </cell>
          <cell r="L27" t="str">
            <v>Performing Art Theatre</v>
          </cell>
        </row>
        <row r="28">
          <cell r="A28" t="str">
            <v>Computer Room</v>
          </cell>
          <cell r="L28" t="str">
            <v>Police station</v>
          </cell>
        </row>
        <row r="29">
          <cell r="A29" t="str">
            <v>Dining Area/Penitentiary</v>
          </cell>
          <cell r="L29" t="str">
            <v>Post Office</v>
          </cell>
        </row>
        <row r="30">
          <cell r="A30" t="str">
            <v>Dining Area/Facility for Visually Imparied</v>
          </cell>
          <cell r="L30" t="str">
            <v>Religious Building</v>
          </cell>
        </row>
        <row r="31">
          <cell r="A31" t="str">
            <v>Dining Area/bar/Lounge or Leisure Dining</v>
          </cell>
          <cell r="L31" t="str">
            <v>Retail</v>
          </cell>
        </row>
        <row r="32">
          <cell r="A32" t="str">
            <v>Dining Area/Cafeteria/Fast Food</v>
          </cell>
          <cell r="L32" t="str">
            <v>School/University</v>
          </cell>
        </row>
        <row r="33">
          <cell r="A33" t="str">
            <v>Dining Area/Family Dining</v>
          </cell>
          <cell r="L33" t="str">
            <v>Sports Arena</v>
          </cell>
        </row>
        <row r="34">
          <cell r="A34" t="str">
            <v>Dining Area/All Other</v>
          </cell>
          <cell r="L34" t="str">
            <v>Town Hall</v>
          </cell>
        </row>
        <row r="35">
          <cell r="A35" t="str">
            <v>Electrical/Mechanical Room</v>
          </cell>
          <cell r="L35" t="str">
            <v>Transportation</v>
          </cell>
        </row>
        <row r="36">
          <cell r="A36" t="str">
            <v>Emergency Vehicle Garage</v>
          </cell>
          <cell r="L36" t="str">
            <v>Warehouse</v>
          </cell>
        </row>
        <row r="37">
          <cell r="A37" t="str">
            <v>Food Preperation Area</v>
          </cell>
          <cell r="L37" t="str">
            <v>Workshop</v>
          </cell>
        </row>
        <row r="38">
          <cell r="A38" t="str">
            <v>Guest Room</v>
          </cell>
        </row>
        <row r="39">
          <cell r="A39" t="str">
            <v>Laboratory/Classroom</v>
          </cell>
        </row>
        <row r="40">
          <cell r="A40" t="str">
            <v>Laboratory/All Other</v>
          </cell>
        </row>
        <row r="41">
          <cell r="A41" t="str">
            <v>Laundry/Washing Area</v>
          </cell>
        </row>
        <row r="42">
          <cell r="A42" t="str">
            <v>Loading Dock, Interior</v>
          </cell>
        </row>
        <row r="43">
          <cell r="A43" t="str">
            <v>Lobby/Facility for Visually Impaired</v>
          </cell>
        </row>
        <row r="44">
          <cell r="A44" t="str">
            <v>Lobby/Elevator</v>
          </cell>
        </row>
        <row r="45">
          <cell r="A45" t="str">
            <v>Lobby/Hotel</v>
          </cell>
        </row>
        <row r="46">
          <cell r="A46" t="str">
            <v>Lobby/Motion Picture Theather</v>
          </cell>
        </row>
        <row r="47">
          <cell r="A47" t="str">
            <v>Lobby/Performing Arts Theater</v>
          </cell>
        </row>
        <row r="48">
          <cell r="A48" t="str">
            <v>Lobby/All Other</v>
          </cell>
        </row>
        <row r="49">
          <cell r="A49" t="str">
            <v>Locker Room</v>
          </cell>
        </row>
        <row r="50">
          <cell r="A50" t="str">
            <v>Lounge/Breakroom/in Healthcare Facility</v>
          </cell>
        </row>
        <row r="51">
          <cell r="A51" t="str">
            <v>Lounge/Breakroom/All Other</v>
          </cell>
        </row>
        <row r="52">
          <cell r="A52" t="str">
            <v>Office/Enclosed ≤250 sqft</v>
          </cell>
        </row>
        <row r="53">
          <cell r="A53" t="str">
            <v>Office/Enclosed &gt;250 sqft</v>
          </cell>
        </row>
        <row r="54">
          <cell r="A54" t="str">
            <v>Office/Open Plan</v>
          </cell>
        </row>
        <row r="55">
          <cell r="A55" t="str">
            <v>Parking Area, Interior</v>
          </cell>
        </row>
        <row r="56">
          <cell r="A56" t="str">
            <v>Pharmacy Area</v>
          </cell>
        </row>
        <row r="57">
          <cell r="A57" t="str">
            <v>Restroom/Facility for the Visually Impaired</v>
          </cell>
        </row>
        <row r="58">
          <cell r="A58" t="str">
            <v>Restroom/ All Other</v>
          </cell>
        </row>
        <row r="59">
          <cell r="A59" t="str">
            <v>Sales Area</v>
          </cell>
        </row>
        <row r="60">
          <cell r="A60" t="str">
            <v>Seating Area, General</v>
          </cell>
        </row>
        <row r="61">
          <cell r="A61" t="str">
            <v>Stairway</v>
          </cell>
        </row>
        <row r="62">
          <cell r="A62" t="str">
            <v>Stairwell</v>
          </cell>
        </row>
        <row r="63">
          <cell r="A63" t="str">
            <v>Storage Room/&lt;50 sqft</v>
          </cell>
        </row>
        <row r="64">
          <cell r="A64" t="str">
            <v>Storage Room/≥50 sqft and ≤1000 sqft</v>
          </cell>
        </row>
        <row r="65">
          <cell r="A65" t="str">
            <v>Storage Room/All Other</v>
          </cell>
        </row>
        <row r="66">
          <cell r="A66" t="str">
            <v>Vehicular Maintenance Area</v>
          </cell>
        </row>
        <row r="67">
          <cell r="A67" t="str">
            <v>Workshop</v>
          </cell>
        </row>
        <row r="68">
          <cell r="A68" t="str">
            <v>Facility for the Visually Impaired/Chapel</v>
          </cell>
        </row>
        <row r="69">
          <cell r="A69" t="str">
            <v>Facility for the Visually Impaired/Recreation Room</v>
          </cell>
        </row>
        <row r="70">
          <cell r="A70" t="str">
            <v>Convention Center-Exhibit Sapce</v>
          </cell>
        </row>
        <row r="71">
          <cell r="A71" t="str">
            <v>Dormitory-Living Quarters</v>
          </cell>
        </row>
        <row r="72">
          <cell r="A72" t="str">
            <v>Fire Station-Sleeping Quarters</v>
          </cell>
        </row>
        <row r="73">
          <cell r="A73" t="str">
            <v>Gymnasium/Fitness Center/Exercise Area</v>
          </cell>
        </row>
        <row r="74">
          <cell r="A74" t="str">
            <v>Gymnasium/Fitness Center/Playing Area</v>
          </cell>
        </row>
        <row r="75">
          <cell r="A75" t="str">
            <v>Healthcare Facility/Exam/Treatment Room</v>
          </cell>
        </row>
        <row r="76">
          <cell r="A76" t="str">
            <v>Healthcare Facility/Imaging Room</v>
          </cell>
        </row>
        <row r="77">
          <cell r="A77" t="str">
            <v>Healthcare Facility/Medical Supply Room</v>
          </cell>
        </row>
        <row r="78">
          <cell r="A78" t="str">
            <v>Healthcare Facility/Nursery</v>
          </cell>
        </row>
        <row r="79">
          <cell r="A79" t="str">
            <v>Healthcare Facility/Nurses Station</v>
          </cell>
        </row>
        <row r="80">
          <cell r="A80" t="str">
            <v>Healthcare Facility/Operating Room</v>
          </cell>
        </row>
        <row r="81">
          <cell r="A81" t="str">
            <v>Healthcare Facility/Patient Room</v>
          </cell>
        </row>
        <row r="82">
          <cell r="A82" t="str">
            <v>Healthcare Facility/Physical Therapy Room</v>
          </cell>
        </row>
        <row r="83">
          <cell r="A83" t="str">
            <v>Healthcare Facility/Recovery Room</v>
          </cell>
        </row>
        <row r="84">
          <cell r="A84" t="str">
            <v>Library/Reading Area</v>
          </cell>
        </row>
        <row r="85">
          <cell r="A85" t="str">
            <v>Library/Stacks</v>
          </cell>
        </row>
        <row r="86">
          <cell r="A86" t="str">
            <v>Manufacturing Facility/Detailed Manufacturing Area</v>
          </cell>
        </row>
        <row r="87">
          <cell r="A87" t="str">
            <v>Manufacturing Facility/Equipment Room</v>
          </cell>
        </row>
        <row r="88">
          <cell r="A88" t="str">
            <v>Manufacturing Facility/Extra High Bay Area</v>
          </cell>
        </row>
        <row r="89">
          <cell r="A89" t="str">
            <v>Manufacturing Facility/High Bay Area</v>
          </cell>
        </row>
        <row r="90">
          <cell r="A90" t="str">
            <v>Manufacturing Facility/Low Bay Area</v>
          </cell>
        </row>
        <row r="91">
          <cell r="A91" t="str">
            <v>Museum/General Exhibition Area</v>
          </cell>
        </row>
        <row r="92">
          <cell r="A92" t="str">
            <v>Museum/Restoration Room</v>
          </cell>
        </row>
        <row r="93">
          <cell r="A93" t="str">
            <v>Performing Arts Theater</v>
          </cell>
        </row>
        <row r="94">
          <cell r="A94" t="str">
            <v>Dressing Room</v>
          </cell>
        </row>
        <row r="95">
          <cell r="A95" t="str">
            <v>Post Office/Sorting Area</v>
          </cell>
        </row>
        <row r="96">
          <cell r="A96" t="str">
            <v>Religious Building/Fellowship Hall</v>
          </cell>
        </row>
        <row r="97">
          <cell r="A97" t="str">
            <v>Religious building/Worship/Pulpit/Choir</v>
          </cell>
        </row>
        <row r="98">
          <cell r="A98" t="str">
            <v>Retail Facilities/Dressing/Fitting Room</v>
          </cell>
        </row>
        <row r="99">
          <cell r="A99" t="str">
            <v>Retail Facilities/Mall Concourse</v>
          </cell>
        </row>
        <row r="100">
          <cell r="A100" t="str">
            <v>Sporting Arena-Playing Area/Class I Facility</v>
          </cell>
        </row>
        <row r="101">
          <cell r="A101" t="str">
            <v>Sporting Arena-Playing Area/Class II Facility</v>
          </cell>
        </row>
        <row r="102">
          <cell r="A102" t="str">
            <v>Sporting Arena-Playing Area/Class III Facility</v>
          </cell>
        </row>
        <row r="103">
          <cell r="A103" t="str">
            <v>Sporting Arena-Playing Area/Class IV Facility</v>
          </cell>
        </row>
        <row r="104">
          <cell r="A104" t="str">
            <v>Transportation Facility/Baggage/Carousel Area</v>
          </cell>
        </row>
        <row r="105">
          <cell r="A105" t="str">
            <v>Transportation Facility/Airport Concourse</v>
          </cell>
        </row>
        <row r="106">
          <cell r="A106" t="str">
            <v>Transportation Facility/Terminal Ticket Counter</v>
          </cell>
        </row>
        <row r="107">
          <cell r="A107" t="str">
            <v>Warehouse-Storage Area/Medium to Bulky, Palletized Items</v>
          </cell>
        </row>
        <row r="108">
          <cell r="A108" t="str">
            <v>Warehouse-Storage Area/Smaller, Hand Carried Items</v>
          </cell>
        </row>
        <row r="109">
          <cell r="A109" t="str">
            <v>Dwelling Unit</v>
          </cell>
        </row>
        <row r="110">
          <cell r="A110" t="str">
            <v>Multiple</v>
          </cell>
        </row>
      </sheetData>
      <sheetData sheetId="9">
        <row r="2">
          <cell r="A2" t="str">
            <v>Automotive Facility</v>
          </cell>
          <cell r="D2">
            <v>0</v>
          </cell>
        </row>
        <row r="3">
          <cell r="A3" t="str">
            <v>Convention Center</v>
          </cell>
          <cell r="D3">
            <v>0</v>
          </cell>
        </row>
        <row r="4">
          <cell r="A4" t="str">
            <v>Courthouse</v>
          </cell>
          <cell r="D4">
            <v>0</v>
          </cell>
        </row>
        <row r="5">
          <cell r="A5" t="str">
            <v>Dining:Bar lounge/leisure</v>
          </cell>
          <cell r="D5">
            <v>0.63</v>
          </cell>
        </row>
        <row r="6">
          <cell r="A6" t="str">
            <v>Dining:cafeteria/fast food</v>
          </cell>
          <cell r="D6">
            <v>0.82</v>
          </cell>
        </row>
        <row r="7">
          <cell r="A7" t="str">
            <v>Dining Family</v>
          </cell>
          <cell r="D7">
            <v>0.65</v>
          </cell>
        </row>
        <row r="8">
          <cell r="A8" t="str">
            <v>Dormitory</v>
          </cell>
          <cell r="D8">
            <v>1.1399999999999999</v>
          </cell>
        </row>
        <row r="9">
          <cell r="A9" t="str">
            <v>Exercise Center</v>
          </cell>
          <cell r="D9">
            <v>0.28000000000000003</v>
          </cell>
        </row>
        <row r="10">
          <cell r="A10" t="str">
            <v>Fire station</v>
          </cell>
          <cell r="D10">
            <v>2.4300000000000002</v>
          </cell>
        </row>
        <row r="11">
          <cell r="A11" t="str">
            <v>Gymnasium</v>
          </cell>
          <cell r="D11">
            <v>1.53</v>
          </cell>
        </row>
        <row r="12">
          <cell r="A12" t="str">
            <v>Health-care clinic</v>
          </cell>
          <cell r="D12">
            <v>0.43</v>
          </cell>
        </row>
        <row r="13">
          <cell r="A13" t="str">
            <v>Hospital</v>
          </cell>
          <cell r="D13">
            <v>0.43</v>
          </cell>
        </row>
        <row r="14">
          <cell r="A14" t="str">
            <v>Hotel</v>
          </cell>
          <cell r="D14">
            <v>1.01</v>
          </cell>
        </row>
        <row r="15">
          <cell r="A15" t="str">
            <v>Library</v>
          </cell>
          <cell r="D15">
            <v>1.34</v>
          </cell>
        </row>
        <row r="16">
          <cell r="A16" t="str">
            <v>Manufacturing Facility</v>
          </cell>
          <cell r="D16">
            <v>1.24</v>
          </cell>
        </row>
        <row r="17">
          <cell r="A17" t="str">
            <v>Motel</v>
          </cell>
          <cell r="D17">
            <v>1.23</v>
          </cell>
        </row>
        <row r="18">
          <cell r="A18" t="str">
            <v>Motion Picture Theatre</v>
          </cell>
          <cell r="D18">
            <v>0.81</v>
          </cell>
        </row>
        <row r="19">
          <cell r="A19" t="str">
            <v>Multifamily</v>
          </cell>
          <cell r="D19">
            <v>0.72</v>
          </cell>
        </row>
        <row r="20">
          <cell r="A20" t="str">
            <v>Museum</v>
          </cell>
          <cell r="D20">
            <v>0.92</v>
          </cell>
        </row>
        <row r="21">
          <cell r="A21" t="str">
            <v>Office</v>
          </cell>
          <cell r="D21">
            <v>0.99</v>
          </cell>
        </row>
        <row r="22">
          <cell r="A22" t="str">
            <v>Parking Garage</v>
          </cell>
          <cell r="D22">
            <v>0.41</v>
          </cell>
        </row>
        <row r="23">
          <cell r="A23" t="str">
            <v>Penitentiary</v>
          </cell>
          <cell r="D23">
            <v>0.66</v>
          </cell>
        </row>
        <row r="24">
          <cell r="A24" t="str">
            <v>Performing Art Theatre</v>
          </cell>
          <cell r="D24">
            <v>1.72</v>
          </cell>
        </row>
        <row r="25">
          <cell r="A25" t="str">
            <v>Police station</v>
          </cell>
          <cell r="D25">
            <v>1.71</v>
          </cell>
        </row>
        <row r="26">
          <cell r="A26" t="str">
            <v>Post Office</v>
          </cell>
          <cell r="D26">
            <v>0.96</v>
          </cell>
        </row>
        <row r="27">
          <cell r="A27" t="str">
            <v>Religious Building</v>
          </cell>
          <cell r="D27">
            <v>2.65</v>
          </cell>
        </row>
        <row r="28">
          <cell r="A28" t="str">
            <v>Retail</v>
          </cell>
          <cell r="D28">
            <v>1.07</v>
          </cell>
        </row>
        <row r="29">
          <cell r="A29" t="str">
            <v>School/University</v>
          </cell>
          <cell r="D29">
            <v>0.65</v>
          </cell>
        </row>
        <row r="30">
          <cell r="A30" t="str">
            <v>Sports Arena</v>
          </cell>
          <cell r="D30">
            <v>0.89</v>
          </cell>
        </row>
        <row r="31">
          <cell r="A31" t="str">
            <v>Town Hall</v>
          </cell>
          <cell r="D31">
            <v>0.65</v>
          </cell>
        </row>
        <row r="32">
          <cell r="A32" t="str">
            <v>Transportation</v>
          </cell>
          <cell r="D32">
            <v>0.42</v>
          </cell>
        </row>
        <row r="33">
          <cell r="A33" t="str">
            <v>Warehouse</v>
          </cell>
          <cell r="D33">
            <v>0.56000000000000005</v>
          </cell>
        </row>
        <row r="34">
          <cell r="D34">
            <v>1.21</v>
          </cell>
        </row>
        <row r="35">
          <cell r="D35">
            <v>0.91</v>
          </cell>
        </row>
        <row r="36">
          <cell r="D36">
            <v>1.43</v>
          </cell>
        </row>
        <row r="37">
          <cell r="D37">
            <v>1.81</v>
          </cell>
        </row>
        <row r="38">
          <cell r="D38">
            <v>0.6</v>
          </cell>
        </row>
        <row r="39">
          <cell r="D39">
            <v>0.47</v>
          </cell>
        </row>
        <row r="40">
          <cell r="D40">
            <v>1.8</v>
          </cell>
        </row>
        <row r="41">
          <cell r="D41">
            <v>0.64</v>
          </cell>
        </row>
        <row r="42">
          <cell r="D42">
            <v>1.06</v>
          </cell>
        </row>
        <row r="43">
          <cell r="D43">
            <v>0.59</v>
          </cell>
        </row>
        <row r="44">
          <cell r="D44">
            <v>2</v>
          </cell>
        </row>
        <row r="45">
          <cell r="D45">
            <v>0.9</v>
          </cell>
        </row>
        <row r="46">
          <cell r="D46">
            <v>0.75</v>
          </cell>
        </row>
        <row r="47">
          <cell r="D47">
            <v>0.92</v>
          </cell>
        </row>
        <row r="48">
          <cell r="D48">
            <v>0.73</v>
          </cell>
        </row>
        <row r="49">
          <cell r="D49">
            <v>1.1100000000000001</v>
          </cell>
        </row>
        <row r="50">
          <cell r="D50">
            <v>1.1100000000000001</v>
          </cell>
        </row>
        <row r="51">
          <cell r="D51">
            <v>0.8</v>
          </cell>
        </row>
        <row r="52">
          <cell r="D52">
            <v>0.19</v>
          </cell>
        </row>
        <row r="53">
          <cell r="D53">
            <v>0.19</v>
          </cell>
        </row>
        <row r="54">
          <cell r="D54">
            <v>1.21</v>
          </cell>
        </row>
        <row r="55">
          <cell r="D55">
            <v>0.98</v>
          </cell>
        </row>
        <row r="56">
          <cell r="D56">
            <v>1.44</v>
          </cell>
        </row>
        <row r="57">
          <cell r="D57">
            <v>0.54</v>
          </cell>
        </row>
        <row r="58">
          <cell r="D58" t="str">
            <v>&lt;enter value&gt;</v>
          </cell>
        </row>
        <row r="59">
          <cell r="D59">
            <v>0.69</v>
          </cell>
        </row>
        <row r="60">
          <cell r="D60">
            <v>1.24</v>
          </cell>
        </row>
        <row r="61">
          <cell r="D61">
            <v>0.63</v>
          </cell>
        </row>
        <row r="62">
          <cell r="D62">
            <v>0.63</v>
          </cell>
        </row>
        <row r="63">
          <cell r="D63">
            <v>0.67</v>
          </cell>
        </row>
        <row r="64">
          <cell r="D64">
            <v>1.59</v>
          </cell>
        </row>
        <row r="65">
          <cell r="D65">
            <v>2.21</v>
          </cell>
        </row>
        <row r="66">
          <cell r="D66">
            <v>2.41</v>
          </cell>
        </row>
        <row r="67">
          <cell r="D67">
            <v>1.45</v>
          </cell>
        </row>
        <row r="68">
          <cell r="D68">
            <v>0.38</v>
          </cell>
        </row>
        <row r="69">
          <cell r="D69">
            <v>0.22</v>
          </cell>
        </row>
        <row r="70">
          <cell r="D70">
            <v>0.72</v>
          </cell>
        </row>
        <row r="71">
          <cell r="D71">
            <v>1.2</v>
          </cell>
        </row>
        <row r="72">
          <cell r="D72">
            <v>1.66</v>
          </cell>
        </row>
        <row r="73">
          <cell r="D73">
            <v>1.51</v>
          </cell>
        </row>
        <row r="74">
          <cell r="D74">
            <v>0.74</v>
          </cell>
        </row>
        <row r="75">
          <cell r="D75">
            <v>0.88</v>
          </cell>
        </row>
        <row r="76">
          <cell r="D76">
            <v>0.71</v>
          </cell>
        </row>
        <row r="77">
          <cell r="D77">
            <v>2.48</v>
          </cell>
        </row>
        <row r="78">
          <cell r="D78">
            <v>0.62</v>
          </cell>
        </row>
        <row r="79">
          <cell r="D79">
            <v>0.91</v>
          </cell>
        </row>
        <row r="80">
          <cell r="D80">
            <v>1.1499999999999999</v>
          </cell>
        </row>
        <row r="81">
          <cell r="D81">
            <v>1.06</v>
          </cell>
        </row>
        <row r="82">
          <cell r="D82">
            <v>1.71</v>
          </cell>
        </row>
        <row r="83">
          <cell r="D83">
            <v>1.29</v>
          </cell>
        </row>
        <row r="84">
          <cell r="D84">
            <v>0.74</v>
          </cell>
        </row>
        <row r="85">
          <cell r="D85">
            <v>1.05</v>
          </cell>
        </row>
        <row r="86">
          <cell r="D86">
            <v>1.23</v>
          </cell>
        </row>
        <row r="87">
          <cell r="D87">
            <v>1.19</v>
          </cell>
        </row>
        <row r="88">
          <cell r="D88">
            <v>1.05</v>
          </cell>
        </row>
        <row r="89">
          <cell r="D89">
            <v>1.02</v>
          </cell>
        </row>
        <row r="90">
          <cell r="D90">
            <v>0.61</v>
          </cell>
        </row>
        <row r="91">
          <cell r="D91">
            <v>0.94</v>
          </cell>
        </row>
        <row r="92">
          <cell r="D92">
            <v>0.64</v>
          </cell>
        </row>
        <row r="93">
          <cell r="D93">
            <v>1.53</v>
          </cell>
        </row>
      </sheetData>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ow r="9">
          <cell r="L9" t="str">
            <v>kBtu/h</v>
          </cell>
        </row>
        <row r="10">
          <cell r="A10" t="str">
            <v>System 1 - PTAC</v>
          </cell>
          <cell r="B10">
            <v>1</v>
          </cell>
          <cell r="C10" t="str">
            <v>System 1 - PTAC</v>
          </cell>
          <cell r="D10" t="str">
            <v>System 1 (District Cooling) - 4-pipe Fan Coil with HW Boiler</v>
          </cell>
          <cell r="E10" t="str">
            <v>System 1 (District Heating) - PTAC</v>
          </cell>
          <cell r="F10" t="str">
            <v>System 1 (District Heating &amp; Cooling) - 4-pipe Fan Coil</v>
          </cell>
          <cell r="G10" t="str">
            <v>Describe the California Title-24 Baseline System Type</v>
          </cell>
          <cell r="H10">
            <v>2.9999999999999997E-4</v>
          </cell>
          <cell r="I10">
            <v>0</v>
          </cell>
          <cell r="J10">
            <v>0</v>
          </cell>
          <cell r="K10">
            <v>0</v>
          </cell>
          <cell r="L10" t="str">
            <v>tons</v>
          </cell>
          <cell r="U10">
            <v>0</v>
          </cell>
          <cell r="W10">
            <v>0.82499999999999996</v>
          </cell>
        </row>
        <row r="11">
          <cell r="A11" t="str">
            <v>System 2 - PTHP</v>
          </cell>
          <cell r="B11">
            <v>2</v>
          </cell>
          <cell r="C11" t="str">
            <v>System 2 - PTHP</v>
          </cell>
          <cell r="D11" t="str">
            <v>System 2 (District Cooling) - 4-pipe Fan Coil with HW Boiler</v>
          </cell>
          <cell r="E11">
            <v>0</v>
          </cell>
          <cell r="F11">
            <v>0</v>
          </cell>
          <cell r="G11">
            <v>0</v>
          </cell>
          <cell r="H11">
            <v>2.9999999999999997E-4</v>
          </cell>
          <cell r="I11">
            <v>0</v>
          </cell>
          <cell r="J11">
            <v>0</v>
          </cell>
          <cell r="K11">
            <v>0</v>
          </cell>
          <cell r="L11" t="str">
            <v>kW</v>
          </cell>
          <cell r="U11">
            <v>1</v>
          </cell>
          <cell r="V11">
            <v>0.82499999999999996</v>
          </cell>
          <cell r="W11">
            <v>0.84</v>
          </cell>
        </row>
        <row r="12">
          <cell r="A12" t="str">
            <v>System 3 - PSZ-AC</v>
          </cell>
          <cell r="B12">
            <v>3</v>
          </cell>
          <cell r="C12" t="str">
            <v>System 3 - PSZ-AC</v>
          </cell>
          <cell r="D12" t="str">
            <v>System 3 (District Cooling) - 2-pipe CV AHU with Fossil Fuel Furnace</v>
          </cell>
          <cell r="E12" t="str">
            <v>System 3 (District Heating) - PSZ-AC with District Heating</v>
          </cell>
          <cell r="F12" t="str">
            <v>System 3 (District Heating &amp; Cooling) - 4-pipe CV AHU</v>
          </cell>
          <cell r="G12">
            <v>0</v>
          </cell>
          <cell r="H12">
            <v>9.3999999999999997E-4</v>
          </cell>
          <cell r="I12">
            <v>1</v>
          </cell>
          <cell r="J12">
            <v>1</v>
          </cell>
          <cell r="K12">
            <v>0</v>
          </cell>
          <cell r="L12" t="str">
            <v>Btuh</v>
          </cell>
          <cell r="U12">
            <v>1.5</v>
          </cell>
          <cell r="V12">
            <v>0.84</v>
          </cell>
          <cell r="W12">
            <v>0.84</v>
          </cell>
        </row>
        <row r="13">
          <cell r="A13" t="str">
            <v>System 4 - PSZ-HP</v>
          </cell>
          <cell r="B13">
            <v>4</v>
          </cell>
          <cell r="C13" t="str">
            <v>System 4 - PSZ-HP</v>
          </cell>
          <cell r="D13" t="str">
            <v>System 4 (District Cooling) - 2-pipe CV AHU with Fossil Fuel Furnace</v>
          </cell>
          <cell r="E13">
            <v>0</v>
          </cell>
          <cell r="F13">
            <v>0</v>
          </cell>
          <cell r="G13">
            <v>0</v>
          </cell>
          <cell r="H13">
            <v>9.3999999999999997E-4</v>
          </cell>
          <cell r="I13">
            <v>1</v>
          </cell>
          <cell r="J13">
            <v>1</v>
          </cell>
          <cell r="K13">
            <v>0</v>
          </cell>
          <cell r="U13">
            <v>2</v>
          </cell>
          <cell r="V13">
            <v>0.84</v>
          </cell>
          <cell r="W13">
            <v>0.875</v>
          </cell>
        </row>
        <row r="14">
          <cell r="A14" t="str">
            <v>System 5 - Packaged VAV with Reheat</v>
          </cell>
          <cell r="B14">
            <v>5</v>
          </cell>
          <cell r="C14" t="str">
            <v>System 5 - Packaged VAV with Reheat</v>
          </cell>
          <cell r="D14" t="str">
            <v>System 5 (District Cooling) - Change to System 7 - VAV with Reheat</v>
          </cell>
          <cell r="E14" t="str">
            <v>System 5 (District Heating) - Packaged VAV with Reheat</v>
          </cell>
          <cell r="F14" t="str">
            <v>System 5 (District Heating &amp; Cooling) - Change to System 7 - VAV with Reheat</v>
          </cell>
          <cell r="G14">
            <v>0</v>
          </cell>
          <cell r="H14">
            <v>1.2999999999999999E-3</v>
          </cell>
          <cell r="I14">
            <v>1</v>
          </cell>
          <cell r="J14">
            <v>1</v>
          </cell>
          <cell r="K14">
            <v>0</v>
          </cell>
          <cell r="U14">
            <v>3</v>
          </cell>
          <cell r="V14">
            <v>0.875</v>
          </cell>
          <cell r="W14">
            <v>0.875</v>
          </cell>
        </row>
        <row r="15">
          <cell r="A15" t="str">
            <v>System 6 - Packaged VAV with PFP Boxes</v>
          </cell>
          <cell r="B15">
            <v>6</v>
          </cell>
          <cell r="C15" t="str">
            <v>System 6 - Packaged VAV with PFP Boxes</v>
          </cell>
          <cell r="D15" t="str">
            <v>System 6 (District Cooling) - Change to System 8 - VAV with PFP Boxes</v>
          </cell>
          <cell r="E15">
            <v>0</v>
          </cell>
          <cell r="F15">
            <v>0</v>
          </cell>
          <cell r="G15">
            <v>0</v>
          </cell>
          <cell r="H15">
            <v>1.2999999999999999E-3</v>
          </cell>
          <cell r="I15">
            <v>1</v>
          </cell>
          <cell r="J15">
            <v>1</v>
          </cell>
          <cell r="K15">
            <v>0</v>
          </cell>
          <cell r="U15">
            <v>5</v>
          </cell>
          <cell r="V15">
            <v>0.875</v>
          </cell>
          <cell r="W15">
            <v>0.89500000000000002</v>
          </cell>
        </row>
        <row r="16">
          <cell r="A16" t="str">
            <v>System 7 - VAV with Reheat</v>
          </cell>
          <cell r="B16">
            <v>7</v>
          </cell>
          <cell r="C16" t="str">
            <v>System 7 - VAV with Reheat</v>
          </cell>
          <cell r="D16" t="str">
            <v>System 7 (District Cooling) - VAV with Reheat</v>
          </cell>
          <cell r="E16" t="str">
            <v>System 7 (District Heating) - VAV with Reheat</v>
          </cell>
          <cell r="F16" t="str">
            <v>System 7 (Heating &amp; Cooling) - VAV with Reheat</v>
          </cell>
          <cell r="G16">
            <v>0</v>
          </cell>
          <cell r="H16">
            <v>1.2999999999999999E-3</v>
          </cell>
          <cell r="I16">
            <v>1</v>
          </cell>
          <cell r="J16">
            <v>1</v>
          </cell>
          <cell r="K16">
            <v>0</v>
          </cell>
          <cell r="U16">
            <v>7.5</v>
          </cell>
          <cell r="V16">
            <v>0.89500000000000002</v>
          </cell>
          <cell r="W16">
            <v>0.89500000000000002</v>
          </cell>
        </row>
        <row r="17">
          <cell r="A17" t="str">
            <v>System 8 - VAV with PFP Boxes</v>
          </cell>
          <cell r="B17">
            <v>8</v>
          </cell>
          <cell r="C17" t="str">
            <v>System 8 - VAV with PFP Boxes</v>
          </cell>
          <cell r="D17" t="str">
            <v>System 8 (District Cooling)- VAV with PFP Boxes</v>
          </cell>
          <cell r="E17">
            <v>0</v>
          </cell>
          <cell r="F17">
            <v>0</v>
          </cell>
          <cell r="G17">
            <v>0</v>
          </cell>
          <cell r="H17">
            <v>1.2999999999999999E-3</v>
          </cell>
          <cell r="I17">
            <v>1</v>
          </cell>
          <cell r="J17">
            <v>1</v>
          </cell>
          <cell r="K17">
            <v>0</v>
          </cell>
          <cell r="U17">
            <v>10</v>
          </cell>
          <cell r="V17">
            <v>0.89500000000000002</v>
          </cell>
          <cell r="W17">
            <v>0.91</v>
          </cell>
        </row>
        <row r="18">
          <cell r="A18" t="str">
            <v>System 9 - Heating and Ventilation</v>
          </cell>
          <cell r="B18">
            <v>9</v>
          </cell>
          <cell r="C18" t="str">
            <v>System 9 - Heating and Ventilation</v>
          </cell>
          <cell r="D18" t="str">
            <v>System 9 - Heating and Ventilation</v>
          </cell>
          <cell r="E18" t="str">
            <v>System 9 (District Heating) - Heating and Ventilation</v>
          </cell>
          <cell r="F18" t="str">
            <v>System 9 (District Heating) - Heating and Ventilation</v>
          </cell>
          <cell r="G18">
            <v>0</v>
          </cell>
          <cell r="H18">
            <v>2.9999999999999997E-4</v>
          </cell>
          <cell r="I18">
            <v>0</v>
          </cell>
          <cell r="J18">
            <v>0</v>
          </cell>
          <cell r="K18">
            <v>5.3999999999999998E-5</v>
          </cell>
          <cell r="U18">
            <v>15</v>
          </cell>
          <cell r="V18">
            <v>0.91</v>
          </cell>
          <cell r="W18">
            <v>0.91</v>
          </cell>
        </row>
        <row r="19">
          <cell r="A19" t="str">
            <v>System 10 - Heating and Ventilation</v>
          </cell>
          <cell r="B19">
            <v>10</v>
          </cell>
          <cell r="C19" t="str">
            <v>System 10 - Heating and Ventilation</v>
          </cell>
          <cell r="D19" t="str">
            <v>System 10 - Heating and Ventilation</v>
          </cell>
          <cell r="E19" t="str">
            <v>System 10 (District Heating) - Heating and Ventilation</v>
          </cell>
          <cell r="F19" t="str">
            <v>System 10 (District Heating &amp; Cooling) - Heating and Ventilation</v>
          </cell>
          <cell r="G19">
            <v>0</v>
          </cell>
          <cell r="H19">
            <v>2.9999999999999997E-4</v>
          </cell>
          <cell r="I19">
            <v>0</v>
          </cell>
          <cell r="J19">
            <v>0</v>
          </cell>
          <cell r="K19">
            <v>5.3999999999999998E-5</v>
          </cell>
          <cell r="U19">
            <v>20</v>
          </cell>
          <cell r="V19">
            <v>0.91</v>
          </cell>
          <cell r="W19">
            <v>0.92400000000000004</v>
          </cell>
        </row>
        <row r="20">
          <cell r="A20" t="str">
            <v>System 11 - SZ-VAV</v>
          </cell>
          <cell r="B20">
            <v>11</v>
          </cell>
          <cell r="C20" t="str">
            <v>Systen 11 - Signle-zone Variable Air Volume</v>
          </cell>
          <cell r="D20" t="str">
            <v>System 11 (District Cooling) Chilled Water</v>
          </cell>
          <cell r="E20" t="str">
            <v>System 11 (District Heating) electric resistenace/or hot water fossil fuel boiler</v>
          </cell>
          <cell r="F20" t="str">
            <v>System 11 (District Heating &amp; Cooling) chiller water, electric resistenace/or hot water fossil fuel boiler</v>
          </cell>
          <cell r="H20">
            <v>6.2E-4</v>
          </cell>
          <cell r="I20">
            <v>1</v>
          </cell>
          <cell r="J20">
            <v>1</v>
          </cell>
          <cell r="K20">
            <v>0</v>
          </cell>
        </row>
        <row r="21">
          <cell r="A21" t="str">
            <v>System 12 - SZ-CV-HW</v>
          </cell>
          <cell r="B21">
            <v>12</v>
          </cell>
          <cell r="C21" t="str">
            <v>System 12 - Single Zone Constant Volume Hot Water Fossil Fuel Boiler</v>
          </cell>
          <cell r="D21" t="str">
            <v>System 12 (District Cooling) Chilled Water</v>
          </cell>
          <cell r="E21" t="str">
            <v>System 12 (District Heating) -hot water fossil fuel boiler</v>
          </cell>
          <cell r="F21" t="str">
            <v>System 12 (District Heating &amp; Cooling) - Constant Volume hot water fossil fuel boiler</v>
          </cell>
          <cell r="H21">
            <v>9.3999999999999997E-4</v>
          </cell>
          <cell r="I21">
            <v>1</v>
          </cell>
          <cell r="J21">
            <v>1</v>
          </cell>
          <cell r="K21">
            <v>0</v>
          </cell>
        </row>
        <row r="22">
          <cell r="A22" t="str">
            <v>System 13 - SZ-CV-ER</v>
          </cell>
          <cell r="B22">
            <v>13</v>
          </cell>
          <cell r="C22" t="str">
            <v>System 13 - Single Zone Constant Volume Electirc Resistance</v>
          </cell>
          <cell r="D22" t="str">
            <v>System 13 (District Cooling) Chilled Water</v>
          </cell>
          <cell r="E22" t="str">
            <v>System 13 (District Heating) -Electric Resistance</v>
          </cell>
          <cell r="F22" t="str">
            <v xml:space="preserve">System 13 (District Heating &amp; Cooling) - Constant volume, electric resistsance </v>
          </cell>
          <cell r="H22">
            <v>9.3999999999999997E-4</v>
          </cell>
          <cell r="I22">
            <v>1</v>
          </cell>
          <cell r="J22">
            <v>1</v>
          </cell>
          <cell r="K22">
            <v>0</v>
          </cell>
        </row>
        <row r="23">
          <cell r="B23">
            <v>1</v>
          </cell>
          <cell r="C23">
            <v>0</v>
          </cell>
          <cell r="D23" t="str">
            <v>System 1 - PTAC</v>
          </cell>
          <cell r="E23" t="str">
            <v>System 1 - PTAC</v>
          </cell>
          <cell r="F23" t="str">
            <v>System 1 - PTAC</v>
          </cell>
          <cell r="G23">
            <v>0</v>
          </cell>
          <cell r="H23">
            <v>2.9999999999999997E-4</v>
          </cell>
          <cell r="I23">
            <v>0</v>
          </cell>
          <cell r="J23">
            <v>0</v>
          </cell>
          <cell r="K23">
            <v>0</v>
          </cell>
          <cell r="U23">
            <v>25</v>
          </cell>
          <cell r="V23">
            <v>0.92400000000000004</v>
          </cell>
          <cell r="W23">
            <v>0.92400000000000004</v>
          </cell>
        </row>
        <row r="24">
          <cell r="B24">
            <v>2</v>
          </cell>
          <cell r="C24">
            <v>0</v>
          </cell>
          <cell r="D24" t="str">
            <v>System 2 - PTHP</v>
          </cell>
          <cell r="E24" t="str">
            <v>System 2 - PTHP</v>
          </cell>
          <cell r="F24" t="str">
            <v>System 2 - PTHP</v>
          </cell>
          <cell r="G24">
            <v>0</v>
          </cell>
          <cell r="H24">
            <v>2.9999999999999997E-4</v>
          </cell>
          <cell r="I24">
            <v>0</v>
          </cell>
          <cell r="J24">
            <v>0</v>
          </cell>
          <cell r="K24">
            <v>0</v>
          </cell>
          <cell r="U24">
            <v>30</v>
          </cell>
          <cell r="V24">
            <v>0.92400000000000004</v>
          </cell>
          <cell r="W24">
            <v>0.93</v>
          </cell>
        </row>
        <row r="25">
          <cell r="B25">
            <v>3</v>
          </cell>
          <cell r="C25">
            <v>0</v>
          </cell>
          <cell r="D25" t="str">
            <v>System 3 - PSZ-AC</v>
          </cell>
          <cell r="E25" t="str">
            <v>System 3 - PSZ-AC</v>
          </cell>
          <cell r="F25" t="str">
            <v>System 3 - PSZ-AC</v>
          </cell>
          <cell r="G25">
            <v>0</v>
          </cell>
          <cell r="H25">
            <v>9.3999999999999997E-4</v>
          </cell>
          <cell r="I25">
            <v>1</v>
          </cell>
          <cell r="J25">
            <v>1</v>
          </cell>
          <cell r="K25">
            <v>0</v>
          </cell>
          <cell r="U25">
            <v>40</v>
          </cell>
          <cell r="V25">
            <v>0.93</v>
          </cell>
          <cell r="W25">
            <v>0.93</v>
          </cell>
        </row>
        <row r="26">
          <cell r="A26">
            <v>0</v>
          </cell>
          <cell r="B26">
            <v>4</v>
          </cell>
          <cell r="C26">
            <v>0</v>
          </cell>
          <cell r="D26" t="str">
            <v>System 4 - PSZ-HP</v>
          </cell>
          <cell r="E26" t="str">
            <v>System 4 - PSZ-HP</v>
          </cell>
          <cell r="F26" t="str">
            <v>System 4 - PSZ-HP</v>
          </cell>
          <cell r="G26">
            <v>0</v>
          </cell>
          <cell r="H26">
            <v>9.3999999999999997E-4</v>
          </cell>
          <cell r="I26">
            <v>1</v>
          </cell>
          <cell r="J26">
            <v>1</v>
          </cell>
          <cell r="K26">
            <v>0</v>
          </cell>
          <cell r="U26">
            <v>50</v>
          </cell>
          <cell r="V26">
            <v>0.93</v>
          </cell>
          <cell r="W26">
            <v>0.93600000000000005</v>
          </cell>
        </row>
        <row r="27">
          <cell r="A27">
            <v>0</v>
          </cell>
          <cell r="B27">
            <v>5</v>
          </cell>
          <cell r="C27">
            <v>0</v>
          </cell>
          <cell r="D27" t="str">
            <v>System 5 - Packaged VAV with Reheat</v>
          </cell>
          <cell r="E27" t="str">
            <v>System 5 - Packaged VAV with Reheat</v>
          </cell>
          <cell r="F27" t="str">
            <v>System 5 - Packaged VAV with Reheat</v>
          </cell>
          <cell r="G27">
            <v>0</v>
          </cell>
          <cell r="H27">
            <v>1.2999999999999999E-3</v>
          </cell>
          <cell r="I27">
            <v>1</v>
          </cell>
          <cell r="J27">
            <v>1</v>
          </cell>
          <cell r="K27">
            <v>0</v>
          </cell>
          <cell r="U27">
            <v>60</v>
          </cell>
          <cell r="V27">
            <v>0.93600000000000005</v>
          </cell>
          <cell r="W27">
            <v>0.94099999999999995</v>
          </cell>
        </row>
        <row r="28">
          <cell r="A28">
            <v>0</v>
          </cell>
          <cell r="B28">
            <v>6</v>
          </cell>
          <cell r="C28">
            <v>0</v>
          </cell>
          <cell r="D28" t="str">
            <v>System 6 - Packaged VAV with PFP Boxes</v>
          </cell>
          <cell r="E28" t="str">
            <v>System 6 - Packaged VAV with PFP Boxes</v>
          </cell>
          <cell r="F28" t="str">
            <v>System 6 - Packaged VAV with PFP Boxes</v>
          </cell>
          <cell r="G28">
            <v>0</v>
          </cell>
          <cell r="H28">
            <v>1.2999999999999999E-3</v>
          </cell>
          <cell r="I28">
            <v>1</v>
          </cell>
          <cell r="J28">
            <v>1</v>
          </cell>
          <cell r="K28">
            <v>0</v>
          </cell>
          <cell r="U28">
            <v>75</v>
          </cell>
          <cell r="V28">
            <v>0.94099999999999995</v>
          </cell>
          <cell r="W28">
            <v>0.94499999999999995</v>
          </cell>
        </row>
        <row r="29">
          <cell r="A29">
            <v>0</v>
          </cell>
          <cell r="B29">
            <v>7</v>
          </cell>
          <cell r="C29">
            <v>0</v>
          </cell>
          <cell r="D29" t="str">
            <v>System 7 - VAV with Reheat</v>
          </cell>
          <cell r="E29" t="str">
            <v>System 7 - VAV with Reheat</v>
          </cell>
          <cell r="F29" t="str">
            <v>System 7 - VAV with Reheat</v>
          </cell>
          <cell r="G29">
            <v>0</v>
          </cell>
          <cell r="H29">
            <v>1.2999999999999999E-3</v>
          </cell>
          <cell r="I29">
            <v>1</v>
          </cell>
          <cell r="J29">
            <v>1</v>
          </cell>
          <cell r="K29">
            <v>0</v>
          </cell>
          <cell r="U29">
            <v>100</v>
          </cell>
          <cell r="V29">
            <v>0.94499999999999995</v>
          </cell>
          <cell r="W29">
            <v>0.94499999999999995</v>
          </cell>
        </row>
        <row r="30">
          <cell r="A30">
            <v>0</v>
          </cell>
          <cell r="B30">
            <v>8</v>
          </cell>
          <cell r="C30">
            <v>0</v>
          </cell>
          <cell r="D30" t="str">
            <v>System 8 - VAV with PFP Boxes</v>
          </cell>
          <cell r="E30" t="str">
            <v>System 8 - VAV with PFP Boxes</v>
          </cell>
          <cell r="F30" t="str">
            <v>System 8 - VAV with PFP Boxes</v>
          </cell>
          <cell r="G30">
            <v>0</v>
          </cell>
          <cell r="H30">
            <v>1.2999999999999999E-3</v>
          </cell>
          <cell r="I30">
            <v>1</v>
          </cell>
          <cell r="J30">
            <v>1</v>
          </cell>
          <cell r="K30">
            <v>0</v>
          </cell>
          <cell r="U30">
            <v>125</v>
          </cell>
          <cell r="V30">
            <v>0.94499999999999995</v>
          </cell>
          <cell r="W30">
            <v>0.95</v>
          </cell>
        </row>
        <row r="31">
          <cell r="A31">
            <v>0</v>
          </cell>
          <cell r="B31">
            <v>9</v>
          </cell>
          <cell r="C31">
            <v>0</v>
          </cell>
          <cell r="D31">
            <v>0</v>
          </cell>
          <cell r="E31" t="str">
            <v>System 9 - Heating and Ventilation</v>
          </cell>
          <cell r="F31" t="str">
            <v>System 9 - Heating and Ventilation</v>
          </cell>
          <cell r="G31">
            <v>0</v>
          </cell>
          <cell r="H31">
            <v>2.9999999999999997E-4</v>
          </cell>
          <cell r="I31">
            <v>0</v>
          </cell>
          <cell r="J31">
            <v>0</v>
          </cell>
          <cell r="K31">
            <v>5.3999999999999998E-5</v>
          </cell>
          <cell r="U31">
            <v>150</v>
          </cell>
          <cell r="V31">
            <v>0.95</v>
          </cell>
          <cell r="W31">
            <v>0.95</v>
          </cell>
        </row>
        <row r="32">
          <cell r="A32">
            <v>0</v>
          </cell>
          <cell r="B32">
            <v>10</v>
          </cell>
          <cell r="C32">
            <v>0</v>
          </cell>
          <cell r="D32">
            <v>0</v>
          </cell>
          <cell r="E32" t="str">
            <v>System 10 - Heating and Ventilation</v>
          </cell>
          <cell r="F32" t="str">
            <v>System 10 - Heating and Ventilation</v>
          </cell>
          <cell r="G32">
            <v>0</v>
          </cell>
          <cell r="H32">
            <v>2.9999999999999997E-4</v>
          </cell>
          <cell r="I32">
            <v>0</v>
          </cell>
          <cell r="J32">
            <v>0</v>
          </cell>
          <cell r="K32">
            <v>5.3999999999999998E-5</v>
          </cell>
          <cell r="U32">
            <v>200</v>
          </cell>
          <cell r="V32">
            <v>0.95</v>
          </cell>
          <cell r="W32">
            <v>0.95</v>
          </cell>
        </row>
        <row r="39">
          <cell r="C39" t="str">
            <v>System 1 - PTAC</v>
          </cell>
          <cell r="D39" t="str">
            <v>System 2 - PTHP</v>
          </cell>
          <cell r="E39" t="str">
            <v>System 1 - PTAC</v>
          </cell>
          <cell r="F39" t="str">
            <v>System 9 - Heating and Ventilation</v>
          </cell>
          <cell r="G39" t="str">
            <v>System 3 - PSZ-AC</v>
          </cell>
          <cell r="H39" t="str">
            <v>System 1 - PTAC</v>
          </cell>
          <cell r="I39" t="str">
            <v>System 5 - Packaged VAV with Reheat</v>
          </cell>
        </row>
        <row r="40">
          <cell r="C40" t="str">
            <v>System 2 - PTHP</v>
          </cell>
          <cell r="D40" t="str">
            <v>System 3 - PSZ-AC</v>
          </cell>
          <cell r="E40" t="str">
            <v>System 1 (District Cooling) - 4-pipe Fan Coil with HW Boiler</v>
          </cell>
          <cell r="F40" t="str">
            <v>System 10 - Heating and Ventilation</v>
          </cell>
          <cell r="G40" t="str">
            <v>System 4 - PSZ-HP</v>
          </cell>
          <cell r="H40" t="str">
            <v>System 1 (District Cooling) - 4-pipe Fan Coil with HW Boiler</v>
          </cell>
          <cell r="I40" t="str">
            <v>System 5 (District Cooling) - Change to System 7 - VAV with Reheat</v>
          </cell>
        </row>
        <row r="41">
          <cell r="C41" t="str">
            <v>System 3 - PSZ-AC</v>
          </cell>
          <cell r="D41" t="str">
            <v>System 3 (District Cooling) - 2-pipe CV AHU with Fossil Fuel Furnace</v>
          </cell>
          <cell r="E41" t="str">
            <v>System 1 (District Heating) - PTAC</v>
          </cell>
          <cell r="F41" t="str">
            <v>System 9 (District Heating) - Heating and Ventilation</v>
          </cell>
          <cell r="G41" t="str">
            <v>System 9 - Heating and Ventilation</v>
          </cell>
          <cell r="H41" t="str">
            <v>System 1 (District Heating) - PTAC</v>
          </cell>
          <cell r="I41" t="str">
            <v>System 5 (District Heating) - Packaged VAV with Reheat</v>
          </cell>
        </row>
        <row r="42">
          <cell r="C42" t="str">
            <v>System 4 - PSZ-HP</v>
          </cell>
          <cell r="D42" t="str">
            <v>System 4 - PSZ-HP</v>
          </cell>
          <cell r="E42" t="str">
            <v>System 1 (District Heating &amp; Cooling) - 4-pipe Fan Coil</v>
          </cell>
          <cell r="G42" t="str">
            <v>System 10 - Heating and Ventilation</v>
          </cell>
          <cell r="H42" t="str">
            <v>System 1 (District Heating &amp; Cooling) - 4-pipe Fan Coil</v>
          </cell>
          <cell r="I42" t="str">
            <v>System 5 (District Heating &amp; Cooling) - Change to System 7 - VAV with Reheat</v>
          </cell>
        </row>
        <row r="43">
          <cell r="C43" t="str">
            <v>System 5 - Packaged VAV with Reheat</v>
          </cell>
          <cell r="D43" t="str">
            <v>System 4 (District Cooling) - 2-pipe CV AHU with Fossil Fuel Furnace</v>
          </cell>
          <cell r="E43" t="str">
            <v>System 1 (District Heating) - PTAC</v>
          </cell>
          <cell r="G43" t="str">
            <v>System 3 (District Cooling) - 2-pipe CV AHU with Fossil Fuel Furnace</v>
          </cell>
          <cell r="H43" t="str">
            <v>System 2 - PTHP</v>
          </cell>
          <cell r="I43" t="str">
            <v>System 6 - Packaged VAV with PFP Boxes</v>
          </cell>
        </row>
        <row r="44">
          <cell r="C44" t="str">
            <v>System 6 - Packaged VAV with PFP Boxes</v>
          </cell>
          <cell r="D44" t="str">
            <v>System 9 - Heating and Ventilation</v>
          </cell>
          <cell r="E44" t="str">
            <v>System 1 (District Heating &amp; Cooling) - 4-pipe Fan Coil</v>
          </cell>
          <cell r="G44" t="str">
            <v>System 4 (District Cooling) - 2-pipe CV AHU with Fossil Fuel Furnace</v>
          </cell>
          <cell r="H44" t="str">
            <v>System 2 (District Cooling) - 4-pipe Fan Coil with HW Boiler</v>
          </cell>
          <cell r="I44" t="str">
            <v>System 6 (District Cooling) - Change to System 8 - VAV with PFP Boxes</v>
          </cell>
        </row>
        <row r="45">
          <cell r="C45" t="str">
            <v>System 1 (District Heating) - PTAC</v>
          </cell>
          <cell r="E45" t="str">
            <v>System 2 - PTHP</v>
          </cell>
          <cell r="H45" t="str">
            <v>System 9 - Heating and Ventilation</v>
          </cell>
          <cell r="I45" t="str">
            <v>System 7 - VAV with Reheat</v>
          </cell>
        </row>
        <row r="46">
          <cell r="C46" t="str">
            <v>System 3 (District Heating) - PSZ-AC with District Heating</v>
          </cell>
          <cell r="E46" t="str">
            <v>System 2 (District Cooling) - 4-pipe Fan Coil with HW Boiler</v>
          </cell>
          <cell r="H46" t="str">
            <v>System 9 - Heating and Ventilation</v>
          </cell>
          <cell r="I46" t="str">
            <v>System 7 (District Cooling) - VAV with Reheat</v>
          </cell>
        </row>
        <row r="47">
          <cell r="C47" t="str">
            <v>System 5 (District Heating) - Packaged VAV with Reheat</v>
          </cell>
          <cell r="E47" t="str">
            <v>System 9 - Heating and Ventilation</v>
          </cell>
          <cell r="H47" t="str">
            <v>System 9 (District Heating) - Heating and Ventilation</v>
          </cell>
          <cell r="I47" t="str">
            <v>System 7 (District Heating) - VAV with Reheat</v>
          </cell>
        </row>
        <row r="48">
          <cell r="E48" t="str">
            <v>System 9 (District Heating) - Heating and Ventilation</v>
          </cell>
          <cell r="H48" t="str">
            <v>System 9 (District Heating) - Heating and Ventilation</v>
          </cell>
          <cell r="I48" t="str">
            <v>System 7 (Heating &amp; Cooling) - VAV with Reheat</v>
          </cell>
        </row>
        <row r="49">
          <cell r="E49" t="str">
            <v>System 10 - Heating and Ventilation</v>
          </cell>
          <cell r="H49" t="str">
            <v>System 10 - Heating and Ventilation</v>
          </cell>
          <cell r="I49" t="str">
            <v>System 8 - VAV with PFP Boxes</v>
          </cell>
        </row>
        <row r="50">
          <cell r="H50" t="str">
            <v>System 10 - Heating and Ventilation</v>
          </cell>
          <cell r="I50" t="str">
            <v>System 8 (District Cooling)- VAV with PFP Boxes</v>
          </cell>
        </row>
      </sheetData>
      <sheetData sheetId="19"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ghting Lookup"/>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6 - General HVAC"/>
    </sheetNames>
    <sheetDataSet>
      <sheetData sheetId="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_Outputs_2"/>
      <sheetName val="Performance_Outputs_0"/>
      <sheetName val="Instructions"/>
      <sheetName val="Definitions"/>
      <sheetName val="General Information"/>
      <sheetName val="Revision Notes"/>
      <sheetName val="Multiple Buildings Details"/>
      <sheetName val="Schedules"/>
      <sheetName val="EFLH Calculator"/>
      <sheetName val="Multifamily Details"/>
      <sheetName val="Shading and Fenestration"/>
      <sheetName val="Opaque Assemblies"/>
      <sheetName val="DropdownData"/>
      <sheetName val="Envelope Assumptions"/>
      <sheetName val="Envelope Lookup 90.1-2013"/>
      <sheetName val="Envelope Lookup 90.1-2010"/>
      <sheetName val="Lighting Counts"/>
      <sheetName val="General Lighting"/>
      <sheetName val="Lighting Assumptions"/>
      <sheetName val="Lighting Assumptions 90.1-2013"/>
      <sheetName val="Lighting Assumptions 90.1-2010"/>
      <sheetName val="Process Loads"/>
      <sheetName val="Service Water Heating"/>
      <sheetName val="SWH Lookup"/>
      <sheetName val="General HVAC"/>
      <sheetName val="Air-Side HVAC"/>
      <sheetName val="Water-Side HVAC"/>
      <sheetName val="Results from eQuest"/>
      <sheetName val="ECM"/>
      <sheetName val="Detailed Measures"/>
      <sheetName val="Results from Trace"/>
      <sheetName val="Performance_Outputs_1"/>
      <sheetName val="Quality Assurance Checks"/>
      <sheetName val="Performance_Outputs_0 old"/>
      <sheetName val="Performance_Outputs_Summary"/>
      <sheetName val="BPF 2013BM"/>
      <sheetName val="BPF 2007"/>
      <sheetName val="BPF 2010"/>
      <sheetName val="BPF 2013"/>
      <sheetName val="BPF 2016"/>
      <sheetName val="Summary"/>
      <sheetName val="Revision Log"/>
      <sheetName val="HVAC Lookup"/>
      <sheetName val="HVAC Lookup 90.1-2013"/>
      <sheetName val="HVAC Lookup 90.1-2010"/>
      <sheetName val="District Energy Path 3"/>
    </sheetNames>
    <sheetDataSet>
      <sheetData sheetId="0" refreshError="1"/>
      <sheetData sheetId="1" refreshError="1"/>
      <sheetData sheetId="2" refreshError="1"/>
      <sheetData sheetId="3" refreshError="1"/>
      <sheetData sheetId="4">
        <row r="7">
          <cell r="E7" t="str">
            <v>MPP BM HW Heat CZ 4A MPP</v>
          </cell>
        </row>
      </sheetData>
      <sheetData sheetId="5" refreshError="1"/>
      <sheetData sheetId="6">
        <row r="12">
          <cell r="O12" t="b">
            <v>0</v>
          </cell>
        </row>
      </sheetData>
      <sheetData sheetId="7" refreshError="1"/>
      <sheetData sheetId="8" refreshError="1"/>
      <sheetData sheetId="9">
        <row r="11">
          <cell r="B11" t="str">
            <v>Building ID</v>
          </cell>
        </row>
      </sheetData>
      <sheetData sheetId="10" refreshError="1"/>
      <sheetData sheetId="11" refreshError="1"/>
      <sheetData sheetId="12">
        <row r="2">
          <cell r="B2" t="str">
            <v>Electricity</v>
          </cell>
          <cell r="DT2">
            <v>3</v>
          </cell>
        </row>
        <row r="3">
          <cell r="DT3" t="str">
            <v>MPP BM HW Heat CZ 4A MPP</v>
          </cell>
        </row>
        <row r="4">
          <cell r="DT4" t="str">
            <v>MPP BM HW Heat CZ 4A MPP</v>
          </cell>
        </row>
        <row r="5">
          <cell r="DT5" t="str">
            <v>All</v>
          </cell>
        </row>
        <row r="6">
          <cell r="DT6" t="e">
            <v>#N/A</v>
          </cell>
        </row>
        <row r="7">
          <cell r="DT7" t="e">
            <v>#N/A</v>
          </cell>
        </row>
        <row r="8">
          <cell r="DT8" t="e">
            <v>#N/A</v>
          </cell>
        </row>
        <row r="9">
          <cell r="DT9" t="e">
            <v>#N/A</v>
          </cell>
        </row>
        <row r="10">
          <cell r="DT10" t="e">
            <v>#N/A</v>
          </cell>
        </row>
        <row r="11">
          <cell r="DT11" t="e">
            <v>#N/A</v>
          </cell>
        </row>
        <row r="12">
          <cell r="DT12" t="e">
            <v>#N/A</v>
          </cell>
        </row>
        <row r="13">
          <cell r="DT13" t="e">
            <v>#N/A</v>
          </cell>
        </row>
        <row r="14">
          <cell r="DT14" t="e">
            <v>#N/A</v>
          </cell>
        </row>
        <row r="15">
          <cell r="DT15" t="e">
            <v>#N/A</v>
          </cell>
        </row>
        <row r="16">
          <cell r="DT16" t="e">
            <v>#N/A</v>
          </cell>
        </row>
        <row r="17">
          <cell r="DT17" t="e">
            <v>#N/A</v>
          </cell>
        </row>
        <row r="18">
          <cell r="DT18" t="e">
            <v>#N/A</v>
          </cell>
        </row>
        <row r="19">
          <cell r="DT19" t="e">
            <v>#N/A</v>
          </cell>
        </row>
        <row r="20">
          <cell r="DT20" t="e">
            <v>#N/A</v>
          </cell>
        </row>
        <row r="21">
          <cell r="DT21" t="e">
            <v>#N/A</v>
          </cell>
        </row>
        <row r="22">
          <cell r="DT22" t="e">
            <v>#N/A</v>
          </cell>
        </row>
        <row r="23">
          <cell r="DT23" t="e">
            <v>#N/A</v>
          </cell>
        </row>
        <row r="24">
          <cell r="DT24" t="e">
            <v>#N/A</v>
          </cell>
        </row>
        <row r="25">
          <cell r="DT25" t="e">
            <v>#N/A</v>
          </cell>
        </row>
        <row r="26">
          <cell r="DT26" t="e">
            <v>#N/A</v>
          </cell>
        </row>
        <row r="27">
          <cell r="DT27" t="e">
            <v>#N/A</v>
          </cell>
        </row>
        <row r="28">
          <cell r="DT28" t="e">
            <v>#N/A</v>
          </cell>
        </row>
        <row r="29">
          <cell r="DT29" t="e">
            <v>#N/A</v>
          </cell>
        </row>
        <row r="30">
          <cell r="DT30" t="e">
            <v>#N/A</v>
          </cell>
        </row>
        <row r="31">
          <cell r="DT31" t="e">
            <v>#N/A</v>
          </cell>
        </row>
        <row r="32">
          <cell r="DT32" t="e">
            <v>#N/A</v>
          </cell>
        </row>
        <row r="33">
          <cell r="DT33" t="e">
            <v>#N/A</v>
          </cell>
        </row>
        <row r="34">
          <cell r="DT34" t="e">
            <v>#N/A</v>
          </cell>
        </row>
        <row r="35">
          <cell r="DT35" t="e">
            <v>#N/A</v>
          </cell>
        </row>
        <row r="36">
          <cell r="DT36" t="e">
            <v>#N/A</v>
          </cell>
        </row>
        <row r="37">
          <cell r="DT37" t="e">
            <v>#N/A</v>
          </cell>
        </row>
        <row r="38">
          <cell r="DT38" t="e">
            <v>#N/A</v>
          </cell>
        </row>
        <row r="39">
          <cell r="DT39" t="e">
            <v>#N/A</v>
          </cell>
        </row>
        <row r="40">
          <cell r="DT40" t="e">
            <v>#N/A</v>
          </cell>
        </row>
        <row r="41">
          <cell r="DT41" t="e">
            <v>#N/A</v>
          </cell>
        </row>
        <row r="42">
          <cell r="DT42" t="e">
            <v>#N/A</v>
          </cell>
        </row>
      </sheetData>
      <sheetData sheetId="13">
        <row r="3">
          <cell r="CI3" t="str">
            <v>Grocery Store</v>
          </cell>
        </row>
      </sheetData>
      <sheetData sheetId="14"/>
      <sheetData sheetId="15" refreshError="1"/>
      <sheetData sheetId="16">
        <row r="26">
          <cell r="H26">
            <v>84360</v>
          </cell>
        </row>
      </sheetData>
      <sheetData sheetId="17">
        <row r="32">
          <cell r="B32">
            <v>0</v>
          </cell>
        </row>
      </sheetData>
      <sheetData sheetId="18">
        <row r="3">
          <cell r="D3" t="str">
            <v>Automotive facility</v>
          </cell>
        </row>
      </sheetData>
      <sheetData sheetId="19" refreshError="1"/>
      <sheetData sheetId="20" refreshError="1"/>
      <sheetData sheetId="21"/>
      <sheetData sheetId="22">
        <row r="40">
          <cell r="B40" t="str">
            <v>Building ID</v>
          </cell>
        </row>
      </sheetData>
      <sheetData sheetId="23" refreshError="1"/>
      <sheetData sheetId="24">
        <row r="17">
          <cell r="C17" t="str">
            <v>HW Baseboards with Cycling Room Air Conditioner and Energy Recovery. Ventilation provided by passive make-up air through trickle vents from apartment exhaust system.</v>
          </cell>
        </row>
      </sheetData>
      <sheetData sheetId="25">
        <row r="12">
          <cell r="M12" t="str">
            <v>MPP BM HW Heat CZ 4A MPP</v>
          </cell>
        </row>
      </sheetData>
      <sheetData sheetId="26" refreshError="1"/>
      <sheetData sheetId="27">
        <row r="16">
          <cell r="J16" t="str">
            <v>0+Window</v>
          </cell>
        </row>
      </sheetData>
      <sheetData sheetId="28"/>
      <sheetData sheetId="29" refreshError="1"/>
      <sheetData sheetId="30" refreshError="1"/>
      <sheetData sheetId="31">
        <row r="111">
          <cell r="B111" t="str">
            <v>Interior lighting</v>
          </cell>
        </row>
      </sheetData>
      <sheetData sheetId="32" refreshError="1"/>
      <sheetData sheetId="33" refreshError="1"/>
      <sheetData sheetId="34" refreshError="1"/>
      <sheetData sheetId="35" refreshError="1"/>
      <sheetData sheetId="36" refreshError="1"/>
      <sheetData sheetId="37" refreshError="1"/>
      <sheetData sheetId="38">
        <row r="4">
          <cell r="B4" t="str">
            <v>Office</v>
          </cell>
        </row>
      </sheetData>
      <sheetData sheetId="39" refreshError="1"/>
      <sheetData sheetId="40" refreshError="1"/>
      <sheetData sheetId="41" refreshError="1"/>
      <sheetData sheetId="42">
        <row r="8">
          <cell r="AA8" t="str">
            <v>All capacities</v>
          </cell>
        </row>
        <row r="10">
          <cell r="H10" t="str">
            <v>System 1 - PTAC</v>
          </cell>
          <cell r="I10" t="str">
            <v>System 1 - PTAC</v>
          </cell>
        </row>
        <row r="11">
          <cell r="H11" t="str">
            <v>System 2 - PTHP</v>
          </cell>
          <cell r="I11" t="str">
            <v>System 2 - PTHP</v>
          </cell>
        </row>
        <row r="12">
          <cell r="H12" t="str">
            <v>System 3 - PSZ-AC</v>
          </cell>
          <cell r="I12" t="str">
            <v>System 3 - PSZ-AC</v>
          </cell>
        </row>
        <row r="13">
          <cell r="H13" t="str">
            <v>System 4 - PSZ-HP</v>
          </cell>
          <cell r="I13" t="str">
            <v>System 4 - PSZ-HP</v>
          </cell>
        </row>
        <row r="14">
          <cell r="H14" t="str">
            <v>System 5 - Packaged VAV with Reheat</v>
          </cell>
          <cell r="I14" t="str">
            <v>System 5 - Packaged VAV with Reheat</v>
          </cell>
        </row>
        <row r="15">
          <cell r="H15" t="str">
            <v>System 6 - Packaged VAV with PFP Boxes</v>
          </cell>
          <cell r="I15" t="str">
            <v>System 6 - Packaged VAV with PFP Boxes</v>
          </cell>
        </row>
        <row r="16">
          <cell r="H16" t="str">
            <v>System 7 - VAV with Reheat</v>
          </cell>
          <cell r="I16" t="str">
            <v>System 7 - VAV with Reheat</v>
          </cell>
        </row>
        <row r="17">
          <cell r="H17" t="str">
            <v>System 8 - VAV with PFP Boxes</v>
          </cell>
          <cell r="I17" t="str">
            <v>System 8 - VAV with PFP Boxes</v>
          </cell>
        </row>
        <row r="18">
          <cell r="H18" t="str">
            <v>System 9 - Heating and Ventilation</v>
          </cell>
          <cell r="I18" t="str">
            <v>System 9 - Heating and Ventilation</v>
          </cell>
        </row>
        <row r="19">
          <cell r="H19" t="str">
            <v>System 10 - Heating and Ventilation</v>
          </cell>
          <cell r="I19" t="str">
            <v>System 10 - Heating and Ventilation</v>
          </cell>
        </row>
        <row r="20">
          <cell r="H20" t="str">
            <v>System 11 - SZ-VAV</v>
          </cell>
          <cell r="I20" t="str">
            <v>System 11 - SZ-VAV</v>
          </cell>
        </row>
        <row r="21">
          <cell r="H21" t="str">
            <v>System 12 - SZ-CV-HW</v>
          </cell>
          <cell r="I21" t="str">
            <v>System 12 - SZ-CV-HW</v>
          </cell>
        </row>
        <row r="22">
          <cell r="H22" t="str">
            <v>System 13 - SZ-CV-ER</v>
          </cell>
          <cell r="I22" t="str">
            <v>System 13 - SZ-CV-ER</v>
          </cell>
        </row>
        <row r="26">
          <cell r="H26">
            <v>0</v>
          </cell>
          <cell r="I26">
            <v>0</v>
          </cell>
        </row>
        <row r="27">
          <cell r="H27">
            <v>0</v>
          </cell>
          <cell r="I27">
            <v>0</v>
          </cell>
        </row>
        <row r="28">
          <cell r="H28">
            <v>0</v>
          </cell>
          <cell r="I28">
            <v>0</v>
          </cell>
        </row>
        <row r="29">
          <cell r="H29">
            <v>0</v>
          </cell>
          <cell r="I29">
            <v>0</v>
          </cell>
        </row>
        <row r="30">
          <cell r="H30">
            <v>0</v>
          </cell>
          <cell r="I30">
            <v>0</v>
          </cell>
        </row>
        <row r="31">
          <cell r="H31">
            <v>0</v>
          </cell>
          <cell r="I31">
            <v>0</v>
          </cell>
        </row>
        <row r="32">
          <cell r="H32">
            <v>0</v>
          </cell>
          <cell r="I32">
            <v>0</v>
          </cell>
        </row>
      </sheetData>
      <sheetData sheetId="43" refreshError="1"/>
      <sheetData sheetId="44" refreshError="1"/>
      <sheetData sheetId="45">
        <row r="60">
          <cell r="B60">
            <v>0</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_Outputs_2"/>
      <sheetName val="Performance_Outputs_0"/>
      <sheetName val="Instructions-NCP"/>
      <sheetName val="Instructions - LEED"/>
      <sheetName val="Definitions"/>
      <sheetName val="General Information"/>
      <sheetName val="Multiple Buildings Details"/>
      <sheetName val="Schedules"/>
      <sheetName val="EFLH Calculator"/>
      <sheetName val="Multifamily Details"/>
      <sheetName val="Shading and Fenestration"/>
      <sheetName val="Opaque Assemblies"/>
      <sheetName val="DropdownData"/>
      <sheetName val="Envelope Assumptions"/>
      <sheetName val="Envelope Lookup 90.1-2013"/>
      <sheetName val="Envelope Lookup 90.1-2010"/>
      <sheetName val="Lighting Counts"/>
      <sheetName val="General Lighting"/>
      <sheetName val="Lighting Assumptions"/>
      <sheetName val="Lighting Assumptions 90.1-2013"/>
      <sheetName val="Lighting Assumptions 90.1-2010"/>
      <sheetName val="Process Loads"/>
      <sheetName val="Service Water Heating"/>
      <sheetName val="SWH Lookup"/>
      <sheetName val="General HVAC"/>
      <sheetName val="Air-Side HVAC"/>
      <sheetName val="Water-Side HVAC"/>
      <sheetName val="Results from eQuest"/>
      <sheetName val="Results from Trace"/>
      <sheetName val="Performance_Outputs_1"/>
      <sheetName val="Quality Assurance Checks"/>
      <sheetName val="Performance_Outputs_0 old"/>
      <sheetName val="Performance_Outputs_Summary"/>
      <sheetName val="BPF 2013BM"/>
      <sheetName val="BPF 2010"/>
      <sheetName val="BPF 2013"/>
      <sheetName val="BPF 2016"/>
      <sheetName val="Summary"/>
      <sheetName val="Revision Log"/>
      <sheetName val="HVAC Lookup"/>
      <sheetName val="HVAC Lookup 90.1-2013"/>
      <sheetName val="HVAC Lookup 90.1-2010"/>
      <sheetName val="District Energy Path 3"/>
    </sheetNames>
    <sheetDataSet>
      <sheetData sheetId="0"/>
      <sheetData sheetId="1"/>
      <sheetData sheetId="2"/>
      <sheetData sheetId="3">
        <row r="80">
          <cell r="I80" t="str">
            <v>90% Construction Documents</v>
          </cell>
        </row>
      </sheetData>
      <sheetData sheetId="4"/>
      <sheetData sheetId="5">
        <row r="7">
          <cell r="E7" t="str">
            <v>NCP Multifamily Example</v>
          </cell>
        </row>
      </sheetData>
      <sheetData sheetId="6">
        <row r="12">
          <cell r="O12" t="b">
            <v>0</v>
          </cell>
        </row>
      </sheetData>
      <sheetData sheetId="7"/>
      <sheetData sheetId="8"/>
      <sheetData sheetId="9">
        <row r="11">
          <cell r="B11" t="str">
            <v>Building ID</v>
          </cell>
        </row>
      </sheetData>
      <sheetData sheetId="10"/>
      <sheetData sheetId="11"/>
      <sheetData sheetId="12">
        <row r="2">
          <cell r="B2" t="str">
            <v>Electricity</v>
          </cell>
          <cell r="DR2">
            <v>3</v>
          </cell>
        </row>
        <row r="3">
          <cell r="DR3" t="str">
            <v>NCP Multifamily Example</v>
          </cell>
        </row>
        <row r="4">
          <cell r="DR4" t="str">
            <v>NCP Multifamily Example</v>
          </cell>
        </row>
        <row r="5">
          <cell r="DR5" t="str">
            <v>All</v>
          </cell>
        </row>
        <row r="6">
          <cell r="DR6" t="e">
            <v>#N/A</v>
          </cell>
        </row>
        <row r="7">
          <cell r="DR7" t="e">
            <v>#N/A</v>
          </cell>
        </row>
        <row r="8">
          <cell r="DR8" t="e">
            <v>#N/A</v>
          </cell>
        </row>
        <row r="9">
          <cell r="DR9" t="e">
            <v>#N/A</v>
          </cell>
        </row>
        <row r="10">
          <cell r="DR10" t="e">
            <v>#N/A</v>
          </cell>
        </row>
        <row r="11">
          <cell r="DR11" t="e">
            <v>#N/A</v>
          </cell>
        </row>
        <row r="12">
          <cell r="DR12" t="e">
            <v>#N/A</v>
          </cell>
        </row>
        <row r="13">
          <cell r="DR13" t="e">
            <v>#N/A</v>
          </cell>
        </row>
        <row r="14">
          <cell r="DR14" t="e">
            <v>#N/A</v>
          </cell>
        </row>
        <row r="15">
          <cell r="DR15" t="e">
            <v>#N/A</v>
          </cell>
        </row>
        <row r="16">
          <cell r="DR16" t="e">
            <v>#N/A</v>
          </cell>
        </row>
        <row r="17">
          <cell r="DR17" t="e">
            <v>#N/A</v>
          </cell>
        </row>
        <row r="18">
          <cell r="DR18" t="e">
            <v>#N/A</v>
          </cell>
        </row>
        <row r="19">
          <cell r="DR19" t="e">
            <v>#N/A</v>
          </cell>
        </row>
        <row r="20">
          <cell r="DR20" t="e">
            <v>#N/A</v>
          </cell>
        </row>
        <row r="21">
          <cell r="DR21" t="e">
            <v>#N/A</v>
          </cell>
        </row>
        <row r="22">
          <cell r="DR22" t="e">
            <v>#N/A</v>
          </cell>
        </row>
        <row r="23">
          <cell r="DR23" t="e">
            <v>#N/A</v>
          </cell>
        </row>
        <row r="24">
          <cell r="DR24" t="e">
            <v>#N/A</v>
          </cell>
        </row>
        <row r="25">
          <cell r="DR25" t="e">
            <v>#N/A</v>
          </cell>
        </row>
        <row r="26">
          <cell r="DR26" t="e">
            <v>#N/A</v>
          </cell>
        </row>
        <row r="27">
          <cell r="DR27" t="e">
            <v>#N/A</v>
          </cell>
        </row>
        <row r="28">
          <cell r="DR28" t="e">
            <v>#N/A</v>
          </cell>
        </row>
        <row r="29">
          <cell r="DR29" t="e">
            <v>#N/A</v>
          </cell>
        </row>
        <row r="30">
          <cell r="DR30" t="e">
            <v>#N/A</v>
          </cell>
        </row>
        <row r="31">
          <cell r="DR31" t="e">
            <v>#N/A</v>
          </cell>
        </row>
        <row r="32">
          <cell r="DR32" t="e">
            <v>#N/A</v>
          </cell>
        </row>
        <row r="33">
          <cell r="DR33" t="e">
            <v>#N/A</v>
          </cell>
        </row>
        <row r="34">
          <cell r="DR34" t="e">
            <v>#N/A</v>
          </cell>
        </row>
        <row r="35">
          <cell r="DR35" t="e">
            <v>#N/A</v>
          </cell>
        </row>
        <row r="36">
          <cell r="DR36" t="e">
            <v>#N/A</v>
          </cell>
        </row>
        <row r="37">
          <cell r="DR37" t="e">
            <v>#N/A</v>
          </cell>
        </row>
        <row r="38">
          <cell r="DR38" t="e">
            <v>#N/A</v>
          </cell>
        </row>
        <row r="39">
          <cell r="DR39" t="e">
            <v>#N/A</v>
          </cell>
        </row>
        <row r="40">
          <cell r="DR40" t="e">
            <v>#N/A</v>
          </cell>
        </row>
        <row r="41">
          <cell r="DR41" t="e">
            <v>#N/A</v>
          </cell>
        </row>
        <row r="42">
          <cell r="DR42" t="e">
            <v>#N/A</v>
          </cell>
        </row>
      </sheetData>
      <sheetData sheetId="13">
        <row r="3">
          <cell r="CI3" t="str">
            <v>Grocery Store</v>
          </cell>
        </row>
      </sheetData>
      <sheetData sheetId="14"/>
      <sheetData sheetId="15"/>
      <sheetData sheetId="16"/>
      <sheetData sheetId="17">
        <row r="32">
          <cell r="B32">
            <v>0</v>
          </cell>
        </row>
      </sheetData>
      <sheetData sheetId="18">
        <row r="4">
          <cell r="L4" t="str">
            <v>Parking lots and drives</v>
          </cell>
        </row>
      </sheetData>
      <sheetData sheetId="19"/>
      <sheetData sheetId="20"/>
      <sheetData sheetId="21"/>
      <sheetData sheetId="22">
        <row r="39">
          <cell r="B39" t="str">
            <v>Building ID</v>
          </cell>
        </row>
      </sheetData>
      <sheetData sheetId="23"/>
      <sheetData sheetId="24">
        <row r="17">
          <cell r="C17" t="str">
            <v>Apartment VRF with supplemental Heat Pump</v>
          </cell>
        </row>
      </sheetData>
      <sheetData sheetId="25">
        <row r="12">
          <cell r="M12" t="str">
            <v>NC MF Example</v>
          </cell>
        </row>
      </sheetData>
      <sheetData sheetId="26"/>
      <sheetData sheetId="27"/>
      <sheetData sheetId="28"/>
      <sheetData sheetId="29">
        <row r="97">
          <cell r="B97" t="str">
            <v>Interior lighting</v>
          </cell>
        </row>
      </sheetData>
      <sheetData sheetId="30"/>
      <sheetData sheetId="31"/>
      <sheetData sheetId="32"/>
      <sheetData sheetId="33"/>
      <sheetData sheetId="34"/>
      <sheetData sheetId="35">
        <row r="4">
          <cell r="B4" t="str">
            <v>Office</v>
          </cell>
        </row>
      </sheetData>
      <sheetData sheetId="36"/>
      <sheetData sheetId="37"/>
      <sheetData sheetId="38"/>
      <sheetData sheetId="39">
        <row r="8">
          <cell r="AA8" t="str">
            <v>All capacities</v>
          </cell>
        </row>
        <row r="10">
          <cell r="H10" t="str">
            <v>System 1 - PTAC</v>
          </cell>
        </row>
        <row r="11">
          <cell r="H11" t="str">
            <v>System 2 - PTHP</v>
          </cell>
        </row>
        <row r="12">
          <cell r="H12" t="str">
            <v>System 3 - PSZ-AC</v>
          </cell>
        </row>
        <row r="13">
          <cell r="H13" t="str">
            <v>System 4 - PSZ-HP</v>
          </cell>
        </row>
        <row r="14">
          <cell r="H14" t="str">
            <v>System 5 - Packaged VAV with Reheat</v>
          </cell>
        </row>
        <row r="15">
          <cell r="H15" t="str">
            <v>System 6 - Packaged VAV with PFP Boxes</v>
          </cell>
        </row>
        <row r="16">
          <cell r="H16" t="str">
            <v>System 7 - VAV with Reheat</v>
          </cell>
        </row>
        <row r="17">
          <cell r="H17" t="str">
            <v>System 8 - VAV with PFP Boxes</v>
          </cell>
        </row>
        <row r="18">
          <cell r="H18" t="str">
            <v>System 9 - Heating and Ventilation</v>
          </cell>
        </row>
        <row r="19">
          <cell r="H19" t="str">
            <v>System 10 - Heating and Ventilation</v>
          </cell>
        </row>
        <row r="20">
          <cell r="H20" t="str">
            <v>System 11 - SZ-VAV</v>
          </cell>
        </row>
        <row r="21">
          <cell r="H21" t="str">
            <v>System 12 - SZ-CV-HW</v>
          </cell>
        </row>
        <row r="22">
          <cell r="H22" t="str">
            <v>System 13 - SZ-CV-ER</v>
          </cell>
        </row>
        <row r="26">
          <cell r="H26">
            <v>0</v>
          </cell>
        </row>
        <row r="27">
          <cell r="H27">
            <v>0</v>
          </cell>
        </row>
        <row r="28">
          <cell r="H28">
            <v>0</v>
          </cell>
        </row>
        <row r="29">
          <cell r="H29">
            <v>0</v>
          </cell>
        </row>
        <row r="30">
          <cell r="H30">
            <v>0</v>
          </cell>
        </row>
        <row r="31">
          <cell r="H31">
            <v>0</v>
          </cell>
        </row>
        <row r="32">
          <cell r="H32">
            <v>0</v>
          </cell>
        </row>
      </sheetData>
      <sheetData sheetId="40"/>
      <sheetData sheetId="41"/>
      <sheetData sheetId="42">
        <row r="60">
          <cell r="B60">
            <v>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PD-Space by Space"/>
    </sheetNames>
    <sheetDataSet>
      <sheetData sheetId="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ther Lookup"/>
    </sheetNames>
    <sheetDataSet>
      <sheetData sheetId="0"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HVAC"/>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Lighting"/>
    </sheetNames>
    <sheetDataSet>
      <sheetData sheetId="0"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A - Interior Lighting"/>
    </sheetNames>
    <sheetDataSet>
      <sheetData sheetId="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ultiple Buildings Details"/>
    </sheetNames>
    <sheetDataSet>
      <sheetData sheetId="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_Outputs_1"/>
    </sheetNames>
    <sheetDataSet>
      <sheetData sheetId="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nvelope Lookup"/>
    </sheetNames>
    <sheetDataSet>
      <sheetData sheetId="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rvice Water Heating"/>
    </sheetNames>
    <sheetDataSet>
      <sheetData sheetId="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ghting Counts"/>
    </sheetNames>
    <sheetDataSet>
      <sheetData sheetId="0"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 - Shading &amp; Fenestration"/>
    </sheetNames>
    <sheetDataSet>
      <sheetData sheetId="0"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Definitions"/>
      <sheetName val="General Information"/>
      <sheetName val="Multiple Buildings Details"/>
      <sheetName val="Schedules"/>
      <sheetName val="EFLH Calculator"/>
      <sheetName val="Multifamily Details"/>
      <sheetName val="Opaque Assemblies"/>
      <sheetName val="Shading and Fenestration"/>
      <sheetName val="DropdownData"/>
      <sheetName val="Envelope Assumptions"/>
      <sheetName val="Lighting Counts"/>
      <sheetName val="General Lighting"/>
      <sheetName val="Lighting Assumptions"/>
      <sheetName val="Process Loads"/>
      <sheetName val="Service Water Heating"/>
      <sheetName val="General HVAC"/>
      <sheetName val="Air-Side HVAC"/>
      <sheetName val="Water-Side HVAC"/>
      <sheetName val="Performance_Outputs_0"/>
      <sheetName val="Performance_Outputs_1"/>
      <sheetName val="Performance_Outputs_0 old"/>
      <sheetName val="Performance_Outputs_Summary"/>
      <sheetName val="Summary"/>
      <sheetName val="HVAC Lookup"/>
      <sheetName val="District Energy Path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USeGrids" displayName="USeGrids" ref="E27:E53" totalsRowShown="0" dataDxfId="1">
  <autoFilter ref="E27:E53" xr:uid="{00000000-0009-0000-0100-000003000000}"/>
  <tableColumns count="1">
    <tableColumn id="1" xr3:uid="{00000000-0010-0000-0000-000001000000}" name="USeGrids" dataDxfId="0"/>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CanadaProvinces" displayName="CanadaProvinces" ref="F27:F40" totalsRowShown="0">
  <autoFilter ref="F27:F40" xr:uid="{00000000-0009-0000-0100-000004000000}"/>
  <tableColumns count="1">
    <tableColumn id="1" xr3:uid="{00000000-0010-0000-0100-000001000000}" name="CanadaProvinces"/>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ISO" displayName="ISO" ref="G27:G28" totalsRowShown="0">
  <autoFilter ref="G27:G28" xr:uid="{00000000-0009-0000-0100-000005000000}"/>
  <tableColumns count="1">
    <tableColumn id="1" xr3:uid="{00000000-0010-0000-0200-000001000000}" name="ISO"/>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Other" displayName="Other" ref="H27:H28" totalsRowShown="0">
  <autoFilter ref="H27:H28" xr:uid="{00000000-0009-0000-0100-000006000000}"/>
  <tableColumns count="1">
    <tableColumn id="1" xr3:uid="{00000000-0010-0000-0300-000001000000}" name="Other"/>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ustom 1">
      <a:majorFont>
        <a:latin typeface="Arial Black"/>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drawing" Target="../drawings/drawing3.x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vmlDrawing" Target="../drawings/vmlDrawing2.vml"/><Relationship Id="rId9"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drawing" Target="../drawings/drawing4.x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0" Type="http://schemas.openxmlformats.org/officeDocument/2006/relationships/ctrlProp" Target="../ctrlProps/ctrlProp30.xml"/><Relationship Id="rId4" Type="http://schemas.openxmlformats.org/officeDocument/2006/relationships/vmlDrawing" Target="../drawings/vmlDrawing3.vml"/><Relationship Id="rId9" Type="http://schemas.openxmlformats.org/officeDocument/2006/relationships/ctrlProp" Target="../ctrlProps/ctrlProp29.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39.xml"/><Relationship Id="rId2" Type="http://schemas.openxmlformats.org/officeDocument/2006/relationships/drawing" Target="../drawings/drawing6.xml"/><Relationship Id="rId1" Type="http://schemas.openxmlformats.org/officeDocument/2006/relationships/printerSettings" Target="../printerSettings/printerSettings10.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drawing" Target="../drawings/drawing7.xml"/><Relationship Id="rId7" Type="http://schemas.openxmlformats.org/officeDocument/2006/relationships/ctrlProp" Target="../ctrlProps/ctrlProp42.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trlProp" Target="../ctrlProps/ctrlProp45.xml"/><Relationship Id="rId4" Type="http://schemas.openxmlformats.org/officeDocument/2006/relationships/vmlDrawing" Target="../drawings/vmlDrawing6.v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drawing" Target="../drawings/drawing8.xml"/><Relationship Id="rId7" Type="http://schemas.openxmlformats.org/officeDocument/2006/relationships/ctrlProp" Target="../ctrlProps/ctrlProp48.xml"/><Relationship Id="rId12" Type="http://schemas.openxmlformats.org/officeDocument/2006/relationships/ctrlProp" Target="../ctrlProps/ctrlProp53.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0" Type="http://schemas.openxmlformats.org/officeDocument/2006/relationships/ctrlProp" Target="../ctrlProps/ctrlProp51.xml"/><Relationship Id="rId4" Type="http://schemas.openxmlformats.org/officeDocument/2006/relationships/vmlDrawing" Target="../drawings/vmlDrawing7.vml"/><Relationship Id="rId9" Type="http://schemas.openxmlformats.org/officeDocument/2006/relationships/ctrlProp" Target="../ctrlProps/ctrlProp50.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3" Type="http://schemas.openxmlformats.org/officeDocument/2006/relationships/drawing" Target="../drawings/drawing9.xml"/><Relationship Id="rId21" Type="http://schemas.openxmlformats.org/officeDocument/2006/relationships/ctrlProp" Target="../ctrlProps/ctrlProp70.x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 Type="http://schemas.openxmlformats.org/officeDocument/2006/relationships/printerSettings" Target="../printerSettings/printerSettings16.bin"/><Relationship Id="rId16" Type="http://schemas.openxmlformats.org/officeDocument/2006/relationships/ctrlProp" Target="../ctrlProps/ctrlProp65.xml"/><Relationship Id="rId20" Type="http://schemas.openxmlformats.org/officeDocument/2006/relationships/ctrlProp" Target="../ctrlProps/ctrlProp69.xml"/><Relationship Id="rId1" Type="http://schemas.openxmlformats.org/officeDocument/2006/relationships/printerSettings" Target="../printerSettings/printerSettings15.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19" Type="http://schemas.openxmlformats.org/officeDocument/2006/relationships/ctrlProp" Target="../ctrlProps/ctrlProp68.xml"/><Relationship Id="rId4" Type="http://schemas.openxmlformats.org/officeDocument/2006/relationships/vmlDrawing" Target="../drawings/vmlDrawing8.vml"/><Relationship Id="rId9" Type="http://schemas.openxmlformats.org/officeDocument/2006/relationships/ctrlProp" Target="../ctrlProps/ctrlProp58.xml"/><Relationship Id="rId14" Type="http://schemas.openxmlformats.org/officeDocument/2006/relationships/ctrlProp" Target="../ctrlProps/ctrlProp63.xml"/><Relationship Id="rId22" Type="http://schemas.openxmlformats.org/officeDocument/2006/relationships/ctrlProp" Target="../ctrlProps/ctrlProp7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72.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76.xml"/><Relationship Id="rId3" Type="http://schemas.openxmlformats.org/officeDocument/2006/relationships/drawing" Target="../drawings/drawing11.xml"/><Relationship Id="rId7" Type="http://schemas.openxmlformats.org/officeDocument/2006/relationships/ctrlProp" Target="../ctrlProps/ctrlProp75.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ctrlProp" Target="../ctrlProps/ctrlProp74.xml"/><Relationship Id="rId5" Type="http://schemas.openxmlformats.org/officeDocument/2006/relationships/ctrlProp" Target="../ctrlProps/ctrlProp73.xml"/><Relationship Id="rId4" Type="http://schemas.openxmlformats.org/officeDocument/2006/relationships/vmlDrawing" Target="../drawings/vmlDrawing10.vml"/><Relationship Id="rId9" Type="http://schemas.openxmlformats.org/officeDocument/2006/relationships/ctrlProp" Target="../ctrlProps/ctrlProp7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drawing" Target="../drawings/drawing12.x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vmlDrawing" Target="../drawings/vmlDrawing11.v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2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13.xml"/><Relationship Id="rId7" Type="http://schemas.openxmlformats.org/officeDocument/2006/relationships/ctrlProp" Target="../ctrlProps/ctrlProp91.xml"/><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vmlDrawing" Target="../drawings/vmlDrawing12.v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drawing" Target="../drawings/drawing14.xml"/><Relationship Id="rId7" Type="http://schemas.openxmlformats.org/officeDocument/2006/relationships/ctrlProp" Target="../ctrlProps/ctrlProp94.xml"/><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vmlDrawing" Target="../drawings/vmlDrawing13.vml"/></Relationships>
</file>

<file path=xl/worksheets/_rels/sheet2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15.xml"/><Relationship Id="rId7" Type="http://schemas.openxmlformats.org/officeDocument/2006/relationships/ctrlProp" Target="../ctrlProps/ctrlProp98.xml"/><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vmlDrawing" Target="../drawings/vmlDrawing14.v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99.xml"/><Relationship Id="rId2" Type="http://schemas.openxmlformats.org/officeDocument/2006/relationships/vmlDrawing" Target="../drawings/vmlDrawing15.vml"/><Relationship Id="rId1" Type="http://schemas.openxmlformats.org/officeDocument/2006/relationships/drawing" Target="../drawings/drawing16.xml"/><Relationship Id="rId5" Type="http://schemas.openxmlformats.org/officeDocument/2006/relationships/comments" Target="../comments4.xml"/><Relationship Id="rId4" Type="http://schemas.openxmlformats.org/officeDocument/2006/relationships/ctrlProp" Target="../ctrlProps/ctrlProp100.xm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vmlDrawing" Target="../drawings/vmlDrawing16.v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107.xml"/><Relationship Id="rId13" Type="http://schemas.openxmlformats.org/officeDocument/2006/relationships/ctrlProp" Target="../ctrlProps/ctrlProp112.xml"/><Relationship Id="rId3" Type="http://schemas.openxmlformats.org/officeDocument/2006/relationships/vmlDrawing" Target="../drawings/vmlDrawing17.vml"/><Relationship Id="rId7" Type="http://schemas.openxmlformats.org/officeDocument/2006/relationships/ctrlProp" Target="../ctrlProps/ctrlProp106.xml"/><Relationship Id="rId12" Type="http://schemas.openxmlformats.org/officeDocument/2006/relationships/ctrlProp" Target="../ctrlProps/ctrlProp111.xml"/><Relationship Id="rId2" Type="http://schemas.openxmlformats.org/officeDocument/2006/relationships/drawing" Target="../drawings/drawing20.xml"/><Relationship Id="rId1" Type="http://schemas.openxmlformats.org/officeDocument/2006/relationships/printerSettings" Target="../printerSettings/printerSettings38.bin"/><Relationship Id="rId6" Type="http://schemas.openxmlformats.org/officeDocument/2006/relationships/ctrlProp" Target="../ctrlProps/ctrlProp105.xml"/><Relationship Id="rId11" Type="http://schemas.openxmlformats.org/officeDocument/2006/relationships/ctrlProp" Target="../ctrlProps/ctrlProp110.xml"/><Relationship Id="rId5" Type="http://schemas.openxmlformats.org/officeDocument/2006/relationships/ctrlProp" Target="../ctrlProps/ctrlProp104.xml"/><Relationship Id="rId10" Type="http://schemas.openxmlformats.org/officeDocument/2006/relationships/ctrlProp" Target="../ctrlProps/ctrlProp109.xml"/><Relationship Id="rId4" Type="http://schemas.openxmlformats.org/officeDocument/2006/relationships/ctrlProp" Target="../ctrlProps/ctrlProp103.xml"/><Relationship Id="rId9" Type="http://schemas.openxmlformats.org/officeDocument/2006/relationships/ctrlProp" Target="../ctrlProps/ctrlProp108.xml"/><Relationship Id="rId14" Type="http://schemas.openxmlformats.org/officeDocument/2006/relationships/ctrlProp" Target="../ctrlProps/ctrlProp113.xml"/></Relationships>
</file>

<file path=xl/worksheets/_rels/sheet43.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39.bin"/><Relationship Id="rId1" Type="http://schemas.openxmlformats.org/officeDocument/2006/relationships/hyperlink" Target="https://mail.google.com/mail/u/0/" TargetMode="Externa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118.xml"/><Relationship Id="rId13" Type="http://schemas.openxmlformats.org/officeDocument/2006/relationships/ctrlProp" Target="../ctrlProps/ctrlProp123.xml"/><Relationship Id="rId18" Type="http://schemas.openxmlformats.org/officeDocument/2006/relationships/ctrlProp" Target="../ctrlProps/ctrlProp128.xml"/><Relationship Id="rId26" Type="http://schemas.openxmlformats.org/officeDocument/2006/relationships/ctrlProp" Target="../ctrlProps/ctrlProp136.xml"/><Relationship Id="rId3" Type="http://schemas.openxmlformats.org/officeDocument/2006/relationships/vmlDrawing" Target="../drawings/vmlDrawing18.vml"/><Relationship Id="rId21" Type="http://schemas.openxmlformats.org/officeDocument/2006/relationships/ctrlProp" Target="../ctrlProps/ctrlProp131.xml"/><Relationship Id="rId7" Type="http://schemas.openxmlformats.org/officeDocument/2006/relationships/ctrlProp" Target="../ctrlProps/ctrlProp117.xml"/><Relationship Id="rId12" Type="http://schemas.openxmlformats.org/officeDocument/2006/relationships/ctrlProp" Target="../ctrlProps/ctrlProp122.xml"/><Relationship Id="rId17" Type="http://schemas.openxmlformats.org/officeDocument/2006/relationships/ctrlProp" Target="../ctrlProps/ctrlProp127.xml"/><Relationship Id="rId25" Type="http://schemas.openxmlformats.org/officeDocument/2006/relationships/ctrlProp" Target="../ctrlProps/ctrlProp135.xml"/><Relationship Id="rId2" Type="http://schemas.openxmlformats.org/officeDocument/2006/relationships/drawing" Target="../drawings/drawing22.xml"/><Relationship Id="rId16" Type="http://schemas.openxmlformats.org/officeDocument/2006/relationships/ctrlProp" Target="../ctrlProps/ctrlProp126.xml"/><Relationship Id="rId20" Type="http://schemas.openxmlformats.org/officeDocument/2006/relationships/ctrlProp" Target="../ctrlProps/ctrlProp130.xml"/><Relationship Id="rId29" Type="http://schemas.openxmlformats.org/officeDocument/2006/relationships/ctrlProp" Target="../ctrlProps/ctrlProp139.xml"/><Relationship Id="rId1" Type="http://schemas.openxmlformats.org/officeDocument/2006/relationships/printerSettings" Target="../printerSettings/printerSettings40.bin"/><Relationship Id="rId6" Type="http://schemas.openxmlformats.org/officeDocument/2006/relationships/ctrlProp" Target="../ctrlProps/ctrlProp116.xml"/><Relationship Id="rId11" Type="http://schemas.openxmlformats.org/officeDocument/2006/relationships/ctrlProp" Target="../ctrlProps/ctrlProp121.xml"/><Relationship Id="rId24" Type="http://schemas.openxmlformats.org/officeDocument/2006/relationships/ctrlProp" Target="../ctrlProps/ctrlProp134.xml"/><Relationship Id="rId32" Type="http://schemas.openxmlformats.org/officeDocument/2006/relationships/comments" Target="../comments5.xml"/><Relationship Id="rId5" Type="http://schemas.openxmlformats.org/officeDocument/2006/relationships/ctrlProp" Target="../ctrlProps/ctrlProp115.xml"/><Relationship Id="rId15" Type="http://schemas.openxmlformats.org/officeDocument/2006/relationships/ctrlProp" Target="../ctrlProps/ctrlProp125.xml"/><Relationship Id="rId23" Type="http://schemas.openxmlformats.org/officeDocument/2006/relationships/ctrlProp" Target="../ctrlProps/ctrlProp133.xml"/><Relationship Id="rId28" Type="http://schemas.openxmlformats.org/officeDocument/2006/relationships/ctrlProp" Target="../ctrlProps/ctrlProp138.xml"/><Relationship Id="rId10" Type="http://schemas.openxmlformats.org/officeDocument/2006/relationships/ctrlProp" Target="../ctrlProps/ctrlProp120.xml"/><Relationship Id="rId19" Type="http://schemas.openxmlformats.org/officeDocument/2006/relationships/ctrlProp" Target="../ctrlProps/ctrlProp129.xml"/><Relationship Id="rId31" Type="http://schemas.openxmlformats.org/officeDocument/2006/relationships/ctrlProp" Target="../ctrlProps/ctrlProp141.xml"/><Relationship Id="rId4" Type="http://schemas.openxmlformats.org/officeDocument/2006/relationships/ctrlProp" Target="../ctrlProps/ctrlProp114.xml"/><Relationship Id="rId9" Type="http://schemas.openxmlformats.org/officeDocument/2006/relationships/ctrlProp" Target="../ctrlProps/ctrlProp119.xml"/><Relationship Id="rId14" Type="http://schemas.openxmlformats.org/officeDocument/2006/relationships/ctrlProp" Target="../ctrlProps/ctrlProp124.xml"/><Relationship Id="rId22" Type="http://schemas.openxmlformats.org/officeDocument/2006/relationships/ctrlProp" Target="../ctrlProps/ctrlProp132.xml"/><Relationship Id="rId27" Type="http://schemas.openxmlformats.org/officeDocument/2006/relationships/ctrlProp" Target="../ctrlProps/ctrlProp137.xml"/><Relationship Id="rId30" Type="http://schemas.openxmlformats.org/officeDocument/2006/relationships/ctrlProp" Target="../ctrlProps/ctrlProp140.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4" Type="http://schemas.openxmlformats.org/officeDocument/2006/relationships/comments" Target="../comments6.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6">
    <tabColor theme="5" tint="0.39997558519241921"/>
    <pageSetUpPr fitToPage="1"/>
  </sheetPr>
  <dimension ref="A1:BI588"/>
  <sheetViews>
    <sheetView workbookViewId="0">
      <selection activeCell="M604" sqref="M604"/>
    </sheetView>
  </sheetViews>
  <sheetFormatPr defaultColWidth="8.69921875" defaultRowHeight="13.2" outlineLevelCol="1" x14ac:dyDescent="0.25"/>
  <cols>
    <col min="1" max="1" width="2.69921875" style="235" customWidth="1"/>
    <col min="2" max="2" width="21.296875" style="235" customWidth="1"/>
    <col min="3" max="3" width="24.296875" style="235" customWidth="1"/>
    <col min="4" max="4" width="3.69921875" style="235" customWidth="1"/>
    <col min="5" max="5" width="17.296875" style="235" customWidth="1"/>
    <col min="6" max="6" width="21" style="235" customWidth="1"/>
    <col min="7" max="10" width="19.19921875" style="235" customWidth="1"/>
    <col min="11" max="12" width="8.69921875" style="235" customWidth="1"/>
    <col min="13" max="13" width="17.5" style="235" customWidth="1"/>
    <col min="14" max="15" width="2.69921875" style="235" customWidth="1"/>
    <col min="16" max="16" width="9" style="235" customWidth="1"/>
    <col min="17" max="17" width="19.296875" style="235" customWidth="1" outlineLevel="1"/>
    <col min="18" max="18" width="15.296875" style="235" customWidth="1" outlineLevel="1"/>
    <col min="19" max="19" width="12.296875" style="235" customWidth="1" outlineLevel="1"/>
    <col min="20" max="28" width="9" style="235" customWidth="1" outlineLevel="1"/>
    <col min="29" max="31" width="11" style="235" customWidth="1" outlineLevel="1"/>
    <col min="32" max="32" width="9.69921875" style="235" customWidth="1" outlineLevel="1"/>
    <col min="33" max="33" width="9" style="235" customWidth="1" outlineLevel="1"/>
    <col min="34" max="34" width="12.296875" style="235" customWidth="1" outlineLevel="1"/>
    <col min="35" max="35" width="9" style="235" customWidth="1" outlineLevel="1"/>
    <col min="36" max="36" width="15.69921875" style="235" customWidth="1" outlineLevel="1"/>
    <col min="37" max="37" width="9" style="235" customWidth="1" outlineLevel="1"/>
    <col min="38" max="38" width="10.19921875" style="235" customWidth="1" outlineLevel="1"/>
    <col min="39" max="39" width="10.296875" style="235" customWidth="1" outlineLevel="1"/>
    <col min="40" max="40" width="9" style="235" customWidth="1" outlineLevel="1"/>
    <col min="41" max="43" width="14.69921875" style="235" customWidth="1" outlineLevel="1"/>
    <col min="44" max="45" width="9" style="235" customWidth="1" outlineLevel="1"/>
    <col min="46" max="47" width="10.19921875" style="235" customWidth="1" outlineLevel="1"/>
    <col min="48" max="48" width="9" style="235" customWidth="1" outlineLevel="1"/>
    <col min="49" max="50" width="10.796875" style="235" customWidth="1" outlineLevel="1"/>
    <col min="51" max="52" width="9" style="235" customWidth="1" outlineLevel="1"/>
    <col min="53" max="54" width="2.69921875" style="235" customWidth="1"/>
    <col min="55" max="55" width="50.69921875" style="235" customWidth="1"/>
    <col min="56" max="57" width="9" style="235" customWidth="1"/>
    <col min="58" max="58" width="25.69921875" style="235" customWidth="1"/>
    <col min="59" max="59" width="23.796875" style="235" hidden="1" customWidth="1"/>
    <col min="60" max="60" width="18.69921875" style="235" hidden="1" customWidth="1"/>
    <col min="61" max="61" width="13" style="235" hidden="1" customWidth="1"/>
    <col min="62" max="62" width="9" style="235" customWidth="1"/>
    <col min="63" max="102" width="8" style="235" customWidth="1"/>
    <col min="103" max="16384" width="8.69921875" style="235"/>
  </cols>
  <sheetData>
    <row r="1" spans="1:55" s="42" customFormat="1" x14ac:dyDescent="0.25">
      <c r="A1" s="331" t="s">
        <v>1038</v>
      </c>
      <c r="B1" s="276"/>
      <c r="C1" s="276"/>
      <c r="D1" s="276"/>
      <c r="E1" s="276"/>
      <c r="F1" s="276"/>
      <c r="G1" s="276"/>
      <c r="H1" s="276"/>
      <c r="I1" s="276"/>
      <c r="J1" s="276"/>
      <c r="K1" s="276"/>
      <c r="L1" s="276"/>
      <c r="M1" s="276"/>
      <c r="Q1" s="32"/>
      <c r="R1" s="32"/>
      <c r="V1" s="32"/>
      <c r="W1" s="32"/>
      <c r="X1" s="32"/>
      <c r="Y1" s="32"/>
      <c r="Z1" s="32"/>
      <c r="AA1" s="32"/>
      <c r="AB1" s="32"/>
      <c r="AC1" s="32"/>
      <c r="AD1" s="32"/>
      <c r="AE1" s="32"/>
      <c r="AF1" s="32"/>
      <c r="AG1" s="32"/>
      <c r="AH1" s="32"/>
      <c r="AI1" s="32"/>
      <c r="AJ1" s="32"/>
      <c r="AK1" s="32"/>
      <c r="AL1" s="32"/>
      <c r="AM1" s="32"/>
    </row>
    <row r="2" spans="1:55" s="42" customFormat="1" ht="24.75" customHeight="1" x14ac:dyDescent="0.25">
      <c r="A2" s="331" t="s">
        <v>1038</v>
      </c>
      <c r="B2" s="30" t="s">
        <v>1037</v>
      </c>
      <c r="C2" s="276"/>
      <c r="D2" s="280"/>
      <c r="E2" s="280"/>
      <c r="F2" s="280"/>
      <c r="G2" s="280"/>
      <c r="H2" s="280"/>
      <c r="I2" s="280"/>
      <c r="J2" s="280"/>
      <c r="K2" s="280"/>
      <c r="L2" s="280"/>
      <c r="M2" s="280"/>
      <c r="Q2" s="32"/>
      <c r="R2" s="32"/>
      <c r="V2" s="32"/>
      <c r="W2" s="32"/>
      <c r="X2" s="32"/>
      <c r="Y2" s="32"/>
      <c r="Z2" s="32"/>
      <c r="AA2" s="32"/>
      <c r="AB2" s="32"/>
      <c r="AC2" s="32"/>
      <c r="AD2" s="32"/>
      <c r="AE2" s="32"/>
      <c r="AF2" s="32"/>
      <c r="AG2" s="32"/>
      <c r="AH2" s="32"/>
      <c r="AI2" s="32"/>
      <c r="AJ2" s="32"/>
      <c r="AK2" s="32"/>
      <c r="AL2" s="32"/>
      <c r="AM2" s="32"/>
    </row>
    <row r="3" spans="1:55" s="42" customFormat="1" ht="15" customHeight="1" x14ac:dyDescent="0.25">
      <c r="A3" s="331" t="s">
        <v>1038</v>
      </c>
      <c r="B3" s="276"/>
      <c r="C3" s="276"/>
      <c r="D3" s="276"/>
      <c r="E3" s="276"/>
      <c r="F3" s="276"/>
      <c r="G3" s="276"/>
      <c r="H3" s="276"/>
      <c r="I3" s="276"/>
      <c r="J3" s="276"/>
      <c r="K3" s="276"/>
      <c r="L3" s="276"/>
      <c r="M3" s="276"/>
      <c r="Q3" s="32"/>
      <c r="R3" s="32"/>
      <c r="V3" s="32"/>
      <c r="W3" s="32"/>
      <c r="X3" s="32"/>
      <c r="Y3" s="32"/>
      <c r="Z3" s="32"/>
      <c r="AA3" s="32"/>
      <c r="AB3" s="32"/>
      <c r="AC3" s="32"/>
      <c r="AD3" s="32"/>
      <c r="AE3" s="32"/>
      <c r="AF3" s="32"/>
      <c r="AG3" s="32"/>
      <c r="AH3" s="32"/>
      <c r="AI3" s="32"/>
      <c r="AJ3" s="32"/>
      <c r="AK3" s="32"/>
      <c r="AL3" s="32"/>
      <c r="AM3" s="32"/>
    </row>
    <row r="4" spans="1:55" ht="21.75" customHeight="1" x14ac:dyDescent="0.25">
      <c r="A4" s="409" t="s">
        <v>1038</v>
      </c>
      <c r="B4" s="299"/>
      <c r="C4" s="581"/>
      <c r="D4" s="581"/>
      <c r="E4" s="589"/>
      <c r="F4" s="589"/>
      <c r="G4" s="589"/>
      <c r="H4" s="589"/>
      <c r="I4" s="589"/>
      <c r="J4" s="589"/>
      <c r="K4" s="589"/>
      <c r="L4" s="589"/>
      <c r="M4" s="589"/>
      <c r="Q4" s="416" t="s">
        <v>1221</v>
      </c>
    </row>
    <row r="5" spans="1:55" ht="21.75" customHeight="1" x14ac:dyDescent="0.25">
      <c r="A5" s="409" t="s">
        <v>1038</v>
      </c>
      <c r="B5" s="410" t="s">
        <v>1393</v>
      </c>
      <c r="C5" s="581"/>
      <c r="D5" s="581"/>
      <c r="E5" s="589"/>
      <c r="F5" s="589"/>
      <c r="G5" s="589"/>
      <c r="H5" s="3258">
        <f>INDEX(MBD_EMI_Table,2,1)</f>
        <v>0</v>
      </c>
      <c r="I5" s="3259"/>
      <c r="J5" s="3259"/>
      <c r="K5" s="3259"/>
      <c r="L5" s="3259"/>
      <c r="M5" s="3260"/>
      <c r="Q5" s="627">
        <f>IFERROR(INDEX(MBD_EMI_Table,MATCH($H$5,MBD_EMI_Index,0),MATCH('1 - Multiple Buildings Details'!$J$16,MBD_EMI_Hdr,0)),"ERROR")</f>
        <v>0</v>
      </c>
    </row>
    <row r="6" spans="1:55" ht="21.75" customHeight="1" x14ac:dyDescent="0.25">
      <c r="A6" s="409" t="s">
        <v>1038</v>
      </c>
      <c r="B6" s="299"/>
      <c r="C6" s="581"/>
      <c r="D6" s="581"/>
      <c r="E6" s="589"/>
      <c r="F6" s="589"/>
      <c r="G6" s="589"/>
      <c r="H6" s="589"/>
      <c r="I6" s="589"/>
      <c r="J6" s="589"/>
      <c r="K6" s="589"/>
      <c r="L6" s="589"/>
      <c r="M6" s="589"/>
    </row>
    <row r="7" spans="1:55" ht="22.5" customHeight="1" x14ac:dyDescent="0.25">
      <c r="A7" s="409" t="s">
        <v>1038</v>
      </c>
      <c r="B7" s="3261" t="s">
        <v>911</v>
      </c>
      <c r="C7" s="3261"/>
      <c r="D7" s="3261"/>
      <c r="E7" s="3261"/>
      <c r="F7" s="3261"/>
      <c r="G7" s="3261"/>
      <c r="H7" s="3261"/>
      <c r="I7" s="3261"/>
      <c r="J7" s="3261"/>
      <c r="K7" s="3261"/>
      <c r="L7" s="3261"/>
      <c r="M7" s="3261"/>
    </row>
    <row r="8" spans="1:55" ht="15.75" customHeight="1" x14ac:dyDescent="0.25">
      <c r="A8" s="409" t="s">
        <v>1038</v>
      </c>
      <c r="B8" s="3262"/>
      <c r="C8" s="3203"/>
      <c r="D8" s="3203"/>
      <c r="E8" s="3203"/>
      <c r="F8" s="3203"/>
      <c r="G8" s="3203"/>
      <c r="H8" s="3203"/>
      <c r="I8" s="3203"/>
      <c r="J8" s="3203"/>
      <c r="K8" s="3203"/>
      <c r="L8" s="3203"/>
      <c r="M8" s="3203"/>
    </row>
    <row r="9" spans="1:55" ht="52.5" customHeight="1" x14ac:dyDescent="0.25">
      <c r="A9" s="409" t="s">
        <v>1038</v>
      </c>
      <c r="B9" s="3263" t="s">
        <v>1394</v>
      </c>
      <c r="C9" s="3263"/>
      <c r="D9" s="3263"/>
      <c r="E9" s="3263"/>
      <c r="F9" s="3263"/>
      <c r="G9" s="3263"/>
      <c r="H9" s="3263"/>
      <c r="I9" s="3263"/>
      <c r="J9" s="3263"/>
      <c r="K9" s="3263"/>
      <c r="L9" s="3263"/>
      <c r="M9" s="3201"/>
      <c r="BC9" s="235" t="s">
        <v>1635</v>
      </c>
    </row>
    <row r="10" spans="1:55" ht="33" hidden="1" customHeight="1" x14ac:dyDescent="0.25">
      <c r="A10" s="409" t="s">
        <v>1038</v>
      </c>
      <c r="B10" s="3264" t="s">
        <v>913</v>
      </c>
      <c r="C10" s="3265"/>
      <c r="D10" s="3265"/>
      <c r="E10" s="3265"/>
      <c r="F10" s="3265"/>
      <c r="G10" s="3265"/>
      <c r="H10" s="3265"/>
      <c r="I10" s="3265"/>
      <c r="J10" s="3265"/>
      <c r="K10" s="3265"/>
      <c r="L10" s="3265"/>
      <c r="M10" s="3265"/>
    </row>
    <row r="11" spans="1:55" ht="34.200000000000003" hidden="1" customHeight="1" x14ac:dyDescent="0.25">
      <c r="A11" s="409" t="s">
        <v>1038</v>
      </c>
      <c r="B11" s="3264" t="s">
        <v>952</v>
      </c>
      <c r="C11" s="3265"/>
      <c r="D11" s="3265"/>
      <c r="E11" s="3265"/>
      <c r="F11" s="3265"/>
      <c r="G11" s="3265"/>
      <c r="H11" s="3265"/>
      <c r="I11" s="3265"/>
      <c r="J11" s="3265"/>
      <c r="K11" s="3265"/>
      <c r="L11" s="3265"/>
      <c r="M11" s="3265"/>
    </row>
    <row r="12" spans="1:55" ht="33" hidden="1" customHeight="1" x14ac:dyDescent="0.25">
      <c r="A12" s="409" t="s">
        <v>1038</v>
      </c>
      <c r="B12" s="3264" t="s">
        <v>914</v>
      </c>
      <c r="C12" s="3265"/>
      <c r="D12" s="3265"/>
      <c r="E12" s="3265"/>
      <c r="F12" s="3265"/>
      <c r="G12" s="3265"/>
      <c r="H12" s="3265"/>
      <c r="I12" s="3265"/>
      <c r="J12" s="3265"/>
      <c r="K12" s="3265"/>
      <c r="L12" s="3265"/>
      <c r="M12" s="3265"/>
    </row>
    <row r="13" spans="1:55" ht="15.75" customHeight="1" x14ac:dyDescent="0.25">
      <c r="A13" s="409" t="s">
        <v>1038</v>
      </c>
      <c r="B13" s="3262"/>
      <c r="C13" s="3203"/>
      <c r="D13" s="3203"/>
      <c r="E13" s="3203"/>
      <c r="F13" s="3203"/>
      <c r="G13" s="3203"/>
      <c r="H13" s="3203"/>
      <c r="I13" s="3203"/>
      <c r="J13" s="3203"/>
      <c r="K13" s="3203"/>
      <c r="L13" s="3203"/>
      <c r="M13" s="3203"/>
    </row>
    <row r="14" spans="1:55" ht="13.8" x14ac:dyDescent="0.25">
      <c r="A14" s="409" t="s">
        <v>1038</v>
      </c>
      <c r="B14" s="3100" t="s">
        <v>354</v>
      </c>
      <c r="C14" s="3100" t="s">
        <v>404</v>
      </c>
      <c r="D14" s="3102"/>
      <c r="E14" s="3100" t="s">
        <v>403</v>
      </c>
      <c r="F14" s="3100" t="s">
        <v>402</v>
      </c>
      <c r="G14" s="3102"/>
      <c r="H14" s="3100" t="s">
        <v>401</v>
      </c>
      <c r="I14" s="3102"/>
      <c r="J14" s="3102"/>
      <c r="K14" s="3138" t="s">
        <v>1395</v>
      </c>
      <c r="L14" s="3266"/>
      <c r="M14" s="3266"/>
      <c r="N14" s="2"/>
      <c r="O14" s="2"/>
      <c r="P14" s="2"/>
      <c r="AC14" s="411"/>
    </row>
    <row r="15" spans="1:55" ht="62.25" customHeight="1" x14ac:dyDescent="0.25">
      <c r="A15" s="409" t="s">
        <v>1038</v>
      </c>
      <c r="B15" s="3102"/>
      <c r="C15" s="3102"/>
      <c r="D15" s="3102"/>
      <c r="E15" s="3102"/>
      <c r="F15" s="3102"/>
      <c r="G15" s="3102"/>
      <c r="H15" s="3102"/>
      <c r="I15" s="3102"/>
      <c r="J15" s="3102"/>
      <c r="K15" s="3138" t="str">
        <f>CONCATENATE("Energy Type Consumption Units to Site Energy Consumption (",PO_SiteUnits,")")</f>
        <v>Energy Type Consumption Units to Site Energy Consumption (Btu x 10^6)</v>
      </c>
      <c r="L15" s="3266"/>
      <c r="M15" s="579" t="str">
        <f>CONCATENATE("Energy Type Consumption Units to Source Energy Consumption (",PO_SourceUnits,")")</f>
        <v>Energy Type Consumption Units to Source Energy Consumption (Btu x 10^6)</v>
      </c>
      <c r="N15" s="2"/>
      <c r="O15" s="2"/>
      <c r="P15" s="2"/>
      <c r="AC15" s="412"/>
    </row>
    <row r="16" spans="1:55" ht="13.8" hidden="1" x14ac:dyDescent="0.25">
      <c r="A16" s="409" t="s">
        <v>1038</v>
      </c>
      <c r="B16" s="484" t="s">
        <v>1396</v>
      </c>
      <c r="C16" s="3268" t="s">
        <v>1397</v>
      </c>
      <c r="D16" s="3102"/>
      <c r="E16" s="484" t="s">
        <v>1398</v>
      </c>
      <c r="F16" s="484" t="s">
        <v>1399</v>
      </c>
      <c r="G16" s="485"/>
      <c r="H16" s="484" t="s">
        <v>1400</v>
      </c>
      <c r="I16" s="486"/>
      <c r="J16" s="487"/>
      <c r="K16" s="484" t="s">
        <v>1401</v>
      </c>
      <c r="L16" s="487"/>
      <c r="M16" s="485" t="s">
        <v>1402</v>
      </c>
      <c r="N16" s="483"/>
      <c r="O16" s="412"/>
      <c r="P16" s="2"/>
    </row>
    <row r="17" spans="1:55" ht="15" customHeight="1" x14ac:dyDescent="0.25">
      <c r="A17" s="409" t="s">
        <v>1038</v>
      </c>
      <c r="B17" s="648" t="s">
        <v>374</v>
      </c>
      <c r="C17" s="3109" t="s">
        <v>398</v>
      </c>
      <c r="D17" s="3110"/>
      <c r="E17" s="488" t="s">
        <v>207</v>
      </c>
      <c r="F17" s="3111"/>
      <c r="G17" s="3112"/>
      <c r="H17" s="3113"/>
      <c r="I17" s="3114"/>
      <c r="J17" s="3114"/>
      <c r="K17" s="3115">
        <f t="shared" ref="K17:K31" si="0">IFERROR(VLOOKUP("kBtu",EnergyUnitsTable,3,FALSE)/VLOOKUP(PO_SiteUnits,EnergyUnitsTable,3,FALSE)*VLOOKUP($C17,EnergyUnitsTable,3,FALSE),"")</f>
        <v>3.4120000000000001E-3</v>
      </c>
      <c r="L17" s="3116"/>
      <c r="M17" s="685">
        <f t="shared" ref="M17:M31" si="1">IFERROR(VLOOKUP("kBtu",EnergyUnitsTable,3,FALSE)/VLOOKUP(PO_SourceUnits,EnergyUnitsTable,3,FALSE)*VLOOKUP($C17,EnergyUnitsTable,3,FALSE)*VLOOKUP($B17,FuelTypesTable,2,FALSE),"")</f>
        <v>1.0713680000000001E-2</v>
      </c>
      <c r="N17" s="413"/>
      <c r="O17" s="413"/>
      <c r="P17" s="2"/>
      <c r="BC17" s="804"/>
    </row>
    <row r="18" spans="1:55" ht="15" customHeight="1" x14ac:dyDescent="0.25">
      <c r="A18" s="409" t="s">
        <v>1038</v>
      </c>
      <c r="B18" s="648" t="s">
        <v>388</v>
      </c>
      <c r="C18" s="3109" t="s">
        <v>400</v>
      </c>
      <c r="D18" s="3110"/>
      <c r="E18" s="488" t="s">
        <v>525</v>
      </c>
      <c r="F18" s="3111"/>
      <c r="G18" s="3112"/>
      <c r="H18" s="3113"/>
      <c r="I18" s="3114"/>
      <c r="J18" s="3114"/>
      <c r="K18" s="3115">
        <f t="shared" si="0"/>
        <v>0.1</v>
      </c>
      <c r="L18" s="3116"/>
      <c r="M18" s="685">
        <f t="shared" si="1"/>
        <v>0.10500000000000001</v>
      </c>
      <c r="N18" s="413"/>
      <c r="O18" s="413"/>
      <c r="P18" s="2"/>
      <c r="BC18" s="804"/>
    </row>
    <row r="19" spans="1:55" ht="15" customHeight="1" x14ac:dyDescent="0.25">
      <c r="A19" s="409" t="s">
        <v>1038</v>
      </c>
      <c r="B19" s="648" t="s">
        <v>129</v>
      </c>
      <c r="C19" s="3109" t="s">
        <v>568</v>
      </c>
      <c r="D19" s="3110"/>
      <c r="E19" s="488" t="s">
        <v>566</v>
      </c>
      <c r="F19" s="3111"/>
      <c r="G19" s="3112"/>
      <c r="H19" s="3113"/>
      <c r="I19" s="3114"/>
      <c r="J19" s="3114"/>
      <c r="K19" s="3115">
        <f t="shared" si="0"/>
        <v>3.4119999999999999</v>
      </c>
      <c r="L19" s="3116"/>
      <c r="M19" s="685">
        <f t="shared" si="1"/>
        <v>3.4119999999999999</v>
      </c>
      <c r="N19" s="413"/>
      <c r="O19" s="413"/>
      <c r="P19" s="2"/>
      <c r="BC19" s="804"/>
    </row>
    <row r="20" spans="1:55" ht="15" customHeight="1" x14ac:dyDescent="0.25">
      <c r="A20" s="409" t="s">
        <v>1038</v>
      </c>
      <c r="B20" s="648" t="s">
        <v>129</v>
      </c>
      <c r="C20" s="3109" t="s">
        <v>568</v>
      </c>
      <c r="D20" s="3110"/>
      <c r="E20" s="488" t="s">
        <v>566</v>
      </c>
      <c r="F20" s="3111"/>
      <c r="G20" s="3112"/>
      <c r="H20" s="3113"/>
      <c r="I20" s="3114"/>
      <c r="J20" s="3114"/>
      <c r="K20" s="3115">
        <f t="shared" si="0"/>
        <v>3.4119999999999999</v>
      </c>
      <c r="L20" s="3116"/>
      <c r="M20" s="685">
        <f t="shared" si="1"/>
        <v>3.4119999999999999</v>
      </c>
      <c r="N20" s="413"/>
      <c r="O20" s="413"/>
      <c r="P20" s="2"/>
      <c r="BC20" s="804"/>
    </row>
    <row r="21" spans="1:55" ht="15" customHeight="1" x14ac:dyDescent="0.25">
      <c r="A21" s="409" t="s">
        <v>1038</v>
      </c>
      <c r="B21" s="648" t="s">
        <v>129</v>
      </c>
      <c r="C21" s="3109" t="s">
        <v>568</v>
      </c>
      <c r="D21" s="3110"/>
      <c r="E21" s="488" t="s">
        <v>566</v>
      </c>
      <c r="F21" s="3111"/>
      <c r="G21" s="3112"/>
      <c r="H21" s="3113"/>
      <c r="I21" s="3114"/>
      <c r="J21" s="3114"/>
      <c r="K21" s="3115">
        <f t="shared" si="0"/>
        <v>3.4119999999999999</v>
      </c>
      <c r="L21" s="3116"/>
      <c r="M21" s="685">
        <f t="shared" si="1"/>
        <v>3.4119999999999999</v>
      </c>
      <c r="N21" s="413"/>
      <c r="O21" s="413"/>
      <c r="P21" s="2"/>
      <c r="BC21" s="804"/>
    </row>
    <row r="22" spans="1:55" ht="15" customHeight="1" x14ac:dyDescent="0.25">
      <c r="A22" s="409" t="s">
        <v>1038</v>
      </c>
      <c r="B22" s="648" t="s">
        <v>129</v>
      </c>
      <c r="C22" s="3109" t="s">
        <v>568</v>
      </c>
      <c r="D22" s="3110"/>
      <c r="E22" s="488" t="s">
        <v>566</v>
      </c>
      <c r="F22" s="3111"/>
      <c r="G22" s="3112"/>
      <c r="H22" s="3113"/>
      <c r="I22" s="3114"/>
      <c r="J22" s="3114"/>
      <c r="K22" s="3115">
        <f t="shared" si="0"/>
        <v>3.4119999999999999</v>
      </c>
      <c r="L22" s="3116"/>
      <c r="M22" s="685">
        <f t="shared" si="1"/>
        <v>3.4119999999999999</v>
      </c>
      <c r="N22" s="413"/>
      <c r="O22" s="413"/>
      <c r="P22" s="2"/>
      <c r="BC22" s="804"/>
    </row>
    <row r="23" spans="1:55" ht="15" customHeight="1" x14ac:dyDescent="0.25">
      <c r="A23" s="409" t="s">
        <v>1038</v>
      </c>
      <c r="B23" s="648" t="s">
        <v>129</v>
      </c>
      <c r="C23" s="3109" t="s">
        <v>568</v>
      </c>
      <c r="D23" s="3110"/>
      <c r="E23" s="488" t="s">
        <v>566</v>
      </c>
      <c r="F23" s="3111"/>
      <c r="G23" s="3112"/>
      <c r="H23" s="3113"/>
      <c r="I23" s="3114"/>
      <c r="J23" s="3114"/>
      <c r="K23" s="3115">
        <f t="shared" si="0"/>
        <v>3.4119999999999999</v>
      </c>
      <c r="L23" s="3116"/>
      <c r="M23" s="685">
        <f t="shared" si="1"/>
        <v>3.4119999999999999</v>
      </c>
      <c r="N23" s="413"/>
      <c r="O23" s="413"/>
      <c r="P23" s="2"/>
      <c r="BC23" s="804"/>
    </row>
    <row r="24" spans="1:55" ht="15" customHeight="1" x14ac:dyDescent="0.25">
      <c r="A24" s="409" t="s">
        <v>1038</v>
      </c>
      <c r="B24" s="648" t="s">
        <v>129</v>
      </c>
      <c r="C24" s="3109" t="s">
        <v>568</v>
      </c>
      <c r="D24" s="3110"/>
      <c r="E24" s="488" t="s">
        <v>566</v>
      </c>
      <c r="F24" s="3111"/>
      <c r="G24" s="3112"/>
      <c r="H24" s="3113"/>
      <c r="I24" s="3114"/>
      <c r="J24" s="3114"/>
      <c r="K24" s="3115">
        <f t="shared" si="0"/>
        <v>3.4119999999999999</v>
      </c>
      <c r="L24" s="3116"/>
      <c r="M24" s="685">
        <f t="shared" si="1"/>
        <v>3.4119999999999999</v>
      </c>
      <c r="N24" s="413"/>
      <c r="O24" s="413"/>
      <c r="P24" s="2"/>
      <c r="BC24" s="804"/>
    </row>
    <row r="25" spans="1:55" ht="15" customHeight="1" x14ac:dyDescent="0.25">
      <c r="A25" s="409" t="s">
        <v>1038</v>
      </c>
      <c r="B25" s="648" t="s">
        <v>129</v>
      </c>
      <c r="C25" s="3109" t="s">
        <v>568</v>
      </c>
      <c r="D25" s="3110"/>
      <c r="E25" s="488" t="s">
        <v>566</v>
      </c>
      <c r="F25" s="3111"/>
      <c r="G25" s="3112"/>
      <c r="H25" s="3113"/>
      <c r="I25" s="3114"/>
      <c r="J25" s="3114"/>
      <c r="K25" s="3115">
        <f t="shared" si="0"/>
        <v>3.4119999999999999</v>
      </c>
      <c r="L25" s="3116"/>
      <c r="M25" s="685">
        <f t="shared" si="1"/>
        <v>3.4119999999999999</v>
      </c>
      <c r="N25" s="413"/>
      <c r="O25" s="413"/>
      <c r="P25" s="2"/>
      <c r="BC25" s="804"/>
    </row>
    <row r="26" spans="1:55" ht="15" customHeight="1" x14ac:dyDescent="0.25">
      <c r="A26" s="409" t="s">
        <v>1038</v>
      </c>
      <c r="B26" s="648" t="s">
        <v>129</v>
      </c>
      <c r="C26" s="3109" t="s">
        <v>568</v>
      </c>
      <c r="D26" s="3110"/>
      <c r="E26" s="488" t="s">
        <v>566</v>
      </c>
      <c r="F26" s="3111"/>
      <c r="G26" s="3112"/>
      <c r="H26" s="3113"/>
      <c r="I26" s="3114"/>
      <c r="J26" s="3114"/>
      <c r="K26" s="3115">
        <f t="shared" si="0"/>
        <v>3.4119999999999999</v>
      </c>
      <c r="L26" s="3116"/>
      <c r="M26" s="685">
        <f t="shared" si="1"/>
        <v>3.4119999999999999</v>
      </c>
      <c r="N26" s="413"/>
      <c r="O26" s="413"/>
      <c r="P26" s="2"/>
      <c r="BC26" s="804"/>
    </row>
    <row r="27" spans="1:55" ht="15" customHeight="1" x14ac:dyDescent="0.25">
      <c r="A27" s="409" t="s">
        <v>1038</v>
      </c>
      <c r="B27" s="648" t="s">
        <v>129</v>
      </c>
      <c r="C27" s="3109" t="s">
        <v>568</v>
      </c>
      <c r="D27" s="3110"/>
      <c r="E27" s="488" t="s">
        <v>566</v>
      </c>
      <c r="F27" s="3111"/>
      <c r="G27" s="3112"/>
      <c r="H27" s="3113"/>
      <c r="I27" s="3114"/>
      <c r="J27" s="3114"/>
      <c r="K27" s="3115">
        <f t="shared" si="0"/>
        <v>3.4119999999999999</v>
      </c>
      <c r="L27" s="3116"/>
      <c r="M27" s="685">
        <f t="shared" si="1"/>
        <v>3.4119999999999999</v>
      </c>
      <c r="N27" s="413"/>
      <c r="O27" s="413"/>
      <c r="P27" s="2"/>
      <c r="BC27" s="804"/>
    </row>
    <row r="28" spans="1:55" ht="15" customHeight="1" x14ac:dyDescent="0.25">
      <c r="A28" s="409" t="s">
        <v>1038</v>
      </c>
      <c r="B28" s="648" t="s">
        <v>129</v>
      </c>
      <c r="C28" s="3109" t="s">
        <v>568</v>
      </c>
      <c r="D28" s="3110"/>
      <c r="E28" s="488" t="s">
        <v>566</v>
      </c>
      <c r="F28" s="3111"/>
      <c r="G28" s="3112"/>
      <c r="H28" s="3113"/>
      <c r="I28" s="3114"/>
      <c r="J28" s="3114"/>
      <c r="K28" s="3115">
        <f t="shared" si="0"/>
        <v>3.4119999999999999</v>
      </c>
      <c r="L28" s="3116"/>
      <c r="M28" s="685">
        <f t="shared" si="1"/>
        <v>3.4119999999999999</v>
      </c>
      <c r="N28" s="413"/>
      <c r="O28" s="413"/>
      <c r="P28" s="2"/>
      <c r="BC28" s="804"/>
    </row>
    <row r="29" spans="1:55" ht="15" customHeight="1" x14ac:dyDescent="0.25">
      <c r="A29" s="409" t="s">
        <v>1038</v>
      </c>
      <c r="B29" s="648" t="s">
        <v>129</v>
      </c>
      <c r="C29" s="3109" t="s">
        <v>568</v>
      </c>
      <c r="D29" s="3110"/>
      <c r="E29" s="488" t="s">
        <v>566</v>
      </c>
      <c r="F29" s="3111"/>
      <c r="G29" s="3112"/>
      <c r="H29" s="3113"/>
      <c r="I29" s="3114"/>
      <c r="J29" s="3114"/>
      <c r="K29" s="3115">
        <f t="shared" si="0"/>
        <v>3.4119999999999999</v>
      </c>
      <c r="L29" s="3116"/>
      <c r="M29" s="685">
        <f t="shared" si="1"/>
        <v>3.4119999999999999</v>
      </c>
      <c r="N29" s="413"/>
      <c r="O29" s="413"/>
      <c r="P29" s="2"/>
      <c r="BC29" s="804"/>
    </row>
    <row r="30" spans="1:55" ht="15" customHeight="1" x14ac:dyDescent="0.25">
      <c r="A30" s="409" t="s">
        <v>1038</v>
      </c>
      <c r="B30" s="648" t="s">
        <v>129</v>
      </c>
      <c r="C30" s="3109" t="s">
        <v>568</v>
      </c>
      <c r="D30" s="3110"/>
      <c r="E30" s="488" t="s">
        <v>566</v>
      </c>
      <c r="F30" s="3111"/>
      <c r="G30" s="3112"/>
      <c r="H30" s="3113"/>
      <c r="I30" s="3114"/>
      <c r="J30" s="3114"/>
      <c r="K30" s="3115">
        <f t="shared" si="0"/>
        <v>3.4119999999999999</v>
      </c>
      <c r="L30" s="3116"/>
      <c r="M30" s="685">
        <f t="shared" si="1"/>
        <v>3.4119999999999999</v>
      </c>
      <c r="N30" s="413"/>
      <c r="O30" s="413"/>
      <c r="P30" s="2"/>
      <c r="BC30" s="804"/>
    </row>
    <row r="31" spans="1:55" ht="15" customHeight="1" x14ac:dyDescent="0.25">
      <c r="A31" s="409" t="s">
        <v>1038</v>
      </c>
      <c r="B31" s="648" t="s">
        <v>129</v>
      </c>
      <c r="C31" s="3109" t="s">
        <v>568</v>
      </c>
      <c r="D31" s="3110"/>
      <c r="E31" s="488" t="s">
        <v>566</v>
      </c>
      <c r="F31" s="3111"/>
      <c r="G31" s="3112"/>
      <c r="H31" s="3113"/>
      <c r="I31" s="3114"/>
      <c r="J31" s="3114"/>
      <c r="K31" s="3115">
        <f t="shared" si="0"/>
        <v>3.4119999999999999</v>
      </c>
      <c r="L31" s="3116"/>
      <c r="M31" s="685">
        <f t="shared" si="1"/>
        <v>3.4119999999999999</v>
      </c>
      <c r="N31" s="413"/>
      <c r="O31" s="413"/>
      <c r="P31" s="2"/>
      <c r="BC31" s="804"/>
    </row>
    <row r="32" spans="1:55" ht="21" customHeight="1" x14ac:dyDescent="0.25">
      <c r="A32" s="409" t="s">
        <v>1038</v>
      </c>
      <c r="B32" s="3270" t="s">
        <v>900</v>
      </c>
      <c r="C32" s="3118"/>
      <c r="D32" s="3118"/>
      <c r="E32" s="3118"/>
      <c r="F32" s="3118"/>
      <c r="G32" s="3118"/>
      <c r="H32" s="3118"/>
      <c r="I32" s="3118"/>
      <c r="J32" s="3118"/>
      <c r="K32" s="3118"/>
      <c r="L32" s="3113" t="str">
        <f>IF(SI_IP_Units="SI","MWh","Btu x 10^6")</f>
        <v>Btu x 10^6</v>
      </c>
      <c r="M32" s="3114"/>
      <c r="N32" s="2"/>
      <c r="O32" s="2"/>
      <c r="P32" s="2"/>
      <c r="BC32" s="804"/>
    </row>
    <row r="33" spans="1:55" ht="21" customHeight="1" x14ac:dyDescent="0.25">
      <c r="A33" s="409" t="s">
        <v>1038</v>
      </c>
      <c r="B33" s="3269" t="s">
        <v>901</v>
      </c>
      <c r="C33" s="3118"/>
      <c r="D33" s="3118"/>
      <c r="E33" s="3118"/>
      <c r="F33" s="3118"/>
      <c r="G33" s="3118"/>
      <c r="H33" s="3118"/>
      <c r="I33" s="3118"/>
      <c r="J33" s="3118"/>
      <c r="K33" s="3118"/>
      <c r="L33" s="3113" t="str">
        <f>IF(SI_IP_Units="SI","MWh","Btu x 10^6")</f>
        <v>Btu x 10^6</v>
      </c>
      <c r="M33" s="3114"/>
      <c r="BC33" s="804"/>
    </row>
    <row r="34" spans="1:55" ht="33.75" customHeight="1" x14ac:dyDescent="0.25">
      <c r="A34" s="409" t="s">
        <v>1038</v>
      </c>
      <c r="B34" s="281"/>
      <c r="C34" s="261"/>
      <c r="D34" s="243"/>
      <c r="E34" s="243"/>
      <c r="F34" s="243"/>
      <c r="G34" s="243"/>
      <c r="H34" s="243"/>
      <c r="I34" s="243"/>
      <c r="J34" s="243"/>
      <c r="K34" s="243"/>
      <c r="L34" s="244"/>
      <c r="M34" s="244"/>
    </row>
    <row r="35" spans="1:55" ht="33.75" customHeight="1" x14ac:dyDescent="0.25">
      <c r="A35" s="409" t="s">
        <v>1038</v>
      </c>
      <c r="B35" s="281"/>
      <c r="C35" s="261"/>
      <c r="D35" s="243"/>
      <c r="E35" s="243"/>
      <c r="F35" s="243"/>
      <c r="G35" s="243"/>
      <c r="H35" s="243"/>
      <c r="I35" s="243"/>
      <c r="J35" s="243"/>
      <c r="K35" s="243"/>
      <c r="L35" s="244"/>
      <c r="M35" s="244"/>
    </row>
    <row r="36" spans="1:55" s="285" customFormat="1" ht="20.25" customHeight="1" x14ac:dyDescent="0.25">
      <c r="A36" s="409" t="s">
        <v>1038</v>
      </c>
      <c r="B36" s="310" t="s">
        <v>1472</v>
      </c>
    </row>
    <row r="37" spans="1:55" s="245" customFormat="1" ht="12.75" customHeight="1" x14ac:dyDescent="0.25">
      <c r="A37" s="409" t="s">
        <v>1038</v>
      </c>
      <c r="C37" s="235"/>
      <c r="D37" s="235"/>
      <c r="E37" s="235"/>
      <c r="F37" s="235"/>
      <c r="G37" s="235"/>
      <c r="H37" s="235"/>
      <c r="I37" s="235"/>
      <c r="J37" s="235"/>
      <c r="K37" s="235"/>
      <c r="AD37" s="631" t="s">
        <v>865</v>
      </c>
    </row>
    <row r="38" spans="1:55" s="245" customFormat="1" ht="21" customHeight="1" x14ac:dyDescent="0.25">
      <c r="A38" s="409" t="s">
        <v>1038</v>
      </c>
      <c r="B38" s="311" t="s">
        <v>1473</v>
      </c>
      <c r="C38" s="235"/>
      <c r="D38" s="235"/>
      <c r="E38" s="235"/>
      <c r="F38" s="235"/>
      <c r="G38" s="235"/>
      <c r="H38" s="235"/>
      <c r="I38" s="235"/>
      <c r="J38" s="235"/>
      <c r="K38" s="235"/>
      <c r="AD38" s="627" t="b">
        <v>1</v>
      </c>
    </row>
    <row r="39" spans="1:55" s="2" customFormat="1" ht="15" customHeight="1" x14ac:dyDescent="0.25">
      <c r="A39" s="409" t="s">
        <v>1038</v>
      </c>
    </row>
    <row r="40" spans="1:55" ht="21" customHeight="1" x14ac:dyDescent="0.25">
      <c r="A40" s="409" t="s">
        <v>1038</v>
      </c>
      <c r="B40" s="3271" t="s">
        <v>1474</v>
      </c>
      <c r="C40" s="3271"/>
      <c r="D40" s="3271"/>
      <c r="E40" s="3271"/>
      <c r="F40" s="3271"/>
      <c r="G40" s="3271"/>
      <c r="H40" s="3271"/>
      <c r="I40" s="3271"/>
      <c r="J40" s="3271"/>
      <c r="K40" s="3271"/>
      <c r="L40" s="3271"/>
      <c r="M40" s="3272"/>
    </row>
    <row r="41" spans="1:55" ht="115.5" customHeight="1" x14ac:dyDescent="0.25">
      <c r="A41" s="409" t="s">
        <v>1038</v>
      </c>
      <c r="B41" s="3273" t="s">
        <v>1476</v>
      </c>
      <c r="C41" s="3220"/>
      <c r="D41" s="3220"/>
      <c r="E41" s="3220"/>
      <c r="F41" s="3220"/>
      <c r="G41" s="3220"/>
      <c r="H41" s="3220"/>
      <c r="I41" s="3220"/>
      <c r="J41" s="3220"/>
      <c r="K41" s="3220"/>
      <c r="L41" s="3220"/>
      <c r="M41" s="3220"/>
    </row>
    <row r="42" spans="1:55" ht="32.25" customHeight="1" x14ac:dyDescent="0.25">
      <c r="A42" s="409" t="s">
        <v>1038</v>
      </c>
      <c r="B42" s="260"/>
      <c r="C42" s="243"/>
      <c r="D42" s="243"/>
      <c r="E42" s="243"/>
      <c r="F42" s="243"/>
      <c r="G42" s="652"/>
      <c r="H42" s="652"/>
      <c r="I42" s="652"/>
      <c r="J42" s="652"/>
      <c r="K42" s="652"/>
      <c r="L42" s="246"/>
      <c r="M42" s="246"/>
    </row>
    <row r="43" spans="1:55" ht="57.75" customHeight="1" x14ac:dyDescent="0.25">
      <c r="A43" s="409" t="s">
        <v>1038</v>
      </c>
      <c r="B43" s="3140" t="s">
        <v>1475</v>
      </c>
      <c r="C43" s="3274"/>
      <c r="D43" s="3274"/>
      <c r="E43" s="579" t="s">
        <v>997</v>
      </c>
      <c r="F43" s="3140" t="s">
        <v>898</v>
      </c>
      <c r="G43" s="3275"/>
      <c r="H43" s="3140" t="s">
        <v>396</v>
      </c>
      <c r="I43" s="3279"/>
      <c r="J43" s="3140" t="s">
        <v>998</v>
      </c>
      <c r="K43" s="3280"/>
      <c r="L43" s="3281"/>
      <c r="M43" s="3281"/>
      <c r="T43" s="415" t="s">
        <v>1409</v>
      </c>
      <c r="U43" s="415" t="s">
        <v>1556</v>
      </c>
    </row>
    <row r="44" spans="1:55" s="414" customFormat="1" hidden="1" x14ac:dyDescent="0.2">
      <c r="A44" s="409" t="s">
        <v>1038</v>
      </c>
      <c r="B44" s="489" t="s">
        <v>1403</v>
      </c>
      <c r="C44" s="490"/>
      <c r="D44" s="490"/>
      <c r="E44" s="491" t="s">
        <v>1404</v>
      </c>
      <c r="F44" s="489" t="s">
        <v>1405</v>
      </c>
      <c r="G44" s="492"/>
      <c r="H44" s="489" t="s">
        <v>1406</v>
      </c>
      <c r="I44" s="493"/>
      <c r="J44" s="489" t="s">
        <v>356</v>
      </c>
      <c r="K44" s="494"/>
      <c r="L44" s="495"/>
      <c r="M44" s="495"/>
      <c r="Q44" s="628" t="s">
        <v>1407</v>
      </c>
      <c r="R44" s="628" t="s">
        <v>1408</v>
      </c>
      <c r="S44" s="628" t="s">
        <v>1113</v>
      </c>
      <c r="T44" s="628" t="s">
        <v>1409</v>
      </c>
      <c r="U44" s="628" t="s">
        <v>1556</v>
      </c>
    </row>
    <row r="45" spans="1:55" ht="15" customHeight="1" x14ac:dyDescent="0.25">
      <c r="A45" s="409" t="s">
        <v>802</v>
      </c>
      <c r="B45" s="3282" t="s">
        <v>576</v>
      </c>
      <c r="C45" s="3283"/>
      <c r="D45" s="3283"/>
      <c r="E45" s="496" t="s">
        <v>374</v>
      </c>
      <c r="F45" s="497"/>
      <c r="G45" s="498" t="str">
        <f>IFERROR(IF(ISBLANK($E45),"",VLOOKUP($E45,PO_Enrgy_1_Table,MATCH($E$16,PO_Enrgy_1_Hdr,0),FALSE)),"")</f>
        <v>kW</v>
      </c>
      <c r="H45" s="497"/>
      <c r="I45" s="499" t="str">
        <f>IFERROR(IF(ISBLANK($E45),"",VLOOKUP($E45,PO_Enrgy_1_Table,MATCH($C$16,PO_Enrgy_1_Hdr,0),FALSE)),"")</f>
        <v>kWh</v>
      </c>
      <c r="J45" s="3284" t="str">
        <f t="shared" ref="J45:M46" ca="1" si="2">IFERROR($H45*VLOOKUP($E45,PO_Enrgy_8_Table,MATCH($H$316,PO_Enrgy_8_Hdr,0),FALSE),"")</f>
        <v/>
      </c>
      <c r="K45" s="3285" t="str">
        <f t="shared" ca="1" si="2"/>
        <v/>
      </c>
      <c r="L45" s="3286" t="str">
        <f t="shared" ca="1" si="2"/>
        <v/>
      </c>
      <c r="M45" s="3286" t="str">
        <f t="shared" ca="1" si="2"/>
        <v/>
      </c>
      <c r="Q45" s="627">
        <f>IFERROR(IF(ISBLANK($E45),"",VLOOKUP($E45,PO_Enrgy_1_Table,MATCH($K$16,PO_Enrgy_1_Hdr,0),FALSE)),"")</f>
        <v>3.4120000000000001E-3</v>
      </c>
      <c r="R45" s="627">
        <f>IFERROR(IF(ISBLANK($E45),"",VLOOKUP($E45,PO_Enrgy_1_Table,MATCH($M$16,PO_Enrgy_1_Hdr,0),FALSE)),"")</f>
        <v>1.0713680000000001E-2</v>
      </c>
      <c r="S45" s="627" t="str">
        <f>IFERROR((H45*VLOOKUP(I45,EnergyUnitsTable,3,FALSE))/(F45*VLOOKUP(G45,DemandTable,3,FALSE)),"")</f>
        <v/>
      </c>
      <c r="T45" s="629" t="str">
        <f ca="1">IFERROR($H45*VLOOKUP($E45,PO_Enrgy_8_Table,MATCH($H$316,PO_Enrgy_8_Hdr,0),FALSE),"")</f>
        <v/>
      </c>
      <c r="U45" s="632">
        <f ca="1">IFERROR(1-$J45/$T45,0)</f>
        <v>0</v>
      </c>
      <c r="AH45" s="417"/>
      <c r="AI45" s="418"/>
      <c r="AJ45" s="418"/>
      <c r="BC45" s="804"/>
    </row>
    <row r="46" spans="1:55" ht="15" customHeight="1" x14ac:dyDescent="0.25">
      <c r="A46" s="409"/>
      <c r="B46" s="3282" t="s">
        <v>551</v>
      </c>
      <c r="C46" s="3283"/>
      <c r="D46" s="3283"/>
      <c r="E46" s="496" t="s">
        <v>388</v>
      </c>
      <c r="F46" s="497"/>
      <c r="G46" s="498" t="str">
        <f>IFERROR(IF(ISBLANK($E46),"",VLOOKUP($E46,PO_Enrgy_1_Table,MATCH($E$16,PO_Enrgy_1_Hdr,0),FALSE)),"")</f>
        <v>Btuh x 10^6</v>
      </c>
      <c r="H46" s="497"/>
      <c r="I46" s="499" t="str">
        <f>IFERROR(IF(ISBLANK($E46),"",VLOOKUP($E46,PO_Enrgy_1_Table,MATCH($C$16,PO_Enrgy_1_Hdr,0),FALSE)),"")</f>
        <v>therm</v>
      </c>
      <c r="J46" s="3284" t="str">
        <f t="shared" ca="1" si="2"/>
        <v/>
      </c>
      <c r="K46" s="3285" t="str">
        <f t="shared" ca="1" si="2"/>
        <v/>
      </c>
      <c r="L46" s="3286" t="str">
        <f t="shared" ca="1" si="2"/>
        <v/>
      </c>
      <c r="M46" s="3286" t="str">
        <f t="shared" ca="1" si="2"/>
        <v/>
      </c>
      <c r="Q46" s="627">
        <f>IFERROR(IF(ISBLANK($E46),"",VLOOKUP($E46,PO_Enrgy_1_Table,MATCH($K$16,PO_Enrgy_1_Hdr,0),FALSE)),"")</f>
        <v>0.1</v>
      </c>
      <c r="R46" s="627">
        <f>IFERROR(IF(ISBLANK($E46),"",VLOOKUP($E46,PO_Enrgy_1_Table,MATCH($M$16,PO_Enrgy_1_Hdr,0),FALSE)),"")</f>
        <v>0.10500000000000001</v>
      </c>
      <c r="S46" s="627" t="str">
        <f>IFERROR((H46*VLOOKUP(I46,EnergyUnitsTable,3,FALSE))/(F46*VLOOKUP(G46,DemandTable,3,FALSE)),"")</f>
        <v/>
      </c>
      <c r="T46" s="629" t="str">
        <f ca="1">IFERROR($H46*VLOOKUP($E46,PO_Enrgy_8_Table,MATCH($H$316,PO_Enrgy_8_Hdr,0),FALSE),"")</f>
        <v/>
      </c>
      <c r="U46" s="632">
        <f ca="1">IFERROR(1-$J46/$T46,0)</f>
        <v>0</v>
      </c>
      <c r="AH46" s="417"/>
      <c r="AI46" s="418"/>
      <c r="AJ46" s="418"/>
      <c r="BC46" s="804"/>
    </row>
    <row r="47" spans="1:55" ht="18" customHeight="1" x14ac:dyDescent="0.25">
      <c r="A47" s="409"/>
      <c r="B47" s="3140" t="s">
        <v>1410</v>
      </c>
      <c r="C47" s="3281"/>
      <c r="D47" s="3281"/>
      <c r="E47" s="3281"/>
      <c r="F47" s="3281"/>
      <c r="G47" s="3281"/>
      <c r="H47" s="3281"/>
      <c r="I47" s="3281"/>
      <c r="J47" s="3281"/>
      <c r="K47" s="3281"/>
      <c r="L47" s="3281"/>
      <c r="M47" s="3281"/>
    </row>
    <row r="48" spans="1:55" ht="20.25" customHeight="1" x14ac:dyDescent="0.25">
      <c r="A48" s="409"/>
      <c r="B48" s="3140" t="s">
        <v>1411</v>
      </c>
      <c r="C48" s="3120"/>
      <c r="D48" s="3120"/>
      <c r="E48" s="3194" t="s">
        <v>396</v>
      </c>
      <c r="F48" s="3120"/>
      <c r="G48" s="3120"/>
      <c r="H48" s="3138" t="str">
        <f>CONCATENATE("Annual Source Energy Generated
 (", PO_SourceUnits, ")")</f>
        <v>Annual Source Energy Generated
 (Btu x 10^6)</v>
      </c>
      <c r="I48" s="3102"/>
      <c r="J48" s="3140" t="s">
        <v>998</v>
      </c>
      <c r="K48" s="3120"/>
      <c r="L48" s="3120"/>
      <c r="M48" s="3120"/>
    </row>
    <row r="49" spans="1:55" ht="20.25" customHeight="1" x14ac:dyDescent="0.25">
      <c r="A49" s="409"/>
      <c r="B49" s="3120"/>
      <c r="C49" s="3120"/>
      <c r="D49" s="3120"/>
      <c r="E49" s="3194" t="s">
        <v>1412</v>
      </c>
      <c r="F49" s="3120"/>
      <c r="G49" s="579" t="str">
        <f>CONCATENATE("Units = ", PO_SiteUnits,")")</f>
        <v>Units = Btu x 10^6)</v>
      </c>
      <c r="H49" s="3102"/>
      <c r="I49" s="3102"/>
      <c r="J49" s="3120"/>
      <c r="K49" s="3120"/>
      <c r="L49" s="3120"/>
      <c r="M49" s="3120"/>
    </row>
    <row r="50" spans="1:55" s="420" customFormat="1" hidden="1" x14ac:dyDescent="0.2">
      <c r="A50" s="419"/>
      <c r="B50" s="484" t="s">
        <v>1396</v>
      </c>
      <c r="C50" s="500"/>
      <c r="D50" s="500"/>
      <c r="E50" s="501" t="s">
        <v>1413</v>
      </c>
      <c r="F50" s="502" t="s">
        <v>1414</v>
      </c>
      <c r="G50" s="503" t="s">
        <v>1415</v>
      </c>
      <c r="H50" s="502" t="s">
        <v>1416</v>
      </c>
      <c r="I50" s="503"/>
      <c r="J50" s="502" t="s">
        <v>356</v>
      </c>
      <c r="K50" s="504"/>
      <c r="L50" s="505"/>
      <c r="M50" s="505"/>
      <c r="Q50" s="628" t="s">
        <v>1407</v>
      </c>
      <c r="R50" s="628" t="s">
        <v>1408</v>
      </c>
    </row>
    <row r="51" spans="1:55" ht="15" customHeight="1" x14ac:dyDescent="0.25">
      <c r="A51" s="409"/>
      <c r="B51" s="3117" t="str">
        <f t="shared" ref="B51:B62" si="3">IFERROR(IF(ISBLANK(B17),"",B17),"")</f>
        <v>Electricity</v>
      </c>
      <c r="C51" s="3118"/>
      <c r="D51" s="3118"/>
      <c r="E51" s="506">
        <f t="shared" ref="E51:E65" si="4">IFERROR(IF(PO_SiteRenewable=TRUE,SUMIF(INDEX(PO_renewable_table,0,MATCH($E$44,PO_renewable_hdr,0)),$B51,INDEX(PO_renewable_table,0,MATCH($H$44,PO_renewable_hdr,0))),""),"")</f>
        <v>0</v>
      </c>
      <c r="F51" s="507" t="str">
        <f t="shared" ref="F51:F65" si="5">IFERROR(IF(ISBLANK($B51),"",VLOOKUP($B51,PO_Enrgy_1_Table,MATCH($C$16,PO_Enrgy_1_Hdr,0),FALSE)),"")</f>
        <v>kWh</v>
      </c>
      <c r="G51" s="657">
        <f t="shared" ref="G51:G56" si="6">IFERROR($E51*$Q51,"")</f>
        <v>0</v>
      </c>
      <c r="H51" s="3119">
        <f t="shared" ref="H51:H56" si="7">IFERROR($E51*$R51,"")</f>
        <v>0</v>
      </c>
      <c r="I51" s="3120"/>
      <c r="J51" s="3121">
        <f t="shared" ref="J51:J65" ca="1" si="8">IFERROR(IF(PO_SiteRenewable=TRUE,SUMIF($E$45:$E$46,$B51,$J$45:$J$46),0),"")</f>
        <v>0</v>
      </c>
      <c r="K51" s="3122"/>
      <c r="L51" s="3122"/>
      <c r="M51" s="3122"/>
      <c r="Q51" s="627">
        <f t="shared" ref="Q51:Q65" si="9">IFERROR(IF(ISBLANK($B51),"",VLOOKUP($B51,PO_Enrgy_1_Table,MATCH($K$16,PO_Enrgy_1_Hdr,0),FALSE)),"")</f>
        <v>3.4120000000000001E-3</v>
      </c>
      <c r="R51" s="627">
        <f t="shared" ref="R51:R65" si="10">IFERROR(IF(ISBLANK($B51),"",VLOOKUP($B51,PO_Enrgy_1_Table,MATCH($M$16,PO_Enrgy_1_Hdr,0),FALSE)),"")</f>
        <v>1.0713680000000001E-2</v>
      </c>
      <c r="BC51" s="804"/>
    </row>
    <row r="52" spans="1:55" ht="15" customHeight="1" x14ac:dyDescent="0.25">
      <c r="A52" s="409"/>
      <c r="B52" s="3117" t="str">
        <f t="shared" si="3"/>
        <v>Natural Gas</v>
      </c>
      <c r="C52" s="3118"/>
      <c r="D52" s="3118"/>
      <c r="E52" s="506">
        <f t="shared" si="4"/>
        <v>0</v>
      </c>
      <c r="F52" s="507" t="str">
        <f t="shared" si="5"/>
        <v>therm</v>
      </c>
      <c r="G52" s="657">
        <f t="shared" si="6"/>
        <v>0</v>
      </c>
      <c r="H52" s="3119">
        <f t="shared" si="7"/>
        <v>0</v>
      </c>
      <c r="I52" s="3120"/>
      <c r="J52" s="3121">
        <f t="shared" ca="1" si="8"/>
        <v>0</v>
      </c>
      <c r="K52" s="3122"/>
      <c r="L52" s="3122"/>
      <c r="M52" s="3122"/>
      <c r="Q52" s="627">
        <f t="shared" si="9"/>
        <v>0.1</v>
      </c>
      <c r="R52" s="627">
        <f t="shared" si="10"/>
        <v>0.10500000000000001</v>
      </c>
      <c r="BC52" s="804"/>
    </row>
    <row r="53" spans="1:55" ht="15" customHeight="1" x14ac:dyDescent="0.25">
      <c r="A53" s="409"/>
      <c r="B53" s="3117" t="str">
        <f t="shared" si="3"/>
        <v>District Cooling</v>
      </c>
      <c r="C53" s="3118"/>
      <c r="D53" s="3118"/>
      <c r="E53" s="506">
        <f t="shared" si="4"/>
        <v>0</v>
      </c>
      <c r="F53" s="507" t="str">
        <f t="shared" si="5"/>
        <v>MWh</v>
      </c>
      <c r="G53" s="657">
        <f t="shared" si="6"/>
        <v>0</v>
      </c>
      <c r="H53" s="3119">
        <f t="shared" si="7"/>
        <v>0</v>
      </c>
      <c r="I53" s="3120"/>
      <c r="J53" s="3121">
        <f t="shared" si="8"/>
        <v>0</v>
      </c>
      <c r="K53" s="3122"/>
      <c r="L53" s="3122"/>
      <c r="M53" s="3122"/>
      <c r="Q53" s="627">
        <f t="shared" si="9"/>
        <v>3.4119999999999999</v>
      </c>
      <c r="R53" s="627">
        <f t="shared" si="10"/>
        <v>3.4119999999999999</v>
      </c>
      <c r="BC53" s="804"/>
    </row>
    <row r="54" spans="1:55" ht="15" customHeight="1" x14ac:dyDescent="0.25">
      <c r="A54" s="409"/>
      <c r="B54" s="3117" t="str">
        <f t="shared" si="3"/>
        <v>District Cooling</v>
      </c>
      <c r="C54" s="3118"/>
      <c r="D54" s="3118"/>
      <c r="E54" s="506">
        <f t="shared" si="4"/>
        <v>0</v>
      </c>
      <c r="F54" s="507" t="str">
        <f t="shared" si="5"/>
        <v>MWh</v>
      </c>
      <c r="G54" s="657">
        <f t="shared" si="6"/>
        <v>0</v>
      </c>
      <c r="H54" s="3119">
        <f t="shared" si="7"/>
        <v>0</v>
      </c>
      <c r="I54" s="3120"/>
      <c r="J54" s="3121">
        <f t="shared" si="8"/>
        <v>0</v>
      </c>
      <c r="K54" s="3122"/>
      <c r="L54" s="3122"/>
      <c r="M54" s="3122"/>
      <c r="Q54" s="627">
        <f t="shared" si="9"/>
        <v>3.4119999999999999</v>
      </c>
      <c r="R54" s="627">
        <f t="shared" si="10"/>
        <v>3.4119999999999999</v>
      </c>
      <c r="BC54" s="804"/>
    </row>
    <row r="55" spans="1:55" ht="15" customHeight="1" x14ac:dyDescent="0.25">
      <c r="A55" s="409"/>
      <c r="B55" s="3117" t="str">
        <f t="shared" si="3"/>
        <v>District Cooling</v>
      </c>
      <c r="C55" s="3118"/>
      <c r="D55" s="3118"/>
      <c r="E55" s="506">
        <f t="shared" si="4"/>
        <v>0</v>
      </c>
      <c r="F55" s="507" t="str">
        <f t="shared" si="5"/>
        <v>MWh</v>
      </c>
      <c r="G55" s="657">
        <f t="shared" si="6"/>
        <v>0</v>
      </c>
      <c r="H55" s="3119">
        <f t="shared" si="7"/>
        <v>0</v>
      </c>
      <c r="I55" s="3120"/>
      <c r="J55" s="3121">
        <f t="shared" si="8"/>
        <v>0</v>
      </c>
      <c r="K55" s="3122"/>
      <c r="L55" s="3122"/>
      <c r="M55" s="3122"/>
      <c r="Q55" s="627">
        <f t="shared" si="9"/>
        <v>3.4119999999999999</v>
      </c>
      <c r="R55" s="627">
        <f t="shared" si="10"/>
        <v>3.4119999999999999</v>
      </c>
      <c r="BC55" s="804"/>
    </row>
    <row r="56" spans="1:55" ht="15" customHeight="1" x14ac:dyDescent="0.25">
      <c r="A56" s="409"/>
      <c r="B56" s="3117" t="str">
        <f t="shared" si="3"/>
        <v>District Cooling</v>
      </c>
      <c r="C56" s="3118"/>
      <c r="D56" s="3118"/>
      <c r="E56" s="506">
        <f t="shared" si="4"/>
        <v>0</v>
      </c>
      <c r="F56" s="507" t="str">
        <f t="shared" si="5"/>
        <v>MWh</v>
      </c>
      <c r="G56" s="657">
        <f t="shared" si="6"/>
        <v>0</v>
      </c>
      <c r="H56" s="3119">
        <f t="shared" si="7"/>
        <v>0</v>
      </c>
      <c r="I56" s="3120"/>
      <c r="J56" s="3121">
        <f t="shared" si="8"/>
        <v>0</v>
      </c>
      <c r="K56" s="3122"/>
      <c r="L56" s="3122"/>
      <c r="M56" s="3122"/>
      <c r="Q56" s="627">
        <f t="shared" si="9"/>
        <v>3.4119999999999999</v>
      </c>
      <c r="R56" s="627">
        <f t="shared" si="10"/>
        <v>3.4119999999999999</v>
      </c>
      <c r="BC56" s="804"/>
    </row>
    <row r="57" spans="1:55" ht="15" customHeight="1" x14ac:dyDescent="0.25">
      <c r="A57" s="409"/>
      <c r="B57" s="3117" t="str">
        <f t="shared" si="3"/>
        <v>District Cooling</v>
      </c>
      <c r="C57" s="3118"/>
      <c r="D57" s="3118"/>
      <c r="E57" s="506">
        <f t="shared" si="4"/>
        <v>0</v>
      </c>
      <c r="F57" s="507" t="str">
        <f t="shared" si="5"/>
        <v>MWh</v>
      </c>
      <c r="G57" s="657">
        <f t="shared" ref="G57:G65" si="11">IFERROR($E57*$Q57,"")</f>
        <v>0</v>
      </c>
      <c r="H57" s="3119">
        <f t="shared" ref="H57:H65" si="12">IFERROR($E57*$R57,"")</f>
        <v>0</v>
      </c>
      <c r="I57" s="3120"/>
      <c r="J57" s="3121">
        <f t="shared" si="8"/>
        <v>0</v>
      </c>
      <c r="K57" s="3122"/>
      <c r="L57" s="3122"/>
      <c r="M57" s="3122"/>
      <c r="Q57" s="627">
        <f t="shared" si="9"/>
        <v>3.4119999999999999</v>
      </c>
      <c r="R57" s="627">
        <f t="shared" si="10"/>
        <v>3.4119999999999999</v>
      </c>
      <c r="BC57" s="804"/>
    </row>
    <row r="58" spans="1:55" ht="15" customHeight="1" x14ac:dyDescent="0.25">
      <c r="A58" s="409"/>
      <c r="B58" s="3117" t="str">
        <f t="shared" si="3"/>
        <v>District Cooling</v>
      </c>
      <c r="C58" s="3118"/>
      <c r="D58" s="3118"/>
      <c r="E58" s="506">
        <f t="shared" si="4"/>
        <v>0</v>
      </c>
      <c r="F58" s="507" t="str">
        <f t="shared" si="5"/>
        <v>MWh</v>
      </c>
      <c r="G58" s="657">
        <f t="shared" si="11"/>
        <v>0</v>
      </c>
      <c r="H58" s="3119">
        <f t="shared" si="12"/>
        <v>0</v>
      </c>
      <c r="I58" s="3120"/>
      <c r="J58" s="3121">
        <f t="shared" si="8"/>
        <v>0</v>
      </c>
      <c r="K58" s="3122"/>
      <c r="L58" s="3122"/>
      <c r="M58" s="3122"/>
      <c r="Q58" s="627">
        <f t="shared" si="9"/>
        <v>3.4119999999999999</v>
      </c>
      <c r="R58" s="627">
        <f t="shared" si="10"/>
        <v>3.4119999999999999</v>
      </c>
      <c r="BC58" s="804"/>
    </row>
    <row r="59" spans="1:55" ht="15" customHeight="1" x14ac:dyDescent="0.25">
      <c r="A59" s="409"/>
      <c r="B59" s="3117" t="str">
        <f t="shared" si="3"/>
        <v>District Cooling</v>
      </c>
      <c r="C59" s="3118"/>
      <c r="D59" s="3118"/>
      <c r="E59" s="506">
        <f t="shared" si="4"/>
        <v>0</v>
      </c>
      <c r="F59" s="507" t="str">
        <f t="shared" si="5"/>
        <v>MWh</v>
      </c>
      <c r="G59" s="657">
        <f t="shared" si="11"/>
        <v>0</v>
      </c>
      <c r="H59" s="3119">
        <f t="shared" si="12"/>
        <v>0</v>
      </c>
      <c r="I59" s="3120"/>
      <c r="J59" s="3121">
        <f t="shared" si="8"/>
        <v>0</v>
      </c>
      <c r="K59" s="3122"/>
      <c r="L59" s="3122"/>
      <c r="M59" s="3122"/>
      <c r="Q59" s="627">
        <f t="shared" si="9"/>
        <v>3.4119999999999999</v>
      </c>
      <c r="R59" s="627">
        <f t="shared" si="10"/>
        <v>3.4119999999999999</v>
      </c>
      <c r="BC59" s="804"/>
    </row>
    <row r="60" spans="1:55" ht="15" customHeight="1" x14ac:dyDescent="0.25">
      <c r="A60" s="409"/>
      <c r="B60" s="3117" t="str">
        <f t="shared" si="3"/>
        <v>District Cooling</v>
      </c>
      <c r="C60" s="3118"/>
      <c r="D60" s="3118"/>
      <c r="E60" s="506">
        <f t="shared" si="4"/>
        <v>0</v>
      </c>
      <c r="F60" s="507" t="str">
        <f t="shared" si="5"/>
        <v>MWh</v>
      </c>
      <c r="G60" s="657">
        <f t="shared" si="11"/>
        <v>0</v>
      </c>
      <c r="H60" s="3119">
        <f t="shared" si="12"/>
        <v>0</v>
      </c>
      <c r="I60" s="3120"/>
      <c r="J60" s="3121">
        <f t="shared" si="8"/>
        <v>0</v>
      </c>
      <c r="K60" s="3122"/>
      <c r="L60" s="3122"/>
      <c r="M60" s="3122"/>
      <c r="Q60" s="627">
        <f t="shared" si="9"/>
        <v>3.4119999999999999</v>
      </c>
      <c r="R60" s="627">
        <f t="shared" si="10"/>
        <v>3.4119999999999999</v>
      </c>
      <c r="BC60" s="804"/>
    </row>
    <row r="61" spans="1:55" ht="15" customHeight="1" x14ac:dyDescent="0.25">
      <c r="A61" s="409"/>
      <c r="B61" s="3117" t="str">
        <f t="shared" si="3"/>
        <v>District Cooling</v>
      </c>
      <c r="C61" s="3118"/>
      <c r="D61" s="3118"/>
      <c r="E61" s="506">
        <f t="shared" si="4"/>
        <v>0</v>
      </c>
      <c r="F61" s="507" t="str">
        <f t="shared" si="5"/>
        <v>MWh</v>
      </c>
      <c r="G61" s="657">
        <f t="shared" si="11"/>
        <v>0</v>
      </c>
      <c r="H61" s="3119">
        <f t="shared" si="12"/>
        <v>0</v>
      </c>
      <c r="I61" s="3120"/>
      <c r="J61" s="3121">
        <f t="shared" si="8"/>
        <v>0</v>
      </c>
      <c r="K61" s="3122"/>
      <c r="L61" s="3122"/>
      <c r="M61" s="3122"/>
      <c r="Q61" s="627">
        <f t="shared" si="9"/>
        <v>3.4119999999999999</v>
      </c>
      <c r="R61" s="627">
        <f t="shared" si="10"/>
        <v>3.4119999999999999</v>
      </c>
      <c r="BC61" s="804"/>
    </row>
    <row r="62" spans="1:55" ht="15" customHeight="1" x14ac:dyDescent="0.25">
      <c r="A62" s="409"/>
      <c r="B62" s="3117" t="str">
        <f t="shared" si="3"/>
        <v>District Cooling</v>
      </c>
      <c r="C62" s="3118"/>
      <c r="D62" s="3118"/>
      <c r="E62" s="506">
        <f t="shared" si="4"/>
        <v>0</v>
      </c>
      <c r="F62" s="507" t="str">
        <f t="shared" si="5"/>
        <v>MWh</v>
      </c>
      <c r="G62" s="657">
        <f t="shared" si="11"/>
        <v>0</v>
      </c>
      <c r="H62" s="3119">
        <f t="shared" si="12"/>
        <v>0</v>
      </c>
      <c r="I62" s="3120"/>
      <c r="J62" s="3121">
        <f t="shared" si="8"/>
        <v>0</v>
      </c>
      <c r="K62" s="3122"/>
      <c r="L62" s="3122"/>
      <c r="M62" s="3122"/>
      <c r="Q62" s="627">
        <f t="shared" si="9"/>
        <v>3.4119999999999999</v>
      </c>
      <c r="R62" s="627">
        <f t="shared" si="10"/>
        <v>3.4119999999999999</v>
      </c>
      <c r="BC62" s="804"/>
    </row>
    <row r="63" spans="1:55" ht="15" customHeight="1" x14ac:dyDescent="0.25">
      <c r="A63" s="409"/>
      <c r="B63" s="3117" t="str">
        <f t="shared" ref="B63:B65" si="13">IFERROR(IF(ISBLANK(B29),"",B29),"")</f>
        <v>District Cooling</v>
      </c>
      <c r="C63" s="3118"/>
      <c r="D63" s="3118"/>
      <c r="E63" s="506">
        <f t="shared" si="4"/>
        <v>0</v>
      </c>
      <c r="F63" s="507" t="str">
        <f t="shared" si="5"/>
        <v>MWh</v>
      </c>
      <c r="G63" s="657">
        <f t="shared" si="11"/>
        <v>0</v>
      </c>
      <c r="H63" s="3119">
        <f t="shared" si="12"/>
        <v>0</v>
      </c>
      <c r="I63" s="3120"/>
      <c r="J63" s="3121">
        <f t="shared" si="8"/>
        <v>0</v>
      </c>
      <c r="K63" s="3122"/>
      <c r="L63" s="3122"/>
      <c r="M63" s="3122"/>
      <c r="Q63" s="627">
        <f t="shared" si="9"/>
        <v>3.4119999999999999</v>
      </c>
      <c r="R63" s="627">
        <f t="shared" si="10"/>
        <v>3.4119999999999999</v>
      </c>
      <c r="BC63" s="804"/>
    </row>
    <row r="64" spans="1:55" ht="15" customHeight="1" x14ac:dyDescent="0.25">
      <c r="A64" s="409"/>
      <c r="B64" s="3117" t="str">
        <f t="shared" si="13"/>
        <v>District Cooling</v>
      </c>
      <c r="C64" s="3118"/>
      <c r="D64" s="3118"/>
      <c r="E64" s="506">
        <f t="shared" si="4"/>
        <v>0</v>
      </c>
      <c r="F64" s="507" t="str">
        <f t="shared" si="5"/>
        <v>MWh</v>
      </c>
      <c r="G64" s="657">
        <f t="shared" si="11"/>
        <v>0</v>
      </c>
      <c r="H64" s="3119">
        <f t="shared" si="12"/>
        <v>0</v>
      </c>
      <c r="I64" s="3120"/>
      <c r="J64" s="3121">
        <f t="shared" si="8"/>
        <v>0</v>
      </c>
      <c r="K64" s="3122"/>
      <c r="L64" s="3122"/>
      <c r="M64" s="3122"/>
      <c r="Q64" s="627">
        <f t="shared" si="9"/>
        <v>3.4119999999999999</v>
      </c>
      <c r="R64" s="627">
        <f t="shared" si="10"/>
        <v>3.4119999999999999</v>
      </c>
      <c r="BC64" s="804"/>
    </row>
    <row r="65" spans="1:55" ht="15" customHeight="1" x14ac:dyDescent="0.25">
      <c r="A65" s="409"/>
      <c r="B65" s="3117" t="str">
        <f t="shared" si="13"/>
        <v>District Cooling</v>
      </c>
      <c r="C65" s="3118"/>
      <c r="D65" s="3118"/>
      <c r="E65" s="506">
        <f t="shared" si="4"/>
        <v>0</v>
      </c>
      <c r="F65" s="507" t="str">
        <f t="shared" si="5"/>
        <v>MWh</v>
      </c>
      <c r="G65" s="657">
        <f t="shared" si="11"/>
        <v>0</v>
      </c>
      <c r="H65" s="3119">
        <f t="shared" si="12"/>
        <v>0</v>
      </c>
      <c r="I65" s="3120"/>
      <c r="J65" s="3121">
        <f t="shared" si="8"/>
        <v>0</v>
      </c>
      <c r="K65" s="3122"/>
      <c r="L65" s="3122"/>
      <c r="M65" s="3122"/>
      <c r="Q65" s="627">
        <f t="shared" si="9"/>
        <v>3.4119999999999999</v>
      </c>
      <c r="R65" s="627">
        <f t="shared" si="10"/>
        <v>3.4119999999999999</v>
      </c>
      <c r="BC65" s="804"/>
    </row>
    <row r="66" spans="1:55" ht="21" customHeight="1" x14ac:dyDescent="0.25">
      <c r="A66" s="409"/>
      <c r="B66" s="3276" t="s">
        <v>15</v>
      </c>
      <c r="C66" s="3277"/>
      <c r="D66" s="3277"/>
      <c r="E66" s="3277"/>
      <c r="F66" s="3278"/>
      <c r="G66" s="508">
        <f>IFERROR(SUM(INDEX(PO_Enrgy_2_Table,0,MATCH($G$50,PO_Enrgy_2_Hdr,0))),"")</f>
        <v>0</v>
      </c>
      <c r="H66" s="3119">
        <f>IFERROR(SUM(INDEX(PO_Enrgy_2_Table,0,MATCH($H$50,PO_Enrgy_2_Hdr,0))),"")</f>
        <v>0</v>
      </c>
      <c r="I66" s="3120">
        <f>SUM(I50:I52)</f>
        <v>0</v>
      </c>
      <c r="J66" s="3121">
        <f ca="1">IFERROR(SUM(J44:J46),"")</f>
        <v>0</v>
      </c>
      <c r="K66" s="3122"/>
      <c r="L66" s="3122"/>
      <c r="M66" s="3122"/>
      <c r="BC66" s="804"/>
    </row>
    <row r="67" spans="1:55" ht="21" customHeight="1" x14ac:dyDescent="0.25">
      <c r="A67" s="409"/>
      <c r="B67" s="3255" t="s">
        <v>999</v>
      </c>
      <c r="C67" s="3118"/>
      <c r="D67" s="3118"/>
      <c r="E67" s="3118"/>
      <c r="F67" s="3118"/>
      <c r="G67" s="3118"/>
      <c r="H67" s="3118"/>
      <c r="I67" s="3118"/>
      <c r="J67" s="3256" t="str">
        <f ca="1">IF(Datacenter_Avg=TRUE,IFERROR($J66/$J$451,""),IFERROR($J66/$J$386,""))</f>
        <v/>
      </c>
      <c r="K67" s="3257"/>
      <c r="L67" s="3257"/>
      <c r="M67" s="3257"/>
      <c r="BC67" s="804"/>
    </row>
    <row r="68" spans="1:55" ht="33.75" customHeight="1" x14ac:dyDescent="0.25">
      <c r="A68" s="409" t="s">
        <v>1038</v>
      </c>
      <c r="B68" s="3244"/>
      <c r="C68" s="3245"/>
      <c r="D68" s="3245"/>
      <c r="E68" s="3245"/>
      <c r="F68" s="3245"/>
      <c r="G68" s="3245"/>
      <c r="H68" s="3245"/>
      <c r="I68" s="3245"/>
      <c r="J68" s="3245"/>
      <c r="K68" s="3245"/>
      <c r="L68" s="3245"/>
      <c r="M68" s="589"/>
    </row>
    <row r="69" spans="1:55" ht="33.75" customHeight="1" x14ac:dyDescent="0.25">
      <c r="A69" s="409" t="s">
        <v>1038</v>
      </c>
      <c r="B69" s="264"/>
      <c r="C69" s="243"/>
      <c r="D69" s="243"/>
      <c r="E69" s="243"/>
      <c r="F69" s="243"/>
      <c r="G69" s="243"/>
      <c r="H69" s="243"/>
      <c r="I69" s="243"/>
      <c r="J69" s="243"/>
      <c r="K69" s="243"/>
      <c r="L69" s="243"/>
      <c r="M69" s="589"/>
    </row>
    <row r="70" spans="1:55" ht="21" customHeight="1" x14ac:dyDescent="0.25">
      <c r="A70" s="409" t="s">
        <v>1038</v>
      </c>
      <c r="B70" s="312" t="s">
        <v>912</v>
      </c>
      <c r="C70" s="286"/>
      <c r="D70" s="286"/>
      <c r="E70" s="286"/>
      <c r="F70" s="286"/>
      <c r="G70" s="286"/>
      <c r="H70" s="286"/>
      <c r="I70" s="286"/>
      <c r="J70" s="286"/>
      <c r="K70" s="286"/>
      <c r="L70" s="286"/>
      <c r="M70" s="286"/>
      <c r="T70" s="631" t="s">
        <v>866</v>
      </c>
      <c r="AD70" s="247"/>
    </row>
    <row r="71" spans="1:55" ht="15" customHeight="1" x14ac:dyDescent="0.25">
      <c r="A71" s="409" t="s">
        <v>1038</v>
      </c>
      <c r="E71" s="272"/>
      <c r="T71" s="630" t="b">
        <v>1</v>
      </c>
    </row>
    <row r="72" spans="1:55" ht="21" customHeight="1" x14ac:dyDescent="0.25">
      <c r="A72" s="409" t="s">
        <v>1038</v>
      </c>
      <c r="B72" s="313" t="s">
        <v>1000</v>
      </c>
      <c r="C72" s="272"/>
    </row>
    <row r="73" spans="1:55" ht="125.25" hidden="1" customHeight="1" x14ac:dyDescent="0.25">
      <c r="A73" s="409" t="s">
        <v>1038</v>
      </c>
      <c r="B73" s="3201" t="s">
        <v>1032</v>
      </c>
      <c r="C73" s="3220"/>
      <c r="D73" s="3220"/>
      <c r="E73" s="3220"/>
      <c r="F73" s="3220"/>
      <c r="G73" s="3220"/>
      <c r="H73" s="3220"/>
      <c r="I73" s="3220"/>
      <c r="J73" s="3220"/>
      <c r="K73" s="3220"/>
      <c r="L73" s="3220"/>
      <c r="M73" s="3220"/>
    </row>
    <row r="74" spans="1:55" ht="15" customHeight="1" x14ac:dyDescent="0.25">
      <c r="A74" s="409" t="s">
        <v>1038</v>
      </c>
      <c r="E74" s="272"/>
      <c r="AD74" s="247"/>
    </row>
    <row r="75" spans="1:55" ht="21" customHeight="1" x14ac:dyDescent="0.25">
      <c r="A75" s="409" t="s">
        <v>1038</v>
      </c>
      <c r="B75" s="647" t="s">
        <v>1001</v>
      </c>
      <c r="C75" s="647"/>
      <c r="D75" s="647"/>
      <c r="E75" s="647"/>
      <c r="F75" s="647"/>
      <c r="G75" s="647"/>
      <c r="H75" s="647"/>
      <c r="I75" s="647"/>
      <c r="J75" s="647"/>
      <c r="K75" s="647"/>
      <c r="L75" s="647"/>
      <c r="M75" s="583"/>
    </row>
    <row r="76" spans="1:55" ht="136.5" customHeight="1" x14ac:dyDescent="0.25">
      <c r="A76" s="409" t="s">
        <v>1038</v>
      </c>
      <c r="B76" s="3246" t="s">
        <v>1465</v>
      </c>
      <c r="C76" s="3246"/>
      <c r="D76" s="3246"/>
      <c r="E76" s="3246"/>
      <c r="F76" s="3246"/>
      <c r="G76" s="3246"/>
      <c r="H76" s="3246"/>
      <c r="I76" s="3246"/>
      <c r="J76" s="3246"/>
      <c r="K76" s="3246"/>
      <c r="L76" s="3246"/>
      <c r="M76" s="3246"/>
    </row>
    <row r="77" spans="1:55" x14ac:dyDescent="0.25">
      <c r="A77" s="409" t="s">
        <v>1038</v>
      </c>
      <c r="B77" s="281"/>
      <c r="C77" s="197"/>
      <c r="D77" s="197"/>
      <c r="E77" s="197"/>
      <c r="F77" s="197"/>
      <c r="G77" s="197"/>
      <c r="H77" s="197"/>
      <c r="I77" s="197"/>
    </row>
    <row r="78" spans="1:55" ht="44.25" customHeight="1" x14ac:dyDescent="0.25">
      <c r="A78" s="409" t="s">
        <v>1038</v>
      </c>
      <c r="B78" s="3100" t="s">
        <v>1467</v>
      </c>
      <c r="C78" s="3100" t="s">
        <v>1002</v>
      </c>
      <c r="D78" s="3100" t="s">
        <v>395</v>
      </c>
      <c r="E78" s="3185"/>
      <c r="F78" s="3248" t="s">
        <v>394</v>
      </c>
      <c r="G78" s="3100" t="s">
        <v>1003</v>
      </c>
      <c r="H78" s="3250"/>
      <c r="I78" s="3250"/>
      <c r="J78" s="3250"/>
      <c r="K78" s="3250"/>
      <c r="L78" s="3100" t="s">
        <v>1417</v>
      </c>
      <c r="M78" s="3250"/>
      <c r="AS78" s="2"/>
      <c r="AT78" s="2"/>
      <c r="AU78" s="2"/>
      <c r="AV78" s="2"/>
      <c r="AW78" s="2"/>
      <c r="AX78" s="2"/>
      <c r="AY78" s="2"/>
      <c r="AZ78" s="2"/>
    </row>
    <row r="79" spans="1:55" ht="63.75" customHeight="1" x14ac:dyDescent="0.25">
      <c r="A79" s="409" t="s">
        <v>1038</v>
      </c>
      <c r="B79" s="3247"/>
      <c r="C79" s="3247"/>
      <c r="D79" s="3185"/>
      <c r="E79" s="3185"/>
      <c r="F79" s="3249"/>
      <c r="G79" s="3101" t="s">
        <v>1418</v>
      </c>
      <c r="H79" s="3253"/>
      <c r="I79" s="584" t="str">
        <f>CONCATENATE("Site Energy 
(Units = ", PO_SiteUnits,")")</f>
        <v>Site Energy 
(Units = Btu x 10^6)</v>
      </c>
      <c r="J79" s="3101" t="str">
        <f>"Source Energy Consumption 
("  &amp; PO_SourceUnits &amp; ")"</f>
        <v>Source Energy Consumption 
(Btu x 10^6)</v>
      </c>
      <c r="K79" s="3253"/>
      <c r="L79" s="3250"/>
      <c r="M79" s="3250"/>
      <c r="AR79" s="334"/>
      <c r="AS79" s="283"/>
      <c r="AT79" s="283"/>
      <c r="AU79" s="283"/>
      <c r="AV79" s="2"/>
      <c r="AW79" s="283"/>
      <c r="AX79" s="283"/>
      <c r="AY79" s="283"/>
      <c r="AZ79" s="2"/>
    </row>
    <row r="80" spans="1:55" s="414" customFormat="1" ht="21.75" hidden="1" customHeight="1" x14ac:dyDescent="0.25">
      <c r="A80" s="409" t="s">
        <v>1038</v>
      </c>
      <c r="B80" s="509" t="s">
        <v>1468</v>
      </c>
      <c r="C80" s="509" t="s">
        <v>1419</v>
      </c>
      <c r="D80" s="3254" t="s">
        <v>1396</v>
      </c>
      <c r="E80" s="3185"/>
      <c r="F80" s="649" t="s">
        <v>1420</v>
      </c>
      <c r="G80" s="421" t="s">
        <v>1413</v>
      </c>
      <c r="H80" s="421" t="s">
        <v>1414</v>
      </c>
      <c r="I80" s="503" t="s">
        <v>1415</v>
      </c>
      <c r="J80" s="422" t="s">
        <v>1416</v>
      </c>
      <c r="K80" s="421"/>
      <c r="L80" s="423" t="s">
        <v>356</v>
      </c>
      <c r="M80" s="421"/>
      <c r="Q80" s="415" t="s">
        <v>1407</v>
      </c>
      <c r="R80" s="415" t="s">
        <v>1408</v>
      </c>
      <c r="T80" s="415" t="s">
        <v>1409</v>
      </c>
      <c r="U80" s="415" t="s">
        <v>1556</v>
      </c>
      <c r="AR80" s="424"/>
      <c r="AS80" s="425"/>
      <c r="AT80" s="425"/>
      <c r="AU80" s="425"/>
      <c r="AV80" s="426"/>
      <c r="AW80" s="425"/>
      <c r="AX80" s="425"/>
      <c r="AY80" s="425"/>
      <c r="AZ80" s="426"/>
    </row>
    <row r="81" spans="1:55" s="414" customFormat="1" ht="15" hidden="1" customHeight="1" x14ac:dyDescent="0.25">
      <c r="A81" s="427" t="s">
        <v>803</v>
      </c>
      <c r="B81" s="686"/>
      <c r="C81" s="686"/>
      <c r="D81" s="3109"/>
      <c r="E81" s="3114"/>
      <c r="F81" s="510"/>
      <c r="G81" s="519"/>
      <c r="H81" s="687" t="str">
        <f>IFERROR(IF(ISBLANK($D81),"",VLOOKUP($D81,PO_Enrgy_1_Table,MATCH($C$16,PO_Enrgy_1_Hdr,0),FALSE)),"")</f>
        <v/>
      </c>
      <c r="I81" s="688" t="str">
        <f>IFERROR(VLOOKUP($D81,PO_Enrgy_1_Table,MATCH($K$16,PO_Enrgy_1_Hdr,0),FALSE)*$G81,"")</f>
        <v/>
      </c>
      <c r="J81" s="3131" t="str">
        <f>IFERROR(VLOOKUP($D81,PO_Enrgy_1_Table,MATCH($M$16,PO_Enrgy_1_Hdr,0),FALSE)*$G81,"")</f>
        <v/>
      </c>
      <c r="K81" s="3132"/>
      <c r="L81" s="3251" t="str">
        <f>IFERROR($G81*IF($F81="Subtract from Proposed",VLOOKUP($D81,PO_Enrgy_8_Table,MATCH($H$316,PO_Enrgy_8_Hdr,0),FALSE),VLOOKUP($D81,PO_Enrgy_8_Table,MATCH($E$316,PO_Enrgy_8_Hdr,0),FALSE)),"")</f>
        <v/>
      </c>
      <c r="M81" s="3252"/>
      <c r="Q81" s="633" t="str">
        <f>IFERROR(IF(ISBLANK($D81),"",VLOOKUP($D81,PO_Enrgy_1_Table,MATCH($K$16,PO_Enrgy_1_Hdr,0),FALSE)),"")</f>
        <v/>
      </c>
      <c r="R81" s="633" t="str">
        <f>IFERROR(IF(ISBLANK($D81),"",VLOOKUP($D81,PO_Enrgy_1_Table,MATCH($M$16,PO_Enrgy_1_Hdr,0),FALSE)),"")</f>
        <v/>
      </c>
      <c r="T81" s="634" t="str">
        <f>IFERROR($G81*IF($F81="Subtract from Proposed",VLOOKUP($D81,PO_Enrgy_8_Table,MATCH($H$316,PO_Enrgy_8_Hdr,0),FALSE),VLOOKUP($D81,PO_Enrgy_8_Table,MATCH($E$316,PO_Enrgy_8_Hdr,0),FALSE)),"")</f>
        <v/>
      </c>
      <c r="U81" s="632">
        <f>IFERROR(1-$J81/$T81,0)</f>
        <v>0</v>
      </c>
      <c r="AB81" s="428" t="s">
        <v>853</v>
      </c>
      <c r="AC81" s="429"/>
      <c r="AR81" s="430"/>
      <c r="AS81" s="431"/>
      <c r="AT81" s="431"/>
      <c r="AU81" s="431"/>
      <c r="AV81" s="432"/>
      <c r="AW81" s="431"/>
      <c r="AX81" s="431"/>
      <c r="AY81" s="431"/>
      <c r="AZ81" s="426"/>
      <c r="BC81" s="805"/>
    </row>
    <row r="82" spans="1:55" s="414" customFormat="1" ht="15" customHeight="1" x14ac:dyDescent="0.25">
      <c r="A82" s="427"/>
      <c r="B82" s="686">
        <v>1</v>
      </c>
      <c r="C82" s="686"/>
      <c r="D82" s="3109"/>
      <c r="E82" s="3114"/>
      <c r="F82" s="510"/>
      <c r="G82" s="519"/>
      <c r="H82" s="687" t="str">
        <f>IFERROR(IF(ISBLANK($D82),"",VLOOKUP($D82,PO_Enrgy_1_Table,MATCH($C$16,PO_Enrgy_1_Hdr,0),FALSE)),"")</f>
        <v/>
      </c>
      <c r="I82" s="688" t="str">
        <f>IFERROR(VLOOKUP($D82,PO_Enrgy_1_Table,MATCH($K$16,PO_Enrgy_1_Hdr,0),FALSE)*$G82,"")</f>
        <v/>
      </c>
      <c r="J82" s="3131" t="str">
        <f>IFERROR(VLOOKUP($D82,PO_Enrgy_1_Table,MATCH($M$16,PO_Enrgy_1_Hdr,0),FALSE)*$G82,"")</f>
        <v/>
      </c>
      <c r="K82" s="3132"/>
      <c r="L82" s="3251" t="str">
        <f>IFERROR($G82*IF($F82="Subtract from Proposed",VLOOKUP($D82,PO_Enrgy_8_Table,MATCH($H$316,PO_Enrgy_8_Hdr,0),FALSE),VLOOKUP($D82,PO_Enrgy_8_Table,MATCH($E$316,PO_Enrgy_8_Hdr,0),FALSE)),"")</f>
        <v/>
      </c>
      <c r="M82" s="3252"/>
      <c r="Q82" s="633" t="str">
        <f>IFERROR(IF(ISBLANK($D82),"",VLOOKUP($D82,PO_Enrgy_1_Table,MATCH($K$16,PO_Enrgy_1_Hdr,0),FALSE)),"")</f>
        <v/>
      </c>
      <c r="R82" s="633" t="str">
        <f>IFERROR(IF(ISBLANK($D82),"",VLOOKUP($D82,PO_Enrgy_1_Table,MATCH($M$16,PO_Enrgy_1_Hdr,0),FALSE)),"")</f>
        <v/>
      </c>
      <c r="T82" s="634" t="str">
        <f>IFERROR($G82*IF($F82="Subtract from Proposed",VLOOKUP($D82,PO_Enrgy_8_Table,MATCH($H$316,PO_Enrgy_8_Hdr,0),FALSE),VLOOKUP($D82,PO_Enrgy_8_Table,MATCH($E$316,PO_Enrgy_8_Hdr,0),FALSE)),"")</f>
        <v/>
      </c>
      <c r="U82" s="632">
        <f>IFERROR(1-$J82/$T82,0)</f>
        <v>0</v>
      </c>
      <c r="AB82" s="428"/>
      <c r="AC82" s="429"/>
      <c r="AR82" s="430"/>
      <c r="AS82" s="431"/>
      <c r="AT82" s="431"/>
      <c r="AU82" s="431"/>
      <c r="AV82" s="432"/>
      <c r="AW82" s="431"/>
      <c r="AX82" s="431"/>
      <c r="AY82" s="431"/>
      <c r="AZ82" s="426"/>
      <c r="BC82" s="805"/>
    </row>
    <row r="83" spans="1:55" s="414" customFormat="1" ht="15" customHeight="1" x14ac:dyDescent="0.25">
      <c r="A83" s="427"/>
      <c r="B83" s="686">
        <v>2</v>
      </c>
      <c r="C83" s="686"/>
      <c r="D83" s="3109"/>
      <c r="E83" s="3114"/>
      <c r="F83" s="510"/>
      <c r="G83" s="519"/>
      <c r="H83" s="687" t="str">
        <f>IFERROR(IF(ISBLANK($D83),"",VLOOKUP($D83,PO_Enrgy_1_Table,MATCH($C$16,PO_Enrgy_1_Hdr,0),FALSE)),"")</f>
        <v/>
      </c>
      <c r="I83" s="688" t="str">
        <f>IFERROR(VLOOKUP($D83,PO_Enrgy_1_Table,MATCH($K$16,PO_Enrgy_1_Hdr,0),FALSE)*$G83,"")</f>
        <v/>
      </c>
      <c r="J83" s="3131" t="str">
        <f>IFERROR(VLOOKUP($D83,PO_Enrgy_1_Table,MATCH($M$16,PO_Enrgy_1_Hdr,0),FALSE)*$G83,"")</f>
        <v/>
      </c>
      <c r="K83" s="3132"/>
      <c r="L83" s="3251" t="str">
        <f>IFERROR($G83*IF($F83="Subtract from Proposed",VLOOKUP($D83,PO_Enrgy_8_Table,MATCH($H$316,PO_Enrgy_8_Hdr,0),FALSE),VLOOKUP($D83,PO_Enrgy_8_Table,MATCH($E$316,PO_Enrgy_8_Hdr,0),FALSE)),"")</f>
        <v/>
      </c>
      <c r="M83" s="3252"/>
      <c r="Q83" s="633" t="str">
        <f>IFERROR(IF(ISBLANK($D83),"",VLOOKUP($D83,PO_Enrgy_1_Table,MATCH($K$16,PO_Enrgy_1_Hdr,0),FALSE)),"")</f>
        <v/>
      </c>
      <c r="R83" s="633" t="str">
        <f>IFERROR(IF(ISBLANK($D83),"",VLOOKUP($D83,PO_Enrgy_1_Table,MATCH($M$16,PO_Enrgy_1_Hdr,0),FALSE)),"")</f>
        <v/>
      </c>
      <c r="T83" s="634" t="str">
        <f>IFERROR($G83*IF($F83="Subtract from Proposed",VLOOKUP($D83,PO_Enrgy_8_Table,MATCH($H$316,PO_Enrgy_8_Hdr,0),FALSE),VLOOKUP($D83,PO_Enrgy_8_Table,MATCH($E$316,PO_Enrgy_8_Hdr,0),FALSE)),"")</f>
        <v/>
      </c>
      <c r="U83" s="632">
        <f>IFERROR(1-$J83/$T83,0)</f>
        <v>0</v>
      </c>
      <c r="AB83" s="428" t="s">
        <v>853</v>
      </c>
      <c r="AC83" s="429"/>
      <c r="AR83" s="430"/>
      <c r="AS83" s="431"/>
      <c r="AT83" s="431"/>
      <c r="AU83" s="431"/>
      <c r="AV83" s="432"/>
      <c r="AW83" s="431"/>
      <c r="AX83" s="431"/>
      <c r="AY83" s="431"/>
      <c r="AZ83" s="426"/>
      <c r="BC83" s="805"/>
    </row>
    <row r="84" spans="1:55" s="414" customFormat="1" ht="15" customHeight="1" x14ac:dyDescent="0.25">
      <c r="A84" s="427"/>
      <c r="B84" s="689">
        <v>3</v>
      </c>
      <c r="C84" s="689"/>
      <c r="D84" s="3235"/>
      <c r="E84" s="3236"/>
      <c r="F84" s="690"/>
      <c r="G84" s="691"/>
      <c r="H84" s="692" t="str">
        <f>IFERROR(IF(ISBLANK($D84),"",VLOOKUP($D84,PO_Enrgy_1_Table,MATCH($C$16,PO_Enrgy_1_Hdr,0),FALSE)),"")</f>
        <v/>
      </c>
      <c r="I84" s="693" t="str">
        <f>IFERROR(VLOOKUP($D84,PO_Enrgy_1_Table,MATCH($K$16,PO_Enrgy_1_Hdr,0),FALSE)*$G84,"")</f>
        <v/>
      </c>
      <c r="J84" s="3125" t="str">
        <f>IFERROR(VLOOKUP($D84,PO_Enrgy_1_Table,MATCH($M$16,PO_Enrgy_1_Hdr,0),FALSE)*$G84,"")</f>
        <v/>
      </c>
      <c r="K84" s="3126"/>
      <c r="L84" s="3237" t="str">
        <f>IFERROR($G84*IF($F84="Subtract from Proposed",VLOOKUP($D84,PO_Enrgy_8_Table,MATCH($H$316,PO_Enrgy_8_Hdr,0),FALSE),VLOOKUP($D84,PO_Enrgy_8_Table,MATCH($E$316,PO_Enrgy_8_Hdr,0),FALSE)),"")</f>
        <v/>
      </c>
      <c r="M84" s="3238"/>
      <c r="Q84" s="633" t="str">
        <f>IFERROR(IF(ISBLANK($D84),"",VLOOKUP($D84,PO_Enrgy_1_Table,MATCH($K$16,PO_Enrgy_1_Hdr,0),FALSE)),"")</f>
        <v/>
      </c>
      <c r="R84" s="633" t="str">
        <f>IFERROR(IF(ISBLANK($D84),"",VLOOKUP($D84,PO_Enrgy_1_Table,MATCH($M$16,PO_Enrgy_1_Hdr,0),FALSE)),"")</f>
        <v/>
      </c>
      <c r="T84" s="634" t="str">
        <f>IFERROR($G84*IF($F84="Subtract from Proposed",VLOOKUP($D84,PO_Enrgy_8_Table,MATCH($H$316,PO_Enrgy_8_Hdr,0),FALSE),VLOOKUP($D84,PO_Enrgy_8_Table,MATCH($E$316,PO_Enrgy_8_Hdr,0),FALSE)),"")</f>
        <v/>
      </c>
      <c r="U84" s="632">
        <f>IFERROR(1-$J84/$T84,0)</f>
        <v>0</v>
      </c>
      <c r="AB84" s="428" t="s">
        <v>853</v>
      </c>
      <c r="AC84" s="429"/>
      <c r="AR84" s="430"/>
      <c r="AS84" s="431"/>
      <c r="AT84" s="431"/>
      <c r="AU84" s="431"/>
      <c r="AV84" s="432"/>
      <c r="AW84" s="431"/>
      <c r="AX84" s="431"/>
      <c r="AY84" s="431"/>
      <c r="AZ84" s="426"/>
      <c r="BC84" s="805"/>
    </row>
    <row r="85" spans="1:55" s="245" customFormat="1" ht="21" customHeight="1" x14ac:dyDescent="0.25">
      <c r="A85" s="433"/>
      <c r="B85" s="3239" t="s">
        <v>1020</v>
      </c>
      <c r="C85" s="3240"/>
      <c r="D85" s="3240"/>
      <c r="E85" s="3240"/>
      <c r="F85" s="702"/>
      <c r="G85" s="703"/>
      <c r="H85" s="704"/>
      <c r="I85" s="703"/>
      <c r="J85" s="705"/>
      <c r="K85" s="705"/>
      <c r="L85" s="706"/>
      <c r="M85" s="707"/>
      <c r="AI85" s="259"/>
      <c r="AJ85" s="434"/>
      <c r="AK85" s="434"/>
      <c r="AL85" s="434"/>
      <c r="AM85" s="242"/>
      <c r="AN85" s="435"/>
      <c r="AO85" s="435"/>
      <c r="AP85" s="436"/>
      <c r="AQ85" s="2"/>
      <c r="AR85" s="2"/>
      <c r="AS85" s="2"/>
      <c r="AT85" s="2"/>
      <c r="AU85" s="2"/>
      <c r="AV85" s="2"/>
      <c r="AW85" s="2"/>
      <c r="AX85" s="2"/>
      <c r="AY85" s="2"/>
      <c r="AZ85" s="2"/>
    </row>
    <row r="86" spans="1:55" s="414" customFormat="1" ht="21.75" hidden="1" customHeight="1" x14ac:dyDescent="0.25">
      <c r="A86" s="427"/>
      <c r="B86" s="694" t="s">
        <v>1396</v>
      </c>
      <c r="C86" s="695"/>
      <c r="D86" s="695"/>
      <c r="E86" s="695"/>
      <c r="F86" s="696"/>
      <c r="G86" s="697" t="s">
        <v>1413</v>
      </c>
      <c r="H86" s="698" t="s">
        <v>1414</v>
      </c>
      <c r="I86" s="699" t="s">
        <v>1415</v>
      </c>
      <c r="J86" s="700" t="s">
        <v>1416</v>
      </c>
      <c r="K86" s="697"/>
      <c r="L86" s="701" t="s">
        <v>356</v>
      </c>
      <c r="M86" s="696"/>
      <c r="Q86" s="415" t="s">
        <v>1407</v>
      </c>
      <c r="R86" s="415" t="s">
        <v>1408</v>
      </c>
      <c r="AI86" s="426"/>
      <c r="AJ86" s="426"/>
      <c r="AK86" s="426"/>
      <c r="AL86" s="426"/>
      <c r="AM86" s="426"/>
      <c r="AN86" s="426"/>
      <c r="AO86" s="426"/>
      <c r="AP86" s="426"/>
      <c r="AQ86" s="426"/>
      <c r="AR86" s="437"/>
      <c r="AS86" s="437"/>
      <c r="AT86" s="437"/>
      <c r="AU86" s="437"/>
      <c r="AV86" s="426"/>
      <c r="AW86" s="437"/>
      <c r="AX86" s="437"/>
      <c r="AY86" s="437"/>
      <c r="AZ86" s="426"/>
    </row>
    <row r="87" spans="1:55" ht="15" customHeight="1" x14ac:dyDescent="0.25">
      <c r="A87" s="409"/>
      <c r="B87" s="3174" t="str">
        <f t="shared" ref="B87:B98" si="14">IFERROR(IF(ISBLANK(B17),"",B17),"")</f>
        <v>Electricity</v>
      </c>
      <c r="C87" s="3174"/>
      <c r="D87" s="3174"/>
      <c r="E87" s="3174"/>
      <c r="F87" s="3241"/>
      <c r="G87" s="673">
        <f t="shared" ref="G87:G101" si="15">IFERROR(IF(PO_ShowExCalc=TRUE,SUMIFS(INDEX(PO_ExCalc_Table,0,MATCH($G$80,PO_ExCalc_Hdr,0)),INDEX(PO_ExCalc_Table,0,MATCH($D$80,PO_ExCalc_Hdr,0)),$B87,INDEX(PO_ExCalc_Table,0,MATCH($F$80,PO_ExCalc_Hdr,0)),"Add to Baseline"),""),"")</f>
        <v>0</v>
      </c>
      <c r="H87" s="687" t="str">
        <f t="shared" ref="H87:H101" si="16">IFERROR(IF(ISBLANK($B87),"",VLOOKUP($B87,PO_Enrgy_1_Table,MATCH($C$16,PO_Enrgy_1_Hdr,0),FALSE)),"")</f>
        <v>kWh</v>
      </c>
      <c r="I87" s="673">
        <f t="shared" ref="I87:I92" si="17">IFERROR($G87*$Q87,"")</f>
        <v>0</v>
      </c>
      <c r="J87" s="3131">
        <f t="shared" ref="J87:J92" si="18">IFERROR($G87*$R87,"")</f>
        <v>0</v>
      </c>
      <c r="K87" s="3132">
        <f t="shared" ref="K87:K92" si="19">IFERROR($G87*$Q87,"")</f>
        <v>0</v>
      </c>
      <c r="L87" s="3133">
        <f t="shared" ref="L87:L101" si="20">IFERROR(IF(PO_ShowExCalc=TRUE,SUMIFS(INDEX(PO_ExCalc_Table,0,MATCH($L$80,PO_ExCalc_Hdr,0)),INDEX(PO_ExCalc_Table,0,MATCH($D$80,PO_ExCalc_Hdr,0)),$B87,INDEX(PO_ExCalc_Table,0,MATCH($F$80,PO_ExCalc_Hdr,0)),"Add to Baseline"),""),"")</f>
        <v>0</v>
      </c>
      <c r="M87" s="3134">
        <f t="shared" ref="M87:M101" si="21">IFERROR(IF(PO_ShowExCalc=TRUE,SUMIFS(M$81:M$84,$D$81:$D$84,$B87,$F$81:$F$84,"Add to Baseline"),""),"")</f>
        <v>0</v>
      </c>
      <c r="N87" s="438"/>
      <c r="Q87" s="627">
        <f t="shared" ref="Q87:Q101" si="22">IFERROR(IF(ISBLANK($B87),"",VLOOKUP($B87,PO_Enrgy_1_Table,MATCH($K$16,PO_Enrgy_1_Hdr,0),FALSE)),"")</f>
        <v>3.4120000000000001E-3</v>
      </c>
      <c r="R87" s="627">
        <f t="shared" ref="R87:R101" si="23">IFERROR(IF(ISBLANK($B87),"",VLOOKUP($B87,PO_Enrgy_1_Table,MATCH($M$16,PO_Enrgy_1_Hdr,0),FALSE)),"")</f>
        <v>1.0713680000000001E-2</v>
      </c>
      <c r="AC87" s="263"/>
      <c r="AI87" s="436"/>
      <c r="AJ87" s="292"/>
      <c r="AK87" s="434"/>
      <c r="AL87" s="439"/>
      <c r="AM87" s="2"/>
      <c r="AN87" s="2"/>
      <c r="AO87" s="2"/>
      <c r="AP87" s="440"/>
      <c r="AQ87" s="441"/>
      <c r="AR87" s="439"/>
      <c r="AS87" s="442"/>
      <c r="AT87" s="443"/>
      <c r="AU87" s="2"/>
      <c r="AV87" s="2"/>
      <c r="AW87" s="2"/>
      <c r="AX87" s="2"/>
      <c r="AY87" s="2"/>
      <c r="AZ87" s="2"/>
      <c r="BC87" s="804"/>
    </row>
    <row r="88" spans="1:55" ht="15" customHeight="1" x14ac:dyDescent="0.25">
      <c r="A88" s="409"/>
      <c r="B88" s="3123" t="str">
        <f t="shared" si="14"/>
        <v>Natural Gas</v>
      </c>
      <c r="C88" s="3123"/>
      <c r="D88" s="3123"/>
      <c r="E88" s="3123"/>
      <c r="F88" s="3124"/>
      <c r="G88" s="708">
        <f t="shared" si="15"/>
        <v>0</v>
      </c>
      <c r="H88" s="692" t="str">
        <f t="shared" si="16"/>
        <v>therm</v>
      </c>
      <c r="I88" s="708">
        <f t="shared" si="17"/>
        <v>0</v>
      </c>
      <c r="J88" s="3125">
        <f t="shared" si="18"/>
        <v>0</v>
      </c>
      <c r="K88" s="3126">
        <f t="shared" si="19"/>
        <v>0</v>
      </c>
      <c r="L88" s="3127">
        <f t="shared" si="20"/>
        <v>0</v>
      </c>
      <c r="M88" s="3128">
        <f t="shared" si="21"/>
        <v>0</v>
      </c>
      <c r="Q88" s="627">
        <f t="shared" si="22"/>
        <v>0.1</v>
      </c>
      <c r="R88" s="627">
        <f t="shared" si="23"/>
        <v>0.10500000000000001</v>
      </c>
      <c r="AC88" s="263"/>
      <c r="AI88" s="436"/>
      <c r="AJ88" s="292"/>
      <c r="AK88" s="434"/>
      <c r="AL88" s="439"/>
      <c r="AM88" s="2"/>
      <c r="AN88" s="2"/>
      <c r="AO88" s="2"/>
      <c r="AP88" s="440"/>
      <c r="AQ88" s="441"/>
      <c r="AR88" s="439"/>
      <c r="AS88" s="442"/>
      <c r="AT88" s="443"/>
      <c r="AU88" s="2"/>
      <c r="AV88" s="2"/>
      <c r="AW88" s="2"/>
      <c r="AX88" s="2"/>
      <c r="AY88" s="2"/>
      <c r="AZ88" s="2"/>
      <c r="BC88" s="804"/>
    </row>
    <row r="89" spans="1:55" ht="15" customHeight="1" x14ac:dyDescent="0.25">
      <c r="A89" s="409"/>
      <c r="B89" s="3123" t="str">
        <f t="shared" si="14"/>
        <v>District Cooling</v>
      </c>
      <c r="C89" s="3123"/>
      <c r="D89" s="3123"/>
      <c r="E89" s="3123"/>
      <c r="F89" s="3124"/>
      <c r="G89" s="708">
        <f t="shared" si="15"/>
        <v>0</v>
      </c>
      <c r="H89" s="692" t="str">
        <f t="shared" si="16"/>
        <v>MWh</v>
      </c>
      <c r="I89" s="708">
        <f t="shared" si="17"/>
        <v>0</v>
      </c>
      <c r="J89" s="3125">
        <f t="shared" si="18"/>
        <v>0</v>
      </c>
      <c r="K89" s="3126">
        <f t="shared" si="19"/>
        <v>0</v>
      </c>
      <c r="L89" s="3127">
        <f t="shared" si="20"/>
        <v>0</v>
      </c>
      <c r="M89" s="3128">
        <f t="shared" si="21"/>
        <v>0</v>
      </c>
      <c r="Q89" s="627">
        <f t="shared" si="22"/>
        <v>3.4119999999999999</v>
      </c>
      <c r="R89" s="627">
        <f t="shared" si="23"/>
        <v>3.4119999999999999</v>
      </c>
      <c r="AC89" s="263"/>
      <c r="AI89" s="436"/>
      <c r="AJ89" s="292"/>
      <c r="AK89" s="434"/>
      <c r="AL89" s="439"/>
      <c r="AM89" s="2"/>
      <c r="AN89" s="2"/>
      <c r="AO89" s="2"/>
      <c r="AP89" s="440"/>
      <c r="AQ89" s="441"/>
      <c r="AR89" s="439"/>
      <c r="AS89" s="442"/>
      <c r="AT89" s="443"/>
      <c r="AU89" s="2"/>
      <c r="AV89" s="2"/>
      <c r="AW89" s="2"/>
      <c r="AX89" s="2"/>
      <c r="AY89" s="2"/>
      <c r="AZ89" s="2"/>
      <c r="BC89" s="804"/>
    </row>
    <row r="90" spans="1:55" ht="15" customHeight="1" x14ac:dyDescent="0.25">
      <c r="A90" s="409"/>
      <c r="B90" s="3123" t="str">
        <f t="shared" si="14"/>
        <v>District Cooling</v>
      </c>
      <c r="C90" s="3123"/>
      <c r="D90" s="3123"/>
      <c r="E90" s="3123"/>
      <c r="F90" s="3124"/>
      <c r="G90" s="708">
        <f t="shared" si="15"/>
        <v>0</v>
      </c>
      <c r="H90" s="692" t="str">
        <f t="shared" si="16"/>
        <v>MWh</v>
      </c>
      <c r="I90" s="708">
        <f t="shared" si="17"/>
        <v>0</v>
      </c>
      <c r="J90" s="3125">
        <f t="shared" si="18"/>
        <v>0</v>
      </c>
      <c r="K90" s="3126">
        <f t="shared" si="19"/>
        <v>0</v>
      </c>
      <c r="L90" s="3127">
        <f t="shared" si="20"/>
        <v>0</v>
      </c>
      <c r="M90" s="3128">
        <f t="shared" si="21"/>
        <v>0</v>
      </c>
      <c r="Q90" s="627">
        <f t="shared" si="22"/>
        <v>3.4119999999999999</v>
      </c>
      <c r="R90" s="627">
        <f t="shared" si="23"/>
        <v>3.4119999999999999</v>
      </c>
      <c r="AC90" s="263"/>
      <c r="AI90" s="436"/>
      <c r="AJ90" s="292"/>
      <c r="AK90" s="434"/>
      <c r="AL90" s="439"/>
      <c r="AM90" s="2"/>
      <c r="AN90" s="2"/>
      <c r="AO90" s="2"/>
      <c r="AP90" s="440"/>
      <c r="AQ90" s="441"/>
      <c r="AR90" s="439"/>
      <c r="AS90" s="442"/>
      <c r="AT90" s="443"/>
      <c r="AU90" s="2"/>
      <c r="AV90" s="2"/>
      <c r="AW90" s="2"/>
      <c r="AX90" s="2"/>
      <c r="AY90" s="2"/>
      <c r="AZ90" s="2"/>
      <c r="BC90" s="804"/>
    </row>
    <row r="91" spans="1:55" ht="15" customHeight="1" x14ac:dyDescent="0.25">
      <c r="A91" s="409"/>
      <c r="B91" s="3123" t="str">
        <f t="shared" si="14"/>
        <v>District Cooling</v>
      </c>
      <c r="C91" s="3123"/>
      <c r="D91" s="3123"/>
      <c r="E91" s="3123"/>
      <c r="F91" s="3124"/>
      <c r="G91" s="708">
        <f t="shared" si="15"/>
        <v>0</v>
      </c>
      <c r="H91" s="692" t="str">
        <f t="shared" si="16"/>
        <v>MWh</v>
      </c>
      <c r="I91" s="708">
        <f t="shared" si="17"/>
        <v>0</v>
      </c>
      <c r="J91" s="3125">
        <f t="shared" si="18"/>
        <v>0</v>
      </c>
      <c r="K91" s="3126">
        <f t="shared" si="19"/>
        <v>0</v>
      </c>
      <c r="L91" s="3127">
        <f t="shared" si="20"/>
        <v>0</v>
      </c>
      <c r="M91" s="3128">
        <f t="shared" si="21"/>
        <v>0</v>
      </c>
      <c r="Q91" s="627">
        <f t="shared" si="22"/>
        <v>3.4119999999999999</v>
      </c>
      <c r="R91" s="627">
        <f t="shared" si="23"/>
        <v>3.4119999999999999</v>
      </c>
      <c r="AC91" s="263"/>
      <c r="AI91" s="436"/>
      <c r="AJ91" s="292"/>
      <c r="AK91" s="434"/>
      <c r="AL91" s="439"/>
      <c r="AM91" s="2"/>
      <c r="AN91" s="2"/>
      <c r="AO91" s="2"/>
      <c r="AP91" s="440"/>
      <c r="AQ91" s="441"/>
      <c r="AR91" s="439"/>
      <c r="AS91" s="442"/>
      <c r="AT91" s="443"/>
      <c r="AU91" s="2"/>
      <c r="AV91" s="2"/>
      <c r="AW91" s="2"/>
      <c r="AX91" s="2"/>
      <c r="AY91" s="2"/>
      <c r="AZ91" s="2"/>
      <c r="BC91" s="804"/>
    </row>
    <row r="92" spans="1:55" ht="15" customHeight="1" x14ac:dyDescent="0.25">
      <c r="A92" s="409"/>
      <c r="B92" s="3123" t="str">
        <f t="shared" si="14"/>
        <v>District Cooling</v>
      </c>
      <c r="C92" s="3123"/>
      <c r="D92" s="3123"/>
      <c r="E92" s="3123"/>
      <c r="F92" s="3124"/>
      <c r="G92" s="708">
        <f t="shared" si="15"/>
        <v>0</v>
      </c>
      <c r="H92" s="692" t="str">
        <f t="shared" si="16"/>
        <v>MWh</v>
      </c>
      <c r="I92" s="708">
        <f t="shared" si="17"/>
        <v>0</v>
      </c>
      <c r="J92" s="3125">
        <f t="shared" si="18"/>
        <v>0</v>
      </c>
      <c r="K92" s="3126">
        <f t="shared" si="19"/>
        <v>0</v>
      </c>
      <c r="L92" s="3127">
        <f t="shared" si="20"/>
        <v>0</v>
      </c>
      <c r="M92" s="3128">
        <f t="shared" si="21"/>
        <v>0</v>
      </c>
      <c r="Q92" s="627">
        <f t="shared" si="22"/>
        <v>3.4119999999999999</v>
      </c>
      <c r="R92" s="627">
        <f t="shared" si="23"/>
        <v>3.4119999999999999</v>
      </c>
      <c r="AC92" s="263"/>
      <c r="AI92" s="436"/>
      <c r="AJ92" s="292"/>
      <c r="AK92" s="434"/>
      <c r="AL92" s="439"/>
      <c r="AM92" s="2"/>
      <c r="AN92" s="2"/>
      <c r="AO92" s="2"/>
      <c r="AP92" s="440"/>
      <c r="AQ92" s="441"/>
      <c r="AR92" s="439"/>
      <c r="AS92" s="442"/>
      <c r="AT92" s="443"/>
      <c r="AU92" s="2"/>
      <c r="AV92" s="2"/>
      <c r="AW92" s="2"/>
      <c r="AX92" s="2"/>
      <c r="AY92" s="2"/>
      <c r="AZ92" s="2"/>
      <c r="BC92" s="804"/>
    </row>
    <row r="93" spans="1:55" ht="15" customHeight="1" x14ac:dyDescent="0.25">
      <c r="A93" s="409"/>
      <c r="B93" s="3123" t="str">
        <f t="shared" si="14"/>
        <v>District Cooling</v>
      </c>
      <c r="C93" s="3123"/>
      <c r="D93" s="3123"/>
      <c r="E93" s="3123"/>
      <c r="F93" s="3124"/>
      <c r="G93" s="708">
        <f t="shared" si="15"/>
        <v>0</v>
      </c>
      <c r="H93" s="692" t="str">
        <f t="shared" si="16"/>
        <v>MWh</v>
      </c>
      <c r="I93" s="708">
        <f t="shared" ref="I93:I101" si="24">IFERROR($G93*$Q93,"")</f>
        <v>0</v>
      </c>
      <c r="J93" s="3125">
        <f t="shared" ref="J93:J101" si="25">IFERROR($G93*$R93,"")</f>
        <v>0</v>
      </c>
      <c r="K93" s="3126">
        <f t="shared" ref="K93:K101" si="26">IFERROR($G93*$Q93,"")</f>
        <v>0</v>
      </c>
      <c r="L93" s="3127">
        <f t="shared" si="20"/>
        <v>0</v>
      </c>
      <c r="M93" s="3128">
        <f t="shared" si="21"/>
        <v>0</v>
      </c>
      <c r="Q93" s="627">
        <f t="shared" si="22"/>
        <v>3.4119999999999999</v>
      </c>
      <c r="R93" s="627">
        <f t="shared" si="23"/>
        <v>3.4119999999999999</v>
      </c>
      <c r="AC93" s="263"/>
      <c r="AI93" s="436"/>
      <c r="AJ93" s="292"/>
      <c r="AK93" s="434"/>
      <c r="AL93" s="439"/>
      <c r="AM93" s="2"/>
      <c r="AN93" s="2"/>
      <c r="AO93" s="2"/>
      <c r="AP93" s="440"/>
      <c r="AQ93" s="441"/>
      <c r="AR93" s="439"/>
      <c r="AS93" s="442"/>
      <c r="AT93" s="443"/>
      <c r="AU93" s="2"/>
      <c r="AV93" s="2"/>
      <c r="AW93" s="2"/>
      <c r="AX93" s="2"/>
      <c r="AY93" s="2"/>
      <c r="AZ93" s="2"/>
      <c r="BC93" s="804"/>
    </row>
    <row r="94" spans="1:55" ht="15" customHeight="1" x14ac:dyDescent="0.25">
      <c r="A94" s="409"/>
      <c r="B94" s="3123" t="str">
        <f t="shared" si="14"/>
        <v>District Cooling</v>
      </c>
      <c r="C94" s="3123"/>
      <c r="D94" s="3123"/>
      <c r="E94" s="3123"/>
      <c r="F94" s="3124"/>
      <c r="G94" s="708">
        <f t="shared" si="15"/>
        <v>0</v>
      </c>
      <c r="H94" s="692" t="str">
        <f t="shared" si="16"/>
        <v>MWh</v>
      </c>
      <c r="I94" s="708">
        <f t="shared" si="24"/>
        <v>0</v>
      </c>
      <c r="J94" s="3125">
        <f t="shared" si="25"/>
        <v>0</v>
      </c>
      <c r="K94" s="3126">
        <f t="shared" si="26"/>
        <v>0</v>
      </c>
      <c r="L94" s="3127">
        <f t="shared" si="20"/>
        <v>0</v>
      </c>
      <c r="M94" s="3128">
        <f t="shared" si="21"/>
        <v>0</v>
      </c>
      <c r="Q94" s="627">
        <f t="shared" si="22"/>
        <v>3.4119999999999999</v>
      </c>
      <c r="R94" s="627">
        <f t="shared" si="23"/>
        <v>3.4119999999999999</v>
      </c>
      <c r="AC94" s="263"/>
      <c r="AI94" s="436"/>
      <c r="AJ94" s="292"/>
      <c r="AK94" s="434"/>
      <c r="AL94" s="439"/>
      <c r="AM94" s="2"/>
      <c r="AN94" s="2"/>
      <c r="AO94" s="2"/>
      <c r="AP94" s="440"/>
      <c r="AQ94" s="441"/>
      <c r="AR94" s="439"/>
      <c r="AS94" s="442"/>
      <c r="AT94" s="443"/>
      <c r="AU94" s="2"/>
      <c r="AV94" s="2"/>
      <c r="AW94" s="2"/>
      <c r="AX94" s="2"/>
      <c r="AY94" s="2"/>
      <c r="AZ94" s="2"/>
      <c r="BC94" s="804"/>
    </row>
    <row r="95" spans="1:55" ht="15" customHeight="1" x14ac:dyDescent="0.25">
      <c r="A95" s="409"/>
      <c r="B95" s="3123" t="str">
        <f t="shared" si="14"/>
        <v>District Cooling</v>
      </c>
      <c r="C95" s="3123"/>
      <c r="D95" s="3123"/>
      <c r="E95" s="3123"/>
      <c r="F95" s="3124"/>
      <c r="G95" s="708">
        <f t="shared" si="15"/>
        <v>0</v>
      </c>
      <c r="H95" s="692" t="str">
        <f t="shared" si="16"/>
        <v>MWh</v>
      </c>
      <c r="I95" s="708">
        <f t="shared" si="24"/>
        <v>0</v>
      </c>
      <c r="J95" s="3125">
        <f t="shared" si="25"/>
        <v>0</v>
      </c>
      <c r="K95" s="3126">
        <f t="shared" si="26"/>
        <v>0</v>
      </c>
      <c r="L95" s="3127">
        <f t="shared" si="20"/>
        <v>0</v>
      </c>
      <c r="M95" s="3128">
        <f t="shared" si="21"/>
        <v>0</v>
      </c>
      <c r="Q95" s="627">
        <f t="shared" si="22"/>
        <v>3.4119999999999999</v>
      </c>
      <c r="R95" s="627">
        <f t="shared" si="23"/>
        <v>3.4119999999999999</v>
      </c>
      <c r="AC95" s="263"/>
      <c r="AI95" s="436"/>
      <c r="AJ95" s="292"/>
      <c r="AK95" s="434"/>
      <c r="AL95" s="439"/>
      <c r="AM95" s="2"/>
      <c r="AN95" s="2"/>
      <c r="AO95" s="2"/>
      <c r="AP95" s="440"/>
      <c r="AQ95" s="441"/>
      <c r="AR95" s="439"/>
      <c r="AS95" s="442"/>
      <c r="AT95" s="443"/>
      <c r="AU95" s="2"/>
      <c r="AV95" s="2"/>
      <c r="AW95" s="2"/>
      <c r="AX95" s="2"/>
      <c r="AY95" s="2"/>
      <c r="AZ95" s="2"/>
      <c r="BC95" s="804"/>
    </row>
    <row r="96" spans="1:55" ht="15" customHeight="1" x14ac:dyDescent="0.25">
      <c r="A96" s="409"/>
      <c r="B96" s="3123" t="str">
        <f t="shared" si="14"/>
        <v>District Cooling</v>
      </c>
      <c r="C96" s="3123"/>
      <c r="D96" s="3123"/>
      <c r="E96" s="3123"/>
      <c r="F96" s="3124"/>
      <c r="G96" s="708">
        <f t="shared" si="15"/>
        <v>0</v>
      </c>
      <c r="H96" s="692" t="str">
        <f t="shared" si="16"/>
        <v>MWh</v>
      </c>
      <c r="I96" s="708">
        <f t="shared" si="24"/>
        <v>0</v>
      </c>
      <c r="J96" s="3125">
        <f t="shared" si="25"/>
        <v>0</v>
      </c>
      <c r="K96" s="3126">
        <f t="shared" si="26"/>
        <v>0</v>
      </c>
      <c r="L96" s="3127">
        <f t="shared" si="20"/>
        <v>0</v>
      </c>
      <c r="M96" s="3128">
        <f t="shared" si="21"/>
        <v>0</v>
      </c>
      <c r="Q96" s="627">
        <f t="shared" si="22"/>
        <v>3.4119999999999999</v>
      </c>
      <c r="R96" s="627">
        <f t="shared" si="23"/>
        <v>3.4119999999999999</v>
      </c>
      <c r="AC96" s="263"/>
      <c r="AI96" s="436"/>
      <c r="AJ96" s="292"/>
      <c r="AK96" s="434"/>
      <c r="AL96" s="439"/>
      <c r="AM96" s="2"/>
      <c r="AN96" s="2"/>
      <c r="AO96" s="2"/>
      <c r="AP96" s="440"/>
      <c r="AQ96" s="441"/>
      <c r="AR96" s="439"/>
      <c r="AS96" s="442"/>
      <c r="AT96" s="443"/>
      <c r="AU96" s="2"/>
      <c r="AV96" s="2"/>
      <c r="AW96" s="2"/>
      <c r="AX96" s="2"/>
      <c r="AY96" s="2"/>
      <c r="AZ96" s="2"/>
      <c r="BC96" s="804"/>
    </row>
    <row r="97" spans="1:55" ht="15" customHeight="1" x14ac:dyDescent="0.25">
      <c r="A97" s="409"/>
      <c r="B97" s="3123" t="str">
        <f t="shared" si="14"/>
        <v>District Cooling</v>
      </c>
      <c r="C97" s="3123"/>
      <c r="D97" s="3123"/>
      <c r="E97" s="3123"/>
      <c r="F97" s="3124"/>
      <c r="G97" s="708">
        <f t="shared" si="15"/>
        <v>0</v>
      </c>
      <c r="H97" s="692" t="str">
        <f t="shared" si="16"/>
        <v>MWh</v>
      </c>
      <c r="I97" s="708">
        <f t="shared" si="24"/>
        <v>0</v>
      </c>
      <c r="J97" s="3125">
        <f t="shared" si="25"/>
        <v>0</v>
      </c>
      <c r="K97" s="3126">
        <f t="shared" si="26"/>
        <v>0</v>
      </c>
      <c r="L97" s="3127">
        <f t="shared" si="20"/>
        <v>0</v>
      </c>
      <c r="M97" s="3128">
        <f t="shared" si="21"/>
        <v>0</v>
      </c>
      <c r="Q97" s="627">
        <f t="shared" si="22"/>
        <v>3.4119999999999999</v>
      </c>
      <c r="R97" s="627">
        <f t="shared" si="23"/>
        <v>3.4119999999999999</v>
      </c>
      <c r="AC97" s="263"/>
      <c r="AI97" s="436"/>
      <c r="AJ97" s="292"/>
      <c r="AK97" s="434"/>
      <c r="AL97" s="439"/>
      <c r="AM97" s="2"/>
      <c r="AN97" s="2"/>
      <c r="AO97" s="2"/>
      <c r="AP97" s="440"/>
      <c r="AQ97" s="441"/>
      <c r="AR97" s="439"/>
      <c r="AS97" s="442"/>
      <c r="AT97" s="443"/>
      <c r="AU97" s="2"/>
      <c r="AV97" s="2"/>
      <c r="AW97" s="2"/>
      <c r="AX97" s="2"/>
      <c r="AY97" s="2"/>
      <c r="AZ97" s="2"/>
      <c r="BC97" s="804"/>
    </row>
    <row r="98" spans="1:55" ht="15" customHeight="1" x14ac:dyDescent="0.25">
      <c r="A98" s="409"/>
      <c r="B98" s="3123" t="str">
        <f t="shared" si="14"/>
        <v>District Cooling</v>
      </c>
      <c r="C98" s="3123"/>
      <c r="D98" s="3123"/>
      <c r="E98" s="3123"/>
      <c r="F98" s="3124"/>
      <c r="G98" s="708">
        <f t="shared" si="15"/>
        <v>0</v>
      </c>
      <c r="H98" s="692" t="str">
        <f t="shared" si="16"/>
        <v>MWh</v>
      </c>
      <c r="I98" s="708">
        <f t="shared" si="24"/>
        <v>0</v>
      </c>
      <c r="J98" s="3125">
        <f t="shared" si="25"/>
        <v>0</v>
      </c>
      <c r="K98" s="3126">
        <f t="shared" si="26"/>
        <v>0</v>
      </c>
      <c r="L98" s="3127">
        <f t="shared" si="20"/>
        <v>0</v>
      </c>
      <c r="M98" s="3128">
        <f t="shared" si="21"/>
        <v>0</v>
      </c>
      <c r="Q98" s="627">
        <f t="shared" si="22"/>
        <v>3.4119999999999999</v>
      </c>
      <c r="R98" s="627">
        <f t="shared" si="23"/>
        <v>3.4119999999999999</v>
      </c>
      <c r="AC98" s="263"/>
      <c r="AI98" s="436"/>
      <c r="AJ98" s="292"/>
      <c r="AK98" s="434"/>
      <c r="AL98" s="439"/>
      <c r="AM98" s="2"/>
      <c r="AN98" s="2"/>
      <c r="AO98" s="2"/>
      <c r="AP98" s="440"/>
      <c r="AQ98" s="441"/>
      <c r="AR98" s="439"/>
      <c r="AS98" s="442"/>
      <c r="AT98" s="443"/>
      <c r="AU98" s="2"/>
      <c r="AV98" s="2"/>
      <c r="AW98" s="2"/>
      <c r="AX98" s="2"/>
      <c r="AY98" s="2"/>
      <c r="AZ98" s="2"/>
      <c r="BC98" s="804"/>
    </row>
    <row r="99" spans="1:55" ht="15" customHeight="1" x14ac:dyDescent="0.25">
      <c r="A99" s="409"/>
      <c r="B99" s="3123" t="str">
        <f t="shared" ref="B99:B101" si="27">IFERROR(IF(ISBLANK(B29),"",B29),"")</f>
        <v>District Cooling</v>
      </c>
      <c r="C99" s="3123"/>
      <c r="D99" s="3123"/>
      <c r="E99" s="3123"/>
      <c r="F99" s="3124"/>
      <c r="G99" s="708">
        <f t="shared" si="15"/>
        <v>0</v>
      </c>
      <c r="H99" s="692" t="str">
        <f t="shared" si="16"/>
        <v>MWh</v>
      </c>
      <c r="I99" s="708">
        <f t="shared" si="24"/>
        <v>0</v>
      </c>
      <c r="J99" s="3125">
        <f t="shared" si="25"/>
        <v>0</v>
      </c>
      <c r="K99" s="3126">
        <f t="shared" si="26"/>
        <v>0</v>
      </c>
      <c r="L99" s="3127">
        <f t="shared" si="20"/>
        <v>0</v>
      </c>
      <c r="M99" s="3128">
        <f t="shared" si="21"/>
        <v>0</v>
      </c>
      <c r="Q99" s="627">
        <f t="shared" si="22"/>
        <v>3.4119999999999999</v>
      </c>
      <c r="R99" s="627">
        <f t="shared" si="23"/>
        <v>3.4119999999999999</v>
      </c>
      <c r="AC99" s="263"/>
      <c r="AI99" s="436"/>
      <c r="AJ99" s="292"/>
      <c r="AK99" s="434"/>
      <c r="AL99" s="439"/>
      <c r="AM99" s="2"/>
      <c r="AN99" s="2"/>
      <c r="AO99" s="2"/>
      <c r="AP99" s="440"/>
      <c r="AQ99" s="441"/>
      <c r="AR99" s="439"/>
      <c r="AS99" s="442"/>
      <c r="AT99" s="443"/>
      <c r="AU99" s="2"/>
      <c r="AV99" s="2"/>
      <c r="AW99" s="2"/>
      <c r="AX99" s="2"/>
      <c r="AY99" s="2"/>
      <c r="AZ99" s="2"/>
      <c r="BC99" s="804"/>
    </row>
    <row r="100" spans="1:55" ht="15" customHeight="1" x14ac:dyDescent="0.25">
      <c r="A100" s="409"/>
      <c r="B100" s="3123" t="str">
        <f t="shared" si="27"/>
        <v>District Cooling</v>
      </c>
      <c r="C100" s="3123"/>
      <c r="D100" s="3123"/>
      <c r="E100" s="3123"/>
      <c r="F100" s="3124"/>
      <c r="G100" s="708">
        <f t="shared" si="15"/>
        <v>0</v>
      </c>
      <c r="H100" s="692" t="str">
        <f t="shared" si="16"/>
        <v>MWh</v>
      </c>
      <c r="I100" s="708">
        <f t="shared" si="24"/>
        <v>0</v>
      </c>
      <c r="J100" s="3125">
        <f t="shared" si="25"/>
        <v>0</v>
      </c>
      <c r="K100" s="3126">
        <f t="shared" si="26"/>
        <v>0</v>
      </c>
      <c r="L100" s="3127">
        <f t="shared" si="20"/>
        <v>0</v>
      </c>
      <c r="M100" s="3128">
        <f t="shared" si="21"/>
        <v>0</v>
      </c>
      <c r="Q100" s="627">
        <f t="shared" si="22"/>
        <v>3.4119999999999999</v>
      </c>
      <c r="R100" s="627">
        <f t="shared" si="23"/>
        <v>3.4119999999999999</v>
      </c>
      <c r="AC100" s="263"/>
      <c r="AI100" s="436"/>
      <c r="AJ100" s="292"/>
      <c r="AK100" s="434"/>
      <c r="AL100" s="439"/>
      <c r="AM100" s="2"/>
      <c r="AN100" s="2"/>
      <c r="AO100" s="2"/>
      <c r="AP100" s="440"/>
      <c r="AQ100" s="441"/>
      <c r="AR100" s="439"/>
      <c r="AS100" s="442"/>
      <c r="AT100" s="443"/>
      <c r="AU100" s="2"/>
      <c r="AV100" s="2"/>
      <c r="AW100" s="2"/>
      <c r="AX100" s="2"/>
      <c r="AY100" s="2"/>
      <c r="AZ100" s="2"/>
      <c r="BC100" s="804"/>
    </row>
    <row r="101" spans="1:55" ht="15" customHeight="1" x14ac:dyDescent="0.25">
      <c r="A101" s="409"/>
      <c r="B101" s="3123" t="str">
        <f t="shared" si="27"/>
        <v>District Cooling</v>
      </c>
      <c r="C101" s="3123"/>
      <c r="D101" s="3123"/>
      <c r="E101" s="3123"/>
      <c r="F101" s="3124"/>
      <c r="G101" s="708">
        <f t="shared" si="15"/>
        <v>0</v>
      </c>
      <c r="H101" s="692" t="str">
        <f t="shared" si="16"/>
        <v>MWh</v>
      </c>
      <c r="I101" s="708">
        <f t="shared" si="24"/>
        <v>0</v>
      </c>
      <c r="J101" s="3125">
        <f t="shared" si="25"/>
        <v>0</v>
      </c>
      <c r="K101" s="3126">
        <f t="shared" si="26"/>
        <v>0</v>
      </c>
      <c r="L101" s="3127">
        <f t="shared" si="20"/>
        <v>0</v>
      </c>
      <c r="M101" s="3128">
        <f t="shared" si="21"/>
        <v>0</v>
      </c>
      <c r="Q101" s="627">
        <f t="shared" si="22"/>
        <v>3.4119999999999999</v>
      </c>
      <c r="R101" s="627">
        <f t="shared" si="23"/>
        <v>3.4119999999999999</v>
      </c>
      <c r="AC101" s="263"/>
      <c r="AI101" s="436"/>
      <c r="AJ101" s="292"/>
      <c r="AK101" s="434"/>
      <c r="AL101" s="439"/>
      <c r="AM101" s="2"/>
      <c r="AN101" s="2"/>
      <c r="AO101" s="2"/>
      <c r="AP101" s="440"/>
      <c r="AQ101" s="441"/>
      <c r="AR101" s="439"/>
      <c r="AS101" s="442"/>
      <c r="AT101" s="443"/>
      <c r="AU101" s="2"/>
      <c r="AV101" s="2"/>
      <c r="AW101" s="2"/>
      <c r="AX101" s="2"/>
      <c r="AY101" s="2"/>
      <c r="AZ101" s="2"/>
      <c r="BC101" s="804"/>
    </row>
    <row r="102" spans="1:55" s="245" customFormat="1" ht="21" customHeight="1" x14ac:dyDescent="0.25">
      <c r="A102" s="433"/>
      <c r="B102" s="3239" t="s">
        <v>1021</v>
      </c>
      <c r="C102" s="3240"/>
      <c r="D102" s="3240"/>
      <c r="E102" s="3240"/>
      <c r="F102" s="702"/>
      <c r="G102" s="703"/>
      <c r="H102" s="704"/>
      <c r="I102" s="703"/>
      <c r="J102" s="705"/>
      <c r="K102" s="705"/>
      <c r="L102" s="706"/>
      <c r="M102" s="707"/>
      <c r="AI102" s="259"/>
      <c r="AJ102" s="434"/>
      <c r="AK102" s="434"/>
      <c r="AL102" s="434"/>
      <c r="AM102" s="242"/>
      <c r="AN102" s="435"/>
      <c r="AO102" s="435"/>
      <c r="AP102" s="436"/>
      <c r="AQ102" s="2"/>
      <c r="AR102" s="2"/>
      <c r="AS102" s="2"/>
      <c r="AT102" s="2"/>
      <c r="AU102" s="2"/>
      <c r="AV102" s="2"/>
      <c r="AW102" s="2"/>
      <c r="AX102" s="2"/>
      <c r="AY102" s="2"/>
      <c r="AZ102" s="2"/>
    </row>
    <row r="103" spans="1:55" s="414" customFormat="1" ht="21.75" hidden="1" customHeight="1" x14ac:dyDescent="0.25">
      <c r="A103" s="427"/>
      <c r="B103" s="694" t="s">
        <v>1396</v>
      </c>
      <c r="C103" s="695"/>
      <c r="D103" s="695"/>
      <c r="E103" s="695"/>
      <c r="F103" s="696"/>
      <c r="G103" s="697" t="s">
        <v>1413</v>
      </c>
      <c r="H103" s="698" t="s">
        <v>1414</v>
      </c>
      <c r="I103" s="699" t="s">
        <v>1415</v>
      </c>
      <c r="J103" s="700" t="s">
        <v>1416</v>
      </c>
      <c r="K103" s="697"/>
      <c r="L103" s="701" t="s">
        <v>356</v>
      </c>
      <c r="M103" s="696"/>
      <c r="Q103" s="415" t="s">
        <v>1407</v>
      </c>
      <c r="R103" s="415" t="s">
        <v>1408</v>
      </c>
      <c r="AI103" s="426"/>
      <c r="AJ103" s="426"/>
      <c r="AK103" s="426"/>
      <c r="AL103" s="426"/>
      <c r="AM103" s="426"/>
      <c r="AN103" s="426"/>
      <c r="AO103" s="426"/>
      <c r="AP103" s="426"/>
      <c r="AQ103" s="426"/>
      <c r="AR103" s="437"/>
      <c r="AS103" s="437"/>
      <c r="AT103" s="437"/>
      <c r="AU103" s="437"/>
      <c r="AV103" s="426"/>
      <c r="AW103" s="437"/>
      <c r="AX103" s="437"/>
      <c r="AY103" s="437"/>
      <c r="AZ103" s="426"/>
    </row>
    <row r="104" spans="1:55" ht="15" customHeight="1" x14ac:dyDescent="0.25">
      <c r="A104" s="409"/>
      <c r="B104" s="3174" t="str">
        <f t="shared" ref="B104:B115" si="28">IFERROR(IF(ISBLANK(B17),"",B17),"")</f>
        <v>Electricity</v>
      </c>
      <c r="C104" s="3174"/>
      <c r="D104" s="3174"/>
      <c r="E104" s="3174"/>
      <c r="F104" s="3241"/>
      <c r="G104" s="673">
        <f t="shared" ref="G104:G118" si="29">IFERROR(IF(PO_ShowExCalc=TRUE,SUMIFS(INDEX(PO_ExCalc_Table,0,MATCH($G$80,PO_ExCalc_Hdr,0)),INDEX(PO_ExCalc_Table,0,MATCH($D$80,PO_ExCalc_Hdr,0)),$B104,INDEX(PO_ExCalc_Table,0,MATCH($F$80,PO_ExCalc_Hdr,0)),"Subtract from Proposed"),""),"")</f>
        <v>0</v>
      </c>
      <c r="H104" s="687" t="str">
        <f t="shared" ref="H104:H118" si="30">IFERROR(IF(ISBLANK($B104),"",VLOOKUP($B104,PO_Enrgy_1_Table,MATCH($C$16,PO_Enrgy_1_Hdr,0),FALSE)),"")</f>
        <v>kWh</v>
      </c>
      <c r="I104" s="673">
        <f t="shared" ref="I104:I109" si="31">IFERROR($G104*$Q104,"")</f>
        <v>0</v>
      </c>
      <c r="J104" s="3131">
        <f t="shared" ref="J104:J109" si="32">IFERROR($G104*$R104,"")</f>
        <v>0</v>
      </c>
      <c r="K104" s="3132">
        <f t="shared" ref="K104:K109" si="33">IFERROR($G104*$Q104,"")</f>
        <v>0</v>
      </c>
      <c r="L104" s="3133">
        <f t="shared" ref="L104:L118" si="34">IFERROR(IF(PO_ShowExCalc=TRUE,SUMIFS(INDEX(PO_ExCalc_Table,0,MATCH($L$80,PO_ExCalc_Hdr,0)),INDEX(PO_ExCalc_Table,0,MATCH($D$80,PO_ExCalc_Hdr,0)),$B104,INDEX(PO_ExCalc_Table,0,MATCH($F$80,PO_ExCalc_Hdr,0)),"Subtract from Proposed"),""),"")</f>
        <v>0</v>
      </c>
      <c r="M104" s="3134">
        <f t="shared" ref="M104:M118" si="35">IFERROR(IF(PO_ShowExCalc=TRUE,SUMIFS(M$81:M$84,$D$81:$D$84,$B104,$F$81:$F$84,"Add to Baseline"),""),"")</f>
        <v>0</v>
      </c>
      <c r="Q104" s="627">
        <f t="shared" ref="Q104:Q118" si="36">IFERROR(IF(ISBLANK($B104),"",VLOOKUP($B104,PO_Enrgy_1_Table,MATCH($K$16,PO_Enrgy_1_Hdr,0),FALSE)),"")</f>
        <v>3.4120000000000001E-3</v>
      </c>
      <c r="R104" s="627">
        <f t="shared" ref="R104:R118" si="37">IFERROR(IF(ISBLANK($B104),"",VLOOKUP($B104,PO_Enrgy_1_Table,MATCH($M$16,PO_Enrgy_1_Hdr,0),FALSE)),"")</f>
        <v>1.0713680000000001E-2</v>
      </c>
      <c r="AC104" s="263"/>
      <c r="AI104" s="436"/>
      <c r="AJ104" s="292"/>
      <c r="AK104" s="434"/>
      <c r="AL104" s="439"/>
      <c r="AM104" s="2"/>
      <c r="AN104" s="2"/>
      <c r="AO104" s="2"/>
      <c r="AP104" s="440"/>
      <c r="AQ104" s="441"/>
      <c r="AR104" s="439"/>
      <c r="AS104" s="442"/>
      <c r="AT104" s="443"/>
      <c r="AU104" s="2"/>
      <c r="AV104" s="2"/>
      <c r="AW104" s="2"/>
      <c r="AX104" s="2"/>
      <c r="AY104" s="2"/>
      <c r="AZ104" s="2"/>
      <c r="BC104" s="804"/>
    </row>
    <row r="105" spans="1:55" ht="15" customHeight="1" x14ac:dyDescent="0.25">
      <c r="A105" s="409"/>
      <c r="B105" s="3123" t="str">
        <f t="shared" si="28"/>
        <v>Natural Gas</v>
      </c>
      <c r="C105" s="3123"/>
      <c r="D105" s="3123"/>
      <c r="E105" s="3123"/>
      <c r="F105" s="3124"/>
      <c r="G105" s="708">
        <f t="shared" si="29"/>
        <v>0</v>
      </c>
      <c r="H105" s="692" t="str">
        <f t="shared" si="30"/>
        <v>therm</v>
      </c>
      <c r="I105" s="673">
        <f t="shared" si="31"/>
        <v>0</v>
      </c>
      <c r="J105" s="3131">
        <f t="shared" si="32"/>
        <v>0</v>
      </c>
      <c r="K105" s="3132">
        <f t="shared" si="33"/>
        <v>0</v>
      </c>
      <c r="L105" s="3133">
        <f t="shared" si="34"/>
        <v>0</v>
      </c>
      <c r="M105" s="3134">
        <f t="shared" si="35"/>
        <v>0</v>
      </c>
      <c r="Q105" s="627">
        <f t="shared" si="36"/>
        <v>0.1</v>
      </c>
      <c r="R105" s="627">
        <f t="shared" si="37"/>
        <v>0.10500000000000001</v>
      </c>
      <c r="AC105" s="263"/>
      <c r="AI105" s="436"/>
      <c r="AJ105" s="292"/>
      <c r="AK105" s="434"/>
      <c r="AL105" s="439"/>
      <c r="AM105" s="2"/>
      <c r="AN105" s="2"/>
      <c r="AO105" s="2"/>
      <c r="AP105" s="440"/>
      <c r="AQ105" s="441"/>
      <c r="AR105" s="439"/>
      <c r="AS105" s="442"/>
      <c r="AT105" s="443"/>
      <c r="AU105" s="2"/>
      <c r="AV105" s="2"/>
      <c r="AW105" s="2"/>
      <c r="AX105" s="2"/>
      <c r="AY105" s="2"/>
      <c r="AZ105" s="2"/>
      <c r="BC105" s="804"/>
    </row>
    <row r="106" spans="1:55" ht="15" customHeight="1" x14ac:dyDescent="0.25">
      <c r="A106" s="409"/>
      <c r="B106" s="3123" t="str">
        <f t="shared" si="28"/>
        <v>District Cooling</v>
      </c>
      <c r="C106" s="3123"/>
      <c r="D106" s="3123"/>
      <c r="E106" s="3123"/>
      <c r="F106" s="3124"/>
      <c r="G106" s="708">
        <f t="shared" si="29"/>
        <v>0</v>
      </c>
      <c r="H106" s="692" t="str">
        <f t="shared" si="30"/>
        <v>MWh</v>
      </c>
      <c r="I106" s="673">
        <f t="shared" si="31"/>
        <v>0</v>
      </c>
      <c r="J106" s="3131">
        <f t="shared" si="32"/>
        <v>0</v>
      </c>
      <c r="K106" s="3132">
        <f t="shared" si="33"/>
        <v>0</v>
      </c>
      <c r="L106" s="3133">
        <f t="shared" si="34"/>
        <v>0</v>
      </c>
      <c r="M106" s="3134">
        <f t="shared" si="35"/>
        <v>0</v>
      </c>
      <c r="Q106" s="627">
        <f t="shared" si="36"/>
        <v>3.4119999999999999</v>
      </c>
      <c r="R106" s="627">
        <f t="shared" si="37"/>
        <v>3.4119999999999999</v>
      </c>
      <c r="AC106" s="263"/>
      <c r="AI106" s="436"/>
      <c r="AJ106" s="292"/>
      <c r="AK106" s="434"/>
      <c r="AL106" s="439"/>
      <c r="AM106" s="2"/>
      <c r="AN106" s="2"/>
      <c r="AO106" s="2"/>
      <c r="AP106" s="440"/>
      <c r="AQ106" s="441"/>
      <c r="AR106" s="439"/>
      <c r="AS106" s="442"/>
      <c r="AT106" s="443"/>
      <c r="AU106" s="2"/>
      <c r="AV106" s="2"/>
      <c r="AW106" s="2"/>
      <c r="AX106" s="2"/>
      <c r="AY106" s="2"/>
      <c r="AZ106" s="2"/>
      <c r="BC106" s="804"/>
    </row>
    <row r="107" spans="1:55" ht="15" customHeight="1" x14ac:dyDescent="0.25">
      <c r="A107" s="409"/>
      <c r="B107" s="3123" t="str">
        <f t="shared" si="28"/>
        <v>District Cooling</v>
      </c>
      <c r="C107" s="3123"/>
      <c r="D107" s="3123"/>
      <c r="E107" s="3123"/>
      <c r="F107" s="3124"/>
      <c r="G107" s="708">
        <f t="shared" si="29"/>
        <v>0</v>
      </c>
      <c r="H107" s="692" t="str">
        <f t="shared" si="30"/>
        <v>MWh</v>
      </c>
      <c r="I107" s="673">
        <f t="shared" si="31"/>
        <v>0</v>
      </c>
      <c r="J107" s="3131">
        <f t="shared" si="32"/>
        <v>0</v>
      </c>
      <c r="K107" s="3132">
        <f t="shared" si="33"/>
        <v>0</v>
      </c>
      <c r="L107" s="3133">
        <f t="shared" si="34"/>
        <v>0</v>
      </c>
      <c r="M107" s="3134">
        <f t="shared" si="35"/>
        <v>0</v>
      </c>
      <c r="Q107" s="627">
        <f t="shared" si="36"/>
        <v>3.4119999999999999</v>
      </c>
      <c r="R107" s="627">
        <f t="shared" si="37"/>
        <v>3.4119999999999999</v>
      </c>
      <c r="AC107" s="263"/>
      <c r="AI107" s="436"/>
      <c r="AJ107" s="292"/>
      <c r="AK107" s="434"/>
      <c r="AL107" s="439"/>
      <c r="AM107" s="2"/>
      <c r="AN107" s="2"/>
      <c r="AO107" s="2"/>
      <c r="AP107" s="440"/>
      <c r="AQ107" s="441"/>
      <c r="AR107" s="439"/>
      <c r="AS107" s="442"/>
      <c r="AT107" s="443"/>
      <c r="AU107" s="2"/>
      <c r="AV107" s="2"/>
      <c r="AW107" s="2"/>
      <c r="AX107" s="2"/>
      <c r="AY107" s="2"/>
      <c r="AZ107" s="2"/>
      <c r="BC107" s="804"/>
    </row>
    <row r="108" spans="1:55" ht="15" customHeight="1" x14ac:dyDescent="0.25">
      <c r="A108" s="409"/>
      <c r="B108" s="3123" t="str">
        <f t="shared" si="28"/>
        <v>District Cooling</v>
      </c>
      <c r="C108" s="3123"/>
      <c r="D108" s="3123"/>
      <c r="E108" s="3123"/>
      <c r="F108" s="3124"/>
      <c r="G108" s="708">
        <f t="shared" si="29"/>
        <v>0</v>
      </c>
      <c r="H108" s="692" t="str">
        <f t="shared" si="30"/>
        <v>MWh</v>
      </c>
      <c r="I108" s="673">
        <f t="shared" si="31"/>
        <v>0</v>
      </c>
      <c r="J108" s="3131">
        <f t="shared" si="32"/>
        <v>0</v>
      </c>
      <c r="K108" s="3132">
        <f t="shared" si="33"/>
        <v>0</v>
      </c>
      <c r="L108" s="3133">
        <f t="shared" si="34"/>
        <v>0</v>
      </c>
      <c r="M108" s="3134">
        <f t="shared" si="35"/>
        <v>0</v>
      </c>
      <c r="Q108" s="627">
        <f t="shared" si="36"/>
        <v>3.4119999999999999</v>
      </c>
      <c r="R108" s="627">
        <f t="shared" si="37"/>
        <v>3.4119999999999999</v>
      </c>
      <c r="AC108" s="263"/>
      <c r="AI108" s="436"/>
      <c r="AJ108" s="292"/>
      <c r="AK108" s="434"/>
      <c r="AL108" s="439"/>
      <c r="AM108" s="2"/>
      <c r="AN108" s="2"/>
      <c r="AO108" s="2"/>
      <c r="AP108" s="440"/>
      <c r="AQ108" s="441"/>
      <c r="AR108" s="439"/>
      <c r="AS108" s="442"/>
      <c r="AT108" s="443"/>
      <c r="AU108" s="2"/>
      <c r="AV108" s="2"/>
      <c r="AW108" s="2"/>
      <c r="AX108" s="2"/>
      <c r="AY108" s="2"/>
      <c r="AZ108" s="2"/>
      <c r="BC108" s="804"/>
    </row>
    <row r="109" spans="1:55" ht="15" customHeight="1" x14ac:dyDescent="0.25">
      <c r="A109" s="409"/>
      <c r="B109" s="3123" t="str">
        <f t="shared" si="28"/>
        <v>District Cooling</v>
      </c>
      <c r="C109" s="3123"/>
      <c r="D109" s="3123"/>
      <c r="E109" s="3123"/>
      <c r="F109" s="3124"/>
      <c r="G109" s="708">
        <f t="shared" si="29"/>
        <v>0</v>
      </c>
      <c r="H109" s="692" t="str">
        <f t="shared" si="30"/>
        <v>MWh</v>
      </c>
      <c r="I109" s="673">
        <f t="shared" si="31"/>
        <v>0</v>
      </c>
      <c r="J109" s="3131">
        <f t="shared" si="32"/>
        <v>0</v>
      </c>
      <c r="K109" s="3132">
        <f t="shared" si="33"/>
        <v>0</v>
      </c>
      <c r="L109" s="3133">
        <f t="shared" si="34"/>
        <v>0</v>
      </c>
      <c r="M109" s="3134">
        <f t="shared" si="35"/>
        <v>0</v>
      </c>
      <c r="Q109" s="627">
        <f t="shared" si="36"/>
        <v>3.4119999999999999</v>
      </c>
      <c r="R109" s="627">
        <f t="shared" si="37"/>
        <v>3.4119999999999999</v>
      </c>
      <c r="AC109" s="263"/>
      <c r="AI109" s="436"/>
      <c r="AJ109" s="292"/>
      <c r="AK109" s="434"/>
      <c r="AL109" s="439"/>
      <c r="AM109" s="2"/>
      <c r="AN109" s="2"/>
      <c r="AO109" s="2"/>
      <c r="AP109" s="440"/>
      <c r="AQ109" s="441"/>
      <c r="AR109" s="439"/>
      <c r="AS109" s="442"/>
      <c r="AT109" s="443"/>
      <c r="AU109" s="2"/>
      <c r="AV109" s="2"/>
      <c r="AW109" s="2"/>
      <c r="AX109" s="2"/>
      <c r="AY109" s="2"/>
      <c r="AZ109" s="2"/>
      <c r="BC109" s="804"/>
    </row>
    <row r="110" spans="1:55" ht="15" customHeight="1" x14ac:dyDescent="0.25">
      <c r="A110" s="409"/>
      <c r="B110" s="3123" t="str">
        <f t="shared" si="28"/>
        <v>District Cooling</v>
      </c>
      <c r="C110" s="3123"/>
      <c r="D110" s="3123"/>
      <c r="E110" s="3123"/>
      <c r="F110" s="3124"/>
      <c r="G110" s="708">
        <f t="shared" si="29"/>
        <v>0</v>
      </c>
      <c r="H110" s="692" t="str">
        <f t="shared" si="30"/>
        <v>MWh</v>
      </c>
      <c r="I110" s="673">
        <f t="shared" ref="I110:I118" si="38">IFERROR($G110*$Q110,"")</f>
        <v>0</v>
      </c>
      <c r="J110" s="3131">
        <f t="shared" ref="J110:J118" si="39">IFERROR($G110*$R110,"")</f>
        <v>0</v>
      </c>
      <c r="K110" s="3132">
        <f t="shared" ref="K110:K118" si="40">IFERROR($G110*$Q110,"")</f>
        <v>0</v>
      </c>
      <c r="L110" s="3133">
        <f t="shared" si="34"/>
        <v>0</v>
      </c>
      <c r="M110" s="3134">
        <f t="shared" si="35"/>
        <v>0</v>
      </c>
      <c r="Q110" s="627">
        <f t="shared" si="36"/>
        <v>3.4119999999999999</v>
      </c>
      <c r="R110" s="627">
        <f t="shared" si="37"/>
        <v>3.4119999999999999</v>
      </c>
      <c r="AC110" s="263"/>
      <c r="AI110" s="436"/>
      <c r="AJ110" s="292"/>
      <c r="AK110" s="434"/>
      <c r="AL110" s="439"/>
      <c r="AM110" s="2"/>
      <c r="AN110" s="2"/>
      <c r="AO110" s="2"/>
      <c r="AP110" s="440"/>
      <c r="AQ110" s="441"/>
      <c r="AR110" s="439"/>
      <c r="AS110" s="442"/>
      <c r="AT110" s="443"/>
      <c r="AU110" s="2"/>
      <c r="AV110" s="2"/>
      <c r="AW110" s="2"/>
      <c r="AX110" s="2"/>
      <c r="AY110" s="2"/>
      <c r="AZ110" s="2"/>
      <c r="BC110" s="804"/>
    </row>
    <row r="111" spans="1:55" ht="15" customHeight="1" x14ac:dyDescent="0.25">
      <c r="A111" s="409"/>
      <c r="B111" s="3123" t="str">
        <f t="shared" si="28"/>
        <v>District Cooling</v>
      </c>
      <c r="C111" s="3123"/>
      <c r="D111" s="3123"/>
      <c r="E111" s="3123"/>
      <c r="F111" s="3124"/>
      <c r="G111" s="708">
        <f t="shared" si="29"/>
        <v>0</v>
      </c>
      <c r="H111" s="692" t="str">
        <f t="shared" si="30"/>
        <v>MWh</v>
      </c>
      <c r="I111" s="673">
        <f t="shared" si="38"/>
        <v>0</v>
      </c>
      <c r="J111" s="3131">
        <f t="shared" si="39"/>
        <v>0</v>
      </c>
      <c r="K111" s="3132">
        <f t="shared" si="40"/>
        <v>0</v>
      </c>
      <c r="L111" s="3133">
        <f t="shared" si="34"/>
        <v>0</v>
      </c>
      <c r="M111" s="3134">
        <f t="shared" si="35"/>
        <v>0</v>
      </c>
      <c r="Q111" s="627">
        <f t="shared" si="36"/>
        <v>3.4119999999999999</v>
      </c>
      <c r="R111" s="627">
        <f t="shared" si="37"/>
        <v>3.4119999999999999</v>
      </c>
      <c r="AC111" s="263"/>
      <c r="AI111" s="436"/>
      <c r="AJ111" s="292"/>
      <c r="AK111" s="434"/>
      <c r="AL111" s="439"/>
      <c r="AM111" s="2"/>
      <c r="AN111" s="2"/>
      <c r="AO111" s="2"/>
      <c r="AP111" s="440"/>
      <c r="AQ111" s="441"/>
      <c r="AR111" s="439"/>
      <c r="AS111" s="442"/>
      <c r="AT111" s="443"/>
      <c r="AU111" s="2"/>
      <c r="AV111" s="2"/>
      <c r="AW111" s="2"/>
      <c r="AX111" s="2"/>
      <c r="AY111" s="2"/>
      <c r="AZ111" s="2"/>
      <c r="BC111" s="804"/>
    </row>
    <row r="112" spans="1:55" ht="15" customHeight="1" x14ac:dyDescent="0.25">
      <c r="A112" s="409"/>
      <c r="B112" s="3123" t="str">
        <f t="shared" si="28"/>
        <v>District Cooling</v>
      </c>
      <c r="C112" s="3123"/>
      <c r="D112" s="3123"/>
      <c r="E112" s="3123"/>
      <c r="F112" s="3124"/>
      <c r="G112" s="708">
        <f t="shared" si="29"/>
        <v>0</v>
      </c>
      <c r="H112" s="692" t="str">
        <f t="shared" si="30"/>
        <v>MWh</v>
      </c>
      <c r="I112" s="673">
        <f t="shared" si="38"/>
        <v>0</v>
      </c>
      <c r="J112" s="3131">
        <f t="shared" si="39"/>
        <v>0</v>
      </c>
      <c r="K112" s="3132">
        <f t="shared" si="40"/>
        <v>0</v>
      </c>
      <c r="L112" s="3133">
        <f t="shared" si="34"/>
        <v>0</v>
      </c>
      <c r="M112" s="3134">
        <f t="shared" si="35"/>
        <v>0</v>
      </c>
      <c r="Q112" s="627">
        <f t="shared" si="36"/>
        <v>3.4119999999999999</v>
      </c>
      <c r="R112" s="627">
        <f t="shared" si="37"/>
        <v>3.4119999999999999</v>
      </c>
      <c r="AC112" s="263"/>
      <c r="AI112" s="436"/>
      <c r="AJ112" s="292"/>
      <c r="AK112" s="434"/>
      <c r="AL112" s="439"/>
      <c r="AM112" s="2"/>
      <c r="AN112" s="2"/>
      <c r="AO112" s="2"/>
      <c r="AP112" s="440"/>
      <c r="AQ112" s="441"/>
      <c r="AR112" s="439"/>
      <c r="AS112" s="442"/>
      <c r="AT112" s="443"/>
      <c r="AU112" s="2"/>
      <c r="AV112" s="2"/>
      <c r="AW112" s="2"/>
      <c r="AX112" s="2"/>
      <c r="AY112" s="2"/>
      <c r="AZ112" s="2"/>
      <c r="BC112" s="804"/>
    </row>
    <row r="113" spans="1:60" ht="15" customHeight="1" x14ac:dyDescent="0.25">
      <c r="A113" s="409"/>
      <c r="B113" s="3123" t="str">
        <f t="shared" si="28"/>
        <v>District Cooling</v>
      </c>
      <c r="C113" s="3123"/>
      <c r="D113" s="3123"/>
      <c r="E113" s="3123"/>
      <c r="F113" s="3124"/>
      <c r="G113" s="708">
        <f t="shared" si="29"/>
        <v>0</v>
      </c>
      <c r="H113" s="692" t="str">
        <f t="shared" si="30"/>
        <v>MWh</v>
      </c>
      <c r="I113" s="673">
        <f t="shared" si="38"/>
        <v>0</v>
      </c>
      <c r="J113" s="3131">
        <f t="shared" si="39"/>
        <v>0</v>
      </c>
      <c r="K113" s="3132">
        <f t="shared" si="40"/>
        <v>0</v>
      </c>
      <c r="L113" s="3133">
        <f t="shared" si="34"/>
        <v>0</v>
      </c>
      <c r="M113" s="3134">
        <f t="shared" si="35"/>
        <v>0</v>
      </c>
      <c r="Q113" s="627">
        <f t="shared" si="36"/>
        <v>3.4119999999999999</v>
      </c>
      <c r="R113" s="627">
        <f t="shared" si="37"/>
        <v>3.4119999999999999</v>
      </c>
      <c r="AC113" s="263"/>
      <c r="AI113" s="436"/>
      <c r="AJ113" s="292"/>
      <c r="AK113" s="434"/>
      <c r="AL113" s="439"/>
      <c r="AM113" s="2"/>
      <c r="AN113" s="2"/>
      <c r="AO113" s="2"/>
      <c r="AP113" s="440"/>
      <c r="AQ113" s="441"/>
      <c r="AR113" s="439"/>
      <c r="AS113" s="442"/>
      <c r="AT113" s="443"/>
      <c r="AU113" s="2"/>
      <c r="AV113" s="2"/>
      <c r="AW113" s="2"/>
      <c r="AX113" s="2"/>
      <c r="AY113" s="2"/>
      <c r="AZ113" s="2"/>
      <c r="BC113" s="804"/>
    </row>
    <row r="114" spans="1:60" ht="15" customHeight="1" x14ac:dyDescent="0.25">
      <c r="A114" s="409"/>
      <c r="B114" s="3123" t="str">
        <f t="shared" si="28"/>
        <v>District Cooling</v>
      </c>
      <c r="C114" s="3123"/>
      <c r="D114" s="3123"/>
      <c r="E114" s="3123"/>
      <c r="F114" s="3124"/>
      <c r="G114" s="708">
        <f t="shared" si="29"/>
        <v>0</v>
      </c>
      <c r="H114" s="692" t="str">
        <f t="shared" si="30"/>
        <v>MWh</v>
      </c>
      <c r="I114" s="673">
        <f t="shared" si="38"/>
        <v>0</v>
      </c>
      <c r="J114" s="3131">
        <f t="shared" si="39"/>
        <v>0</v>
      </c>
      <c r="K114" s="3132">
        <f t="shared" si="40"/>
        <v>0</v>
      </c>
      <c r="L114" s="3133">
        <f t="shared" si="34"/>
        <v>0</v>
      </c>
      <c r="M114" s="3134">
        <f t="shared" si="35"/>
        <v>0</v>
      </c>
      <c r="Q114" s="627">
        <f t="shared" si="36"/>
        <v>3.4119999999999999</v>
      </c>
      <c r="R114" s="627">
        <f t="shared" si="37"/>
        <v>3.4119999999999999</v>
      </c>
      <c r="AC114" s="263"/>
      <c r="AI114" s="436"/>
      <c r="AJ114" s="292"/>
      <c r="AK114" s="434"/>
      <c r="AL114" s="439"/>
      <c r="AM114" s="2"/>
      <c r="AN114" s="2"/>
      <c r="AO114" s="2"/>
      <c r="AP114" s="440"/>
      <c r="AQ114" s="441"/>
      <c r="AR114" s="439"/>
      <c r="AS114" s="442"/>
      <c r="AT114" s="443"/>
      <c r="AU114" s="2"/>
      <c r="AV114" s="2"/>
      <c r="AW114" s="2"/>
      <c r="AX114" s="2"/>
      <c r="AY114" s="2"/>
      <c r="AZ114" s="2"/>
      <c r="BC114" s="804"/>
    </row>
    <row r="115" spans="1:60" ht="15" customHeight="1" x14ac:dyDescent="0.25">
      <c r="A115" s="409"/>
      <c r="B115" s="3123" t="str">
        <f t="shared" si="28"/>
        <v>District Cooling</v>
      </c>
      <c r="C115" s="3123"/>
      <c r="D115" s="3123"/>
      <c r="E115" s="3123"/>
      <c r="F115" s="3124"/>
      <c r="G115" s="708">
        <f t="shared" si="29"/>
        <v>0</v>
      </c>
      <c r="H115" s="692" t="str">
        <f t="shared" si="30"/>
        <v>MWh</v>
      </c>
      <c r="I115" s="673">
        <f t="shared" si="38"/>
        <v>0</v>
      </c>
      <c r="J115" s="3131">
        <f t="shared" si="39"/>
        <v>0</v>
      </c>
      <c r="K115" s="3132">
        <f t="shared" si="40"/>
        <v>0</v>
      </c>
      <c r="L115" s="3133">
        <f t="shared" si="34"/>
        <v>0</v>
      </c>
      <c r="M115" s="3134">
        <f t="shared" si="35"/>
        <v>0</v>
      </c>
      <c r="Q115" s="627">
        <f t="shared" si="36"/>
        <v>3.4119999999999999</v>
      </c>
      <c r="R115" s="627">
        <f t="shared" si="37"/>
        <v>3.4119999999999999</v>
      </c>
      <c r="AC115" s="263"/>
      <c r="AI115" s="436"/>
      <c r="AJ115" s="292"/>
      <c r="AK115" s="434"/>
      <c r="AL115" s="439"/>
      <c r="AM115" s="2"/>
      <c r="AN115" s="2"/>
      <c r="AO115" s="2"/>
      <c r="AP115" s="440"/>
      <c r="AQ115" s="441"/>
      <c r="AR115" s="439"/>
      <c r="AS115" s="442"/>
      <c r="AT115" s="443"/>
      <c r="AU115" s="2"/>
      <c r="AV115" s="2"/>
      <c r="AW115" s="2"/>
      <c r="AX115" s="2"/>
      <c r="AY115" s="2"/>
      <c r="AZ115" s="2"/>
      <c r="BC115" s="804"/>
    </row>
    <row r="116" spans="1:60" ht="15" customHeight="1" x14ac:dyDescent="0.25">
      <c r="A116" s="409"/>
      <c r="B116" s="3123" t="str">
        <f t="shared" ref="B116:B118" si="41">IFERROR(IF(ISBLANK(B29),"",B29),"")</f>
        <v>District Cooling</v>
      </c>
      <c r="C116" s="3123"/>
      <c r="D116" s="3123"/>
      <c r="E116" s="3123"/>
      <c r="F116" s="3124"/>
      <c r="G116" s="708">
        <f t="shared" si="29"/>
        <v>0</v>
      </c>
      <c r="H116" s="692" t="str">
        <f t="shared" si="30"/>
        <v>MWh</v>
      </c>
      <c r="I116" s="673">
        <f t="shared" si="38"/>
        <v>0</v>
      </c>
      <c r="J116" s="3131">
        <f t="shared" si="39"/>
        <v>0</v>
      </c>
      <c r="K116" s="3132">
        <f t="shared" si="40"/>
        <v>0</v>
      </c>
      <c r="L116" s="3133">
        <f t="shared" si="34"/>
        <v>0</v>
      </c>
      <c r="M116" s="3134">
        <f t="shared" si="35"/>
        <v>0</v>
      </c>
      <c r="Q116" s="627">
        <f t="shared" si="36"/>
        <v>3.4119999999999999</v>
      </c>
      <c r="R116" s="627">
        <f t="shared" si="37"/>
        <v>3.4119999999999999</v>
      </c>
      <c r="AC116" s="263"/>
      <c r="AI116" s="436"/>
      <c r="AJ116" s="292"/>
      <c r="AK116" s="434"/>
      <c r="AL116" s="439"/>
      <c r="AM116" s="2"/>
      <c r="AN116" s="2"/>
      <c r="AO116" s="2"/>
      <c r="AP116" s="440"/>
      <c r="AQ116" s="441"/>
      <c r="AR116" s="439"/>
      <c r="AS116" s="442"/>
      <c r="AT116" s="443"/>
      <c r="AU116" s="2"/>
      <c r="AV116" s="2"/>
      <c r="AW116" s="2"/>
      <c r="AX116" s="2"/>
      <c r="AY116" s="2"/>
      <c r="AZ116" s="2"/>
      <c r="BC116" s="804"/>
    </row>
    <row r="117" spans="1:60" ht="15" customHeight="1" x14ac:dyDescent="0.25">
      <c r="A117" s="409"/>
      <c r="B117" s="3123" t="str">
        <f t="shared" si="41"/>
        <v>District Cooling</v>
      </c>
      <c r="C117" s="3123"/>
      <c r="D117" s="3123"/>
      <c r="E117" s="3123"/>
      <c r="F117" s="3124"/>
      <c r="G117" s="708">
        <f t="shared" si="29"/>
        <v>0</v>
      </c>
      <c r="H117" s="692" t="str">
        <f t="shared" si="30"/>
        <v>MWh</v>
      </c>
      <c r="I117" s="673">
        <f t="shared" si="38"/>
        <v>0</v>
      </c>
      <c r="J117" s="3131">
        <f t="shared" si="39"/>
        <v>0</v>
      </c>
      <c r="K117" s="3132">
        <f t="shared" si="40"/>
        <v>0</v>
      </c>
      <c r="L117" s="3133">
        <f t="shared" si="34"/>
        <v>0</v>
      </c>
      <c r="M117" s="3134">
        <f t="shared" si="35"/>
        <v>0</v>
      </c>
      <c r="Q117" s="627">
        <f t="shared" si="36"/>
        <v>3.4119999999999999</v>
      </c>
      <c r="R117" s="627">
        <f t="shared" si="37"/>
        <v>3.4119999999999999</v>
      </c>
      <c r="AC117" s="263"/>
      <c r="AI117" s="436"/>
      <c r="AJ117" s="292"/>
      <c r="AK117" s="434"/>
      <c r="AL117" s="439"/>
      <c r="AM117" s="2"/>
      <c r="AN117" s="2"/>
      <c r="AO117" s="2"/>
      <c r="AP117" s="440"/>
      <c r="AQ117" s="441"/>
      <c r="AR117" s="439"/>
      <c r="AS117" s="442"/>
      <c r="AT117" s="443"/>
      <c r="AU117" s="2"/>
      <c r="AV117" s="2"/>
      <c r="AW117" s="2"/>
      <c r="AX117" s="2"/>
      <c r="AY117" s="2"/>
      <c r="AZ117" s="2"/>
      <c r="BC117" s="804"/>
    </row>
    <row r="118" spans="1:60" ht="15" customHeight="1" x14ac:dyDescent="0.25">
      <c r="A118" s="409"/>
      <c r="B118" s="3123" t="str">
        <f t="shared" si="41"/>
        <v>District Cooling</v>
      </c>
      <c r="C118" s="3123"/>
      <c r="D118" s="3123"/>
      <c r="E118" s="3123"/>
      <c r="F118" s="3124"/>
      <c r="G118" s="708">
        <f t="shared" si="29"/>
        <v>0</v>
      </c>
      <c r="H118" s="692" t="str">
        <f t="shared" si="30"/>
        <v>MWh</v>
      </c>
      <c r="I118" s="673">
        <f t="shared" si="38"/>
        <v>0</v>
      </c>
      <c r="J118" s="3131">
        <f t="shared" si="39"/>
        <v>0</v>
      </c>
      <c r="K118" s="3132">
        <f t="shared" si="40"/>
        <v>0</v>
      </c>
      <c r="L118" s="3133">
        <f t="shared" si="34"/>
        <v>0</v>
      </c>
      <c r="M118" s="3134">
        <f t="shared" si="35"/>
        <v>0</v>
      </c>
      <c r="Q118" s="627">
        <f t="shared" si="36"/>
        <v>3.4119999999999999</v>
      </c>
      <c r="R118" s="627">
        <f t="shared" si="37"/>
        <v>3.4119999999999999</v>
      </c>
      <c r="AC118" s="263"/>
      <c r="AI118" s="436"/>
      <c r="AJ118" s="292"/>
      <c r="AK118" s="434"/>
      <c r="AL118" s="439"/>
      <c r="AM118" s="2"/>
      <c r="AN118" s="2"/>
      <c r="AO118" s="2"/>
      <c r="AP118" s="440"/>
      <c r="AQ118" s="441"/>
      <c r="AR118" s="439"/>
      <c r="AS118" s="442"/>
      <c r="AT118" s="443"/>
      <c r="AU118" s="2"/>
      <c r="AV118" s="2"/>
      <c r="AW118" s="2"/>
      <c r="AX118" s="2"/>
      <c r="AY118" s="2"/>
      <c r="AZ118" s="2"/>
      <c r="BC118" s="804"/>
    </row>
    <row r="119" spans="1:60" ht="21" customHeight="1" x14ac:dyDescent="0.25">
      <c r="A119" s="409"/>
      <c r="B119" s="3242" t="s">
        <v>1421</v>
      </c>
      <c r="C119" s="3240"/>
      <c r="D119" s="3240"/>
      <c r="E119" s="3240"/>
      <c r="F119" s="3240"/>
      <c r="G119" s="710"/>
      <c r="H119" s="712"/>
      <c r="I119" s="709">
        <f>IFERROR(SUM(INDEX(PO_Enrgy_3_Table,0,MATCH($I86,PO_Enrgy_3_Hdr,0)),INDEX(PO_Enrgy_4_Table,0,MATCH($I103,PO_Enrgy_4_Hdr,0))),"")</f>
        <v>0</v>
      </c>
      <c r="J119" s="3131">
        <f>IFERROR(SUM(INDEX(PO_Enrgy_3_Table,0,MATCH($J86,PO_Enrgy_3_Hdr,0)),INDEX(PO_Enrgy_4_Table,0,MATCH($J103,PO_Enrgy_4_Hdr,0))),"")</f>
        <v>0</v>
      </c>
      <c r="K119" s="3132">
        <f>IFERROR(SUM(K$47:K$105),0)</f>
        <v>0</v>
      </c>
      <c r="L119" s="3243">
        <f>IFERROR(SUM(INDEX(PO_Enrgy_3_Table,0,MATCH($L86,PO_Enrgy_3_Hdr,0)),INDEX(PO_Enrgy_4_Table,0,MATCH($L103,PO_Enrgy_4_Hdr,0))),"")</f>
        <v>0</v>
      </c>
      <c r="M119" s="3243">
        <f>IFERROR(SUM(M$47:M$105),0)</f>
        <v>0</v>
      </c>
      <c r="AI119" s="242"/>
      <c r="AJ119" s="444"/>
      <c r="AK119" s="444"/>
      <c r="AL119" s="444"/>
      <c r="AM119" s="444"/>
      <c r="AN119" s="2"/>
      <c r="AO119" s="2"/>
      <c r="AP119" s="440"/>
      <c r="AQ119" s="441"/>
      <c r="AR119" s="439"/>
      <c r="AS119" s="442"/>
      <c r="AT119" s="443"/>
      <c r="AU119" s="2"/>
      <c r="AV119" s="2"/>
      <c r="AW119" s="2"/>
      <c r="AX119" s="2"/>
      <c r="AY119" s="2"/>
      <c r="AZ119" s="2"/>
      <c r="BC119" s="804"/>
    </row>
    <row r="120" spans="1:60" s="245" customFormat="1" ht="53.25" customHeight="1" x14ac:dyDescent="0.25">
      <c r="A120" s="433" t="s">
        <v>1038</v>
      </c>
      <c r="C120" s="249"/>
      <c r="D120" s="249"/>
      <c r="E120" s="249"/>
      <c r="F120" s="249"/>
      <c r="G120" s="249"/>
      <c r="H120" s="249"/>
      <c r="I120" s="282"/>
      <c r="J120" s="282"/>
      <c r="K120" s="248"/>
      <c r="L120" s="248"/>
      <c r="M120" s="248"/>
      <c r="N120" s="282"/>
      <c r="AJ120" s="249"/>
      <c r="AK120" s="249"/>
      <c r="AL120" s="249"/>
      <c r="AM120" s="249"/>
      <c r="AN120" s="249"/>
      <c r="AO120" s="282"/>
      <c r="AP120" s="282"/>
    </row>
    <row r="121" spans="1:60" ht="196.5" customHeight="1" x14ac:dyDescent="0.25">
      <c r="A121" s="433" t="s">
        <v>1038</v>
      </c>
      <c r="B121" s="3246" t="s">
        <v>1845</v>
      </c>
      <c r="C121" s="3246"/>
      <c r="D121" s="3246"/>
      <c r="E121" s="3246"/>
      <c r="F121" s="3246"/>
      <c r="G121" s="3246"/>
      <c r="H121" s="3246"/>
      <c r="I121" s="3246"/>
      <c r="J121" s="3246"/>
      <c r="K121" s="3246"/>
      <c r="L121" s="3246"/>
      <c r="M121" s="3246"/>
      <c r="N121" s="262"/>
    </row>
    <row r="122" spans="1:60" ht="12.75" customHeight="1" x14ac:dyDescent="0.25">
      <c r="A122" s="433" t="s">
        <v>1038</v>
      </c>
      <c r="B122" s="281"/>
      <c r="C122" s="281"/>
      <c r="D122" s="281"/>
      <c r="E122" s="281"/>
      <c r="F122" s="281"/>
      <c r="G122" s="281"/>
      <c r="H122" s="281"/>
      <c r="I122" s="281"/>
      <c r="J122" s="281"/>
      <c r="K122" s="281"/>
      <c r="L122" s="281"/>
      <c r="M122" s="281"/>
    </row>
    <row r="123" spans="1:60" s="347" customFormat="1" ht="33" customHeight="1" x14ac:dyDescent="0.25">
      <c r="A123" s="433" t="s">
        <v>1038</v>
      </c>
      <c r="B123" s="196" t="s">
        <v>904</v>
      </c>
      <c r="E123" s="9"/>
      <c r="H123" s="9"/>
      <c r="I123" s="9"/>
      <c r="J123" s="9"/>
      <c r="M123" s="9"/>
      <c r="N123" s="9"/>
      <c r="O123" s="9"/>
      <c r="Q123" s="42"/>
      <c r="R123" s="42"/>
      <c r="T123" s="42"/>
      <c r="U123" s="42"/>
      <c r="V123" s="42"/>
      <c r="W123" s="42"/>
      <c r="X123" s="42"/>
      <c r="Y123" s="42"/>
      <c r="Z123" s="42"/>
      <c r="AA123" s="42"/>
      <c r="AB123" s="42"/>
      <c r="AC123" s="42"/>
      <c r="AD123" s="42"/>
      <c r="AE123" s="42"/>
      <c r="AF123" s="42"/>
      <c r="AG123" s="42"/>
      <c r="AH123" s="42"/>
      <c r="AI123" s="42"/>
      <c r="AJ123" s="42"/>
      <c r="AK123" s="42"/>
      <c r="AL123" s="42"/>
      <c r="AM123" s="42"/>
      <c r="AN123" s="42"/>
      <c r="AO123" s="42"/>
      <c r="AP123" s="42"/>
      <c r="AQ123" s="42"/>
      <c r="AR123" s="42"/>
      <c r="AS123" s="42"/>
      <c r="AT123" s="42"/>
      <c r="AU123" s="42"/>
      <c r="AV123" s="42"/>
      <c r="AW123" s="42"/>
      <c r="AX123" s="42"/>
      <c r="AY123" s="42"/>
      <c r="AZ123" s="42"/>
      <c r="BA123" s="42"/>
      <c r="BB123" s="42"/>
      <c r="BC123" s="42"/>
      <c r="BD123" s="42"/>
      <c r="BE123" s="42"/>
      <c r="BF123" s="42"/>
      <c r="BG123" s="42"/>
      <c r="BH123" s="42"/>
    </row>
    <row r="124" spans="1:60" ht="40.5" customHeight="1" x14ac:dyDescent="0.25">
      <c r="A124" s="433" t="s">
        <v>1038</v>
      </c>
      <c r="B124" s="3288" t="s">
        <v>1004</v>
      </c>
      <c r="C124" s="3289"/>
      <c r="D124" s="3289"/>
      <c r="E124" s="3289"/>
      <c r="F124" s="3289"/>
      <c r="G124" s="3289"/>
      <c r="H124" s="3289"/>
      <c r="I124" s="3289"/>
      <c r="J124" s="3289"/>
      <c r="K124" s="3289"/>
      <c r="L124" s="3289"/>
      <c r="M124" s="3289"/>
    </row>
    <row r="125" spans="1:60" ht="30" customHeight="1" x14ac:dyDescent="0.25">
      <c r="A125" s="433" t="s">
        <v>1038</v>
      </c>
      <c r="B125" s="3290" t="s">
        <v>934</v>
      </c>
      <c r="C125" s="3290"/>
      <c r="D125" s="3290"/>
      <c r="E125" s="3290"/>
      <c r="F125" s="3290"/>
      <c r="G125" s="3290"/>
      <c r="H125" s="3290"/>
      <c r="I125" s="3290"/>
      <c r="J125" s="3290"/>
      <c r="K125" s="3290"/>
      <c r="L125" s="3290"/>
      <c r="M125" s="3290"/>
      <c r="R125" s="627">
        <v>1</v>
      </c>
    </row>
    <row r="126" spans="1:60" ht="9" customHeight="1" x14ac:dyDescent="0.25">
      <c r="A126" s="433" t="s">
        <v>1038</v>
      </c>
      <c r="B126" s="314"/>
      <c r="C126" s="314"/>
      <c r="D126" s="314"/>
      <c r="E126" s="314"/>
      <c r="F126" s="314"/>
      <c r="G126" s="314"/>
      <c r="H126" s="314"/>
      <c r="I126" s="314"/>
      <c r="J126" s="314"/>
      <c r="K126" s="315"/>
      <c r="L126" s="315"/>
      <c r="M126" s="311"/>
    </row>
    <row r="127" spans="1:60" ht="42" customHeight="1" x14ac:dyDescent="0.25">
      <c r="A127" s="433" t="s">
        <v>1038</v>
      </c>
      <c r="B127" s="3291" t="s">
        <v>935</v>
      </c>
      <c r="C127" s="3291"/>
      <c r="D127" s="3291"/>
      <c r="E127" s="3291"/>
      <c r="F127" s="3291"/>
      <c r="G127" s="3291"/>
      <c r="H127" s="3291"/>
      <c r="I127" s="3291"/>
      <c r="J127" s="3291"/>
      <c r="K127" s="3291"/>
      <c r="L127" s="3291"/>
      <c r="M127" s="3291"/>
    </row>
    <row r="128" spans="1:60" ht="9" customHeight="1" x14ac:dyDescent="0.25">
      <c r="A128" s="433" t="s">
        <v>1038</v>
      </c>
      <c r="B128" s="314"/>
      <c r="C128" s="314"/>
      <c r="D128" s="314"/>
      <c r="E128" s="314"/>
      <c r="F128" s="314"/>
      <c r="G128" s="314"/>
      <c r="H128" s="314"/>
      <c r="I128" s="314"/>
      <c r="J128" s="314"/>
      <c r="K128" s="315"/>
      <c r="L128" s="315"/>
      <c r="M128" s="311"/>
    </row>
    <row r="129" spans="1:61" ht="34.5" customHeight="1" x14ac:dyDescent="0.25">
      <c r="A129" s="433" t="s">
        <v>1038</v>
      </c>
      <c r="B129" s="3291" t="s">
        <v>936</v>
      </c>
      <c r="C129" s="3291"/>
      <c r="D129" s="3291"/>
      <c r="E129" s="3291"/>
      <c r="F129" s="3291"/>
      <c r="G129" s="3291"/>
      <c r="H129" s="3291"/>
      <c r="I129" s="3291"/>
      <c r="J129" s="3291"/>
      <c r="K129" s="3291"/>
      <c r="L129" s="3291"/>
      <c r="M129" s="3291"/>
    </row>
    <row r="130" spans="1:61" ht="9" customHeight="1" x14ac:dyDescent="0.25">
      <c r="A130" s="433" t="s">
        <v>1038</v>
      </c>
      <c r="B130" s="314"/>
      <c r="C130" s="314"/>
      <c r="D130" s="314"/>
      <c r="E130" s="314"/>
      <c r="F130" s="314"/>
      <c r="G130" s="314"/>
      <c r="H130" s="314"/>
      <c r="I130" s="314"/>
      <c r="J130" s="314"/>
      <c r="K130" s="315"/>
      <c r="L130" s="315"/>
      <c r="M130" s="311"/>
    </row>
    <row r="131" spans="1:61" ht="30" customHeight="1" x14ac:dyDescent="0.25">
      <c r="A131" s="433" t="s">
        <v>1038</v>
      </c>
      <c r="B131" s="3291" t="s">
        <v>937</v>
      </c>
      <c r="C131" s="3291"/>
      <c r="D131" s="3291"/>
      <c r="E131" s="3291"/>
      <c r="F131" s="3291"/>
      <c r="G131" s="3291"/>
      <c r="H131" s="3291"/>
      <c r="I131" s="3291"/>
      <c r="J131" s="3291"/>
      <c r="K131" s="3291"/>
      <c r="L131" s="3291"/>
      <c r="M131" s="3291"/>
    </row>
    <row r="132" spans="1:61" ht="14.25" customHeight="1" x14ac:dyDescent="0.25">
      <c r="A132" s="433" t="s">
        <v>1038</v>
      </c>
      <c r="B132" s="3244"/>
      <c r="C132" s="3244"/>
      <c r="D132" s="3244"/>
      <c r="E132" s="3244"/>
      <c r="F132" s="3244"/>
      <c r="G132" s="3244"/>
      <c r="H132" s="3244"/>
      <c r="I132" s="3244"/>
      <c r="J132" s="3244"/>
      <c r="K132" s="3244"/>
      <c r="L132" s="3287"/>
      <c r="M132" s="3287"/>
    </row>
    <row r="133" spans="1:61" ht="33" customHeight="1" x14ac:dyDescent="0.25">
      <c r="A133" s="433" t="s">
        <v>1038</v>
      </c>
      <c r="B133" s="259"/>
      <c r="C133" s="264"/>
      <c r="D133" s="264"/>
      <c r="E133" s="264"/>
      <c r="F133" s="264"/>
      <c r="G133" s="264"/>
      <c r="H133" s="264"/>
      <c r="I133" s="264"/>
      <c r="J133" s="264"/>
      <c r="K133" s="264"/>
      <c r="L133" s="244"/>
      <c r="M133" s="244"/>
    </row>
    <row r="134" spans="1:61" s="347" customFormat="1" ht="33.75" customHeight="1" x14ac:dyDescent="0.25">
      <c r="A134" s="433" t="s">
        <v>1038</v>
      </c>
      <c r="B134" s="196" t="s">
        <v>905</v>
      </c>
      <c r="E134" s="9"/>
      <c r="H134" s="9"/>
      <c r="I134" s="9"/>
      <c r="J134" s="9"/>
      <c r="M134" s="9"/>
      <c r="N134" s="9"/>
      <c r="O134" s="9"/>
      <c r="Q134" s="42"/>
      <c r="R134" s="42"/>
      <c r="T134" s="42"/>
      <c r="U134" s="42"/>
      <c r="V134" s="42"/>
      <c r="W134" s="42"/>
      <c r="X134" s="42"/>
      <c r="Y134" s="42"/>
      <c r="Z134" s="42"/>
      <c r="AA134" s="42"/>
      <c r="AB134" s="42"/>
      <c r="AC134" s="42"/>
      <c r="AD134" s="42"/>
      <c r="AE134" s="42"/>
      <c r="AF134" s="42"/>
      <c r="AG134" s="42"/>
      <c r="AH134" s="42"/>
      <c r="AI134" s="42"/>
      <c r="AJ134" s="42"/>
      <c r="AK134" s="42"/>
      <c r="AL134" s="42"/>
      <c r="AM134" s="42"/>
      <c r="AN134" s="42"/>
      <c r="AO134" s="42"/>
      <c r="AP134" s="42"/>
      <c r="AQ134" s="42"/>
      <c r="AR134" s="42"/>
      <c r="AS134" s="42"/>
      <c r="AT134" s="42"/>
      <c r="AU134" s="42"/>
      <c r="AV134" s="42"/>
      <c r="AW134" s="42"/>
      <c r="AX134" s="42"/>
      <c r="AY134" s="42"/>
      <c r="AZ134" s="42"/>
      <c r="BA134" s="42"/>
      <c r="BB134" s="42"/>
      <c r="BC134" s="42"/>
      <c r="BD134" s="42"/>
      <c r="BE134" s="42"/>
      <c r="BF134" s="42"/>
      <c r="BG134" s="42"/>
      <c r="BH134" s="42"/>
    </row>
    <row r="135" spans="1:61" ht="21" customHeight="1" x14ac:dyDescent="0.25">
      <c r="A135" s="433" t="s">
        <v>1038</v>
      </c>
      <c r="B135" s="647" t="s">
        <v>1007</v>
      </c>
      <c r="C135" s="647"/>
      <c r="D135" s="647"/>
      <c r="E135" s="647"/>
      <c r="F135" s="647"/>
      <c r="G135" s="647"/>
      <c r="H135" s="647"/>
      <c r="I135" s="647"/>
      <c r="J135" s="647"/>
      <c r="K135" s="647"/>
      <c r="L135" s="647"/>
      <c r="M135" s="583"/>
    </row>
    <row r="136" spans="1:61" ht="54" customHeight="1" x14ac:dyDescent="0.25">
      <c r="A136" s="433" t="s">
        <v>1038</v>
      </c>
      <c r="B136" s="3201" t="s">
        <v>2091</v>
      </c>
      <c r="C136" s="3201"/>
      <c r="D136" s="3201"/>
      <c r="E136" s="3201"/>
      <c r="F136" s="3201"/>
      <c r="G136" s="3201"/>
      <c r="H136" s="3201"/>
      <c r="I136" s="3201"/>
      <c r="J136" s="3201"/>
      <c r="K136" s="3201"/>
      <c r="L136" s="3201"/>
      <c r="M136" s="3201"/>
    </row>
    <row r="137" spans="1:61" ht="32.25" hidden="1" customHeight="1" x14ac:dyDescent="0.25">
      <c r="A137" s="433" t="s">
        <v>1038</v>
      </c>
      <c r="B137" s="3201" t="s">
        <v>950</v>
      </c>
      <c r="C137" s="3201"/>
      <c r="D137" s="3201"/>
      <c r="E137" s="3201"/>
      <c r="F137" s="3201"/>
      <c r="G137" s="3201"/>
      <c r="H137" s="3201"/>
      <c r="I137" s="3201"/>
      <c r="J137" s="3201"/>
      <c r="K137" s="3201"/>
      <c r="L137" s="3201"/>
      <c r="M137" s="3201"/>
    </row>
    <row r="138" spans="1:61" ht="33" hidden="1" customHeight="1" x14ac:dyDescent="0.25">
      <c r="A138" s="433" t="s">
        <v>1038</v>
      </c>
      <c r="B138" s="3201" t="s">
        <v>939</v>
      </c>
      <c r="C138" s="3201"/>
      <c r="D138" s="3201"/>
      <c r="E138" s="3201"/>
      <c r="F138" s="3201"/>
      <c r="G138" s="3201"/>
      <c r="H138" s="3201"/>
      <c r="I138" s="3201"/>
      <c r="J138" s="3201"/>
      <c r="K138" s="3201"/>
      <c r="L138" s="3201"/>
      <c r="M138" s="3201"/>
    </row>
    <row r="139" spans="1:61" ht="33" hidden="1" customHeight="1" x14ac:dyDescent="0.25">
      <c r="A139" s="433" t="s">
        <v>1038</v>
      </c>
      <c r="B139" s="3201" t="s">
        <v>953</v>
      </c>
      <c r="C139" s="3201"/>
      <c r="D139" s="3201"/>
      <c r="E139" s="3201"/>
      <c r="F139" s="3201"/>
      <c r="G139" s="3201"/>
      <c r="H139" s="3201"/>
      <c r="I139" s="3201"/>
      <c r="J139" s="3201"/>
      <c r="K139" s="3201"/>
      <c r="L139" s="3201"/>
      <c r="M139" s="3201"/>
    </row>
    <row r="140" spans="1:61" ht="33" hidden="1" customHeight="1" x14ac:dyDescent="0.25">
      <c r="A140" s="433" t="s">
        <v>1038</v>
      </c>
      <c r="B140" s="3201" t="s">
        <v>940</v>
      </c>
      <c r="C140" s="3220"/>
      <c r="D140" s="3220"/>
      <c r="E140" s="3220"/>
      <c r="F140" s="3220"/>
      <c r="G140" s="3220"/>
      <c r="H140" s="3220"/>
      <c r="I140" s="3220"/>
      <c r="J140" s="3220"/>
      <c r="K140" s="3220"/>
      <c r="L140" s="3220"/>
      <c r="M140" s="3220"/>
    </row>
    <row r="141" spans="1:61" ht="45" hidden="1" customHeight="1" x14ac:dyDescent="0.25">
      <c r="A141" s="433" t="s">
        <v>1038</v>
      </c>
      <c r="B141" s="3201" t="s">
        <v>1034</v>
      </c>
      <c r="C141" s="3220"/>
      <c r="D141" s="3220"/>
      <c r="E141" s="3220"/>
      <c r="F141" s="3220"/>
      <c r="G141" s="3220"/>
      <c r="H141" s="3220"/>
      <c r="I141" s="3220"/>
      <c r="J141" s="3220"/>
      <c r="K141" s="3220"/>
      <c r="L141" s="3220"/>
      <c r="M141" s="3220"/>
    </row>
    <row r="142" spans="1:61" ht="15" customHeight="1" x14ac:dyDescent="0.25">
      <c r="A142" s="433" t="s">
        <v>1038</v>
      </c>
      <c r="B142" s="261"/>
      <c r="C142" s="281"/>
      <c r="D142" s="281"/>
      <c r="E142" s="281"/>
      <c r="F142" s="281"/>
      <c r="G142" s="281"/>
      <c r="H142" s="281"/>
      <c r="I142" s="281"/>
      <c r="J142" s="281"/>
      <c r="K142" s="281"/>
      <c r="L142" s="281"/>
      <c r="M142" s="281"/>
      <c r="BF142" s="3229" t="s">
        <v>2058</v>
      </c>
      <c r="BG142" s="3229"/>
      <c r="BH142" s="3229"/>
      <c r="BI142" s="3229"/>
    </row>
    <row r="143" spans="1:61" ht="92.25" customHeight="1" x14ac:dyDescent="0.25">
      <c r="A143" s="433" t="s">
        <v>1038</v>
      </c>
      <c r="B143" s="3140" t="s">
        <v>367</v>
      </c>
      <c r="C143" s="3140"/>
      <c r="D143" s="513" t="s">
        <v>366</v>
      </c>
      <c r="E143" s="580" t="s">
        <v>354</v>
      </c>
      <c r="F143" s="580" t="s">
        <v>1010</v>
      </c>
      <c r="G143" s="514" t="s">
        <v>373</v>
      </c>
      <c r="H143" s="514" t="s">
        <v>372</v>
      </c>
      <c r="I143" s="514" t="s">
        <v>371</v>
      </c>
      <c r="J143" s="514" t="s">
        <v>370</v>
      </c>
      <c r="K143" s="3140" t="s">
        <v>393</v>
      </c>
      <c r="L143" s="3138"/>
      <c r="M143" s="3102"/>
      <c r="BF143" s="580" t="s">
        <v>2059</v>
      </c>
      <c r="BG143" s="580" t="s">
        <v>2060</v>
      </c>
      <c r="BH143" s="580" t="s">
        <v>2061</v>
      </c>
      <c r="BI143" s="580" t="s">
        <v>2062</v>
      </c>
    </row>
    <row r="144" spans="1:61" ht="18.75" hidden="1" customHeight="1" x14ac:dyDescent="0.25">
      <c r="A144" s="433" t="s">
        <v>1038</v>
      </c>
      <c r="B144" s="469" t="s">
        <v>1422</v>
      </c>
      <c r="C144" s="469"/>
      <c r="D144" s="515" t="s">
        <v>1423</v>
      </c>
      <c r="E144" s="469" t="s">
        <v>1396</v>
      </c>
      <c r="F144" s="469" t="s">
        <v>1424</v>
      </c>
      <c r="G144" s="469" t="s">
        <v>1425</v>
      </c>
      <c r="H144" s="469" t="s">
        <v>1426</v>
      </c>
      <c r="I144" s="469" t="s">
        <v>1427</v>
      </c>
      <c r="J144" s="469" t="s">
        <v>1428</v>
      </c>
      <c r="K144" s="462" t="s">
        <v>1429</v>
      </c>
      <c r="L144" s="516"/>
      <c r="M144" s="517"/>
      <c r="Q144" s="628" t="s">
        <v>1407</v>
      </c>
      <c r="R144" s="628" t="s">
        <v>1408</v>
      </c>
      <c r="S144" s="628" t="s">
        <v>1113</v>
      </c>
      <c r="BF144" s="588"/>
    </row>
    <row r="145" spans="1:61" ht="15.75" customHeight="1" x14ac:dyDescent="0.25">
      <c r="A145" s="433" t="s">
        <v>1038</v>
      </c>
      <c r="B145" s="3228" t="s">
        <v>392</v>
      </c>
      <c r="C145" s="3230"/>
      <c r="D145" s="3159"/>
      <c r="E145" s="3158" t="s">
        <v>374</v>
      </c>
      <c r="F145" s="499" t="str">
        <f>IFERROR(IF(ISBLANK(E145),"","Consumption (" &amp; VLOOKUP($E145,PO_Enrgy_1_Table,MATCH($C$16,PO_Enrgy_1_Hdr,0),FALSE) &amp; ")"),"")</f>
        <v>Consumption (kWh)</v>
      </c>
      <c r="G145" s="518" t="str">
        <f t="shared" ref="G145:G192" ca="1" si="42">IFERROR(IF(SimTool="eQUEST",INDIRECT("'Results from eQuest'!"&amp;$BF145&amp;"8"),IF(SimTool="Trace",INDIRECT("'Results from Trace'!C"&amp;$BI145)/$Q145,"")),"")</f>
        <v/>
      </c>
      <c r="H145" s="518" t="str">
        <f t="shared" ref="H145:H192" ca="1" si="43">IFERROR(IF(SimTool="eQUEST",INDIRECT("'Results from eQuest'!"&amp;$BF145&amp;"9"),IF(SimTool="Trace",INDIRECT("'Results from Trace'!D"&amp;$BI145)/$Q145,"")),"")</f>
        <v/>
      </c>
      <c r="I145" s="518" t="str">
        <f t="shared" ref="I145:I192" ca="1" si="44">IFERROR(IF(SimTool="eQUEST",INDIRECT("'Results from eQuest'!"&amp;$BF145&amp;"10"),IF(SimTool="Trace",INDIRECT("'Results from Trace'!E"&amp;$BI145)/$Q145,"")),"")</f>
        <v/>
      </c>
      <c r="J145" s="518" t="str">
        <f t="shared" ref="J145:J192" ca="1" si="45">IFERROR(IF(SimTool="eQUEST",INDIRECT("'Results from eQuest'!"&amp;$BF145&amp;"11"),IF(SimTool="Trace",INDIRECT("'Results from Trace'!F"&amp;$BI145)/$Q145,"")),"")</f>
        <v/>
      </c>
      <c r="K145" s="3160" t="str">
        <f ca="1">IFERROR(AVERAGEIF(G145:J145,"&lt;&gt;0"),"")</f>
        <v/>
      </c>
      <c r="L145" s="3161"/>
      <c r="M145" s="3162"/>
      <c r="Q145" s="627">
        <f t="shared" ref="Q145:Q192" si="46">IFERROR(IF(ISBLANK($E145),"",VLOOKUP($E145,PO_Enrgy_1_Table,MATCH($K$16,PO_Enrgy_1_Hdr,0),FALSE)),"")</f>
        <v>3.4120000000000001E-3</v>
      </c>
      <c r="R145" s="627">
        <f t="shared" ref="R145:R192" si="47">IFERROR(IF(ISBLANK($E145),"",VLOOKUP($E145,PO_Enrgy_1_Table,MATCH($M$16,PO_Enrgy_1_Hdr,0),FALSE)),"")</f>
        <v>1.0713680000000001E-2</v>
      </c>
      <c r="S145" s="627" t="str">
        <f t="shared" ref="S145:S193" ca="1" si="48">IFERROR(IF(FIND("Consumption",F145),(K145*VLOOKUP(MID(F145,FIND("(",F145)+1,LEN(F145)-FIND("(",F145)-1),EnergyUnitsTable,3,FALSE))/(K146*VLOOKUP(MID(F146,FIND("(",F146)+1,LEN(F146)-FIND("(",F146)-1),DemandTable,3,FALSE)),1),"")</f>
        <v/>
      </c>
      <c r="BC145" s="804"/>
      <c r="BF145" s="983" t="s">
        <v>2063</v>
      </c>
      <c r="BG145" s="983" t="s">
        <v>1974</v>
      </c>
      <c r="BH145" s="983" t="s">
        <v>374</v>
      </c>
      <c r="BI145" s="983">
        <f>IF(BG145&lt;&gt;"",IFERROR(MATCH(BG145&amp;BH145,'Results from Trace'!$L$1:$L$21,0),""),"")</f>
        <v>7</v>
      </c>
    </row>
    <row r="146" spans="1:61" ht="16.2" customHeight="1" x14ac:dyDescent="0.25">
      <c r="A146" s="433" t="s">
        <v>1038</v>
      </c>
      <c r="B146" s="3230"/>
      <c r="C146" s="3230"/>
      <c r="D146" s="3159"/>
      <c r="E146" s="3158"/>
      <c r="F146" s="499" t="str">
        <f>IFERROR(IF(ISBLANK(E145),"","Demand (" &amp; VLOOKUP($E145,PO_Enrgy_1_Table,MATCH($E$16,PO_Enrgy_1_Hdr,0),FALSE) &amp; ")"),"")</f>
        <v>Demand (kW)</v>
      </c>
      <c r="G146" s="518" t="str">
        <f t="shared" ca="1" si="42"/>
        <v/>
      </c>
      <c r="H146" s="518" t="str">
        <f t="shared" ca="1" si="43"/>
        <v/>
      </c>
      <c r="I146" s="518" t="str">
        <f t="shared" ca="1" si="44"/>
        <v/>
      </c>
      <c r="J146" s="518" t="str">
        <f t="shared" ca="1" si="45"/>
        <v/>
      </c>
      <c r="K146" s="3160" t="str">
        <f t="shared" ref="K146:K192" ca="1" si="49">IFERROR(AVERAGEIF(G146:J146,"&lt;&gt;0"),"")</f>
        <v/>
      </c>
      <c r="L146" s="3161"/>
      <c r="M146" s="3162"/>
      <c r="Q146" s="627" t="str">
        <f t="shared" si="46"/>
        <v/>
      </c>
      <c r="R146" s="627" t="str">
        <f t="shared" si="47"/>
        <v/>
      </c>
      <c r="S146" s="627" t="str">
        <f t="shared" si="48"/>
        <v/>
      </c>
      <c r="BC146" s="804"/>
      <c r="BF146" s="983" t="s">
        <v>1029</v>
      </c>
      <c r="BG146" s="983"/>
      <c r="BH146" s="983"/>
      <c r="BI146" s="983"/>
    </row>
    <row r="147" spans="1:61" ht="16.2" customHeight="1" x14ac:dyDescent="0.25">
      <c r="A147" s="433" t="s">
        <v>1038</v>
      </c>
      <c r="B147" s="3228" t="s">
        <v>391</v>
      </c>
      <c r="C147" s="3228"/>
      <c r="D147" s="3159"/>
      <c r="E147" s="3158" t="s">
        <v>374</v>
      </c>
      <c r="F147" s="499" t="str">
        <f>IFERROR(IF(ISBLANK(E147),"","Consumption (" &amp; VLOOKUP($E147,PO_Enrgy_1_Table,MATCH($C$16,PO_Enrgy_1_Hdr,0),FALSE) &amp; ")"),"")</f>
        <v>Consumption (kWh)</v>
      </c>
      <c r="G147" s="518" t="str">
        <f t="shared" ca="1" si="42"/>
        <v/>
      </c>
      <c r="H147" s="518" t="str">
        <f t="shared" ca="1" si="43"/>
        <v/>
      </c>
      <c r="I147" s="518" t="str">
        <f t="shared" ca="1" si="44"/>
        <v/>
      </c>
      <c r="J147" s="518" t="str">
        <f t="shared" ca="1" si="45"/>
        <v/>
      </c>
      <c r="K147" s="3160" t="str">
        <f t="shared" ca="1" si="49"/>
        <v/>
      </c>
      <c r="L147" s="3161"/>
      <c r="M147" s="3162"/>
      <c r="Q147" s="627">
        <f t="shared" si="46"/>
        <v>3.4120000000000001E-3</v>
      </c>
      <c r="R147" s="627">
        <f t="shared" si="47"/>
        <v>1.0713680000000001E-2</v>
      </c>
      <c r="S147" s="627" t="str">
        <f t="shared" ca="1" si="48"/>
        <v/>
      </c>
      <c r="BC147" s="804"/>
      <c r="BF147" s="983" t="s">
        <v>2064</v>
      </c>
      <c r="BG147" s="983" t="s">
        <v>1981</v>
      </c>
      <c r="BH147" s="983" t="s">
        <v>374</v>
      </c>
      <c r="BI147" s="983">
        <f>IF(BG147&lt;&gt;"",IFERROR(MATCH(BG147&amp;BH147,'Results from Trace'!$L$1:$L$21,0),""),"")</f>
        <v>15</v>
      </c>
    </row>
    <row r="148" spans="1:61" ht="16.2" customHeight="1" x14ac:dyDescent="0.25">
      <c r="A148" s="433" t="s">
        <v>1038</v>
      </c>
      <c r="B148" s="3228"/>
      <c r="C148" s="3228"/>
      <c r="D148" s="3159"/>
      <c r="E148" s="3158"/>
      <c r="F148" s="499" t="str">
        <f>IFERROR(IF(ISBLANK(E147),"","Demand (" &amp; VLOOKUP($E147,PO_Enrgy_1_Table,MATCH($E$16,PO_Enrgy_1_Hdr,0),FALSE) &amp; ")"),"")</f>
        <v>Demand (kW)</v>
      </c>
      <c r="G148" s="518" t="str">
        <f t="shared" ca="1" si="42"/>
        <v/>
      </c>
      <c r="H148" s="518" t="str">
        <f t="shared" ca="1" si="43"/>
        <v/>
      </c>
      <c r="I148" s="518" t="str">
        <f t="shared" ca="1" si="44"/>
        <v/>
      </c>
      <c r="J148" s="518" t="str">
        <f t="shared" ca="1" si="45"/>
        <v/>
      </c>
      <c r="K148" s="3160" t="str">
        <f t="shared" ca="1" si="49"/>
        <v/>
      </c>
      <c r="L148" s="3161"/>
      <c r="M148" s="3162"/>
      <c r="Q148" s="627" t="str">
        <f t="shared" si="46"/>
        <v/>
      </c>
      <c r="R148" s="627" t="str">
        <f t="shared" si="47"/>
        <v/>
      </c>
      <c r="S148" s="627" t="str">
        <f t="shared" si="48"/>
        <v/>
      </c>
      <c r="BC148" s="804"/>
      <c r="BF148" s="983" t="s">
        <v>2065</v>
      </c>
      <c r="BG148" s="983"/>
      <c r="BH148" s="983"/>
      <c r="BI148" s="983"/>
    </row>
    <row r="149" spans="1:61" ht="16.2" customHeight="1" x14ac:dyDescent="0.25">
      <c r="A149" s="433" t="s">
        <v>1038</v>
      </c>
      <c r="B149" s="3228" t="s">
        <v>390</v>
      </c>
      <c r="C149" s="3228"/>
      <c r="D149" s="3159"/>
      <c r="E149" s="3158" t="s">
        <v>388</v>
      </c>
      <c r="F149" s="499" t="str">
        <f>IFERROR(IF(ISBLANK(E149),"","Consumption (" &amp; VLOOKUP($E149,PO_Enrgy_1_Table,MATCH($C$16,PO_Enrgy_1_Hdr,0),FALSE) &amp; ")"),"")</f>
        <v>Consumption (therm)</v>
      </c>
      <c r="G149" s="518" t="str">
        <f t="shared" ca="1" si="42"/>
        <v/>
      </c>
      <c r="H149" s="518" t="str">
        <f t="shared" ca="1" si="43"/>
        <v/>
      </c>
      <c r="I149" s="518" t="str">
        <f t="shared" ca="1" si="44"/>
        <v/>
      </c>
      <c r="J149" s="518" t="str">
        <f t="shared" ca="1" si="45"/>
        <v/>
      </c>
      <c r="K149" s="3160" t="str">
        <f t="shared" ca="1" si="49"/>
        <v/>
      </c>
      <c r="L149" s="3161"/>
      <c r="M149" s="3162"/>
      <c r="Q149" s="627">
        <f t="shared" si="46"/>
        <v>0.1</v>
      </c>
      <c r="R149" s="627">
        <f t="shared" si="47"/>
        <v>0.10500000000000001</v>
      </c>
      <c r="S149" s="627" t="str">
        <f t="shared" ca="1" si="48"/>
        <v/>
      </c>
      <c r="BC149" s="804"/>
      <c r="BF149" s="983" t="s">
        <v>2066</v>
      </c>
      <c r="BG149" s="983" t="s">
        <v>1975</v>
      </c>
      <c r="BH149" s="983" t="s">
        <v>1976</v>
      </c>
      <c r="BI149" s="983">
        <f>IF(BG149&lt;&gt;"",IFERROR(MATCH(BG149&amp;BH149,'Results from Trace'!$L$1:$L$21,0),""),"")</f>
        <v>9</v>
      </c>
    </row>
    <row r="150" spans="1:61" ht="16.2" customHeight="1" x14ac:dyDescent="0.25">
      <c r="A150" s="433" t="s">
        <v>1038</v>
      </c>
      <c r="B150" s="3228"/>
      <c r="C150" s="3228"/>
      <c r="D150" s="3159"/>
      <c r="E150" s="3158"/>
      <c r="F150" s="499" t="str">
        <f>IFERROR(IF(ISBLANK(E149),"","Demand (" &amp; VLOOKUP($E149,PO_Enrgy_1_Table,MATCH($E$16,PO_Enrgy_1_Hdr,0),FALSE) &amp; ")"),"")</f>
        <v>Demand (Btuh x 10^6)</v>
      </c>
      <c r="G150" s="518" t="str">
        <f t="shared" ca="1" si="42"/>
        <v/>
      </c>
      <c r="H150" s="518" t="str">
        <f t="shared" ca="1" si="43"/>
        <v/>
      </c>
      <c r="I150" s="518" t="str">
        <f t="shared" ca="1" si="44"/>
        <v/>
      </c>
      <c r="J150" s="518" t="str">
        <f t="shared" ca="1" si="45"/>
        <v/>
      </c>
      <c r="K150" s="3160" t="str">
        <f t="shared" ca="1" si="49"/>
        <v/>
      </c>
      <c r="L150" s="3161"/>
      <c r="M150" s="3162"/>
      <c r="Q150" s="627" t="str">
        <f t="shared" si="46"/>
        <v/>
      </c>
      <c r="R150" s="627" t="str">
        <f t="shared" si="47"/>
        <v/>
      </c>
      <c r="S150" s="627" t="str">
        <f t="shared" si="48"/>
        <v/>
      </c>
      <c r="BC150" s="804"/>
      <c r="BF150" s="983"/>
      <c r="BG150" s="983"/>
      <c r="BH150" s="983"/>
      <c r="BI150" s="983"/>
    </row>
    <row r="151" spans="1:61" ht="16.2" customHeight="1" x14ac:dyDescent="0.25">
      <c r="A151" s="433" t="s">
        <v>1038</v>
      </c>
      <c r="B151" s="3228" t="s">
        <v>389</v>
      </c>
      <c r="C151" s="3228"/>
      <c r="D151" s="3159"/>
      <c r="E151" s="3158" t="s">
        <v>374</v>
      </c>
      <c r="F151" s="499" t="str">
        <f>IFERROR(IF(ISBLANK(E151),"","Consumption (" &amp; VLOOKUP($E151,PO_Enrgy_1_Table,MATCH($C$16,PO_Enrgy_1_Hdr,0),FALSE) &amp; ")"),"")</f>
        <v>Consumption (kWh)</v>
      </c>
      <c r="G151" s="518" t="str">
        <f t="shared" ca="1" si="42"/>
        <v/>
      </c>
      <c r="H151" s="518" t="str">
        <f t="shared" ca="1" si="43"/>
        <v/>
      </c>
      <c r="I151" s="518" t="str">
        <f t="shared" ca="1" si="44"/>
        <v/>
      </c>
      <c r="J151" s="518" t="str">
        <f t="shared" ca="1" si="45"/>
        <v/>
      </c>
      <c r="K151" s="3160" t="str">
        <f t="shared" ca="1" si="49"/>
        <v/>
      </c>
      <c r="L151" s="3161"/>
      <c r="M151" s="3162"/>
      <c r="Q151" s="627">
        <f t="shared" si="46"/>
        <v>3.4120000000000001E-3</v>
      </c>
      <c r="R151" s="627">
        <f t="shared" si="47"/>
        <v>1.0713680000000001E-2</v>
      </c>
      <c r="S151" s="627" t="str">
        <f t="shared" ca="1" si="48"/>
        <v/>
      </c>
      <c r="BC151" s="804"/>
      <c r="BF151" s="983" t="s">
        <v>2067</v>
      </c>
      <c r="BG151" s="983" t="s">
        <v>1977</v>
      </c>
      <c r="BH151" s="983" t="s">
        <v>374</v>
      </c>
      <c r="BI151" s="983">
        <f>IF(BG151&lt;&gt;"",IFERROR(MATCH(BG151&amp;BH151,'Results from Trace'!$L$1:$L$21,0),""),"")</f>
        <v>10</v>
      </c>
    </row>
    <row r="152" spans="1:61" ht="16.2" customHeight="1" x14ac:dyDescent="0.25">
      <c r="A152" s="433" t="s">
        <v>1038</v>
      </c>
      <c r="B152" s="3228"/>
      <c r="C152" s="3228"/>
      <c r="D152" s="3159"/>
      <c r="E152" s="3158"/>
      <c r="F152" s="499" t="str">
        <f>IFERROR(IF(ISBLANK(E151),"","Demand (" &amp; VLOOKUP($E151,PO_Enrgy_1_Table,MATCH($E$16,PO_Enrgy_1_Hdr,0),FALSE) &amp; ")"),"")</f>
        <v>Demand (kW)</v>
      </c>
      <c r="G152" s="518" t="str">
        <f t="shared" ca="1" si="42"/>
        <v/>
      </c>
      <c r="H152" s="518" t="str">
        <f t="shared" ca="1" si="43"/>
        <v/>
      </c>
      <c r="I152" s="518" t="str">
        <f t="shared" ca="1" si="44"/>
        <v/>
      </c>
      <c r="J152" s="518" t="str">
        <f t="shared" ca="1" si="45"/>
        <v/>
      </c>
      <c r="K152" s="3160" t="str">
        <f t="shared" ca="1" si="49"/>
        <v/>
      </c>
      <c r="L152" s="3161"/>
      <c r="M152" s="3162"/>
      <c r="Q152" s="627" t="str">
        <f t="shared" si="46"/>
        <v/>
      </c>
      <c r="R152" s="627" t="str">
        <f t="shared" si="47"/>
        <v/>
      </c>
      <c r="S152" s="627" t="str">
        <f t="shared" si="48"/>
        <v/>
      </c>
      <c r="BC152" s="804"/>
      <c r="BF152" s="983" t="s">
        <v>2068</v>
      </c>
      <c r="BG152" s="983"/>
      <c r="BH152" s="983"/>
      <c r="BI152" s="983"/>
    </row>
    <row r="153" spans="1:61" ht="16.2" customHeight="1" x14ac:dyDescent="0.25">
      <c r="A153" s="433" t="s">
        <v>1038</v>
      </c>
      <c r="B153" s="3228" t="s">
        <v>387</v>
      </c>
      <c r="C153" s="3228"/>
      <c r="D153" s="3159"/>
      <c r="E153" s="3158" t="s">
        <v>374</v>
      </c>
      <c r="F153" s="499" t="str">
        <f>IFERROR(IF(ISBLANK(E153),"","Consumption (" &amp; VLOOKUP($E153,PO_Enrgy_1_Table,MATCH($C$16,PO_Enrgy_1_Hdr,0),FALSE) &amp; ")"),"")</f>
        <v>Consumption (kWh)</v>
      </c>
      <c r="G153" s="518" t="str">
        <f t="shared" ca="1" si="42"/>
        <v/>
      </c>
      <c r="H153" s="518" t="str">
        <f t="shared" ca="1" si="43"/>
        <v/>
      </c>
      <c r="I153" s="518" t="str">
        <f t="shared" ca="1" si="44"/>
        <v/>
      </c>
      <c r="J153" s="518" t="str">
        <f t="shared" ca="1" si="45"/>
        <v/>
      </c>
      <c r="K153" s="3160" t="str">
        <f t="shared" ca="1" si="49"/>
        <v/>
      </c>
      <c r="L153" s="3161"/>
      <c r="M153" s="3162"/>
      <c r="Q153" s="627">
        <f t="shared" si="46"/>
        <v>3.4120000000000001E-3</v>
      </c>
      <c r="R153" s="627">
        <f t="shared" si="47"/>
        <v>1.0713680000000001E-2</v>
      </c>
      <c r="S153" s="627" t="str">
        <f t="shared" ca="1" si="48"/>
        <v/>
      </c>
      <c r="BC153" s="804"/>
      <c r="BF153" s="983" t="s">
        <v>2069</v>
      </c>
      <c r="BG153" s="983" t="s">
        <v>387</v>
      </c>
      <c r="BH153" s="983" t="s">
        <v>374</v>
      </c>
      <c r="BI153" s="983">
        <f>IF(BG153&lt;&gt;"",IFERROR(MATCH(BG153&amp;BH153,'Results from Trace'!$L$1:$L$21,0),""),"")</f>
        <v>11</v>
      </c>
    </row>
    <row r="154" spans="1:61" ht="16.2" customHeight="1" x14ac:dyDescent="0.25">
      <c r="A154" s="433" t="s">
        <v>1038</v>
      </c>
      <c r="B154" s="3228"/>
      <c r="C154" s="3228"/>
      <c r="D154" s="3159"/>
      <c r="E154" s="3158"/>
      <c r="F154" s="499" t="str">
        <f>IFERROR(IF(ISBLANK(E153),"","Demand (" &amp; VLOOKUP($E153,PO_Enrgy_1_Table,MATCH($E$16,PO_Enrgy_1_Hdr,0),FALSE) &amp; ")"),"")</f>
        <v>Demand (kW)</v>
      </c>
      <c r="G154" s="518" t="str">
        <f t="shared" ca="1" si="42"/>
        <v/>
      </c>
      <c r="H154" s="518" t="str">
        <f t="shared" ca="1" si="43"/>
        <v/>
      </c>
      <c r="I154" s="518" t="str">
        <f t="shared" ca="1" si="44"/>
        <v/>
      </c>
      <c r="J154" s="518" t="str">
        <f t="shared" ca="1" si="45"/>
        <v/>
      </c>
      <c r="K154" s="3160" t="str">
        <f t="shared" ca="1" si="49"/>
        <v/>
      </c>
      <c r="L154" s="3161"/>
      <c r="M154" s="3162"/>
      <c r="Q154" s="627" t="str">
        <f t="shared" si="46"/>
        <v/>
      </c>
      <c r="R154" s="627" t="str">
        <f t="shared" si="47"/>
        <v/>
      </c>
      <c r="S154" s="627" t="str">
        <f t="shared" si="48"/>
        <v/>
      </c>
      <c r="BC154" s="804"/>
      <c r="BF154" s="983" t="s">
        <v>2070</v>
      </c>
      <c r="BG154" s="983"/>
      <c r="BH154" s="983"/>
      <c r="BI154" s="983"/>
    </row>
    <row r="155" spans="1:61" ht="16.2" customHeight="1" x14ac:dyDescent="0.25">
      <c r="A155" s="433" t="s">
        <v>1038</v>
      </c>
      <c r="B155" s="3228" t="s">
        <v>386</v>
      </c>
      <c r="C155" s="3228"/>
      <c r="D155" s="3159"/>
      <c r="E155" s="3158" t="s">
        <v>374</v>
      </c>
      <c r="F155" s="499" t="str">
        <f>IFERROR(IF(ISBLANK(E155),"","Consumption (" &amp; VLOOKUP($E155,PO_Enrgy_1_Table,MATCH($C$16,PO_Enrgy_1_Hdr,0),FALSE) &amp; ")"),"")</f>
        <v>Consumption (kWh)</v>
      </c>
      <c r="G155" s="518" t="str">
        <f t="shared" ca="1" si="42"/>
        <v/>
      </c>
      <c r="H155" s="518" t="str">
        <f t="shared" ca="1" si="43"/>
        <v/>
      </c>
      <c r="I155" s="518" t="str">
        <f t="shared" ca="1" si="44"/>
        <v/>
      </c>
      <c r="J155" s="518" t="str">
        <f t="shared" ca="1" si="45"/>
        <v/>
      </c>
      <c r="K155" s="3160" t="str">
        <f t="shared" ca="1" si="49"/>
        <v/>
      </c>
      <c r="L155" s="3161"/>
      <c r="M155" s="3162"/>
      <c r="Q155" s="627">
        <f t="shared" si="46"/>
        <v>3.4120000000000001E-3</v>
      </c>
      <c r="R155" s="627">
        <f t="shared" si="47"/>
        <v>1.0713680000000001E-2</v>
      </c>
      <c r="S155" s="627" t="str">
        <f t="shared" ca="1" si="48"/>
        <v/>
      </c>
      <c r="BC155" s="804"/>
      <c r="BF155" s="983" t="s">
        <v>2071</v>
      </c>
      <c r="BG155" s="983" t="s">
        <v>1978</v>
      </c>
      <c r="BH155" s="983" t="s">
        <v>374</v>
      </c>
      <c r="BI155" s="983">
        <f>IF(BG155&lt;&gt;"",IFERROR(MATCH(BG155&amp;BH155,'Results from Trace'!$L$1:$L$21,0),""),"")</f>
        <v>12</v>
      </c>
    </row>
    <row r="156" spans="1:61" ht="16.2" customHeight="1" x14ac:dyDescent="0.25">
      <c r="A156" s="433" t="s">
        <v>1038</v>
      </c>
      <c r="B156" s="3228"/>
      <c r="C156" s="3228"/>
      <c r="D156" s="3159"/>
      <c r="E156" s="3158"/>
      <c r="F156" s="499" t="str">
        <f>IFERROR(IF(ISBLANK(E155),"","Demand (" &amp; VLOOKUP($E155,PO_Enrgy_1_Table,MATCH($E$16,PO_Enrgy_1_Hdr,0),FALSE) &amp; ")"),"")</f>
        <v>Demand (kW)</v>
      </c>
      <c r="G156" s="518" t="str">
        <f t="shared" ca="1" si="42"/>
        <v/>
      </c>
      <c r="H156" s="518" t="str">
        <f t="shared" ca="1" si="43"/>
        <v/>
      </c>
      <c r="I156" s="518" t="str">
        <f t="shared" ca="1" si="44"/>
        <v/>
      </c>
      <c r="J156" s="518" t="str">
        <f t="shared" ca="1" si="45"/>
        <v/>
      </c>
      <c r="K156" s="3160" t="str">
        <f t="shared" ca="1" si="49"/>
        <v/>
      </c>
      <c r="L156" s="3161"/>
      <c r="M156" s="3162"/>
      <c r="Q156" s="627" t="str">
        <f t="shared" si="46"/>
        <v/>
      </c>
      <c r="R156" s="627" t="str">
        <f t="shared" si="47"/>
        <v/>
      </c>
      <c r="S156" s="627" t="str">
        <f t="shared" si="48"/>
        <v/>
      </c>
      <c r="BC156" s="804"/>
      <c r="BF156" s="983" t="s">
        <v>2072</v>
      </c>
      <c r="BG156" s="983"/>
      <c r="BH156" s="983"/>
      <c r="BI156" s="983"/>
    </row>
    <row r="157" spans="1:61" ht="16.2" customHeight="1" x14ac:dyDescent="0.25">
      <c r="A157" s="433" t="s">
        <v>1038</v>
      </c>
      <c r="B157" s="3228" t="s">
        <v>385</v>
      </c>
      <c r="C157" s="3228"/>
      <c r="D157" s="3159"/>
      <c r="E157" s="3158" t="s">
        <v>374</v>
      </c>
      <c r="F157" s="499" t="str">
        <f>IFERROR(IF(ISBLANK(E157),"","Consumption (" &amp; VLOOKUP($E157,PO_Enrgy_1_Table,MATCH($C$16,PO_Enrgy_1_Hdr,0),FALSE) &amp; ")"),"")</f>
        <v>Consumption (kWh)</v>
      </c>
      <c r="G157" s="518" t="str">
        <f t="shared" ca="1" si="42"/>
        <v/>
      </c>
      <c r="H157" s="518" t="str">
        <f t="shared" ca="1" si="43"/>
        <v/>
      </c>
      <c r="I157" s="518" t="str">
        <f t="shared" ca="1" si="44"/>
        <v/>
      </c>
      <c r="J157" s="518" t="str">
        <f t="shared" ca="1" si="45"/>
        <v/>
      </c>
      <c r="K157" s="3160" t="str">
        <f t="shared" ca="1" si="49"/>
        <v/>
      </c>
      <c r="L157" s="3161"/>
      <c r="M157" s="3162"/>
      <c r="Q157" s="627">
        <f t="shared" si="46"/>
        <v>3.4120000000000001E-3</v>
      </c>
      <c r="R157" s="627">
        <f t="shared" si="47"/>
        <v>1.0713680000000001E-2</v>
      </c>
      <c r="S157" s="627" t="str">
        <f t="shared" ca="1" si="48"/>
        <v/>
      </c>
      <c r="BC157" s="804"/>
      <c r="BF157" s="983" t="s">
        <v>2073</v>
      </c>
      <c r="BG157" s="983" t="s">
        <v>1979</v>
      </c>
      <c r="BH157" s="983" t="s">
        <v>374</v>
      </c>
      <c r="BI157" s="983">
        <f>IF(BG157&lt;&gt;"",IFERROR(MATCH(BG157&amp;BH157,'Results from Trace'!$L$1:$L$21,0),""),"")</f>
        <v>13</v>
      </c>
    </row>
    <row r="158" spans="1:61" ht="16.2" customHeight="1" x14ac:dyDescent="0.25">
      <c r="A158" s="433" t="s">
        <v>1038</v>
      </c>
      <c r="B158" s="3228"/>
      <c r="C158" s="3228"/>
      <c r="D158" s="3159"/>
      <c r="E158" s="3158"/>
      <c r="F158" s="499" t="str">
        <f>IFERROR(IF(ISBLANK(E157),"","Demand (" &amp; VLOOKUP($E157,PO_Enrgy_1_Table,MATCH($E$16,PO_Enrgy_1_Hdr,0),FALSE) &amp; ")"),"")</f>
        <v>Demand (kW)</v>
      </c>
      <c r="G158" s="518" t="str">
        <f t="shared" ca="1" si="42"/>
        <v/>
      </c>
      <c r="H158" s="518" t="str">
        <f t="shared" ca="1" si="43"/>
        <v/>
      </c>
      <c r="I158" s="518" t="str">
        <f t="shared" ca="1" si="44"/>
        <v/>
      </c>
      <c r="J158" s="518" t="str">
        <f t="shared" ca="1" si="45"/>
        <v/>
      </c>
      <c r="K158" s="3160" t="str">
        <f t="shared" ca="1" si="49"/>
        <v/>
      </c>
      <c r="L158" s="3161"/>
      <c r="M158" s="3162"/>
      <c r="Q158" s="627" t="str">
        <f t="shared" si="46"/>
        <v/>
      </c>
      <c r="R158" s="627" t="str">
        <f t="shared" si="47"/>
        <v/>
      </c>
      <c r="S158" s="627" t="str">
        <f t="shared" si="48"/>
        <v/>
      </c>
      <c r="BC158" s="804"/>
      <c r="BF158" s="983" t="s">
        <v>2074</v>
      </c>
      <c r="BG158" s="983"/>
      <c r="BH158" s="983"/>
      <c r="BI158" s="983"/>
    </row>
    <row r="159" spans="1:61" ht="16.2" customHeight="1" x14ac:dyDescent="0.25">
      <c r="A159" s="433" t="s">
        <v>1038</v>
      </c>
      <c r="B159" s="3228" t="s">
        <v>384</v>
      </c>
      <c r="C159" s="3228"/>
      <c r="D159" s="3159" t="s">
        <v>375</v>
      </c>
      <c r="E159" s="3158" t="s">
        <v>374</v>
      </c>
      <c r="F159" s="499" t="str">
        <f>IFERROR(IF(ISBLANK(E159),"","Consumption (" &amp; VLOOKUP($E159,PO_Enrgy_1_Table,MATCH($C$16,PO_Enrgy_1_Hdr,0),FALSE) &amp; ")"),"")</f>
        <v>Consumption (kWh)</v>
      </c>
      <c r="G159" s="518" t="str">
        <f t="shared" ca="1" si="42"/>
        <v/>
      </c>
      <c r="H159" s="518" t="str">
        <f t="shared" ca="1" si="43"/>
        <v/>
      </c>
      <c r="I159" s="518" t="str">
        <f t="shared" ca="1" si="44"/>
        <v/>
      </c>
      <c r="J159" s="518" t="str">
        <f t="shared" ca="1" si="45"/>
        <v/>
      </c>
      <c r="K159" s="3160" t="str">
        <f t="shared" ca="1" si="49"/>
        <v/>
      </c>
      <c r="L159" s="3161"/>
      <c r="M159" s="3162"/>
      <c r="Q159" s="627">
        <f t="shared" si="46"/>
        <v>3.4120000000000001E-3</v>
      </c>
      <c r="R159" s="627">
        <f t="shared" si="47"/>
        <v>1.0713680000000001E-2</v>
      </c>
      <c r="S159" s="627" t="str">
        <f t="shared" ca="1" si="48"/>
        <v/>
      </c>
      <c r="BC159" s="804"/>
      <c r="BF159" s="983"/>
      <c r="BG159" s="983"/>
      <c r="BH159" s="983"/>
      <c r="BI159" s="983" t="str">
        <f>IF(BG159&lt;&gt;"",IFERROR(MATCH(BG159&amp;BH159,'Results from Trace'!$L$1:$L$21,0),""),"")</f>
        <v/>
      </c>
    </row>
    <row r="160" spans="1:61" ht="16.2" customHeight="1" x14ac:dyDescent="0.25">
      <c r="A160" s="433" t="s">
        <v>1038</v>
      </c>
      <c r="B160" s="3228"/>
      <c r="C160" s="3228"/>
      <c r="D160" s="3159"/>
      <c r="E160" s="3158"/>
      <c r="F160" s="499" t="str">
        <f>IFERROR(IF(ISBLANK(E159),"","Demand (" &amp; VLOOKUP($E159,PO_Enrgy_1_Table,MATCH($E$16,PO_Enrgy_1_Hdr,0),FALSE) &amp; ")"),"")</f>
        <v>Demand (kW)</v>
      </c>
      <c r="G160" s="518" t="str">
        <f t="shared" ca="1" si="42"/>
        <v/>
      </c>
      <c r="H160" s="518" t="str">
        <f t="shared" ca="1" si="43"/>
        <v/>
      </c>
      <c r="I160" s="518" t="str">
        <f t="shared" ca="1" si="44"/>
        <v/>
      </c>
      <c r="J160" s="518" t="str">
        <f t="shared" ca="1" si="45"/>
        <v/>
      </c>
      <c r="K160" s="3160" t="str">
        <f t="shared" ca="1" si="49"/>
        <v/>
      </c>
      <c r="L160" s="3161"/>
      <c r="M160" s="3162"/>
      <c r="Q160" s="627" t="str">
        <f t="shared" si="46"/>
        <v/>
      </c>
      <c r="R160" s="627" t="str">
        <f t="shared" si="47"/>
        <v/>
      </c>
      <c r="S160" s="627" t="str">
        <f t="shared" si="48"/>
        <v/>
      </c>
      <c r="BC160" s="804"/>
      <c r="BF160" s="983"/>
      <c r="BG160" s="983"/>
      <c r="BH160" s="983"/>
      <c r="BI160" s="983"/>
    </row>
    <row r="161" spans="1:61" ht="16.2" customHeight="1" x14ac:dyDescent="0.25">
      <c r="A161" s="433" t="s">
        <v>1038</v>
      </c>
      <c r="B161" s="3228" t="s">
        <v>383</v>
      </c>
      <c r="C161" s="3228"/>
      <c r="D161" s="3159"/>
      <c r="E161" s="3158" t="s">
        <v>388</v>
      </c>
      <c r="F161" s="499" t="str">
        <f>IFERROR(IF(ISBLANK(E161),"","Consumption (" &amp; VLOOKUP($E161,PO_Enrgy_1_Table,MATCH($C$16,PO_Enrgy_1_Hdr,0),FALSE) &amp; ")"),"")</f>
        <v>Consumption (therm)</v>
      </c>
      <c r="G161" s="518" t="str">
        <f t="shared" ca="1" si="42"/>
        <v/>
      </c>
      <c r="H161" s="518" t="str">
        <f t="shared" ca="1" si="43"/>
        <v/>
      </c>
      <c r="I161" s="518" t="str">
        <f t="shared" ca="1" si="44"/>
        <v/>
      </c>
      <c r="J161" s="518" t="str">
        <f t="shared" ca="1" si="45"/>
        <v/>
      </c>
      <c r="K161" s="3160" t="str">
        <f t="shared" ca="1" si="49"/>
        <v/>
      </c>
      <c r="L161" s="3161"/>
      <c r="M161" s="3162"/>
      <c r="Q161" s="627">
        <f t="shared" si="46"/>
        <v>0.1</v>
      </c>
      <c r="R161" s="627">
        <f t="shared" si="47"/>
        <v>0.10500000000000001</v>
      </c>
      <c r="S161" s="627" t="str">
        <f t="shared" ca="1" si="48"/>
        <v/>
      </c>
      <c r="BC161" s="804"/>
      <c r="BF161" s="983" t="s">
        <v>2075</v>
      </c>
      <c r="BG161" s="983" t="s">
        <v>1981</v>
      </c>
      <c r="BH161" s="983" t="s">
        <v>1976</v>
      </c>
      <c r="BI161" s="983">
        <f>IF(BG161&lt;&gt;"",IFERROR(MATCH(BG161&amp;BH161,'Results from Trace'!$L$1:$L$21,0),""),"")</f>
        <v>16</v>
      </c>
    </row>
    <row r="162" spans="1:61" ht="16.2" customHeight="1" x14ac:dyDescent="0.25">
      <c r="A162" s="433" t="s">
        <v>1038</v>
      </c>
      <c r="B162" s="3228"/>
      <c r="C162" s="3228"/>
      <c r="D162" s="3159"/>
      <c r="E162" s="3158"/>
      <c r="F162" s="499" t="str">
        <f>IFERROR(IF(ISBLANK(E161),"","Demand (" &amp; VLOOKUP($E161,PO_Enrgy_1_Table,MATCH($E$16,PO_Enrgy_1_Hdr,0),FALSE) &amp; ")"),"")</f>
        <v>Demand (Btuh x 10^6)</v>
      </c>
      <c r="G162" s="518" t="str">
        <f t="shared" ca="1" si="42"/>
        <v/>
      </c>
      <c r="H162" s="518" t="str">
        <f t="shared" ca="1" si="43"/>
        <v/>
      </c>
      <c r="I162" s="518" t="str">
        <f t="shared" ca="1" si="44"/>
        <v/>
      </c>
      <c r="J162" s="518" t="str">
        <f t="shared" ca="1" si="45"/>
        <v/>
      </c>
      <c r="K162" s="3160" t="str">
        <f t="shared" ca="1" si="49"/>
        <v/>
      </c>
      <c r="L162" s="3161"/>
      <c r="M162" s="3162"/>
      <c r="Q162" s="627" t="str">
        <f t="shared" si="46"/>
        <v/>
      </c>
      <c r="R162" s="627" t="str">
        <f t="shared" si="47"/>
        <v/>
      </c>
      <c r="S162" s="627" t="str">
        <f t="shared" si="48"/>
        <v/>
      </c>
      <c r="BC162" s="804"/>
      <c r="BF162" s="983"/>
      <c r="BG162" s="983"/>
      <c r="BH162" s="983"/>
      <c r="BI162" s="983"/>
    </row>
    <row r="163" spans="1:61" ht="16.2" customHeight="1" x14ac:dyDescent="0.25">
      <c r="A163" s="433" t="s">
        <v>1038</v>
      </c>
      <c r="B163" s="3228" t="s">
        <v>382</v>
      </c>
      <c r="C163" s="3228"/>
      <c r="D163" s="3159" t="s">
        <v>375</v>
      </c>
      <c r="E163" s="3158" t="s">
        <v>374</v>
      </c>
      <c r="F163" s="499" t="str">
        <f>IFERROR(IF(ISBLANK(E163),"","Consumption (" &amp; VLOOKUP($E163,PO_Enrgy_1_Table,MATCH($C$16,PO_Enrgy_1_Hdr,0),FALSE) &amp; ")"),"")</f>
        <v>Consumption (kWh)</v>
      </c>
      <c r="G163" s="518" t="str">
        <f t="shared" ca="1" si="42"/>
        <v/>
      </c>
      <c r="H163" s="518" t="str">
        <f t="shared" ca="1" si="43"/>
        <v/>
      </c>
      <c r="I163" s="518" t="str">
        <f t="shared" ca="1" si="44"/>
        <v/>
      </c>
      <c r="J163" s="518" t="str">
        <f t="shared" ca="1" si="45"/>
        <v/>
      </c>
      <c r="K163" s="3160" t="str">
        <f t="shared" ca="1" si="49"/>
        <v/>
      </c>
      <c r="L163" s="3161"/>
      <c r="M163" s="3162"/>
      <c r="Q163" s="627">
        <f t="shared" si="46"/>
        <v>3.4120000000000001E-3</v>
      </c>
      <c r="R163" s="627">
        <f t="shared" si="47"/>
        <v>1.0713680000000001E-2</v>
      </c>
      <c r="S163" s="627" t="str">
        <f t="shared" ca="1" si="48"/>
        <v/>
      </c>
      <c r="BC163" s="804"/>
      <c r="BF163" s="983" t="s">
        <v>2076</v>
      </c>
      <c r="BG163" s="983" t="s">
        <v>1980</v>
      </c>
      <c r="BH163" s="983" t="s">
        <v>374</v>
      </c>
      <c r="BI163" s="983">
        <f>IF(BG163&lt;&gt;"",IFERROR(MATCH(BG163&amp;BH163,'Results from Trace'!$L$1:$L$21,0),""),"")</f>
        <v>14</v>
      </c>
    </row>
    <row r="164" spans="1:61" ht="16.2" customHeight="1" x14ac:dyDescent="0.25">
      <c r="A164" s="433" t="s">
        <v>1038</v>
      </c>
      <c r="B164" s="3228"/>
      <c r="C164" s="3228"/>
      <c r="D164" s="3159"/>
      <c r="E164" s="3158"/>
      <c r="F164" s="499" t="str">
        <f>IFERROR(IF(ISBLANK(E163),"","Demand (" &amp; VLOOKUP($E163,PO_Enrgy_1_Table,MATCH($E$16,PO_Enrgy_1_Hdr,0),FALSE) &amp; ")"),"")</f>
        <v>Demand (kW)</v>
      </c>
      <c r="G164" s="518" t="str">
        <f t="shared" ca="1" si="42"/>
        <v/>
      </c>
      <c r="H164" s="518" t="str">
        <f t="shared" ca="1" si="43"/>
        <v/>
      </c>
      <c r="I164" s="518" t="str">
        <f t="shared" ca="1" si="44"/>
        <v/>
      </c>
      <c r="J164" s="518" t="str">
        <f t="shared" ca="1" si="45"/>
        <v/>
      </c>
      <c r="K164" s="3160" t="str">
        <f t="shared" ca="1" si="49"/>
        <v/>
      </c>
      <c r="L164" s="3161"/>
      <c r="M164" s="3162"/>
      <c r="Q164" s="627" t="str">
        <f t="shared" si="46"/>
        <v/>
      </c>
      <c r="R164" s="627" t="str">
        <f t="shared" si="47"/>
        <v/>
      </c>
      <c r="S164" s="627" t="str">
        <f t="shared" si="48"/>
        <v/>
      </c>
      <c r="BC164" s="804"/>
      <c r="BF164" s="983" t="s">
        <v>2077</v>
      </c>
      <c r="BG164" s="983"/>
      <c r="BH164" s="983"/>
      <c r="BI164" s="983"/>
    </row>
    <row r="165" spans="1:61" ht="16.2" customHeight="1" x14ac:dyDescent="0.25">
      <c r="A165" s="433" t="s">
        <v>1038</v>
      </c>
      <c r="B165" s="3228" t="s">
        <v>381</v>
      </c>
      <c r="C165" s="3228"/>
      <c r="D165" s="3159" t="s">
        <v>375</v>
      </c>
      <c r="E165" s="3158" t="s">
        <v>374</v>
      </c>
      <c r="F165" s="499" t="str">
        <f>IFERROR(IF(ISBLANK(E165),"","Consumption (" &amp; VLOOKUP($E165,PO_Enrgy_1_Table,MATCH($C$16,PO_Enrgy_1_Hdr,0),FALSE) &amp; ")"),"")</f>
        <v>Consumption (kWh)</v>
      </c>
      <c r="G165" s="518" t="str">
        <f t="shared" ca="1" si="42"/>
        <v/>
      </c>
      <c r="H165" s="518" t="str">
        <f t="shared" ca="1" si="43"/>
        <v/>
      </c>
      <c r="I165" s="518" t="str">
        <f t="shared" ca="1" si="44"/>
        <v/>
      </c>
      <c r="J165" s="518" t="str">
        <f t="shared" ca="1" si="45"/>
        <v/>
      </c>
      <c r="K165" s="3160" t="str">
        <f t="shared" ca="1" si="49"/>
        <v/>
      </c>
      <c r="L165" s="3161"/>
      <c r="M165" s="3162"/>
      <c r="Q165" s="627">
        <f t="shared" si="46"/>
        <v>3.4120000000000001E-3</v>
      </c>
      <c r="R165" s="627">
        <f t="shared" si="47"/>
        <v>1.0713680000000001E-2</v>
      </c>
      <c r="S165" s="627" t="str">
        <f t="shared" ca="1" si="48"/>
        <v/>
      </c>
      <c r="BC165" s="804"/>
      <c r="BF165" s="983"/>
      <c r="BG165" s="983"/>
      <c r="BH165" s="983"/>
      <c r="BI165" s="983" t="str">
        <f>IF(BG165&lt;&gt;"",IFERROR(MATCH(BG165&amp;BH165,'Results from Trace'!$L$1:$L$21,0),""),"")</f>
        <v/>
      </c>
    </row>
    <row r="166" spans="1:61" ht="16.2" customHeight="1" x14ac:dyDescent="0.25">
      <c r="A166" s="433" t="s">
        <v>1038</v>
      </c>
      <c r="B166" s="3228"/>
      <c r="C166" s="3228"/>
      <c r="D166" s="3159"/>
      <c r="E166" s="3158"/>
      <c r="F166" s="499" t="str">
        <f>IFERROR(IF(ISBLANK(E165),"","Demand (" &amp; VLOOKUP($E165,PO_Enrgy_1_Table,MATCH($E$16,PO_Enrgy_1_Hdr,0),FALSE) &amp; ")"),"")</f>
        <v>Demand (kW)</v>
      </c>
      <c r="G166" s="518" t="str">
        <f t="shared" ca="1" si="42"/>
        <v/>
      </c>
      <c r="H166" s="518" t="str">
        <f t="shared" ca="1" si="43"/>
        <v/>
      </c>
      <c r="I166" s="518" t="str">
        <f t="shared" ca="1" si="44"/>
        <v/>
      </c>
      <c r="J166" s="518" t="str">
        <f t="shared" ca="1" si="45"/>
        <v/>
      </c>
      <c r="K166" s="3160" t="str">
        <f t="shared" ca="1" si="49"/>
        <v/>
      </c>
      <c r="L166" s="3161"/>
      <c r="M166" s="3162"/>
      <c r="Q166" s="627" t="str">
        <f t="shared" si="46"/>
        <v/>
      </c>
      <c r="R166" s="627" t="str">
        <f t="shared" si="47"/>
        <v/>
      </c>
      <c r="S166" s="627" t="str">
        <f t="shared" si="48"/>
        <v/>
      </c>
      <c r="BC166" s="804"/>
      <c r="BF166" s="983"/>
      <c r="BG166" s="983"/>
      <c r="BH166" s="983"/>
      <c r="BI166" s="983"/>
    </row>
    <row r="167" spans="1:61" ht="16.2" customHeight="1" x14ac:dyDescent="0.25">
      <c r="A167" s="433" t="s">
        <v>1038</v>
      </c>
      <c r="B167" s="3228" t="s">
        <v>380</v>
      </c>
      <c r="C167" s="3228"/>
      <c r="D167" s="3159" t="s">
        <v>375</v>
      </c>
      <c r="E167" s="3158" t="s">
        <v>374</v>
      </c>
      <c r="F167" s="499" t="str">
        <f>IFERROR(IF(ISBLANK(E167),"","Consumption (" &amp; VLOOKUP($E167,PO_Enrgy_1_Table,MATCH($C$16,PO_Enrgy_1_Hdr,0),FALSE) &amp; ")"),"")</f>
        <v>Consumption (kWh)</v>
      </c>
      <c r="G167" s="518" t="str">
        <f t="shared" ca="1" si="42"/>
        <v/>
      </c>
      <c r="H167" s="518" t="str">
        <f t="shared" ca="1" si="43"/>
        <v/>
      </c>
      <c r="I167" s="518" t="str">
        <f t="shared" ca="1" si="44"/>
        <v/>
      </c>
      <c r="J167" s="518" t="str">
        <f t="shared" ca="1" si="45"/>
        <v/>
      </c>
      <c r="K167" s="3160" t="str">
        <f t="shared" ca="1" si="49"/>
        <v/>
      </c>
      <c r="L167" s="3161"/>
      <c r="M167" s="3162"/>
      <c r="Q167" s="627">
        <f t="shared" si="46"/>
        <v>3.4120000000000001E-3</v>
      </c>
      <c r="R167" s="627">
        <f t="shared" si="47"/>
        <v>1.0713680000000001E-2</v>
      </c>
      <c r="S167" s="627" t="str">
        <f t="shared" ca="1" si="48"/>
        <v/>
      </c>
      <c r="BC167" s="804"/>
      <c r="BF167" s="983"/>
      <c r="BG167" s="983"/>
      <c r="BH167" s="983"/>
      <c r="BI167" s="983" t="str">
        <f>IF(BG167&lt;&gt;"",IFERROR(MATCH(BG167&amp;BH167,'Results from Trace'!$L$1:$L$21,0),""),"")</f>
        <v/>
      </c>
    </row>
    <row r="168" spans="1:61" ht="16.2" customHeight="1" x14ac:dyDescent="0.25">
      <c r="A168" s="433" t="s">
        <v>1038</v>
      </c>
      <c r="B168" s="3228"/>
      <c r="C168" s="3228"/>
      <c r="D168" s="3159"/>
      <c r="E168" s="3158"/>
      <c r="F168" s="499" t="str">
        <f>IFERROR(IF(ISBLANK(E167),"","Demand (" &amp; VLOOKUP($E167,PO_Enrgy_1_Table,MATCH($E$16,PO_Enrgy_1_Hdr,0),FALSE) &amp; ")"),"")</f>
        <v>Demand (kW)</v>
      </c>
      <c r="G168" s="518" t="str">
        <f t="shared" ca="1" si="42"/>
        <v/>
      </c>
      <c r="H168" s="518" t="str">
        <f t="shared" ca="1" si="43"/>
        <v/>
      </c>
      <c r="I168" s="518" t="str">
        <f t="shared" ca="1" si="44"/>
        <v/>
      </c>
      <c r="J168" s="518" t="str">
        <f t="shared" ca="1" si="45"/>
        <v/>
      </c>
      <c r="K168" s="3160" t="str">
        <f t="shared" ca="1" si="49"/>
        <v/>
      </c>
      <c r="L168" s="3161"/>
      <c r="M168" s="3162"/>
      <c r="Q168" s="627" t="str">
        <f t="shared" si="46"/>
        <v/>
      </c>
      <c r="R168" s="627" t="str">
        <f t="shared" si="47"/>
        <v/>
      </c>
      <c r="S168" s="627" t="str">
        <f t="shared" si="48"/>
        <v/>
      </c>
      <c r="BC168" s="804"/>
      <c r="BF168" s="983"/>
      <c r="BG168" s="983"/>
      <c r="BH168" s="983"/>
      <c r="BI168" s="983"/>
    </row>
    <row r="169" spans="1:61" ht="16.2" customHeight="1" x14ac:dyDescent="0.25">
      <c r="A169" s="433" t="s">
        <v>1038</v>
      </c>
      <c r="B169" s="3228" t="s">
        <v>341</v>
      </c>
      <c r="C169" s="3228"/>
      <c r="D169" s="3159" t="s">
        <v>375</v>
      </c>
      <c r="E169" s="3158" t="s">
        <v>374</v>
      </c>
      <c r="F169" s="499" t="str">
        <f>IFERROR(IF(ISBLANK(E169),"","Consumption (" &amp; VLOOKUP($E169,PO_Enrgy_1_Table,MATCH($C$16,PO_Enrgy_1_Hdr,0),FALSE) &amp; ")"),"")</f>
        <v>Consumption (kWh)</v>
      </c>
      <c r="G169" s="518" t="str">
        <f t="shared" ca="1" si="42"/>
        <v/>
      </c>
      <c r="H169" s="518" t="str">
        <f t="shared" ca="1" si="43"/>
        <v/>
      </c>
      <c r="I169" s="518" t="str">
        <f t="shared" ca="1" si="44"/>
        <v/>
      </c>
      <c r="J169" s="518" t="str">
        <f t="shared" ca="1" si="45"/>
        <v/>
      </c>
      <c r="K169" s="3160" t="str">
        <f t="shared" ca="1" si="49"/>
        <v/>
      </c>
      <c r="L169" s="3161"/>
      <c r="M169" s="3162"/>
      <c r="Q169" s="627">
        <f t="shared" si="46"/>
        <v>3.4120000000000001E-3</v>
      </c>
      <c r="R169" s="627">
        <f t="shared" si="47"/>
        <v>1.0713680000000001E-2</v>
      </c>
      <c r="S169" s="627" t="str">
        <f t="shared" ca="1" si="48"/>
        <v/>
      </c>
      <c r="BC169" s="804"/>
      <c r="BF169" s="983"/>
      <c r="BG169" s="983"/>
      <c r="BH169" s="983"/>
      <c r="BI169" s="983" t="str">
        <f>IF(BG169&lt;&gt;"",IFERROR(MATCH(BG169&amp;BH169,'Results from Trace'!$L$1:$L$21,0),""),"")</f>
        <v/>
      </c>
    </row>
    <row r="170" spans="1:61" ht="16.2" customHeight="1" x14ac:dyDescent="0.25">
      <c r="A170" s="433" t="s">
        <v>1038</v>
      </c>
      <c r="B170" s="3228"/>
      <c r="C170" s="3228"/>
      <c r="D170" s="3159"/>
      <c r="E170" s="3158"/>
      <c r="F170" s="499" t="str">
        <f>IFERROR(IF(ISBLANK(E169),"","Demand (" &amp; VLOOKUP($E169,PO_Enrgy_1_Table,MATCH($E$16,PO_Enrgy_1_Hdr,0),FALSE) &amp; ")"),"")</f>
        <v>Demand (kW)</v>
      </c>
      <c r="G170" s="518" t="str">
        <f t="shared" ca="1" si="42"/>
        <v/>
      </c>
      <c r="H170" s="518" t="str">
        <f t="shared" ca="1" si="43"/>
        <v/>
      </c>
      <c r="I170" s="518" t="str">
        <f t="shared" ca="1" si="44"/>
        <v/>
      </c>
      <c r="J170" s="518" t="str">
        <f t="shared" ca="1" si="45"/>
        <v/>
      </c>
      <c r="K170" s="3160" t="str">
        <f t="shared" ca="1" si="49"/>
        <v/>
      </c>
      <c r="L170" s="3161"/>
      <c r="M170" s="3162"/>
      <c r="Q170" s="627" t="str">
        <f t="shared" si="46"/>
        <v/>
      </c>
      <c r="R170" s="627" t="str">
        <f t="shared" si="47"/>
        <v/>
      </c>
      <c r="S170" s="627" t="str">
        <f t="shared" si="48"/>
        <v/>
      </c>
      <c r="BC170" s="804"/>
      <c r="BF170" s="983"/>
      <c r="BG170" s="983"/>
      <c r="BH170" s="983"/>
      <c r="BI170" s="983"/>
    </row>
    <row r="171" spans="1:61" ht="16.2" customHeight="1" x14ac:dyDescent="0.25">
      <c r="A171" s="433" t="s">
        <v>1038</v>
      </c>
      <c r="B171" s="3228" t="s">
        <v>379</v>
      </c>
      <c r="C171" s="3228"/>
      <c r="D171" s="3159" t="s">
        <v>375</v>
      </c>
      <c r="E171" s="3158" t="s">
        <v>374</v>
      </c>
      <c r="F171" s="499" t="str">
        <f>IFERROR(IF(ISBLANK(E171),"","Consumption (" &amp; VLOOKUP($E171,PO_Enrgy_1_Table,MATCH($C$16,PO_Enrgy_1_Hdr,0),FALSE) &amp; ")"),"")</f>
        <v>Consumption (kWh)</v>
      </c>
      <c r="G171" s="518" t="str">
        <f t="shared" ca="1" si="42"/>
        <v/>
      </c>
      <c r="H171" s="518" t="str">
        <f t="shared" ca="1" si="43"/>
        <v/>
      </c>
      <c r="I171" s="518" t="str">
        <f t="shared" ca="1" si="44"/>
        <v/>
      </c>
      <c r="J171" s="518" t="str">
        <f t="shared" ca="1" si="45"/>
        <v/>
      </c>
      <c r="K171" s="3160" t="str">
        <f t="shared" ca="1" si="49"/>
        <v/>
      </c>
      <c r="L171" s="3161"/>
      <c r="M171" s="3162"/>
      <c r="Q171" s="627">
        <f t="shared" si="46"/>
        <v>3.4120000000000001E-3</v>
      </c>
      <c r="R171" s="627">
        <f t="shared" si="47"/>
        <v>1.0713680000000001E-2</v>
      </c>
      <c r="S171" s="627" t="str">
        <f t="shared" ca="1" si="48"/>
        <v/>
      </c>
      <c r="BC171" s="804"/>
      <c r="BF171" s="983"/>
      <c r="BG171" s="983"/>
      <c r="BH171" s="983"/>
      <c r="BI171" s="983" t="str">
        <f>IF(BG171&lt;&gt;"",IFERROR(MATCH(BG171&amp;BH171,'Results from Trace'!$L$1:$L$21,0),""),"")</f>
        <v/>
      </c>
    </row>
    <row r="172" spans="1:61" ht="16.2" customHeight="1" x14ac:dyDescent="0.25">
      <c r="A172" s="433" t="s">
        <v>1038</v>
      </c>
      <c r="B172" s="3228"/>
      <c r="C172" s="3228"/>
      <c r="D172" s="3159"/>
      <c r="E172" s="3158"/>
      <c r="F172" s="499" t="str">
        <f>IFERROR(IF(ISBLANK(E171),"","Demand (" &amp; VLOOKUP($E171,PO_Enrgy_1_Table,MATCH($E$16,PO_Enrgy_1_Hdr,0),FALSE) &amp; ")"),"")</f>
        <v>Demand (kW)</v>
      </c>
      <c r="G172" s="518" t="str">
        <f t="shared" ca="1" si="42"/>
        <v/>
      </c>
      <c r="H172" s="518" t="str">
        <f t="shared" ca="1" si="43"/>
        <v/>
      </c>
      <c r="I172" s="518" t="str">
        <f t="shared" ca="1" si="44"/>
        <v/>
      </c>
      <c r="J172" s="518" t="str">
        <f t="shared" ca="1" si="45"/>
        <v/>
      </c>
      <c r="K172" s="3160" t="str">
        <f t="shared" ca="1" si="49"/>
        <v/>
      </c>
      <c r="L172" s="3161"/>
      <c r="M172" s="3162"/>
      <c r="Q172" s="627" t="str">
        <f t="shared" si="46"/>
        <v/>
      </c>
      <c r="R172" s="627" t="str">
        <f t="shared" si="47"/>
        <v/>
      </c>
      <c r="S172" s="627" t="str">
        <f t="shared" si="48"/>
        <v/>
      </c>
      <c r="BC172" s="804"/>
      <c r="BF172" s="983"/>
      <c r="BG172" s="983"/>
      <c r="BH172" s="983"/>
      <c r="BI172" s="983"/>
    </row>
    <row r="173" spans="1:61" ht="16.2" customHeight="1" x14ac:dyDescent="0.25">
      <c r="A173" s="433" t="s">
        <v>1038</v>
      </c>
      <c r="B173" s="3228" t="s">
        <v>378</v>
      </c>
      <c r="C173" s="3228"/>
      <c r="D173" s="3159" t="s">
        <v>375</v>
      </c>
      <c r="E173" s="3158" t="s">
        <v>374</v>
      </c>
      <c r="F173" s="499" t="str">
        <f>IFERROR(IF(ISBLANK(E173),"","Consumption (" &amp; VLOOKUP($E173,PO_Enrgy_1_Table,MATCH($C$16,PO_Enrgy_1_Hdr,0),FALSE) &amp; ")"),"")</f>
        <v>Consumption (kWh)</v>
      </c>
      <c r="G173" s="518" t="str">
        <f t="shared" ca="1" si="42"/>
        <v/>
      </c>
      <c r="H173" s="518" t="str">
        <f t="shared" ca="1" si="43"/>
        <v/>
      </c>
      <c r="I173" s="518" t="str">
        <f t="shared" ca="1" si="44"/>
        <v/>
      </c>
      <c r="J173" s="518" t="str">
        <f t="shared" ca="1" si="45"/>
        <v/>
      </c>
      <c r="K173" s="3160" t="str">
        <f t="shared" ca="1" si="49"/>
        <v/>
      </c>
      <c r="L173" s="3161"/>
      <c r="M173" s="3162"/>
      <c r="Q173" s="627">
        <f t="shared" si="46"/>
        <v>3.4120000000000001E-3</v>
      </c>
      <c r="R173" s="627">
        <f t="shared" si="47"/>
        <v>1.0713680000000001E-2</v>
      </c>
      <c r="S173" s="627" t="str">
        <f t="shared" ca="1" si="48"/>
        <v/>
      </c>
      <c r="BC173" s="804"/>
      <c r="BF173" s="983"/>
      <c r="BG173" s="983"/>
      <c r="BH173" s="983"/>
      <c r="BI173" s="983" t="str">
        <f>IF(BG173&lt;&gt;"",IFERROR(MATCH(BG173&amp;BH173,'Results from Trace'!$L$1:$L$21,0),""),"")</f>
        <v/>
      </c>
    </row>
    <row r="174" spans="1:61" ht="16.2" customHeight="1" x14ac:dyDescent="0.25">
      <c r="A174" s="433" t="s">
        <v>1038</v>
      </c>
      <c r="B174" s="3228"/>
      <c r="C174" s="3228"/>
      <c r="D174" s="3159"/>
      <c r="E174" s="3158"/>
      <c r="F174" s="499" t="str">
        <f>IFERROR(IF(ISBLANK(E173),"","Demand (" &amp; VLOOKUP($E173,PO_Enrgy_1_Table,MATCH($E$16,PO_Enrgy_1_Hdr,0),FALSE) &amp; ")"),"")</f>
        <v>Demand (kW)</v>
      </c>
      <c r="G174" s="518" t="str">
        <f t="shared" ca="1" si="42"/>
        <v/>
      </c>
      <c r="H174" s="518" t="str">
        <f t="shared" ca="1" si="43"/>
        <v/>
      </c>
      <c r="I174" s="518" t="str">
        <f t="shared" ca="1" si="44"/>
        <v/>
      </c>
      <c r="J174" s="518" t="str">
        <f t="shared" ca="1" si="45"/>
        <v/>
      </c>
      <c r="K174" s="3160" t="str">
        <f t="shared" ca="1" si="49"/>
        <v/>
      </c>
      <c r="L174" s="3161"/>
      <c r="M174" s="3162"/>
      <c r="Q174" s="627" t="str">
        <f t="shared" si="46"/>
        <v/>
      </c>
      <c r="R174" s="627" t="str">
        <f t="shared" si="47"/>
        <v/>
      </c>
      <c r="S174" s="627" t="str">
        <f t="shared" si="48"/>
        <v/>
      </c>
      <c r="BC174" s="804"/>
      <c r="BF174" s="983"/>
      <c r="BG174" s="983"/>
      <c r="BH174" s="983"/>
      <c r="BI174" s="983"/>
    </row>
    <row r="175" spans="1:61" ht="16.2" customHeight="1" x14ac:dyDescent="0.25">
      <c r="A175" s="433" t="s">
        <v>1038</v>
      </c>
      <c r="B175" s="3228" t="s">
        <v>377</v>
      </c>
      <c r="C175" s="3228"/>
      <c r="D175" s="3159" t="s">
        <v>375</v>
      </c>
      <c r="E175" s="3158" t="s">
        <v>374</v>
      </c>
      <c r="F175" s="499" t="str">
        <f>IFERROR(IF(ISBLANK(E175),"","Consumption (" &amp; VLOOKUP($E175,PO_Enrgy_1_Table,MATCH($C$16,PO_Enrgy_1_Hdr,0),FALSE) &amp; ")"),"")</f>
        <v>Consumption (kWh)</v>
      </c>
      <c r="G175" s="518" t="str">
        <f t="shared" ca="1" si="42"/>
        <v/>
      </c>
      <c r="H175" s="518" t="str">
        <f t="shared" ca="1" si="43"/>
        <v/>
      </c>
      <c r="I175" s="518" t="str">
        <f t="shared" ca="1" si="44"/>
        <v/>
      </c>
      <c r="J175" s="518" t="str">
        <f t="shared" ca="1" si="45"/>
        <v/>
      </c>
      <c r="K175" s="3160" t="str">
        <f t="shared" ca="1" si="49"/>
        <v/>
      </c>
      <c r="L175" s="3161"/>
      <c r="M175" s="3162"/>
      <c r="Q175" s="627">
        <f t="shared" si="46"/>
        <v>3.4120000000000001E-3</v>
      </c>
      <c r="R175" s="627">
        <f t="shared" si="47"/>
        <v>1.0713680000000001E-2</v>
      </c>
      <c r="S175" s="627" t="str">
        <f t="shared" ca="1" si="48"/>
        <v/>
      </c>
      <c r="BC175" s="804"/>
      <c r="BF175" s="983"/>
      <c r="BG175" s="983"/>
      <c r="BH175" s="983"/>
      <c r="BI175" s="983" t="str">
        <f>IF(BG175&lt;&gt;"",IFERROR(MATCH(BG175&amp;BH175,'Results from Trace'!$L$1:$L$21,0),""),"")</f>
        <v/>
      </c>
    </row>
    <row r="176" spans="1:61" ht="16.2" customHeight="1" x14ac:dyDescent="0.25">
      <c r="A176" s="433" t="s">
        <v>1038</v>
      </c>
      <c r="B176" s="3228"/>
      <c r="C176" s="3228"/>
      <c r="D176" s="3159"/>
      <c r="E176" s="3158"/>
      <c r="F176" s="499" t="str">
        <f>IFERROR(IF(ISBLANK(E175),"","Demand (" &amp; VLOOKUP($E175,PO_Enrgy_1_Table,MATCH($E$16,PO_Enrgy_1_Hdr,0),FALSE) &amp; ")"),"")</f>
        <v>Demand (kW)</v>
      </c>
      <c r="G176" s="518" t="str">
        <f t="shared" ca="1" si="42"/>
        <v/>
      </c>
      <c r="H176" s="518" t="str">
        <f t="shared" ca="1" si="43"/>
        <v/>
      </c>
      <c r="I176" s="518" t="str">
        <f t="shared" ca="1" si="44"/>
        <v/>
      </c>
      <c r="J176" s="518" t="str">
        <f t="shared" ca="1" si="45"/>
        <v/>
      </c>
      <c r="K176" s="3160" t="str">
        <f t="shared" ca="1" si="49"/>
        <v/>
      </c>
      <c r="L176" s="3161"/>
      <c r="M176" s="3162"/>
      <c r="Q176" s="627" t="str">
        <f t="shared" si="46"/>
        <v/>
      </c>
      <c r="R176" s="627" t="str">
        <f t="shared" si="47"/>
        <v/>
      </c>
      <c r="S176" s="627" t="str">
        <f t="shared" si="48"/>
        <v/>
      </c>
      <c r="BC176" s="804"/>
      <c r="BF176" s="983"/>
      <c r="BG176" s="983"/>
      <c r="BH176" s="983"/>
      <c r="BI176" s="983"/>
    </row>
    <row r="177" spans="1:61" ht="16.2" customHeight="1" x14ac:dyDescent="0.25">
      <c r="A177" s="433" t="s">
        <v>1038</v>
      </c>
      <c r="B177" s="3228" t="s">
        <v>376</v>
      </c>
      <c r="C177" s="3228"/>
      <c r="D177" s="3159" t="s">
        <v>375</v>
      </c>
      <c r="E177" s="3158" t="s">
        <v>374</v>
      </c>
      <c r="F177" s="499" t="str">
        <f>IFERROR(IF(ISBLANK(E177),"","Consumption (" &amp; VLOOKUP($E177,PO_Enrgy_1_Table,MATCH($C$16,PO_Enrgy_1_Hdr,0),FALSE) &amp; ")"),"")</f>
        <v>Consumption (kWh)</v>
      </c>
      <c r="G177" s="518" t="str">
        <f t="shared" ca="1" si="42"/>
        <v/>
      </c>
      <c r="H177" s="518" t="str">
        <f t="shared" ca="1" si="43"/>
        <v/>
      </c>
      <c r="I177" s="518" t="str">
        <f t="shared" ca="1" si="44"/>
        <v/>
      </c>
      <c r="J177" s="518" t="str">
        <f t="shared" ca="1" si="45"/>
        <v/>
      </c>
      <c r="K177" s="3160" t="str">
        <f t="shared" ca="1" si="49"/>
        <v/>
      </c>
      <c r="L177" s="3161"/>
      <c r="M177" s="3162"/>
      <c r="Q177" s="627">
        <f t="shared" si="46"/>
        <v>3.4120000000000001E-3</v>
      </c>
      <c r="R177" s="627">
        <f t="shared" si="47"/>
        <v>1.0713680000000001E-2</v>
      </c>
      <c r="S177" s="627" t="str">
        <f t="shared" ca="1" si="48"/>
        <v/>
      </c>
      <c r="BC177" s="804"/>
      <c r="BF177" s="983"/>
      <c r="BG177" s="983"/>
      <c r="BH177" s="983"/>
      <c r="BI177" s="983" t="str">
        <f>IF(BG177&lt;&gt;"",IFERROR(MATCH(BG177&amp;BH177,'Results from Trace'!$L$1:$L$21,0),""),"")</f>
        <v/>
      </c>
    </row>
    <row r="178" spans="1:61" ht="16.2" customHeight="1" x14ac:dyDescent="0.25">
      <c r="A178" s="433" t="s">
        <v>1038</v>
      </c>
      <c r="B178" s="3228"/>
      <c r="C178" s="3228"/>
      <c r="D178" s="3159"/>
      <c r="E178" s="3158"/>
      <c r="F178" s="499" t="str">
        <f>IFERROR(IF(ISBLANK(E177),"","Demand (" &amp; VLOOKUP($E177,PO_Enrgy_1_Table,MATCH($E$16,PO_Enrgy_1_Hdr,0),FALSE) &amp; ")"),"")</f>
        <v>Demand (kW)</v>
      </c>
      <c r="G178" s="518" t="str">
        <f t="shared" ca="1" si="42"/>
        <v/>
      </c>
      <c r="H178" s="518" t="str">
        <f t="shared" ca="1" si="43"/>
        <v/>
      </c>
      <c r="I178" s="518" t="str">
        <f t="shared" ca="1" si="44"/>
        <v/>
      </c>
      <c r="J178" s="518" t="str">
        <f t="shared" ca="1" si="45"/>
        <v/>
      </c>
      <c r="K178" s="3160" t="str">
        <f t="shared" ca="1" si="49"/>
        <v/>
      </c>
      <c r="L178" s="3161"/>
      <c r="M178" s="3162"/>
      <c r="Q178" s="627" t="str">
        <f t="shared" si="46"/>
        <v/>
      </c>
      <c r="R178" s="627" t="str">
        <f t="shared" si="47"/>
        <v/>
      </c>
      <c r="S178" s="627" t="str">
        <f t="shared" si="48"/>
        <v/>
      </c>
      <c r="BC178" s="804"/>
      <c r="BF178" s="983"/>
      <c r="BG178" s="983"/>
      <c r="BH178" s="983"/>
      <c r="BI178" s="983"/>
    </row>
    <row r="179" spans="1:61" ht="16.2" customHeight="1" x14ac:dyDescent="0.25">
      <c r="A179" s="433" t="s">
        <v>1038</v>
      </c>
      <c r="B179" s="3228" t="s">
        <v>879</v>
      </c>
      <c r="C179" s="3228"/>
      <c r="D179" s="3159"/>
      <c r="E179" s="3158" t="s">
        <v>374</v>
      </c>
      <c r="F179" s="499" t="str">
        <f>IFERROR(IF(ISBLANK(E179),"","Consumption (" &amp; VLOOKUP($E179,PO_Enrgy_1_Table,MATCH($C$16,PO_Enrgy_1_Hdr,0),FALSE) &amp; ")"),"")</f>
        <v>Consumption (kWh)</v>
      </c>
      <c r="G179" s="518" t="str">
        <f t="shared" ca="1" si="42"/>
        <v/>
      </c>
      <c r="H179" s="518" t="str">
        <f t="shared" ca="1" si="43"/>
        <v/>
      </c>
      <c r="I179" s="518" t="str">
        <f t="shared" ca="1" si="44"/>
        <v/>
      </c>
      <c r="J179" s="518" t="str">
        <f t="shared" ca="1" si="45"/>
        <v/>
      </c>
      <c r="K179" s="3160" t="str">
        <f t="shared" ca="1" si="49"/>
        <v/>
      </c>
      <c r="L179" s="3161"/>
      <c r="M179" s="3162"/>
      <c r="Q179" s="627">
        <f t="shared" si="46"/>
        <v>3.4120000000000001E-3</v>
      </c>
      <c r="R179" s="627">
        <f t="shared" si="47"/>
        <v>1.0713680000000001E-2</v>
      </c>
      <c r="S179" s="627" t="str">
        <f t="shared" ca="1" si="48"/>
        <v/>
      </c>
      <c r="BC179" s="804"/>
      <c r="BF179" s="983" t="s">
        <v>2078</v>
      </c>
      <c r="BG179" s="983"/>
      <c r="BH179" s="983"/>
      <c r="BI179" s="983" t="str">
        <f>IF(BG179&lt;&gt;"",IFERROR(MATCH(BG179&amp;BH179,'Results from Trace'!$L$1:$L$21,0),""),"")</f>
        <v/>
      </c>
    </row>
    <row r="180" spans="1:61" ht="16.2" customHeight="1" x14ac:dyDescent="0.25">
      <c r="A180" s="433" t="s">
        <v>1038</v>
      </c>
      <c r="B180" s="3228"/>
      <c r="C180" s="3228"/>
      <c r="D180" s="3159"/>
      <c r="E180" s="3158"/>
      <c r="F180" s="499" t="str">
        <f>IFERROR(IF(ISBLANK(E179),"","Demand (" &amp; VLOOKUP($E179,PO_Enrgy_1_Table,MATCH($E$16,PO_Enrgy_1_Hdr,0),FALSE) &amp; ")"),"")</f>
        <v>Demand (kW)</v>
      </c>
      <c r="G180" s="518" t="str">
        <f t="shared" ca="1" si="42"/>
        <v/>
      </c>
      <c r="H180" s="518" t="str">
        <f t="shared" ca="1" si="43"/>
        <v/>
      </c>
      <c r="I180" s="518" t="str">
        <f t="shared" ca="1" si="44"/>
        <v/>
      </c>
      <c r="J180" s="518" t="str">
        <f t="shared" ca="1" si="45"/>
        <v/>
      </c>
      <c r="K180" s="3160" t="str">
        <f t="shared" ca="1" si="49"/>
        <v/>
      </c>
      <c r="L180" s="3161"/>
      <c r="M180" s="3162"/>
      <c r="Q180" s="627" t="str">
        <f t="shared" si="46"/>
        <v/>
      </c>
      <c r="R180" s="627" t="str">
        <f t="shared" si="47"/>
        <v/>
      </c>
      <c r="S180" s="627" t="str">
        <f t="shared" si="48"/>
        <v/>
      </c>
      <c r="BC180" s="804"/>
      <c r="BF180" s="983" t="s">
        <v>2079</v>
      </c>
      <c r="BG180" s="983"/>
      <c r="BH180" s="983"/>
      <c r="BI180" s="983"/>
    </row>
    <row r="181" spans="1:61" ht="16.2" customHeight="1" x14ac:dyDescent="0.25">
      <c r="A181" s="433" t="s">
        <v>1038</v>
      </c>
      <c r="B181" s="3158" t="s">
        <v>1975</v>
      </c>
      <c r="C181" s="3158"/>
      <c r="D181" s="3159"/>
      <c r="E181" s="3158" t="s">
        <v>374</v>
      </c>
      <c r="F181" s="499" t="str">
        <f>IFERROR(IF(ISBLANK(E181),"","Consumption (" &amp; VLOOKUP($E181,PO_Enrgy_1_Table,MATCH($C$16,PO_Enrgy_1_Hdr,0),FALSE) &amp; ")"),"")</f>
        <v>Consumption (kWh)</v>
      </c>
      <c r="G181" s="518" t="str">
        <f t="shared" ca="1" si="42"/>
        <v/>
      </c>
      <c r="H181" s="518" t="str">
        <f t="shared" ca="1" si="43"/>
        <v/>
      </c>
      <c r="I181" s="518" t="str">
        <f t="shared" ca="1" si="44"/>
        <v/>
      </c>
      <c r="J181" s="518" t="str">
        <f t="shared" ca="1" si="45"/>
        <v/>
      </c>
      <c r="K181" s="3160" t="str">
        <f t="shared" ca="1" si="49"/>
        <v/>
      </c>
      <c r="L181" s="3161"/>
      <c r="M181" s="3162"/>
      <c r="Q181" s="627">
        <f t="shared" si="46"/>
        <v>3.4120000000000001E-3</v>
      </c>
      <c r="R181" s="627">
        <f t="shared" si="47"/>
        <v>1.0713680000000001E-2</v>
      </c>
      <c r="S181" s="627" t="str">
        <f t="shared" ca="1" si="48"/>
        <v/>
      </c>
      <c r="BC181" s="804"/>
      <c r="BF181" s="983" t="s">
        <v>2080</v>
      </c>
      <c r="BG181" s="983"/>
      <c r="BH181" s="983"/>
      <c r="BI181" s="983" t="str">
        <f>IF(BG181&lt;&gt;"",IFERROR(MATCH(BG181&amp;BH181,'Results from Trace'!$L$1:$L$21,0),""),"")</f>
        <v/>
      </c>
    </row>
    <row r="182" spans="1:61" ht="16.2" customHeight="1" x14ac:dyDescent="0.25">
      <c r="A182" s="433" t="s">
        <v>1038</v>
      </c>
      <c r="B182" s="3158"/>
      <c r="C182" s="3158"/>
      <c r="D182" s="3159"/>
      <c r="E182" s="3158"/>
      <c r="F182" s="499" t="str">
        <f>IFERROR(IF(ISBLANK(E181),"","Demand (" &amp; VLOOKUP($E181,PO_Enrgy_1_Table,MATCH($E$16,PO_Enrgy_1_Hdr,0),FALSE) &amp; ")"),"")</f>
        <v>Demand (kW)</v>
      </c>
      <c r="G182" s="518" t="str">
        <f t="shared" ca="1" si="42"/>
        <v/>
      </c>
      <c r="H182" s="518" t="str">
        <f t="shared" ca="1" si="43"/>
        <v/>
      </c>
      <c r="I182" s="518" t="str">
        <f t="shared" ca="1" si="44"/>
        <v/>
      </c>
      <c r="J182" s="518" t="str">
        <f t="shared" ca="1" si="45"/>
        <v/>
      </c>
      <c r="K182" s="3160" t="str">
        <f t="shared" ca="1" si="49"/>
        <v/>
      </c>
      <c r="L182" s="3161"/>
      <c r="M182" s="3162"/>
      <c r="Q182" s="627" t="str">
        <f t="shared" si="46"/>
        <v/>
      </c>
      <c r="R182" s="627" t="str">
        <f t="shared" si="47"/>
        <v/>
      </c>
      <c r="S182" s="627" t="str">
        <f t="shared" si="48"/>
        <v/>
      </c>
      <c r="BC182" s="804"/>
      <c r="BF182" s="983" t="s">
        <v>2081</v>
      </c>
      <c r="BG182" s="983"/>
      <c r="BH182" s="983"/>
      <c r="BI182" s="983"/>
    </row>
    <row r="183" spans="1:61" ht="16.2" customHeight="1" x14ac:dyDescent="0.25">
      <c r="A183" s="433" t="s">
        <v>1038</v>
      </c>
      <c r="B183" s="3158" t="s">
        <v>2089</v>
      </c>
      <c r="C183" s="3158"/>
      <c r="D183" s="3159"/>
      <c r="E183" s="3158" t="s">
        <v>388</v>
      </c>
      <c r="F183" s="499" t="str">
        <f>IFERROR(IF(ISBLANK(E183),"","Consumption (" &amp; VLOOKUP($E183,PO_Enrgy_1_Table,MATCH($C$16,PO_Enrgy_1_Hdr,0),FALSE) &amp; ")"),"")</f>
        <v>Consumption (therm)</v>
      </c>
      <c r="G183" s="518" t="str">
        <f t="shared" ca="1" si="42"/>
        <v/>
      </c>
      <c r="H183" s="518" t="str">
        <f t="shared" ca="1" si="43"/>
        <v/>
      </c>
      <c r="I183" s="518" t="str">
        <f t="shared" ca="1" si="44"/>
        <v/>
      </c>
      <c r="J183" s="518" t="str">
        <f t="shared" ca="1" si="45"/>
        <v/>
      </c>
      <c r="K183" s="3160" t="str">
        <f t="shared" ca="1" si="49"/>
        <v/>
      </c>
      <c r="L183" s="3161"/>
      <c r="M183" s="3162"/>
      <c r="Q183" s="627">
        <f t="shared" si="46"/>
        <v>0.1</v>
      </c>
      <c r="R183" s="627">
        <f t="shared" si="47"/>
        <v>0.10500000000000001</v>
      </c>
      <c r="S183" s="627" t="str">
        <f t="shared" ca="1" si="48"/>
        <v/>
      </c>
      <c r="BC183" s="804"/>
      <c r="BF183" s="983" t="s">
        <v>2082</v>
      </c>
      <c r="BG183" s="983"/>
      <c r="BH183" s="983"/>
      <c r="BI183" s="983" t="str">
        <f>IF(BG183&lt;&gt;"",IFERROR(MATCH(BG183&amp;BH183,'Results from Trace'!$L$1:$L$21,0),""),"")</f>
        <v/>
      </c>
    </row>
    <row r="184" spans="1:61" ht="15.75" customHeight="1" x14ac:dyDescent="0.25">
      <c r="A184" s="433" t="s">
        <v>1038</v>
      </c>
      <c r="B184" s="3158"/>
      <c r="C184" s="3158"/>
      <c r="D184" s="3159"/>
      <c r="E184" s="3158"/>
      <c r="F184" s="499" t="str">
        <f>IFERROR(IF(ISBLANK(E183),"","Demand (" &amp; VLOOKUP($E183,PO_Enrgy_1_Table,MATCH($E$16,PO_Enrgy_1_Hdr,0),FALSE) &amp; ")"),"")</f>
        <v>Demand (Btuh x 10^6)</v>
      </c>
      <c r="G184" s="518" t="str">
        <f t="shared" ca="1" si="42"/>
        <v/>
      </c>
      <c r="H184" s="518" t="str">
        <f t="shared" ca="1" si="43"/>
        <v/>
      </c>
      <c r="I184" s="518" t="str">
        <f t="shared" ca="1" si="44"/>
        <v/>
      </c>
      <c r="J184" s="518" t="str">
        <f t="shared" ca="1" si="45"/>
        <v/>
      </c>
      <c r="K184" s="3160" t="str">
        <f t="shared" ca="1" si="49"/>
        <v/>
      </c>
      <c r="L184" s="3161"/>
      <c r="M184" s="3162"/>
      <c r="Q184" s="627" t="str">
        <f t="shared" si="46"/>
        <v/>
      </c>
      <c r="R184" s="627" t="str">
        <f t="shared" si="47"/>
        <v/>
      </c>
      <c r="S184" s="627" t="str">
        <f t="shared" si="48"/>
        <v/>
      </c>
      <c r="BC184" s="804"/>
      <c r="BF184" s="983"/>
      <c r="BG184" s="983"/>
      <c r="BH184" s="983"/>
      <c r="BI184" s="983"/>
    </row>
    <row r="185" spans="1:61" ht="16.2" customHeight="1" x14ac:dyDescent="0.25">
      <c r="A185" s="433" t="s">
        <v>1038</v>
      </c>
      <c r="B185" s="3158" t="s">
        <v>2090</v>
      </c>
      <c r="C185" s="3158"/>
      <c r="D185" s="3159"/>
      <c r="E185" s="3158" t="s">
        <v>388</v>
      </c>
      <c r="F185" s="499" t="str">
        <f>IFERROR(IF(ISBLANK(E185),"","Consumption (" &amp; VLOOKUP($E185,PO_Enrgy_1_Table,MATCH($C$16,PO_Enrgy_1_Hdr,0),FALSE) &amp; ")"),"")</f>
        <v>Consumption (therm)</v>
      </c>
      <c r="G185" s="518" t="str">
        <f t="shared" ca="1" si="42"/>
        <v/>
      </c>
      <c r="H185" s="518" t="str">
        <f t="shared" ca="1" si="43"/>
        <v/>
      </c>
      <c r="I185" s="518" t="str">
        <f t="shared" ca="1" si="44"/>
        <v/>
      </c>
      <c r="J185" s="518" t="str">
        <f t="shared" ca="1" si="45"/>
        <v/>
      </c>
      <c r="K185" s="3160" t="str">
        <f t="shared" ca="1" si="49"/>
        <v/>
      </c>
      <c r="L185" s="3161"/>
      <c r="M185" s="3162"/>
      <c r="Q185" s="627">
        <f t="shared" si="46"/>
        <v>0.1</v>
      </c>
      <c r="R185" s="627">
        <f t="shared" si="47"/>
        <v>0.10500000000000001</v>
      </c>
      <c r="S185" s="627" t="str">
        <f t="shared" ca="1" si="48"/>
        <v/>
      </c>
      <c r="BC185" s="804"/>
      <c r="BF185" s="983" t="s">
        <v>2083</v>
      </c>
      <c r="BG185" s="983"/>
      <c r="BH185" s="983"/>
      <c r="BI185" s="983" t="str">
        <f>IF(BG185&lt;&gt;"",IFERROR(MATCH(BG185&amp;BH185,'Results from Trace'!$L$1:$L$21,0),""),"")</f>
        <v/>
      </c>
    </row>
    <row r="186" spans="1:61" ht="16.5" customHeight="1" x14ac:dyDescent="0.25">
      <c r="A186" s="433" t="s">
        <v>1038</v>
      </c>
      <c r="B186" s="3158"/>
      <c r="C186" s="3158"/>
      <c r="D186" s="3159"/>
      <c r="E186" s="3158"/>
      <c r="F186" s="499" t="str">
        <f>IFERROR(IF(ISBLANK(E185),"","Demand (" &amp; VLOOKUP($E185,PO_Enrgy_1_Table,MATCH($E$16,PO_Enrgy_1_Hdr,0),FALSE) &amp; ")"),"")</f>
        <v>Demand (Btuh x 10^6)</v>
      </c>
      <c r="G186" s="518" t="str">
        <f t="shared" ca="1" si="42"/>
        <v/>
      </c>
      <c r="H186" s="518" t="str">
        <f t="shared" ca="1" si="43"/>
        <v/>
      </c>
      <c r="I186" s="518" t="str">
        <f t="shared" ca="1" si="44"/>
        <v/>
      </c>
      <c r="J186" s="518" t="str">
        <f t="shared" ca="1" si="45"/>
        <v/>
      </c>
      <c r="K186" s="3160" t="str">
        <f t="shared" ca="1" si="49"/>
        <v/>
      </c>
      <c r="L186" s="3161"/>
      <c r="M186" s="3162"/>
      <c r="Q186" s="627" t="str">
        <f t="shared" si="46"/>
        <v/>
      </c>
      <c r="R186" s="627" t="str">
        <f t="shared" si="47"/>
        <v/>
      </c>
      <c r="S186" s="627" t="str">
        <f t="shared" si="48"/>
        <v/>
      </c>
      <c r="BC186" s="804"/>
      <c r="BF186" s="983"/>
      <c r="BG186" s="983"/>
      <c r="BH186" s="983"/>
      <c r="BI186" s="983"/>
    </row>
    <row r="187" spans="1:61" ht="16.2" customHeight="1" x14ac:dyDescent="0.25">
      <c r="A187" s="433" t="s">
        <v>1038</v>
      </c>
      <c r="B187" s="3158"/>
      <c r="C187" s="3158"/>
      <c r="D187" s="3159"/>
      <c r="E187" s="3158"/>
      <c r="F187" s="499" t="str">
        <f>IFERROR(IF(ISBLANK(E187),"","Consumption (" &amp; VLOOKUP($E187,PO_Enrgy_1_Table,MATCH($C$16,PO_Enrgy_1_Hdr,0),FALSE) &amp; ")"),"")</f>
        <v/>
      </c>
      <c r="G187" s="518" t="str">
        <f t="shared" ca="1" si="42"/>
        <v/>
      </c>
      <c r="H187" s="518" t="str">
        <f t="shared" ca="1" si="43"/>
        <v/>
      </c>
      <c r="I187" s="518" t="str">
        <f t="shared" ca="1" si="44"/>
        <v/>
      </c>
      <c r="J187" s="518" t="str">
        <f t="shared" ca="1" si="45"/>
        <v/>
      </c>
      <c r="K187" s="3160" t="str">
        <f t="shared" ca="1" si="49"/>
        <v/>
      </c>
      <c r="L187" s="3161"/>
      <c r="M187" s="3162"/>
      <c r="Q187" s="627" t="str">
        <f t="shared" si="46"/>
        <v/>
      </c>
      <c r="R187" s="627" t="str">
        <f t="shared" si="47"/>
        <v/>
      </c>
      <c r="S187" s="627" t="str">
        <f t="shared" si="48"/>
        <v/>
      </c>
      <c r="BC187" s="804"/>
      <c r="BF187" s="983"/>
      <c r="BG187" s="983"/>
      <c r="BH187" s="983"/>
      <c r="BI187" s="983" t="str">
        <f>IF(BG187&lt;&gt;"",IFERROR(MATCH(BG187&amp;BH187,'Results from Trace'!$L$1:$L$21,0),""),"")</f>
        <v/>
      </c>
    </row>
    <row r="188" spans="1:61" ht="15.75" customHeight="1" x14ac:dyDescent="0.25">
      <c r="A188" s="433" t="s">
        <v>1038</v>
      </c>
      <c r="B188" s="3158"/>
      <c r="C188" s="3158"/>
      <c r="D188" s="3159"/>
      <c r="E188" s="3158"/>
      <c r="F188" s="499" t="str">
        <f>IFERROR(IF(ISBLANK(E187),"","Demand (" &amp; VLOOKUP($E187,PO_Enrgy_1_Table,MATCH($E$16,PO_Enrgy_1_Hdr,0),FALSE) &amp; ")"),"")</f>
        <v/>
      </c>
      <c r="G188" s="518" t="str">
        <f t="shared" ca="1" si="42"/>
        <v/>
      </c>
      <c r="H188" s="518" t="str">
        <f t="shared" ca="1" si="43"/>
        <v/>
      </c>
      <c r="I188" s="518" t="str">
        <f t="shared" ca="1" si="44"/>
        <v/>
      </c>
      <c r="J188" s="518" t="str">
        <f t="shared" ca="1" si="45"/>
        <v/>
      </c>
      <c r="K188" s="3160" t="str">
        <f t="shared" ca="1" si="49"/>
        <v/>
      </c>
      <c r="L188" s="3161"/>
      <c r="M188" s="3162"/>
      <c r="Q188" s="627" t="str">
        <f t="shared" si="46"/>
        <v/>
      </c>
      <c r="R188" s="627" t="str">
        <f t="shared" si="47"/>
        <v/>
      </c>
      <c r="S188" s="627" t="str">
        <f t="shared" si="48"/>
        <v/>
      </c>
      <c r="BC188" s="804"/>
      <c r="BF188" s="983"/>
      <c r="BG188" s="983"/>
      <c r="BH188" s="983"/>
      <c r="BI188" s="983"/>
    </row>
    <row r="189" spans="1:61" ht="16.2" customHeight="1" x14ac:dyDescent="0.25">
      <c r="A189" s="433" t="s">
        <v>1038</v>
      </c>
      <c r="B189" s="3158"/>
      <c r="C189" s="3158"/>
      <c r="D189" s="3159"/>
      <c r="E189" s="3158"/>
      <c r="F189" s="499" t="str">
        <f>IFERROR(IF(ISBLANK(E189),"","Consumption (" &amp; VLOOKUP($E189,PO_Enrgy_1_Table,MATCH($C$16,PO_Enrgy_1_Hdr,0),FALSE) &amp; ")"),"")</f>
        <v/>
      </c>
      <c r="G189" s="518" t="str">
        <f t="shared" ca="1" si="42"/>
        <v/>
      </c>
      <c r="H189" s="518" t="str">
        <f t="shared" ca="1" si="43"/>
        <v/>
      </c>
      <c r="I189" s="518" t="str">
        <f t="shared" ca="1" si="44"/>
        <v/>
      </c>
      <c r="J189" s="518" t="str">
        <f t="shared" ca="1" si="45"/>
        <v/>
      </c>
      <c r="K189" s="3160" t="str">
        <f t="shared" ca="1" si="49"/>
        <v/>
      </c>
      <c r="L189" s="3161"/>
      <c r="M189" s="3162"/>
      <c r="Q189" s="627" t="str">
        <f t="shared" si="46"/>
        <v/>
      </c>
      <c r="R189" s="627" t="str">
        <f t="shared" si="47"/>
        <v/>
      </c>
      <c r="S189" s="627" t="str">
        <f t="shared" si="48"/>
        <v/>
      </c>
      <c r="BC189" s="804"/>
      <c r="BF189" s="983"/>
      <c r="BG189" s="983"/>
      <c r="BH189" s="983"/>
      <c r="BI189" s="983" t="str">
        <f>IF(BG189&lt;&gt;"",IFERROR(MATCH(BG189&amp;BH189,'Results from Trace'!$L$1:$L$21,0),""),"")</f>
        <v/>
      </c>
    </row>
    <row r="190" spans="1:61" ht="16.5" customHeight="1" x14ac:dyDescent="0.25">
      <c r="A190" s="433" t="s">
        <v>1038</v>
      </c>
      <c r="B190" s="3158"/>
      <c r="C190" s="3158"/>
      <c r="D190" s="3159"/>
      <c r="E190" s="3158"/>
      <c r="F190" s="499" t="str">
        <f>IFERROR(IF(ISBLANK(E189),"","Demand (" &amp; VLOOKUP($E189,PO_Enrgy_1_Table,MATCH($E$16,PO_Enrgy_1_Hdr,0),FALSE) &amp; ")"),"")</f>
        <v/>
      </c>
      <c r="G190" s="518" t="str">
        <f t="shared" ca="1" si="42"/>
        <v/>
      </c>
      <c r="H190" s="518" t="str">
        <f t="shared" ca="1" si="43"/>
        <v/>
      </c>
      <c r="I190" s="518" t="str">
        <f t="shared" ca="1" si="44"/>
        <v/>
      </c>
      <c r="J190" s="518" t="str">
        <f t="shared" ca="1" si="45"/>
        <v/>
      </c>
      <c r="K190" s="3160" t="str">
        <f t="shared" ca="1" si="49"/>
        <v/>
      </c>
      <c r="L190" s="3161"/>
      <c r="M190" s="3162"/>
      <c r="Q190" s="627" t="str">
        <f t="shared" si="46"/>
        <v/>
      </c>
      <c r="R190" s="627" t="str">
        <f t="shared" si="47"/>
        <v/>
      </c>
      <c r="S190" s="627" t="str">
        <f t="shared" si="48"/>
        <v/>
      </c>
      <c r="BC190" s="804"/>
      <c r="BF190" s="983"/>
      <c r="BG190" s="983"/>
      <c r="BH190" s="983"/>
      <c r="BI190" s="983"/>
    </row>
    <row r="191" spans="1:61" ht="16.2" customHeight="1" x14ac:dyDescent="0.25">
      <c r="A191" s="433" t="s">
        <v>1038</v>
      </c>
      <c r="B191" s="3158"/>
      <c r="C191" s="3158"/>
      <c r="D191" s="3159"/>
      <c r="E191" s="3158"/>
      <c r="F191" s="499" t="str">
        <f>IFERROR(IF(ISBLANK(E191),"","Consumption (" &amp; VLOOKUP($E191,PO_Enrgy_1_Table,MATCH($C$16,PO_Enrgy_1_Hdr,0),FALSE) &amp; ")"),"")</f>
        <v/>
      </c>
      <c r="G191" s="518" t="str">
        <f t="shared" ca="1" si="42"/>
        <v/>
      </c>
      <c r="H191" s="518" t="str">
        <f t="shared" ca="1" si="43"/>
        <v/>
      </c>
      <c r="I191" s="518" t="str">
        <f t="shared" ca="1" si="44"/>
        <v/>
      </c>
      <c r="J191" s="518" t="str">
        <f t="shared" ca="1" si="45"/>
        <v/>
      </c>
      <c r="K191" s="3160" t="str">
        <f t="shared" ca="1" si="49"/>
        <v/>
      </c>
      <c r="L191" s="3161"/>
      <c r="M191" s="3162"/>
      <c r="Q191" s="627" t="str">
        <f t="shared" si="46"/>
        <v/>
      </c>
      <c r="R191" s="627" t="str">
        <f t="shared" si="47"/>
        <v/>
      </c>
      <c r="S191" s="627" t="str">
        <f t="shared" si="48"/>
        <v/>
      </c>
      <c r="BC191" s="804"/>
      <c r="BF191" s="983"/>
      <c r="BG191" s="983"/>
      <c r="BH191" s="983"/>
      <c r="BI191" s="983" t="str">
        <f>IF(BG191&lt;&gt;"",IFERROR(MATCH(BG191&amp;BH191,'Results from Trace'!$L$1:$L$21,0),""),"")</f>
        <v/>
      </c>
    </row>
    <row r="192" spans="1:61" ht="15.75" customHeight="1" x14ac:dyDescent="0.25">
      <c r="A192" s="433" t="s">
        <v>1038</v>
      </c>
      <c r="B192" s="3158"/>
      <c r="C192" s="3158"/>
      <c r="D192" s="3159"/>
      <c r="E192" s="3158"/>
      <c r="F192" s="499" t="str">
        <f>IFERROR(IF(ISBLANK(E191),"","Demand (" &amp; VLOOKUP($E191,PO_Enrgy_1_Table,MATCH($E$16,PO_Enrgy_1_Hdr,0),FALSE) &amp; ")"),"")</f>
        <v/>
      </c>
      <c r="G192" s="518" t="str">
        <f t="shared" ca="1" si="42"/>
        <v/>
      </c>
      <c r="H192" s="518" t="str">
        <f t="shared" ca="1" si="43"/>
        <v/>
      </c>
      <c r="I192" s="518" t="str">
        <f t="shared" ca="1" si="44"/>
        <v/>
      </c>
      <c r="J192" s="518" t="str">
        <f t="shared" ca="1" si="45"/>
        <v/>
      </c>
      <c r="K192" s="3160" t="str">
        <f t="shared" ca="1" si="49"/>
        <v/>
      </c>
      <c r="L192" s="3161"/>
      <c r="M192" s="3162"/>
      <c r="Q192" s="627" t="str">
        <f t="shared" si="46"/>
        <v/>
      </c>
      <c r="R192" s="627" t="str">
        <f t="shared" si="47"/>
        <v/>
      </c>
      <c r="S192" s="627" t="str">
        <f t="shared" si="48"/>
        <v/>
      </c>
      <c r="BC192" s="804"/>
      <c r="BF192" s="983"/>
      <c r="BG192" s="983"/>
      <c r="BH192" s="983"/>
      <c r="BI192" s="983"/>
    </row>
    <row r="193" spans="1:61" ht="18.75" hidden="1" customHeight="1" x14ac:dyDescent="0.25">
      <c r="A193" s="433" t="s">
        <v>1038</v>
      </c>
      <c r="B193" s="469"/>
      <c r="C193" s="469"/>
      <c r="D193" s="515"/>
      <c r="E193" s="469" t="s">
        <v>1396</v>
      </c>
      <c r="F193" s="469" t="s">
        <v>1424</v>
      </c>
      <c r="G193" s="469" t="s">
        <v>1425</v>
      </c>
      <c r="H193" s="469" t="s">
        <v>1426</v>
      </c>
      <c r="I193" s="469" t="s">
        <v>1427</v>
      </c>
      <c r="J193" s="469" t="s">
        <v>1428</v>
      </c>
      <c r="K193" s="469" t="s">
        <v>1430</v>
      </c>
      <c r="L193" s="516"/>
      <c r="M193" s="517"/>
      <c r="Q193" s="635" t="s">
        <v>1407</v>
      </c>
      <c r="R193" s="635" t="s">
        <v>1408</v>
      </c>
      <c r="S193" s="627" t="str">
        <f t="shared" si="48"/>
        <v/>
      </c>
      <c r="BC193" s="804"/>
      <c r="BF193" s="983"/>
      <c r="BG193" s="983"/>
      <c r="BH193" s="983"/>
      <c r="BI193" s="983"/>
    </row>
    <row r="194" spans="1:61" ht="21" customHeight="1" x14ac:dyDescent="0.25">
      <c r="A194" s="433" t="s">
        <v>1038</v>
      </c>
      <c r="B194" s="3091" t="s">
        <v>1005</v>
      </c>
      <c r="C194" s="3092"/>
      <c r="D194" s="3093"/>
      <c r="E194" s="650" t="str">
        <f t="shared" ref="E194:E205" si="50">IFERROR(IF(ISBLANK(B17),"",B17),"")</f>
        <v>Electricity</v>
      </c>
      <c r="F194" s="650" t="str">
        <f t="shared" ref="F194:F201" si="51">IFERROR(IF(ISBLANK(E194),"",VLOOKUP($E194,PO_Enrgy_1_Table,MATCH($C$16,PO_Enrgy_1_Hdr,0),FALSE) ),"")</f>
        <v>kWh</v>
      </c>
      <c r="G194" s="520">
        <f t="shared" ref="G194:M208" ca="1" si="52">IFERROR(SUMIFS(INDEX(PO_baseline_table,0,MATCH(G$144,PO_baseline_hdr,0)),INDEX(PO_baseline_table,0,MATCH($E$144,PO_baseline_hdr,0)),$E194,INDEX(PO_baseline_table,0,MATCH($F$144,PO_baseline_hdr,0)),"=Con*"),"")</f>
        <v>0</v>
      </c>
      <c r="H194" s="520">
        <f t="shared" ca="1" si="52"/>
        <v>0</v>
      </c>
      <c r="I194" s="520">
        <f t="shared" ca="1" si="52"/>
        <v>0</v>
      </c>
      <c r="J194" s="520">
        <f t="shared" ca="1" si="52"/>
        <v>0</v>
      </c>
      <c r="K194" s="3094">
        <f t="shared" ca="1" si="52"/>
        <v>0</v>
      </c>
      <c r="L194" s="3094" t="str">
        <f t="shared" si="52"/>
        <v/>
      </c>
      <c r="M194" s="3094" t="str">
        <f t="shared" si="52"/>
        <v/>
      </c>
      <c r="Q194" s="627">
        <f t="shared" ref="Q194:Q208" si="53">IFERROR(IF(ISBLANK($E194),"",VLOOKUP($E194,PO_Enrgy_1_Table,MATCH($K$16,PO_Enrgy_1_Hdr,0),FALSE)),"")</f>
        <v>3.4120000000000001E-3</v>
      </c>
      <c r="R194" s="627">
        <f t="shared" ref="R194:R208" si="54">IFERROR(IF(ISBLANK($E194),"",VLOOKUP($E194,PO_Enrgy_1_Table,MATCH($M$16,PO_Enrgy_1_Hdr,0),FALSE)),"")</f>
        <v>1.0713680000000001E-2</v>
      </c>
      <c r="S194" s="627"/>
      <c r="AD194" s="263"/>
      <c r="BC194" s="804"/>
      <c r="BF194" s="983"/>
      <c r="BG194" s="983"/>
      <c r="BH194" s="983"/>
      <c r="BI194" s="983"/>
    </row>
    <row r="195" spans="1:61" ht="21" customHeight="1" x14ac:dyDescent="0.25">
      <c r="A195" s="433" t="s">
        <v>1038</v>
      </c>
      <c r="B195" s="3091"/>
      <c r="C195" s="3092"/>
      <c r="D195" s="3093"/>
      <c r="E195" s="650" t="str">
        <f t="shared" si="50"/>
        <v>Natural Gas</v>
      </c>
      <c r="F195" s="650" t="str">
        <f t="shared" si="51"/>
        <v>therm</v>
      </c>
      <c r="G195" s="520">
        <f t="shared" ca="1" si="52"/>
        <v>0</v>
      </c>
      <c r="H195" s="520">
        <f t="shared" ca="1" si="52"/>
        <v>0</v>
      </c>
      <c r="I195" s="520">
        <f t="shared" ca="1" si="52"/>
        <v>0</v>
      </c>
      <c r="J195" s="520">
        <f t="shared" ca="1" si="52"/>
        <v>0</v>
      </c>
      <c r="K195" s="3094">
        <f t="shared" ca="1" si="52"/>
        <v>0</v>
      </c>
      <c r="L195" s="3094" t="str">
        <f t="shared" si="52"/>
        <v/>
      </c>
      <c r="M195" s="3094" t="str">
        <f t="shared" si="52"/>
        <v/>
      </c>
      <c r="Q195" s="627">
        <f t="shared" si="53"/>
        <v>0.1</v>
      </c>
      <c r="R195" s="627">
        <f t="shared" si="54"/>
        <v>0.10500000000000001</v>
      </c>
      <c r="S195" s="627"/>
      <c r="AD195" s="263"/>
      <c r="BC195" s="804"/>
      <c r="BF195" s="983"/>
      <c r="BG195" s="983"/>
      <c r="BH195" s="983"/>
      <c r="BI195" s="983"/>
    </row>
    <row r="196" spans="1:61" ht="21" customHeight="1" x14ac:dyDescent="0.25">
      <c r="A196" s="433" t="s">
        <v>1038</v>
      </c>
      <c r="B196" s="3091"/>
      <c r="C196" s="3092"/>
      <c r="D196" s="3093"/>
      <c r="E196" s="650" t="str">
        <f t="shared" si="50"/>
        <v>District Cooling</v>
      </c>
      <c r="F196" s="650" t="str">
        <f t="shared" si="51"/>
        <v>MWh</v>
      </c>
      <c r="G196" s="520">
        <f t="shared" si="52"/>
        <v>0</v>
      </c>
      <c r="H196" s="520">
        <f t="shared" si="52"/>
        <v>0</v>
      </c>
      <c r="I196" s="520">
        <f t="shared" si="52"/>
        <v>0</v>
      </c>
      <c r="J196" s="520">
        <f t="shared" si="52"/>
        <v>0</v>
      </c>
      <c r="K196" s="3094">
        <f t="shared" si="52"/>
        <v>0</v>
      </c>
      <c r="L196" s="3094" t="str">
        <f t="shared" si="52"/>
        <v/>
      </c>
      <c r="M196" s="3094" t="str">
        <f t="shared" si="52"/>
        <v/>
      </c>
      <c r="Q196" s="627">
        <f t="shared" si="53"/>
        <v>3.4119999999999999</v>
      </c>
      <c r="R196" s="627">
        <f t="shared" si="54"/>
        <v>3.4119999999999999</v>
      </c>
      <c r="S196" s="627"/>
      <c r="AD196" s="263"/>
      <c r="BC196" s="804"/>
      <c r="BF196" s="983"/>
      <c r="BG196" s="983"/>
      <c r="BH196" s="983"/>
      <c r="BI196" s="983"/>
    </row>
    <row r="197" spans="1:61" ht="21" customHeight="1" x14ac:dyDescent="0.25">
      <c r="A197" s="433" t="s">
        <v>1038</v>
      </c>
      <c r="B197" s="3091"/>
      <c r="C197" s="3092"/>
      <c r="D197" s="3093"/>
      <c r="E197" s="650" t="str">
        <f t="shared" si="50"/>
        <v>District Cooling</v>
      </c>
      <c r="F197" s="650" t="str">
        <f t="shared" si="51"/>
        <v>MWh</v>
      </c>
      <c r="G197" s="520">
        <f t="shared" si="52"/>
        <v>0</v>
      </c>
      <c r="H197" s="520">
        <f t="shared" si="52"/>
        <v>0</v>
      </c>
      <c r="I197" s="520">
        <f t="shared" si="52"/>
        <v>0</v>
      </c>
      <c r="J197" s="520">
        <f t="shared" si="52"/>
        <v>0</v>
      </c>
      <c r="K197" s="3094">
        <f t="shared" si="52"/>
        <v>0</v>
      </c>
      <c r="L197" s="3094" t="str">
        <f t="shared" si="52"/>
        <v/>
      </c>
      <c r="M197" s="3094" t="str">
        <f t="shared" si="52"/>
        <v/>
      </c>
      <c r="Q197" s="627">
        <f t="shared" si="53"/>
        <v>3.4119999999999999</v>
      </c>
      <c r="R197" s="627">
        <f t="shared" si="54"/>
        <v>3.4119999999999999</v>
      </c>
      <c r="S197" s="627"/>
      <c r="AD197" s="263"/>
      <c r="BC197" s="804"/>
      <c r="BF197" s="983"/>
      <c r="BG197" s="983"/>
      <c r="BH197" s="983"/>
      <c r="BI197" s="983"/>
    </row>
    <row r="198" spans="1:61" ht="21" customHeight="1" x14ac:dyDescent="0.25">
      <c r="A198" s="433" t="s">
        <v>1038</v>
      </c>
      <c r="B198" s="3091"/>
      <c r="C198" s="3092"/>
      <c r="D198" s="3093"/>
      <c r="E198" s="650" t="str">
        <f t="shared" si="50"/>
        <v>District Cooling</v>
      </c>
      <c r="F198" s="650" t="str">
        <f t="shared" si="51"/>
        <v>MWh</v>
      </c>
      <c r="G198" s="520">
        <f t="shared" si="52"/>
        <v>0</v>
      </c>
      <c r="H198" s="520">
        <f t="shared" si="52"/>
        <v>0</v>
      </c>
      <c r="I198" s="520">
        <f t="shared" si="52"/>
        <v>0</v>
      </c>
      <c r="J198" s="520">
        <f t="shared" si="52"/>
        <v>0</v>
      </c>
      <c r="K198" s="3094">
        <f t="shared" si="52"/>
        <v>0</v>
      </c>
      <c r="L198" s="3094" t="str">
        <f t="shared" si="52"/>
        <v/>
      </c>
      <c r="M198" s="3094" t="str">
        <f t="shared" si="52"/>
        <v/>
      </c>
      <c r="Q198" s="627">
        <f t="shared" si="53"/>
        <v>3.4119999999999999</v>
      </c>
      <c r="R198" s="627">
        <f t="shared" si="54"/>
        <v>3.4119999999999999</v>
      </c>
      <c r="S198" s="627"/>
      <c r="AD198" s="263"/>
      <c r="BC198" s="804"/>
      <c r="BF198" s="983"/>
      <c r="BG198" s="983"/>
      <c r="BH198" s="983"/>
      <c r="BI198" s="983"/>
    </row>
    <row r="199" spans="1:61" ht="21" customHeight="1" x14ac:dyDescent="0.25">
      <c r="A199" s="433" t="s">
        <v>1038</v>
      </c>
      <c r="B199" s="3091"/>
      <c r="C199" s="3092"/>
      <c r="D199" s="3093"/>
      <c r="E199" s="650" t="str">
        <f t="shared" si="50"/>
        <v>District Cooling</v>
      </c>
      <c r="F199" s="650" t="str">
        <f t="shared" si="51"/>
        <v>MWh</v>
      </c>
      <c r="G199" s="520">
        <f t="shared" si="52"/>
        <v>0</v>
      </c>
      <c r="H199" s="520">
        <f t="shared" si="52"/>
        <v>0</v>
      </c>
      <c r="I199" s="520">
        <f t="shared" si="52"/>
        <v>0</v>
      </c>
      <c r="J199" s="520">
        <f t="shared" si="52"/>
        <v>0</v>
      </c>
      <c r="K199" s="3094">
        <f t="shared" si="52"/>
        <v>0</v>
      </c>
      <c r="L199" s="3094" t="str">
        <f t="shared" si="52"/>
        <v/>
      </c>
      <c r="M199" s="3094" t="str">
        <f t="shared" si="52"/>
        <v/>
      </c>
      <c r="Q199" s="627">
        <f t="shared" si="53"/>
        <v>3.4119999999999999</v>
      </c>
      <c r="R199" s="627">
        <f t="shared" si="54"/>
        <v>3.4119999999999999</v>
      </c>
      <c r="S199" s="627"/>
      <c r="AD199" s="263"/>
      <c r="BC199" s="804"/>
      <c r="BF199" s="983"/>
      <c r="BG199" s="983"/>
      <c r="BH199" s="983"/>
      <c r="BI199" s="983"/>
    </row>
    <row r="200" spans="1:61" ht="21" customHeight="1" x14ac:dyDescent="0.25">
      <c r="A200" s="433" t="s">
        <v>1038</v>
      </c>
      <c r="B200" s="3091"/>
      <c r="C200" s="3092"/>
      <c r="D200" s="3093"/>
      <c r="E200" s="650" t="str">
        <f t="shared" si="50"/>
        <v>District Cooling</v>
      </c>
      <c r="F200" s="650" t="str">
        <f t="shared" si="51"/>
        <v>MWh</v>
      </c>
      <c r="G200" s="520">
        <f t="shared" si="52"/>
        <v>0</v>
      </c>
      <c r="H200" s="520">
        <f t="shared" si="52"/>
        <v>0</v>
      </c>
      <c r="I200" s="520">
        <f t="shared" si="52"/>
        <v>0</v>
      </c>
      <c r="J200" s="520">
        <f t="shared" si="52"/>
        <v>0</v>
      </c>
      <c r="K200" s="3094">
        <f t="shared" si="52"/>
        <v>0</v>
      </c>
      <c r="L200" s="3094" t="str">
        <f t="shared" si="52"/>
        <v/>
      </c>
      <c r="M200" s="3094" t="str">
        <f t="shared" si="52"/>
        <v/>
      </c>
      <c r="Q200" s="627">
        <f t="shared" si="53"/>
        <v>3.4119999999999999</v>
      </c>
      <c r="R200" s="627">
        <f t="shared" si="54"/>
        <v>3.4119999999999999</v>
      </c>
      <c r="S200" s="627"/>
      <c r="AD200" s="263"/>
      <c r="BC200" s="804"/>
      <c r="BF200" s="983"/>
      <c r="BG200" s="983"/>
      <c r="BH200" s="983"/>
      <c r="BI200" s="983"/>
    </row>
    <row r="201" spans="1:61" ht="21" customHeight="1" x14ac:dyDescent="0.25">
      <c r="A201" s="433" t="s">
        <v>1038</v>
      </c>
      <c r="B201" s="3091"/>
      <c r="C201" s="3092"/>
      <c r="D201" s="3093"/>
      <c r="E201" s="650" t="str">
        <f t="shared" si="50"/>
        <v>District Cooling</v>
      </c>
      <c r="F201" s="650" t="str">
        <f t="shared" si="51"/>
        <v>MWh</v>
      </c>
      <c r="G201" s="520">
        <f t="shared" si="52"/>
        <v>0</v>
      </c>
      <c r="H201" s="520">
        <f t="shared" si="52"/>
        <v>0</v>
      </c>
      <c r="I201" s="520">
        <f t="shared" si="52"/>
        <v>0</v>
      </c>
      <c r="J201" s="520">
        <f t="shared" si="52"/>
        <v>0</v>
      </c>
      <c r="K201" s="3094">
        <f t="shared" si="52"/>
        <v>0</v>
      </c>
      <c r="L201" s="3094" t="str">
        <f t="shared" si="52"/>
        <v/>
      </c>
      <c r="M201" s="3094" t="str">
        <f t="shared" si="52"/>
        <v/>
      </c>
      <c r="Q201" s="627">
        <f t="shared" si="53"/>
        <v>3.4119999999999999</v>
      </c>
      <c r="R201" s="627">
        <f t="shared" si="54"/>
        <v>3.4119999999999999</v>
      </c>
      <c r="S201" s="627"/>
      <c r="AD201" s="263"/>
      <c r="BC201" s="804"/>
      <c r="BF201" s="983"/>
      <c r="BG201" s="983"/>
      <c r="BH201" s="983"/>
      <c r="BI201" s="983"/>
    </row>
    <row r="202" spans="1:61" ht="21" customHeight="1" x14ac:dyDescent="0.25">
      <c r="A202" s="433" t="s">
        <v>1038</v>
      </c>
      <c r="B202" s="3091"/>
      <c r="C202" s="3092"/>
      <c r="D202" s="3093"/>
      <c r="E202" s="650" t="str">
        <f t="shared" si="50"/>
        <v>District Cooling</v>
      </c>
      <c r="F202" s="650" t="str">
        <f t="shared" ref="F202" si="55">IFERROR(IF(ISBLANK(E202),"",VLOOKUP($E202,PO_Enrgy_1_Table,MATCH($C$16,PO_Enrgy_1_Hdr,0),FALSE) ),"")</f>
        <v>MWh</v>
      </c>
      <c r="G202" s="520">
        <f t="shared" si="52"/>
        <v>0</v>
      </c>
      <c r="H202" s="520">
        <f t="shared" si="52"/>
        <v>0</v>
      </c>
      <c r="I202" s="520">
        <f t="shared" si="52"/>
        <v>0</v>
      </c>
      <c r="J202" s="520">
        <f t="shared" si="52"/>
        <v>0</v>
      </c>
      <c r="K202" s="3094">
        <f t="shared" si="52"/>
        <v>0</v>
      </c>
      <c r="L202" s="3094" t="str">
        <f t="shared" si="52"/>
        <v/>
      </c>
      <c r="M202" s="3094" t="str">
        <f t="shared" si="52"/>
        <v/>
      </c>
      <c r="Q202" s="627">
        <f t="shared" si="53"/>
        <v>3.4119999999999999</v>
      </c>
      <c r="R202" s="627">
        <f t="shared" si="54"/>
        <v>3.4119999999999999</v>
      </c>
      <c r="S202" s="627"/>
      <c r="AD202" s="263"/>
      <c r="BC202" s="804"/>
      <c r="BF202" s="983"/>
      <c r="BG202" s="983"/>
      <c r="BH202" s="983"/>
      <c r="BI202" s="983"/>
    </row>
    <row r="203" spans="1:61" ht="21" customHeight="1" x14ac:dyDescent="0.25">
      <c r="A203" s="433" t="s">
        <v>1038</v>
      </c>
      <c r="B203" s="3091"/>
      <c r="C203" s="3092"/>
      <c r="D203" s="3093"/>
      <c r="E203" s="650" t="str">
        <f t="shared" si="50"/>
        <v>District Cooling</v>
      </c>
      <c r="F203" s="650" t="str">
        <f t="shared" ref="F203" si="56">IFERROR(IF(ISBLANK(E203),"",VLOOKUP($E203,PO_Enrgy_1_Table,MATCH($C$16,PO_Enrgy_1_Hdr,0),FALSE) ),"")</f>
        <v>MWh</v>
      </c>
      <c r="G203" s="520">
        <f t="shared" si="52"/>
        <v>0</v>
      </c>
      <c r="H203" s="520">
        <f t="shared" si="52"/>
        <v>0</v>
      </c>
      <c r="I203" s="520">
        <f t="shared" si="52"/>
        <v>0</v>
      </c>
      <c r="J203" s="520">
        <f t="shared" si="52"/>
        <v>0</v>
      </c>
      <c r="K203" s="3094">
        <f t="shared" si="52"/>
        <v>0</v>
      </c>
      <c r="L203" s="3094" t="str">
        <f t="shared" si="52"/>
        <v/>
      </c>
      <c r="M203" s="3094" t="str">
        <f t="shared" si="52"/>
        <v/>
      </c>
      <c r="Q203" s="627">
        <f t="shared" si="53"/>
        <v>3.4119999999999999</v>
      </c>
      <c r="R203" s="627">
        <f t="shared" si="54"/>
        <v>3.4119999999999999</v>
      </c>
      <c r="S203" s="627"/>
      <c r="AD203" s="263"/>
      <c r="BC203" s="804"/>
      <c r="BF203" s="983"/>
      <c r="BG203" s="983"/>
      <c r="BH203" s="983"/>
      <c r="BI203" s="983"/>
    </row>
    <row r="204" spans="1:61" ht="21" customHeight="1" x14ac:dyDescent="0.25">
      <c r="A204" s="433" t="s">
        <v>1038</v>
      </c>
      <c r="B204" s="3091"/>
      <c r="C204" s="3092"/>
      <c r="D204" s="3093"/>
      <c r="E204" s="650" t="str">
        <f t="shared" si="50"/>
        <v>District Cooling</v>
      </c>
      <c r="F204" s="650" t="str">
        <f t="shared" ref="F204" si="57">IFERROR(IF(ISBLANK(E204),"",VLOOKUP($E204,PO_Enrgy_1_Table,MATCH($C$16,PO_Enrgy_1_Hdr,0),FALSE) ),"")</f>
        <v>MWh</v>
      </c>
      <c r="G204" s="520">
        <f t="shared" si="52"/>
        <v>0</v>
      </c>
      <c r="H204" s="520">
        <f t="shared" si="52"/>
        <v>0</v>
      </c>
      <c r="I204" s="520">
        <f t="shared" si="52"/>
        <v>0</v>
      </c>
      <c r="J204" s="520">
        <f t="shared" si="52"/>
        <v>0</v>
      </c>
      <c r="K204" s="3094">
        <f t="shared" si="52"/>
        <v>0</v>
      </c>
      <c r="L204" s="3094" t="str">
        <f t="shared" si="52"/>
        <v/>
      </c>
      <c r="M204" s="3094" t="str">
        <f t="shared" si="52"/>
        <v/>
      </c>
      <c r="Q204" s="627">
        <f t="shared" si="53"/>
        <v>3.4119999999999999</v>
      </c>
      <c r="R204" s="627">
        <f t="shared" si="54"/>
        <v>3.4119999999999999</v>
      </c>
      <c r="S204" s="627"/>
      <c r="AD204" s="263"/>
      <c r="BC204" s="804"/>
      <c r="BF204" s="983"/>
      <c r="BG204" s="983"/>
      <c r="BH204" s="983"/>
      <c r="BI204" s="983"/>
    </row>
    <row r="205" spans="1:61" ht="21" customHeight="1" x14ac:dyDescent="0.25">
      <c r="A205" s="433" t="s">
        <v>1038</v>
      </c>
      <c r="B205" s="3091"/>
      <c r="C205" s="3092"/>
      <c r="D205" s="3093"/>
      <c r="E205" s="650" t="str">
        <f t="shared" si="50"/>
        <v>District Cooling</v>
      </c>
      <c r="F205" s="650" t="str">
        <f t="shared" ref="F205" si="58">IFERROR(IF(ISBLANK(E205),"",VLOOKUP($E205,PO_Enrgy_1_Table,MATCH($C$16,PO_Enrgy_1_Hdr,0),FALSE) ),"")</f>
        <v>MWh</v>
      </c>
      <c r="G205" s="520">
        <f t="shared" si="52"/>
        <v>0</v>
      </c>
      <c r="H205" s="520">
        <f t="shared" si="52"/>
        <v>0</v>
      </c>
      <c r="I205" s="520">
        <f t="shared" si="52"/>
        <v>0</v>
      </c>
      <c r="J205" s="520">
        <f t="shared" si="52"/>
        <v>0</v>
      </c>
      <c r="K205" s="3094">
        <f t="shared" si="52"/>
        <v>0</v>
      </c>
      <c r="L205" s="3094" t="str">
        <f t="shared" si="52"/>
        <v/>
      </c>
      <c r="M205" s="3094" t="str">
        <f t="shared" si="52"/>
        <v/>
      </c>
      <c r="Q205" s="627">
        <f t="shared" si="53"/>
        <v>3.4119999999999999</v>
      </c>
      <c r="R205" s="627">
        <f t="shared" si="54"/>
        <v>3.4119999999999999</v>
      </c>
      <c r="S205" s="627"/>
      <c r="AD205" s="263"/>
      <c r="BC205" s="804"/>
      <c r="BF205" s="983"/>
      <c r="BG205" s="983"/>
      <c r="BH205" s="983"/>
      <c r="BI205" s="983"/>
    </row>
    <row r="206" spans="1:61" ht="21" customHeight="1" x14ac:dyDescent="0.25">
      <c r="A206" s="433" t="s">
        <v>1038</v>
      </c>
      <c r="B206" s="3091"/>
      <c r="C206" s="3092"/>
      <c r="D206" s="3093"/>
      <c r="E206" s="650" t="str">
        <f t="shared" ref="E206:E208" si="59">IFERROR(IF(ISBLANK(B29),"",B29),"")</f>
        <v>District Cooling</v>
      </c>
      <c r="F206" s="650" t="str">
        <f t="shared" ref="F206:F208" si="60">IFERROR(IF(ISBLANK(E206),"",VLOOKUP($E206,PO_Enrgy_1_Table,MATCH($C$16,PO_Enrgy_1_Hdr,0),FALSE) ),"")</f>
        <v>MWh</v>
      </c>
      <c r="G206" s="520">
        <f t="shared" si="52"/>
        <v>0</v>
      </c>
      <c r="H206" s="520">
        <f t="shared" si="52"/>
        <v>0</v>
      </c>
      <c r="I206" s="520">
        <f t="shared" si="52"/>
        <v>0</v>
      </c>
      <c r="J206" s="520">
        <f t="shared" si="52"/>
        <v>0</v>
      </c>
      <c r="K206" s="3094">
        <f t="shared" si="52"/>
        <v>0</v>
      </c>
      <c r="L206" s="3094" t="str">
        <f t="shared" si="52"/>
        <v/>
      </c>
      <c r="M206" s="3094" t="str">
        <f t="shared" si="52"/>
        <v/>
      </c>
      <c r="Q206" s="627">
        <f t="shared" si="53"/>
        <v>3.4119999999999999</v>
      </c>
      <c r="R206" s="627">
        <f t="shared" si="54"/>
        <v>3.4119999999999999</v>
      </c>
      <c r="S206" s="627"/>
      <c r="AD206" s="263"/>
      <c r="BC206" s="804"/>
      <c r="BF206" s="983"/>
      <c r="BG206" s="983"/>
      <c r="BH206" s="983"/>
      <c r="BI206" s="983"/>
    </row>
    <row r="207" spans="1:61" ht="21" customHeight="1" x14ac:dyDescent="0.25">
      <c r="A207" s="433" t="s">
        <v>1038</v>
      </c>
      <c r="B207" s="3091"/>
      <c r="C207" s="3092"/>
      <c r="D207" s="3093"/>
      <c r="E207" s="650" t="str">
        <f t="shared" si="59"/>
        <v>District Cooling</v>
      </c>
      <c r="F207" s="650" t="str">
        <f t="shared" si="60"/>
        <v>MWh</v>
      </c>
      <c r="G207" s="520">
        <f t="shared" si="52"/>
        <v>0</v>
      </c>
      <c r="H207" s="520">
        <f t="shared" si="52"/>
        <v>0</v>
      </c>
      <c r="I207" s="520">
        <f t="shared" si="52"/>
        <v>0</v>
      </c>
      <c r="J207" s="520">
        <f t="shared" si="52"/>
        <v>0</v>
      </c>
      <c r="K207" s="3094">
        <f t="shared" si="52"/>
        <v>0</v>
      </c>
      <c r="L207" s="3094" t="str">
        <f t="shared" si="52"/>
        <v/>
      </c>
      <c r="M207" s="3094" t="str">
        <f t="shared" si="52"/>
        <v/>
      </c>
      <c r="Q207" s="627">
        <f t="shared" si="53"/>
        <v>3.4119999999999999</v>
      </c>
      <c r="R207" s="627">
        <f t="shared" si="54"/>
        <v>3.4119999999999999</v>
      </c>
      <c r="S207" s="627"/>
      <c r="AD207" s="263"/>
      <c r="BC207" s="804"/>
      <c r="BF207" s="983"/>
      <c r="BG207" s="983"/>
      <c r="BH207" s="983"/>
      <c r="BI207" s="983"/>
    </row>
    <row r="208" spans="1:61" ht="21" customHeight="1" x14ac:dyDescent="0.25">
      <c r="A208" s="433" t="s">
        <v>1038</v>
      </c>
      <c r="B208" s="3091"/>
      <c r="C208" s="3092"/>
      <c r="D208" s="3093"/>
      <c r="E208" s="650" t="str">
        <f t="shared" si="59"/>
        <v>District Cooling</v>
      </c>
      <c r="F208" s="650" t="str">
        <f t="shared" si="60"/>
        <v>MWh</v>
      </c>
      <c r="G208" s="520">
        <f t="shared" si="52"/>
        <v>0</v>
      </c>
      <c r="H208" s="520">
        <f t="shared" si="52"/>
        <v>0</v>
      </c>
      <c r="I208" s="520">
        <f t="shared" si="52"/>
        <v>0</v>
      </c>
      <c r="J208" s="520">
        <f t="shared" si="52"/>
        <v>0</v>
      </c>
      <c r="K208" s="3094">
        <f t="shared" si="52"/>
        <v>0</v>
      </c>
      <c r="L208" s="3094" t="str">
        <f t="shared" si="52"/>
        <v/>
      </c>
      <c r="M208" s="3094" t="str">
        <f t="shared" si="52"/>
        <v/>
      </c>
      <c r="Q208" s="627">
        <f t="shared" si="53"/>
        <v>3.4119999999999999</v>
      </c>
      <c r="R208" s="627">
        <f t="shared" si="54"/>
        <v>3.4119999999999999</v>
      </c>
      <c r="S208" s="627"/>
      <c r="AD208" s="263"/>
      <c r="BC208" s="804"/>
      <c r="BF208" s="983"/>
      <c r="BG208" s="983"/>
      <c r="BH208" s="983"/>
      <c r="BI208" s="983"/>
    </row>
    <row r="209" spans="1:61" ht="21" customHeight="1" x14ac:dyDescent="0.25">
      <c r="A209" s="433" t="s">
        <v>1038</v>
      </c>
      <c r="B209" s="3141" t="str">
        <f>"Total site energy (" &amp; PO_SiteUnits &amp; ")"</f>
        <v>Total site energy (Btu x 10^6)</v>
      </c>
      <c r="C209" s="3142"/>
      <c r="D209" s="3142"/>
      <c r="E209" s="3142"/>
      <c r="F209" s="3142"/>
      <c r="G209" s="521">
        <f t="shared" ref="G209:M209" ca="1" si="61">IFERROR(SUMPRODUCT(INDEX(PO_Enrgy_5_Table,0,MATCH(G$193,PO_Enrgy_5_Hdr,0)),INDEX(PO_Enrgy_5_Table,0,MATCH($Q193,PO_Enrgy_5_Hdr,0))),"")</f>
        <v>0</v>
      </c>
      <c r="H209" s="521">
        <f t="shared" ca="1" si="61"/>
        <v>0</v>
      </c>
      <c r="I209" s="521">
        <f t="shared" ca="1" si="61"/>
        <v>0</v>
      </c>
      <c r="J209" s="521">
        <f t="shared" ca="1" si="61"/>
        <v>0</v>
      </c>
      <c r="K209" s="3094">
        <f t="shared" ca="1" si="61"/>
        <v>0</v>
      </c>
      <c r="L209" s="3143" t="str">
        <f t="shared" si="61"/>
        <v/>
      </c>
      <c r="M209" s="3144" t="str">
        <f t="shared" si="61"/>
        <v/>
      </c>
      <c r="BC209" s="804"/>
      <c r="BF209" s="983"/>
      <c r="BG209" s="983"/>
      <c r="BH209" s="983"/>
      <c r="BI209" s="983"/>
    </row>
    <row r="210" spans="1:61" ht="21" customHeight="1" x14ac:dyDescent="0.25">
      <c r="A210" s="433" t="s">
        <v>1038</v>
      </c>
      <c r="B210" s="3141" t="str">
        <f>"Total source energy (" &amp; PO_SourceUnits &amp; ")"</f>
        <v>Total source energy (Btu x 10^6)</v>
      </c>
      <c r="C210" s="3142"/>
      <c r="D210" s="3142"/>
      <c r="E210" s="3142"/>
      <c r="F210" s="3142"/>
      <c r="G210" s="521">
        <f t="shared" ref="G210:M210" ca="1" si="62">IFERROR(SUMPRODUCT(G$194:G$195,$R$194:$R$195),0)</f>
        <v>0</v>
      </c>
      <c r="H210" s="521">
        <f t="shared" ca="1" si="62"/>
        <v>0</v>
      </c>
      <c r="I210" s="521">
        <f t="shared" ca="1" si="62"/>
        <v>0</v>
      </c>
      <c r="J210" s="521">
        <f t="shared" ca="1" si="62"/>
        <v>0</v>
      </c>
      <c r="K210" s="3094">
        <f t="shared" ca="1" si="62"/>
        <v>0</v>
      </c>
      <c r="L210" s="3143">
        <f t="shared" si="62"/>
        <v>0</v>
      </c>
      <c r="M210" s="3144">
        <f t="shared" si="62"/>
        <v>0</v>
      </c>
      <c r="BC210" s="804"/>
      <c r="BF210" s="983"/>
      <c r="BG210" s="983"/>
      <c r="BH210" s="983"/>
      <c r="BI210" s="983"/>
    </row>
    <row r="211" spans="1:61" ht="21" customHeight="1" x14ac:dyDescent="0.25">
      <c r="A211" s="433" t="s">
        <v>1038</v>
      </c>
      <c r="B211" s="329"/>
      <c r="C211" s="329"/>
      <c r="D211" s="329"/>
      <c r="E211" s="266"/>
      <c r="F211" s="266"/>
      <c r="G211" s="250"/>
      <c r="H211" s="250"/>
      <c r="I211" s="250"/>
      <c r="J211" s="250"/>
      <c r="K211" s="250"/>
      <c r="L211" s="250"/>
      <c r="M211" s="250"/>
    </row>
    <row r="212" spans="1:61" ht="20.25" customHeight="1" x14ac:dyDescent="0.25">
      <c r="A212" s="433" t="s">
        <v>1038</v>
      </c>
      <c r="B212" s="287" t="s">
        <v>1006</v>
      </c>
      <c r="C212" s="288"/>
      <c r="D212" s="288"/>
      <c r="E212" s="288"/>
      <c r="F212" s="288"/>
      <c r="G212" s="288"/>
      <c r="H212" s="288"/>
      <c r="I212" s="288"/>
      <c r="J212" s="288"/>
      <c r="K212" s="288"/>
      <c r="L212" s="288"/>
      <c r="M212" s="288"/>
    </row>
    <row r="213" spans="1:61" ht="63.75" customHeight="1" x14ac:dyDescent="0.25">
      <c r="A213" s="433" t="s">
        <v>1038</v>
      </c>
      <c r="B213" s="3145" t="s">
        <v>354</v>
      </c>
      <c r="C213" s="3145"/>
      <c r="D213" s="3145"/>
      <c r="E213" s="3145"/>
      <c r="F213" s="3145"/>
      <c r="G213" s="522" t="s">
        <v>373</v>
      </c>
      <c r="H213" s="522" t="s">
        <v>372</v>
      </c>
      <c r="I213" s="522" t="s">
        <v>371</v>
      </c>
      <c r="J213" s="522" t="s">
        <v>370</v>
      </c>
      <c r="K213" s="3100" t="s">
        <v>369</v>
      </c>
      <c r="L213" s="3101"/>
      <c r="M213" s="3102"/>
    </row>
    <row r="214" spans="1:61" ht="13.8" hidden="1" x14ac:dyDescent="0.25">
      <c r="A214" s="433" t="s">
        <v>1038</v>
      </c>
      <c r="B214" s="461" t="s">
        <v>1396</v>
      </c>
      <c r="C214" s="461"/>
      <c r="D214" s="461"/>
      <c r="E214" s="461"/>
      <c r="F214" s="461"/>
      <c r="G214" s="469" t="s">
        <v>1425</v>
      </c>
      <c r="H214" s="469" t="s">
        <v>1426</v>
      </c>
      <c r="I214" s="469" t="s">
        <v>1427</v>
      </c>
      <c r="J214" s="469" t="s">
        <v>1428</v>
      </c>
      <c r="K214" s="469" t="s">
        <v>1454</v>
      </c>
      <c r="L214" s="461"/>
      <c r="M214" s="460"/>
      <c r="Q214" s="628" t="s">
        <v>1407</v>
      </c>
      <c r="R214" s="628" t="s">
        <v>1408</v>
      </c>
    </row>
    <row r="215" spans="1:61" ht="15" customHeight="1" x14ac:dyDescent="0.25">
      <c r="A215" s="433" t="s">
        <v>1038</v>
      </c>
      <c r="B215" s="3095" t="str">
        <f t="shared" ref="B215:B226" si="63">IFERROR(IF(ISBLANK(B17),"",B17),"")</f>
        <v>Electricity</v>
      </c>
      <c r="C215" s="3096"/>
      <c r="D215" s="3096"/>
      <c r="E215" s="3096"/>
      <c r="F215" s="650" t="str">
        <f t="shared" ref="F215:F229" si="64">IFERROR(IF(ISBLANK($B215),"",VLOOKUP($B215,PO_Enrgy_1_Table,MATCH($C$16,PO_Enrgy_1_Hdr,0),FALSE) ),"")</f>
        <v>kWh</v>
      </c>
      <c r="G215" s="523"/>
      <c r="H215" s="523"/>
      <c r="I215" s="523"/>
      <c r="J215" s="523"/>
      <c r="K215" s="3097" t="str">
        <f t="shared" ref="K215:K220" si="65">IFERROR((AVERAGE(G215:J215)),"")</f>
        <v/>
      </c>
      <c r="L215" s="3098"/>
      <c r="M215" s="3099"/>
      <c r="Q215" s="627">
        <f t="shared" ref="Q215:Q229" si="66">IFERROR(IF(ISBLANK($B215),"",VLOOKUP($B215,PO_Enrgy_1_Table,MATCH($K$16,PO_Enrgy_1_Hdr,0),FALSE)),"")</f>
        <v>3.4120000000000001E-3</v>
      </c>
      <c r="R215" s="627">
        <f t="shared" ref="R215:R229" si="67">IFERROR(IF(ISBLANK($B215),"",VLOOKUP($B215,PO_Enrgy_1_Table,MATCH($M$16,PO_Enrgy_1_Hdr,0),FALSE)),"")</f>
        <v>1.0713680000000001E-2</v>
      </c>
      <c r="AD215" s="263"/>
      <c r="BC215" s="804"/>
    </row>
    <row r="216" spans="1:61" ht="15" customHeight="1" x14ac:dyDescent="0.25">
      <c r="A216" s="433" t="s">
        <v>1038</v>
      </c>
      <c r="B216" s="3095" t="str">
        <f t="shared" si="63"/>
        <v>Natural Gas</v>
      </c>
      <c r="C216" s="3096"/>
      <c r="D216" s="3096"/>
      <c r="E216" s="3096"/>
      <c r="F216" s="650" t="str">
        <f t="shared" si="64"/>
        <v>therm</v>
      </c>
      <c r="G216" s="523"/>
      <c r="H216" s="523"/>
      <c r="I216" s="523"/>
      <c r="J216" s="523"/>
      <c r="K216" s="3097" t="str">
        <f t="shared" si="65"/>
        <v/>
      </c>
      <c r="L216" s="3098"/>
      <c r="M216" s="3099"/>
      <c r="Q216" s="627">
        <f t="shared" si="66"/>
        <v>0.1</v>
      </c>
      <c r="R216" s="627">
        <f t="shared" si="67"/>
        <v>0.10500000000000001</v>
      </c>
      <c r="AD216" s="263"/>
      <c r="BC216" s="804"/>
    </row>
    <row r="217" spans="1:61" ht="15" customHeight="1" x14ac:dyDescent="0.25">
      <c r="A217" s="433" t="s">
        <v>1038</v>
      </c>
      <c r="B217" s="3095" t="str">
        <f t="shared" si="63"/>
        <v>District Cooling</v>
      </c>
      <c r="C217" s="3096"/>
      <c r="D217" s="3096"/>
      <c r="E217" s="3096"/>
      <c r="F217" s="650" t="str">
        <f t="shared" si="64"/>
        <v>MWh</v>
      </c>
      <c r="G217" s="523"/>
      <c r="H217" s="523"/>
      <c r="I217" s="523"/>
      <c r="J217" s="523"/>
      <c r="K217" s="3097" t="str">
        <f t="shared" si="65"/>
        <v/>
      </c>
      <c r="L217" s="3098"/>
      <c r="M217" s="3099"/>
      <c r="Q217" s="627">
        <f t="shared" si="66"/>
        <v>3.4119999999999999</v>
      </c>
      <c r="R217" s="627">
        <f t="shared" si="67"/>
        <v>3.4119999999999999</v>
      </c>
      <c r="AD217" s="263"/>
      <c r="BC217" s="804"/>
    </row>
    <row r="218" spans="1:61" ht="15" customHeight="1" x14ac:dyDescent="0.25">
      <c r="A218" s="433" t="s">
        <v>1038</v>
      </c>
      <c r="B218" s="3095" t="str">
        <f t="shared" si="63"/>
        <v>District Cooling</v>
      </c>
      <c r="C218" s="3096"/>
      <c r="D218" s="3096"/>
      <c r="E218" s="3096"/>
      <c r="F218" s="650" t="str">
        <f t="shared" si="64"/>
        <v>MWh</v>
      </c>
      <c r="G218" s="523"/>
      <c r="H218" s="523"/>
      <c r="I218" s="523"/>
      <c r="J218" s="523"/>
      <c r="K218" s="3097" t="str">
        <f t="shared" si="65"/>
        <v/>
      </c>
      <c r="L218" s="3098"/>
      <c r="M218" s="3099"/>
      <c r="Q218" s="627">
        <f t="shared" si="66"/>
        <v>3.4119999999999999</v>
      </c>
      <c r="R218" s="627">
        <f t="shared" si="67"/>
        <v>3.4119999999999999</v>
      </c>
      <c r="AD218" s="263"/>
      <c r="BC218" s="804"/>
    </row>
    <row r="219" spans="1:61" ht="15" customHeight="1" x14ac:dyDescent="0.25">
      <c r="A219" s="433" t="s">
        <v>1038</v>
      </c>
      <c r="B219" s="3095" t="str">
        <f t="shared" si="63"/>
        <v>District Cooling</v>
      </c>
      <c r="C219" s="3096"/>
      <c r="D219" s="3096"/>
      <c r="E219" s="3096"/>
      <c r="F219" s="650" t="str">
        <f t="shared" si="64"/>
        <v>MWh</v>
      </c>
      <c r="G219" s="523"/>
      <c r="H219" s="523"/>
      <c r="I219" s="523"/>
      <c r="J219" s="523"/>
      <c r="K219" s="3097" t="str">
        <f t="shared" si="65"/>
        <v/>
      </c>
      <c r="L219" s="3098"/>
      <c r="M219" s="3099"/>
      <c r="Q219" s="627">
        <f t="shared" si="66"/>
        <v>3.4119999999999999</v>
      </c>
      <c r="R219" s="627">
        <f t="shared" si="67"/>
        <v>3.4119999999999999</v>
      </c>
      <c r="AD219" s="263"/>
      <c r="BC219" s="804"/>
    </row>
    <row r="220" spans="1:61" ht="15" customHeight="1" x14ac:dyDescent="0.25">
      <c r="A220" s="433" t="s">
        <v>1038</v>
      </c>
      <c r="B220" s="3095" t="str">
        <f t="shared" si="63"/>
        <v>District Cooling</v>
      </c>
      <c r="C220" s="3096"/>
      <c r="D220" s="3096"/>
      <c r="E220" s="3096"/>
      <c r="F220" s="650" t="str">
        <f t="shared" si="64"/>
        <v>MWh</v>
      </c>
      <c r="G220" s="523"/>
      <c r="H220" s="523"/>
      <c r="I220" s="523"/>
      <c r="J220" s="523"/>
      <c r="K220" s="3097" t="str">
        <f t="shared" si="65"/>
        <v/>
      </c>
      <c r="L220" s="3098"/>
      <c r="M220" s="3099"/>
      <c r="Q220" s="627">
        <f t="shared" si="66"/>
        <v>3.4119999999999999</v>
      </c>
      <c r="R220" s="627">
        <f t="shared" si="67"/>
        <v>3.4119999999999999</v>
      </c>
      <c r="AD220" s="263"/>
      <c r="BC220" s="804"/>
    </row>
    <row r="221" spans="1:61" ht="15" customHeight="1" x14ac:dyDescent="0.25">
      <c r="A221" s="433" t="s">
        <v>1038</v>
      </c>
      <c r="B221" s="3095" t="str">
        <f t="shared" si="63"/>
        <v>District Cooling</v>
      </c>
      <c r="C221" s="3096"/>
      <c r="D221" s="3096"/>
      <c r="E221" s="3096"/>
      <c r="F221" s="650" t="str">
        <f t="shared" si="64"/>
        <v>MWh</v>
      </c>
      <c r="G221" s="523"/>
      <c r="H221" s="523"/>
      <c r="I221" s="523"/>
      <c r="J221" s="523"/>
      <c r="K221" s="3097" t="str">
        <f t="shared" ref="K221:K222" si="68">IFERROR((AVERAGE(G221:J221)),"")</f>
        <v/>
      </c>
      <c r="L221" s="3098"/>
      <c r="M221" s="3099"/>
      <c r="Q221" s="627">
        <f t="shared" si="66"/>
        <v>3.4119999999999999</v>
      </c>
      <c r="R221" s="627">
        <f t="shared" si="67"/>
        <v>3.4119999999999999</v>
      </c>
      <c r="AD221" s="263"/>
      <c r="BC221" s="804"/>
    </row>
    <row r="222" spans="1:61" ht="15" customHeight="1" x14ac:dyDescent="0.25">
      <c r="A222" s="433" t="s">
        <v>1038</v>
      </c>
      <c r="B222" s="3095" t="str">
        <f t="shared" si="63"/>
        <v>District Cooling</v>
      </c>
      <c r="C222" s="3096"/>
      <c r="D222" s="3096"/>
      <c r="E222" s="3096"/>
      <c r="F222" s="650" t="str">
        <f t="shared" si="64"/>
        <v>MWh</v>
      </c>
      <c r="G222" s="523"/>
      <c r="H222" s="523"/>
      <c r="I222" s="523"/>
      <c r="J222" s="523"/>
      <c r="K222" s="3097" t="str">
        <f t="shared" si="68"/>
        <v/>
      </c>
      <c r="L222" s="3098"/>
      <c r="M222" s="3099"/>
      <c r="Q222" s="627">
        <f t="shared" si="66"/>
        <v>3.4119999999999999</v>
      </c>
      <c r="R222" s="627">
        <f t="shared" si="67"/>
        <v>3.4119999999999999</v>
      </c>
      <c r="AD222" s="263"/>
      <c r="BC222" s="804"/>
    </row>
    <row r="223" spans="1:61" ht="15" customHeight="1" x14ac:dyDescent="0.25">
      <c r="A223" s="433" t="s">
        <v>1038</v>
      </c>
      <c r="B223" s="3095" t="str">
        <f t="shared" si="63"/>
        <v>District Cooling</v>
      </c>
      <c r="C223" s="3096"/>
      <c r="D223" s="3096"/>
      <c r="E223" s="3096"/>
      <c r="F223" s="650" t="str">
        <f t="shared" si="64"/>
        <v>MWh</v>
      </c>
      <c r="G223" s="523"/>
      <c r="H223" s="523"/>
      <c r="I223" s="523"/>
      <c r="J223" s="523"/>
      <c r="K223" s="3097" t="str">
        <f t="shared" ref="K223" si="69">IFERROR((AVERAGE(G223:J223)),"")</f>
        <v/>
      </c>
      <c r="L223" s="3098"/>
      <c r="M223" s="3099"/>
      <c r="Q223" s="627">
        <f t="shared" si="66"/>
        <v>3.4119999999999999</v>
      </c>
      <c r="R223" s="627">
        <f t="shared" si="67"/>
        <v>3.4119999999999999</v>
      </c>
      <c r="AD223" s="263"/>
      <c r="BC223" s="804"/>
    </row>
    <row r="224" spans="1:61" ht="15" customHeight="1" x14ac:dyDescent="0.25">
      <c r="A224" s="433" t="s">
        <v>1038</v>
      </c>
      <c r="B224" s="3095" t="str">
        <f t="shared" si="63"/>
        <v>District Cooling</v>
      </c>
      <c r="C224" s="3096"/>
      <c r="D224" s="3096"/>
      <c r="E224" s="3096"/>
      <c r="F224" s="650" t="str">
        <f t="shared" si="64"/>
        <v>MWh</v>
      </c>
      <c r="G224" s="523"/>
      <c r="H224" s="523"/>
      <c r="I224" s="523"/>
      <c r="J224" s="523"/>
      <c r="K224" s="3097" t="str">
        <f t="shared" ref="K224" si="70">IFERROR((AVERAGE(G224:J224)),"")</f>
        <v/>
      </c>
      <c r="L224" s="3098"/>
      <c r="M224" s="3099"/>
      <c r="Q224" s="627">
        <f t="shared" si="66"/>
        <v>3.4119999999999999</v>
      </c>
      <c r="R224" s="627">
        <f t="shared" si="67"/>
        <v>3.4119999999999999</v>
      </c>
      <c r="AD224" s="263"/>
      <c r="BC224" s="804"/>
    </row>
    <row r="225" spans="1:61" ht="15" customHeight="1" x14ac:dyDescent="0.25">
      <c r="A225" s="433" t="s">
        <v>1038</v>
      </c>
      <c r="B225" s="3095" t="str">
        <f t="shared" si="63"/>
        <v>District Cooling</v>
      </c>
      <c r="C225" s="3096"/>
      <c r="D225" s="3096"/>
      <c r="E225" s="3096"/>
      <c r="F225" s="650" t="str">
        <f t="shared" si="64"/>
        <v>MWh</v>
      </c>
      <c r="G225" s="523"/>
      <c r="H225" s="523"/>
      <c r="I225" s="523"/>
      <c r="J225" s="523"/>
      <c r="K225" s="3097" t="str">
        <f t="shared" ref="K225" si="71">IFERROR((AVERAGE(G225:J225)),"")</f>
        <v/>
      </c>
      <c r="L225" s="3098"/>
      <c r="M225" s="3099"/>
      <c r="Q225" s="627">
        <f t="shared" si="66"/>
        <v>3.4119999999999999</v>
      </c>
      <c r="R225" s="627">
        <f t="shared" si="67"/>
        <v>3.4119999999999999</v>
      </c>
      <c r="AD225" s="263"/>
      <c r="BC225" s="804"/>
    </row>
    <row r="226" spans="1:61" ht="15" customHeight="1" x14ac:dyDescent="0.25">
      <c r="A226" s="433" t="s">
        <v>1038</v>
      </c>
      <c r="B226" s="3095" t="str">
        <f t="shared" si="63"/>
        <v>District Cooling</v>
      </c>
      <c r="C226" s="3096"/>
      <c r="D226" s="3096"/>
      <c r="E226" s="3096"/>
      <c r="F226" s="650" t="str">
        <f t="shared" si="64"/>
        <v>MWh</v>
      </c>
      <c r="G226" s="523"/>
      <c r="H226" s="523"/>
      <c r="I226" s="523"/>
      <c r="J226" s="523"/>
      <c r="K226" s="3097" t="str">
        <f t="shared" ref="K226" si="72">IFERROR((AVERAGE(G226:J226)),"")</f>
        <v/>
      </c>
      <c r="L226" s="3098"/>
      <c r="M226" s="3099"/>
      <c r="Q226" s="627">
        <f t="shared" si="66"/>
        <v>3.4119999999999999</v>
      </c>
      <c r="R226" s="627">
        <f t="shared" si="67"/>
        <v>3.4119999999999999</v>
      </c>
      <c r="AD226" s="263"/>
      <c r="BC226" s="804"/>
    </row>
    <row r="227" spans="1:61" ht="15" customHeight="1" x14ac:dyDescent="0.25">
      <c r="A227" s="433" t="s">
        <v>1038</v>
      </c>
      <c r="B227" s="3095" t="str">
        <f t="shared" ref="B227:B229" si="73">IFERROR(IF(ISBLANK(B29),"",B29),"")</f>
        <v>District Cooling</v>
      </c>
      <c r="C227" s="3096"/>
      <c r="D227" s="3096"/>
      <c r="E227" s="3096"/>
      <c r="F227" s="650" t="str">
        <f t="shared" si="64"/>
        <v>MWh</v>
      </c>
      <c r="G227" s="523"/>
      <c r="H227" s="523"/>
      <c r="I227" s="523"/>
      <c r="J227" s="523"/>
      <c r="K227" s="3097" t="str">
        <f t="shared" ref="K227:K229" si="74">IFERROR((AVERAGE(G227:J227)),"")</f>
        <v/>
      </c>
      <c r="L227" s="3098"/>
      <c r="M227" s="3099"/>
      <c r="Q227" s="627">
        <f t="shared" si="66"/>
        <v>3.4119999999999999</v>
      </c>
      <c r="R227" s="627">
        <f t="shared" si="67"/>
        <v>3.4119999999999999</v>
      </c>
      <c r="AD227" s="263"/>
      <c r="BC227" s="804"/>
    </row>
    <row r="228" spans="1:61" ht="15" customHeight="1" x14ac:dyDescent="0.25">
      <c r="A228" s="433" t="s">
        <v>1038</v>
      </c>
      <c r="B228" s="3095" t="str">
        <f t="shared" si="73"/>
        <v>District Cooling</v>
      </c>
      <c r="C228" s="3096"/>
      <c r="D228" s="3096"/>
      <c r="E228" s="3096"/>
      <c r="F228" s="650" t="str">
        <f t="shared" si="64"/>
        <v>MWh</v>
      </c>
      <c r="G228" s="523"/>
      <c r="H228" s="523"/>
      <c r="I228" s="523"/>
      <c r="J228" s="523"/>
      <c r="K228" s="3097" t="str">
        <f t="shared" si="74"/>
        <v/>
      </c>
      <c r="L228" s="3098"/>
      <c r="M228" s="3099"/>
      <c r="Q228" s="627">
        <f t="shared" si="66"/>
        <v>3.4119999999999999</v>
      </c>
      <c r="R228" s="627">
        <f t="shared" si="67"/>
        <v>3.4119999999999999</v>
      </c>
      <c r="AD228" s="263"/>
      <c r="BC228" s="804"/>
    </row>
    <row r="229" spans="1:61" ht="15" customHeight="1" x14ac:dyDescent="0.25">
      <c r="A229" s="433" t="s">
        <v>1038</v>
      </c>
      <c r="B229" s="3095" t="str">
        <f t="shared" si="73"/>
        <v>District Cooling</v>
      </c>
      <c r="C229" s="3096"/>
      <c r="D229" s="3096"/>
      <c r="E229" s="3096"/>
      <c r="F229" s="650" t="str">
        <f t="shared" si="64"/>
        <v>MWh</v>
      </c>
      <c r="G229" s="523"/>
      <c r="H229" s="523"/>
      <c r="I229" s="523"/>
      <c r="J229" s="523"/>
      <c r="K229" s="3097" t="str">
        <f t="shared" si="74"/>
        <v/>
      </c>
      <c r="L229" s="3098"/>
      <c r="M229" s="3099"/>
      <c r="Q229" s="627">
        <f t="shared" si="66"/>
        <v>3.4119999999999999</v>
      </c>
      <c r="R229" s="627">
        <f t="shared" si="67"/>
        <v>3.4119999999999999</v>
      </c>
      <c r="AD229" s="263"/>
      <c r="BC229" s="804"/>
    </row>
    <row r="230" spans="1:61" ht="21" customHeight="1" x14ac:dyDescent="0.25">
      <c r="A230" s="433" t="s">
        <v>1038</v>
      </c>
      <c r="B230" s="3141" t="s">
        <v>1008</v>
      </c>
      <c r="C230" s="3171"/>
      <c r="D230" s="3171"/>
      <c r="E230" s="3171"/>
      <c r="F230" s="3171"/>
      <c r="G230" s="524">
        <f t="shared" ref="G230:M230" si="75">IFERROR(SUM(INDEX(PO_Enrgy_6_Table,0,MATCH(G$214,PO_Enrgy_6_Hdr,0))),"")</f>
        <v>0</v>
      </c>
      <c r="H230" s="524">
        <f t="shared" si="75"/>
        <v>0</v>
      </c>
      <c r="I230" s="524">
        <f t="shared" si="75"/>
        <v>0</v>
      </c>
      <c r="J230" s="524">
        <f t="shared" si="75"/>
        <v>0</v>
      </c>
      <c r="K230" s="3232">
        <f t="shared" si="75"/>
        <v>0</v>
      </c>
      <c r="L230" s="3233" t="str">
        <f t="shared" si="75"/>
        <v/>
      </c>
      <c r="M230" s="3234" t="str">
        <f t="shared" si="75"/>
        <v/>
      </c>
      <c r="BC230" s="804"/>
    </row>
    <row r="231" spans="1:61" ht="18" customHeight="1" x14ac:dyDescent="0.25">
      <c r="A231" s="433" t="s">
        <v>1038</v>
      </c>
      <c r="B231" s="329"/>
      <c r="C231" s="329"/>
      <c r="D231" s="329"/>
      <c r="E231" s="266"/>
      <c r="F231" s="266"/>
      <c r="G231" s="337"/>
      <c r="H231" s="337"/>
      <c r="I231" s="337"/>
      <c r="J231" s="337"/>
      <c r="K231" s="251"/>
      <c r="L231" s="251"/>
      <c r="M231" s="251"/>
    </row>
    <row r="232" spans="1:61" ht="33" customHeight="1" x14ac:dyDescent="0.25">
      <c r="A232" s="433" t="s">
        <v>1038</v>
      </c>
      <c r="B232" s="329"/>
      <c r="C232" s="329"/>
      <c r="D232" s="329"/>
      <c r="E232" s="266"/>
      <c r="F232" s="266"/>
      <c r="G232" s="338"/>
      <c r="H232" s="338"/>
      <c r="I232" s="338"/>
      <c r="J232" s="338"/>
      <c r="K232" s="250"/>
      <c r="L232" s="250"/>
      <c r="M232" s="250"/>
    </row>
    <row r="233" spans="1:61" ht="21.75" customHeight="1" x14ac:dyDescent="0.25">
      <c r="A233" s="433" t="s">
        <v>1038</v>
      </c>
      <c r="B233" s="287" t="s">
        <v>1009</v>
      </c>
      <c r="C233" s="288"/>
      <c r="D233" s="288"/>
      <c r="E233" s="288"/>
      <c r="F233" s="288"/>
      <c r="G233" s="288"/>
      <c r="H233" s="288"/>
      <c r="I233" s="288"/>
      <c r="J233" s="288"/>
      <c r="K233" s="288"/>
      <c r="L233" s="288"/>
      <c r="M233" s="288"/>
    </row>
    <row r="234" spans="1:61" ht="34.5" hidden="1" customHeight="1" x14ac:dyDescent="0.25">
      <c r="A234" s="433" t="s">
        <v>1038</v>
      </c>
      <c r="B234" s="3201" t="s">
        <v>368</v>
      </c>
      <c r="C234" s="3201"/>
      <c r="D234" s="3201"/>
      <c r="E234" s="3201"/>
      <c r="F234" s="3201"/>
      <c r="G234" s="3201"/>
      <c r="H234" s="3201"/>
      <c r="I234" s="3201"/>
      <c r="J234" s="3201"/>
      <c r="K234" s="3201"/>
      <c r="L234" s="3201"/>
      <c r="M234" s="3201"/>
    </row>
    <row r="235" spans="1:61" ht="33" hidden="1" customHeight="1" x14ac:dyDescent="0.25">
      <c r="A235" s="433" t="s">
        <v>1038</v>
      </c>
      <c r="B235" s="3201" t="s">
        <v>951</v>
      </c>
      <c r="C235" s="3201"/>
      <c r="D235" s="3201"/>
      <c r="E235" s="3201"/>
      <c r="F235" s="3201"/>
      <c r="G235" s="3201"/>
      <c r="H235" s="3201"/>
      <c r="I235" s="3201"/>
      <c r="J235" s="3201"/>
      <c r="K235" s="3201"/>
      <c r="L235" s="3201"/>
      <c r="M235" s="3201"/>
    </row>
    <row r="236" spans="1:61" ht="33" hidden="1" customHeight="1" x14ac:dyDescent="0.25">
      <c r="A236" s="433" t="s">
        <v>1038</v>
      </c>
      <c r="B236" s="3201" t="s">
        <v>939</v>
      </c>
      <c r="C236" s="3201"/>
      <c r="D236" s="3201"/>
      <c r="E236" s="3201"/>
      <c r="F236" s="3201"/>
      <c r="G236" s="3201"/>
      <c r="H236" s="3201"/>
      <c r="I236" s="3201"/>
      <c r="J236" s="3201"/>
      <c r="K236" s="3201"/>
      <c r="L236" s="3201"/>
      <c r="M236" s="3201"/>
    </row>
    <row r="237" spans="1:61" ht="33" hidden="1" customHeight="1" x14ac:dyDescent="0.25">
      <c r="A237" s="433" t="s">
        <v>1038</v>
      </c>
      <c r="B237" s="3201" t="s">
        <v>953</v>
      </c>
      <c r="C237" s="3201"/>
      <c r="D237" s="3201"/>
      <c r="E237" s="3201"/>
      <c r="F237" s="3201"/>
      <c r="G237" s="3201"/>
      <c r="H237" s="3201"/>
      <c r="I237" s="3201"/>
      <c r="J237" s="3201"/>
      <c r="K237" s="3201"/>
      <c r="L237" s="3201"/>
      <c r="M237" s="3201"/>
    </row>
    <row r="238" spans="1:61" ht="33" hidden="1" customHeight="1" x14ac:dyDescent="0.25">
      <c r="A238" s="433" t="s">
        <v>1038</v>
      </c>
      <c r="B238" s="3201" t="s">
        <v>940</v>
      </c>
      <c r="C238" s="3220"/>
      <c r="D238" s="3220"/>
      <c r="E238" s="3220"/>
      <c r="F238" s="3220"/>
      <c r="G238" s="3220"/>
      <c r="H238" s="3220"/>
      <c r="I238" s="3220"/>
      <c r="J238" s="3220"/>
      <c r="K238" s="3220"/>
      <c r="L238" s="3220"/>
      <c r="M238" s="3220"/>
    </row>
    <row r="239" spans="1:61" ht="45" hidden="1" customHeight="1" x14ac:dyDescent="0.25">
      <c r="A239" s="433" t="s">
        <v>1038</v>
      </c>
      <c r="B239" s="3201" t="s">
        <v>1033</v>
      </c>
      <c r="C239" s="3220"/>
      <c r="D239" s="3220"/>
      <c r="E239" s="3220"/>
      <c r="F239" s="3220"/>
      <c r="G239" s="3220"/>
      <c r="H239" s="3220"/>
      <c r="I239" s="3220"/>
      <c r="J239" s="3220"/>
      <c r="K239" s="3220"/>
      <c r="L239" s="3220"/>
      <c r="M239" s="3220"/>
    </row>
    <row r="240" spans="1:61" ht="15" customHeight="1" x14ac:dyDescent="0.25">
      <c r="A240" s="433" t="s">
        <v>1038</v>
      </c>
      <c r="B240" s="243"/>
      <c r="BF240" s="3229" t="s">
        <v>2084</v>
      </c>
      <c r="BG240" s="3229"/>
      <c r="BH240" s="3229"/>
      <c r="BI240" s="3229"/>
    </row>
    <row r="241" spans="1:61" ht="98.25" customHeight="1" x14ac:dyDescent="0.25">
      <c r="A241" s="433" t="s">
        <v>1038</v>
      </c>
      <c r="B241" s="3140" t="s">
        <v>367</v>
      </c>
      <c r="C241" s="3102"/>
      <c r="D241" s="513" t="s">
        <v>366</v>
      </c>
      <c r="E241" s="580" t="s">
        <v>354</v>
      </c>
      <c r="F241" s="580" t="s">
        <v>1010</v>
      </c>
      <c r="G241" s="580" t="s">
        <v>272</v>
      </c>
      <c r="H241" s="580" t="s">
        <v>273</v>
      </c>
      <c r="I241" s="580" t="s">
        <v>1011</v>
      </c>
      <c r="J241" s="580" t="s">
        <v>1012</v>
      </c>
      <c r="K241" s="3140" t="s">
        <v>1022</v>
      </c>
      <c r="L241" s="3140"/>
      <c r="M241" s="580" t="s">
        <v>1013</v>
      </c>
      <c r="W241" s="627" t="s">
        <v>880</v>
      </c>
      <c r="Y241" s="627" t="s">
        <v>881</v>
      </c>
      <c r="Z241" s="235" t="s">
        <v>882</v>
      </c>
      <c r="AG241" s="627" t="s">
        <v>1470</v>
      </c>
      <c r="BF241" s="580" t="s">
        <v>2085</v>
      </c>
      <c r="BG241" s="580" t="s">
        <v>2087</v>
      </c>
      <c r="BH241" s="580" t="s">
        <v>2088</v>
      </c>
      <c r="BI241" s="580" t="s">
        <v>2086</v>
      </c>
    </row>
    <row r="242" spans="1:61" s="243" customFormat="1" ht="13.8" hidden="1" x14ac:dyDescent="0.25">
      <c r="A242" s="433" t="s">
        <v>1038</v>
      </c>
      <c r="B242" s="462" t="s">
        <v>1422</v>
      </c>
      <c r="C242" s="460"/>
      <c r="D242" s="462" t="s">
        <v>1423</v>
      </c>
      <c r="E242" s="462" t="s">
        <v>1396</v>
      </c>
      <c r="F242" s="462" t="s">
        <v>1424</v>
      </c>
      <c r="G242" s="462" t="s">
        <v>1429</v>
      </c>
      <c r="H242" s="462" t="s">
        <v>1431</v>
      </c>
      <c r="I242" s="462" t="s">
        <v>1432</v>
      </c>
      <c r="J242" s="462" t="s">
        <v>1433</v>
      </c>
      <c r="K242" s="462" t="s">
        <v>1434</v>
      </c>
      <c r="L242" s="462"/>
      <c r="M242" s="462" t="s">
        <v>1435</v>
      </c>
      <c r="Q242" s="628" t="s">
        <v>1407</v>
      </c>
      <c r="R242" s="628" t="s">
        <v>1408</v>
      </c>
      <c r="S242" s="628" t="s">
        <v>1483</v>
      </c>
      <c r="T242" s="628" t="s">
        <v>1484</v>
      </c>
      <c r="W242" s="243" t="s">
        <v>880</v>
      </c>
      <c r="Y242" s="243" t="s">
        <v>881</v>
      </c>
      <c r="Z242" s="243" t="s">
        <v>882</v>
      </c>
      <c r="BF242" s="588"/>
      <c r="BG242" s="235"/>
      <c r="BH242" s="235"/>
      <c r="BI242" s="235"/>
    </row>
    <row r="243" spans="1:61" ht="15.75" customHeight="1" x14ac:dyDescent="0.25">
      <c r="A243" s="433" t="s">
        <v>1038</v>
      </c>
      <c r="B243" s="3228" t="s">
        <v>392</v>
      </c>
      <c r="C243" s="3230"/>
      <c r="D243" s="3227">
        <f>INDEX(PO_baseline_table,1, 3)</f>
        <v>0</v>
      </c>
      <c r="E243" s="3225" t="str">
        <f>INDEX(PO_baseline_table,1, 4)</f>
        <v>Electricity</v>
      </c>
      <c r="F243" s="499" t="str">
        <f>IFERROR(IF(ISBLANK(E243),"","Consumption (" &amp; VLOOKUP($E243,PO_Enrgy_1_Table,MATCH($C$16,PO_Enrgy_1_Hdr,0),FALSE) &amp; ")"),"")</f>
        <v>Consumption (kWh)</v>
      </c>
      <c r="G243" s="590" t="str">
        <f ca="1">INDEX(PO_baseline_table,1, 10)</f>
        <v/>
      </c>
      <c r="H243" s="525" t="str">
        <f t="shared" ref="H243:H290" ca="1" si="76">IFERROR(IF(SimTool="eQUEST",INDIRECT("'Results from eQuest'!"&amp;$BF243&amp;"13"),IF(SimTool="Trace",INDIRECT("'Results from Trace'!H"&amp;$BI243)/$Q243,"")),"")</f>
        <v/>
      </c>
      <c r="I243" s="658" t="str">
        <f ca="1">IFERROR(1-H243/G243,"")</f>
        <v/>
      </c>
      <c r="J243" s="3105" t="str">
        <f ca="1">IFERROR(IF($E$520-$H$520&lt;0,"",($G243-$H243)*VLOOKUP($E243,PO_Enrgy_1_Table,MATCH($K$16,PO_Enrgy_1_Hdr,0),FALSE)/($E$520-$H$520)),"")</f>
        <v/>
      </c>
      <c r="K243" s="3103" t="str">
        <f ca="1">IFERROR(IF($G$520-$J$520&lt;0,"",($G243*VLOOKUP($E243,PO_Enrgy_8_Table,MATCH($E$316,PO_Enrgy_8_Hdr,0),FALSE)-($H243*VLOOKUP($E243,PO_Enrgy_8_Table,MATCH($H$316,PO_Enrgy_8_Hdr,0),FALSE)))/($G$520-$J$520)),"")</f>
        <v/>
      </c>
      <c r="L243" s="3103"/>
      <c r="M243" s="3104" t="str">
        <f ca="1">IFERROR(H243*VLOOKUP($E243,PO_Enrgy_1_Table,MATCH($K$16,PO_Enrgy_1_Hdr,0))/$H$311,"")</f>
        <v/>
      </c>
      <c r="Q243" s="627">
        <f t="shared" ref="Q243:Q290" si="77">IFERROR(IF(ISBLANK($E243),"",VLOOKUP($E243,PO_Enrgy_1_Table,MATCH($K$16,PO_Enrgy_1_Hdr,0),FALSE)),"")</f>
        <v>3.4120000000000001E-3</v>
      </c>
      <c r="R243" s="627">
        <f t="shared" ref="R243:R290" si="78">IFERROR(IF(ISBLANK($E243),"",VLOOKUP($E243,PO_Enrgy_1_Table,MATCH($M$16,PO_Enrgy_1_Hdr,0),FALSE)),"")</f>
        <v>1.0713680000000001E-2</v>
      </c>
      <c r="S243" s="627" t="str">
        <f t="shared" ref="S243:S290" ca="1" si="79">IFERROR(IF(FIND("Consumption",F243),(G243*VLOOKUP(MID(F243,FIND("(",F243)+1,LEN(F243)-FIND("(",F243)-1),EnergyUnitsTable,3,FALSE))/(G244*VLOOKUP(MID(F244,FIND("(",F244)+1,LEN(F244)-FIND("(",F244)-1),DemandTable,3,FALSE)),1),"")</f>
        <v/>
      </c>
      <c r="T243" s="627" t="str">
        <f t="shared" ref="T243:T290" ca="1" si="80">IFERROR(IF(FIND("Consumption",$F243),(H243*VLOOKUP(MID($F243,FIND("(",$F243)+1,LEN($F243)-FIND("(",$F243)-1),EnergyUnitsTable,3,FALSE))/(H244*VLOOKUP(MID($F244,FIND("(",$F244)+1,LEN($F244)-FIND("(",$F244)-1),DemandTable,3,FALSE)),1),"")</f>
        <v/>
      </c>
      <c r="V243" s="636">
        <f t="shared" ref="V243:V290" ca="1" si="81">IFERROR($AN243*H243,0)</f>
        <v>0</v>
      </c>
      <c r="W243" s="627">
        <f t="shared" ref="W243:W290" ca="1" si="82">IFERROR(G243*VLOOKUP($AE243,PO_Enrgy_8_Table,4,FALSE),0)</f>
        <v>0</v>
      </c>
      <c r="X243" s="627">
        <f t="shared" ref="X243:X290" ca="1" si="83">IFERROR(H243*VLOOKUP($AE243,PO_Enrgy_8_Table,7,FALSE),0)</f>
        <v>0</v>
      </c>
      <c r="Y243" s="627" t="b">
        <f>IFERROR(IF(D243="x",IF(OR(G243/H243&gt;1.03,G243/H243&lt;0.97),TRUE,FALSE),FALSE),FALSE)</f>
        <v>0</v>
      </c>
      <c r="Z243" s="627">
        <f ca="1">IFERROR(J243*100,)</f>
        <v>0</v>
      </c>
      <c r="AA243" s="627"/>
      <c r="AB243" s="627">
        <f ca="1">RANK(Z243,$Z$243:$Z$290,0)</f>
        <v>1</v>
      </c>
      <c r="AC243" s="627">
        <f ca="1">AB243</f>
        <v>1</v>
      </c>
      <c r="AD243" s="627" t="str">
        <f>B243</f>
        <v>Interior lighting</v>
      </c>
      <c r="AE243" s="2"/>
      <c r="AF243" s="3231" t="str">
        <f ca="1">IFERROR(G243/'6b - General Lighting'!#REF!,"")</f>
        <v/>
      </c>
      <c r="AG243" s="3231"/>
      <c r="AH243" s="436"/>
      <c r="AI243" s="363"/>
      <c r="AJ243" s="363"/>
      <c r="AK243" s="562"/>
      <c r="AO243" s="252"/>
      <c r="BC243" s="804"/>
      <c r="BF243" s="983" t="str">
        <f t="shared" ref="BF243:BH262" si="84">BF145</f>
        <v>L</v>
      </c>
      <c r="BG243" s="983" t="str">
        <f t="shared" si="84"/>
        <v>Lighting - Conditioned</v>
      </c>
      <c r="BH243" s="983" t="str">
        <f t="shared" si="84"/>
        <v>Electricity</v>
      </c>
      <c r="BI243" s="983">
        <f>IF(BG243&lt;&gt;"",IFERROR(MATCH(BG243&amp;BH243,'Results from Trace'!$L$1:$L$21,0),""),"")</f>
        <v>7</v>
      </c>
    </row>
    <row r="244" spans="1:61" ht="16.2" customHeight="1" x14ac:dyDescent="0.25">
      <c r="A244" s="433" t="s">
        <v>1038</v>
      </c>
      <c r="B244" s="3230"/>
      <c r="C244" s="3230"/>
      <c r="D244" s="3227"/>
      <c r="E244" s="3225"/>
      <c r="F244" s="499" t="str">
        <f>IFERROR(IF(ISBLANK(E243),"","Demand (" &amp; VLOOKUP($E243,PO_Enrgy_1_Table,MATCH($E$16,PO_Enrgy_1_Hdr,0),FALSE) &amp; ")"),"")</f>
        <v>Demand (kW)</v>
      </c>
      <c r="G244" s="590" t="str">
        <f ca="1">INDEX(PO_baseline_table,2, 10)</f>
        <v/>
      </c>
      <c r="H244" s="525" t="str">
        <f t="shared" ca="1" si="76"/>
        <v/>
      </c>
      <c r="I244" s="592" t="str">
        <f t="shared" ref="I244:I290" ca="1" si="85">IFERROR(1-H244/G244,"")</f>
        <v/>
      </c>
      <c r="J244" s="3106"/>
      <c r="K244" s="3103"/>
      <c r="L244" s="3103"/>
      <c r="M244" s="3088"/>
      <c r="Q244" s="627" t="str">
        <f t="shared" si="77"/>
        <v/>
      </c>
      <c r="R244" s="627" t="str">
        <f t="shared" si="78"/>
        <v/>
      </c>
      <c r="S244" s="627" t="str">
        <f t="shared" si="79"/>
        <v/>
      </c>
      <c r="T244" s="627" t="str">
        <f t="shared" si="80"/>
        <v/>
      </c>
      <c r="V244" s="636">
        <f t="shared" ca="1" si="81"/>
        <v>0</v>
      </c>
      <c r="W244" s="627">
        <f t="shared" ca="1" si="82"/>
        <v>0</v>
      </c>
      <c r="X244" s="627">
        <f t="shared" ca="1" si="83"/>
        <v>0</v>
      </c>
      <c r="Y244" s="627"/>
      <c r="Z244" s="627"/>
      <c r="AA244" s="627"/>
      <c r="AB244" s="627"/>
      <c r="AC244" s="627"/>
      <c r="AD244" s="627"/>
      <c r="AE244" s="2"/>
      <c r="AF244" s="3231"/>
      <c r="AG244" s="3231"/>
      <c r="AH244" s="436"/>
      <c r="AI244" s="363"/>
      <c r="AJ244" s="363"/>
      <c r="AK244" s="563"/>
      <c r="AO244" s="252"/>
      <c r="BC244" s="804"/>
      <c r="BF244" s="983" t="str">
        <f t="shared" si="84"/>
        <v>Y</v>
      </c>
      <c r="BG244" s="983">
        <f t="shared" si="84"/>
        <v>0</v>
      </c>
      <c r="BH244" s="983">
        <f t="shared" si="84"/>
        <v>0</v>
      </c>
      <c r="BI244" s="983"/>
    </row>
    <row r="245" spans="1:61" ht="16.2" customHeight="1" x14ac:dyDescent="0.25">
      <c r="A245" s="433" t="s">
        <v>1038</v>
      </c>
      <c r="B245" s="3228" t="s">
        <v>391</v>
      </c>
      <c r="C245" s="3228"/>
      <c r="D245" s="3227">
        <f>INDEX(PO_baseline_table,3, 3)</f>
        <v>0</v>
      </c>
      <c r="E245" s="3225" t="str">
        <f>INDEX(PO_baseline_table,3, 4)</f>
        <v>Electricity</v>
      </c>
      <c r="F245" s="499" t="str">
        <f>IFERROR(IF(ISBLANK(E245),"","Consumption (" &amp; VLOOKUP($E245,PO_Enrgy_1_Table,MATCH($C$16,PO_Enrgy_1_Hdr,0),FALSE) &amp; ")"),"")</f>
        <v>Consumption (kWh)</v>
      </c>
      <c r="G245" s="590" t="str">
        <f ca="1">INDEX(PO_baseline_table,3, 10)</f>
        <v/>
      </c>
      <c r="H245" s="525" t="str">
        <f t="shared" ca="1" si="76"/>
        <v/>
      </c>
      <c r="I245" s="658" t="str">
        <f t="shared" ca="1" si="85"/>
        <v/>
      </c>
      <c r="J245" s="3105" t="str">
        <f ca="1">IFERROR(IF($E$520-$H$520&lt;0,"",($G245-$H245)*VLOOKUP($E245,PO_Enrgy_1_Table,MATCH($K$16,PO_Enrgy_1_Hdr,0),FALSE)/($E$520-$H$520)),"")</f>
        <v/>
      </c>
      <c r="K245" s="3103" t="str">
        <f ca="1">IFERROR(IF($G$520-$J$520&lt;0,"",($G245*VLOOKUP($E245,PO_Enrgy_8_Table,MATCH($E$316,PO_Enrgy_8_Hdr,0),FALSE)-($H245*VLOOKUP($E245,PO_Enrgy_8_Table,MATCH($H$316,PO_Enrgy_8_Hdr,0),FALSE)))/($G$520-$J$520)),"")</f>
        <v/>
      </c>
      <c r="L245" s="3103"/>
      <c r="M245" s="3104" t="str">
        <f ca="1">IFERROR(H245*VLOOKUP($E245,PO_Enrgy_1_Table,MATCH($K$16,PO_Enrgy_1_Hdr,0))/$H$311,"")</f>
        <v/>
      </c>
      <c r="Q245" s="627">
        <f t="shared" si="77"/>
        <v>3.4120000000000001E-3</v>
      </c>
      <c r="R245" s="627">
        <f t="shared" si="78"/>
        <v>1.0713680000000001E-2</v>
      </c>
      <c r="S245" s="627" t="str">
        <f t="shared" ca="1" si="79"/>
        <v/>
      </c>
      <c r="T245" s="627" t="str">
        <f t="shared" ca="1" si="80"/>
        <v/>
      </c>
      <c r="V245" s="636">
        <f t="shared" ca="1" si="81"/>
        <v>0</v>
      </c>
      <c r="W245" s="627">
        <f t="shared" ca="1" si="82"/>
        <v>0</v>
      </c>
      <c r="X245" s="627">
        <f t="shared" ca="1" si="83"/>
        <v>0</v>
      </c>
      <c r="Y245" s="627" t="b">
        <f>IFERROR(IF(D245="x",IF(OR(G245/H245&gt;1.03,G245/H245&lt;0.97),TRUE,FALSE),FALSE),FALSE)</f>
        <v>0</v>
      </c>
      <c r="Z245" s="627">
        <f ca="1">IFERROR(J245*100,)</f>
        <v>0</v>
      </c>
      <c r="AA245" s="627"/>
      <c r="AB245" s="627">
        <f ca="1">RANK(Z245,$Z$243:$Z$290,0)</f>
        <v>1</v>
      </c>
      <c r="AC245" s="627">
        <f ca="1">AB245+COUNTIF($AB$243:$AB244,AB245)</f>
        <v>2</v>
      </c>
      <c r="AD245" s="627" t="str">
        <f>B245</f>
        <v>Exterior lighting</v>
      </c>
      <c r="AE245" s="2"/>
      <c r="AF245" s="3222"/>
      <c r="AG245" s="3222"/>
      <c r="AH245" s="436"/>
      <c r="AI245" s="363"/>
      <c r="AJ245" s="363"/>
      <c r="AK245" s="562"/>
      <c r="AO245" s="252"/>
      <c r="BC245" s="804"/>
      <c r="BF245" s="983" t="str">
        <f t="shared" si="84"/>
        <v>W</v>
      </c>
      <c r="BG245" s="983" t="str">
        <f t="shared" si="84"/>
        <v>Stand-alone Base Utilities</v>
      </c>
      <c r="BH245" s="983" t="str">
        <f t="shared" si="84"/>
        <v>Electricity</v>
      </c>
      <c r="BI245" s="983">
        <f>IF(BG245&lt;&gt;"",IFERROR(MATCH(BG245&amp;BH245,'Results from Trace'!$L$1:$L$21,0),""),"")</f>
        <v>15</v>
      </c>
    </row>
    <row r="246" spans="1:61" ht="16.2" customHeight="1" x14ac:dyDescent="0.25">
      <c r="A246" s="433" t="s">
        <v>1038</v>
      </c>
      <c r="B246" s="3228"/>
      <c r="C246" s="3228"/>
      <c r="D246" s="3227"/>
      <c r="E246" s="3225"/>
      <c r="F246" s="499" t="str">
        <f>IFERROR(IF(ISBLANK(E245),"","Demand (" &amp; VLOOKUP($E245,PO_Enrgy_1_Table,MATCH($E$16,PO_Enrgy_1_Hdr,0),FALSE) &amp; ")"),"")</f>
        <v>Demand (kW)</v>
      </c>
      <c r="G246" s="591" t="str">
        <f ca="1">INDEX(PO_baseline_table,4, 10)</f>
        <v/>
      </c>
      <c r="H246" s="525" t="str">
        <f t="shared" ca="1" si="76"/>
        <v/>
      </c>
      <c r="I246" s="592" t="str">
        <f t="shared" ca="1" si="85"/>
        <v/>
      </c>
      <c r="J246" s="3106"/>
      <c r="K246" s="3103"/>
      <c r="L246" s="3103"/>
      <c r="M246" s="3088"/>
      <c r="Q246" s="627" t="str">
        <f t="shared" si="77"/>
        <v/>
      </c>
      <c r="R246" s="627" t="str">
        <f t="shared" si="78"/>
        <v/>
      </c>
      <c r="S246" s="627" t="str">
        <f t="shared" si="79"/>
        <v/>
      </c>
      <c r="T246" s="627" t="str">
        <f t="shared" si="80"/>
        <v/>
      </c>
      <c r="V246" s="636">
        <f t="shared" ca="1" si="81"/>
        <v>0</v>
      </c>
      <c r="W246" s="627">
        <f t="shared" ca="1" si="82"/>
        <v>0</v>
      </c>
      <c r="X246" s="627">
        <f t="shared" ca="1" si="83"/>
        <v>0</v>
      </c>
      <c r="Y246" s="627"/>
      <c r="Z246" s="627"/>
      <c r="AA246" s="627"/>
      <c r="AB246" s="627"/>
      <c r="AC246" s="627"/>
      <c r="AD246" s="627"/>
      <c r="AE246" s="2"/>
      <c r="AF246" s="3222"/>
      <c r="AG246" s="3222"/>
      <c r="AH246" s="436"/>
      <c r="AI246" s="363"/>
      <c r="AJ246" s="363"/>
      <c r="AK246" s="563"/>
      <c r="AO246" s="252"/>
      <c r="BC246" s="804"/>
      <c r="BF246" s="983" t="str">
        <f t="shared" si="84"/>
        <v>AJ</v>
      </c>
      <c r="BG246" s="983">
        <f t="shared" si="84"/>
        <v>0</v>
      </c>
      <c r="BH246" s="983">
        <f t="shared" si="84"/>
        <v>0</v>
      </c>
      <c r="BI246" s="983"/>
    </row>
    <row r="247" spans="1:61" ht="16.2" customHeight="1" x14ac:dyDescent="0.25">
      <c r="A247" s="433" t="s">
        <v>1038</v>
      </c>
      <c r="B247" s="3228" t="s">
        <v>390</v>
      </c>
      <c r="C247" s="3228"/>
      <c r="D247" s="3227">
        <f>INDEX(PO_baseline_table,5, 3)</f>
        <v>0</v>
      </c>
      <c r="E247" s="3225" t="str">
        <f>INDEX(PO_baseline_table,5, 4)</f>
        <v>Natural Gas</v>
      </c>
      <c r="F247" s="499" t="str">
        <f>IFERROR(IF(ISBLANK(E247),"","Consumption (" &amp; VLOOKUP($E247,PO_Enrgy_1_Table,MATCH($C$16,PO_Enrgy_1_Hdr,0),FALSE) &amp; ")"),"")</f>
        <v>Consumption (therm)</v>
      </c>
      <c r="G247" s="590" t="str">
        <f ca="1">INDEX(PO_baseline_table,5, 10)</f>
        <v/>
      </c>
      <c r="H247" s="525" t="str">
        <f t="shared" ca="1" si="76"/>
        <v/>
      </c>
      <c r="I247" s="658" t="str">
        <f t="shared" ca="1" si="85"/>
        <v/>
      </c>
      <c r="J247" s="3105" t="str">
        <f ca="1">IFERROR(IF($E$520-$H$520&lt;0,"",($G247-$H247)*VLOOKUP($E247,PO_Enrgy_1_Table,MATCH($K$16,PO_Enrgy_1_Hdr,0),FALSE)/($E$520-$H$520)),"")</f>
        <v/>
      </c>
      <c r="K247" s="3103" t="str">
        <f ca="1">IFERROR(IF($G$520-$J$520&lt;0,"",($G247*VLOOKUP($E247,PO_Enrgy_8_Table,MATCH($E$316,PO_Enrgy_8_Hdr,0),FALSE)-($H247*VLOOKUP($E247,PO_Enrgy_8_Table,MATCH($H$316,PO_Enrgy_8_Hdr,0),FALSE)))/($G$520-$J$520)),"")</f>
        <v/>
      </c>
      <c r="L247" s="3103"/>
      <c r="M247" s="3104" t="str">
        <f ca="1">IFERROR(H247*VLOOKUP($E247,PO_Enrgy_1_Table,MATCH($K$16,PO_Enrgy_1_Hdr,0))/$H$311,"")</f>
        <v/>
      </c>
      <c r="Q247" s="627">
        <f t="shared" si="77"/>
        <v>0.1</v>
      </c>
      <c r="R247" s="627">
        <f t="shared" si="78"/>
        <v>0.10500000000000001</v>
      </c>
      <c r="S247" s="627" t="str">
        <f t="shared" ca="1" si="79"/>
        <v/>
      </c>
      <c r="T247" s="627" t="str">
        <f t="shared" ca="1" si="80"/>
        <v/>
      </c>
      <c r="V247" s="636">
        <f t="shared" ca="1" si="81"/>
        <v>0</v>
      </c>
      <c r="W247" s="627">
        <f t="shared" ca="1" si="82"/>
        <v>0</v>
      </c>
      <c r="X247" s="627">
        <f t="shared" ca="1" si="83"/>
        <v>0</v>
      </c>
      <c r="Y247" s="627" t="b">
        <f>IFERROR(IF(D247="x",IF(OR(G247/H247&gt;1.03,G247/H247&lt;0.97),TRUE,FALSE),FALSE),FALSE)</f>
        <v>0</v>
      </c>
      <c r="Z247" s="627">
        <f ca="1">IFERROR(J247*100,)</f>
        <v>0</v>
      </c>
      <c r="AA247" s="627"/>
      <c r="AB247" s="627">
        <f ca="1">RANK(Z247,$Z$243:$Z$290,0)</f>
        <v>1</v>
      </c>
      <c r="AC247" s="627">
        <f ca="1">AB247+COUNTIF($AB$243:$AB246,AB247)</f>
        <v>3</v>
      </c>
      <c r="AD247" s="627" t="str">
        <f>B247</f>
        <v>Space heating</v>
      </c>
      <c r="AE247" s="2"/>
      <c r="AF247" s="3222"/>
      <c r="AG247" s="3222"/>
      <c r="AH247" s="436"/>
      <c r="AI247" s="363"/>
      <c r="AJ247" s="363"/>
      <c r="AK247" s="562"/>
      <c r="AO247" s="252"/>
      <c r="BC247" s="804"/>
      <c r="BF247" s="983" t="str">
        <f t="shared" si="84"/>
        <v>BA</v>
      </c>
      <c r="BG247" s="983" t="str">
        <f t="shared" si="84"/>
        <v>Space Heating</v>
      </c>
      <c r="BH247" s="983" t="str">
        <f t="shared" si="84"/>
        <v>Gas</v>
      </c>
      <c r="BI247" s="983">
        <f>IF(BG247&lt;&gt;"",IFERROR(MATCH(BG247&amp;BH247,'Results from Trace'!$L$1:$L$21,0),""),"")</f>
        <v>9</v>
      </c>
    </row>
    <row r="248" spans="1:61" ht="16.2" customHeight="1" x14ac:dyDescent="0.25">
      <c r="A248" s="433" t="s">
        <v>1038</v>
      </c>
      <c r="B248" s="3228"/>
      <c r="C248" s="3228"/>
      <c r="D248" s="3227"/>
      <c r="E248" s="3225"/>
      <c r="F248" s="499" t="str">
        <f>IFERROR(IF(ISBLANK(E247),"","Demand (" &amp; VLOOKUP($E247,PO_Enrgy_1_Table,MATCH($E$16,PO_Enrgy_1_Hdr,0),FALSE) &amp; ")"),"")</f>
        <v>Demand (Btuh x 10^6)</v>
      </c>
      <c r="G248" s="591" t="str">
        <f ca="1">INDEX(PO_baseline_table,6, 10)</f>
        <v/>
      </c>
      <c r="H248" s="525" t="str">
        <f t="shared" ca="1" si="76"/>
        <v/>
      </c>
      <c r="I248" s="592" t="str">
        <f t="shared" ca="1" si="85"/>
        <v/>
      </c>
      <c r="J248" s="3106"/>
      <c r="K248" s="3103"/>
      <c r="L248" s="3103"/>
      <c r="M248" s="3088"/>
      <c r="Q248" s="627" t="str">
        <f t="shared" si="77"/>
        <v/>
      </c>
      <c r="R248" s="627" t="str">
        <f t="shared" si="78"/>
        <v/>
      </c>
      <c r="S248" s="627" t="str">
        <f t="shared" si="79"/>
        <v/>
      </c>
      <c r="T248" s="627" t="str">
        <f t="shared" si="80"/>
        <v/>
      </c>
      <c r="V248" s="636">
        <f t="shared" ca="1" si="81"/>
        <v>0</v>
      </c>
      <c r="W248" s="627">
        <f t="shared" ca="1" si="82"/>
        <v>0</v>
      </c>
      <c r="X248" s="627">
        <f t="shared" ca="1" si="83"/>
        <v>0</v>
      </c>
      <c r="Y248" s="627"/>
      <c r="Z248" s="627"/>
      <c r="AA248" s="627"/>
      <c r="AB248" s="627"/>
      <c r="AC248" s="627"/>
      <c r="AD248" s="627"/>
      <c r="AE248" s="2"/>
      <c r="AF248" s="3222"/>
      <c r="AG248" s="3222"/>
      <c r="AH248" s="436"/>
      <c r="AI248" s="363"/>
      <c r="AJ248" s="363"/>
      <c r="AK248" s="563"/>
      <c r="AO248" s="252"/>
      <c r="BC248" s="804"/>
      <c r="BF248" s="983">
        <f t="shared" si="84"/>
        <v>0</v>
      </c>
      <c r="BG248" s="983">
        <f t="shared" si="84"/>
        <v>0</v>
      </c>
      <c r="BH248" s="983">
        <f t="shared" si="84"/>
        <v>0</v>
      </c>
      <c r="BI248" s="983"/>
    </row>
    <row r="249" spans="1:61" ht="16.2" customHeight="1" x14ac:dyDescent="0.25">
      <c r="A249" s="433" t="s">
        <v>1038</v>
      </c>
      <c r="B249" s="3228" t="s">
        <v>389</v>
      </c>
      <c r="C249" s="3228"/>
      <c r="D249" s="3227">
        <f>INDEX(PO_baseline_table,7, 3)</f>
        <v>0</v>
      </c>
      <c r="E249" s="3225" t="str">
        <f>INDEX(PO_baseline_table,7, 4)</f>
        <v>Electricity</v>
      </c>
      <c r="F249" s="499" t="str">
        <f>IFERROR(IF(ISBLANK(E249),"","Consumption (" &amp; VLOOKUP($E249,PO_Enrgy_1_Table,MATCH($C$16,PO_Enrgy_1_Hdr,0),FALSE) &amp; ")"),"")</f>
        <v>Consumption (kWh)</v>
      </c>
      <c r="G249" s="590" t="str">
        <f ca="1">INDEX(PO_baseline_table,7, 10)</f>
        <v/>
      </c>
      <c r="H249" s="525" t="str">
        <f t="shared" ca="1" si="76"/>
        <v/>
      </c>
      <c r="I249" s="658" t="str">
        <f t="shared" ca="1" si="85"/>
        <v/>
      </c>
      <c r="J249" s="3105" t="str">
        <f ca="1">IFERROR(IF($E$520-$H$520&lt;0,"",($G249-$H249)*VLOOKUP($E249,PO_Enrgy_1_Table,MATCH($K$16,PO_Enrgy_1_Hdr,0),FALSE)/($E$520-$H$520)),"")</f>
        <v/>
      </c>
      <c r="K249" s="3103" t="str">
        <f ca="1">IFERROR(IF($G$520-$J$520&lt;0,"",($G249*VLOOKUP($E249,PO_Enrgy_8_Table,MATCH($E$316,PO_Enrgy_8_Hdr,0),FALSE)-($H249*VLOOKUP($E249,PO_Enrgy_8_Table,MATCH($H$316,PO_Enrgy_8_Hdr,0),FALSE)))/($G$520-$J$520)),"")</f>
        <v/>
      </c>
      <c r="L249" s="3103"/>
      <c r="M249" s="3104" t="str">
        <f ca="1">IFERROR(H249*VLOOKUP($E249,PO_Enrgy_1_Table,MATCH($K$16,PO_Enrgy_1_Hdr,0))/$H$311,"")</f>
        <v/>
      </c>
      <c r="Q249" s="627">
        <f t="shared" si="77"/>
        <v>3.4120000000000001E-3</v>
      </c>
      <c r="R249" s="627">
        <f t="shared" si="78"/>
        <v>1.0713680000000001E-2</v>
      </c>
      <c r="S249" s="627" t="str">
        <f t="shared" ca="1" si="79"/>
        <v/>
      </c>
      <c r="T249" s="627" t="str">
        <f t="shared" ca="1" si="80"/>
        <v/>
      </c>
      <c r="V249" s="636">
        <f t="shared" ca="1" si="81"/>
        <v>0</v>
      </c>
      <c r="W249" s="627">
        <f t="shared" ca="1" si="82"/>
        <v>0</v>
      </c>
      <c r="X249" s="627">
        <f t="shared" ca="1" si="83"/>
        <v>0</v>
      </c>
      <c r="Y249" s="627" t="b">
        <f>IFERROR(IF(D249="x",IF(OR(G249/H249&gt;1.03,G249/H249&lt;0.97),TRUE,FALSE),FALSE),FALSE)</f>
        <v>0</v>
      </c>
      <c r="Z249" s="627">
        <f ca="1">IFERROR(J249*100,)</f>
        <v>0</v>
      </c>
      <c r="AA249" s="627"/>
      <c r="AB249" s="627">
        <f ca="1">RANK(Z249,$Z$243:$Z$290,0)</f>
        <v>1</v>
      </c>
      <c r="AC249" s="627">
        <f ca="1">AB249+COUNTIF($AB$243:$AB248,AB249)</f>
        <v>4</v>
      </c>
      <c r="AD249" s="627" t="str">
        <f>B249</f>
        <v>Space cooling</v>
      </c>
      <c r="AE249" s="2"/>
      <c r="AF249" s="3222"/>
      <c r="AG249" s="3222"/>
      <c r="AH249" s="436"/>
      <c r="AI249" s="363"/>
      <c r="AJ249" s="363"/>
      <c r="AK249" s="562"/>
      <c r="AO249" s="252"/>
      <c r="BC249" s="804"/>
      <c r="BF249" s="983" t="str">
        <f t="shared" si="84"/>
        <v>P</v>
      </c>
      <c r="BG249" s="983" t="str">
        <f t="shared" si="84"/>
        <v>Space Cooling</v>
      </c>
      <c r="BH249" s="983" t="str">
        <f t="shared" si="84"/>
        <v>Electricity</v>
      </c>
      <c r="BI249" s="983">
        <f>IF(BG249&lt;&gt;"",IFERROR(MATCH(BG249&amp;BH249,'Results from Trace'!$L$1:$L$21,0),""),"")</f>
        <v>10</v>
      </c>
    </row>
    <row r="250" spans="1:61" ht="16.2" customHeight="1" x14ac:dyDescent="0.25">
      <c r="A250" s="433" t="s">
        <v>1038</v>
      </c>
      <c r="B250" s="3228"/>
      <c r="C250" s="3228"/>
      <c r="D250" s="3227"/>
      <c r="E250" s="3225"/>
      <c r="F250" s="499" t="str">
        <f>IFERROR(IF(ISBLANK(E249),"","Demand (" &amp; VLOOKUP($E249,PO_Enrgy_1_Table,MATCH($E$16,PO_Enrgy_1_Hdr,0),FALSE) &amp; ")"),"")</f>
        <v>Demand (kW)</v>
      </c>
      <c r="G250" s="591" t="str">
        <f ca="1">INDEX(PO_baseline_table,8, 10)</f>
        <v/>
      </c>
      <c r="H250" s="525" t="str">
        <f t="shared" ca="1" si="76"/>
        <v/>
      </c>
      <c r="I250" s="592" t="str">
        <f t="shared" ca="1" si="85"/>
        <v/>
      </c>
      <c r="J250" s="3106"/>
      <c r="K250" s="3103"/>
      <c r="L250" s="3103"/>
      <c r="M250" s="3088"/>
      <c r="Q250" s="627" t="str">
        <f t="shared" si="77"/>
        <v/>
      </c>
      <c r="R250" s="627" t="str">
        <f t="shared" si="78"/>
        <v/>
      </c>
      <c r="S250" s="627" t="str">
        <f t="shared" si="79"/>
        <v/>
      </c>
      <c r="T250" s="627" t="str">
        <f t="shared" si="80"/>
        <v/>
      </c>
      <c r="V250" s="636">
        <f t="shared" ca="1" si="81"/>
        <v>0</v>
      </c>
      <c r="W250" s="627">
        <f t="shared" ca="1" si="82"/>
        <v>0</v>
      </c>
      <c r="X250" s="627">
        <f t="shared" ca="1" si="83"/>
        <v>0</v>
      </c>
      <c r="Y250" s="627"/>
      <c r="Z250" s="627"/>
      <c r="AA250" s="627"/>
      <c r="AB250" s="627"/>
      <c r="AC250" s="627"/>
      <c r="AD250" s="627"/>
      <c r="AE250" s="2"/>
      <c r="AF250" s="3222"/>
      <c r="AG250" s="3222"/>
      <c r="AH250" s="436"/>
      <c r="AI250" s="363"/>
      <c r="AJ250" s="363"/>
      <c r="AK250" s="563"/>
      <c r="AO250" s="252"/>
      <c r="BC250" s="804"/>
      <c r="BF250" s="983" t="str">
        <f t="shared" si="84"/>
        <v>AC</v>
      </c>
      <c r="BG250" s="983">
        <f t="shared" si="84"/>
        <v>0</v>
      </c>
      <c r="BH250" s="983">
        <f t="shared" si="84"/>
        <v>0</v>
      </c>
      <c r="BI250" s="983"/>
    </row>
    <row r="251" spans="1:61" ht="16.2" customHeight="1" x14ac:dyDescent="0.25">
      <c r="A251" s="433" t="s">
        <v>1038</v>
      </c>
      <c r="B251" s="3228" t="s">
        <v>387</v>
      </c>
      <c r="C251" s="3228"/>
      <c r="D251" s="3227">
        <f>INDEX(PO_baseline_table,9, 3)</f>
        <v>0</v>
      </c>
      <c r="E251" s="3225" t="str">
        <f>INDEX(PO_baseline_table,9, 4)</f>
        <v>Electricity</v>
      </c>
      <c r="F251" s="499" t="str">
        <f>IFERROR(IF(ISBLANK(E251),"","Consumption (" &amp; VLOOKUP($E251,PO_Enrgy_1_Table,MATCH($C$16,PO_Enrgy_1_Hdr,0),FALSE) &amp; ")"),"")</f>
        <v>Consumption (kWh)</v>
      </c>
      <c r="G251" s="590" t="str">
        <f ca="1">INDEX(PO_baseline_table,9, 10)</f>
        <v/>
      </c>
      <c r="H251" s="525" t="str">
        <f t="shared" ca="1" si="76"/>
        <v/>
      </c>
      <c r="I251" s="658" t="str">
        <f t="shared" ca="1" si="85"/>
        <v/>
      </c>
      <c r="J251" s="3105" t="str">
        <f ca="1">IFERROR(IF($E$520-$H$520&lt;0,"",($G251-$H251)*VLOOKUP($E251,PO_Enrgy_1_Table,MATCH($K$16,PO_Enrgy_1_Hdr,0),FALSE)/($E$520-$H$520)),"")</f>
        <v/>
      </c>
      <c r="K251" s="3103" t="str">
        <f ca="1">IFERROR(IF($G$520-$J$520&lt;0,"",($G251*VLOOKUP($E251,PO_Enrgy_8_Table,MATCH($E$316,PO_Enrgy_8_Hdr,0),FALSE)-($H251*VLOOKUP($E251,PO_Enrgy_8_Table,MATCH($H$316,PO_Enrgy_8_Hdr,0),FALSE)))/($G$520-$J$520)),"")</f>
        <v/>
      </c>
      <c r="L251" s="3103"/>
      <c r="M251" s="3104" t="str">
        <f ca="1">IFERROR(H251*VLOOKUP($E251,PO_Enrgy_1_Table,MATCH($K$16,PO_Enrgy_1_Hdr,0))/$H$311,"")</f>
        <v/>
      </c>
      <c r="Q251" s="627">
        <f t="shared" si="77"/>
        <v>3.4120000000000001E-3</v>
      </c>
      <c r="R251" s="627">
        <f t="shared" si="78"/>
        <v>1.0713680000000001E-2</v>
      </c>
      <c r="S251" s="627" t="str">
        <f t="shared" ca="1" si="79"/>
        <v/>
      </c>
      <c r="T251" s="627" t="str">
        <f t="shared" ca="1" si="80"/>
        <v/>
      </c>
      <c r="V251" s="636">
        <f t="shared" ca="1" si="81"/>
        <v>0</v>
      </c>
      <c r="W251" s="627">
        <f t="shared" ca="1" si="82"/>
        <v>0</v>
      </c>
      <c r="X251" s="627">
        <f t="shared" ca="1" si="83"/>
        <v>0</v>
      </c>
      <c r="Y251" s="627" t="b">
        <f>IFERROR(IF(D251="x",IF(OR(G251/H251&gt;1.03,G251/H251&lt;0.97),TRUE,FALSE),FALSE),FALSE)</f>
        <v>0</v>
      </c>
      <c r="Z251" s="627">
        <f ca="1">IFERROR(J251*100,)</f>
        <v>0</v>
      </c>
      <c r="AA251" s="627"/>
      <c r="AB251" s="627">
        <f ca="1">RANK(Z251,$Z$243:$Z$290,0)</f>
        <v>1</v>
      </c>
      <c r="AC251" s="627">
        <f ca="1">AB251+COUNTIF($AB$243:$AB250,AB251)</f>
        <v>5</v>
      </c>
      <c r="AD251" s="627" t="str">
        <f>B251</f>
        <v>Pumps</v>
      </c>
      <c r="AE251" s="2"/>
      <c r="AF251" s="3222"/>
      <c r="AG251" s="3222"/>
      <c r="AH251" s="436"/>
      <c r="AI251" s="363"/>
      <c r="AJ251" s="363"/>
      <c r="AK251" s="562"/>
      <c r="AO251" s="252"/>
      <c r="BC251" s="804"/>
      <c r="BF251" s="983" t="str">
        <f t="shared" si="84"/>
        <v>R</v>
      </c>
      <c r="BG251" s="983" t="str">
        <f t="shared" si="84"/>
        <v>Pumps</v>
      </c>
      <c r="BH251" s="983" t="str">
        <f t="shared" si="84"/>
        <v>Electricity</v>
      </c>
      <c r="BI251" s="983">
        <f>IF(BG251&lt;&gt;"",IFERROR(MATCH(BG251&amp;BH251,'Results from Trace'!$L$1:$L$21,0),""),"")</f>
        <v>11</v>
      </c>
    </row>
    <row r="252" spans="1:61" ht="16.2" customHeight="1" x14ac:dyDescent="0.25">
      <c r="A252" s="433" t="s">
        <v>1038</v>
      </c>
      <c r="B252" s="3228"/>
      <c r="C252" s="3228"/>
      <c r="D252" s="3227"/>
      <c r="E252" s="3225"/>
      <c r="F252" s="499" t="str">
        <f>IFERROR(IF(ISBLANK(E251),"","Demand (" &amp; VLOOKUP($E251,PO_Enrgy_1_Table,MATCH($E$16,PO_Enrgy_1_Hdr,0),FALSE) &amp; ")"),"")</f>
        <v>Demand (kW)</v>
      </c>
      <c r="G252" s="591" t="str">
        <f ca="1">INDEX(PO_baseline_table,10, 10)</f>
        <v/>
      </c>
      <c r="H252" s="525" t="str">
        <f t="shared" ca="1" si="76"/>
        <v/>
      </c>
      <c r="I252" s="592" t="str">
        <f t="shared" ca="1" si="85"/>
        <v/>
      </c>
      <c r="J252" s="3106"/>
      <c r="K252" s="3103"/>
      <c r="L252" s="3103"/>
      <c r="M252" s="3088"/>
      <c r="Q252" s="627" t="str">
        <f t="shared" si="77"/>
        <v/>
      </c>
      <c r="R252" s="627" t="str">
        <f t="shared" si="78"/>
        <v/>
      </c>
      <c r="S252" s="627" t="str">
        <f t="shared" si="79"/>
        <v/>
      </c>
      <c r="T252" s="627" t="str">
        <f t="shared" si="80"/>
        <v/>
      </c>
      <c r="V252" s="636">
        <f t="shared" ca="1" si="81"/>
        <v>0</v>
      </c>
      <c r="W252" s="627">
        <f t="shared" ca="1" si="82"/>
        <v>0</v>
      </c>
      <c r="X252" s="627">
        <f t="shared" ca="1" si="83"/>
        <v>0</v>
      </c>
      <c r="Y252" s="627"/>
      <c r="Z252" s="627"/>
      <c r="AA252" s="627"/>
      <c r="AB252" s="627"/>
      <c r="AC252" s="627"/>
      <c r="AD252" s="627"/>
      <c r="AE252" s="2"/>
      <c r="AF252" s="3222"/>
      <c r="AG252" s="3222"/>
      <c r="AH252" s="436"/>
      <c r="AI252" s="363"/>
      <c r="AJ252" s="363"/>
      <c r="AK252" s="563"/>
      <c r="AO252" s="252"/>
      <c r="BC252" s="804"/>
      <c r="BF252" s="983" t="str">
        <f t="shared" si="84"/>
        <v>AE</v>
      </c>
      <c r="BG252" s="983">
        <f t="shared" si="84"/>
        <v>0</v>
      </c>
      <c r="BH252" s="983">
        <f t="shared" si="84"/>
        <v>0</v>
      </c>
      <c r="BI252" s="983"/>
    </row>
    <row r="253" spans="1:61" ht="16.2" customHeight="1" x14ac:dyDescent="0.25">
      <c r="A253" s="433" t="s">
        <v>1038</v>
      </c>
      <c r="B253" s="3228" t="s">
        <v>386</v>
      </c>
      <c r="C253" s="3228"/>
      <c r="D253" s="3227">
        <f>INDEX(PO_baseline_table,11, 3)</f>
        <v>0</v>
      </c>
      <c r="E253" s="3225" t="str">
        <f>INDEX(PO_baseline_table,11, 4)</f>
        <v>Electricity</v>
      </c>
      <c r="F253" s="499" t="str">
        <f>IFERROR(IF(ISBLANK(E253),"","Consumption (" &amp; VLOOKUP($E253,PO_Enrgy_1_Table,MATCH($C$16,PO_Enrgy_1_Hdr,0),FALSE) &amp; ")"),"")</f>
        <v>Consumption (kWh)</v>
      </c>
      <c r="G253" s="590" t="str">
        <f ca="1">INDEX(PO_baseline_table,11, 10)</f>
        <v/>
      </c>
      <c r="H253" s="525" t="str">
        <f t="shared" ca="1" si="76"/>
        <v/>
      </c>
      <c r="I253" s="658" t="str">
        <f t="shared" ca="1" si="85"/>
        <v/>
      </c>
      <c r="J253" s="3105" t="str">
        <f ca="1">IFERROR(IF($E$520-$H$520&lt;0,"",($G253-$H253)*VLOOKUP($E253,PO_Enrgy_1_Table,MATCH($K$16,PO_Enrgy_1_Hdr,0),FALSE)/($E$520-$H$520)),"")</f>
        <v/>
      </c>
      <c r="K253" s="3103" t="str">
        <f ca="1">IFERROR(IF($G$520-$J$520&lt;0,"",($G253*VLOOKUP($E253,PO_Enrgy_8_Table,MATCH($E$316,PO_Enrgy_8_Hdr,0),FALSE)-($H253*VLOOKUP($E253,PO_Enrgy_8_Table,MATCH($H$316,PO_Enrgy_8_Hdr,0),FALSE)))/($G$520-$J$520)),"")</f>
        <v/>
      </c>
      <c r="L253" s="3103"/>
      <c r="M253" s="3104" t="str">
        <f ca="1">IFERROR(H253*VLOOKUP($E253,PO_Enrgy_1_Table,MATCH($K$16,PO_Enrgy_1_Hdr,0))/$H$311,"")</f>
        <v/>
      </c>
      <c r="Q253" s="627">
        <f t="shared" si="77"/>
        <v>3.4120000000000001E-3</v>
      </c>
      <c r="R253" s="627">
        <f t="shared" si="78"/>
        <v>1.0713680000000001E-2</v>
      </c>
      <c r="S253" s="627" t="str">
        <f t="shared" ca="1" si="79"/>
        <v/>
      </c>
      <c r="T253" s="627" t="str">
        <f t="shared" ca="1" si="80"/>
        <v/>
      </c>
      <c r="V253" s="636">
        <f t="shared" ca="1" si="81"/>
        <v>0</v>
      </c>
      <c r="W253" s="627">
        <f t="shared" ca="1" si="82"/>
        <v>0</v>
      </c>
      <c r="X253" s="627">
        <f t="shared" ca="1" si="83"/>
        <v>0</v>
      </c>
      <c r="Y253" s="627" t="b">
        <f>IFERROR(IF(D253="x",IF(OR(G253/H253&gt;1.03,G253/H253&lt;0.97),TRUE,FALSE),FALSE),FALSE)</f>
        <v>0</v>
      </c>
      <c r="Z253" s="627">
        <f ca="1">IFERROR(J253*100,)</f>
        <v>0</v>
      </c>
      <c r="AA253" s="627"/>
      <c r="AB253" s="627">
        <f ca="1">RANK(Z253,$Z$243:$Z$290,0)</f>
        <v>1</v>
      </c>
      <c r="AC253" s="627">
        <f ca="1">AB253+COUNTIF($AB$243:$AB252,AB253)</f>
        <v>6</v>
      </c>
      <c r="AD253" s="627" t="str">
        <f>B253</f>
        <v>Heat rejection</v>
      </c>
      <c r="AE253" s="2"/>
      <c r="AF253" s="3222"/>
      <c r="AG253" s="3222"/>
      <c r="AH253" s="436"/>
      <c r="AI253" s="363"/>
      <c r="AJ253" s="363"/>
      <c r="AK253" s="562"/>
      <c r="AO253" s="252"/>
      <c r="BC253" s="804"/>
      <c r="BF253" s="983" t="str">
        <f t="shared" si="84"/>
        <v>Q</v>
      </c>
      <c r="BG253" s="983" t="str">
        <f t="shared" si="84"/>
        <v>Heat Rejection</v>
      </c>
      <c r="BH253" s="983" t="str">
        <f t="shared" si="84"/>
        <v>Electricity</v>
      </c>
      <c r="BI253" s="983">
        <f>IF(BG253&lt;&gt;"",IFERROR(MATCH(BG253&amp;BH253,'Results from Trace'!$L$1:$L$21,0),""),"")</f>
        <v>12</v>
      </c>
    </row>
    <row r="254" spans="1:61" ht="16.2" customHeight="1" x14ac:dyDescent="0.25">
      <c r="A254" s="433" t="s">
        <v>1038</v>
      </c>
      <c r="B254" s="3228"/>
      <c r="C254" s="3228"/>
      <c r="D254" s="3227"/>
      <c r="E254" s="3225"/>
      <c r="F254" s="499" t="str">
        <f>IFERROR(IF(ISBLANK(E253),"","Demand (" &amp; VLOOKUP($E253,PO_Enrgy_1_Table,MATCH($E$16,PO_Enrgy_1_Hdr,0),FALSE) &amp; ")"),"")</f>
        <v>Demand (kW)</v>
      </c>
      <c r="G254" s="591" t="str">
        <f ca="1">INDEX(PO_baseline_table,12, 10)</f>
        <v/>
      </c>
      <c r="H254" s="525" t="str">
        <f t="shared" ca="1" si="76"/>
        <v/>
      </c>
      <c r="I254" s="592" t="str">
        <f t="shared" ca="1" si="85"/>
        <v/>
      </c>
      <c r="J254" s="3106"/>
      <c r="K254" s="3103"/>
      <c r="L254" s="3103"/>
      <c r="M254" s="3088"/>
      <c r="Q254" s="627" t="str">
        <f t="shared" si="77"/>
        <v/>
      </c>
      <c r="R254" s="627" t="str">
        <f t="shared" si="78"/>
        <v/>
      </c>
      <c r="S254" s="627" t="str">
        <f t="shared" si="79"/>
        <v/>
      </c>
      <c r="T254" s="627" t="str">
        <f t="shared" si="80"/>
        <v/>
      </c>
      <c r="V254" s="636">
        <f t="shared" ca="1" si="81"/>
        <v>0</v>
      </c>
      <c r="W254" s="627">
        <f t="shared" ca="1" si="82"/>
        <v>0</v>
      </c>
      <c r="X254" s="627">
        <f t="shared" ca="1" si="83"/>
        <v>0</v>
      </c>
      <c r="Y254" s="627"/>
      <c r="Z254" s="627"/>
      <c r="AA254" s="627"/>
      <c r="AB254" s="627"/>
      <c r="AC254" s="627"/>
      <c r="AD254" s="627"/>
      <c r="AE254" s="2"/>
      <c r="AF254" s="3222"/>
      <c r="AG254" s="3222"/>
      <c r="AH254" s="436"/>
      <c r="AI254" s="363"/>
      <c r="AJ254" s="363"/>
      <c r="AK254" s="563"/>
      <c r="AO254" s="252"/>
      <c r="BC254" s="804"/>
      <c r="BF254" s="983" t="str">
        <f t="shared" si="84"/>
        <v>AD</v>
      </c>
      <c r="BG254" s="983">
        <f t="shared" si="84"/>
        <v>0</v>
      </c>
      <c r="BH254" s="983">
        <f t="shared" si="84"/>
        <v>0</v>
      </c>
      <c r="BI254" s="983"/>
    </row>
    <row r="255" spans="1:61" ht="16.2" customHeight="1" x14ac:dyDescent="0.25">
      <c r="A255" s="433" t="s">
        <v>1038</v>
      </c>
      <c r="B255" s="3228" t="s">
        <v>385</v>
      </c>
      <c r="C255" s="3228"/>
      <c r="D255" s="3227">
        <f>INDEX(PO_baseline_table,13, 3)</f>
        <v>0</v>
      </c>
      <c r="E255" s="3225" t="str">
        <f>INDEX(PO_baseline_table,13, 4)</f>
        <v>Electricity</v>
      </c>
      <c r="F255" s="499" t="str">
        <f>IFERROR(IF(ISBLANK(E255),"","Consumption (" &amp; VLOOKUP($E255,PO_Enrgy_1_Table,MATCH($C$16,PO_Enrgy_1_Hdr,0),FALSE) &amp; ")"),"")</f>
        <v>Consumption (kWh)</v>
      </c>
      <c r="G255" s="590" t="str">
        <f ca="1">INDEX(PO_baseline_table,13, 10)</f>
        <v/>
      </c>
      <c r="H255" s="525" t="str">
        <f t="shared" ca="1" si="76"/>
        <v/>
      </c>
      <c r="I255" s="658" t="str">
        <f t="shared" ca="1" si="85"/>
        <v/>
      </c>
      <c r="J255" s="3105" t="str">
        <f ca="1">IFERROR(IF($E$520-$H$520&lt;0,"",($G255-$H255)*VLOOKUP($E255,PO_Enrgy_1_Table,MATCH($K$16,PO_Enrgy_1_Hdr,0),FALSE)/($E$520-$H$520)),"")</f>
        <v/>
      </c>
      <c r="K255" s="3103" t="str">
        <f ca="1">IFERROR(IF($G$520-$J$520&lt;0,"",($G255*VLOOKUP($E255,PO_Enrgy_8_Table,MATCH($E$316,PO_Enrgy_8_Hdr,0),FALSE)-($H255*VLOOKUP($E255,PO_Enrgy_8_Table,MATCH($H$316,PO_Enrgy_8_Hdr,0),FALSE)))/($G$520-$J$520)),"")</f>
        <v/>
      </c>
      <c r="L255" s="3103"/>
      <c r="M255" s="3104" t="str">
        <f ca="1">IFERROR(H255*VLOOKUP($E255,PO_Enrgy_1_Table,MATCH($K$16,PO_Enrgy_1_Hdr,0))/$H$311,"")</f>
        <v/>
      </c>
      <c r="Q255" s="627">
        <f t="shared" si="77"/>
        <v>3.4120000000000001E-3</v>
      </c>
      <c r="R255" s="627">
        <f t="shared" si="78"/>
        <v>1.0713680000000001E-2</v>
      </c>
      <c r="S255" s="627" t="str">
        <f t="shared" ca="1" si="79"/>
        <v/>
      </c>
      <c r="T255" s="627" t="str">
        <f t="shared" ca="1" si="80"/>
        <v/>
      </c>
      <c r="V255" s="636">
        <f t="shared" ca="1" si="81"/>
        <v>0</v>
      </c>
      <c r="W255" s="627">
        <f t="shared" ca="1" si="82"/>
        <v>0</v>
      </c>
      <c r="X255" s="627">
        <f t="shared" ca="1" si="83"/>
        <v>0</v>
      </c>
      <c r="Y255" s="627" t="b">
        <f>IFERROR(IF(D255="x",IF(OR(G255/H255&gt;1.03,G255/H255&lt;0.97),TRUE,FALSE),FALSE),FALSE)</f>
        <v>0</v>
      </c>
      <c r="Z255" s="627">
        <f ca="1">IFERROR(J255*100,)</f>
        <v>0</v>
      </c>
      <c r="AA255" s="627"/>
      <c r="AB255" s="627">
        <f ca="1">RANK(Z255,$Z$243:$Z$290,0)</f>
        <v>1</v>
      </c>
      <c r="AC255" s="627">
        <f ca="1">AB255+COUNTIF($AB$243:$AB254,AB255)</f>
        <v>7</v>
      </c>
      <c r="AD255" s="627" t="str">
        <f>B255</f>
        <v>Fans - interior ventilation</v>
      </c>
      <c r="AE255" s="2"/>
      <c r="AF255" s="3222"/>
      <c r="AG255" s="3222"/>
      <c r="AH255" s="436"/>
      <c r="AI255" s="363"/>
      <c r="AJ255" s="363"/>
      <c r="AK255" s="562"/>
      <c r="AO255" s="252"/>
      <c r="BC255" s="804"/>
      <c r="BF255" s="983" t="str">
        <f t="shared" si="84"/>
        <v>S</v>
      </c>
      <c r="BG255" s="983" t="str">
        <f t="shared" si="84"/>
        <v>Fans - Conditioned</v>
      </c>
      <c r="BH255" s="983" t="str">
        <f t="shared" si="84"/>
        <v>Electricity</v>
      </c>
      <c r="BI255" s="983">
        <f>IF(BG255&lt;&gt;"",IFERROR(MATCH(BG255&amp;BH255,'Results from Trace'!$L$1:$L$21,0),""),"")</f>
        <v>13</v>
      </c>
    </row>
    <row r="256" spans="1:61" ht="16.2" customHeight="1" x14ac:dyDescent="0.25">
      <c r="A256" s="433" t="s">
        <v>1038</v>
      </c>
      <c r="B256" s="3228"/>
      <c r="C256" s="3228"/>
      <c r="D256" s="3227"/>
      <c r="E256" s="3225"/>
      <c r="F256" s="499" t="str">
        <f>IFERROR(IF(ISBLANK(E255),"","Demand (" &amp; VLOOKUP($E255,PO_Enrgy_1_Table,MATCH($E$16,PO_Enrgy_1_Hdr,0),FALSE) &amp; ")"),"")</f>
        <v>Demand (kW)</v>
      </c>
      <c r="G256" s="591" t="str">
        <f ca="1">INDEX(PO_baseline_table,14, 10)</f>
        <v/>
      </c>
      <c r="H256" s="525" t="str">
        <f t="shared" ca="1" si="76"/>
        <v/>
      </c>
      <c r="I256" s="592" t="str">
        <f t="shared" ca="1" si="85"/>
        <v/>
      </c>
      <c r="J256" s="3106"/>
      <c r="K256" s="3103"/>
      <c r="L256" s="3103"/>
      <c r="M256" s="3088"/>
      <c r="Q256" s="627" t="str">
        <f t="shared" si="77"/>
        <v/>
      </c>
      <c r="R256" s="627" t="str">
        <f t="shared" si="78"/>
        <v/>
      </c>
      <c r="S256" s="627" t="str">
        <f t="shared" si="79"/>
        <v/>
      </c>
      <c r="T256" s="627" t="str">
        <f t="shared" si="80"/>
        <v/>
      </c>
      <c r="V256" s="636">
        <f t="shared" ca="1" si="81"/>
        <v>0</v>
      </c>
      <c r="W256" s="627">
        <f t="shared" ca="1" si="82"/>
        <v>0</v>
      </c>
      <c r="X256" s="627">
        <f t="shared" ca="1" si="83"/>
        <v>0</v>
      </c>
      <c r="Y256" s="627"/>
      <c r="Z256" s="627"/>
      <c r="AA256" s="627"/>
      <c r="AB256" s="627"/>
      <c r="AC256" s="627"/>
      <c r="AD256" s="627"/>
      <c r="AE256" s="2"/>
      <c r="AF256" s="3222"/>
      <c r="AG256" s="3222"/>
      <c r="AH256" s="436"/>
      <c r="AI256" s="363"/>
      <c r="AJ256" s="363"/>
      <c r="AK256" s="563"/>
      <c r="AO256" s="252"/>
      <c r="BC256" s="804"/>
      <c r="BF256" s="983" t="str">
        <f t="shared" si="84"/>
        <v>AF</v>
      </c>
      <c r="BG256" s="983">
        <f t="shared" si="84"/>
        <v>0</v>
      </c>
      <c r="BH256" s="983">
        <f t="shared" si="84"/>
        <v>0</v>
      </c>
      <c r="BI256" s="983"/>
    </row>
    <row r="257" spans="1:61" ht="16.2" customHeight="1" x14ac:dyDescent="0.25">
      <c r="A257" s="433" t="s">
        <v>1038</v>
      </c>
      <c r="B257" s="3228" t="s">
        <v>384</v>
      </c>
      <c r="C257" s="3228"/>
      <c r="D257" s="3227" t="str">
        <f>INDEX(PO_baseline_table,15, 3)</f>
        <v>x</v>
      </c>
      <c r="E257" s="3225" t="str">
        <f>INDEX(PO_baseline_table,15, 4)</f>
        <v>Electricity</v>
      </c>
      <c r="F257" s="499" t="str">
        <f>IFERROR(IF(ISBLANK(E257),"","Consumption (" &amp; VLOOKUP($E257,PO_Enrgy_1_Table,MATCH($C$16,PO_Enrgy_1_Hdr,0),FALSE) &amp; ")"),"")</f>
        <v>Consumption (kWh)</v>
      </c>
      <c r="G257" s="590" t="str">
        <f ca="1">INDEX(PO_baseline_table,15, 10)</f>
        <v/>
      </c>
      <c r="H257" s="525" t="str">
        <f t="shared" ca="1" si="76"/>
        <v/>
      </c>
      <c r="I257" s="658" t="str">
        <f t="shared" ca="1" si="85"/>
        <v/>
      </c>
      <c r="J257" s="3105" t="str">
        <f ca="1">IFERROR(IF($E$520-$H$520&lt;0,"",($G257-$H257)*VLOOKUP($E257,PO_Enrgy_1_Table,MATCH($K$16,PO_Enrgy_1_Hdr,0),FALSE)/($E$520-$H$520)),"")</f>
        <v/>
      </c>
      <c r="K257" s="3103" t="str">
        <f ca="1">IFERROR(IF($G$520-$J$520&lt;0,"",($G257*VLOOKUP($E257,PO_Enrgy_8_Table,MATCH($E$316,PO_Enrgy_8_Hdr,0),FALSE)-($H257*VLOOKUP($E257,PO_Enrgy_8_Table,MATCH($H$316,PO_Enrgy_8_Hdr,0),FALSE)))/($G$520-$J$520)),"")</f>
        <v/>
      </c>
      <c r="L257" s="3103"/>
      <c r="M257" s="3104" t="str">
        <f ca="1">IFERROR(H257*VLOOKUP($E257,PO_Enrgy_1_Table,MATCH($K$16,PO_Enrgy_1_Hdr,0))/$H$311,"")</f>
        <v/>
      </c>
      <c r="Q257" s="627">
        <f t="shared" si="77"/>
        <v>3.4120000000000001E-3</v>
      </c>
      <c r="R257" s="627">
        <f t="shared" si="78"/>
        <v>1.0713680000000001E-2</v>
      </c>
      <c r="S257" s="627" t="str">
        <f t="shared" ca="1" si="79"/>
        <v/>
      </c>
      <c r="T257" s="627" t="str">
        <f t="shared" ca="1" si="80"/>
        <v/>
      </c>
      <c r="V257" s="636">
        <f t="shared" ca="1" si="81"/>
        <v>0</v>
      </c>
      <c r="W257" s="627">
        <f t="shared" ca="1" si="82"/>
        <v>0</v>
      </c>
      <c r="X257" s="627">
        <f t="shared" ca="1" si="83"/>
        <v>0</v>
      </c>
      <c r="Y257" s="627" t="b">
        <f ca="1">IFERROR(IF(D257="x",IF(OR(G257/H257&gt;1.03,G257/H257&lt;0.97),TRUE,FALSE),FALSE),FALSE)</f>
        <v>0</v>
      </c>
      <c r="Z257" s="627">
        <f ca="1">IFERROR(J257*100,)</f>
        <v>0</v>
      </c>
      <c r="AA257" s="627"/>
      <c r="AB257" s="627">
        <f ca="1">RANK(Z257,$Z$243:$Z$290,0)</f>
        <v>1</v>
      </c>
      <c r="AC257" s="627">
        <f ca="1">AB257+COUNTIF($AB$243:$AB256,AB257)</f>
        <v>8</v>
      </c>
      <c r="AD257" s="627" t="str">
        <f>B257</f>
        <v>Fans - parking garage</v>
      </c>
      <c r="AE257" s="2"/>
      <c r="AF257" s="3222"/>
      <c r="AG257" s="3222"/>
      <c r="AH257" s="436"/>
      <c r="AI257" s="363"/>
      <c r="AJ257" s="363"/>
      <c r="AK257" s="562"/>
      <c r="AO257" s="252"/>
      <c r="BC257" s="804"/>
      <c r="BF257" s="983">
        <f t="shared" si="84"/>
        <v>0</v>
      </c>
      <c r="BG257" s="983">
        <f t="shared" si="84"/>
        <v>0</v>
      </c>
      <c r="BH257" s="983">
        <f t="shared" si="84"/>
        <v>0</v>
      </c>
      <c r="BI257" s="983" t="str">
        <f>IF(BG257&lt;&gt;"",IFERROR(MATCH(BG257&amp;BH257,'Results from Trace'!$L$1:$L$21,0),""),"")</f>
        <v/>
      </c>
    </row>
    <row r="258" spans="1:61" ht="16.2" customHeight="1" x14ac:dyDescent="0.25">
      <c r="A258" s="433" t="s">
        <v>1038</v>
      </c>
      <c r="B258" s="3228"/>
      <c r="C258" s="3228"/>
      <c r="D258" s="3227"/>
      <c r="E258" s="3225"/>
      <c r="F258" s="499" t="str">
        <f>IFERROR(IF(ISBLANK(E257),"","Demand (" &amp; VLOOKUP($E257,PO_Enrgy_1_Table,MATCH($E$16,PO_Enrgy_1_Hdr,0),FALSE) &amp; ")"),"")</f>
        <v>Demand (kW)</v>
      </c>
      <c r="G258" s="591" t="str">
        <f ca="1">INDEX(PO_baseline_table,16, 10)</f>
        <v/>
      </c>
      <c r="H258" s="525" t="str">
        <f t="shared" ca="1" si="76"/>
        <v/>
      </c>
      <c r="I258" s="592" t="str">
        <f t="shared" ca="1" si="85"/>
        <v/>
      </c>
      <c r="J258" s="3106"/>
      <c r="K258" s="3103"/>
      <c r="L258" s="3103"/>
      <c r="M258" s="3088"/>
      <c r="Q258" s="627" t="str">
        <f t="shared" si="77"/>
        <v/>
      </c>
      <c r="R258" s="627" t="str">
        <f t="shared" si="78"/>
        <v/>
      </c>
      <c r="S258" s="627" t="str">
        <f t="shared" si="79"/>
        <v/>
      </c>
      <c r="T258" s="627" t="str">
        <f t="shared" si="80"/>
        <v/>
      </c>
      <c r="V258" s="636">
        <f t="shared" ca="1" si="81"/>
        <v>0</v>
      </c>
      <c r="W258" s="627">
        <f t="shared" ca="1" si="82"/>
        <v>0</v>
      </c>
      <c r="X258" s="627">
        <f t="shared" ca="1" si="83"/>
        <v>0</v>
      </c>
      <c r="Y258" s="627"/>
      <c r="Z258" s="627"/>
      <c r="AA258" s="627"/>
      <c r="AB258" s="627"/>
      <c r="AC258" s="627"/>
      <c r="AD258" s="627"/>
      <c r="AE258" s="2"/>
      <c r="AF258" s="3222"/>
      <c r="AG258" s="3222"/>
      <c r="AH258" s="436"/>
      <c r="AI258" s="363"/>
      <c r="AJ258" s="363"/>
      <c r="AK258" s="563"/>
      <c r="AO258" s="252"/>
      <c r="BC258" s="804"/>
      <c r="BF258" s="983">
        <f t="shared" si="84"/>
        <v>0</v>
      </c>
      <c r="BG258" s="983">
        <f t="shared" si="84"/>
        <v>0</v>
      </c>
      <c r="BH258" s="983">
        <f t="shared" si="84"/>
        <v>0</v>
      </c>
      <c r="BI258" s="983"/>
    </row>
    <row r="259" spans="1:61" ht="16.2" customHeight="1" x14ac:dyDescent="0.25">
      <c r="A259" s="433" t="s">
        <v>1038</v>
      </c>
      <c r="B259" s="3228" t="s">
        <v>383</v>
      </c>
      <c r="C259" s="3228"/>
      <c r="D259" s="3227">
        <f>INDEX(PO_baseline_table,17, 3)</f>
        <v>0</v>
      </c>
      <c r="E259" s="3225" t="str">
        <f>INDEX(PO_baseline_table,17, 4)</f>
        <v>Natural Gas</v>
      </c>
      <c r="F259" s="499" t="str">
        <f>IFERROR(IF(ISBLANK(E259),"","Consumption (" &amp; VLOOKUP($E259,PO_Enrgy_1_Table,MATCH($C$16,PO_Enrgy_1_Hdr,0),FALSE) &amp; ")"),"")</f>
        <v>Consumption (therm)</v>
      </c>
      <c r="G259" s="590" t="str">
        <f ca="1">INDEX(PO_baseline_table,17, 10)</f>
        <v/>
      </c>
      <c r="H259" s="525" t="str">
        <f t="shared" ca="1" si="76"/>
        <v/>
      </c>
      <c r="I259" s="658" t="str">
        <f t="shared" ca="1" si="85"/>
        <v/>
      </c>
      <c r="J259" s="3105" t="str">
        <f ca="1">IFERROR(IF($E$520-$H$520&lt;0,"",($G259-$H259)*VLOOKUP($E259,PO_Enrgy_1_Table,MATCH($K$16,PO_Enrgy_1_Hdr,0),FALSE)/($E$520-$H$520)),"")</f>
        <v/>
      </c>
      <c r="K259" s="3103" t="str">
        <f ca="1">IFERROR(IF($G$520-$J$520&lt;0,"",($G259*VLOOKUP($E259,PO_Enrgy_8_Table,MATCH($E$316,PO_Enrgy_8_Hdr,0),FALSE)-($H259*VLOOKUP($E259,PO_Enrgy_8_Table,MATCH($H$316,PO_Enrgy_8_Hdr,0),FALSE)))/($G$520-$J$520)),"")</f>
        <v/>
      </c>
      <c r="L259" s="3103"/>
      <c r="M259" s="3104" t="str">
        <f ca="1">IFERROR(H259*VLOOKUP($E259,PO_Enrgy_1_Table,MATCH($K$16,PO_Enrgy_1_Hdr,0))/$H$311,"")</f>
        <v/>
      </c>
      <c r="Q259" s="627">
        <f t="shared" si="77"/>
        <v>0.1</v>
      </c>
      <c r="R259" s="627">
        <f t="shared" si="78"/>
        <v>0.10500000000000001</v>
      </c>
      <c r="S259" s="627" t="str">
        <f t="shared" ca="1" si="79"/>
        <v/>
      </c>
      <c r="T259" s="627" t="str">
        <f t="shared" ca="1" si="80"/>
        <v/>
      </c>
      <c r="V259" s="636">
        <f t="shared" ca="1" si="81"/>
        <v>0</v>
      </c>
      <c r="W259" s="627">
        <f t="shared" ca="1" si="82"/>
        <v>0</v>
      </c>
      <c r="X259" s="627">
        <f t="shared" ca="1" si="83"/>
        <v>0</v>
      </c>
      <c r="Y259" s="627" t="b">
        <f>IFERROR(IF(D259="x",IF(OR(G259/H259&gt;1.03,G259/H259&lt;0.97),TRUE,FALSE),FALSE),FALSE)</f>
        <v>0</v>
      </c>
      <c r="Z259" s="627">
        <f ca="1">IFERROR(J259*100,)</f>
        <v>0</v>
      </c>
      <c r="AA259" s="627"/>
      <c r="AB259" s="627">
        <f ca="1">RANK(Z259,$Z$243:$Z$290,0)</f>
        <v>1</v>
      </c>
      <c r="AC259" s="627">
        <f ca="1">AB259+COUNTIF($AB$243:$AB258,AB259)</f>
        <v>9</v>
      </c>
      <c r="AD259" s="627" t="str">
        <f>B259</f>
        <v>Service water heating</v>
      </c>
      <c r="AE259" s="2"/>
      <c r="AF259" s="3222"/>
      <c r="AG259" s="3222"/>
      <c r="AH259" s="436"/>
      <c r="AI259" s="363"/>
      <c r="AJ259" s="363"/>
      <c r="AK259" s="562"/>
      <c r="AO259" s="252"/>
      <c r="BC259" s="804"/>
      <c r="BF259" s="983" t="str">
        <f t="shared" si="84"/>
        <v>BH</v>
      </c>
      <c r="BG259" s="983" t="str">
        <f t="shared" si="84"/>
        <v>Stand-alone Base Utilities</v>
      </c>
      <c r="BH259" s="983" t="str">
        <f t="shared" si="84"/>
        <v>Gas</v>
      </c>
      <c r="BI259" s="983">
        <f>IF(BG259&lt;&gt;"",IFERROR(MATCH(BG259&amp;BH259,'Results from Trace'!$L$1:$L$21,0),""),"")</f>
        <v>16</v>
      </c>
    </row>
    <row r="260" spans="1:61" ht="16.2" customHeight="1" x14ac:dyDescent="0.25">
      <c r="A260" s="433" t="s">
        <v>1038</v>
      </c>
      <c r="B260" s="3228"/>
      <c r="C260" s="3228"/>
      <c r="D260" s="3227"/>
      <c r="E260" s="3225"/>
      <c r="F260" s="499" t="str">
        <f>IFERROR(IF(ISBLANK(E259),"","Demand (" &amp; VLOOKUP($E259,PO_Enrgy_1_Table,MATCH($E$16,PO_Enrgy_1_Hdr,0),FALSE) &amp; ")"),"")</f>
        <v>Demand (Btuh x 10^6)</v>
      </c>
      <c r="G260" s="591" t="str">
        <f ca="1">INDEX(PO_baseline_table,18, 10)</f>
        <v/>
      </c>
      <c r="H260" s="525" t="str">
        <f t="shared" ca="1" si="76"/>
        <v/>
      </c>
      <c r="I260" s="592" t="str">
        <f t="shared" ca="1" si="85"/>
        <v/>
      </c>
      <c r="J260" s="3106"/>
      <c r="K260" s="3103"/>
      <c r="L260" s="3103"/>
      <c r="M260" s="3088"/>
      <c r="Q260" s="627" t="str">
        <f t="shared" si="77"/>
        <v/>
      </c>
      <c r="R260" s="627" t="str">
        <f t="shared" si="78"/>
        <v/>
      </c>
      <c r="S260" s="627" t="str">
        <f t="shared" si="79"/>
        <v/>
      </c>
      <c r="T260" s="627" t="str">
        <f t="shared" si="80"/>
        <v/>
      </c>
      <c r="V260" s="636">
        <f t="shared" ca="1" si="81"/>
        <v>0</v>
      </c>
      <c r="W260" s="627">
        <f t="shared" ca="1" si="82"/>
        <v>0</v>
      </c>
      <c r="X260" s="627">
        <f t="shared" ca="1" si="83"/>
        <v>0</v>
      </c>
      <c r="Y260" s="627"/>
      <c r="Z260" s="627"/>
      <c r="AA260" s="627"/>
      <c r="AB260" s="627"/>
      <c r="AC260" s="627"/>
      <c r="AD260" s="627"/>
      <c r="AE260" s="2"/>
      <c r="AF260" s="3222"/>
      <c r="AG260" s="3222"/>
      <c r="AH260" s="436"/>
      <c r="AI260" s="363"/>
      <c r="AJ260" s="363"/>
      <c r="AK260" s="563"/>
      <c r="AO260" s="252"/>
      <c r="BC260" s="804"/>
      <c r="BF260" s="983">
        <f t="shared" si="84"/>
        <v>0</v>
      </c>
      <c r="BG260" s="983">
        <f t="shared" si="84"/>
        <v>0</v>
      </c>
      <c r="BH260" s="983">
        <f t="shared" si="84"/>
        <v>0</v>
      </c>
      <c r="BI260" s="983"/>
    </row>
    <row r="261" spans="1:61" ht="16.2" customHeight="1" x14ac:dyDescent="0.25">
      <c r="A261" s="433" t="s">
        <v>1038</v>
      </c>
      <c r="B261" s="3228" t="s">
        <v>382</v>
      </c>
      <c r="C261" s="3228"/>
      <c r="D261" s="3227" t="str">
        <f>INDEX(PO_baseline_table,19, 3)</f>
        <v>x</v>
      </c>
      <c r="E261" s="3225" t="str">
        <f>INDEX(PO_baseline_table,19, 4)</f>
        <v>Electricity</v>
      </c>
      <c r="F261" s="499" t="str">
        <f>IFERROR(IF(ISBLANK(E261),"","Consumption (" &amp; VLOOKUP($E261,PO_Enrgy_1_Table,MATCH($C$16,PO_Enrgy_1_Hdr,0),FALSE) &amp; ")"),"")</f>
        <v>Consumption (kWh)</v>
      </c>
      <c r="G261" s="590" t="str">
        <f ca="1">INDEX(PO_baseline_table,19, 10)</f>
        <v/>
      </c>
      <c r="H261" s="525" t="str">
        <f t="shared" ca="1" si="76"/>
        <v/>
      </c>
      <c r="I261" s="658" t="str">
        <f t="shared" ca="1" si="85"/>
        <v/>
      </c>
      <c r="J261" s="3105" t="str">
        <f ca="1">IFERROR(IF($E$520-$H$520&lt;0,"",($G261-$H261)*VLOOKUP($E261,PO_Enrgy_1_Table,MATCH($K$16,PO_Enrgy_1_Hdr,0),FALSE)/($E$520-$H$520)),"")</f>
        <v/>
      </c>
      <c r="K261" s="3103" t="str">
        <f ca="1">IFERROR(IF($G$520-$J$520&lt;0,"",($G261*VLOOKUP($E261,PO_Enrgy_8_Table,MATCH($E$316,PO_Enrgy_8_Hdr,0),FALSE)-($H261*VLOOKUP($E261,PO_Enrgy_8_Table,MATCH($H$316,PO_Enrgy_8_Hdr,0),FALSE)))/($G$520-$J$520)),"")</f>
        <v/>
      </c>
      <c r="L261" s="3103"/>
      <c r="M261" s="3104" t="str">
        <f ca="1">IFERROR(H261*VLOOKUP($E261,PO_Enrgy_1_Table,MATCH($K$16,PO_Enrgy_1_Hdr,0))/$H$311,"")</f>
        <v/>
      </c>
      <c r="Q261" s="627">
        <f t="shared" si="77"/>
        <v>3.4120000000000001E-3</v>
      </c>
      <c r="R261" s="627">
        <f t="shared" si="78"/>
        <v>1.0713680000000001E-2</v>
      </c>
      <c r="S261" s="627" t="str">
        <f t="shared" ca="1" si="79"/>
        <v/>
      </c>
      <c r="T261" s="627" t="str">
        <f t="shared" ca="1" si="80"/>
        <v/>
      </c>
      <c r="V261" s="636">
        <f t="shared" ca="1" si="81"/>
        <v>0</v>
      </c>
      <c r="W261" s="627">
        <f t="shared" ca="1" si="82"/>
        <v>0</v>
      </c>
      <c r="X261" s="627">
        <f t="shared" ca="1" si="83"/>
        <v>0</v>
      </c>
      <c r="Y261" s="627" t="b">
        <f ca="1">IFERROR(IF(D261="x",IF(OR(G261/H261&gt;1.03,G261/H261&lt;0.97),TRUE,FALSE),FALSE),FALSE)</f>
        <v>0</v>
      </c>
      <c r="Z261" s="627">
        <f ca="1">IFERROR(J261*100,)</f>
        <v>0</v>
      </c>
      <c r="AA261" s="627"/>
      <c r="AB261" s="627">
        <f ca="1">RANK(Z261,$Z$243:$Z$290,0)</f>
        <v>1</v>
      </c>
      <c r="AC261" s="627">
        <f ca="1">AB261+COUNTIF($AB$243:$AB260,AB261)</f>
        <v>10</v>
      </c>
      <c r="AD261" s="627" t="str">
        <f>B261</f>
        <v>Receptacle equipment</v>
      </c>
      <c r="AE261" s="2"/>
      <c r="AF261" s="3222"/>
      <c r="AG261" s="3222"/>
      <c r="AH261" s="436"/>
      <c r="AI261" s="363"/>
      <c r="AJ261" s="363"/>
      <c r="AK261" s="562"/>
      <c r="AO261" s="252"/>
      <c r="BC261" s="804"/>
      <c r="BF261" s="983" t="str">
        <f t="shared" si="84"/>
        <v>N</v>
      </c>
      <c r="BG261" s="983" t="str">
        <f t="shared" si="84"/>
        <v>Receptacles - Conditioned</v>
      </c>
      <c r="BH261" s="983" t="str">
        <f t="shared" si="84"/>
        <v>Electricity</v>
      </c>
      <c r="BI261" s="983">
        <f>IF(BG261&lt;&gt;"",IFERROR(MATCH(BG261&amp;BH261,'Results from Trace'!$L$1:$L$21,0),""),"")</f>
        <v>14</v>
      </c>
    </row>
    <row r="262" spans="1:61" ht="16.2" customHeight="1" x14ac:dyDescent="0.25">
      <c r="A262" s="433" t="s">
        <v>1038</v>
      </c>
      <c r="B262" s="3228"/>
      <c r="C262" s="3228"/>
      <c r="D262" s="3227"/>
      <c r="E262" s="3225"/>
      <c r="F262" s="499" t="str">
        <f>IFERROR(IF(ISBLANK(E261),"","Demand (" &amp; VLOOKUP($E261,PO_Enrgy_1_Table,MATCH($E$16,PO_Enrgy_1_Hdr,0),FALSE) &amp; ")"),"")</f>
        <v>Demand (kW)</v>
      </c>
      <c r="G262" s="591" t="str">
        <f ca="1">INDEX(PO_baseline_table,20, 10)</f>
        <v/>
      </c>
      <c r="H262" s="525" t="str">
        <f t="shared" ca="1" si="76"/>
        <v/>
      </c>
      <c r="I262" s="592" t="str">
        <f t="shared" ca="1" si="85"/>
        <v/>
      </c>
      <c r="J262" s="3106"/>
      <c r="K262" s="3103"/>
      <c r="L262" s="3103"/>
      <c r="M262" s="3088"/>
      <c r="Q262" s="627" t="str">
        <f t="shared" si="77"/>
        <v/>
      </c>
      <c r="R262" s="627" t="str">
        <f t="shared" si="78"/>
        <v/>
      </c>
      <c r="S262" s="627" t="str">
        <f t="shared" si="79"/>
        <v/>
      </c>
      <c r="T262" s="627" t="str">
        <f t="shared" si="80"/>
        <v/>
      </c>
      <c r="V262" s="636">
        <f t="shared" ca="1" si="81"/>
        <v>0</v>
      </c>
      <c r="W262" s="627">
        <f t="shared" ca="1" si="82"/>
        <v>0</v>
      </c>
      <c r="X262" s="627">
        <f t="shared" ca="1" si="83"/>
        <v>0</v>
      </c>
      <c r="Y262" s="627"/>
      <c r="Z262" s="627"/>
      <c r="AA262" s="627"/>
      <c r="AB262" s="627"/>
      <c r="AC262" s="627"/>
      <c r="AD262" s="627"/>
      <c r="AE262" s="2"/>
      <c r="AF262" s="3222"/>
      <c r="AG262" s="3222"/>
      <c r="AH262" s="436"/>
      <c r="AI262" s="363"/>
      <c r="AJ262" s="363"/>
      <c r="AK262" s="563"/>
      <c r="AO262" s="252"/>
      <c r="BC262" s="804"/>
      <c r="BF262" s="983" t="str">
        <f t="shared" si="84"/>
        <v>AA</v>
      </c>
      <c r="BG262" s="983">
        <f t="shared" si="84"/>
        <v>0</v>
      </c>
      <c r="BH262" s="983">
        <f t="shared" si="84"/>
        <v>0</v>
      </c>
      <c r="BI262" s="983"/>
    </row>
    <row r="263" spans="1:61" ht="16.2" customHeight="1" x14ac:dyDescent="0.25">
      <c r="A263" s="433" t="s">
        <v>1038</v>
      </c>
      <c r="B263" s="3228" t="s">
        <v>381</v>
      </c>
      <c r="C263" s="3228"/>
      <c r="D263" s="3227" t="str">
        <f>INDEX(PO_baseline_table,21, 3)</f>
        <v>x</v>
      </c>
      <c r="E263" s="3225" t="str">
        <f>INDEX(PO_baseline_table,21, 4)</f>
        <v>Electricity</v>
      </c>
      <c r="F263" s="499" t="str">
        <f>IFERROR(IF(ISBLANK(E263),"","Consumption (" &amp; VLOOKUP($E263,PO_Enrgy_1_Table,MATCH($C$16,PO_Enrgy_1_Hdr,0),FALSE) &amp; ")"),"")</f>
        <v>Consumption (kWh)</v>
      </c>
      <c r="G263" s="590" t="str">
        <f ca="1">INDEX(PO_baseline_table,21, 10)</f>
        <v/>
      </c>
      <c r="H263" s="525" t="str">
        <f t="shared" ca="1" si="76"/>
        <v/>
      </c>
      <c r="I263" s="658" t="str">
        <f t="shared" ca="1" si="85"/>
        <v/>
      </c>
      <c r="J263" s="3105" t="str">
        <f ca="1">IFERROR(IF($E$520-$H$520&lt;0,"",($G263-$H263)*VLOOKUP($E263,PO_Enrgy_1_Table,MATCH($K$16,PO_Enrgy_1_Hdr,0),FALSE)/($E$520-$H$520)),"")</f>
        <v/>
      </c>
      <c r="K263" s="3103" t="str">
        <f ca="1">IFERROR(IF($G$520-$J$520&lt;0,"",($G263*VLOOKUP($E263,PO_Enrgy_8_Table,MATCH($E$316,PO_Enrgy_8_Hdr,0),FALSE)-($H263*VLOOKUP($E263,PO_Enrgy_8_Table,MATCH($H$316,PO_Enrgy_8_Hdr,0),FALSE)))/($G$520-$J$520)),"")</f>
        <v/>
      </c>
      <c r="L263" s="3103"/>
      <c r="M263" s="3104" t="str">
        <f ca="1">IFERROR(H263*VLOOKUP($E263,PO_Enrgy_1_Table,MATCH($K$16,PO_Enrgy_1_Hdr,0))/$H$311,"")</f>
        <v/>
      </c>
      <c r="Q263" s="627">
        <f t="shared" si="77"/>
        <v>3.4120000000000001E-3</v>
      </c>
      <c r="R263" s="627">
        <f t="shared" si="78"/>
        <v>1.0713680000000001E-2</v>
      </c>
      <c r="S263" s="627" t="str">
        <f t="shared" ca="1" si="79"/>
        <v/>
      </c>
      <c r="T263" s="627" t="str">
        <f t="shared" ca="1" si="80"/>
        <v/>
      </c>
      <c r="V263" s="636">
        <f t="shared" ca="1" si="81"/>
        <v>0</v>
      </c>
      <c r="W263" s="627">
        <f t="shared" ca="1" si="82"/>
        <v>0</v>
      </c>
      <c r="X263" s="627">
        <f t="shared" ca="1" si="83"/>
        <v>0</v>
      </c>
      <c r="Y263" s="627" t="b">
        <f ca="1">IFERROR(IF(D263="x",IF(OR(G263/H263&gt;1.03,G263/H263&lt;0.97),TRUE,FALSE),FALSE),FALSE)</f>
        <v>0</v>
      </c>
      <c r="Z263" s="627">
        <f ca="1">IFERROR(J263*100,)</f>
        <v>0</v>
      </c>
      <c r="AA263" s="627"/>
      <c r="AB263" s="627">
        <f ca="1">RANK(Z263,$Z$243:$Z$290,0)</f>
        <v>1</v>
      </c>
      <c r="AC263" s="627">
        <f ca="1">AB263+COUNTIF($AB$243:$AB262,AB263)</f>
        <v>11</v>
      </c>
      <c r="AD263" s="627" t="str">
        <f>B263</f>
        <v>IT equipment</v>
      </c>
      <c r="AE263" s="2"/>
      <c r="AF263" s="3222"/>
      <c r="AG263" s="3222"/>
      <c r="AH263" s="436"/>
      <c r="AI263" s="363"/>
      <c r="AJ263" s="363"/>
      <c r="AK263" s="562"/>
      <c r="AO263" s="252"/>
      <c r="BC263" s="804"/>
      <c r="BF263" s="983">
        <f t="shared" ref="BF263:BH282" si="86">BF165</f>
        <v>0</v>
      </c>
      <c r="BG263" s="983">
        <f t="shared" si="86"/>
        <v>0</v>
      </c>
      <c r="BH263" s="983">
        <f t="shared" si="86"/>
        <v>0</v>
      </c>
      <c r="BI263" s="983" t="str">
        <f>IF(BG263&lt;&gt;"",IFERROR(MATCH(BG263&amp;BH263,'Results from Trace'!$L$1:$L$21,0),""),"")</f>
        <v/>
      </c>
    </row>
    <row r="264" spans="1:61" ht="16.2" customHeight="1" x14ac:dyDescent="0.25">
      <c r="A264" s="433" t="s">
        <v>1038</v>
      </c>
      <c r="B264" s="3228"/>
      <c r="C264" s="3228"/>
      <c r="D264" s="3227"/>
      <c r="E264" s="3225"/>
      <c r="F264" s="499" t="str">
        <f>IFERROR(IF(ISBLANK(E263),"","Demand (" &amp; VLOOKUP($E263,PO_Enrgy_1_Table,MATCH($E$16,PO_Enrgy_1_Hdr,0),FALSE) &amp; ")"),"")</f>
        <v>Demand (kW)</v>
      </c>
      <c r="G264" s="591" t="str">
        <f ca="1">INDEX(PO_baseline_table,22, 10)</f>
        <v/>
      </c>
      <c r="H264" s="525" t="str">
        <f t="shared" ca="1" si="76"/>
        <v/>
      </c>
      <c r="I264" s="592" t="str">
        <f t="shared" ca="1" si="85"/>
        <v/>
      </c>
      <c r="J264" s="3106"/>
      <c r="K264" s="3103"/>
      <c r="L264" s="3103"/>
      <c r="M264" s="3088"/>
      <c r="Q264" s="627" t="str">
        <f t="shared" si="77"/>
        <v/>
      </c>
      <c r="R264" s="627" t="str">
        <f t="shared" si="78"/>
        <v/>
      </c>
      <c r="S264" s="627" t="str">
        <f t="shared" si="79"/>
        <v/>
      </c>
      <c r="T264" s="627" t="str">
        <f t="shared" si="80"/>
        <v/>
      </c>
      <c r="V264" s="636">
        <f t="shared" ca="1" si="81"/>
        <v>0</v>
      </c>
      <c r="W264" s="627">
        <f t="shared" ca="1" si="82"/>
        <v>0</v>
      </c>
      <c r="X264" s="627">
        <f t="shared" ca="1" si="83"/>
        <v>0</v>
      </c>
      <c r="Y264" s="627"/>
      <c r="Z264" s="627"/>
      <c r="AA264" s="627"/>
      <c r="AB264" s="627"/>
      <c r="AC264" s="627"/>
      <c r="AD264" s="627"/>
      <c r="AE264" s="2"/>
      <c r="AF264" s="3222"/>
      <c r="AG264" s="3222"/>
      <c r="AH264" s="436"/>
      <c r="AI264" s="363"/>
      <c r="AJ264" s="363"/>
      <c r="AK264" s="563"/>
      <c r="AO264" s="252"/>
      <c r="BC264" s="804"/>
      <c r="BF264" s="983">
        <f t="shared" si="86"/>
        <v>0</v>
      </c>
      <c r="BG264" s="983">
        <f t="shared" si="86"/>
        <v>0</v>
      </c>
      <c r="BH264" s="983">
        <f t="shared" si="86"/>
        <v>0</v>
      </c>
      <c r="BI264" s="983"/>
    </row>
    <row r="265" spans="1:61" ht="16.2" customHeight="1" x14ac:dyDescent="0.25">
      <c r="A265" s="433" t="s">
        <v>1038</v>
      </c>
      <c r="B265" s="3228" t="s">
        <v>380</v>
      </c>
      <c r="C265" s="3228"/>
      <c r="D265" s="3227" t="str">
        <f>INDEX(PO_baseline_table,23, 3)</f>
        <v>x</v>
      </c>
      <c r="E265" s="3225" t="str">
        <f>INDEX(PO_baseline_table,23, 4)</f>
        <v>Electricity</v>
      </c>
      <c r="F265" s="499" t="str">
        <f>IFERROR(IF(ISBLANK(E265),"","Consumption (" &amp; VLOOKUP($E265,PO_Enrgy_1_Table,MATCH($C$16,PO_Enrgy_1_Hdr,0),FALSE) &amp; ")"),"")</f>
        <v>Consumption (kWh)</v>
      </c>
      <c r="G265" s="590" t="str">
        <f ca="1">INDEX(PO_baseline_table,23, 10)</f>
        <v/>
      </c>
      <c r="H265" s="525" t="str">
        <f t="shared" ca="1" si="76"/>
        <v/>
      </c>
      <c r="I265" s="658" t="str">
        <f t="shared" ca="1" si="85"/>
        <v/>
      </c>
      <c r="J265" s="3105" t="str">
        <f ca="1">IFERROR(IF($E$520-$H$520&lt;0,"",($G265-$H265)*VLOOKUP($E265,PO_Enrgy_1_Table,MATCH($K$16,PO_Enrgy_1_Hdr,0),FALSE)/($E$520-$H$520)),"")</f>
        <v/>
      </c>
      <c r="K265" s="3103" t="str">
        <f ca="1">IFERROR(IF($G$520-$J$520&lt;0,"",($G265*VLOOKUP($E265,PO_Enrgy_8_Table,MATCH($E$316,PO_Enrgy_8_Hdr,0),FALSE)-($H265*VLOOKUP($E265,PO_Enrgy_8_Table,MATCH($H$316,PO_Enrgy_8_Hdr,0),FALSE)))/($G$520-$J$520)),"")</f>
        <v/>
      </c>
      <c r="L265" s="3103"/>
      <c r="M265" s="3104" t="str">
        <f ca="1">IFERROR(H265*VLOOKUP($E265,PO_Enrgy_1_Table,MATCH($K$16,PO_Enrgy_1_Hdr,0))/$H$311,"")</f>
        <v/>
      </c>
      <c r="Q265" s="627">
        <f t="shared" si="77"/>
        <v>3.4120000000000001E-3</v>
      </c>
      <c r="R265" s="627">
        <f t="shared" si="78"/>
        <v>1.0713680000000001E-2</v>
      </c>
      <c r="S265" s="627" t="str">
        <f t="shared" ca="1" si="79"/>
        <v/>
      </c>
      <c r="T265" s="627" t="str">
        <f t="shared" ca="1" si="80"/>
        <v/>
      </c>
      <c r="V265" s="636">
        <f t="shared" ca="1" si="81"/>
        <v>0</v>
      </c>
      <c r="W265" s="627">
        <f t="shared" ca="1" si="82"/>
        <v>0</v>
      </c>
      <c r="X265" s="627">
        <f t="shared" ca="1" si="83"/>
        <v>0</v>
      </c>
      <c r="Y265" s="627" t="b">
        <f ca="1">IFERROR(IF(D265="x",IF(OR(G265/H265&gt;1.03,G265/H265&lt;0.97),TRUE,FALSE),FALSE),FALSE)</f>
        <v>0</v>
      </c>
      <c r="Z265" s="627">
        <f ca="1">IFERROR(J265*100,)</f>
        <v>0</v>
      </c>
      <c r="AA265" s="627"/>
      <c r="AB265" s="627">
        <f ca="1">RANK(Z265,$Z$243:$Z$290,0)</f>
        <v>1</v>
      </c>
      <c r="AC265" s="627">
        <f ca="1">AB265+COUNTIF($AB$243:$AB264,AB265)</f>
        <v>12</v>
      </c>
      <c r="AD265" s="627" t="str">
        <f>B265</f>
        <v>Interior lighting - process</v>
      </c>
      <c r="AE265" s="2"/>
      <c r="AF265" s="3222"/>
      <c r="AG265" s="3222"/>
      <c r="AH265" s="436"/>
      <c r="AI265" s="363"/>
      <c r="AJ265" s="363"/>
      <c r="AK265" s="562"/>
      <c r="AO265" s="252"/>
      <c r="BC265" s="804"/>
      <c r="BF265" s="983">
        <f t="shared" si="86"/>
        <v>0</v>
      </c>
      <c r="BG265" s="983">
        <f t="shared" si="86"/>
        <v>0</v>
      </c>
      <c r="BH265" s="983">
        <f t="shared" si="86"/>
        <v>0</v>
      </c>
      <c r="BI265" s="983" t="str">
        <f>IF(BG265&lt;&gt;"",IFERROR(MATCH(BG265&amp;BH265,'Results from Trace'!$L$1:$L$21,0),""),"")</f>
        <v/>
      </c>
    </row>
    <row r="266" spans="1:61" ht="16.2" customHeight="1" x14ac:dyDescent="0.25">
      <c r="A266" s="433" t="s">
        <v>1038</v>
      </c>
      <c r="B266" s="3228"/>
      <c r="C266" s="3228"/>
      <c r="D266" s="3227"/>
      <c r="E266" s="3225"/>
      <c r="F266" s="499" t="str">
        <f>IFERROR(IF(ISBLANK(E265),"","Demand (" &amp; VLOOKUP($E265,PO_Enrgy_1_Table,MATCH($E$16,PO_Enrgy_1_Hdr,0),FALSE) &amp; ")"),"")</f>
        <v>Demand (kW)</v>
      </c>
      <c r="G266" s="591" t="str">
        <f ca="1">INDEX(PO_baseline_table,24, 10)</f>
        <v/>
      </c>
      <c r="H266" s="525" t="str">
        <f t="shared" ca="1" si="76"/>
        <v/>
      </c>
      <c r="I266" s="592" t="str">
        <f t="shared" ca="1" si="85"/>
        <v/>
      </c>
      <c r="J266" s="3106"/>
      <c r="K266" s="3103"/>
      <c r="L266" s="3103"/>
      <c r="M266" s="3088"/>
      <c r="Q266" s="627" t="str">
        <f t="shared" si="77"/>
        <v/>
      </c>
      <c r="R266" s="627" t="str">
        <f t="shared" si="78"/>
        <v/>
      </c>
      <c r="S266" s="627" t="str">
        <f t="shared" si="79"/>
        <v/>
      </c>
      <c r="T266" s="627" t="str">
        <f t="shared" si="80"/>
        <v/>
      </c>
      <c r="V266" s="636">
        <f t="shared" ca="1" si="81"/>
        <v>0</v>
      </c>
      <c r="W266" s="627">
        <f t="shared" ca="1" si="82"/>
        <v>0</v>
      </c>
      <c r="X266" s="627">
        <f t="shared" ca="1" si="83"/>
        <v>0</v>
      </c>
      <c r="Y266" s="627"/>
      <c r="Z266" s="627"/>
      <c r="AA266" s="627"/>
      <c r="AB266" s="627"/>
      <c r="AC266" s="627"/>
      <c r="AD266" s="627"/>
      <c r="AE266" s="2"/>
      <c r="AF266" s="3222"/>
      <c r="AG266" s="3222"/>
      <c r="AH266" s="436"/>
      <c r="AI266" s="363"/>
      <c r="AJ266" s="363"/>
      <c r="AK266" s="563"/>
      <c r="AO266" s="252"/>
      <c r="BC266" s="804"/>
      <c r="BF266" s="983">
        <f t="shared" si="86"/>
        <v>0</v>
      </c>
      <c r="BG266" s="983">
        <f t="shared" si="86"/>
        <v>0</v>
      </c>
      <c r="BH266" s="983">
        <f t="shared" si="86"/>
        <v>0</v>
      </c>
      <c r="BI266" s="983"/>
    </row>
    <row r="267" spans="1:61" ht="16.2" customHeight="1" x14ac:dyDescent="0.25">
      <c r="A267" s="433" t="s">
        <v>1038</v>
      </c>
      <c r="B267" s="3228" t="s">
        <v>341</v>
      </c>
      <c r="C267" s="3228"/>
      <c r="D267" s="3227" t="str">
        <f>INDEX(PO_baseline_table,25, 3)</f>
        <v>x</v>
      </c>
      <c r="E267" s="3225" t="str">
        <f>INDEX(PO_baseline_table,25, 4)</f>
        <v>Electricity</v>
      </c>
      <c r="F267" s="499" t="str">
        <f>IFERROR(IF(ISBLANK(E267),"","Consumption (" &amp; VLOOKUP($E267,PO_Enrgy_1_Table,MATCH($C$16,PO_Enrgy_1_Hdr,0),FALSE) &amp; ")"),"")</f>
        <v>Consumption (kWh)</v>
      </c>
      <c r="G267" s="590" t="str">
        <f ca="1">INDEX(PO_baseline_table,25, 10)</f>
        <v/>
      </c>
      <c r="H267" s="525" t="str">
        <f t="shared" ca="1" si="76"/>
        <v/>
      </c>
      <c r="I267" s="658" t="str">
        <f t="shared" ca="1" si="85"/>
        <v/>
      </c>
      <c r="J267" s="3105" t="str">
        <f ca="1">IFERROR(IF($E$520-$H$520&lt;0,"",($G267-$H267)*VLOOKUP($E267,PO_Enrgy_1_Table,MATCH($K$16,PO_Enrgy_1_Hdr,0),FALSE)/($E$520-$H$520)),"")</f>
        <v/>
      </c>
      <c r="K267" s="3103" t="str">
        <f ca="1">IFERROR(IF($G$520-$J$520&lt;0,"",($G267*VLOOKUP($E267,PO_Enrgy_8_Table,MATCH($E$316,PO_Enrgy_8_Hdr,0),FALSE)-($H267*VLOOKUP($E267,PO_Enrgy_8_Table,MATCH($H$316,PO_Enrgy_8_Hdr,0),FALSE)))/($G$520-$J$520)),"")</f>
        <v/>
      </c>
      <c r="L267" s="3103"/>
      <c r="M267" s="3104" t="str">
        <f ca="1">IFERROR(H267*VLOOKUP($E267,PO_Enrgy_1_Table,MATCH($K$16,PO_Enrgy_1_Hdr,0))/$H$311,"")</f>
        <v/>
      </c>
      <c r="Q267" s="627">
        <f t="shared" si="77"/>
        <v>3.4120000000000001E-3</v>
      </c>
      <c r="R267" s="627">
        <f t="shared" si="78"/>
        <v>1.0713680000000001E-2</v>
      </c>
      <c r="S267" s="627" t="str">
        <f t="shared" ca="1" si="79"/>
        <v/>
      </c>
      <c r="T267" s="627" t="str">
        <f t="shared" ca="1" si="80"/>
        <v/>
      </c>
      <c r="V267" s="636">
        <f t="shared" ca="1" si="81"/>
        <v>0</v>
      </c>
      <c r="W267" s="627">
        <f t="shared" ca="1" si="82"/>
        <v>0</v>
      </c>
      <c r="X267" s="627">
        <f t="shared" ca="1" si="83"/>
        <v>0</v>
      </c>
      <c r="Y267" s="627" t="b">
        <f ca="1">IFERROR(IF(D267="x",IF(OR(G267/H267&gt;1.03,G267/H267&lt;0.97),TRUE,FALSE),FALSE),FALSE)</f>
        <v>0</v>
      </c>
      <c r="Z267" s="627">
        <f ca="1">IFERROR(J267*100,)</f>
        <v>0</v>
      </c>
      <c r="AA267" s="627"/>
      <c r="AB267" s="627">
        <f ca="1">RANK(Z267,$Z$243:$Z$290,0)</f>
        <v>1</v>
      </c>
      <c r="AC267" s="627">
        <f ca="1">AB267+COUNTIF($AB$243:$AB266,AB267)</f>
        <v>13</v>
      </c>
      <c r="AD267" s="627" t="str">
        <f>B267</f>
        <v>Refrigeration equipment</v>
      </c>
      <c r="AE267" s="2"/>
      <c r="AF267" s="3222"/>
      <c r="AG267" s="3222"/>
      <c r="AH267" s="436"/>
      <c r="AI267" s="363"/>
      <c r="AJ267" s="363"/>
      <c r="AK267" s="562"/>
      <c r="AO267" s="252"/>
      <c r="BC267" s="804"/>
      <c r="BF267" s="983">
        <f t="shared" si="86"/>
        <v>0</v>
      </c>
      <c r="BG267" s="983">
        <f t="shared" si="86"/>
        <v>0</v>
      </c>
      <c r="BH267" s="983">
        <f t="shared" si="86"/>
        <v>0</v>
      </c>
      <c r="BI267" s="983" t="str">
        <f>IF(BG267&lt;&gt;"",IFERROR(MATCH(BG267&amp;BH267,'Results from Trace'!$L$1:$L$21,0),""),"")</f>
        <v/>
      </c>
    </row>
    <row r="268" spans="1:61" ht="16.2" customHeight="1" x14ac:dyDescent="0.25">
      <c r="A268" s="433" t="s">
        <v>1038</v>
      </c>
      <c r="B268" s="3228"/>
      <c r="C268" s="3228"/>
      <c r="D268" s="3227"/>
      <c r="E268" s="3225"/>
      <c r="F268" s="499" t="str">
        <f>IFERROR(IF(ISBLANK(E267),"","Demand (" &amp; VLOOKUP($E267,PO_Enrgy_1_Table,MATCH($E$16,PO_Enrgy_1_Hdr,0),FALSE) &amp; ")"),"")</f>
        <v>Demand (kW)</v>
      </c>
      <c r="G268" s="591" t="str">
        <f ca="1">INDEX(PO_baseline_table,26, 10)</f>
        <v/>
      </c>
      <c r="H268" s="525" t="str">
        <f t="shared" ca="1" si="76"/>
        <v/>
      </c>
      <c r="I268" s="592" t="str">
        <f t="shared" ca="1" si="85"/>
        <v/>
      </c>
      <c r="J268" s="3106"/>
      <c r="K268" s="3103"/>
      <c r="L268" s="3103"/>
      <c r="M268" s="3088"/>
      <c r="Q268" s="627" t="str">
        <f t="shared" si="77"/>
        <v/>
      </c>
      <c r="R268" s="627" t="str">
        <f t="shared" si="78"/>
        <v/>
      </c>
      <c r="S268" s="627" t="str">
        <f t="shared" si="79"/>
        <v/>
      </c>
      <c r="T268" s="627" t="str">
        <f t="shared" si="80"/>
        <v/>
      </c>
      <c r="V268" s="636">
        <f t="shared" ca="1" si="81"/>
        <v>0</v>
      </c>
      <c r="W268" s="627">
        <f t="shared" ca="1" si="82"/>
        <v>0</v>
      </c>
      <c r="X268" s="627">
        <f t="shared" ca="1" si="83"/>
        <v>0</v>
      </c>
      <c r="Y268" s="627"/>
      <c r="Z268" s="627"/>
      <c r="AA268" s="627"/>
      <c r="AB268" s="627"/>
      <c r="AC268" s="627"/>
      <c r="AD268" s="627"/>
      <c r="AE268" s="2"/>
      <c r="AF268" s="3222"/>
      <c r="AG268" s="3222"/>
      <c r="AH268" s="436"/>
      <c r="AI268" s="363"/>
      <c r="AJ268" s="363"/>
      <c r="AK268" s="563"/>
      <c r="AO268" s="252"/>
      <c r="BC268" s="804"/>
      <c r="BF268" s="983">
        <f t="shared" si="86"/>
        <v>0</v>
      </c>
      <c r="BG268" s="983">
        <f t="shared" si="86"/>
        <v>0</v>
      </c>
      <c r="BH268" s="983">
        <f t="shared" si="86"/>
        <v>0</v>
      </c>
      <c r="BI268" s="983"/>
    </row>
    <row r="269" spans="1:61" ht="16.2" customHeight="1" x14ac:dyDescent="0.25">
      <c r="A269" s="433" t="s">
        <v>1038</v>
      </c>
      <c r="B269" s="3228" t="s">
        <v>379</v>
      </c>
      <c r="C269" s="3228"/>
      <c r="D269" s="3227" t="str">
        <f>INDEX(PO_baseline_table,27, 3)</f>
        <v>x</v>
      </c>
      <c r="E269" s="3225" t="str">
        <f>INDEX(PO_baseline_table,27, 4)</f>
        <v>Electricity</v>
      </c>
      <c r="F269" s="499" t="str">
        <f>IFERROR(IF(ISBLANK(E269),"","Consumption (" &amp; VLOOKUP($E269,PO_Enrgy_1_Table,MATCH($C$16,PO_Enrgy_1_Hdr,0),FALSE) &amp; ")"),"")</f>
        <v>Consumption (kWh)</v>
      </c>
      <c r="G269" s="590" t="str">
        <f ca="1">INDEX(PO_baseline_table,27, 10)</f>
        <v/>
      </c>
      <c r="H269" s="525" t="str">
        <f t="shared" ca="1" si="76"/>
        <v/>
      </c>
      <c r="I269" s="658" t="str">
        <f t="shared" ca="1" si="85"/>
        <v/>
      </c>
      <c r="J269" s="3105" t="str">
        <f ca="1">IFERROR(IF($E$520-$H$520&lt;0,"",($G269-$H269)*VLOOKUP($E269,PO_Enrgy_1_Table,MATCH($K$16,PO_Enrgy_1_Hdr,0),FALSE)/($E$520-$H$520)),"")</f>
        <v/>
      </c>
      <c r="K269" s="3103" t="str">
        <f ca="1">IFERROR(IF($G$520-$J$520&lt;0,"",($G269*VLOOKUP($E269,PO_Enrgy_8_Table,MATCH($E$316,PO_Enrgy_8_Hdr,0),FALSE)-($H269*VLOOKUP($E269,PO_Enrgy_8_Table,MATCH($H$316,PO_Enrgy_8_Hdr,0),FALSE)))/($G$520-$J$520)),"")</f>
        <v/>
      </c>
      <c r="L269" s="3103"/>
      <c r="M269" s="3104" t="str">
        <f ca="1">IFERROR(H269*VLOOKUP($E269,PO_Enrgy_1_Table,MATCH($K$16,PO_Enrgy_1_Hdr,0))/$H$311,"")</f>
        <v/>
      </c>
      <c r="Q269" s="627">
        <f t="shared" si="77"/>
        <v>3.4120000000000001E-3</v>
      </c>
      <c r="R269" s="627">
        <f t="shared" si="78"/>
        <v>1.0713680000000001E-2</v>
      </c>
      <c r="S269" s="627" t="str">
        <f t="shared" ca="1" si="79"/>
        <v/>
      </c>
      <c r="T269" s="627" t="str">
        <f t="shared" ca="1" si="80"/>
        <v/>
      </c>
      <c r="V269" s="636">
        <f t="shared" ca="1" si="81"/>
        <v>0</v>
      </c>
      <c r="W269" s="627">
        <f t="shared" ca="1" si="82"/>
        <v>0</v>
      </c>
      <c r="X269" s="627">
        <f t="shared" ca="1" si="83"/>
        <v>0</v>
      </c>
      <c r="Y269" s="627" t="b">
        <f ca="1">IFERROR(IF(D269="x",IF(OR(G269/H269&gt;1.03,G269/H269&lt;0.97),TRUE,FALSE),FALSE),FALSE)</f>
        <v>0</v>
      </c>
      <c r="Z269" s="627">
        <f ca="1">IFERROR(J269*100,)</f>
        <v>0</v>
      </c>
      <c r="AA269" s="627"/>
      <c r="AB269" s="627">
        <f ca="1">RANK(Z269,$Z$243:$Z$290,0)</f>
        <v>1</v>
      </c>
      <c r="AC269" s="627">
        <f ca="1">AB269+COUNTIF($AB$243:$AB268,AB269)</f>
        <v>14</v>
      </c>
      <c r="AD269" s="627" t="str">
        <f>B269</f>
        <v>Fans - Kitchen Ventilation</v>
      </c>
      <c r="AE269" s="2"/>
      <c r="AF269" s="3222"/>
      <c r="AG269" s="3222"/>
      <c r="AH269" s="436"/>
      <c r="AI269" s="363"/>
      <c r="AJ269" s="363"/>
      <c r="AK269" s="562"/>
      <c r="AO269" s="252"/>
      <c r="BC269" s="804"/>
      <c r="BF269" s="983">
        <f t="shared" si="86"/>
        <v>0</v>
      </c>
      <c r="BG269" s="983">
        <f t="shared" si="86"/>
        <v>0</v>
      </c>
      <c r="BH269" s="983">
        <f t="shared" si="86"/>
        <v>0</v>
      </c>
      <c r="BI269" s="983" t="str">
        <f>IF(BG269&lt;&gt;"",IFERROR(MATCH(BG269&amp;BH269,'Results from Trace'!$L$1:$L$21,0),""),"")</f>
        <v/>
      </c>
    </row>
    <row r="270" spans="1:61" ht="16.2" customHeight="1" x14ac:dyDescent="0.25">
      <c r="A270" s="433" t="s">
        <v>1038</v>
      </c>
      <c r="B270" s="3228"/>
      <c r="C270" s="3228"/>
      <c r="D270" s="3227"/>
      <c r="E270" s="3225"/>
      <c r="F270" s="499" t="str">
        <f>IFERROR(IF(ISBLANK(E269),"","Demand (" &amp; VLOOKUP($E269,PO_Enrgy_1_Table,MATCH($E$16,PO_Enrgy_1_Hdr,0),FALSE) &amp; ")"),"")</f>
        <v>Demand (kW)</v>
      </c>
      <c r="G270" s="591" t="str">
        <f ca="1">INDEX(PO_baseline_table,28, 10)</f>
        <v/>
      </c>
      <c r="H270" s="525" t="str">
        <f t="shared" ca="1" si="76"/>
        <v/>
      </c>
      <c r="I270" s="592" t="str">
        <f t="shared" ca="1" si="85"/>
        <v/>
      </c>
      <c r="J270" s="3106"/>
      <c r="K270" s="3103"/>
      <c r="L270" s="3103"/>
      <c r="M270" s="3088"/>
      <c r="Q270" s="627" t="str">
        <f t="shared" si="77"/>
        <v/>
      </c>
      <c r="R270" s="627" t="str">
        <f t="shared" si="78"/>
        <v/>
      </c>
      <c r="S270" s="627" t="str">
        <f t="shared" si="79"/>
        <v/>
      </c>
      <c r="T270" s="627" t="str">
        <f t="shared" si="80"/>
        <v/>
      </c>
      <c r="V270" s="636">
        <f t="shared" ca="1" si="81"/>
        <v>0</v>
      </c>
      <c r="W270" s="627">
        <f t="shared" ca="1" si="82"/>
        <v>0</v>
      </c>
      <c r="X270" s="627">
        <f t="shared" ca="1" si="83"/>
        <v>0</v>
      </c>
      <c r="Y270" s="627"/>
      <c r="Z270" s="627"/>
      <c r="AA270" s="627"/>
      <c r="AB270" s="627"/>
      <c r="AC270" s="627"/>
      <c r="AD270" s="627"/>
      <c r="AE270" s="2"/>
      <c r="AF270" s="3222"/>
      <c r="AG270" s="3222"/>
      <c r="AH270" s="436"/>
      <c r="AI270" s="363"/>
      <c r="AJ270" s="363"/>
      <c r="AK270" s="563"/>
      <c r="AO270" s="252"/>
      <c r="BC270" s="804"/>
      <c r="BF270" s="983">
        <f t="shared" si="86"/>
        <v>0</v>
      </c>
      <c r="BG270" s="983">
        <f t="shared" si="86"/>
        <v>0</v>
      </c>
      <c r="BH270" s="983">
        <f t="shared" si="86"/>
        <v>0</v>
      </c>
      <c r="BI270" s="983"/>
    </row>
    <row r="271" spans="1:61" ht="16.2" customHeight="1" x14ac:dyDescent="0.25">
      <c r="A271" s="433" t="s">
        <v>1038</v>
      </c>
      <c r="B271" s="3228" t="s">
        <v>378</v>
      </c>
      <c r="C271" s="3228"/>
      <c r="D271" s="3227" t="str">
        <f>INDEX(PO_baseline_table,29, 3)</f>
        <v>x</v>
      </c>
      <c r="E271" s="3225" t="str">
        <f>INDEX(PO_baseline_table,29, 4)</f>
        <v>Electricity</v>
      </c>
      <c r="F271" s="499" t="str">
        <f>IFERROR(IF(ISBLANK(E271),"","Consumption (" &amp; VLOOKUP($E271,PO_Enrgy_1_Table,MATCH($C$16,PO_Enrgy_1_Hdr,0),FALSE) &amp; ")"),"")</f>
        <v>Consumption (kWh)</v>
      </c>
      <c r="G271" s="590" t="str">
        <f ca="1">INDEX(PO_baseline_table,29, 10)</f>
        <v/>
      </c>
      <c r="H271" s="525" t="str">
        <f t="shared" ca="1" si="76"/>
        <v/>
      </c>
      <c r="I271" s="658" t="str">
        <f t="shared" ca="1" si="85"/>
        <v/>
      </c>
      <c r="J271" s="3105" t="str">
        <f ca="1">IFERROR(IF($E$520-$H$520&lt;0,"",($G271-$H271)*VLOOKUP($E271,PO_Enrgy_1_Table,MATCH($K$16,PO_Enrgy_1_Hdr,0),FALSE)/($E$520-$H$520)),"")</f>
        <v/>
      </c>
      <c r="K271" s="3103" t="str">
        <f ca="1">IFERROR(IF($G$520-$J$520&lt;0,"",($G271*VLOOKUP($E271,PO_Enrgy_8_Table,MATCH($E$316,PO_Enrgy_8_Hdr,0),FALSE)-($H271*VLOOKUP($E271,PO_Enrgy_8_Table,MATCH($H$316,PO_Enrgy_8_Hdr,0),FALSE)))/($G$520-$J$520)),"")</f>
        <v/>
      </c>
      <c r="L271" s="3103"/>
      <c r="M271" s="3104" t="str">
        <f ca="1">IFERROR(H271*VLOOKUP($E271,PO_Enrgy_1_Table,MATCH($K$16,PO_Enrgy_1_Hdr,0))/$H$311,"")</f>
        <v/>
      </c>
      <c r="Q271" s="627">
        <f t="shared" si="77"/>
        <v>3.4120000000000001E-3</v>
      </c>
      <c r="R271" s="627">
        <f t="shared" si="78"/>
        <v>1.0713680000000001E-2</v>
      </c>
      <c r="S271" s="627" t="str">
        <f t="shared" ca="1" si="79"/>
        <v/>
      </c>
      <c r="T271" s="627" t="str">
        <f t="shared" ca="1" si="80"/>
        <v/>
      </c>
      <c r="V271" s="636">
        <f t="shared" ca="1" si="81"/>
        <v>0</v>
      </c>
      <c r="W271" s="627">
        <f t="shared" ca="1" si="82"/>
        <v>0</v>
      </c>
      <c r="X271" s="627">
        <f t="shared" ca="1" si="83"/>
        <v>0</v>
      </c>
      <c r="Y271" s="627" t="b">
        <f ca="1">IFERROR(IF(D271="x",IF(OR(G271/H271&gt;1.03,G271/H271&lt;0.97),TRUE,FALSE),FALSE),FALSE)</f>
        <v>0</v>
      </c>
      <c r="Z271" s="627">
        <f ca="1">IFERROR(J271*100,)</f>
        <v>0</v>
      </c>
      <c r="AA271" s="627"/>
      <c r="AB271" s="627">
        <f ca="1">RANK(Z271,$Z$243:$Z$290,0)</f>
        <v>1</v>
      </c>
      <c r="AC271" s="627">
        <f ca="1">AB271+COUNTIF($AB$243:$AB270,AB271)</f>
        <v>15</v>
      </c>
      <c r="AD271" s="627" t="str">
        <f>B271</f>
        <v>Cooking</v>
      </c>
      <c r="AE271" s="2"/>
      <c r="AF271" s="3222"/>
      <c r="AG271" s="3222"/>
      <c r="AH271" s="436"/>
      <c r="AI271" s="363"/>
      <c r="AJ271" s="363"/>
      <c r="AK271" s="562"/>
      <c r="AO271" s="252"/>
      <c r="BC271" s="804"/>
      <c r="BF271" s="983">
        <f t="shared" si="86"/>
        <v>0</v>
      </c>
      <c r="BG271" s="983">
        <f t="shared" si="86"/>
        <v>0</v>
      </c>
      <c r="BH271" s="983">
        <f t="shared" si="86"/>
        <v>0</v>
      </c>
      <c r="BI271" s="983" t="str">
        <f>IF(BG271&lt;&gt;"",IFERROR(MATCH(BG271&amp;BH271,'Results from Trace'!$L$1:$L$21,0),""),"")</f>
        <v/>
      </c>
    </row>
    <row r="272" spans="1:61" ht="16.2" customHeight="1" x14ac:dyDescent="0.25">
      <c r="A272" s="433" t="s">
        <v>1038</v>
      </c>
      <c r="B272" s="3228"/>
      <c r="C272" s="3228"/>
      <c r="D272" s="3227"/>
      <c r="E272" s="3225"/>
      <c r="F272" s="499" t="str">
        <f>IFERROR(IF(ISBLANK(E271),"","Demand (" &amp; VLOOKUP($E271,PO_Enrgy_1_Table,MATCH($E$16,PO_Enrgy_1_Hdr,0),FALSE) &amp; ")"),"")</f>
        <v>Demand (kW)</v>
      </c>
      <c r="G272" s="591" t="str">
        <f ca="1">INDEX(PO_baseline_table,30, 10)</f>
        <v/>
      </c>
      <c r="H272" s="525" t="str">
        <f t="shared" ca="1" si="76"/>
        <v/>
      </c>
      <c r="I272" s="592" t="str">
        <f t="shared" ca="1" si="85"/>
        <v/>
      </c>
      <c r="J272" s="3106"/>
      <c r="K272" s="3103"/>
      <c r="L272" s="3103"/>
      <c r="M272" s="3088"/>
      <c r="Q272" s="627" t="str">
        <f t="shared" si="77"/>
        <v/>
      </c>
      <c r="R272" s="627" t="str">
        <f t="shared" si="78"/>
        <v/>
      </c>
      <c r="S272" s="627" t="str">
        <f t="shared" si="79"/>
        <v/>
      </c>
      <c r="T272" s="627" t="str">
        <f t="shared" si="80"/>
        <v/>
      </c>
      <c r="V272" s="636">
        <f t="shared" ca="1" si="81"/>
        <v>0</v>
      </c>
      <c r="W272" s="627">
        <f t="shared" ca="1" si="82"/>
        <v>0</v>
      </c>
      <c r="X272" s="627">
        <f t="shared" ca="1" si="83"/>
        <v>0</v>
      </c>
      <c r="Y272" s="627"/>
      <c r="Z272" s="627"/>
      <c r="AA272" s="627"/>
      <c r="AB272" s="627"/>
      <c r="AC272" s="627"/>
      <c r="AD272" s="627"/>
      <c r="AE272" s="2"/>
      <c r="AF272" s="3222"/>
      <c r="AG272" s="3222"/>
      <c r="AH272" s="436"/>
      <c r="AI272" s="363"/>
      <c r="AJ272" s="363"/>
      <c r="AK272" s="563"/>
      <c r="AO272" s="252"/>
      <c r="BC272" s="804"/>
      <c r="BF272" s="983">
        <f t="shared" si="86"/>
        <v>0</v>
      </c>
      <c r="BG272" s="983">
        <f t="shared" si="86"/>
        <v>0</v>
      </c>
      <c r="BH272" s="983">
        <f t="shared" si="86"/>
        <v>0</v>
      </c>
      <c r="BI272" s="983"/>
    </row>
    <row r="273" spans="1:61" ht="16.2" customHeight="1" x14ac:dyDescent="0.25">
      <c r="A273" s="433" t="s">
        <v>1038</v>
      </c>
      <c r="B273" s="3228" t="s">
        <v>377</v>
      </c>
      <c r="C273" s="3228"/>
      <c r="D273" s="3227" t="str">
        <f>INDEX(PO_baseline_table,31, 3)</f>
        <v>x</v>
      </c>
      <c r="E273" s="3225" t="str">
        <f>INDEX(PO_baseline_table,31, 4)</f>
        <v>Electricity</v>
      </c>
      <c r="F273" s="499" t="str">
        <f>IFERROR(IF(ISBLANK(E273),"","Consumption (" &amp; VLOOKUP($E273,PO_Enrgy_1_Table,MATCH($C$16,PO_Enrgy_1_Hdr,0),FALSE) &amp; ")"),"")</f>
        <v>Consumption (kWh)</v>
      </c>
      <c r="G273" s="590" t="str">
        <f ca="1">INDEX(PO_baseline_table,31, 10)</f>
        <v/>
      </c>
      <c r="H273" s="525" t="str">
        <f t="shared" ca="1" si="76"/>
        <v/>
      </c>
      <c r="I273" s="658" t="str">
        <f t="shared" ca="1" si="85"/>
        <v/>
      </c>
      <c r="J273" s="3105" t="str">
        <f ca="1">IFERROR(IF($E$520-$H$520&lt;0,"",($G273-$H273)*VLOOKUP($E273,PO_Enrgy_1_Table,MATCH($K$16,PO_Enrgy_1_Hdr,0),FALSE)/($E$520-$H$520)),"")</f>
        <v/>
      </c>
      <c r="K273" s="3103" t="str">
        <f ca="1">IFERROR(IF($G$520-$J$520&lt;0,"",($G273*VLOOKUP($E273,PO_Enrgy_8_Table,MATCH($E$316,PO_Enrgy_8_Hdr,0),FALSE)-($H273*VLOOKUP($E273,PO_Enrgy_8_Table,MATCH($H$316,PO_Enrgy_8_Hdr,0),FALSE)))/($G$520-$J$520)),"")</f>
        <v/>
      </c>
      <c r="L273" s="3103"/>
      <c r="M273" s="3104" t="str">
        <f ca="1">IFERROR(H273*VLOOKUP($E273,PO_Enrgy_1_Table,MATCH($K$16,PO_Enrgy_1_Hdr,0))/$H$311,"")</f>
        <v/>
      </c>
      <c r="Q273" s="627">
        <f t="shared" si="77"/>
        <v>3.4120000000000001E-3</v>
      </c>
      <c r="R273" s="627">
        <f t="shared" si="78"/>
        <v>1.0713680000000001E-2</v>
      </c>
      <c r="S273" s="627" t="str">
        <f t="shared" ca="1" si="79"/>
        <v/>
      </c>
      <c r="T273" s="627" t="str">
        <f t="shared" ca="1" si="80"/>
        <v/>
      </c>
      <c r="V273" s="636">
        <f t="shared" ca="1" si="81"/>
        <v>0</v>
      </c>
      <c r="W273" s="627">
        <f t="shared" ca="1" si="82"/>
        <v>0</v>
      </c>
      <c r="X273" s="627">
        <f t="shared" ca="1" si="83"/>
        <v>0</v>
      </c>
      <c r="Y273" s="627" t="b">
        <f ca="1">IFERROR(IF(D273="x",IF(OR(G273/H273&gt;1.03,G273/H273&lt;0.97),TRUE,FALSE),FALSE),FALSE)</f>
        <v>0</v>
      </c>
      <c r="Z273" s="627">
        <f ca="1">IFERROR(J273*100,)</f>
        <v>0</v>
      </c>
      <c r="AA273" s="627"/>
      <c r="AB273" s="627">
        <f ca="1">RANK(Z273,$Z$243:$Z$290,0)</f>
        <v>1</v>
      </c>
      <c r="AC273" s="627">
        <f ca="1">AB273+COUNTIF($AB$243:$AB272,AB273)</f>
        <v>16</v>
      </c>
      <c r="AD273" s="627" t="str">
        <f>B273</f>
        <v>Industrial Process</v>
      </c>
      <c r="AE273" s="2"/>
      <c r="AF273" s="3222"/>
      <c r="AG273" s="3222"/>
      <c r="AH273" s="436"/>
      <c r="AI273" s="363"/>
      <c r="AJ273" s="363"/>
      <c r="AK273" s="562"/>
      <c r="AO273" s="252"/>
      <c r="BC273" s="804"/>
      <c r="BF273" s="983">
        <f t="shared" si="86"/>
        <v>0</v>
      </c>
      <c r="BG273" s="983">
        <f t="shared" si="86"/>
        <v>0</v>
      </c>
      <c r="BH273" s="983">
        <f t="shared" si="86"/>
        <v>0</v>
      </c>
      <c r="BI273" s="983" t="str">
        <f>IF(BG273&lt;&gt;"",IFERROR(MATCH(BG273&amp;BH273,'Results from Trace'!$L$1:$L$21,0),""),"")</f>
        <v/>
      </c>
    </row>
    <row r="274" spans="1:61" ht="16.2" customHeight="1" x14ac:dyDescent="0.25">
      <c r="A274" s="433" t="s">
        <v>1038</v>
      </c>
      <c r="B274" s="3228"/>
      <c r="C274" s="3228"/>
      <c r="D274" s="3227"/>
      <c r="E274" s="3225"/>
      <c r="F274" s="499" t="str">
        <f>IFERROR(IF(ISBLANK(E273),"","Demand (" &amp; VLOOKUP($E273,PO_Enrgy_1_Table,MATCH($E$16,PO_Enrgy_1_Hdr,0),FALSE) &amp; ")"),"")</f>
        <v>Demand (kW)</v>
      </c>
      <c r="G274" s="591" t="str">
        <f ca="1">INDEX(PO_baseline_table,32, 10)</f>
        <v/>
      </c>
      <c r="H274" s="525" t="str">
        <f t="shared" ca="1" si="76"/>
        <v/>
      </c>
      <c r="I274" s="592" t="str">
        <f t="shared" ca="1" si="85"/>
        <v/>
      </c>
      <c r="J274" s="3106"/>
      <c r="K274" s="3103"/>
      <c r="L274" s="3103"/>
      <c r="M274" s="3088"/>
      <c r="Q274" s="627" t="str">
        <f t="shared" si="77"/>
        <v/>
      </c>
      <c r="R274" s="627" t="str">
        <f t="shared" si="78"/>
        <v/>
      </c>
      <c r="S274" s="627" t="str">
        <f t="shared" si="79"/>
        <v/>
      </c>
      <c r="T274" s="627" t="str">
        <f t="shared" si="80"/>
        <v/>
      </c>
      <c r="V274" s="636">
        <f t="shared" ca="1" si="81"/>
        <v>0</v>
      </c>
      <c r="W274" s="627">
        <f t="shared" ca="1" si="82"/>
        <v>0</v>
      </c>
      <c r="X274" s="627">
        <f t="shared" ca="1" si="83"/>
        <v>0</v>
      </c>
      <c r="Y274" s="627"/>
      <c r="Z274" s="627"/>
      <c r="AA274" s="627"/>
      <c r="AB274" s="627"/>
      <c r="AC274" s="627"/>
      <c r="AD274" s="627"/>
      <c r="AE274" s="2"/>
      <c r="AF274" s="3222"/>
      <c r="AG274" s="3222"/>
      <c r="AH274" s="436"/>
      <c r="AI274" s="363"/>
      <c r="AJ274" s="363"/>
      <c r="AK274" s="563"/>
      <c r="AO274" s="252"/>
      <c r="BC274" s="804"/>
      <c r="BF274" s="983">
        <f t="shared" si="86"/>
        <v>0</v>
      </c>
      <c r="BG274" s="983">
        <f t="shared" si="86"/>
        <v>0</v>
      </c>
      <c r="BH274" s="983">
        <f t="shared" si="86"/>
        <v>0</v>
      </c>
      <c r="BI274" s="983"/>
    </row>
    <row r="275" spans="1:61" ht="16.2" customHeight="1" x14ac:dyDescent="0.25">
      <c r="A275" s="433" t="s">
        <v>1038</v>
      </c>
      <c r="B275" s="3228" t="s">
        <v>376</v>
      </c>
      <c r="C275" s="3228"/>
      <c r="D275" s="3227" t="str">
        <f>INDEX(PO_baseline_table,33, 3)</f>
        <v>x</v>
      </c>
      <c r="E275" s="3225" t="str">
        <f>INDEX(PO_baseline_table,33, 4)</f>
        <v>Electricity</v>
      </c>
      <c r="F275" s="499" t="str">
        <f>IFERROR(IF(ISBLANK(E275),"","Consumption (" &amp; VLOOKUP($E275,PO_Enrgy_1_Table,MATCH($C$16,PO_Enrgy_1_Hdr,0),FALSE) &amp; ")"),"")</f>
        <v>Consumption (kWh)</v>
      </c>
      <c r="G275" s="590" t="str">
        <f ca="1">INDEX(PO_baseline_table,33, 10)</f>
        <v/>
      </c>
      <c r="H275" s="525" t="str">
        <f t="shared" ca="1" si="76"/>
        <v/>
      </c>
      <c r="I275" s="658" t="str">
        <f t="shared" ca="1" si="85"/>
        <v/>
      </c>
      <c r="J275" s="3105" t="str">
        <f ca="1">IFERROR(IF($E$520-$H$520&lt;0,"",($G275-$H275)*VLOOKUP($E275,PO_Enrgy_1_Table,MATCH($K$16,PO_Enrgy_1_Hdr,0),FALSE)/($E$520-$H$520)),"")</f>
        <v/>
      </c>
      <c r="K275" s="3103" t="str">
        <f ca="1">IFERROR(IF($G$520-$J$520&lt;0,"",($G275*VLOOKUP($E275,PO_Enrgy_8_Table,MATCH($E$316,PO_Enrgy_8_Hdr,0),FALSE)-($H275*VLOOKUP($E275,PO_Enrgy_8_Table,MATCH($H$316,PO_Enrgy_8_Hdr,0),FALSE)))/($G$520-$J$520)),"")</f>
        <v/>
      </c>
      <c r="L275" s="3103"/>
      <c r="M275" s="3104" t="str">
        <f ca="1">IFERROR(H275*VLOOKUP($E275,PO_Enrgy_1_Table,MATCH($K$16,PO_Enrgy_1_Hdr,0))/$H$311,"")</f>
        <v/>
      </c>
      <c r="Q275" s="627">
        <f t="shared" si="77"/>
        <v>3.4120000000000001E-3</v>
      </c>
      <c r="R275" s="627">
        <f t="shared" si="78"/>
        <v>1.0713680000000001E-2</v>
      </c>
      <c r="S275" s="627" t="str">
        <f t="shared" ca="1" si="79"/>
        <v/>
      </c>
      <c r="T275" s="627" t="str">
        <f t="shared" ca="1" si="80"/>
        <v/>
      </c>
      <c r="V275" s="636">
        <f t="shared" ca="1" si="81"/>
        <v>0</v>
      </c>
      <c r="W275" s="627">
        <f t="shared" ca="1" si="82"/>
        <v>0</v>
      </c>
      <c r="X275" s="627">
        <f t="shared" ca="1" si="83"/>
        <v>0</v>
      </c>
      <c r="Y275" s="627" t="b">
        <f ca="1">IFERROR(IF(D275="x",IF(OR(G275/H275&gt;1.03,G275/H275&lt;0.97),TRUE,FALSE),FALSE),FALSE)</f>
        <v>0</v>
      </c>
      <c r="Z275" s="627">
        <f ca="1">IFERROR(J275*100,)</f>
        <v>0</v>
      </c>
      <c r="AA275" s="627"/>
      <c r="AB275" s="627">
        <f ca="1">RANK(Z275,$Z$243:$Z$290,0)</f>
        <v>1</v>
      </c>
      <c r="AC275" s="627">
        <f ca="1">AB275+COUNTIF($AB$243:$AB274,AB275)</f>
        <v>17</v>
      </c>
      <c r="AD275" s="627" t="str">
        <f>B275</f>
        <v>Elevators and escalators</v>
      </c>
      <c r="AE275" s="2"/>
      <c r="AF275" s="3222"/>
      <c r="AG275" s="3222"/>
      <c r="AH275" s="436"/>
      <c r="AI275" s="363"/>
      <c r="AJ275" s="363"/>
      <c r="AK275" s="562"/>
      <c r="AO275" s="252"/>
      <c r="BC275" s="804"/>
      <c r="BF275" s="983">
        <f t="shared" si="86"/>
        <v>0</v>
      </c>
      <c r="BG275" s="983">
        <f t="shared" si="86"/>
        <v>0</v>
      </c>
      <c r="BH275" s="983">
        <f t="shared" si="86"/>
        <v>0</v>
      </c>
      <c r="BI275" s="983" t="str">
        <f>IF(BG275&lt;&gt;"",IFERROR(MATCH(BG275&amp;BH275,'Results from Trace'!$L$1:$L$21,0),""),"")</f>
        <v/>
      </c>
    </row>
    <row r="276" spans="1:61" ht="16.2" customHeight="1" x14ac:dyDescent="0.25">
      <c r="A276" s="433" t="s">
        <v>1038</v>
      </c>
      <c r="B276" s="3228"/>
      <c r="C276" s="3228"/>
      <c r="D276" s="3227"/>
      <c r="E276" s="3225"/>
      <c r="F276" s="499" t="str">
        <f>IFERROR(IF(ISBLANK(E275),"","Demand (" &amp; VLOOKUP($E275,PO_Enrgy_1_Table,MATCH($E$16,PO_Enrgy_1_Hdr,0),FALSE) &amp; ")"),"")</f>
        <v>Demand (kW)</v>
      </c>
      <c r="G276" s="591" t="str">
        <f ca="1">INDEX(PO_baseline_table,34, 10)</f>
        <v/>
      </c>
      <c r="H276" s="525" t="str">
        <f t="shared" ca="1" si="76"/>
        <v/>
      </c>
      <c r="I276" s="592" t="str">
        <f t="shared" ca="1" si="85"/>
        <v/>
      </c>
      <c r="J276" s="3106"/>
      <c r="K276" s="3103"/>
      <c r="L276" s="3103"/>
      <c r="M276" s="3088"/>
      <c r="Q276" s="627" t="str">
        <f t="shared" si="77"/>
        <v/>
      </c>
      <c r="R276" s="627" t="str">
        <f t="shared" si="78"/>
        <v/>
      </c>
      <c r="S276" s="627" t="str">
        <f t="shared" si="79"/>
        <v/>
      </c>
      <c r="T276" s="627" t="str">
        <f t="shared" si="80"/>
        <v/>
      </c>
      <c r="V276" s="636">
        <f t="shared" ca="1" si="81"/>
        <v>0</v>
      </c>
      <c r="W276" s="627">
        <f t="shared" ca="1" si="82"/>
        <v>0</v>
      </c>
      <c r="X276" s="627">
        <f t="shared" ca="1" si="83"/>
        <v>0</v>
      </c>
      <c r="Y276" s="627"/>
      <c r="Z276" s="627"/>
      <c r="AA276" s="627"/>
      <c r="AB276" s="627"/>
      <c r="AC276" s="627"/>
      <c r="AD276" s="627"/>
      <c r="AE276" s="2"/>
      <c r="AF276" s="3222"/>
      <c r="AG276" s="3222"/>
      <c r="AH276" s="436"/>
      <c r="AI276" s="363"/>
      <c r="AJ276" s="363"/>
      <c r="AK276" s="563"/>
      <c r="AO276" s="252"/>
      <c r="BC276" s="804"/>
      <c r="BF276" s="983">
        <f t="shared" si="86"/>
        <v>0</v>
      </c>
      <c r="BG276" s="983">
        <f t="shared" si="86"/>
        <v>0</v>
      </c>
      <c r="BH276" s="983">
        <f t="shared" si="86"/>
        <v>0</v>
      </c>
      <c r="BI276" s="983"/>
    </row>
    <row r="277" spans="1:61" ht="16.2" customHeight="1" x14ac:dyDescent="0.25">
      <c r="A277" s="433" t="s">
        <v>1038</v>
      </c>
      <c r="B277" s="3228" t="s">
        <v>879</v>
      </c>
      <c r="C277" s="3228"/>
      <c r="D277" s="3227">
        <f>INDEX(PO_baseline_table,35, 3)</f>
        <v>0</v>
      </c>
      <c r="E277" s="3225" t="str">
        <f>INDEX(PO_baseline_table,35, 4)</f>
        <v>Electricity</v>
      </c>
      <c r="F277" s="499" t="str">
        <f>IFERROR(IF(ISBLANK(E277),"","Consumption (" &amp; VLOOKUP($E277,PO_Enrgy_1_Table,MATCH($C$16,PO_Enrgy_1_Hdr,0),FALSE) &amp; ")"),"")</f>
        <v>Consumption (kWh)</v>
      </c>
      <c r="G277" s="590" t="str">
        <f ca="1">INDEX(PO_baseline_table,35, 10)</f>
        <v/>
      </c>
      <c r="H277" s="525" t="str">
        <f t="shared" ca="1" si="76"/>
        <v/>
      </c>
      <c r="I277" s="658" t="str">
        <f t="shared" ca="1" si="85"/>
        <v/>
      </c>
      <c r="J277" s="3105" t="str">
        <f ca="1">IFERROR(IF($E$520-$H$520&lt;0,"",($G277-$H277)*VLOOKUP($E277,PO_Enrgy_1_Table,MATCH($K$16,PO_Enrgy_1_Hdr,0),FALSE)/($E$520-$H$520)),"")</f>
        <v/>
      </c>
      <c r="K277" s="3103" t="str">
        <f ca="1">IFERROR(IF($G$520-$J$520&lt;0,"",($G277*VLOOKUP($E277,PO_Enrgy_8_Table,MATCH($E$316,PO_Enrgy_8_Hdr,0),FALSE)-($H277*VLOOKUP($E277,PO_Enrgy_8_Table,MATCH($H$316,PO_Enrgy_8_Hdr,0),FALSE)))/($G$520-$J$520)),"")</f>
        <v/>
      </c>
      <c r="L277" s="3103"/>
      <c r="M277" s="3104" t="str">
        <f ca="1">IFERROR(H277*VLOOKUP($E277,PO_Enrgy_1_Table,MATCH($K$16,PO_Enrgy_1_Hdr,0))/$H$311,"")</f>
        <v/>
      </c>
      <c r="Q277" s="627">
        <f t="shared" si="77"/>
        <v>3.4120000000000001E-3</v>
      </c>
      <c r="R277" s="627">
        <f t="shared" si="78"/>
        <v>1.0713680000000001E-2</v>
      </c>
      <c r="S277" s="627" t="str">
        <f t="shared" ca="1" si="79"/>
        <v/>
      </c>
      <c r="T277" s="627" t="str">
        <f t="shared" ca="1" si="80"/>
        <v/>
      </c>
      <c r="V277" s="636">
        <f t="shared" ca="1" si="81"/>
        <v>0</v>
      </c>
      <c r="W277" s="627">
        <f t="shared" ca="1" si="82"/>
        <v>0</v>
      </c>
      <c r="X277" s="627">
        <f t="shared" ca="1" si="83"/>
        <v>0</v>
      </c>
      <c r="Y277" s="627" t="b">
        <f>IFERROR(IF(D277="x",IF(OR(G277/H277&gt;1.03,G277/H277&lt;0.97),TRUE,FALSE),FALSE),FALSE)</f>
        <v>0</v>
      </c>
      <c r="Z277" s="627">
        <f ca="1">IFERROR(J277*100,)</f>
        <v>0</v>
      </c>
      <c r="AA277" s="627"/>
      <c r="AB277" s="627">
        <f ca="1">RANK(Z277,$Z$243:$Z$290,0)</f>
        <v>1</v>
      </c>
      <c r="AC277" s="627">
        <f ca="1">AB277+COUNTIF($AB$243:$AB276,AB277)</f>
        <v>18</v>
      </c>
      <c r="AD277" s="627" t="str">
        <f>B277</f>
        <v>Heat Pump Supplementary</v>
      </c>
      <c r="AE277" s="2"/>
      <c r="AF277" s="3222"/>
      <c r="AG277" s="3222"/>
      <c r="AH277" s="436"/>
      <c r="AI277" s="363"/>
      <c r="AJ277" s="363"/>
      <c r="AK277" s="562"/>
      <c r="AO277" s="252"/>
      <c r="BC277" s="804"/>
      <c r="BF277" s="983" t="str">
        <f t="shared" si="86"/>
        <v>U</v>
      </c>
      <c r="BG277" s="983">
        <f t="shared" si="86"/>
        <v>0</v>
      </c>
      <c r="BH277" s="983">
        <f t="shared" si="86"/>
        <v>0</v>
      </c>
      <c r="BI277" s="983" t="str">
        <f>IF(BG277&lt;&gt;"",IFERROR(MATCH(BG277&amp;BH277,'Results from Trace'!$L$1:$L$21,0),""),"")</f>
        <v/>
      </c>
    </row>
    <row r="278" spans="1:61" ht="16.2" customHeight="1" x14ac:dyDescent="0.25">
      <c r="A278" s="433" t="s">
        <v>1038</v>
      </c>
      <c r="B278" s="3228"/>
      <c r="C278" s="3228"/>
      <c r="D278" s="3227"/>
      <c r="E278" s="3225"/>
      <c r="F278" s="499" t="str">
        <f>IFERROR(IF(ISBLANK(E277),"","Demand (" &amp; VLOOKUP($E277,PO_Enrgy_1_Table,MATCH($E$16,PO_Enrgy_1_Hdr,0),FALSE) &amp; ")"),"")</f>
        <v>Demand (kW)</v>
      </c>
      <c r="G278" s="591" t="str">
        <f ca="1">INDEX(PO_baseline_table,36, 10)</f>
        <v/>
      </c>
      <c r="H278" s="525" t="str">
        <f t="shared" ca="1" si="76"/>
        <v/>
      </c>
      <c r="I278" s="592" t="str">
        <f t="shared" ca="1" si="85"/>
        <v/>
      </c>
      <c r="J278" s="3106"/>
      <c r="K278" s="3103"/>
      <c r="L278" s="3103"/>
      <c r="M278" s="3088"/>
      <c r="Q278" s="627" t="str">
        <f t="shared" si="77"/>
        <v/>
      </c>
      <c r="R278" s="627" t="str">
        <f t="shared" si="78"/>
        <v/>
      </c>
      <c r="S278" s="627" t="str">
        <f t="shared" si="79"/>
        <v/>
      </c>
      <c r="T278" s="627" t="str">
        <f t="shared" si="80"/>
        <v/>
      </c>
      <c r="V278" s="636">
        <f t="shared" ca="1" si="81"/>
        <v>0</v>
      </c>
      <c r="W278" s="627">
        <f t="shared" ca="1" si="82"/>
        <v>0</v>
      </c>
      <c r="X278" s="627">
        <f t="shared" ca="1" si="83"/>
        <v>0</v>
      </c>
      <c r="Y278" s="627"/>
      <c r="Z278" s="627"/>
      <c r="AA278" s="627"/>
      <c r="AB278" s="627"/>
      <c r="AC278" s="627"/>
      <c r="AD278" s="627"/>
      <c r="AE278" s="2"/>
      <c r="AF278" s="3222"/>
      <c r="AG278" s="3222"/>
      <c r="AH278" s="436"/>
      <c r="AI278" s="363"/>
      <c r="AJ278" s="363"/>
      <c r="AK278" s="563"/>
      <c r="AO278" s="252"/>
      <c r="BC278" s="804"/>
      <c r="BF278" s="983" t="str">
        <f t="shared" si="86"/>
        <v>AH</v>
      </c>
      <c r="BG278" s="983">
        <f t="shared" si="86"/>
        <v>0</v>
      </c>
      <c r="BH278" s="983">
        <f t="shared" si="86"/>
        <v>0</v>
      </c>
      <c r="BI278" s="983"/>
    </row>
    <row r="279" spans="1:61" ht="16.2" customHeight="1" x14ac:dyDescent="0.25">
      <c r="A279" s="433" t="s">
        <v>1038</v>
      </c>
      <c r="B279" s="3225" t="str">
        <f>INDEX(PO_base_Add_EndUses,1, 1)</f>
        <v>Space Heating</v>
      </c>
      <c r="C279" s="3226"/>
      <c r="D279" s="3227">
        <f>INDEX(PO_baseline_table,37, 3)</f>
        <v>0</v>
      </c>
      <c r="E279" s="3225" t="str">
        <f>INDEX(PO_baseline_table,37, 4)</f>
        <v>Electricity</v>
      </c>
      <c r="F279" s="499" t="str">
        <f>IFERROR(IF(ISBLANK(E279),"","Consumption (" &amp; VLOOKUP($E279,PO_Enrgy_1_Table,MATCH($C$16,PO_Enrgy_1_Hdr,0),FALSE) &amp; ")"),"")</f>
        <v>Consumption (kWh)</v>
      </c>
      <c r="G279" s="590" t="str">
        <f ca="1">INDEX(PO_baseline_table,37, 10)</f>
        <v/>
      </c>
      <c r="H279" s="525" t="str">
        <f t="shared" ca="1" si="76"/>
        <v/>
      </c>
      <c r="I279" s="658" t="str">
        <f t="shared" ca="1" si="85"/>
        <v/>
      </c>
      <c r="J279" s="3105" t="str">
        <f ca="1">IFERROR(IF($E$520-$H$520&lt;0,"",($G279-$H279)*VLOOKUP($E279,PO_Enrgy_1_Table,MATCH($K$16,PO_Enrgy_1_Hdr,0),FALSE)/($E$520-$H$520)),"")</f>
        <v/>
      </c>
      <c r="K279" s="3103" t="str">
        <f ca="1">IFERROR(IF($G$520-$J$520&lt;0,"",($G279*VLOOKUP($E279,PO_Enrgy_8_Table,MATCH($E$316,PO_Enrgy_8_Hdr,0),FALSE)-($H279*VLOOKUP($E279,PO_Enrgy_8_Table,MATCH($H$316,PO_Enrgy_8_Hdr,0),FALSE)))/($G$520-$J$520)),"")</f>
        <v/>
      </c>
      <c r="L279" s="3103"/>
      <c r="M279" s="3104" t="str">
        <f ca="1">IFERROR(H279*VLOOKUP($E279,PO_Enrgy_1_Table,MATCH($K$16,PO_Enrgy_1_Hdr,0))/$H$311,"")</f>
        <v/>
      </c>
      <c r="Q279" s="627">
        <f t="shared" si="77"/>
        <v>3.4120000000000001E-3</v>
      </c>
      <c r="R279" s="627">
        <f t="shared" si="78"/>
        <v>1.0713680000000001E-2</v>
      </c>
      <c r="S279" s="627" t="str">
        <f t="shared" ca="1" si="79"/>
        <v/>
      </c>
      <c r="T279" s="627" t="str">
        <f t="shared" ca="1" si="80"/>
        <v/>
      </c>
      <c r="V279" s="636">
        <f t="shared" ca="1" si="81"/>
        <v>0</v>
      </c>
      <c r="W279" s="627">
        <f t="shared" ca="1" si="82"/>
        <v>0</v>
      </c>
      <c r="X279" s="627">
        <f t="shared" ca="1" si="83"/>
        <v>0</v>
      </c>
      <c r="Y279" s="627" t="b">
        <f>IFERROR(IF(D279="x",IF(OR(G279/H279&gt;1.03,G279/H279&lt;0.97),TRUE,FALSE),FALSE),FALSE)</f>
        <v>0</v>
      </c>
      <c r="Z279" s="627">
        <f ca="1">IFERROR(J279*100,)</f>
        <v>0</v>
      </c>
      <c r="AA279" s="627"/>
      <c r="AB279" s="627">
        <f ca="1">RANK(Z279,$Z$243:$Z$290,0)</f>
        <v>1</v>
      </c>
      <c r="AC279" s="627">
        <f ca="1">AB279+COUNTIF($AB$243:$AB278,AB279)</f>
        <v>19</v>
      </c>
      <c r="AD279" s="627" t="str">
        <f>B279</f>
        <v>Space Heating</v>
      </c>
      <c r="AE279" s="2"/>
      <c r="AF279" s="3222"/>
      <c r="AG279" s="3222"/>
      <c r="AH279" s="436"/>
      <c r="AI279" s="363"/>
      <c r="AJ279" s="363"/>
      <c r="AK279" s="562"/>
      <c r="AO279" s="252"/>
      <c r="BC279" s="804"/>
      <c r="BF279" s="983" t="str">
        <f t="shared" si="86"/>
        <v>O</v>
      </c>
      <c r="BG279" s="983">
        <f t="shared" si="86"/>
        <v>0</v>
      </c>
      <c r="BH279" s="983">
        <f t="shared" si="86"/>
        <v>0</v>
      </c>
      <c r="BI279" s="983" t="str">
        <f>IF(BG279&lt;&gt;"",IFERROR(MATCH(BG279&amp;BH279,'Results from Trace'!$L$1:$L$21,0),""),"")</f>
        <v/>
      </c>
    </row>
    <row r="280" spans="1:61" ht="16.2" customHeight="1" x14ac:dyDescent="0.25">
      <c r="A280" s="433" t="s">
        <v>1038</v>
      </c>
      <c r="B280" s="3225"/>
      <c r="C280" s="3226"/>
      <c r="D280" s="3227"/>
      <c r="E280" s="3225"/>
      <c r="F280" s="499" t="str">
        <f>IFERROR(IF(ISBLANK(E279),"","Demand (" &amp; VLOOKUP($E279,PO_Enrgy_1_Table,MATCH($E$16,PO_Enrgy_1_Hdr,0),FALSE) &amp; ")"),"")</f>
        <v>Demand (kW)</v>
      </c>
      <c r="G280" s="591" t="str">
        <f ca="1">INDEX(PO_baseline_table,38, 10)</f>
        <v/>
      </c>
      <c r="H280" s="525" t="str">
        <f t="shared" ca="1" si="76"/>
        <v/>
      </c>
      <c r="I280" s="592" t="str">
        <f t="shared" ca="1" si="85"/>
        <v/>
      </c>
      <c r="J280" s="3106"/>
      <c r="K280" s="3103"/>
      <c r="L280" s="3103"/>
      <c r="M280" s="3088"/>
      <c r="Q280" s="627" t="str">
        <f t="shared" si="77"/>
        <v/>
      </c>
      <c r="R280" s="627" t="str">
        <f t="shared" si="78"/>
        <v/>
      </c>
      <c r="S280" s="627" t="str">
        <f t="shared" si="79"/>
        <v/>
      </c>
      <c r="T280" s="627" t="str">
        <f t="shared" si="80"/>
        <v/>
      </c>
      <c r="V280" s="636">
        <f t="shared" ca="1" si="81"/>
        <v>0</v>
      </c>
      <c r="W280" s="627">
        <f t="shared" ca="1" si="82"/>
        <v>0</v>
      </c>
      <c r="X280" s="627">
        <f t="shared" ca="1" si="83"/>
        <v>0</v>
      </c>
      <c r="Y280" s="627"/>
      <c r="Z280" s="627"/>
      <c r="AA280" s="627"/>
      <c r="AB280" s="627"/>
      <c r="AC280" s="627"/>
      <c r="AD280" s="627"/>
      <c r="AE280" s="2"/>
      <c r="AF280" s="3222"/>
      <c r="AG280" s="3222"/>
      <c r="AH280" s="436"/>
      <c r="AI280" s="363"/>
      <c r="AJ280" s="363"/>
      <c r="AK280" s="563"/>
      <c r="AO280" s="252"/>
      <c r="BC280" s="804"/>
      <c r="BF280" s="983" t="str">
        <f t="shared" si="86"/>
        <v>AB</v>
      </c>
      <c r="BG280" s="983">
        <f t="shared" si="86"/>
        <v>0</v>
      </c>
      <c r="BH280" s="983">
        <f t="shared" si="86"/>
        <v>0</v>
      </c>
      <c r="BI280" s="983"/>
    </row>
    <row r="281" spans="1:61" ht="16.2" customHeight="1" x14ac:dyDescent="0.25">
      <c r="A281" s="433" t="s">
        <v>1038</v>
      </c>
      <c r="B281" s="3225" t="str">
        <f>INDEX(PO_base_Add_EndUses,3, 1)</f>
        <v>Misc Equipment (Gas)</v>
      </c>
      <c r="C281" s="3226"/>
      <c r="D281" s="3227">
        <f>INDEX(PO_baseline_table,39, 3)</f>
        <v>0</v>
      </c>
      <c r="E281" s="3225" t="str">
        <f>INDEX(PO_baseline_table,39, 4)</f>
        <v>Natural Gas</v>
      </c>
      <c r="F281" s="499" t="str">
        <f>IFERROR(IF(ISBLANK(E281),"","Consumption (" &amp; VLOOKUP($E281,PO_Enrgy_1_Table,MATCH($C$16,PO_Enrgy_1_Hdr,0),FALSE) &amp; ")"),"")</f>
        <v>Consumption (therm)</v>
      </c>
      <c r="G281" s="590" t="str">
        <f ca="1">INDEX(PO_baseline_table,39, 10)</f>
        <v/>
      </c>
      <c r="H281" s="525" t="str">
        <f t="shared" ca="1" si="76"/>
        <v/>
      </c>
      <c r="I281" s="658" t="str">
        <f t="shared" ca="1" si="85"/>
        <v/>
      </c>
      <c r="J281" s="3105" t="str">
        <f ca="1">IFERROR(IF($E$520-$H$520&lt;0,"",($G281-$H281)*VLOOKUP($E281,PO_Enrgy_1_Table,MATCH($K$16,PO_Enrgy_1_Hdr,0),FALSE)/($E$520-$H$520)),"")</f>
        <v/>
      </c>
      <c r="K281" s="3103" t="str">
        <f ca="1">IFERROR(IF($G$520-$J$520&lt;0,"",($G281*VLOOKUP($E281,PO_Enrgy_8_Table,MATCH($E$316,PO_Enrgy_8_Hdr,0),FALSE)-($H281*VLOOKUP($E281,PO_Enrgy_8_Table,MATCH($H$316,PO_Enrgy_8_Hdr,0),FALSE)))/($G$520-$J$520)),"")</f>
        <v/>
      </c>
      <c r="L281" s="3103"/>
      <c r="M281" s="3104" t="str">
        <f ca="1">IFERROR(H281*VLOOKUP($E281,PO_Enrgy_1_Table,MATCH($K$16,PO_Enrgy_1_Hdr,0))/$H$311,"")</f>
        <v/>
      </c>
      <c r="Q281" s="627">
        <f t="shared" si="77"/>
        <v>0.1</v>
      </c>
      <c r="R281" s="627">
        <f t="shared" si="78"/>
        <v>0.10500000000000001</v>
      </c>
      <c r="S281" s="627" t="str">
        <f t="shared" ca="1" si="79"/>
        <v/>
      </c>
      <c r="T281" s="627" t="str">
        <f t="shared" ca="1" si="80"/>
        <v/>
      </c>
      <c r="V281" s="636">
        <f t="shared" ca="1" si="81"/>
        <v>0</v>
      </c>
      <c r="W281" s="627">
        <f t="shared" ca="1" si="82"/>
        <v>0</v>
      </c>
      <c r="X281" s="627">
        <f t="shared" ca="1" si="83"/>
        <v>0</v>
      </c>
      <c r="Y281" s="627" t="b">
        <f>IFERROR(IF(D281="x",IF(OR(G281/H281&gt;1.03,G281/H281&lt;0.97),TRUE,FALSE),FALSE),FALSE)</f>
        <v>0</v>
      </c>
      <c r="Z281" s="627">
        <f ca="1">IFERROR(J281*100,)</f>
        <v>0</v>
      </c>
      <c r="AA281" s="627"/>
      <c r="AB281" s="627">
        <f ca="1">RANK(Z281,$Z$243:$Z$290,0)</f>
        <v>1</v>
      </c>
      <c r="AC281" s="627">
        <f ca="1">AB281+COUNTIF($AB$243:$AB280,AB281)</f>
        <v>20</v>
      </c>
      <c r="AD281" s="627" t="str">
        <f>B281</f>
        <v>Misc Equipment (Gas)</v>
      </c>
      <c r="AE281" s="2"/>
      <c r="AF281" s="3222"/>
      <c r="AG281" s="3222"/>
      <c r="AH281" s="436"/>
      <c r="AI281" s="363"/>
      <c r="AJ281" s="363"/>
      <c r="AK281" s="562"/>
      <c r="AO281" s="252"/>
      <c r="BC281" s="804"/>
      <c r="BF281" s="983" t="str">
        <f t="shared" si="86"/>
        <v>AZ</v>
      </c>
      <c r="BG281" s="983">
        <f t="shared" si="86"/>
        <v>0</v>
      </c>
      <c r="BH281" s="983">
        <f t="shared" si="86"/>
        <v>0</v>
      </c>
      <c r="BI281" s="983" t="str">
        <f>IF(BG281&lt;&gt;"",IFERROR(MATCH(BG281&amp;BH281,'Results from Trace'!$L$1:$L$21,0),""),"")</f>
        <v/>
      </c>
    </row>
    <row r="282" spans="1:61" ht="15.75" customHeight="1" x14ac:dyDescent="0.25">
      <c r="A282" s="433" t="s">
        <v>1038</v>
      </c>
      <c r="B282" s="3225"/>
      <c r="C282" s="3226"/>
      <c r="D282" s="3227"/>
      <c r="E282" s="3225"/>
      <c r="F282" s="499" t="str">
        <f>IFERROR(IF(ISBLANK(E281),"","Demand (" &amp; VLOOKUP($E281,PO_Enrgy_1_Table,MATCH($E$16,PO_Enrgy_1_Hdr,0),FALSE) &amp; ")"),"")</f>
        <v>Demand (Btuh x 10^6)</v>
      </c>
      <c r="G282" s="591" t="str">
        <f ca="1">INDEX(PO_baseline_table,40, 10)</f>
        <v/>
      </c>
      <c r="H282" s="525" t="str">
        <f t="shared" ca="1" si="76"/>
        <v/>
      </c>
      <c r="I282" s="592" t="str">
        <f t="shared" ca="1" si="85"/>
        <v/>
      </c>
      <c r="J282" s="3106"/>
      <c r="K282" s="3103"/>
      <c r="L282" s="3103"/>
      <c r="M282" s="3088"/>
      <c r="Q282" s="627" t="str">
        <f t="shared" si="77"/>
        <v/>
      </c>
      <c r="R282" s="627" t="str">
        <f t="shared" si="78"/>
        <v/>
      </c>
      <c r="S282" s="627" t="str">
        <f t="shared" si="79"/>
        <v/>
      </c>
      <c r="T282" s="627" t="str">
        <f t="shared" si="80"/>
        <v/>
      </c>
      <c r="V282" s="636">
        <f t="shared" ca="1" si="81"/>
        <v>0</v>
      </c>
      <c r="W282" s="627">
        <f t="shared" ca="1" si="82"/>
        <v>0</v>
      </c>
      <c r="X282" s="627">
        <f t="shared" ca="1" si="83"/>
        <v>0</v>
      </c>
      <c r="Y282" s="627"/>
      <c r="Z282" s="627"/>
      <c r="AA282" s="627"/>
      <c r="AB282" s="627"/>
      <c r="AC282" s="627"/>
      <c r="AD282" s="627"/>
      <c r="AE282" s="2"/>
      <c r="AF282" s="3222"/>
      <c r="AG282" s="3222"/>
      <c r="AH282" s="436"/>
      <c r="AI282" s="363"/>
      <c r="AJ282" s="363"/>
      <c r="AK282" s="563"/>
      <c r="AO282" s="252"/>
      <c r="BC282" s="804"/>
      <c r="BF282" s="983">
        <f t="shared" si="86"/>
        <v>0</v>
      </c>
      <c r="BG282" s="983">
        <f t="shared" si="86"/>
        <v>0</v>
      </c>
      <c r="BH282" s="983">
        <f t="shared" si="86"/>
        <v>0</v>
      </c>
      <c r="BI282" s="983"/>
    </row>
    <row r="283" spans="1:61" ht="16.2" customHeight="1" x14ac:dyDescent="0.25">
      <c r="A283" s="433" t="s">
        <v>1038</v>
      </c>
      <c r="B283" s="3225" t="str">
        <f>INDEX(PO_base_Add_EndUses,5, 1)</f>
        <v>Auxilary (Gas)</v>
      </c>
      <c r="C283" s="3226"/>
      <c r="D283" s="3227">
        <f>INDEX(PO_baseline_table,41, 3)</f>
        <v>0</v>
      </c>
      <c r="E283" s="3225" t="str">
        <f>INDEX(PO_baseline_table,41, 4)</f>
        <v>Natural Gas</v>
      </c>
      <c r="F283" s="499" t="str">
        <f>IFERROR(IF(ISBLANK(E283),"","Consumption (" &amp; VLOOKUP($E283,PO_Enrgy_1_Table,MATCH($C$16,PO_Enrgy_1_Hdr,0),FALSE) &amp; ")"),"")</f>
        <v>Consumption (therm)</v>
      </c>
      <c r="G283" s="590" t="str">
        <f ca="1">INDEX(PO_baseline_table,41, 10)</f>
        <v/>
      </c>
      <c r="H283" s="525" t="str">
        <f t="shared" ca="1" si="76"/>
        <v/>
      </c>
      <c r="I283" s="658" t="str">
        <f t="shared" ca="1" si="85"/>
        <v/>
      </c>
      <c r="J283" s="3105" t="str">
        <f ca="1">IFERROR(IF($E$520-$H$520&lt;0,"",($G283-$H283)*VLOOKUP($E283,PO_Enrgy_1_Table,MATCH($K$16,PO_Enrgy_1_Hdr,0),FALSE)/($E$520-$H$520)),"")</f>
        <v/>
      </c>
      <c r="K283" s="3103" t="str">
        <f ca="1">IFERROR(IF($G$520-$J$520&lt;0,"",($G283*VLOOKUP($E283,PO_Enrgy_8_Table,MATCH($E$316,PO_Enrgy_8_Hdr,0),FALSE)-($H283*VLOOKUP($E283,PO_Enrgy_8_Table,MATCH($H$316,PO_Enrgy_8_Hdr,0),FALSE)))/($G$520-$J$520)),"")</f>
        <v/>
      </c>
      <c r="L283" s="3103"/>
      <c r="M283" s="3104" t="str">
        <f ca="1">IFERROR(H283*VLOOKUP($E283,PO_Enrgy_1_Table,MATCH($K$16,PO_Enrgy_1_Hdr,0))/$H$311,"")</f>
        <v/>
      </c>
      <c r="Q283" s="627">
        <f t="shared" si="77"/>
        <v>0.1</v>
      </c>
      <c r="R283" s="627">
        <f t="shared" si="78"/>
        <v>0.10500000000000001</v>
      </c>
      <c r="S283" s="627" t="str">
        <f t="shared" ca="1" si="79"/>
        <v/>
      </c>
      <c r="T283" s="627" t="str">
        <f t="shared" ca="1" si="80"/>
        <v/>
      </c>
      <c r="V283" s="636">
        <f t="shared" ca="1" si="81"/>
        <v>0</v>
      </c>
      <c r="W283" s="627">
        <f t="shared" ca="1" si="82"/>
        <v>0</v>
      </c>
      <c r="X283" s="627">
        <f t="shared" ca="1" si="83"/>
        <v>0</v>
      </c>
      <c r="Y283" s="627" t="b">
        <f>IFERROR(IF(D283="x",IF(OR(G283/H283&gt;1.03,G283/H283&lt;0.97),TRUE,FALSE),FALSE),FALSE)</f>
        <v>0</v>
      </c>
      <c r="Z283" s="627">
        <f ca="1">IFERROR(J283*100,)</f>
        <v>0</v>
      </c>
      <c r="AA283" s="627"/>
      <c r="AB283" s="627">
        <f ca="1">RANK(Z283,$Z$243:$Z$290,0)</f>
        <v>1</v>
      </c>
      <c r="AC283" s="627">
        <f ca="1">AB283+COUNTIF($AB$243:$AB282,AB283)</f>
        <v>21</v>
      </c>
      <c r="AD283" s="627" t="str">
        <f>B283</f>
        <v>Auxilary (Gas)</v>
      </c>
      <c r="AE283" s="2"/>
      <c r="AF283" s="3222"/>
      <c r="AG283" s="3222"/>
      <c r="AH283" s="436"/>
      <c r="AI283" s="363"/>
      <c r="AJ283" s="363"/>
      <c r="AK283" s="562"/>
      <c r="AO283" s="252"/>
      <c r="BC283" s="804"/>
      <c r="BF283" s="983" t="str">
        <f t="shared" ref="BF283:BH290" si="87">BF185</f>
        <v>BD</v>
      </c>
      <c r="BG283" s="983">
        <f t="shared" si="87"/>
        <v>0</v>
      </c>
      <c r="BH283" s="983">
        <f t="shared" si="87"/>
        <v>0</v>
      </c>
      <c r="BI283" s="983" t="str">
        <f>IF(BG283&lt;&gt;"",IFERROR(MATCH(BG283&amp;BH283,'Results from Trace'!$L$1:$L$21,0),""),"")</f>
        <v/>
      </c>
    </row>
    <row r="284" spans="1:61" ht="16.5" customHeight="1" x14ac:dyDescent="0.25">
      <c r="A284" s="433" t="s">
        <v>1038</v>
      </c>
      <c r="B284" s="3225"/>
      <c r="C284" s="3226"/>
      <c r="D284" s="3227"/>
      <c r="E284" s="3225"/>
      <c r="F284" s="499" t="str">
        <f>IFERROR(IF(ISBLANK(E283),"","Demand (" &amp; VLOOKUP($E283,PO_Enrgy_1_Table,MATCH($E$16,PO_Enrgy_1_Hdr,0),FALSE) &amp; ")"),"")</f>
        <v>Demand (Btuh x 10^6)</v>
      </c>
      <c r="G284" s="591" t="str">
        <f ca="1">INDEX(PO_baseline_table,42, 10)</f>
        <v/>
      </c>
      <c r="H284" s="525" t="str">
        <f t="shared" ca="1" si="76"/>
        <v/>
      </c>
      <c r="I284" s="592" t="str">
        <f t="shared" ca="1" si="85"/>
        <v/>
      </c>
      <c r="J284" s="3106"/>
      <c r="K284" s="3103"/>
      <c r="L284" s="3103"/>
      <c r="M284" s="3088"/>
      <c r="Q284" s="627" t="str">
        <f t="shared" si="77"/>
        <v/>
      </c>
      <c r="R284" s="627" t="str">
        <f t="shared" si="78"/>
        <v/>
      </c>
      <c r="S284" s="627" t="str">
        <f t="shared" si="79"/>
        <v/>
      </c>
      <c r="T284" s="627" t="str">
        <f t="shared" si="80"/>
        <v/>
      </c>
      <c r="V284" s="636">
        <f t="shared" ca="1" si="81"/>
        <v>0</v>
      </c>
      <c r="W284" s="627">
        <f t="shared" ca="1" si="82"/>
        <v>0</v>
      </c>
      <c r="X284" s="627">
        <f t="shared" ca="1" si="83"/>
        <v>0</v>
      </c>
      <c r="Y284" s="627"/>
      <c r="Z284" s="627"/>
      <c r="AA284" s="627"/>
      <c r="AB284" s="627"/>
      <c r="AC284" s="627"/>
      <c r="AD284" s="627"/>
      <c r="AE284" s="2"/>
      <c r="AF284" s="3222"/>
      <c r="AG284" s="3222"/>
      <c r="AH284" s="436"/>
      <c r="AI284" s="363"/>
      <c r="AJ284" s="363"/>
      <c r="AK284" s="563"/>
      <c r="AO284" s="252"/>
      <c r="BC284" s="804"/>
      <c r="BF284" s="983">
        <f t="shared" si="87"/>
        <v>0</v>
      </c>
      <c r="BG284" s="983">
        <f t="shared" si="87"/>
        <v>0</v>
      </c>
      <c r="BH284" s="983">
        <f t="shared" si="87"/>
        <v>0</v>
      </c>
      <c r="BI284" s="983"/>
    </row>
    <row r="285" spans="1:61" ht="16.2" customHeight="1" x14ac:dyDescent="0.25">
      <c r="A285" s="433" t="s">
        <v>1038</v>
      </c>
      <c r="B285" s="3225">
        <f>INDEX(PO_base_Add_EndUses,7, 1)</f>
        <v>0</v>
      </c>
      <c r="C285" s="3226"/>
      <c r="D285" s="3227">
        <f>INDEX(PO_baseline_table,43, 3)</f>
        <v>0</v>
      </c>
      <c r="E285" s="3225">
        <f>INDEX(PO_baseline_table,43, 4)</f>
        <v>0</v>
      </c>
      <c r="F285" s="499" t="str">
        <f>IFERROR(IF(ISBLANK(E285),"","Consumption (" &amp; VLOOKUP($E285,PO_Enrgy_1_Table,MATCH($C$16,PO_Enrgy_1_Hdr,0),FALSE) &amp; ")"),"")</f>
        <v/>
      </c>
      <c r="G285" s="590" t="str">
        <f ca="1">INDEX(PO_baseline_table,43, 10)</f>
        <v/>
      </c>
      <c r="H285" s="525" t="str">
        <f t="shared" ca="1" si="76"/>
        <v/>
      </c>
      <c r="I285" s="658" t="str">
        <f t="shared" ca="1" si="85"/>
        <v/>
      </c>
      <c r="J285" s="3105" t="str">
        <f ca="1">IFERROR(IF($E$520-$H$520&lt;0,"",($G285-$H285)*VLOOKUP($E285,PO_Enrgy_1_Table,MATCH($K$16,PO_Enrgy_1_Hdr,0),FALSE)/($E$520-$H$520)),"")</f>
        <v/>
      </c>
      <c r="K285" s="3103" t="str">
        <f ca="1">IFERROR(IF($G$520-$J$520&lt;0,"",($G285*VLOOKUP($E285,PO_Enrgy_8_Table,MATCH($E$316,PO_Enrgy_8_Hdr,0),FALSE)-($H285*VLOOKUP($E285,PO_Enrgy_8_Table,MATCH($H$316,PO_Enrgy_8_Hdr,0),FALSE)))/($G$520-$J$520)),"")</f>
        <v/>
      </c>
      <c r="L285" s="3103"/>
      <c r="M285" s="3104" t="str">
        <f ca="1">IFERROR(H285*VLOOKUP($E285,PO_Enrgy_1_Table,MATCH($K$16,PO_Enrgy_1_Hdr,0))/$H$311,"")</f>
        <v/>
      </c>
      <c r="Q285" s="627" t="str">
        <f t="shared" si="77"/>
        <v/>
      </c>
      <c r="R285" s="627" t="str">
        <f t="shared" si="78"/>
        <v/>
      </c>
      <c r="S285" s="627" t="str">
        <f t="shared" si="79"/>
        <v/>
      </c>
      <c r="T285" s="627" t="str">
        <f t="shared" si="80"/>
        <v/>
      </c>
      <c r="V285" s="636">
        <f t="shared" ca="1" si="81"/>
        <v>0</v>
      </c>
      <c r="W285" s="627">
        <f t="shared" ca="1" si="82"/>
        <v>0</v>
      </c>
      <c r="X285" s="627">
        <f t="shared" ca="1" si="83"/>
        <v>0</v>
      </c>
      <c r="Y285" s="627" t="b">
        <f>IFERROR(IF(D285="x",IF(OR(G285/H285&gt;1.03,G285/H285&lt;0.97),TRUE,FALSE),FALSE),FALSE)</f>
        <v>0</v>
      </c>
      <c r="Z285" s="627">
        <f ca="1">IFERROR(J285*100,)</f>
        <v>0</v>
      </c>
      <c r="AA285" s="627"/>
      <c r="AB285" s="627">
        <f ca="1">RANK(Z285,$Z$243:$Z$290,0)</f>
        <v>1</v>
      </c>
      <c r="AC285" s="627">
        <f ca="1">AB285+COUNTIF($AB$243:$AB284,AB285)</f>
        <v>22</v>
      </c>
      <c r="AD285" s="627">
        <f>B285</f>
        <v>0</v>
      </c>
      <c r="AE285" s="2"/>
      <c r="AF285" s="3222"/>
      <c r="AG285" s="3222"/>
      <c r="AH285" s="436"/>
      <c r="AI285" s="363"/>
      <c r="AJ285" s="363"/>
      <c r="AK285" s="562"/>
      <c r="AO285" s="252"/>
      <c r="BC285" s="804"/>
      <c r="BF285" s="983">
        <f t="shared" si="87"/>
        <v>0</v>
      </c>
      <c r="BG285" s="983">
        <f t="shared" si="87"/>
        <v>0</v>
      </c>
      <c r="BH285" s="983">
        <f t="shared" si="87"/>
        <v>0</v>
      </c>
      <c r="BI285" s="983" t="str">
        <f>IF(BG285&lt;&gt;"",IFERROR(MATCH(BG285&amp;BH285,'Results from Trace'!$L$1:$L$21,0),""),"")</f>
        <v/>
      </c>
    </row>
    <row r="286" spans="1:61" ht="15.75" customHeight="1" x14ac:dyDescent="0.25">
      <c r="A286" s="433" t="s">
        <v>1038</v>
      </c>
      <c r="B286" s="3225"/>
      <c r="C286" s="3226"/>
      <c r="D286" s="3227"/>
      <c r="E286" s="3225"/>
      <c r="F286" s="499" t="str">
        <f>IFERROR(IF(ISBLANK(E285),"","Demand (" &amp; VLOOKUP($E285,PO_Enrgy_1_Table,MATCH($E$16,PO_Enrgy_1_Hdr,0),FALSE) &amp; ")"),"")</f>
        <v/>
      </c>
      <c r="G286" s="591" t="str">
        <f ca="1">INDEX(PO_baseline_table,44, 10)</f>
        <v/>
      </c>
      <c r="H286" s="525" t="str">
        <f t="shared" ca="1" si="76"/>
        <v/>
      </c>
      <c r="I286" s="592" t="str">
        <f t="shared" ca="1" si="85"/>
        <v/>
      </c>
      <c r="J286" s="3106"/>
      <c r="K286" s="3103"/>
      <c r="L286" s="3103"/>
      <c r="M286" s="3088"/>
      <c r="Q286" s="627" t="str">
        <f t="shared" si="77"/>
        <v/>
      </c>
      <c r="R286" s="627" t="str">
        <f t="shared" si="78"/>
        <v/>
      </c>
      <c r="S286" s="627" t="str">
        <f t="shared" si="79"/>
        <v/>
      </c>
      <c r="T286" s="627" t="str">
        <f t="shared" si="80"/>
        <v/>
      </c>
      <c r="V286" s="636">
        <f t="shared" ca="1" si="81"/>
        <v>0</v>
      </c>
      <c r="W286" s="627">
        <f t="shared" ca="1" si="82"/>
        <v>0</v>
      </c>
      <c r="X286" s="627">
        <f t="shared" ca="1" si="83"/>
        <v>0</v>
      </c>
      <c r="Y286" s="627"/>
      <c r="Z286" s="627"/>
      <c r="AA286" s="627"/>
      <c r="AB286" s="627"/>
      <c r="AC286" s="627"/>
      <c r="AD286" s="627"/>
      <c r="AE286" s="2"/>
      <c r="AF286" s="3222"/>
      <c r="AG286" s="3222"/>
      <c r="AH286" s="436"/>
      <c r="AI286" s="363"/>
      <c r="AJ286" s="363"/>
      <c r="AK286" s="563"/>
      <c r="AO286" s="252"/>
      <c r="BC286" s="804"/>
      <c r="BF286" s="983">
        <f t="shared" si="87"/>
        <v>0</v>
      </c>
      <c r="BG286" s="983">
        <f t="shared" si="87"/>
        <v>0</v>
      </c>
      <c r="BH286" s="983">
        <f t="shared" si="87"/>
        <v>0</v>
      </c>
      <c r="BI286" s="983"/>
    </row>
    <row r="287" spans="1:61" ht="16.2" customHeight="1" x14ac:dyDescent="0.25">
      <c r="A287" s="433" t="s">
        <v>1038</v>
      </c>
      <c r="B287" s="3225">
        <f>INDEX(PO_base_Add_EndUses,9, 1)</f>
        <v>0</v>
      </c>
      <c r="C287" s="3226"/>
      <c r="D287" s="3227">
        <f>INDEX(PO_baseline_table,45, 3)</f>
        <v>0</v>
      </c>
      <c r="E287" s="3225">
        <f>INDEX(PO_baseline_table,45, 4)</f>
        <v>0</v>
      </c>
      <c r="F287" s="499" t="str">
        <f>IFERROR(IF(ISBLANK(E287),"","Consumption (" &amp; VLOOKUP($E287,PO_Enrgy_1_Table,MATCH($C$16,PO_Enrgy_1_Hdr,0),FALSE) &amp; ")"),"")</f>
        <v/>
      </c>
      <c r="G287" s="590" t="str">
        <f ca="1">INDEX(PO_baseline_table,45, 10)</f>
        <v/>
      </c>
      <c r="H287" s="525" t="str">
        <f t="shared" ca="1" si="76"/>
        <v/>
      </c>
      <c r="I287" s="658" t="str">
        <f t="shared" ca="1" si="85"/>
        <v/>
      </c>
      <c r="J287" s="3105" t="str">
        <f ca="1">IFERROR(IF($E$520-$H$520&lt;0,"",($G287-$H287)*VLOOKUP($E287,PO_Enrgy_1_Table,MATCH($K$16,PO_Enrgy_1_Hdr,0),FALSE)/($E$520-$H$520)),"")</f>
        <v/>
      </c>
      <c r="K287" s="3103" t="str">
        <f ca="1">IFERROR(IF($G$520-$J$520&lt;0,"",($G287*VLOOKUP($E287,PO_Enrgy_8_Table,MATCH($E$316,PO_Enrgy_8_Hdr,0),FALSE)-($H287*VLOOKUP($E287,PO_Enrgy_8_Table,MATCH($H$316,PO_Enrgy_8_Hdr,0),FALSE)))/($G$520-$J$520)),"")</f>
        <v/>
      </c>
      <c r="L287" s="3103"/>
      <c r="M287" s="3104" t="str">
        <f ca="1">IFERROR(H287*VLOOKUP($E287,PO_Enrgy_1_Table,MATCH($K$16,PO_Enrgy_1_Hdr,0))/$H$311,"")</f>
        <v/>
      </c>
      <c r="Q287" s="627" t="str">
        <f t="shared" si="77"/>
        <v/>
      </c>
      <c r="R287" s="627" t="str">
        <f t="shared" si="78"/>
        <v/>
      </c>
      <c r="S287" s="627" t="str">
        <f t="shared" si="79"/>
        <v/>
      </c>
      <c r="T287" s="627" t="str">
        <f t="shared" si="80"/>
        <v/>
      </c>
      <c r="V287" s="636">
        <f t="shared" ca="1" si="81"/>
        <v>0</v>
      </c>
      <c r="W287" s="627">
        <f t="shared" ca="1" si="82"/>
        <v>0</v>
      </c>
      <c r="X287" s="627">
        <f t="shared" ca="1" si="83"/>
        <v>0</v>
      </c>
      <c r="Y287" s="627" t="b">
        <f>IFERROR(IF(D287="x",IF(OR(G287/H287&gt;1.03,G287/H287&lt;0.97),TRUE,FALSE),FALSE),FALSE)</f>
        <v>0</v>
      </c>
      <c r="Z287" s="627">
        <f ca="1">IFERROR(J287*100,)</f>
        <v>0</v>
      </c>
      <c r="AA287" s="627"/>
      <c r="AB287" s="627">
        <f ca="1">RANK(Z287,$Z$243:$Z$290,0)</f>
        <v>1</v>
      </c>
      <c r="AC287" s="627">
        <f ca="1">AB287+COUNTIF($AB$243:$AB286,AB287)</f>
        <v>23</v>
      </c>
      <c r="AD287" s="627">
        <f>B287</f>
        <v>0</v>
      </c>
      <c r="AE287" s="2"/>
      <c r="AF287" s="3222"/>
      <c r="AG287" s="3222"/>
      <c r="AH287" s="436"/>
      <c r="AI287" s="363"/>
      <c r="AJ287" s="363"/>
      <c r="AK287" s="562"/>
      <c r="AO287" s="252"/>
      <c r="BC287" s="804"/>
      <c r="BF287" s="983">
        <f t="shared" si="87"/>
        <v>0</v>
      </c>
      <c r="BG287" s="983">
        <f t="shared" si="87"/>
        <v>0</v>
      </c>
      <c r="BH287" s="983">
        <f t="shared" si="87"/>
        <v>0</v>
      </c>
      <c r="BI287" s="983" t="str">
        <f>IF(BG287&lt;&gt;"",IFERROR(MATCH(BG287&amp;BH287,'Results from Trace'!$L$1:$L$21,0),""),"")</f>
        <v/>
      </c>
    </row>
    <row r="288" spans="1:61" ht="16.5" customHeight="1" x14ac:dyDescent="0.25">
      <c r="A288" s="433" t="s">
        <v>1038</v>
      </c>
      <c r="B288" s="3225"/>
      <c r="C288" s="3226"/>
      <c r="D288" s="3227"/>
      <c r="E288" s="3225"/>
      <c r="F288" s="499" t="str">
        <f>IFERROR(IF(ISBLANK(E287),"","Demand (" &amp; VLOOKUP($E287,PO_Enrgy_1_Table,MATCH($E$16,PO_Enrgy_1_Hdr,0),FALSE) &amp; ")"),"")</f>
        <v/>
      </c>
      <c r="G288" s="591" t="str">
        <f ca="1">INDEX(PO_baseline_table,46, 10)</f>
        <v/>
      </c>
      <c r="H288" s="525" t="str">
        <f t="shared" ca="1" si="76"/>
        <v/>
      </c>
      <c r="I288" s="592" t="str">
        <f t="shared" ca="1" si="85"/>
        <v/>
      </c>
      <c r="J288" s="3106"/>
      <c r="K288" s="3103"/>
      <c r="L288" s="3103"/>
      <c r="M288" s="3088"/>
      <c r="Q288" s="627" t="str">
        <f t="shared" si="77"/>
        <v/>
      </c>
      <c r="R288" s="627" t="str">
        <f t="shared" si="78"/>
        <v/>
      </c>
      <c r="S288" s="627" t="str">
        <f t="shared" si="79"/>
        <v/>
      </c>
      <c r="T288" s="627" t="str">
        <f t="shared" si="80"/>
        <v/>
      </c>
      <c r="V288" s="636">
        <f t="shared" ca="1" si="81"/>
        <v>0</v>
      </c>
      <c r="W288" s="627">
        <f t="shared" ca="1" si="82"/>
        <v>0</v>
      </c>
      <c r="X288" s="627">
        <f t="shared" ca="1" si="83"/>
        <v>0</v>
      </c>
      <c r="Y288" s="627"/>
      <c r="Z288" s="627"/>
      <c r="AA288" s="627"/>
      <c r="AB288" s="627"/>
      <c r="AC288" s="627"/>
      <c r="AD288" s="627"/>
      <c r="AE288" s="2"/>
      <c r="AF288" s="3222"/>
      <c r="AG288" s="3222"/>
      <c r="AH288" s="436"/>
      <c r="AI288" s="363"/>
      <c r="AJ288" s="363"/>
      <c r="AK288" s="563"/>
      <c r="AO288" s="252"/>
      <c r="BC288" s="804"/>
      <c r="BF288" s="983">
        <f t="shared" si="87"/>
        <v>0</v>
      </c>
      <c r="BG288" s="983">
        <f t="shared" si="87"/>
        <v>0</v>
      </c>
      <c r="BH288" s="983">
        <f t="shared" si="87"/>
        <v>0</v>
      </c>
      <c r="BI288" s="983"/>
    </row>
    <row r="289" spans="1:61" ht="16.2" customHeight="1" x14ac:dyDescent="0.25">
      <c r="A289" s="433" t="s">
        <v>1038</v>
      </c>
      <c r="B289" s="3225">
        <f>INDEX(PO_base_Add_EndUses,11, 1)</f>
        <v>0</v>
      </c>
      <c r="C289" s="3226"/>
      <c r="D289" s="3227">
        <f>INDEX(PO_baseline_table,47, 3)</f>
        <v>0</v>
      </c>
      <c r="E289" s="3225">
        <f>INDEX(PO_baseline_table,47, 4)</f>
        <v>0</v>
      </c>
      <c r="F289" s="499" t="str">
        <f>IFERROR(IF(ISBLANK(E289),"","Consumption (" &amp; VLOOKUP($E289,PO_Enrgy_1_Table,MATCH($C$16,PO_Enrgy_1_Hdr,0),FALSE) &amp; ")"),"")</f>
        <v/>
      </c>
      <c r="G289" s="590" t="str">
        <f ca="1">INDEX(PO_baseline_table,47, 10)</f>
        <v/>
      </c>
      <c r="H289" s="525" t="str">
        <f t="shared" ca="1" si="76"/>
        <v/>
      </c>
      <c r="I289" s="658" t="str">
        <f t="shared" ca="1" si="85"/>
        <v/>
      </c>
      <c r="J289" s="3105" t="str">
        <f ca="1">IFERROR(IF($E$520-$H$520&lt;0,"",($G289-$H289)*VLOOKUP($E289,PO_Enrgy_1_Table,MATCH($K$16,PO_Enrgy_1_Hdr,0),FALSE)/($E$520-$H$520)),"")</f>
        <v/>
      </c>
      <c r="K289" s="3103" t="str">
        <f ca="1">IFERROR(IF($G$520-$J$520&lt;0,"",($G289*VLOOKUP($E289,PO_Enrgy_8_Table,MATCH($E$316,PO_Enrgy_8_Hdr,0),FALSE)-($H289*VLOOKUP($E289,PO_Enrgy_8_Table,MATCH($H$316,PO_Enrgy_8_Hdr,0),FALSE)))/($G$520-$J$520)),"")</f>
        <v/>
      </c>
      <c r="L289" s="3103"/>
      <c r="M289" s="3104" t="str">
        <f ca="1">IFERROR(H289*VLOOKUP($E289,PO_Enrgy_1_Table,MATCH($K$16,PO_Enrgy_1_Hdr,0))/$H$311,"")</f>
        <v/>
      </c>
      <c r="Q289" s="627" t="str">
        <f t="shared" si="77"/>
        <v/>
      </c>
      <c r="R289" s="627" t="str">
        <f t="shared" si="78"/>
        <v/>
      </c>
      <c r="S289" s="627" t="str">
        <f t="shared" si="79"/>
        <v/>
      </c>
      <c r="T289" s="627" t="str">
        <f t="shared" si="80"/>
        <v/>
      </c>
      <c r="V289" s="636">
        <f t="shared" ca="1" si="81"/>
        <v>0</v>
      </c>
      <c r="W289" s="627">
        <f t="shared" ca="1" si="82"/>
        <v>0</v>
      </c>
      <c r="X289" s="627">
        <f t="shared" ca="1" si="83"/>
        <v>0</v>
      </c>
      <c r="Y289" s="627" t="b">
        <f>IFERROR(IF(D289="x",IF(OR(G289/H289&gt;1.03,G289/H289&lt;0.97),TRUE,FALSE),FALSE),FALSE)</f>
        <v>0</v>
      </c>
      <c r="Z289" s="627">
        <f ca="1">IFERROR(J289*100,)</f>
        <v>0</v>
      </c>
      <c r="AA289" s="627"/>
      <c r="AB289" s="627">
        <f ca="1">RANK(Z289,$Z$243:$Z$290,0)</f>
        <v>1</v>
      </c>
      <c r="AC289" s="627">
        <f ca="1">AB289+COUNTIF($AB$243:$AB288,AB289)</f>
        <v>24</v>
      </c>
      <c r="AD289" s="627">
        <f>B289</f>
        <v>0</v>
      </c>
      <c r="AE289" s="2"/>
      <c r="AF289" s="3222"/>
      <c r="AG289" s="3222"/>
      <c r="AH289" s="436"/>
      <c r="AI289" s="363"/>
      <c r="AJ289" s="363"/>
      <c r="AK289" s="562"/>
      <c r="AO289" s="252"/>
      <c r="BC289" s="804"/>
      <c r="BF289" s="983">
        <f t="shared" si="87"/>
        <v>0</v>
      </c>
      <c r="BG289" s="983">
        <f t="shared" si="87"/>
        <v>0</v>
      </c>
      <c r="BH289" s="983">
        <f t="shared" si="87"/>
        <v>0</v>
      </c>
      <c r="BI289" s="983" t="str">
        <f>IF(BG289&lt;&gt;"",IFERROR(MATCH(BG289&amp;BH289,'Results from Trace'!$L$1:$L$21,0),""),"")</f>
        <v/>
      </c>
    </row>
    <row r="290" spans="1:61" ht="15.75" customHeight="1" x14ac:dyDescent="0.25">
      <c r="A290" s="433" t="s">
        <v>1038</v>
      </c>
      <c r="B290" s="3225"/>
      <c r="C290" s="3226"/>
      <c r="D290" s="3227"/>
      <c r="E290" s="3225"/>
      <c r="F290" s="499" t="str">
        <f>IFERROR(IF(ISBLANK(E289),"","Demand (" &amp; VLOOKUP($E289,PO_Enrgy_1_Table,MATCH($E$16,PO_Enrgy_1_Hdr,0),FALSE) &amp; ")"),"")</f>
        <v/>
      </c>
      <c r="G290" s="591" t="str">
        <f ca="1">INDEX(PO_baseline_table,48, 10)</f>
        <v/>
      </c>
      <c r="H290" s="525" t="str">
        <f t="shared" ca="1" si="76"/>
        <v/>
      </c>
      <c r="I290" s="592" t="str">
        <f t="shared" ca="1" si="85"/>
        <v/>
      </c>
      <c r="J290" s="3106"/>
      <c r="K290" s="3103"/>
      <c r="L290" s="3103"/>
      <c r="M290" s="3088"/>
      <c r="Q290" s="627" t="str">
        <f t="shared" si="77"/>
        <v/>
      </c>
      <c r="R290" s="627" t="str">
        <f t="shared" si="78"/>
        <v/>
      </c>
      <c r="S290" s="627" t="str">
        <f t="shared" si="79"/>
        <v/>
      </c>
      <c r="T290" s="627" t="str">
        <f t="shared" si="80"/>
        <v/>
      </c>
      <c r="V290" s="636">
        <f t="shared" ca="1" si="81"/>
        <v>0</v>
      </c>
      <c r="W290" s="627">
        <f t="shared" ca="1" si="82"/>
        <v>0</v>
      </c>
      <c r="X290" s="627">
        <f t="shared" ca="1" si="83"/>
        <v>0</v>
      </c>
      <c r="Y290" s="627"/>
      <c r="Z290" s="627"/>
      <c r="AA290" s="627"/>
      <c r="AB290" s="627"/>
      <c r="AC290" s="627"/>
      <c r="AD290" s="627"/>
      <c r="AE290" s="2"/>
      <c r="AF290" s="3222"/>
      <c r="AG290" s="3222"/>
      <c r="AH290" s="436"/>
      <c r="AI290" s="363"/>
      <c r="AJ290" s="363"/>
      <c r="AK290" s="563"/>
      <c r="AO290" s="252"/>
      <c r="BC290" s="804"/>
      <c r="BF290" s="983">
        <f t="shared" si="87"/>
        <v>0</v>
      </c>
      <c r="BG290" s="983">
        <f t="shared" si="87"/>
        <v>0</v>
      </c>
      <c r="BH290" s="983">
        <f t="shared" si="87"/>
        <v>0</v>
      </c>
      <c r="BI290" s="983"/>
    </row>
    <row r="291" spans="1:61" ht="21" customHeight="1" x14ac:dyDescent="0.25">
      <c r="A291" s="433" t="s">
        <v>1038</v>
      </c>
      <c r="B291" s="243"/>
      <c r="C291" s="243"/>
      <c r="D291" s="588"/>
      <c r="E291" s="265"/>
      <c r="F291" s="243"/>
      <c r="G291" s="277"/>
      <c r="H291" s="277"/>
      <c r="I291" s="278"/>
      <c r="J291" s="277"/>
      <c r="K291" s="277"/>
      <c r="L291" s="279"/>
      <c r="M291" s="279"/>
      <c r="S291" s="601"/>
    </row>
    <row r="292" spans="1:61" ht="24" customHeight="1" x14ac:dyDescent="0.25">
      <c r="A292" s="433" t="s">
        <v>1038</v>
      </c>
      <c r="B292" s="287" t="s">
        <v>1014</v>
      </c>
      <c r="C292" s="288"/>
      <c r="D292" s="288"/>
      <c r="E292" s="288"/>
      <c r="F292" s="288"/>
      <c r="G292" s="288"/>
      <c r="H292" s="288"/>
      <c r="I292" s="288"/>
      <c r="J292" s="288"/>
      <c r="K292" s="288"/>
      <c r="L292" s="288"/>
      <c r="M292" s="288"/>
      <c r="S292" s="2"/>
    </row>
    <row r="293" spans="1:61" ht="21.75" customHeight="1" x14ac:dyDescent="0.25">
      <c r="A293" s="433" t="s">
        <v>1038</v>
      </c>
      <c r="B293" s="3138" t="s">
        <v>354</v>
      </c>
      <c r="C293" s="3139" t="s">
        <v>1436</v>
      </c>
      <c r="D293" s="3102"/>
      <c r="E293" s="3140" t="s">
        <v>272</v>
      </c>
      <c r="F293" s="3138"/>
      <c r="G293" s="3138"/>
      <c r="H293" s="3140" t="s">
        <v>273</v>
      </c>
      <c r="I293" s="3138"/>
      <c r="J293" s="3138"/>
      <c r="K293" s="3140" t="s">
        <v>358</v>
      </c>
      <c r="L293" s="3138"/>
      <c r="M293" s="3223"/>
      <c r="N293" s="295"/>
      <c r="S293" s="2"/>
    </row>
    <row r="294" spans="1:61" ht="63.75" customHeight="1" x14ac:dyDescent="0.25">
      <c r="A294" s="433" t="s">
        <v>1038</v>
      </c>
      <c r="B294" s="3102"/>
      <c r="C294" s="3102"/>
      <c r="D294" s="3102"/>
      <c r="E294" s="580" t="s">
        <v>902</v>
      </c>
      <c r="F294" s="579" t="str">
        <f>"Source Energy Use 
("  &amp; PO_SourceUnits &amp; ")"</f>
        <v>Source Energy Use 
(Btu x 10^6)</v>
      </c>
      <c r="G294" s="580" t="s">
        <v>356</v>
      </c>
      <c r="H294" s="580" t="s">
        <v>902</v>
      </c>
      <c r="I294" s="579" t="str">
        <f>"Source Energy Use 
("  &amp; PO_SourceUnits &amp; ")"</f>
        <v>Source Energy Use 
(Btu x 10^6)</v>
      </c>
      <c r="J294" s="580" t="s">
        <v>356</v>
      </c>
      <c r="K294" s="3140" t="s">
        <v>357</v>
      </c>
      <c r="L294" s="3224"/>
      <c r="M294" s="580" t="s">
        <v>356</v>
      </c>
      <c r="AD294" s="2"/>
      <c r="AE294" s="2"/>
      <c r="AF294" s="2"/>
      <c r="AG294" s="2"/>
      <c r="AH294" s="2"/>
      <c r="AI294" s="2"/>
      <c r="AJ294" s="2"/>
      <c r="AK294" s="2"/>
      <c r="AL294" s="2"/>
      <c r="AM294" s="2"/>
      <c r="AN294" s="2"/>
      <c r="AO294" s="2"/>
    </row>
    <row r="295" spans="1:61" s="446" customFormat="1" ht="21.75" hidden="1" customHeight="1" x14ac:dyDescent="0.25">
      <c r="A295" s="433" t="s">
        <v>1038</v>
      </c>
      <c r="B295" s="461" t="s">
        <v>1396</v>
      </c>
      <c r="C295" s="461" t="s">
        <v>1424</v>
      </c>
      <c r="D295" s="461"/>
      <c r="E295" s="469" t="s">
        <v>1452</v>
      </c>
      <c r="F295" s="468" t="s">
        <v>1453</v>
      </c>
      <c r="G295" s="469" t="s">
        <v>1454</v>
      </c>
      <c r="H295" s="469" t="s">
        <v>1437</v>
      </c>
      <c r="I295" s="468" t="s">
        <v>1438</v>
      </c>
      <c r="J295" s="469" t="s">
        <v>1439</v>
      </c>
      <c r="K295" s="462" t="s">
        <v>1440</v>
      </c>
      <c r="L295" s="461"/>
      <c r="M295" s="462" t="s">
        <v>1441</v>
      </c>
      <c r="N295" s="445"/>
      <c r="Q295" s="415" t="s">
        <v>1407</v>
      </c>
      <c r="R295" s="415" t="s">
        <v>1408</v>
      </c>
      <c r="AD295" s="447"/>
      <c r="AE295" s="447"/>
      <c r="AF295" s="447"/>
      <c r="AG295" s="447"/>
      <c r="AH295" s="447"/>
      <c r="AI295" s="447"/>
      <c r="AJ295" s="447"/>
      <c r="AK295" s="447"/>
      <c r="AL295" s="447"/>
      <c r="AM295" s="447"/>
      <c r="AN295" s="447"/>
      <c r="AO295" s="447"/>
    </row>
    <row r="296" spans="1:61" ht="18" customHeight="1" x14ac:dyDescent="0.25">
      <c r="A296" s="433" t="s">
        <v>1038</v>
      </c>
      <c r="B296" s="577" t="str">
        <f t="shared" ref="B296:B307" si="88">IFERROR(IF(ISBLANK(B17),"",B17),"")</f>
        <v>Electricity</v>
      </c>
      <c r="C296" s="3079" t="str">
        <f t="shared" ref="C296:C310" si="89">IFERROR(IF(ISBLANK($B296),"",VLOOKUP($B296,PO_Enrgy_1_Table,MATCH($C$16,PO_Enrgy_1_Hdr,0),FALSE) ),"")</f>
        <v>kWh</v>
      </c>
      <c r="D296" s="3080" t="e">
        <f>IF(C296="","",VLOOKUP(C296,ProjectEnergyTypeTable,3,FALSE))</f>
        <v>#NAME?</v>
      </c>
      <c r="E296" s="555">
        <f t="shared" ref="E296:E301" ca="1" si="90">IFERROR(SUMIFS(G$243:G$290,$F$243:$F$290,"=Con*",$E$243:$E$290,$B296), 0)</f>
        <v>0</v>
      </c>
      <c r="F296" s="555">
        <f t="shared" ref="F296:F310" ca="1" si="91">IFERROR(SUMIFS(G$243:G$290,$F$243:$F$290,"=Con*",$E$243:$E$290,$B296)*VLOOKUP($B296,PO_Enrgy_1_Table,MATCH($M$16,PO_Enrgy_1_Hdr,0),FALSE), 0)</f>
        <v>0</v>
      </c>
      <c r="G296" s="593" t="str">
        <f>INDEX(PO_Enrgy_6_Table,1, 10)</f>
        <v/>
      </c>
      <c r="H296" s="555">
        <f t="shared" ref="H296:H301" ca="1" si="92">IFERROR(SUMIFS(H$243:H$290,$F$243:$F$290,"=Con*",$E$243:$E$290,$B296), 0)</f>
        <v>0</v>
      </c>
      <c r="I296" s="555">
        <f t="shared" ref="I296:I310" ca="1" si="93">IFERROR(SUMIFS(H$243:H$290,$F$243:$F$290,"=Con*",$E$243:$E$290,$B296)*VLOOKUP($B296,PO_Enrgy_1_Table,MATCH($M$16,PO_Enrgy_1_Hdr,0),FALSE), 0)</f>
        <v>0</v>
      </c>
      <c r="J296" s="528"/>
      <c r="K296" s="3084" t="str">
        <f t="shared" ref="K296:K311" ca="1" si="94">IFERROR(1-H296/E296,"")</f>
        <v/>
      </c>
      <c r="L296" s="3085"/>
      <c r="M296" s="659" t="str">
        <f t="shared" ref="M296:M311" si="95">IFERROR(1-J296/G296,"")</f>
        <v/>
      </c>
      <c r="Q296" s="627">
        <f t="shared" ref="Q296:Q310" si="96">IFERROR(IF(ISBLANK($B296),"",VLOOKUP($B296,PO_Enrgy_1_Table,MATCH($K$16,PO_Enrgy_1_Hdr,0),FALSE)),"")</f>
        <v>3.4120000000000001E-3</v>
      </c>
      <c r="R296" s="627">
        <f t="shared" ref="R296:R310" si="97">IFERROR(IF(ISBLANK($B296),"",VLOOKUP($B296,PO_Enrgy_1_Table,MATCH($M$16,PO_Enrgy_1_Hdr,0),FALSE)),"")</f>
        <v>1.0713680000000001E-2</v>
      </c>
      <c r="AD296" s="449"/>
      <c r="AE296" s="449"/>
      <c r="AF296" s="253"/>
      <c r="AG296" s="253"/>
      <c r="AH296" s="450"/>
      <c r="AI296" s="451"/>
      <c r="AJ296" s="2"/>
      <c r="AK296" s="2"/>
      <c r="AL296" s="2"/>
      <c r="AM296" s="2"/>
      <c r="AN296" s="2"/>
      <c r="AO296" s="2"/>
      <c r="BC296" s="804"/>
    </row>
    <row r="297" spans="1:61" ht="18" customHeight="1" x14ac:dyDescent="0.25">
      <c r="A297" s="433" t="s">
        <v>1038</v>
      </c>
      <c r="B297" s="577" t="str">
        <f t="shared" si="88"/>
        <v>Natural Gas</v>
      </c>
      <c r="C297" s="3079" t="str">
        <f t="shared" si="89"/>
        <v>therm</v>
      </c>
      <c r="D297" s="3080" t="e">
        <f>IF(C297="","",VLOOKUP(C297,ProjectEnergyTypeTable,3,FALSE))</f>
        <v>#NAME?</v>
      </c>
      <c r="E297" s="555">
        <f t="shared" ca="1" si="90"/>
        <v>0</v>
      </c>
      <c r="F297" s="555">
        <f t="shared" ca="1" si="91"/>
        <v>0</v>
      </c>
      <c r="G297" s="593" t="str">
        <f>INDEX(PO_Enrgy_6_Table,2, 10)</f>
        <v/>
      </c>
      <c r="H297" s="555">
        <f t="shared" ca="1" si="92"/>
        <v>0</v>
      </c>
      <c r="I297" s="555">
        <f t="shared" ca="1" si="93"/>
        <v>0</v>
      </c>
      <c r="J297" s="528"/>
      <c r="K297" s="3084" t="str">
        <f t="shared" ca="1" si="94"/>
        <v/>
      </c>
      <c r="L297" s="3085"/>
      <c r="M297" s="659" t="str">
        <f t="shared" si="95"/>
        <v/>
      </c>
      <c r="Q297" s="627">
        <f t="shared" si="96"/>
        <v>0.1</v>
      </c>
      <c r="R297" s="627">
        <f t="shared" si="97"/>
        <v>0.10500000000000001</v>
      </c>
      <c r="AD297" s="449"/>
      <c r="AE297" s="449"/>
      <c r="AF297" s="253"/>
      <c r="AG297" s="253"/>
      <c r="AH297" s="450"/>
      <c r="AI297" s="451"/>
      <c r="AJ297" s="2"/>
      <c r="AK297" s="2"/>
      <c r="AL297" s="2"/>
      <c r="AM297" s="2"/>
      <c r="AN297" s="2"/>
      <c r="AO297" s="2"/>
      <c r="BC297" s="804"/>
    </row>
    <row r="298" spans="1:61" ht="18" customHeight="1" x14ac:dyDescent="0.25">
      <c r="A298" s="433" t="s">
        <v>1038</v>
      </c>
      <c r="B298" s="577" t="str">
        <f t="shared" si="88"/>
        <v>District Cooling</v>
      </c>
      <c r="C298" s="3079" t="str">
        <f t="shared" si="89"/>
        <v>MWh</v>
      </c>
      <c r="D298" s="3080" t="e">
        <f>IF(C298="","",VLOOKUP(C298,ProjectEnergyTypeTable,3,FALSE))</f>
        <v>#NAME?</v>
      </c>
      <c r="E298" s="555">
        <f t="shared" si="90"/>
        <v>0</v>
      </c>
      <c r="F298" s="555">
        <f t="shared" si="91"/>
        <v>0</v>
      </c>
      <c r="G298" s="593" t="str">
        <f>INDEX(PO_Enrgy_6_Table,3, 10)</f>
        <v/>
      </c>
      <c r="H298" s="555">
        <f t="shared" si="92"/>
        <v>0</v>
      </c>
      <c r="I298" s="555">
        <f t="shared" si="93"/>
        <v>0</v>
      </c>
      <c r="J298" s="528"/>
      <c r="K298" s="3084" t="str">
        <f t="shared" si="94"/>
        <v/>
      </c>
      <c r="L298" s="3085"/>
      <c r="M298" s="659" t="str">
        <f t="shared" si="95"/>
        <v/>
      </c>
      <c r="Q298" s="627">
        <f t="shared" si="96"/>
        <v>3.4119999999999999</v>
      </c>
      <c r="R298" s="627">
        <f t="shared" si="97"/>
        <v>3.4119999999999999</v>
      </c>
      <c r="AD298" s="449"/>
      <c r="AE298" s="449"/>
      <c r="AF298" s="253"/>
      <c r="AG298" s="253"/>
      <c r="AH298" s="450"/>
      <c r="AI298" s="451"/>
      <c r="AJ298" s="2"/>
      <c r="AK298" s="2"/>
      <c r="AL298" s="2"/>
      <c r="AM298" s="2"/>
      <c r="AN298" s="2"/>
      <c r="AO298" s="2"/>
      <c r="BC298" s="804"/>
    </row>
    <row r="299" spans="1:61" ht="18" customHeight="1" x14ac:dyDescent="0.25">
      <c r="A299" s="433" t="s">
        <v>1038</v>
      </c>
      <c r="B299" s="577" t="str">
        <f t="shared" si="88"/>
        <v>District Cooling</v>
      </c>
      <c r="C299" s="3079" t="str">
        <f t="shared" si="89"/>
        <v>MWh</v>
      </c>
      <c r="D299" s="3080" t="e">
        <f>IF(C299="","",VLOOKUP(C299,ProjectEnergyTypeTable,3,FALSE))</f>
        <v>#NAME?</v>
      </c>
      <c r="E299" s="555">
        <f t="shared" si="90"/>
        <v>0</v>
      </c>
      <c r="F299" s="555">
        <f t="shared" si="91"/>
        <v>0</v>
      </c>
      <c r="G299" s="593" t="str">
        <f>INDEX(PO_Enrgy_6_Table,4, 10)</f>
        <v/>
      </c>
      <c r="H299" s="555">
        <f t="shared" si="92"/>
        <v>0</v>
      </c>
      <c r="I299" s="555">
        <f t="shared" si="93"/>
        <v>0</v>
      </c>
      <c r="J299" s="528"/>
      <c r="K299" s="3084" t="str">
        <f t="shared" si="94"/>
        <v/>
      </c>
      <c r="L299" s="3085"/>
      <c r="M299" s="659" t="str">
        <f t="shared" si="95"/>
        <v/>
      </c>
      <c r="Q299" s="627">
        <f t="shared" si="96"/>
        <v>3.4119999999999999</v>
      </c>
      <c r="R299" s="627">
        <f t="shared" si="97"/>
        <v>3.4119999999999999</v>
      </c>
      <c r="AD299" s="449"/>
      <c r="AE299" s="449"/>
      <c r="AF299" s="253"/>
      <c r="AG299" s="253"/>
      <c r="AH299" s="450"/>
      <c r="AI299" s="451"/>
      <c r="AJ299" s="2"/>
      <c r="AK299" s="2"/>
      <c r="AL299" s="2"/>
      <c r="AM299" s="2"/>
      <c r="AN299" s="2"/>
      <c r="AO299" s="2"/>
      <c r="BC299" s="804"/>
    </row>
    <row r="300" spans="1:61" ht="18" customHeight="1" x14ac:dyDescent="0.25">
      <c r="A300" s="433" t="s">
        <v>1038</v>
      </c>
      <c r="B300" s="577" t="str">
        <f t="shared" si="88"/>
        <v>District Cooling</v>
      </c>
      <c r="C300" s="3079" t="str">
        <f t="shared" si="89"/>
        <v>MWh</v>
      </c>
      <c r="D300" s="3080" t="e">
        <f>IF(C300="","",VLOOKUP(C300,ProjectEnergyTypeTable,3,FALSE))</f>
        <v>#NAME?</v>
      </c>
      <c r="E300" s="555">
        <f t="shared" si="90"/>
        <v>0</v>
      </c>
      <c r="F300" s="555">
        <f t="shared" si="91"/>
        <v>0</v>
      </c>
      <c r="G300" s="593" t="str">
        <f>INDEX(PO_Enrgy_6_Table,5, 10)</f>
        <v/>
      </c>
      <c r="H300" s="555">
        <f t="shared" si="92"/>
        <v>0</v>
      </c>
      <c r="I300" s="555">
        <f t="shared" si="93"/>
        <v>0</v>
      </c>
      <c r="J300" s="528"/>
      <c r="K300" s="3084" t="str">
        <f t="shared" si="94"/>
        <v/>
      </c>
      <c r="L300" s="3085"/>
      <c r="M300" s="659" t="str">
        <f t="shared" si="95"/>
        <v/>
      </c>
      <c r="Q300" s="627">
        <f t="shared" si="96"/>
        <v>3.4119999999999999</v>
      </c>
      <c r="R300" s="627">
        <f t="shared" si="97"/>
        <v>3.4119999999999999</v>
      </c>
      <c r="AD300" s="449"/>
      <c r="AE300" s="449"/>
      <c r="AF300" s="253"/>
      <c r="AG300" s="253"/>
      <c r="AH300" s="450"/>
      <c r="AI300" s="451"/>
      <c r="AJ300" s="2"/>
      <c r="AK300" s="2"/>
      <c r="AL300" s="2"/>
      <c r="AM300" s="2"/>
      <c r="AN300" s="2"/>
      <c r="AO300" s="2"/>
      <c r="BC300" s="804"/>
    </row>
    <row r="301" spans="1:61" ht="18" customHeight="1" x14ac:dyDescent="0.25">
      <c r="A301" s="433" t="s">
        <v>1038</v>
      </c>
      <c r="B301" s="577" t="str">
        <f t="shared" si="88"/>
        <v>District Cooling</v>
      </c>
      <c r="C301" s="3079" t="str">
        <f t="shared" si="89"/>
        <v>MWh</v>
      </c>
      <c r="D301" s="3080" t="e">
        <f>IF(C301="","",VLOOKUP(C301,ProjectEnergyTypeTable,3,FALSE))</f>
        <v>#NAME?</v>
      </c>
      <c r="E301" s="555">
        <f t="shared" si="90"/>
        <v>0</v>
      </c>
      <c r="F301" s="555">
        <f t="shared" si="91"/>
        <v>0</v>
      </c>
      <c r="G301" s="593" t="str">
        <f>INDEX(PO_Enrgy_6_Table,6, 10)</f>
        <v/>
      </c>
      <c r="H301" s="555">
        <f t="shared" si="92"/>
        <v>0</v>
      </c>
      <c r="I301" s="555">
        <f t="shared" si="93"/>
        <v>0</v>
      </c>
      <c r="J301" s="528"/>
      <c r="K301" s="3084" t="str">
        <f t="shared" ref="K301" si="98">IFERROR(1-H301/E301,"")</f>
        <v/>
      </c>
      <c r="L301" s="3085"/>
      <c r="M301" s="659" t="str">
        <f t="shared" ref="M301" si="99">IFERROR(1-J301/G301,"")</f>
        <v/>
      </c>
      <c r="Q301" s="627">
        <f t="shared" si="96"/>
        <v>3.4119999999999999</v>
      </c>
      <c r="R301" s="627">
        <f t="shared" si="97"/>
        <v>3.4119999999999999</v>
      </c>
      <c r="AD301" s="449"/>
      <c r="AE301" s="449"/>
      <c r="AF301" s="253"/>
      <c r="AG301" s="253"/>
      <c r="AH301" s="450"/>
      <c r="AI301" s="451"/>
      <c r="AJ301" s="2"/>
      <c r="AK301" s="2"/>
      <c r="AL301" s="2"/>
      <c r="AM301" s="2"/>
      <c r="AN301" s="2"/>
      <c r="AO301" s="2"/>
      <c r="BC301" s="804"/>
    </row>
    <row r="302" spans="1:61" ht="18" customHeight="1" x14ac:dyDescent="0.25">
      <c r="A302" s="433" t="s">
        <v>1038</v>
      </c>
      <c r="B302" s="577" t="str">
        <f t="shared" si="88"/>
        <v>District Cooling</v>
      </c>
      <c r="C302" s="3079" t="str">
        <f t="shared" si="89"/>
        <v>MWh</v>
      </c>
      <c r="D302" s="3080" t="e">
        <f>IF(C302="","",VLOOKUP(C302,ProjectEnergyTypeTable,3,FALSE))</f>
        <v>#NAME?</v>
      </c>
      <c r="E302" s="555">
        <f t="shared" ref="E302:E303" si="100">IFERROR(SUMIFS(G$243:G$290,$F$243:$F$290,"=Con*",$E$243:$E$290,$B302), 0)</f>
        <v>0</v>
      </c>
      <c r="F302" s="555">
        <f t="shared" si="91"/>
        <v>0</v>
      </c>
      <c r="G302" s="593" t="str">
        <f>INDEX(PO_Enrgy_6_Table,7, 10)</f>
        <v/>
      </c>
      <c r="H302" s="555">
        <f t="shared" ref="H302:H310" si="101">IFERROR(SUMIFS(H$243:H$290,$F$243:$F$290,"=Con*",$E$243:$E$290,$B302), 0)</f>
        <v>0</v>
      </c>
      <c r="I302" s="555">
        <f t="shared" si="93"/>
        <v>0</v>
      </c>
      <c r="J302" s="528"/>
      <c r="K302" s="3084" t="str">
        <f t="shared" ref="K302:K303" si="102">IFERROR(1-H302/E302,"")</f>
        <v/>
      </c>
      <c r="L302" s="3085"/>
      <c r="M302" s="659" t="str">
        <f t="shared" ref="M302:M303" si="103">IFERROR(1-J302/G302,"")</f>
        <v/>
      </c>
      <c r="Q302" s="627">
        <f t="shared" si="96"/>
        <v>3.4119999999999999</v>
      </c>
      <c r="R302" s="627">
        <f t="shared" si="97"/>
        <v>3.4119999999999999</v>
      </c>
      <c r="AD302" s="449"/>
      <c r="AE302" s="449"/>
      <c r="AF302" s="253"/>
      <c r="AG302" s="253"/>
      <c r="AH302" s="450"/>
      <c r="AI302" s="451"/>
      <c r="AJ302" s="2"/>
      <c r="AK302" s="2"/>
      <c r="AL302" s="2"/>
      <c r="AM302" s="2"/>
      <c r="AN302" s="2"/>
      <c r="AO302" s="2"/>
      <c r="BC302" s="804"/>
    </row>
    <row r="303" spans="1:61" ht="18" customHeight="1" x14ac:dyDescent="0.25">
      <c r="A303" s="433" t="s">
        <v>1038</v>
      </c>
      <c r="B303" s="577" t="str">
        <f t="shared" si="88"/>
        <v>District Cooling</v>
      </c>
      <c r="C303" s="3079" t="str">
        <f t="shared" si="89"/>
        <v>MWh</v>
      </c>
      <c r="D303" s="3080" t="e">
        <f>IF(C303="","",VLOOKUP(C303,ProjectEnergyTypeTable,3,FALSE))</f>
        <v>#NAME?</v>
      </c>
      <c r="E303" s="555">
        <f t="shared" si="100"/>
        <v>0</v>
      </c>
      <c r="F303" s="555">
        <f t="shared" si="91"/>
        <v>0</v>
      </c>
      <c r="G303" s="593" t="str">
        <f>INDEX(PO_Enrgy_6_Table,8, 10)</f>
        <v/>
      </c>
      <c r="H303" s="555">
        <f t="shared" si="101"/>
        <v>0</v>
      </c>
      <c r="I303" s="555">
        <f t="shared" si="93"/>
        <v>0</v>
      </c>
      <c r="J303" s="528"/>
      <c r="K303" s="3084" t="str">
        <f t="shared" si="102"/>
        <v/>
      </c>
      <c r="L303" s="3085"/>
      <c r="M303" s="659" t="str">
        <f t="shared" si="103"/>
        <v/>
      </c>
      <c r="Q303" s="627">
        <f t="shared" si="96"/>
        <v>3.4119999999999999</v>
      </c>
      <c r="R303" s="627">
        <f t="shared" si="97"/>
        <v>3.4119999999999999</v>
      </c>
      <c r="AD303" s="449"/>
      <c r="AE303" s="449"/>
      <c r="AF303" s="253"/>
      <c r="AG303" s="253"/>
      <c r="AH303" s="450"/>
      <c r="AI303" s="451"/>
      <c r="AJ303" s="2"/>
      <c r="AK303" s="2"/>
      <c r="AL303" s="2"/>
      <c r="AM303" s="2"/>
      <c r="AN303" s="2"/>
      <c r="AO303" s="2"/>
      <c r="BC303" s="804"/>
    </row>
    <row r="304" spans="1:61" ht="18" customHeight="1" x14ac:dyDescent="0.25">
      <c r="A304" s="433" t="s">
        <v>1038</v>
      </c>
      <c r="B304" s="577" t="str">
        <f t="shared" si="88"/>
        <v>District Cooling</v>
      </c>
      <c r="C304" s="3079" t="str">
        <f t="shared" si="89"/>
        <v>MWh</v>
      </c>
      <c r="D304" s="3080" t="e">
        <f>IF(C304="","",VLOOKUP(C304,ProjectEnergyTypeTable,3,FALSE))</f>
        <v>#NAME?</v>
      </c>
      <c r="E304" s="555">
        <f t="shared" ref="E304" si="104">IFERROR(SUMIFS(G$243:G$290,$F$243:$F$290,"=Con*",$E$243:$E$290,$B304), 0)</f>
        <v>0</v>
      </c>
      <c r="F304" s="555">
        <f t="shared" si="91"/>
        <v>0</v>
      </c>
      <c r="G304" s="593" t="str">
        <f>INDEX(PO_Enrgy_6_Table,9, 10)</f>
        <v/>
      </c>
      <c r="H304" s="555">
        <f t="shared" si="101"/>
        <v>0</v>
      </c>
      <c r="I304" s="555">
        <f t="shared" si="93"/>
        <v>0</v>
      </c>
      <c r="J304" s="528"/>
      <c r="K304" s="3084" t="str">
        <f t="shared" ref="K304" si="105">IFERROR(1-H304/E304,"")</f>
        <v/>
      </c>
      <c r="L304" s="3085"/>
      <c r="M304" s="659" t="str">
        <f t="shared" ref="M304" si="106">IFERROR(1-J304/G304,"")</f>
        <v/>
      </c>
      <c r="Q304" s="627">
        <f t="shared" si="96"/>
        <v>3.4119999999999999</v>
      </c>
      <c r="R304" s="627">
        <f t="shared" si="97"/>
        <v>3.4119999999999999</v>
      </c>
      <c r="AD304" s="449"/>
      <c r="AE304" s="449"/>
      <c r="AF304" s="253"/>
      <c r="AG304" s="253"/>
      <c r="AH304" s="450"/>
      <c r="AI304" s="451"/>
      <c r="AJ304" s="2"/>
      <c r="AK304" s="2"/>
      <c r="AL304" s="2"/>
      <c r="AM304" s="2"/>
      <c r="AN304" s="2"/>
      <c r="AO304" s="2"/>
      <c r="BC304" s="804"/>
    </row>
    <row r="305" spans="1:55" ht="18" customHeight="1" x14ac:dyDescent="0.25">
      <c r="A305" s="433" t="s">
        <v>1038</v>
      </c>
      <c r="B305" s="577" t="str">
        <f t="shared" si="88"/>
        <v>District Cooling</v>
      </c>
      <c r="C305" s="3079" t="str">
        <f t="shared" si="89"/>
        <v>MWh</v>
      </c>
      <c r="D305" s="3080" t="e">
        <f>IF(C305="","",VLOOKUP(C305,ProjectEnergyTypeTable,3,FALSE))</f>
        <v>#NAME?</v>
      </c>
      <c r="E305" s="555">
        <f t="shared" ref="E305" si="107">IFERROR(SUMIFS(G$243:G$290,$F$243:$F$290,"=Con*",$E$243:$E$290,$B305), 0)</f>
        <v>0</v>
      </c>
      <c r="F305" s="555">
        <f t="shared" si="91"/>
        <v>0</v>
      </c>
      <c r="G305" s="593" t="str">
        <f>INDEX(PO_Enrgy_6_Table,10, 10)</f>
        <v/>
      </c>
      <c r="H305" s="555">
        <f t="shared" si="101"/>
        <v>0</v>
      </c>
      <c r="I305" s="555">
        <f t="shared" si="93"/>
        <v>0</v>
      </c>
      <c r="J305" s="528"/>
      <c r="K305" s="3084" t="str">
        <f t="shared" ref="K305" si="108">IFERROR(1-H305/E305,"")</f>
        <v/>
      </c>
      <c r="L305" s="3085"/>
      <c r="M305" s="659" t="str">
        <f t="shared" ref="M305" si="109">IFERROR(1-J305/G305,"")</f>
        <v/>
      </c>
      <c r="Q305" s="627">
        <f t="shared" si="96"/>
        <v>3.4119999999999999</v>
      </c>
      <c r="R305" s="627">
        <f t="shared" si="97"/>
        <v>3.4119999999999999</v>
      </c>
      <c r="AD305" s="449"/>
      <c r="AE305" s="449"/>
      <c r="AF305" s="253"/>
      <c r="AG305" s="253"/>
      <c r="AH305" s="450"/>
      <c r="AI305" s="451"/>
      <c r="AJ305" s="2"/>
      <c r="AK305" s="2"/>
      <c r="AL305" s="2"/>
      <c r="AM305" s="2"/>
      <c r="AN305" s="2"/>
      <c r="AO305" s="2"/>
      <c r="BC305" s="804"/>
    </row>
    <row r="306" spans="1:55" ht="18" customHeight="1" x14ac:dyDescent="0.25">
      <c r="A306" s="433" t="s">
        <v>1038</v>
      </c>
      <c r="B306" s="577" t="str">
        <f t="shared" si="88"/>
        <v>District Cooling</v>
      </c>
      <c r="C306" s="3079" t="str">
        <f t="shared" si="89"/>
        <v>MWh</v>
      </c>
      <c r="D306" s="3080" t="e">
        <f>IF(C306="","",VLOOKUP(C306,ProjectEnergyTypeTable,3,FALSE))</f>
        <v>#NAME?</v>
      </c>
      <c r="E306" s="555">
        <f t="shared" ref="E306" si="110">IFERROR(SUMIFS(G$243:G$290,$F$243:$F$290,"=Con*",$E$243:$E$290,$B306), 0)</f>
        <v>0</v>
      </c>
      <c r="F306" s="555">
        <f t="shared" si="91"/>
        <v>0</v>
      </c>
      <c r="G306" s="593" t="str">
        <f>INDEX(PO_Enrgy_6_Table,11, 10)</f>
        <v/>
      </c>
      <c r="H306" s="555">
        <f t="shared" si="101"/>
        <v>0</v>
      </c>
      <c r="I306" s="555">
        <f t="shared" si="93"/>
        <v>0</v>
      </c>
      <c r="J306" s="528"/>
      <c r="K306" s="3084" t="str">
        <f t="shared" ref="K306" si="111">IFERROR(1-H306/E306,"")</f>
        <v/>
      </c>
      <c r="L306" s="3085"/>
      <c r="M306" s="659" t="str">
        <f t="shared" ref="M306" si="112">IFERROR(1-J306/G306,"")</f>
        <v/>
      </c>
      <c r="Q306" s="627">
        <f t="shared" si="96"/>
        <v>3.4119999999999999</v>
      </c>
      <c r="R306" s="627">
        <f t="shared" si="97"/>
        <v>3.4119999999999999</v>
      </c>
      <c r="AD306" s="449"/>
      <c r="AE306" s="449"/>
      <c r="AF306" s="253"/>
      <c r="AG306" s="253"/>
      <c r="AH306" s="450"/>
      <c r="AI306" s="451"/>
      <c r="AJ306" s="2"/>
      <c r="AK306" s="2"/>
      <c r="AL306" s="2"/>
      <c r="AM306" s="2"/>
      <c r="AN306" s="2"/>
      <c r="AO306" s="2"/>
      <c r="BC306" s="804"/>
    </row>
    <row r="307" spans="1:55" ht="18" customHeight="1" x14ac:dyDescent="0.25">
      <c r="A307" s="433" t="s">
        <v>1038</v>
      </c>
      <c r="B307" s="577" t="str">
        <f t="shared" si="88"/>
        <v>District Cooling</v>
      </c>
      <c r="C307" s="3079" t="str">
        <f t="shared" si="89"/>
        <v>MWh</v>
      </c>
      <c r="D307" s="3080" t="e">
        <f>IF(C307="","",VLOOKUP(C307,ProjectEnergyTypeTable,3,FALSE))</f>
        <v>#NAME?</v>
      </c>
      <c r="E307" s="555">
        <f t="shared" ref="E307" si="113">IFERROR(SUMIFS(G$243:G$290,$F$243:$F$290,"=Con*",$E$243:$E$290,$B307), 0)</f>
        <v>0</v>
      </c>
      <c r="F307" s="555">
        <f t="shared" si="91"/>
        <v>0</v>
      </c>
      <c r="G307" s="593" t="str">
        <f>INDEX(PO_Enrgy_6_Table,12, 10)</f>
        <v/>
      </c>
      <c r="H307" s="555">
        <f t="shared" si="101"/>
        <v>0</v>
      </c>
      <c r="I307" s="555">
        <f t="shared" si="93"/>
        <v>0</v>
      </c>
      <c r="J307" s="528"/>
      <c r="K307" s="3084" t="str">
        <f t="shared" ref="K307" si="114">IFERROR(1-H307/E307,"")</f>
        <v/>
      </c>
      <c r="L307" s="3085"/>
      <c r="M307" s="659" t="str">
        <f t="shared" ref="M307" si="115">IFERROR(1-J307/G307,"")</f>
        <v/>
      </c>
      <c r="Q307" s="627">
        <f t="shared" si="96"/>
        <v>3.4119999999999999</v>
      </c>
      <c r="R307" s="627">
        <f t="shared" si="97"/>
        <v>3.4119999999999999</v>
      </c>
      <c r="AD307" s="449"/>
      <c r="AE307" s="449"/>
      <c r="AF307" s="253"/>
      <c r="AG307" s="253"/>
      <c r="AH307" s="450"/>
      <c r="AI307" s="451"/>
      <c r="AJ307" s="2"/>
      <c r="AK307" s="2"/>
      <c r="AL307" s="2"/>
      <c r="AM307" s="2"/>
      <c r="AN307" s="2"/>
      <c r="AO307" s="2"/>
      <c r="BC307" s="804"/>
    </row>
    <row r="308" spans="1:55" ht="18" customHeight="1" x14ac:dyDescent="0.25">
      <c r="A308" s="433" t="s">
        <v>1038</v>
      </c>
      <c r="B308" s="577" t="str">
        <f t="shared" ref="B308:B310" si="116">IFERROR(IF(ISBLANK(B29),"",B29),"")</f>
        <v>District Cooling</v>
      </c>
      <c r="C308" s="3079" t="str">
        <f t="shared" si="89"/>
        <v>MWh</v>
      </c>
      <c r="D308" s="3080" t="e">
        <f>IF(C308="","",VLOOKUP(C308,ProjectEnergyTypeTable,3,FALSE))</f>
        <v>#NAME?</v>
      </c>
      <c r="E308" s="555">
        <f t="shared" ref="E308:E310" si="117">IFERROR(SUMIFS(G$243:G$290,$F$243:$F$290,"=Con*",$E$243:$E$290,$B308), 0)</f>
        <v>0</v>
      </c>
      <c r="F308" s="555">
        <f t="shared" si="91"/>
        <v>0</v>
      </c>
      <c r="G308" s="593" t="str">
        <f>INDEX(PO_Enrgy_6_Table,13, 10)</f>
        <v/>
      </c>
      <c r="H308" s="555">
        <f t="shared" si="101"/>
        <v>0</v>
      </c>
      <c r="I308" s="555">
        <f t="shared" si="93"/>
        <v>0</v>
      </c>
      <c r="J308" s="528"/>
      <c r="K308" s="3084" t="str">
        <f t="shared" ref="K308:K310" si="118">IFERROR(1-H308/E308,"")</f>
        <v/>
      </c>
      <c r="L308" s="3085"/>
      <c r="M308" s="659" t="str">
        <f t="shared" ref="M308:M310" si="119">IFERROR(1-J308/G308,"")</f>
        <v/>
      </c>
      <c r="Q308" s="627">
        <f t="shared" si="96"/>
        <v>3.4119999999999999</v>
      </c>
      <c r="R308" s="627">
        <f t="shared" si="97"/>
        <v>3.4119999999999999</v>
      </c>
      <c r="AD308" s="449"/>
      <c r="AE308" s="449"/>
      <c r="AF308" s="253"/>
      <c r="AG308" s="253"/>
      <c r="AH308" s="450"/>
      <c r="AI308" s="451"/>
      <c r="AJ308" s="2"/>
      <c r="AK308" s="2"/>
      <c r="AL308" s="2"/>
      <c r="AM308" s="2"/>
      <c r="AN308" s="2"/>
      <c r="AO308" s="2"/>
      <c r="BC308" s="804"/>
    </row>
    <row r="309" spans="1:55" ht="18" customHeight="1" x14ac:dyDescent="0.25">
      <c r="A309" s="433" t="s">
        <v>1038</v>
      </c>
      <c r="B309" s="577" t="str">
        <f t="shared" si="116"/>
        <v>District Cooling</v>
      </c>
      <c r="C309" s="3079" t="str">
        <f t="shared" si="89"/>
        <v>MWh</v>
      </c>
      <c r="D309" s="3080" t="e">
        <f>IF(C309="","",VLOOKUP(C309,ProjectEnergyTypeTable,3,FALSE))</f>
        <v>#NAME?</v>
      </c>
      <c r="E309" s="555">
        <f t="shared" si="117"/>
        <v>0</v>
      </c>
      <c r="F309" s="555">
        <f t="shared" si="91"/>
        <v>0</v>
      </c>
      <c r="G309" s="593" t="str">
        <f>INDEX(PO_Enrgy_6_Table,14, 10)</f>
        <v/>
      </c>
      <c r="H309" s="555">
        <f t="shared" si="101"/>
        <v>0</v>
      </c>
      <c r="I309" s="555">
        <f t="shared" si="93"/>
        <v>0</v>
      </c>
      <c r="J309" s="528"/>
      <c r="K309" s="3084" t="str">
        <f t="shared" si="118"/>
        <v/>
      </c>
      <c r="L309" s="3085"/>
      <c r="M309" s="659" t="str">
        <f t="shared" si="119"/>
        <v/>
      </c>
      <c r="Q309" s="627">
        <f t="shared" si="96"/>
        <v>3.4119999999999999</v>
      </c>
      <c r="R309" s="627">
        <f t="shared" si="97"/>
        <v>3.4119999999999999</v>
      </c>
      <c r="AD309" s="449"/>
      <c r="AE309" s="449"/>
      <c r="AF309" s="253"/>
      <c r="AG309" s="253"/>
      <c r="AH309" s="450"/>
      <c r="AI309" s="451"/>
      <c r="AJ309" s="2"/>
      <c r="AK309" s="2"/>
      <c r="AL309" s="2"/>
      <c r="AM309" s="2"/>
      <c r="AN309" s="2"/>
      <c r="AO309" s="2"/>
      <c r="BC309" s="804"/>
    </row>
    <row r="310" spans="1:55" ht="18" customHeight="1" x14ac:dyDescent="0.25">
      <c r="A310" s="433" t="s">
        <v>1038</v>
      </c>
      <c r="B310" s="577" t="str">
        <f t="shared" si="116"/>
        <v>District Cooling</v>
      </c>
      <c r="C310" s="3079" t="str">
        <f t="shared" si="89"/>
        <v>MWh</v>
      </c>
      <c r="D310" s="3080" t="e">
        <f>IF(C310="","",VLOOKUP(C310,ProjectEnergyTypeTable,3,FALSE))</f>
        <v>#NAME?</v>
      </c>
      <c r="E310" s="555">
        <f t="shared" si="117"/>
        <v>0</v>
      </c>
      <c r="F310" s="555">
        <f t="shared" si="91"/>
        <v>0</v>
      </c>
      <c r="G310" s="593" t="str">
        <f>INDEX(PO_Enrgy_6_Table,15, 10)</f>
        <v/>
      </c>
      <c r="H310" s="555">
        <f t="shared" si="101"/>
        <v>0</v>
      </c>
      <c r="I310" s="555">
        <f t="shared" si="93"/>
        <v>0</v>
      </c>
      <c r="J310" s="528"/>
      <c r="K310" s="3084" t="str">
        <f t="shared" si="118"/>
        <v/>
      </c>
      <c r="L310" s="3085"/>
      <c r="M310" s="659" t="str">
        <f t="shared" si="119"/>
        <v/>
      </c>
      <c r="Q310" s="627">
        <f t="shared" si="96"/>
        <v>3.4119999999999999</v>
      </c>
      <c r="R310" s="627">
        <f t="shared" si="97"/>
        <v>3.4119999999999999</v>
      </c>
      <c r="AD310" s="449"/>
      <c r="AE310" s="449"/>
      <c r="AF310" s="253"/>
      <c r="AG310" s="253"/>
      <c r="AH310" s="450"/>
      <c r="AI310" s="451"/>
      <c r="AJ310" s="2"/>
      <c r="AK310" s="2"/>
      <c r="AL310" s="2"/>
      <c r="AM310" s="2"/>
      <c r="AN310" s="2"/>
      <c r="AO310" s="2"/>
      <c r="BC310" s="804"/>
    </row>
    <row r="311" spans="1:55" s="245" customFormat="1" ht="21" customHeight="1" x14ac:dyDescent="0.25">
      <c r="A311" s="433" t="s">
        <v>1038</v>
      </c>
      <c r="B311" s="3135" t="str">
        <f>"Energy model subtotal (" &amp; PO_SiteUnits &amp; ")"</f>
        <v>Energy model subtotal (Btu x 10^6)</v>
      </c>
      <c r="C311" s="3135"/>
      <c r="D311" s="3135"/>
      <c r="E311" s="527">
        <f ca="1">IFERROR(SUMPRODUCT(INDEX(PO_Enrgy_7_Table,0,MATCH(E$295,PO_Enrgy_7_Hdr,0)),INDEX(PO_Enrgy_7_Table,0,MATCH($Q$295,PO_Enrgy_7_Hdr,0))),"")</f>
        <v>0</v>
      </c>
      <c r="F311" s="527">
        <f ca="1">IFERROR(SUM(INDEX(PO_Enrgy_7_Table,0,MATCH(F$295,PO_Enrgy_7_Hdr,0))),"")</f>
        <v>0</v>
      </c>
      <c r="G311" s="529">
        <f>IFERROR(SUM(INDEX(PO_Enrgy_7_Table,0,MATCH(G$295,PO_Enrgy_7_Hdr,0))),"")</f>
        <v>0</v>
      </c>
      <c r="H311" s="527">
        <f ca="1">IFERROR(SUMPRODUCT(INDEX(PO_Enrgy_7_Table,0,MATCH(H$295,PO_Enrgy_7_Hdr,0)),INDEX(PO_Enrgy_7_Table,0,MATCH($Q$295,PO_Enrgy_7_Hdr,0))),"")</f>
        <v>0</v>
      </c>
      <c r="I311" s="527">
        <f ca="1">IFERROR(SUM(INDEX(PO_Enrgy_7_Table,0,MATCH(I$295,PO_Enrgy_7_Hdr,0))),"")</f>
        <v>0</v>
      </c>
      <c r="J311" s="529">
        <f>IFERROR(SUM(INDEX(PO_Enrgy_7_Table,0,MATCH(J$295,PO_Enrgy_7_Hdr,0))),"")</f>
        <v>0</v>
      </c>
      <c r="K311" s="3090" t="str">
        <f t="shared" ca="1" si="94"/>
        <v/>
      </c>
      <c r="L311" s="3085"/>
      <c r="M311" s="578" t="str">
        <f t="shared" si="95"/>
        <v/>
      </c>
      <c r="N311" s="235"/>
      <c r="O311" s="235"/>
      <c r="P311" s="235"/>
      <c r="AD311" s="2"/>
      <c r="AE311" s="2"/>
      <c r="AF311" s="2"/>
      <c r="AG311" s="2"/>
      <c r="AH311" s="450"/>
      <c r="AI311" s="451"/>
      <c r="AJ311" s="2"/>
      <c r="AK311" s="2"/>
      <c r="AL311" s="2"/>
      <c r="AM311" s="2"/>
      <c r="AN311" s="2"/>
      <c r="AO311" s="2"/>
      <c r="BC311" s="804"/>
    </row>
    <row r="312" spans="1:55" s="245" customFormat="1" ht="5.25" customHeight="1" x14ac:dyDescent="0.25">
      <c r="A312" s="433" t="s">
        <v>1038</v>
      </c>
      <c r="B312" s="249"/>
      <c r="C312" s="249"/>
      <c r="D312" s="249"/>
      <c r="E312" s="250"/>
      <c r="F312" s="250"/>
      <c r="G312" s="294"/>
      <c r="H312" s="250"/>
      <c r="I312" s="250"/>
      <c r="J312" s="294"/>
      <c r="K312" s="332"/>
      <c r="L312" s="332"/>
      <c r="M312" s="332"/>
      <c r="N312" s="235"/>
      <c r="O312" s="235"/>
      <c r="P312" s="235"/>
      <c r="AD312" s="2"/>
      <c r="AE312" s="2"/>
      <c r="AF312" s="2"/>
      <c r="AG312" s="2"/>
      <c r="AH312" s="450"/>
      <c r="AI312" s="451"/>
      <c r="AJ312" s="2"/>
      <c r="AK312" s="2"/>
      <c r="AL312" s="2"/>
      <c r="AM312" s="2"/>
      <c r="AN312" s="2"/>
      <c r="AO312" s="2"/>
    </row>
    <row r="313" spans="1:55" s="245" customFormat="1" ht="33" customHeight="1" x14ac:dyDescent="0.25">
      <c r="A313" s="433" t="s">
        <v>1038</v>
      </c>
      <c r="B313" s="249"/>
      <c r="C313" s="249"/>
      <c r="D313" s="249"/>
      <c r="E313" s="250"/>
      <c r="F313" s="250"/>
      <c r="G313" s="294"/>
      <c r="H313" s="250"/>
      <c r="I313" s="250"/>
      <c r="J313" s="294"/>
      <c r="K313" s="332"/>
      <c r="L313" s="332"/>
      <c r="M313" s="332"/>
      <c r="N313" s="235"/>
      <c r="O313" s="235"/>
      <c r="P313" s="235"/>
      <c r="AD313" s="2"/>
      <c r="AE313" s="2"/>
      <c r="AF313" s="2"/>
      <c r="AG313" s="2"/>
      <c r="AH313" s="450"/>
      <c r="AI313" s="451"/>
      <c r="AJ313" s="2"/>
      <c r="AK313" s="2"/>
      <c r="AL313" s="2"/>
      <c r="AM313" s="2"/>
      <c r="AN313" s="2"/>
      <c r="AO313" s="2"/>
    </row>
    <row r="314" spans="1:55" s="245" customFormat="1" ht="21" customHeight="1" x14ac:dyDescent="0.25">
      <c r="A314" s="433" t="s">
        <v>1038</v>
      </c>
      <c r="B314" s="3219" t="s">
        <v>1015</v>
      </c>
      <c r="C314" s="3220"/>
      <c r="D314" s="3220"/>
      <c r="E314" s="3220"/>
      <c r="F314" s="3220"/>
      <c r="G314" s="3220"/>
      <c r="H314" s="3220"/>
      <c r="I314" s="3220"/>
      <c r="J314" s="3220"/>
      <c r="K314" s="3220"/>
      <c r="L314" s="3220"/>
      <c r="M314" s="332"/>
      <c r="Z314" s="267"/>
      <c r="AA314" s="268"/>
      <c r="AD314" s="2"/>
      <c r="AE314" s="2"/>
      <c r="AF314" s="2"/>
      <c r="AG314" s="2"/>
      <c r="AH314" s="2"/>
      <c r="AI314" s="2"/>
      <c r="AJ314" s="2"/>
      <c r="AK314" s="2"/>
      <c r="AL314" s="2"/>
      <c r="AM314" s="2"/>
      <c r="AN314" s="2"/>
      <c r="AO314" s="2"/>
    </row>
    <row r="315" spans="1:55" ht="33.75" customHeight="1" x14ac:dyDescent="0.25">
      <c r="A315" s="433" t="s">
        <v>1038</v>
      </c>
      <c r="B315" s="3138" t="s">
        <v>354</v>
      </c>
      <c r="C315" s="3221"/>
      <c r="D315" s="3221"/>
      <c r="E315" s="3140" t="s">
        <v>272</v>
      </c>
      <c r="F315" s="3138"/>
      <c r="G315" s="3138"/>
      <c r="H315" s="3140" t="s">
        <v>273</v>
      </c>
      <c r="I315" s="3138"/>
      <c r="J315" s="3138"/>
      <c r="K315" s="3140" t="s">
        <v>365</v>
      </c>
      <c r="L315" s="3138"/>
      <c r="M315" s="3221"/>
      <c r="AD315" s="2"/>
      <c r="AE315" s="2"/>
      <c r="AF315" s="2"/>
      <c r="AG315" s="2"/>
      <c r="AH315" s="2"/>
      <c r="AI315" s="2"/>
      <c r="AJ315" s="2"/>
      <c r="AK315" s="2"/>
      <c r="AL315" s="2"/>
      <c r="AM315" s="2"/>
      <c r="AN315" s="2"/>
      <c r="AO315" s="2"/>
    </row>
    <row r="316" spans="1:55" s="446" customFormat="1" ht="26.4" hidden="1" x14ac:dyDescent="0.25">
      <c r="A316" s="433" t="s">
        <v>1038</v>
      </c>
      <c r="B316" s="461" t="s">
        <v>1396</v>
      </c>
      <c r="C316" s="530" t="s">
        <v>143</v>
      </c>
      <c r="D316" s="530"/>
      <c r="E316" s="462" t="s">
        <v>1442</v>
      </c>
      <c r="F316" s="461"/>
      <c r="G316" s="461"/>
      <c r="H316" s="462" t="s">
        <v>1443</v>
      </c>
      <c r="I316" s="461"/>
      <c r="J316" s="461"/>
      <c r="K316" s="462" t="s">
        <v>1444</v>
      </c>
      <c r="L316" s="461"/>
      <c r="M316" s="530"/>
      <c r="Q316" s="415" t="s">
        <v>1407</v>
      </c>
      <c r="R316" s="415" t="s">
        <v>1408</v>
      </c>
      <c r="T316" s="655" t="s">
        <v>1575</v>
      </c>
      <c r="U316" s="655" t="s">
        <v>1576</v>
      </c>
      <c r="AD316" s="447"/>
      <c r="AE316" s="447"/>
      <c r="AF316" s="447"/>
      <c r="AG316" s="447"/>
      <c r="AH316" s="447"/>
      <c r="AI316" s="447"/>
      <c r="AJ316" s="447"/>
      <c r="AK316" s="447"/>
      <c r="AL316" s="447"/>
      <c r="AM316" s="447"/>
      <c r="AN316" s="447"/>
      <c r="AO316" s="447"/>
    </row>
    <row r="317" spans="1:55" ht="18" customHeight="1" x14ac:dyDescent="0.25">
      <c r="A317" s="433" t="s">
        <v>1038</v>
      </c>
      <c r="B317" s="577" t="str">
        <f t="shared" ref="B317:B328" si="120">IFERROR(IF(ISBLANK(B17),"",B17),"")</f>
        <v>Electricity</v>
      </c>
      <c r="C317" s="3079" t="str">
        <f t="shared" ref="C317:C331" si="121">IFERROR(CONCATENATE("$ / ",VLOOKUP($B317,PO_Enrgy_1_Table,MATCH($C$16,PO_Enrgy_1_Hdr,0),FALSE)),"")</f>
        <v>$ / kWh</v>
      </c>
      <c r="D317" s="3080" t="e">
        <f>IF(C317="","",VLOOKUP(C317,ProjectEnergyTypeTable,3,FALSE))</f>
        <v>#NAME?</v>
      </c>
      <c r="E317" s="3086" t="str">
        <f t="shared" ref="E317:G331" ca="1" si="122">IFERROR(IF(AND(DESPath=3,OR($B317="District Cooling",$B317="District Steam",$B317="District Hot Water")),IF($B317="District Cooling",$V$359,$W$359),VLOOKUP($B317,PO_Enrgy_7_Table,MATCH($G$295,PO_Enrgy_7_Hdr,0),FALSE)/VLOOKUP($B317,PO_Enrgy_7_Table,MATCH($E$295,PO_Enrgy_7_Hdr,0),FALSE)),"")</f>
        <v/>
      </c>
      <c r="F317" s="3087" t="str">
        <f t="shared" ca="1" si="122"/>
        <v/>
      </c>
      <c r="G317" s="3087" t="str">
        <f t="shared" ca="1" si="122"/>
        <v/>
      </c>
      <c r="H317" s="3086" t="str">
        <f t="shared" ref="H317:J331" ca="1" si="123">IFERROR(IF(AND(DESPath=3,OR($B317="District Cooling",$B317="District Steam",$B317="District Hot Water")),IF($B317="District Cooling",$V$363,$W$363),VLOOKUP($B317,PO_Enrgy_7_Table,MATCH($J$295,PO_Enrgy_7_Hdr,0),FALSE)/VLOOKUP($B317,PO_Enrgy_7_Table,MATCH($H$295,PO_Enrgy_7_Hdr,0),FALSE)),"")</f>
        <v/>
      </c>
      <c r="I317" s="3087" t="str">
        <f t="shared" ca="1" si="123"/>
        <v/>
      </c>
      <c r="J317" s="3087" t="str">
        <f t="shared" ca="1" si="123"/>
        <v/>
      </c>
      <c r="K317" s="3084" t="str">
        <f t="shared" ref="K317:K322" ca="1" si="124">IFERROR(ABS(1-H317/E317),"")</f>
        <v/>
      </c>
      <c r="L317" s="3088"/>
      <c r="M317" s="3089"/>
      <c r="Q317" s="627">
        <f t="shared" ref="Q317:Q331" si="125">IFERROR(IF(ISBLANK($B317),"",VLOOKUP($B317,PO_Enrgy_1_Table,MATCH($K$16,PO_Enrgy_1_Hdr,0),FALSE)),"")</f>
        <v>3.4120000000000001E-3</v>
      </c>
      <c r="R317" s="627">
        <f t="shared" ref="R317:R331" si="126">IFERROR(IF(ISBLANK($B317),"",VLOOKUP($B317,PO_Enrgy_1_Table,MATCH($M$16,PO_Enrgy_1_Hdr,0),FALSE)),"")</f>
        <v>1.0713680000000001E-2</v>
      </c>
      <c r="T317" s="627" t="str">
        <f t="shared" ref="T317:T331" ca="1" si="127">IFERROR(IF(AND(DESPath=3,OR($B317="District Cooling",$B317="District Steam",$B317="District Hot Water")),IF($B317="District Cooling",$V$359,$W$359),VLOOKUP($B317,PO_Enrgy_7_Table,MATCH($G$295,PO_Enrgy_7_Hdr,0),FALSE)/VLOOKUP($B317,PO_Enrgy_7_Table,MATCH($E$295,PO_Enrgy_7_Hdr,0),FALSE)),"")</f>
        <v/>
      </c>
      <c r="U317" s="627" t="str">
        <f t="shared" ref="U317:U331" ca="1" si="128">IFERROR(IF(AND(DESPath=3,OR($B317="District Cooling",$B317="District Steam",$B317="District Hot Water")),IF($B317="District Cooling",$V$363,$W$363),VLOOKUP($B317,PO_Enrgy_7_Table,MATCH($J$295,PO_Enrgy_7_Hdr,0),FALSE)/VLOOKUP($B317,PO_Enrgy_7_Table,MATCH($H$295,PO_Enrgy_7_Hdr,0),FALSE)),"")</f>
        <v/>
      </c>
      <c r="AD317" s="449"/>
      <c r="AE317" s="449"/>
      <c r="AF317" s="253"/>
      <c r="AG317" s="2"/>
      <c r="AH317" s="450"/>
      <c r="AI317" s="451"/>
      <c r="AJ317" s="452"/>
      <c r="AK317" s="2"/>
      <c r="AL317" s="2"/>
      <c r="AM317" s="2"/>
      <c r="AN317" s="2"/>
      <c r="AO317" s="2"/>
      <c r="BC317" s="804"/>
    </row>
    <row r="318" spans="1:55" ht="18" customHeight="1" x14ac:dyDescent="0.25">
      <c r="A318" s="433" t="s">
        <v>1038</v>
      </c>
      <c r="B318" s="577" t="str">
        <f t="shared" si="120"/>
        <v>Natural Gas</v>
      </c>
      <c r="C318" s="3079" t="str">
        <f t="shared" si="121"/>
        <v>$ / therm</v>
      </c>
      <c r="D318" s="3080" t="e">
        <f>IF(C318="","",VLOOKUP(C318,ProjectEnergyTypeTable,3,FALSE))</f>
        <v>#NAME?</v>
      </c>
      <c r="E318" s="3086" t="str">
        <f t="shared" ca="1" si="122"/>
        <v/>
      </c>
      <c r="F318" s="3087" t="str">
        <f t="shared" ca="1" si="122"/>
        <v/>
      </c>
      <c r="G318" s="3087" t="str">
        <f t="shared" ca="1" si="122"/>
        <v/>
      </c>
      <c r="H318" s="3086" t="str">
        <f t="shared" ca="1" si="123"/>
        <v/>
      </c>
      <c r="I318" s="3087" t="str">
        <f t="shared" ca="1" si="123"/>
        <v/>
      </c>
      <c r="J318" s="3087" t="str">
        <f t="shared" ca="1" si="123"/>
        <v/>
      </c>
      <c r="K318" s="3084" t="str">
        <f t="shared" ca="1" si="124"/>
        <v/>
      </c>
      <c r="L318" s="3088"/>
      <c r="M318" s="3089"/>
      <c r="Q318" s="627">
        <f t="shared" si="125"/>
        <v>0.1</v>
      </c>
      <c r="R318" s="627">
        <f t="shared" si="126"/>
        <v>0.10500000000000001</v>
      </c>
      <c r="T318" s="627" t="str">
        <f t="shared" ca="1" si="127"/>
        <v/>
      </c>
      <c r="U318" s="627" t="str">
        <f t="shared" ca="1" si="128"/>
        <v/>
      </c>
      <c r="AD318" s="449"/>
      <c r="AE318" s="449"/>
      <c r="AF318" s="253"/>
      <c r="AG318" s="2"/>
      <c r="AH318" s="450"/>
      <c r="AI318" s="451"/>
      <c r="AJ318" s="452"/>
      <c r="AK318" s="2"/>
      <c r="AL318" s="2"/>
      <c r="AM318" s="2"/>
      <c r="AN318" s="2"/>
      <c r="AO318" s="2"/>
      <c r="BC318" s="804"/>
    </row>
    <row r="319" spans="1:55" ht="18" customHeight="1" x14ac:dyDescent="0.25">
      <c r="A319" s="433" t="s">
        <v>1038</v>
      </c>
      <c r="B319" s="577" t="str">
        <f t="shared" si="120"/>
        <v>District Cooling</v>
      </c>
      <c r="C319" s="3079" t="str">
        <f t="shared" si="121"/>
        <v>$ / MWh</v>
      </c>
      <c r="D319" s="3080" t="e">
        <f>IF(C319="","",VLOOKUP(C319,ProjectEnergyTypeTable,3,FALSE))</f>
        <v>#NAME?</v>
      </c>
      <c r="E319" s="3086" t="str">
        <f t="shared" si="122"/>
        <v/>
      </c>
      <c r="F319" s="3087" t="str">
        <f t="shared" si="122"/>
        <v/>
      </c>
      <c r="G319" s="3087" t="str">
        <f t="shared" si="122"/>
        <v/>
      </c>
      <c r="H319" s="3086" t="str">
        <f t="shared" si="123"/>
        <v/>
      </c>
      <c r="I319" s="3087" t="str">
        <f t="shared" si="123"/>
        <v/>
      </c>
      <c r="J319" s="3087" t="str">
        <f t="shared" si="123"/>
        <v/>
      </c>
      <c r="K319" s="3084" t="str">
        <f t="shared" si="124"/>
        <v/>
      </c>
      <c r="L319" s="3088"/>
      <c r="M319" s="3089"/>
      <c r="Q319" s="627">
        <f t="shared" si="125"/>
        <v>3.4119999999999999</v>
      </c>
      <c r="R319" s="627">
        <f t="shared" si="126"/>
        <v>3.4119999999999999</v>
      </c>
      <c r="T319" s="627" t="str">
        <f t="shared" si="127"/>
        <v/>
      </c>
      <c r="U319" s="627" t="str">
        <f t="shared" si="128"/>
        <v/>
      </c>
      <c r="AD319" s="449"/>
      <c r="AE319" s="449"/>
      <c r="AF319" s="253"/>
      <c r="AG319" s="2"/>
      <c r="AH319" s="450"/>
      <c r="AI319" s="451"/>
      <c r="AJ319" s="452"/>
      <c r="AK319" s="2"/>
      <c r="AL319" s="2"/>
      <c r="AM319" s="2"/>
      <c r="AN319" s="2"/>
      <c r="AO319" s="2"/>
      <c r="BC319" s="804"/>
    </row>
    <row r="320" spans="1:55" ht="18" customHeight="1" x14ac:dyDescent="0.25">
      <c r="A320" s="433" t="s">
        <v>1038</v>
      </c>
      <c r="B320" s="577" t="str">
        <f t="shared" si="120"/>
        <v>District Cooling</v>
      </c>
      <c r="C320" s="3079" t="str">
        <f t="shared" si="121"/>
        <v>$ / MWh</v>
      </c>
      <c r="D320" s="3080" t="e">
        <f>IF(C320="","",VLOOKUP(C320,ProjectEnergyTypeTable,3,FALSE))</f>
        <v>#NAME?</v>
      </c>
      <c r="E320" s="3086" t="str">
        <f t="shared" si="122"/>
        <v/>
      </c>
      <c r="F320" s="3087" t="str">
        <f t="shared" si="122"/>
        <v/>
      </c>
      <c r="G320" s="3087" t="str">
        <f t="shared" si="122"/>
        <v/>
      </c>
      <c r="H320" s="3086" t="str">
        <f t="shared" si="123"/>
        <v/>
      </c>
      <c r="I320" s="3087" t="str">
        <f t="shared" si="123"/>
        <v/>
      </c>
      <c r="J320" s="3087" t="str">
        <f t="shared" si="123"/>
        <v/>
      </c>
      <c r="K320" s="3084" t="str">
        <f t="shared" si="124"/>
        <v/>
      </c>
      <c r="L320" s="3088"/>
      <c r="M320" s="3089"/>
      <c r="Q320" s="627">
        <f t="shared" si="125"/>
        <v>3.4119999999999999</v>
      </c>
      <c r="R320" s="627">
        <f t="shared" si="126"/>
        <v>3.4119999999999999</v>
      </c>
      <c r="T320" s="627" t="str">
        <f t="shared" si="127"/>
        <v/>
      </c>
      <c r="U320" s="627" t="str">
        <f t="shared" si="128"/>
        <v/>
      </c>
      <c r="AD320" s="449"/>
      <c r="AE320" s="449"/>
      <c r="AF320" s="253"/>
      <c r="AG320" s="2"/>
      <c r="AH320" s="450"/>
      <c r="AI320" s="451"/>
      <c r="AJ320" s="452"/>
      <c r="AK320" s="2"/>
      <c r="AL320" s="2"/>
      <c r="AM320" s="2"/>
      <c r="AN320" s="2"/>
      <c r="AO320" s="2"/>
      <c r="BC320" s="804"/>
    </row>
    <row r="321" spans="1:55" ht="18" customHeight="1" x14ac:dyDescent="0.25">
      <c r="A321" s="433" t="s">
        <v>1038</v>
      </c>
      <c r="B321" s="577" t="str">
        <f t="shared" si="120"/>
        <v>District Cooling</v>
      </c>
      <c r="C321" s="3079" t="str">
        <f t="shared" si="121"/>
        <v>$ / MWh</v>
      </c>
      <c r="D321" s="3080" t="e">
        <f>IF(C321="","",VLOOKUP(C321,ProjectEnergyTypeTable,3,FALSE))</f>
        <v>#NAME?</v>
      </c>
      <c r="E321" s="3086" t="str">
        <f t="shared" si="122"/>
        <v/>
      </c>
      <c r="F321" s="3087" t="str">
        <f t="shared" si="122"/>
        <v/>
      </c>
      <c r="G321" s="3087" t="str">
        <f t="shared" si="122"/>
        <v/>
      </c>
      <c r="H321" s="3086" t="str">
        <f t="shared" si="123"/>
        <v/>
      </c>
      <c r="I321" s="3087" t="str">
        <f t="shared" si="123"/>
        <v/>
      </c>
      <c r="J321" s="3087" t="str">
        <f t="shared" si="123"/>
        <v/>
      </c>
      <c r="K321" s="3084" t="str">
        <f t="shared" si="124"/>
        <v/>
      </c>
      <c r="L321" s="3088"/>
      <c r="M321" s="3089"/>
      <c r="Q321" s="627">
        <f t="shared" si="125"/>
        <v>3.4119999999999999</v>
      </c>
      <c r="R321" s="627">
        <f t="shared" si="126"/>
        <v>3.4119999999999999</v>
      </c>
      <c r="T321" s="627" t="str">
        <f t="shared" si="127"/>
        <v/>
      </c>
      <c r="U321" s="627" t="str">
        <f t="shared" si="128"/>
        <v/>
      </c>
      <c r="AD321" s="449"/>
      <c r="AE321" s="449"/>
      <c r="AF321" s="253"/>
      <c r="AG321" s="2"/>
      <c r="AH321" s="450"/>
      <c r="AI321" s="451"/>
      <c r="AJ321" s="452"/>
      <c r="AK321" s="2"/>
      <c r="AL321" s="2"/>
      <c r="AM321" s="2"/>
      <c r="AN321" s="2"/>
      <c r="AO321" s="2"/>
      <c r="BC321" s="804"/>
    </row>
    <row r="322" spans="1:55" ht="18" customHeight="1" x14ac:dyDescent="0.25">
      <c r="A322" s="433" t="s">
        <v>1038</v>
      </c>
      <c r="B322" s="577" t="str">
        <f t="shared" si="120"/>
        <v>District Cooling</v>
      </c>
      <c r="C322" s="3079" t="str">
        <f t="shared" si="121"/>
        <v>$ / MWh</v>
      </c>
      <c r="D322" s="3080" t="e">
        <f>IF(C322="","",VLOOKUP(C322,ProjectEnergyTypeTable,3,FALSE))</f>
        <v>#NAME?</v>
      </c>
      <c r="E322" s="3086" t="str">
        <f t="shared" si="122"/>
        <v/>
      </c>
      <c r="F322" s="3087" t="str">
        <f t="shared" si="122"/>
        <v/>
      </c>
      <c r="G322" s="3087" t="str">
        <f t="shared" si="122"/>
        <v/>
      </c>
      <c r="H322" s="3086" t="str">
        <f t="shared" si="123"/>
        <v/>
      </c>
      <c r="I322" s="3087" t="str">
        <f t="shared" si="123"/>
        <v/>
      </c>
      <c r="J322" s="3087" t="str">
        <f t="shared" si="123"/>
        <v/>
      </c>
      <c r="K322" s="3084" t="str">
        <f t="shared" si="124"/>
        <v/>
      </c>
      <c r="L322" s="3088"/>
      <c r="M322" s="3089"/>
      <c r="Q322" s="627">
        <f t="shared" si="125"/>
        <v>3.4119999999999999</v>
      </c>
      <c r="R322" s="627">
        <f t="shared" si="126"/>
        <v>3.4119999999999999</v>
      </c>
      <c r="T322" s="627" t="str">
        <f t="shared" si="127"/>
        <v/>
      </c>
      <c r="U322" s="627" t="str">
        <f t="shared" si="128"/>
        <v/>
      </c>
      <c r="AD322" s="449"/>
      <c r="AE322" s="449"/>
      <c r="AF322" s="253"/>
      <c r="AG322" s="2"/>
      <c r="AH322" s="450"/>
      <c r="AI322" s="451"/>
      <c r="AJ322" s="452"/>
      <c r="AK322" s="2"/>
      <c r="AL322" s="2"/>
      <c r="AM322" s="2"/>
      <c r="AN322" s="2"/>
      <c r="AO322" s="2"/>
      <c r="BC322" s="804"/>
    </row>
    <row r="323" spans="1:55" ht="18" customHeight="1" x14ac:dyDescent="0.25">
      <c r="A323" s="433" t="s">
        <v>1038</v>
      </c>
      <c r="B323" s="577" t="str">
        <f t="shared" si="120"/>
        <v>District Cooling</v>
      </c>
      <c r="C323" s="3079" t="str">
        <f t="shared" si="121"/>
        <v>$ / MWh</v>
      </c>
      <c r="D323" s="3080" t="e">
        <f>IF(C323="","",VLOOKUP(C323,ProjectEnergyTypeTable,3,FALSE))</f>
        <v>#NAME?</v>
      </c>
      <c r="E323" s="3086" t="str">
        <f t="shared" si="122"/>
        <v/>
      </c>
      <c r="F323" s="3087" t="str">
        <f t="shared" si="122"/>
        <v/>
      </c>
      <c r="G323" s="3087" t="str">
        <f t="shared" si="122"/>
        <v/>
      </c>
      <c r="H323" s="3086" t="str">
        <f t="shared" si="123"/>
        <v/>
      </c>
      <c r="I323" s="3087" t="str">
        <f t="shared" si="123"/>
        <v/>
      </c>
      <c r="J323" s="3087" t="str">
        <f t="shared" si="123"/>
        <v/>
      </c>
      <c r="K323" s="3084" t="str">
        <f t="shared" ref="K323:K324" si="129">IFERROR(ABS(1-H323/E323),"")</f>
        <v/>
      </c>
      <c r="L323" s="3088"/>
      <c r="M323" s="3089"/>
      <c r="Q323" s="627">
        <f t="shared" si="125"/>
        <v>3.4119999999999999</v>
      </c>
      <c r="R323" s="627">
        <f t="shared" si="126"/>
        <v>3.4119999999999999</v>
      </c>
      <c r="T323" s="627" t="str">
        <f t="shared" si="127"/>
        <v/>
      </c>
      <c r="U323" s="627" t="str">
        <f t="shared" si="128"/>
        <v/>
      </c>
      <c r="AD323" s="449"/>
      <c r="AE323" s="449"/>
      <c r="AF323" s="253"/>
      <c r="AG323" s="2"/>
      <c r="AH323" s="450"/>
      <c r="AI323" s="451"/>
      <c r="AJ323" s="452"/>
      <c r="AK323" s="2"/>
      <c r="AL323" s="2"/>
      <c r="AM323" s="2"/>
      <c r="AN323" s="2"/>
      <c r="AO323" s="2"/>
      <c r="BC323" s="804"/>
    </row>
    <row r="324" spans="1:55" ht="18" customHeight="1" x14ac:dyDescent="0.25">
      <c r="A324" s="433" t="s">
        <v>1038</v>
      </c>
      <c r="B324" s="577" t="str">
        <f t="shared" si="120"/>
        <v>District Cooling</v>
      </c>
      <c r="C324" s="3079" t="str">
        <f t="shared" si="121"/>
        <v>$ / MWh</v>
      </c>
      <c r="D324" s="3080" t="e">
        <f>IF(C324="","",VLOOKUP(C324,ProjectEnergyTypeTable,3,FALSE))</f>
        <v>#NAME?</v>
      </c>
      <c r="E324" s="3086" t="str">
        <f t="shared" si="122"/>
        <v/>
      </c>
      <c r="F324" s="3087" t="str">
        <f t="shared" si="122"/>
        <v/>
      </c>
      <c r="G324" s="3087" t="str">
        <f t="shared" si="122"/>
        <v/>
      </c>
      <c r="H324" s="3086" t="str">
        <f t="shared" si="123"/>
        <v/>
      </c>
      <c r="I324" s="3087" t="str">
        <f t="shared" si="123"/>
        <v/>
      </c>
      <c r="J324" s="3087" t="str">
        <f t="shared" si="123"/>
        <v/>
      </c>
      <c r="K324" s="3084" t="str">
        <f t="shared" si="129"/>
        <v/>
      </c>
      <c r="L324" s="3088"/>
      <c r="M324" s="3089"/>
      <c r="Q324" s="627">
        <f t="shared" si="125"/>
        <v>3.4119999999999999</v>
      </c>
      <c r="R324" s="627">
        <f t="shared" si="126"/>
        <v>3.4119999999999999</v>
      </c>
      <c r="T324" s="627" t="str">
        <f t="shared" si="127"/>
        <v/>
      </c>
      <c r="U324" s="627" t="str">
        <f t="shared" si="128"/>
        <v/>
      </c>
      <c r="AD324" s="449"/>
      <c r="AE324" s="449"/>
      <c r="AF324" s="253"/>
      <c r="AG324" s="2"/>
      <c r="AH324" s="450"/>
      <c r="AI324" s="451"/>
      <c r="AJ324" s="452"/>
      <c r="AK324" s="2"/>
      <c r="AL324" s="2"/>
      <c r="AM324" s="2"/>
      <c r="AN324" s="2"/>
      <c r="AO324" s="2"/>
      <c r="BC324" s="804"/>
    </row>
    <row r="325" spans="1:55" ht="18" customHeight="1" x14ac:dyDescent="0.25">
      <c r="A325" s="433" t="s">
        <v>1038</v>
      </c>
      <c r="B325" s="577" t="str">
        <f t="shared" si="120"/>
        <v>District Cooling</v>
      </c>
      <c r="C325" s="3079" t="str">
        <f t="shared" si="121"/>
        <v>$ / MWh</v>
      </c>
      <c r="D325" s="3080" t="e">
        <f>IF(C325="","",VLOOKUP(C325,ProjectEnergyTypeTable,3,FALSE))</f>
        <v>#NAME?</v>
      </c>
      <c r="E325" s="3086" t="str">
        <f t="shared" si="122"/>
        <v/>
      </c>
      <c r="F325" s="3087" t="str">
        <f t="shared" si="122"/>
        <v/>
      </c>
      <c r="G325" s="3087" t="str">
        <f t="shared" si="122"/>
        <v/>
      </c>
      <c r="H325" s="3086" t="str">
        <f t="shared" si="123"/>
        <v/>
      </c>
      <c r="I325" s="3087" t="str">
        <f t="shared" si="123"/>
        <v/>
      </c>
      <c r="J325" s="3087" t="str">
        <f t="shared" si="123"/>
        <v/>
      </c>
      <c r="K325" s="3084" t="str">
        <f t="shared" ref="K325" si="130">IFERROR(ABS(1-H325/E325),"")</f>
        <v/>
      </c>
      <c r="L325" s="3088"/>
      <c r="M325" s="3089"/>
      <c r="Q325" s="627">
        <f t="shared" si="125"/>
        <v>3.4119999999999999</v>
      </c>
      <c r="R325" s="627">
        <f t="shared" si="126"/>
        <v>3.4119999999999999</v>
      </c>
      <c r="T325" s="627" t="str">
        <f t="shared" si="127"/>
        <v/>
      </c>
      <c r="U325" s="627" t="str">
        <f t="shared" si="128"/>
        <v/>
      </c>
      <c r="AD325" s="449"/>
      <c r="AE325" s="449"/>
      <c r="AF325" s="253"/>
      <c r="AG325" s="2"/>
      <c r="AH325" s="450"/>
      <c r="AI325" s="451"/>
      <c r="AJ325" s="452"/>
      <c r="AK325" s="2"/>
      <c r="AL325" s="2"/>
      <c r="AM325" s="2"/>
      <c r="AN325" s="2"/>
      <c r="AO325" s="2"/>
      <c r="BC325" s="804"/>
    </row>
    <row r="326" spans="1:55" ht="18" customHeight="1" x14ac:dyDescent="0.25">
      <c r="A326" s="433" t="s">
        <v>1038</v>
      </c>
      <c r="B326" s="577" t="str">
        <f t="shared" si="120"/>
        <v>District Cooling</v>
      </c>
      <c r="C326" s="3079" t="str">
        <f t="shared" si="121"/>
        <v>$ / MWh</v>
      </c>
      <c r="D326" s="3080" t="e">
        <f>IF(C326="","",VLOOKUP(C326,ProjectEnergyTypeTable,3,FALSE))</f>
        <v>#NAME?</v>
      </c>
      <c r="E326" s="3086" t="str">
        <f t="shared" si="122"/>
        <v/>
      </c>
      <c r="F326" s="3087" t="str">
        <f t="shared" si="122"/>
        <v/>
      </c>
      <c r="G326" s="3087" t="str">
        <f t="shared" si="122"/>
        <v/>
      </c>
      <c r="H326" s="3086" t="str">
        <f t="shared" si="123"/>
        <v/>
      </c>
      <c r="I326" s="3087" t="str">
        <f t="shared" si="123"/>
        <v/>
      </c>
      <c r="J326" s="3087" t="str">
        <f t="shared" si="123"/>
        <v/>
      </c>
      <c r="K326" s="3084" t="str">
        <f t="shared" ref="K326" si="131">IFERROR(ABS(1-H326/E326),"")</f>
        <v/>
      </c>
      <c r="L326" s="3088"/>
      <c r="M326" s="3089"/>
      <c r="Q326" s="627">
        <f t="shared" si="125"/>
        <v>3.4119999999999999</v>
      </c>
      <c r="R326" s="627">
        <f t="shared" si="126"/>
        <v>3.4119999999999999</v>
      </c>
      <c r="T326" s="627" t="str">
        <f t="shared" si="127"/>
        <v/>
      </c>
      <c r="U326" s="627" t="str">
        <f t="shared" si="128"/>
        <v/>
      </c>
      <c r="AD326" s="449"/>
      <c r="AE326" s="449"/>
      <c r="AF326" s="253"/>
      <c r="AG326" s="2"/>
      <c r="AH326" s="450"/>
      <c r="AI326" s="451"/>
      <c r="AJ326" s="452"/>
      <c r="AK326" s="2"/>
      <c r="AL326" s="2"/>
      <c r="AM326" s="2"/>
      <c r="AN326" s="2"/>
      <c r="AO326" s="2"/>
      <c r="BC326" s="804"/>
    </row>
    <row r="327" spans="1:55" ht="18" customHeight="1" x14ac:dyDescent="0.25">
      <c r="A327" s="433" t="s">
        <v>1038</v>
      </c>
      <c r="B327" s="577" t="str">
        <f t="shared" si="120"/>
        <v>District Cooling</v>
      </c>
      <c r="C327" s="3079" t="str">
        <f t="shared" si="121"/>
        <v>$ / MWh</v>
      </c>
      <c r="D327" s="3080" t="e">
        <f>IF(C327="","",VLOOKUP(C327,ProjectEnergyTypeTable,3,FALSE))</f>
        <v>#NAME?</v>
      </c>
      <c r="E327" s="3086" t="str">
        <f t="shared" si="122"/>
        <v/>
      </c>
      <c r="F327" s="3087" t="str">
        <f t="shared" si="122"/>
        <v/>
      </c>
      <c r="G327" s="3087" t="str">
        <f t="shared" si="122"/>
        <v/>
      </c>
      <c r="H327" s="3086" t="str">
        <f t="shared" si="123"/>
        <v/>
      </c>
      <c r="I327" s="3087" t="str">
        <f t="shared" si="123"/>
        <v/>
      </c>
      <c r="J327" s="3087" t="str">
        <f t="shared" si="123"/>
        <v/>
      </c>
      <c r="K327" s="3084" t="str">
        <f t="shared" ref="K327" si="132">IFERROR(ABS(1-H327/E327),"")</f>
        <v/>
      </c>
      <c r="L327" s="3088"/>
      <c r="M327" s="3089"/>
      <c r="Q327" s="627">
        <f t="shared" si="125"/>
        <v>3.4119999999999999</v>
      </c>
      <c r="R327" s="627">
        <f t="shared" si="126"/>
        <v>3.4119999999999999</v>
      </c>
      <c r="T327" s="627" t="str">
        <f t="shared" si="127"/>
        <v/>
      </c>
      <c r="U327" s="627" t="str">
        <f t="shared" si="128"/>
        <v/>
      </c>
      <c r="AD327" s="449"/>
      <c r="AE327" s="449"/>
      <c r="AF327" s="253"/>
      <c r="AG327" s="2"/>
      <c r="AH327" s="450"/>
      <c r="AI327" s="451"/>
      <c r="AJ327" s="452"/>
      <c r="AK327" s="2"/>
      <c r="AL327" s="2"/>
      <c r="AM327" s="2"/>
      <c r="AN327" s="2"/>
      <c r="AO327" s="2"/>
      <c r="BC327" s="804"/>
    </row>
    <row r="328" spans="1:55" ht="18" customHeight="1" x14ac:dyDescent="0.25">
      <c r="A328" s="433" t="s">
        <v>1038</v>
      </c>
      <c r="B328" s="577" t="str">
        <f t="shared" si="120"/>
        <v>District Cooling</v>
      </c>
      <c r="C328" s="3079" t="str">
        <f t="shared" si="121"/>
        <v>$ / MWh</v>
      </c>
      <c r="D328" s="3080" t="e">
        <f>IF(C328="","",VLOOKUP(C328,ProjectEnergyTypeTable,3,FALSE))</f>
        <v>#NAME?</v>
      </c>
      <c r="E328" s="3086" t="str">
        <f t="shared" si="122"/>
        <v/>
      </c>
      <c r="F328" s="3087" t="str">
        <f t="shared" si="122"/>
        <v/>
      </c>
      <c r="G328" s="3087" t="str">
        <f t="shared" si="122"/>
        <v/>
      </c>
      <c r="H328" s="3086" t="str">
        <f t="shared" si="123"/>
        <v/>
      </c>
      <c r="I328" s="3087" t="str">
        <f t="shared" si="123"/>
        <v/>
      </c>
      <c r="J328" s="3087" t="str">
        <f t="shared" si="123"/>
        <v/>
      </c>
      <c r="K328" s="3084" t="str">
        <f t="shared" ref="K328" si="133">IFERROR(ABS(1-H328/E328),"")</f>
        <v/>
      </c>
      <c r="L328" s="3088"/>
      <c r="M328" s="3089"/>
      <c r="Q328" s="627">
        <f t="shared" si="125"/>
        <v>3.4119999999999999</v>
      </c>
      <c r="R328" s="627">
        <f t="shared" si="126"/>
        <v>3.4119999999999999</v>
      </c>
      <c r="T328" s="627" t="str">
        <f t="shared" si="127"/>
        <v/>
      </c>
      <c r="U328" s="627" t="str">
        <f t="shared" si="128"/>
        <v/>
      </c>
      <c r="AD328" s="449"/>
      <c r="AE328" s="449"/>
      <c r="AF328" s="253"/>
      <c r="AG328" s="2"/>
      <c r="AH328" s="450"/>
      <c r="AI328" s="451"/>
      <c r="AJ328" s="452"/>
      <c r="AK328" s="2"/>
      <c r="AL328" s="2"/>
      <c r="AM328" s="2"/>
      <c r="AN328" s="2"/>
      <c r="AO328" s="2"/>
      <c r="BC328" s="804"/>
    </row>
    <row r="329" spans="1:55" ht="18" customHeight="1" x14ac:dyDescent="0.25">
      <c r="A329" s="433" t="s">
        <v>1038</v>
      </c>
      <c r="B329" s="577" t="str">
        <f t="shared" ref="B329:B331" si="134">IFERROR(IF(ISBLANK(B29),"",B29),"")</f>
        <v>District Cooling</v>
      </c>
      <c r="C329" s="3079" t="str">
        <f t="shared" si="121"/>
        <v>$ / MWh</v>
      </c>
      <c r="D329" s="3080" t="e">
        <f>IF(C329="","",VLOOKUP(C329,ProjectEnergyTypeTable,3,FALSE))</f>
        <v>#NAME?</v>
      </c>
      <c r="E329" s="3086" t="str">
        <f t="shared" si="122"/>
        <v/>
      </c>
      <c r="F329" s="3087" t="str">
        <f t="shared" si="122"/>
        <v/>
      </c>
      <c r="G329" s="3087" t="str">
        <f t="shared" si="122"/>
        <v/>
      </c>
      <c r="H329" s="3086" t="str">
        <f t="shared" si="123"/>
        <v/>
      </c>
      <c r="I329" s="3087" t="str">
        <f t="shared" si="123"/>
        <v/>
      </c>
      <c r="J329" s="3087" t="str">
        <f t="shared" si="123"/>
        <v/>
      </c>
      <c r="K329" s="3084" t="str">
        <f t="shared" ref="K329:K331" si="135">IFERROR(ABS(1-H329/E329),"")</f>
        <v/>
      </c>
      <c r="L329" s="3088"/>
      <c r="M329" s="3089"/>
      <c r="Q329" s="627">
        <f t="shared" si="125"/>
        <v>3.4119999999999999</v>
      </c>
      <c r="R329" s="627">
        <f t="shared" si="126"/>
        <v>3.4119999999999999</v>
      </c>
      <c r="T329" s="627" t="str">
        <f t="shared" si="127"/>
        <v/>
      </c>
      <c r="U329" s="627" t="str">
        <f t="shared" si="128"/>
        <v/>
      </c>
      <c r="AD329" s="449"/>
      <c r="AE329" s="449"/>
      <c r="AF329" s="253"/>
      <c r="AG329" s="2"/>
      <c r="AH329" s="450"/>
      <c r="AI329" s="451"/>
      <c r="AJ329" s="452"/>
      <c r="AK329" s="2"/>
      <c r="AL329" s="2"/>
      <c r="AM329" s="2"/>
      <c r="AN329" s="2"/>
      <c r="AO329" s="2"/>
      <c r="BC329" s="804"/>
    </row>
    <row r="330" spans="1:55" ht="18" customHeight="1" x14ac:dyDescent="0.25">
      <c r="A330" s="433" t="s">
        <v>1038</v>
      </c>
      <c r="B330" s="577" t="str">
        <f t="shared" si="134"/>
        <v>District Cooling</v>
      </c>
      <c r="C330" s="3079" t="str">
        <f t="shared" si="121"/>
        <v>$ / MWh</v>
      </c>
      <c r="D330" s="3080" t="e">
        <f>IF(C330="","",VLOOKUP(C330,ProjectEnergyTypeTable,3,FALSE))</f>
        <v>#NAME?</v>
      </c>
      <c r="E330" s="3086" t="str">
        <f t="shared" si="122"/>
        <v/>
      </c>
      <c r="F330" s="3087" t="str">
        <f t="shared" si="122"/>
        <v/>
      </c>
      <c r="G330" s="3087" t="str">
        <f t="shared" si="122"/>
        <v/>
      </c>
      <c r="H330" s="3086" t="str">
        <f t="shared" si="123"/>
        <v/>
      </c>
      <c r="I330" s="3087" t="str">
        <f t="shared" si="123"/>
        <v/>
      </c>
      <c r="J330" s="3087" t="str">
        <f t="shared" si="123"/>
        <v/>
      </c>
      <c r="K330" s="3084" t="str">
        <f t="shared" si="135"/>
        <v/>
      </c>
      <c r="L330" s="3088"/>
      <c r="M330" s="3089"/>
      <c r="Q330" s="627">
        <f t="shared" si="125"/>
        <v>3.4119999999999999</v>
      </c>
      <c r="R330" s="627">
        <f t="shared" si="126"/>
        <v>3.4119999999999999</v>
      </c>
      <c r="T330" s="627" t="str">
        <f t="shared" si="127"/>
        <v/>
      </c>
      <c r="U330" s="627" t="str">
        <f t="shared" si="128"/>
        <v/>
      </c>
      <c r="AD330" s="449"/>
      <c r="AE330" s="449"/>
      <c r="AF330" s="253"/>
      <c r="AG330" s="2"/>
      <c r="AH330" s="450"/>
      <c r="AI330" s="451"/>
      <c r="AJ330" s="452"/>
      <c r="AK330" s="2"/>
      <c r="AL330" s="2"/>
      <c r="AM330" s="2"/>
      <c r="AN330" s="2"/>
      <c r="AO330" s="2"/>
      <c r="BC330" s="804"/>
    </row>
    <row r="331" spans="1:55" ht="18" customHeight="1" x14ac:dyDescent="0.25">
      <c r="A331" s="433" t="s">
        <v>1038</v>
      </c>
      <c r="B331" s="577" t="str">
        <f t="shared" si="134"/>
        <v>District Cooling</v>
      </c>
      <c r="C331" s="3079" t="str">
        <f t="shared" si="121"/>
        <v>$ / MWh</v>
      </c>
      <c r="D331" s="3080" t="e">
        <f>IF(C331="","",VLOOKUP(C331,ProjectEnergyTypeTable,3,FALSE))</f>
        <v>#NAME?</v>
      </c>
      <c r="E331" s="3086" t="str">
        <f t="shared" si="122"/>
        <v/>
      </c>
      <c r="F331" s="3087" t="str">
        <f t="shared" si="122"/>
        <v/>
      </c>
      <c r="G331" s="3087" t="str">
        <f t="shared" si="122"/>
        <v/>
      </c>
      <c r="H331" s="3086" t="str">
        <f t="shared" si="123"/>
        <v/>
      </c>
      <c r="I331" s="3087" t="str">
        <f t="shared" si="123"/>
        <v/>
      </c>
      <c r="J331" s="3087" t="str">
        <f t="shared" si="123"/>
        <v/>
      </c>
      <c r="K331" s="3084" t="str">
        <f t="shared" si="135"/>
        <v/>
      </c>
      <c r="L331" s="3088"/>
      <c r="M331" s="3089"/>
      <c r="Q331" s="627">
        <f t="shared" si="125"/>
        <v>3.4119999999999999</v>
      </c>
      <c r="R331" s="627">
        <f t="shared" si="126"/>
        <v>3.4119999999999999</v>
      </c>
      <c r="T331" s="627" t="str">
        <f t="shared" si="127"/>
        <v/>
      </c>
      <c r="U331" s="627" t="str">
        <f t="shared" si="128"/>
        <v/>
      </c>
      <c r="AD331" s="449"/>
      <c r="AE331" s="449"/>
      <c r="AF331" s="253"/>
      <c r="AG331" s="2"/>
      <c r="AH331" s="450"/>
      <c r="AI331" s="451"/>
      <c r="AJ331" s="452"/>
      <c r="AK331" s="2"/>
      <c r="AL331" s="2"/>
      <c r="AM331" s="2"/>
      <c r="AN331" s="2"/>
      <c r="AO331" s="2"/>
      <c r="BC331" s="804"/>
    </row>
    <row r="332" spans="1:55" s="245" customFormat="1" ht="31.5" customHeight="1" x14ac:dyDescent="0.25">
      <c r="A332" s="433" t="s">
        <v>1038</v>
      </c>
      <c r="B332" s="249"/>
      <c r="C332" s="249"/>
      <c r="D332" s="249"/>
      <c r="E332" s="250"/>
      <c r="F332" s="250"/>
      <c r="G332" s="294"/>
      <c r="H332" s="250"/>
      <c r="I332" s="250"/>
      <c r="J332" s="294"/>
      <c r="K332" s="335"/>
      <c r="L332" s="332"/>
      <c r="M332" s="332"/>
      <c r="N332" s="235"/>
      <c r="O332" s="235"/>
      <c r="P332" s="235"/>
      <c r="AD332" s="2"/>
      <c r="AE332" s="2"/>
      <c r="AF332" s="2"/>
      <c r="AG332" s="2"/>
      <c r="AH332" s="450"/>
      <c r="AI332" s="451"/>
      <c r="AJ332" s="2"/>
      <c r="AK332" s="2"/>
      <c r="AL332" s="2"/>
      <c r="AM332" s="2"/>
      <c r="AN332" s="2"/>
      <c r="AO332" s="2"/>
    </row>
    <row r="333" spans="1:55" ht="21" customHeight="1" x14ac:dyDescent="0.25">
      <c r="A333" s="433" t="s">
        <v>1038</v>
      </c>
      <c r="B333" s="3219" t="s">
        <v>1016</v>
      </c>
      <c r="C333" s="3220"/>
      <c r="D333" s="3220"/>
      <c r="E333" s="3220"/>
      <c r="F333" s="3220"/>
      <c r="G333" s="3220"/>
      <c r="H333" s="3220"/>
      <c r="I333" s="3220"/>
      <c r="J333" s="3220"/>
      <c r="K333" s="3220"/>
      <c r="L333" s="3220"/>
      <c r="Z333" s="267"/>
      <c r="AA333" s="268"/>
      <c r="AD333" s="2"/>
      <c r="AE333" s="2"/>
      <c r="AF333" s="2"/>
      <c r="AG333" s="2"/>
      <c r="AH333" s="2"/>
      <c r="AI333" s="2"/>
      <c r="AJ333" s="2"/>
      <c r="AK333" s="2"/>
      <c r="AL333" s="2"/>
      <c r="AM333" s="2"/>
      <c r="AN333" s="2"/>
      <c r="AO333" s="2"/>
    </row>
    <row r="334" spans="1:55" ht="41.25" customHeight="1" x14ac:dyDescent="0.25">
      <c r="A334" s="433" t="s">
        <v>1038</v>
      </c>
      <c r="B334" s="3138" t="s">
        <v>354</v>
      </c>
      <c r="C334" s="3139" t="s">
        <v>1436</v>
      </c>
      <c r="D334" s="3102"/>
      <c r="E334" s="3101" t="s">
        <v>1017</v>
      </c>
      <c r="F334" s="3101"/>
      <c r="G334" s="3101"/>
      <c r="H334" s="3100" t="s">
        <v>941</v>
      </c>
      <c r="I334" s="3100"/>
      <c r="J334" s="3100"/>
      <c r="K334" s="3215" t="s">
        <v>358</v>
      </c>
      <c r="L334" s="3145"/>
      <c r="M334" s="3216"/>
      <c r="N334" s="3190"/>
      <c r="O334" s="3190"/>
      <c r="P334" s="3190"/>
      <c r="AD334" s="2"/>
      <c r="AE334" s="2"/>
      <c r="AF334" s="2"/>
      <c r="AG334" s="2"/>
      <c r="AH334" s="450"/>
      <c r="AI334" s="451"/>
      <c r="AJ334" s="2"/>
      <c r="AK334" s="2"/>
      <c r="AL334" s="2"/>
      <c r="AM334" s="2"/>
      <c r="AN334" s="2"/>
      <c r="AO334" s="2"/>
    </row>
    <row r="335" spans="1:55" ht="63" customHeight="1" x14ac:dyDescent="0.25">
      <c r="A335" s="433" t="s">
        <v>1038</v>
      </c>
      <c r="B335" s="3102"/>
      <c r="C335" s="3102"/>
      <c r="D335" s="3102"/>
      <c r="E335" s="582" t="s">
        <v>902</v>
      </c>
      <c r="F335" s="584" t="str">
        <f>"Source Energy Use 
("  &amp; PO_SourceUnits &amp; ")"</f>
        <v>Source Energy Use 
(Btu x 10^6)</v>
      </c>
      <c r="G335" s="582" t="s">
        <v>356</v>
      </c>
      <c r="H335" s="582" t="s">
        <v>902</v>
      </c>
      <c r="I335" s="584" t="str">
        <f>"Source Energy Use 
("  &amp; PO_SourceUnits &amp; ")"</f>
        <v>Source Energy Use 
(Btu x 10^6)</v>
      </c>
      <c r="J335" s="582" t="s">
        <v>356</v>
      </c>
      <c r="K335" s="3215" t="s">
        <v>357</v>
      </c>
      <c r="L335" s="3216"/>
      <c r="M335" s="582" t="s">
        <v>356</v>
      </c>
      <c r="N335" s="334"/>
      <c r="O335" s="334"/>
      <c r="P335" s="334"/>
      <c r="AD335" s="2"/>
      <c r="AE335" s="2"/>
      <c r="AF335" s="2"/>
      <c r="AG335" s="2"/>
      <c r="AH335" s="2"/>
      <c r="AI335" s="2"/>
      <c r="AJ335" s="2"/>
      <c r="AK335" s="2"/>
      <c r="AL335" s="2"/>
      <c r="AM335" s="2"/>
      <c r="AN335" s="2"/>
      <c r="AO335" s="2"/>
    </row>
    <row r="336" spans="1:55" s="446" customFormat="1" ht="21.75" hidden="1" customHeight="1" x14ac:dyDescent="0.25">
      <c r="A336" s="433" t="s">
        <v>1038</v>
      </c>
      <c r="B336" s="461" t="s">
        <v>1396</v>
      </c>
      <c r="C336" s="461" t="s">
        <v>1424</v>
      </c>
      <c r="D336" s="461"/>
      <c r="E336" s="469" t="s">
        <v>1452</v>
      </c>
      <c r="F336" s="468" t="s">
        <v>1453</v>
      </c>
      <c r="G336" s="469" t="s">
        <v>1454</v>
      </c>
      <c r="H336" s="469" t="s">
        <v>1437</v>
      </c>
      <c r="I336" s="468" t="s">
        <v>1438</v>
      </c>
      <c r="J336" s="469" t="s">
        <v>1439</v>
      </c>
      <c r="K336" s="462" t="s">
        <v>1440</v>
      </c>
      <c r="L336" s="461"/>
      <c r="M336" s="462" t="s">
        <v>1441</v>
      </c>
      <c r="N336" s="445"/>
      <c r="Q336" s="415" t="s">
        <v>1407</v>
      </c>
      <c r="R336" s="415" t="s">
        <v>1408</v>
      </c>
      <c r="AD336" s="447"/>
      <c r="AE336" s="447"/>
      <c r="AF336" s="447"/>
      <c r="AG336" s="447"/>
      <c r="AH336" s="447"/>
      <c r="AI336" s="447"/>
      <c r="AJ336" s="447"/>
      <c r="AK336" s="447"/>
      <c r="AL336" s="447"/>
      <c r="AM336" s="447"/>
      <c r="AN336" s="447"/>
      <c r="AO336" s="447"/>
    </row>
    <row r="337" spans="1:55" ht="15" customHeight="1" x14ac:dyDescent="0.25">
      <c r="A337" s="433" t="s">
        <v>1038</v>
      </c>
      <c r="B337" s="577" t="str">
        <f t="shared" ref="B337:B348" si="136">IFERROR(IF(ISBLANK(B17),"",B17),"")</f>
        <v>Electricity</v>
      </c>
      <c r="C337" s="3079" t="str">
        <f t="shared" ref="C337:C351" si="137">IFERROR(IF(ISBLANK($B337),"",VLOOKUP($B337,PO_Enrgy_1_Table,MATCH($C$16,PO_Enrgy_1_Hdr,0),FALSE) ),"")</f>
        <v>kWh</v>
      </c>
      <c r="D337" s="3080" t="e">
        <f>IF(C337="","",VLOOKUP(C337,ProjectEnergyTypeTable,3,FALSE))</f>
        <v>#NAME?</v>
      </c>
      <c r="E337" s="527">
        <f t="shared" ref="E337:E351" ca="1" si="138">IFERROR(VLOOKUP($B337,PO_Enrgy_7_Table,MATCH($E$295,PO_Enrgy_7_Hdr,0),FALSE)+IF(PO_ShowExCalc=TRUE,VLOOKUP($B337,PO_Enrgy_3_Table,MATCH($G$86,PO_Enrgy_3_Hdr,0),FALSE),0),0)</f>
        <v>0</v>
      </c>
      <c r="F337" s="527">
        <f t="shared" ref="F337:F351" ca="1" si="139">IFERROR(VLOOKUP($B337,PO_Enrgy_7_Table,MATCH($F$295,PO_Enrgy_7_Hdr,0),FALSE)+IF(PO_ShowExCalc=TRUE,VLOOKUP($B337,PO_Enrgy_3_Table,MATCH($J$86,PO_Enrgy_3_Hdr,0),FALSE),0),0)</f>
        <v>0</v>
      </c>
      <c r="G337" s="529">
        <f t="shared" ref="G337:G351" si="140">IFERROR(VLOOKUP($B337,PO_Enrgy_7_Table,MATCH($G$295,PO_Enrgy_7_Hdr,0),FALSE)+IF(PO_ShowExCalc=TRUE,VLOOKUP($B337,PO_Enrgy_3_Table,MATCH($L$86,PO_Enrgy_3_Hdr,0),FALSE),0),0)</f>
        <v>0</v>
      </c>
      <c r="H337" s="527">
        <f t="shared" ref="H337:H351" ca="1" si="141">IFERROR(VLOOKUP($B337,PO_Enrgy_7_Table,MATCH($H$295,PO_Enrgy_7_Hdr,0),FALSE)-IF(PO_ShowExCalc=TRUE,VLOOKUP($B337,PO_Enrgy_4_Table,MATCH($G$86,PO_Enrgy_3_Hdr,0),FALSE),0),0)</f>
        <v>0</v>
      </c>
      <c r="I337" s="527">
        <f t="shared" ref="I337:I351" ca="1" si="142">IFERROR(VLOOKUP($B337,PO_Enrgy_7_Table,MATCH($I$295,PO_Enrgy_7_Hdr,0),FALSE)-IF(PO_ShowExCalc=TRUE,VLOOKUP($B337,PO_Enrgy_4_Table,MATCH($J$86,PO_Enrgy_3_Hdr,0),FALSE),0),0)</f>
        <v>0</v>
      </c>
      <c r="J337" s="529">
        <f>IFERROR(VLOOKUP($B337,PO_Enrgy_7_Table,MATCH($J$295,PO_Enrgy_7_Hdr,0),FALSE)-IF(PO_ShowExCalc=TRUE,VLOOKUP($B337,PO_Enrgy_4_Table,MATCH($L$86,PO_Enrgy_3_Hdr,0),FALSE),0),0)</f>
        <v>0</v>
      </c>
      <c r="K337" s="3090" t="str">
        <f t="shared" ref="K337:K352" ca="1" si="143">IFERROR(1-H337/E337,"")</f>
        <v/>
      </c>
      <c r="L337" s="3085"/>
      <c r="M337" s="578" t="str">
        <f t="shared" ref="M337:M352" si="144">IFERROR(1-J337/G337,"")</f>
        <v/>
      </c>
      <c r="Q337" s="627">
        <f t="shared" ref="Q337:Q351" si="145">IFERROR(IF(ISBLANK($B337),"",VLOOKUP($B337,PO_Enrgy_1_Table,MATCH($K$16,PO_Enrgy_1_Hdr,0),FALSE)),"")</f>
        <v>3.4120000000000001E-3</v>
      </c>
      <c r="R337" s="627">
        <f t="shared" ref="R337:R351" si="146">IFERROR(IF(ISBLANK($B337),"",VLOOKUP($B337,PO_Enrgy_1_Table,MATCH($M$16,PO_Enrgy_1_Hdr,0),FALSE)),"")</f>
        <v>1.0713680000000001E-2</v>
      </c>
      <c r="AD337" s="449"/>
      <c r="AE337" s="449"/>
      <c r="AF337" s="2"/>
      <c r="AG337" s="2"/>
      <c r="AH337" s="453"/>
      <c r="AI337" s="453"/>
      <c r="AJ337" s="454"/>
      <c r="AK337" s="454"/>
      <c r="AL337" s="2"/>
      <c r="AM337" s="455"/>
      <c r="AN337" s="2"/>
      <c r="AO337" s="2"/>
      <c r="AP337" s="296"/>
      <c r="AQ337" s="296"/>
      <c r="BC337" s="804"/>
    </row>
    <row r="338" spans="1:55" ht="15" customHeight="1" x14ac:dyDescent="0.25">
      <c r="A338" s="433" t="s">
        <v>1038</v>
      </c>
      <c r="B338" s="577" t="str">
        <f t="shared" si="136"/>
        <v>Natural Gas</v>
      </c>
      <c r="C338" s="3079" t="str">
        <f t="shared" si="137"/>
        <v>therm</v>
      </c>
      <c r="D338" s="3080" t="e">
        <f>IF(C338="","",VLOOKUP(C338,ProjectEnergyTypeTable,3,FALSE))</f>
        <v>#NAME?</v>
      </c>
      <c r="E338" s="527">
        <f t="shared" ca="1" si="138"/>
        <v>0</v>
      </c>
      <c r="F338" s="527">
        <f t="shared" ca="1" si="139"/>
        <v>0</v>
      </c>
      <c r="G338" s="529">
        <f t="shared" si="140"/>
        <v>0</v>
      </c>
      <c r="H338" s="527">
        <f t="shared" ca="1" si="141"/>
        <v>0</v>
      </c>
      <c r="I338" s="527">
        <f t="shared" ca="1" si="142"/>
        <v>0</v>
      </c>
      <c r="J338" s="529">
        <f t="shared" ref="J338:J351" si="147">IFERROR(VLOOKUP($B338,PO_Enrgy_7_Table,MATCH($J$295,PO_Enrgy_7_Hdr,0),FALSE)+IF(PO_ShowExCalc=TRUE,VLOOKUP($B338,PO_Enrgy_4_Table,MATCH($L$86,PO_Enrgy_3_Hdr,0),FALSE),0),0)</f>
        <v>0</v>
      </c>
      <c r="K338" s="3090" t="str">
        <f t="shared" ca="1" si="143"/>
        <v/>
      </c>
      <c r="L338" s="3085"/>
      <c r="M338" s="578" t="str">
        <f t="shared" si="144"/>
        <v/>
      </c>
      <c r="Q338" s="627">
        <f t="shared" si="145"/>
        <v>0.1</v>
      </c>
      <c r="R338" s="627">
        <f t="shared" si="146"/>
        <v>0.10500000000000001</v>
      </c>
      <c r="AD338" s="449"/>
      <c r="AE338" s="449"/>
      <c r="AF338" s="2"/>
      <c r="AG338" s="2"/>
      <c r="AH338" s="453"/>
      <c r="AI338" s="453"/>
      <c r="AJ338" s="454"/>
      <c r="AK338" s="454"/>
      <c r="AL338" s="2"/>
      <c r="AM338" s="455"/>
      <c r="AN338" s="2"/>
      <c r="AO338" s="2"/>
      <c r="AP338" s="296"/>
      <c r="AQ338" s="296"/>
      <c r="BC338" s="804"/>
    </row>
    <row r="339" spans="1:55" ht="15" customHeight="1" x14ac:dyDescent="0.25">
      <c r="A339" s="433" t="s">
        <v>1038</v>
      </c>
      <c r="B339" s="577" t="str">
        <f t="shared" si="136"/>
        <v>District Cooling</v>
      </c>
      <c r="C339" s="3079" t="str">
        <f t="shared" si="137"/>
        <v>MWh</v>
      </c>
      <c r="D339" s="3080" t="e">
        <f>IF(C339="","",VLOOKUP(C339,ProjectEnergyTypeTable,3,FALSE))</f>
        <v>#NAME?</v>
      </c>
      <c r="E339" s="527">
        <f t="shared" si="138"/>
        <v>0</v>
      </c>
      <c r="F339" s="527">
        <f t="shared" si="139"/>
        <v>0</v>
      </c>
      <c r="G339" s="529">
        <f t="shared" si="140"/>
        <v>0</v>
      </c>
      <c r="H339" s="527">
        <f t="shared" si="141"/>
        <v>0</v>
      </c>
      <c r="I339" s="527">
        <f t="shared" si="142"/>
        <v>0</v>
      </c>
      <c r="J339" s="529">
        <f t="shared" si="147"/>
        <v>0</v>
      </c>
      <c r="K339" s="3090" t="str">
        <f t="shared" si="143"/>
        <v/>
      </c>
      <c r="L339" s="3085"/>
      <c r="M339" s="578" t="str">
        <f t="shared" si="144"/>
        <v/>
      </c>
      <c r="Q339" s="627">
        <f t="shared" si="145"/>
        <v>3.4119999999999999</v>
      </c>
      <c r="R339" s="627">
        <f t="shared" si="146"/>
        <v>3.4119999999999999</v>
      </c>
      <c r="AD339" s="449"/>
      <c r="AE339" s="449"/>
      <c r="AF339" s="2"/>
      <c r="AG339" s="2"/>
      <c r="AH339" s="453"/>
      <c r="AI339" s="453"/>
      <c r="AJ339" s="454"/>
      <c r="AK339" s="454"/>
      <c r="AL339" s="2"/>
      <c r="AM339" s="455"/>
      <c r="AN339" s="2"/>
      <c r="AO339" s="2"/>
      <c r="AP339" s="296"/>
      <c r="AQ339" s="296"/>
      <c r="BC339" s="804"/>
    </row>
    <row r="340" spans="1:55" ht="15" customHeight="1" x14ac:dyDescent="0.25">
      <c r="A340" s="433" t="s">
        <v>1038</v>
      </c>
      <c r="B340" s="577" t="str">
        <f t="shared" si="136"/>
        <v>District Cooling</v>
      </c>
      <c r="C340" s="3079" t="str">
        <f t="shared" si="137"/>
        <v>MWh</v>
      </c>
      <c r="D340" s="3080" t="e">
        <f>IF(C340="","",VLOOKUP(C340,ProjectEnergyTypeTable,3,FALSE))</f>
        <v>#NAME?</v>
      </c>
      <c r="E340" s="527">
        <f t="shared" si="138"/>
        <v>0</v>
      </c>
      <c r="F340" s="527">
        <f t="shared" si="139"/>
        <v>0</v>
      </c>
      <c r="G340" s="529">
        <f t="shared" si="140"/>
        <v>0</v>
      </c>
      <c r="H340" s="527">
        <f t="shared" si="141"/>
        <v>0</v>
      </c>
      <c r="I340" s="527">
        <f t="shared" si="142"/>
        <v>0</v>
      </c>
      <c r="J340" s="529">
        <f t="shared" si="147"/>
        <v>0</v>
      </c>
      <c r="K340" s="3090" t="str">
        <f t="shared" si="143"/>
        <v/>
      </c>
      <c r="L340" s="3085"/>
      <c r="M340" s="578" t="str">
        <f t="shared" si="144"/>
        <v/>
      </c>
      <c r="Q340" s="627">
        <f t="shared" si="145"/>
        <v>3.4119999999999999</v>
      </c>
      <c r="R340" s="627">
        <f t="shared" si="146"/>
        <v>3.4119999999999999</v>
      </c>
      <c r="AD340" s="449"/>
      <c r="AE340" s="449"/>
      <c r="AF340" s="2"/>
      <c r="AG340" s="2"/>
      <c r="AH340" s="453"/>
      <c r="AI340" s="453"/>
      <c r="AJ340" s="454"/>
      <c r="AK340" s="454"/>
      <c r="AL340" s="2"/>
      <c r="AM340" s="455"/>
      <c r="AN340" s="2"/>
      <c r="AO340" s="2"/>
      <c r="AP340" s="296"/>
      <c r="AQ340" s="296"/>
      <c r="BC340" s="804"/>
    </row>
    <row r="341" spans="1:55" ht="15" customHeight="1" x14ac:dyDescent="0.25">
      <c r="A341" s="433" t="s">
        <v>1038</v>
      </c>
      <c r="B341" s="577" t="str">
        <f t="shared" si="136"/>
        <v>District Cooling</v>
      </c>
      <c r="C341" s="3079" t="str">
        <f t="shared" si="137"/>
        <v>MWh</v>
      </c>
      <c r="D341" s="3080" t="e">
        <f>IF(C341="","",VLOOKUP(C341,ProjectEnergyTypeTable,3,FALSE))</f>
        <v>#NAME?</v>
      </c>
      <c r="E341" s="527">
        <f t="shared" si="138"/>
        <v>0</v>
      </c>
      <c r="F341" s="527">
        <f t="shared" si="139"/>
        <v>0</v>
      </c>
      <c r="G341" s="529">
        <f t="shared" si="140"/>
        <v>0</v>
      </c>
      <c r="H341" s="527">
        <f t="shared" si="141"/>
        <v>0</v>
      </c>
      <c r="I341" s="527">
        <f t="shared" si="142"/>
        <v>0</v>
      </c>
      <c r="J341" s="529">
        <f t="shared" si="147"/>
        <v>0</v>
      </c>
      <c r="K341" s="3090" t="str">
        <f t="shared" si="143"/>
        <v/>
      </c>
      <c r="L341" s="3085"/>
      <c r="M341" s="578" t="str">
        <f t="shared" si="144"/>
        <v/>
      </c>
      <c r="Q341" s="627">
        <f t="shared" si="145"/>
        <v>3.4119999999999999</v>
      </c>
      <c r="R341" s="627">
        <f t="shared" si="146"/>
        <v>3.4119999999999999</v>
      </c>
      <c r="AD341" s="449"/>
      <c r="AE341" s="449"/>
      <c r="AF341" s="2"/>
      <c r="AG341" s="2"/>
      <c r="AH341" s="453"/>
      <c r="AI341" s="453"/>
      <c r="AJ341" s="454"/>
      <c r="AK341" s="454"/>
      <c r="AL341" s="2"/>
      <c r="AM341" s="455"/>
      <c r="AN341" s="2"/>
      <c r="AO341" s="2"/>
      <c r="AP341" s="296"/>
      <c r="AQ341" s="296"/>
      <c r="BC341" s="804"/>
    </row>
    <row r="342" spans="1:55" ht="15" customHeight="1" x14ac:dyDescent="0.25">
      <c r="A342" s="433" t="s">
        <v>1038</v>
      </c>
      <c r="B342" s="577" t="str">
        <f t="shared" si="136"/>
        <v>District Cooling</v>
      </c>
      <c r="C342" s="3079" t="str">
        <f t="shared" si="137"/>
        <v>MWh</v>
      </c>
      <c r="D342" s="3080" t="e">
        <f>IF(C342="","",VLOOKUP(C342,ProjectEnergyTypeTable,3,FALSE))</f>
        <v>#NAME?</v>
      </c>
      <c r="E342" s="527">
        <f t="shared" si="138"/>
        <v>0</v>
      </c>
      <c r="F342" s="527">
        <f t="shared" si="139"/>
        <v>0</v>
      </c>
      <c r="G342" s="529">
        <f t="shared" si="140"/>
        <v>0</v>
      </c>
      <c r="H342" s="527">
        <f t="shared" si="141"/>
        <v>0</v>
      </c>
      <c r="I342" s="527">
        <f t="shared" si="142"/>
        <v>0</v>
      </c>
      <c r="J342" s="529">
        <f t="shared" si="147"/>
        <v>0</v>
      </c>
      <c r="K342" s="3090" t="str">
        <f t="shared" ref="K342" si="148">IFERROR(1-H342/E342,"")</f>
        <v/>
      </c>
      <c r="L342" s="3085"/>
      <c r="M342" s="578" t="str">
        <f t="shared" ref="M342" si="149">IFERROR(1-J342/G342,"")</f>
        <v/>
      </c>
      <c r="Q342" s="627">
        <f t="shared" si="145"/>
        <v>3.4119999999999999</v>
      </c>
      <c r="R342" s="627">
        <f t="shared" si="146"/>
        <v>3.4119999999999999</v>
      </c>
      <c r="AD342" s="449"/>
      <c r="AE342" s="449"/>
      <c r="AF342" s="2"/>
      <c r="AG342" s="2"/>
      <c r="AH342" s="453"/>
      <c r="AI342" s="453"/>
      <c r="AJ342" s="454"/>
      <c r="AK342" s="454"/>
      <c r="AL342" s="2"/>
      <c r="AM342" s="455"/>
      <c r="AN342" s="2"/>
      <c r="AO342" s="2"/>
      <c r="AP342" s="296"/>
      <c r="AQ342" s="296"/>
      <c r="BC342" s="804"/>
    </row>
    <row r="343" spans="1:55" ht="15" customHeight="1" x14ac:dyDescent="0.25">
      <c r="A343" s="433" t="s">
        <v>1038</v>
      </c>
      <c r="B343" s="577" t="str">
        <f t="shared" si="136"/>
        <v>District Cooling</v>
      </c>
      <c r="C343" s="3079" t="str">
        <f t="shared" si="137"/>
        <v>MWh</v>
      </c>
      <c r="D343" s="3080" t="e">
        <f>IF(C343="","",VLOOKUP(C343,ProjectEnergyTypeTable,3,FALSE))</f>
        <v>#NAME?</v>
      </c>
      <c r="E343" s="527">
        <f t="shared" si="138"/>
        <v>0</v>
      </c>
      <c r="F343" s="527">
        <f t="shared" si="139"/>
        <v>0</v>
      </c>
      <c r="G343" s="529">
        <f t="shared" si="140"/>
        <v>0</v>
      </c>
      <c r="H343" s="527">
        <f t="shared" si="141"/>
        <v>0</v>
      </c>
      <c r="I343" s="527">
        <f t="shared" si="142"/>
        <v>0</v>
      </c>
      <c r="J343" s="529">
        <f t="shared" si="147"/>
        <v>0</v>
      </c>
      <c r="K343" s="3090" t="str">
        <f t="shared" ref="K343:K344" si="150">IFERROR(1-H343/E343,"")</f>
        <v/>
      </c>
      <c r="L343" s="3085"/>
      <c r="M343" s="578" t="str">
        <f t="shared" ref="M343:M344" si="151">IFERROR(1-J343/G343,"")</f>
        <v/>
      </c>
      <c r="Q343" s="627">
        <f t="shared" si="145"/>
        <v>3.4119999999999999</v>
      </c>
      <c r="R343" s="627">
        <f t="shared" si="146"/>
        <v>3.4119999999999999</v>
      </c>
      <c r="AD343" s="449"/>
      <c r="AE343" s="449"/>
      <c r="AF343" s="2"/>
      <c r="AG343" s="2"/>
      <c r="AH343" s="453"/>
      <c r="AI343" s="453"/>
      <c r="AJ343" s="454"/>
      <c r="AK343" s="454"/>
      <c r="AL343" s="2"/>
      <c r="AM343" s="455"/>
      <c r="AN343" s="2"/>
      <c r="AO343" s="2"/>
      <c r="AP343" s="296"/>
      <c r="AQ343" s="296"/>
      <c r="BC343" s="804"/>
    </row>
    <row r="344" spans="1:55" ht="15" customHeight="1" x14ac:dyDescent="0.25">
      <c r="A344" s="433" t="s">
        <v>1038</v>
      </c>
      <c r="B344" s="577" t="str">
        <f t="shared" si="136"/>
        <v>District Cooling</v>
      </c>
      <c r="C344" s="3079" t="str">
        <f t="shared" si="137"/>
        <v>MWh</v>
      </c>
      <c r="D344" s="3080" t="e">
        <f>IF(C344="","",VLOOKUP(C344,ProjectEnergyTypeTable,3,FALSE))</f>
        <v>#NAME?</v>
      </c>
      <c r="E344" s="527">
        <f t="shared" si="138"/>
        <v>0</v>
      </c>
      <c r="F344" s="527">
        <f t="shared" si="139"/>
        <v>0</v>
      </c>
      <c r="G344" s="529">
        <f t="shared" si="140"/>
        <v>0</v>
      </c>
      <c r="H344" s="527">
        <f t="shared" si="141"/>
        <v>0</v>
      </c>
      <c r="I344" s="527">
        <f t="shared" si="142"/>
        <v>0</v>
      </c>
      <c r="J344" s="529">
        <f t="shared" si="147"/>
        <v>0</v>
      </c>
      <c r="K344" s="3090" t="str">
        <f t="shared" si="150"/>
        <v/>
      </c>
      <c r="L344" s="3085"/>
      <c r="M344" s="578" t="str">
        <f t="shared" si="151"/>
        <v/>
      </c>
      <c r="Q344" s="627">
        <f t="shared" si="145"/>
        <v>3.4119999999999999</v>
      </c>
      <c r="R344" s="627">
        <f t="shared" si="146"/>
        <v>3.4119999999999999</v>
      </c>
      <c r="AD344" s="449"/>
      <c r="AE344" s="449"/>
      <c r="AF344" s="2"/>
      <c r="AG344" s="2"/>
      <c r="AH344" s="453"/>
      <c r="AI344" s="453"/>
      <c r="AJ344" s="454"/>
      <c r="AK344" s="454"/>
      <c r="AL344" s="2"/>
      <c r="AM344" s="455"/>
      <c r="AN344" s="2"/>
      <c r="AO344" s="2"/>
      <c r="AP344" s="296"/>
      <c r="AQ344" s="296"/>
      <c r="BC344" s="804"/>
    </row>
    <row r="345" spans="1:55" ht="15" customHeight="1" x14ac:dyDescent="0.25">
      <c r="A345" s="433" t="s">
        <v>1038</v>
      </c>
      <c r="B345" s="577" t="str">
        <f t="shared" si="136"/>
        <v>District Cooling</v>
      </c>
      <c r="C345" s="3079" t="str">
        <f t="shared" si="137"/>
        <v>MWh</v>
      </c>
      <c r="D345" s="3080" t="e">
        <f>IF(C345="","",VLOOKUP(C345,ProjectEnergyTypeTable,3,FALSE))</f>
        <v>#NAME?</v>
      </c>
      <c r="E345" s="527">
        <f t="shared" si="138"/>
        <v>0</v>
      </c>
      <c r="F345" s="527">
        <f t="shared" si="139"/>
        <v>0</v>
      </c>
      <c r="G345" s="529">
        <f t="shared" si="140"/>
        <v>0</v>
      </c>
      <c r="H345" s="527">
        <f t="shared" si="141"/>
        <v>0</v>
      </c>
      <c r="I345" s="527">
        <f t="shared" si="142"/>
        <v>0</v>
      </c>
      <c r="J345" s="529">
        <f t="shared" si="147"/>
        <v>0</v>
      </c>
      <c r="K345" s="3090" t="str">
        <f t="shared" ref="K345" si="152">IFERROR(1-H345/E345,"")</f>
        <v/>
      </c>
      <c r="L345" s="3085"/>
      <c r="M345" s="578" t="str">
        <f t="shared" ref="M345" si="153">IFERROR(1-J345/G345,"")</f>
        <v/>
      </c>
      <c r="Q345" s="627">
        <f t="shared" si="145"/>
        <v>3.4119999999999999</v>
      </c>
      <c r="R345" s="627">
        <f t="shared" si="146"/>
        <v>3.4119999999999999</v>
      </c>
      <c r="AD345" s="449"/>
      <c r="AE345" s="449"/>
      <c r="AF345" s="2"/>
      <c r="AG345" s="2"/>
      <c r="AH345" s="453"/>
      <c r="AI345" s="453"/>
      <c r="AJ345" s="454"/>
      <c r="AK345" s="454"/>
      <c r="AL345" s="2"/>
      <c r="AM345" s="455"/>
      <c r="AN345" s="2"/>
      <c r="AO345" s="2"/>
      <c r="AP345" s="296"/>
      <c r="AQ345" s="296"/>
      <c r="BC345" s="804"/>
    </row>
    <row r="346" spans="1:55" ht="15" customHeight="1" x14ac:dyDescent="0.25">
      <c r="A346" s="433" t="s">
        <v>1038</v>
      </c>
      <c r="B346" s="577" t="str">
        <f t="shared" si="136"/>
        <v>District Cooling</v>
      </c>
      <c r="C346" s="3079" t="str">
        <f t="shared" si="137"/>
        <v>MWh</v>
      </c>
      <c r="D346" s="3080" t="e">
        <f>IF(C346="","",VLOOKUP(C346,ProjectEnergyTypeTable,3,FALSE))</f>
        <v>#NAME?</v>
      </c>
      <c r="E346" s="527">
        <f t="shared" si="138"/>
        <v>0</v>
      </c>
      <c r="F346" s="527">
        <f t="shared" si="139"/>
        <v>0</v>
      </c>
      <c r="G346" s="529">
        <f t="shared" si="140"/>
        <v>0</v>
      </c>
      <c r="H346" s="527">
        <f t="shared" si="141"/>
        <v>0</v>
      </c>
      <c r="I346" s="527">
        <f t="shared" si="142"/>
        <v>0</v>
      </c>
      <c r="J346" s="529">
        <f t="shared" si="147"/>
        <v>0</v>
      </c>
      <c r="K346" s="3090" t="str">
        <f t="shared" ref="K346" si="154">IFERROR(1-H346/E346,"")</f>
        <v/>
      </c>
      <c r="L346" s="3085"/>
      <c r="M346" s="578" t="str">
        <f t="shared" ref="M346" si="155">IFERROR(1-J346/G346,"")</f>
        <v/>
      </c>
      <c r="Q346" s="627">
        <f t="shared" si="145"/>
        <v>3.4119999999999999</v>
      </c>
      <c r="R346" s="627">
        <f t="shared" si="146"/>
        <v>3.4119999999999999</v>
      </c>
      <c r="AD346" s="449"/>
      <c r="AE346" s="449"/>
      <c r="AF346" s="2"/>
      <c r="AG346" s="2"/>
      <c r="AH346" s="453"/>
      <c r="AI346" s="453"/>
      <c r="AJ346" s="454"/>
      <c r="AK346" s="454"/>
      <c r="AL346" s="2"/>
      <c r="AM346" s="455"/>
      <c r="AN346" s="2"/>
      <c r="AO346" s="2"/>
      <c r="AP346" s="296"/>
      <c r="AQ346" s="296"/>
      <c r="BC346" s="804"/>
    </row>
    <row r="347" spans="1:55" ht="15" customHeight="1" x14ac:dyDescent="0.25">
      <c r="A347" s="433" t="s">
        <v>1038</v>
      </c>
      <c r="B347" s="577" t="str">
        <f t="shared" si="136"/>
        <v>District Cooling</v>
      </c>
      <c r="C347" s="3079" t="str">
        <f t="shared" si="137"/>
        <v>MWh</v>
      </c>
      <c r="D347" s="3080" t="e">
        <f>IF(C347="","",VLOOKUP(C347,ProjectEnergyTypeTable,3,FALSE))</f>
        <v>#NAME?</v>
      </c>
      <c r="E347" s="527">
        <f t="shared" si="138"/>
        <v>0</v>
      </c>
      <c r="F347" s="527">
        <f t="shared" si="139"/>
        <v>0</v>
      </c>
      <c r="G347" s="529">
        <f t="shared" si="140"/>
        <v>0</v>
      </c>
      <c r="H347" s="527">
        <f t="shared" si="141"/>
        <v>0</v>
      </c>
      <c r="I347" s="527">
        <f t="shared" si="142"/>
        <v>0</v>
      </c>
      <c r="J347" s="529">
        <f t="shared" si="147"/>
        <v>0</v>
      </c>
      <c r="K347" s="3090" t="str">
        <f t="shared" ref="K347" si="156">IFERROR(1-H347/E347,"")</f>
        <v/>
      </c>
      <c r="L347" s="3085"/>
      <c r="M347" s="578" t="str">
        <f t="shared" ref="M347" si="157">IFERROR(1-J347/G347,"")</f>
        <v/>
      </c>
      <c r="Q347" s="627">
        <f t="shared" si="145"/>
        <v>3.4119999999999999</v>
      </c>
      <c r="R347" s="627">
        <f t="shared" si="146"/>
        <v>3.4119999999999999</v>
      </c>
      <c r="AD347" s="449"/>
      <c r="AE347" s="449"/>
      <c r="AF347" s="2"/>
      <c r="AG347" s="2"/>
      <c r="AH347" s="453"/>
      <c r="AI347" s="453"/>
      <c r="AJ347" s="454"/>
      <c r="AK347" s="454"/>
      <c r="AL347" s="2"/>
      <c r="AM347" s="455"/>
      <c r="AN347" s="2"/>
      <c r="AO347" s="2"/>
      <c r="AP347" s="296"/>
      <c r="AQ347" s="296"/>
      <c r="BC347" s="804"/>
    </row>
    <row r="348" spans="1:55" ht="15" customHeight="1" x14ac:dyDescent="0.25">
      <c r="A348" s="433" t="s">
        <v>1038</v>
      </c>
      <c r="B348" s="577" t="str">
        <f t="shared" si="136"/>
        <v>District Cooling</v>
      </c>
      <c r="C348" s="3079" t="str">
        <f t="shared" si="137"/>
        <v>MWh</v>
      </c>
      <c r="D348" s="3080" t="e">
        <f>IF(C348="","",VLOOKUP(C348,ProjectEnergyTypeTable,3,FALSE))</f>
        <v>#NAME?</v>
      </c>
      <c r="E348" s="527">
        <f t="shared" si="138"/>
        <v>0</v>
      </c>
      <c r="F348" s="527">
        <f t="shared" si="139"/>
        <v>0</v>
      </c>
      <c r="G348" s="529">
        <f t="shared" si="140"/>
        <v>0</v>
      </c>
      <c r="H348" s="527">
        <f t="shared" si="141"/>
        <v>0</v>
      </c>
      <c r="I348" s="527">
        <f t="shared" si="142"/>
        <v>0</v>
      </c>
      <c r="J348" s="529">
        <f t="shared" si="147"/>
        <v>0</v>
      </c>
      <c r="K348" s="3090" t="str">
        <f t="shared" ref="K348" si="158">IFERROR(1-H348/E348,"")</f>
        <v/>
      </c>
      <c r="L348" s="3085"/>
      <c r="M348" s="578" t="str">
        <f t="shared" ref="M348" si="159">IFERROR(1-J348/G348,"")</f>
        <v/>
      </c>
      <c r="Q348" s="627">
        <f t="shared" si="145"/>
        <v>3.4119999999999999</v>
      </c>
      <c r="R348" s="627">
        <f t="shared" si="146"/>
        <v>3.4119999999999999</v>
      </c>
      <c r="AD348" s="449"/>
      <c r="AE348" s="449"/>
      <c r="AF348" s="2"/>
      <c r="AG348" s="2"/>
      <c r="AH348" s="453"/>
      <c r="AI348" s="453"/>
      <c r="AJ348" s="454"/>
      <c r="AK348" s="454"/>
      <c r="AL348" s="2"/>
      <c r="AM348" s="455"/>
      <c r="AN348" s="2"/>
      <c r="AO348" s="2"/>
      <c r="AP348" s="296"/>
      <c r="AQ348" s="296"/>
      <c r="BC348" s="804"/>
    </row>
    <row r="349" spans="1:55" ht="15" customHeight="1" x14ac:dyDescent="0.25">
      <c r="A349" s="433" t="s">
        <v>1038</v>
      </c>
      <c r="B349" s="577" t="str">
        <f t="shared" ref="B349:B351" si="160">IFERROR(IF(ISBLANK(B29),"",B29),"")</f>
        <v>District Cooling</v>
      </c>
      <c r="C349" s="3079" t="str">
        <f t="shared" si="137"/>
        <v>MWh</v>
      </c>
      <c r="D349" s="3080" t="e">
        <f>IF(C349="","",VLOOKUP(C349,ProjectEnergyTypeTable,3,FALSE))</f>
        <v>#NAME?</v>
      </c>
      <c r="E349" s="527">
        <f t="shared" si="138"/>
        <v>0</v>
      </c>
      <c r="F349" s="527">
        <f t="shared" si="139"/>
        <v>0</v>
      </c>
      <c r="G349" s="529">
        <f t="shared" si="140"/>
        <v>0</v>
      </c>
      <c r="H349" s="527">
        <f t="shared" si="141"/>
        <v>0</v>
      </c>
      <c r="I349" s="527">
        <f t="shared" si="142"/>
        <v>0</v>
      </c>
      <c r="J349" s="529">
        <f t="shared" si="147"/>
        <v>0</v>
      </c>
      <c r="K349" s="3090" t="str">
        <f t="shared" ref="K349:K351" si="161">IFERROR(1-H349/E349,"")</f>
        <v/>
      </c>
      <c r="L349" s="3085"/>
      <c r="M349" s="578" t="str">
        <f t="shared" ref="M349:M351" si="162">IFERROR(1-J349/G349,"")</f>
        <v/>
      </c>
      <c r="Q349" s="627">
        <f t="shared" si="145"/>
        <v>3.4119999999999999</v>
      </c>
      <c r="R349" s="627">
        <f t="shared" si="146"/>
        <v>3.4119999999999999</v>
      </c>
      <c r="AD349" s="449"/>
      <c r="AE349" s="449"/>
      <c r="AF349" s="2"/>
      <c r="AG349" s="2"/>
      <c r="AH349" s="453"/>
      <c r="AI349" s="453"/>
      <c r="AJ349" s="454"/>
      <c r="AK349" s="454"/>
      <c r="AL349" s="2"/>
      <c r="AM349" s="455"/>
      <c r="AN349" s="2"/>
      <c r="AO349" s="2"/>
      <c r="AP349" s="296"/>
      <c r="AQ349" s="296"/>
      <c r="BC349" s="804"/>
    </row>
    <row r="350" spans="1:55" ht="15" customHeight="1" x14ac:dyDescent="0.25">
      <c r="A350" s="433" t="s">
        <v>1038</v>
      </c>
      <c r="B350" s="577" t="str">
        <f t="shared" si="160"/>
        <v>District Cooling</v>
      </c>
      <c r="C350" s="3079" t="str">
        <f t="shared" si="137"/>
        <v>MWh</v>
      </c>
      <c r="D350" s="3080" t="e">
        <f>IF(C350="","",VLOOKUP(C350,ProjectEnergyTypeTable,3,FALSE))</f>
        <v>#NAME?</v>
      </c>
      <c r="E350" s="527">
        <f t="shared" si="138"/>
        <v>0</v>
      </c>
      <c r="F350" s="527">
        <f t="shared" si="139"/>
        <v>0</v>
      </c>
      <c r="G350" s="529">
        <f t="shared" si="140"/>
        <v>0</v>
      </c>
      <c r="H350" s="527">
        <f t="shared" si="141"/>
        <v>0</v>
      </c>
      <c r="I350" s="527">
        <f t="shared" si="142"/>
        <v>0</v>
      </c>
      <c r="J350" s="529">
        <f t="shared" si="147"/>
        <v>0</v>
      </c>
      <c r="K350" s="3090" t="str">
        <f t="shared" si="161"/>
        <v/>
      </c>
      <c r="L350" s="3085"/>
      <c r="M350" s="578" t="str">
        <f t="shared" si="162"/>
        <v/>
      </c>
      <c r="Q350" s="627">
        <f t="shared" si="145"/>
        <v>3.4119999999999999</v>
      </c>
      <c r="R350" s="627">
        <f t="shared" si="146"/>
        <v>3.4119999999999999</v>
      </c>
      <c r="AD350" s="449"/>
      <c r="AE350" s="449"/>
      <c r="AF350" s="2"/>
      <c r="AG350" s="2"/>
      <c r="AH350" s="453"/>
      <c r="AI350" s="453"/>
      <c r="AJ350" s="454"/>
      <c r="AK350" s="454"/>
      <c r="AL350" s="2"/>
      <c r="AM350" s="455"/>
      <c r="AN350" s="2"/>
      <c r="AO350" s="2"/>
      <c r="AP350" s="296"/>
      <c r="AQ350" s="296"/>
      <c r="BC350" s="804"/>
    </row>
    <row r="351" spans="1:55" ht="15" customHeight="1" x14ac:dyDescent="0.25">
      <c r="A351" s="433" t="s">
        <v>1038</v>
      </c>
      <c r="B351" s="577" t="str">
        <f t="shared" si="160"/>
        <v>District Cooling</v>
      </c>
      <c r="C351" s="3079" t="str">
        <f t="shared" si="137"/>
        <v>MWh</v>
      </c>
      <c r="D351" s="3080" t="e">
        <f>IF(C351="","",VLOOKUP(C351,ProjectEnergyTypeTable,3,FALSE))</f>
        <v>#NAME?</v>
      </c>
      <c r="E351" s="527">
        <f t="shared" si="138"/>
        <v>0</v>
      </c>
      <c r="F351" s="527">
        <f t="shared" si="139"/>
        <v>0</v>
      </c>
      <c r="G351" s="529">
        <f t="shared" si="140"/>
        <v>0</v>
      </c>
      <c r="H351" s="527">
        <f t="shared" si="141"/>
        <v>0</v>
      </c>
      <c r="I351" s="527">
        <f t="shared" si="142"/>
        <v>0</v>
      </c>
      <c r="J351" s="529">
        <f t="shared" si="147"/>
        <v>0</v>
      </c>
      <c r="K351" s="3090" t="str">
        <f t="shared" si="161"/>
        <v/>
      </c>
      <c r="L351" s="3085"/>
      <c r="M351" s="578" t="str">
        <f t="shared" si="162"/>
        <v/>
      </c>
      <c r="Q351" s="627">
        <f t="shared" si="145"/>
        <v>3.4119999999999999</v>
      </c>
      <c r="R351" s="627">
        <f t="shared" si="146"/>
        <v>3.4119999999999999</v>
      </c>
      <c r="AD351" s="449"/>
      <c r="AE351" s="449"/>
      <c r="AF351" s="2"/>
      <c r="AG351" s="2"/>
      <c r="AH351" s="453"/>
      <c r="AI351" s="453"/>
      <c r="AJ351" s="454"/>
      <c r="AK351" s="454"/>
      <c r="AL351" s="2"/>
      <c r="AM351" s="455"/>
      <c r="AN351" s="2"/>
      <c r="AO351" s="2"/>
      <c r="AP351" s="296"/>
      <c r="AQ351" s="296"/>
      <c r="BC351" s="804"/>
    </row>
    <row r="352" spans="1:55" s="245" customFormat="1" ht="21" customHeight="1" x14ac:dyDescent="0.25">
      <c r="A352" s="433" t="s">
        <v>1038</v>
      </c>
      <c r="B352" s="3135" t="str">
        <f>"Energy model subtotal (" &amp; PO_SiteUnits &amp; ")"</f>
        <v>Energy model subtotal (Btu x 10^6)</v>
      </c>
      <c r="C352" s="3135"/>
      <c r="D352" s="3135"/>
      <c r="E352" s="527">
        <f ca="1">IFERROR(SUMPRODUCT(INDEX(PO_Enrgy_9_Table,0,MATCH(E$336,PO_Enrgy_9_Hdr,0)),INDEX(PO_Enrgy_9_Table,0,MATCH($Q$336,PO_Enrgy_9_Hdr,0))),"")</f>
        <v>0</v>
      </c>
      <c r="F352" s="527">
        <f ca="1">IFERROR(SUM(INDEX(PO_Enrgy_9_Table,0,MATCH(F$336,PO_Enrgy_9_Hdr,0))),"")</f>
        <v>0</v>
      </c>
      <c r="G352" s="529">
        <f>IFERROR(SUM(INDEX(PO_Enrgy_9_Table,0,MATCH(G$336,PO_Enrgy_9_Hdr,0))),"")</f>
        <v>0</v>
      </c>
      <c r="H352" s="527">
        <f ca="1">IFERROR(SUMPRODUCT(INDEX(PO_Enrgy_9_Table,0,MATCH(H$336,PO_Enrgy_9_Hdr,0)),INDEX(PO_Enrgy_9_Table,0,MATCH($Q$336,PO_Enrgy_9_Hdr,0))),"")</f>
        <v>0</v>
      </c>
      <c r="I352" s="527">
        <f ca="1">IFERROR(SUM(INDEX(PO_Enrgy_9_Table,0,MATCH(I$336,PO_Enrgy_9_Hdr,0))),"")</f>
        <v>0</v>
      </c>
      <c r="J352" s="529">
        <f>IFERROR(SUM(INDEX(PO_Enrgy_9_Table,0,MATCH(J$336,PO_Enrgy_9_Hdr,0))),"")</f>
        <v>0</v>
      </c>
      <c r="K352" s="3090" t="str">
        <f t="shared" ca="1" si="143"/>
        <v/>
      </c>
      <c r="L352" s="3085"/>
      <c r="M352" s="578" t="str">
        <f t="shared" si="144"/>
        <v/>
      </c>
      <c r="N352" s="235"/>
      <c r="O352" s="235"/>
      <c r="P352" s="235"/>
      <c r="AD352" s="2"/>
      <c r="AE352" s="2"/>
      <c r="AF352" s="2"/>
      <c r="AG352" s="2"/>
      <c r="AH352" s="450"/>
      <c r="AI352" s="451"/>
      <c r="AJ352" s="2"/>
      <c r="AK352" s="2"/>
      <c r="AL352" s="2"/>
      <c r="AM352" s="2"/>
      <c r="AN352" s="2"/>
      <c r="AO352" s="2"/>
      <c r="BC352" s="804"/>
    </row>
    <row r="353" spans="1:55" s="245" customFormat="1" ht="33" customHeight="1" x14ac:dyDescent="0.25">
      <c r="A353" s="433" t="s">
        <v>1038</v>
      </c>
      <c r="B353" s="456"/>
      <c r="C353" s="456"/>
      <c r="D353" s="456"/>
      <c r="E353" s="457"/>
      <c r="F353" s="457"/>
      <c r="G353" s="458"/>
      <c r="H353" s="457"/>
      <c r="I353" s="457"/>
      <c r="J353" s="458"/>
      <c r="K353" s="459"/>
      <c r="L353" s="459"/>
      <c r="M353" s="459"/>
      <c r="N353" s="235"/>
      <c r="O353" s="235"/>
      <c r="P353" s="235"/>
      <c r="AH353" s="267"/>
      <c r="AI353" s="268"/>
    </row>
    <row r="354" spans="1:55" ht="21" hidden="1" customHeight="1" x14ac:dyDescent="0.25">
      <c r="A354" s="433" t="s">
        <v>1038</v>
      </c>
      <c r="B354" s="3219" t="s">
        <v>907</v>
      </c>
      <c r="C354" s="3220"/>
      <c r="D354" s="3220"/>
      <c r="E354" s="3220"/>
      <c r="F354" s="3220"/>
      <c r="G354" s="3220"/>
      <c r="H354" s="3220"/>
      <c r="I354" s="3220"/>
      <c r="J354" s="3220"/>
      <c r="K354" s="3220"/>
      <c r="L354" s="3220"/>
      <c r="X354" s="2"/>
      <c r="Z354" s="267"/>
      <c r="AA354" s="268"/>
    </row>
    <row r="355" spans="1:55" ht="116.25" hidden="1" customHeight="1" x14ac:dyDescent="0.25">
      <c r="A355" s="433" t="s">
        <v>1038</v>
      </c>
      <c r="B355" s="3267" t="s">
        <v>954</v>
      </c>
      <c r="C355" s="3267"/>
      <c r="D355" s="3267"/>
      <c r="E355" s="3267"/>
      <c r="F355" s="3267"/>
      <c r="G355" s="3267"/>
      <c r="H355" s="3267"/>
      <c r="I355" s="3267"/>
      <c r="J355" s="3267"/>
      <c r="K355" s="3201"/>
      <c r="L355" s="3201"/>
      <c r="M355" s="3201"/>
      <c r="X355" s="2"/>
      <c r="Z355" s="267"/>
      <c r="AA355" s="268"/>
    </row>
    <row r="356" spans="1:55" ht="21" hidden="1" customHeight="1" x14ac:dyDescent="0.25">
      <c r="A356" s="433" t="s">
        <v>1038</v>
      </c>
      <c r="B356" s="3138" t="s">
        <v>1445</v>
      </c>
      <c r="C356" s="3139" t="s">
        <v>1436</v>
      </c>
      <c r="D356" s="3102"/>
      <c r="E356" s="3140" t="s">
        <v>363</v>
      </c>
      <c r="F356" s="3138"/>
      <c r="G356" s="3138"/>
      <c r="H356" s="3140" t="s">
        <v>130</v>
      </c>
      <c r="I356" s="3138"/>
      <c r="J356" s="3138"/>
      <c r="K356" s="3218"/>
      <c r="L356" s="3214"/>
      <c r="M356" s="588"/>
      <c r="O356" s="296"/>
      <c r="AF356" s="2"/>
    </row>
    <row r="357" spans="1:55" ht="39.6" hidden="1" x14ac:dyDescent="0.25">
      <c r="A357" s="433" t="s">
        <v>1038</v>
      </c>
      <c r="B357" s="3102"/>
      <c r="C357" s="3102"/>
      <c r="D357" s="3102"/>
      <c r="E357" s="579" t="s">
        <v>1039</v>
      </c>
      <c r="F357" s="580" t="s">
        <v>1040</v>
      </c>
      <c r="G357" s="580" t="s">
        <v>356</v>
      </c>
      <c r="H357" s="579" t="s">
        <v>1039</v>
      </c>
      <c r="I357" s="580" t="s">
        <v>902</v>
      </c>
      <c r="J357" s="580" t="s">
        <v>356</v>
      </c>
      <c r="K357" s="334"/>
      <c r="L357" s="334"/>
      <c r="M357" s="588"/>
      <c r="AH357" s="2"/>
      <c r="AI357" s="2"/>
      <c r="AJ357" s="2"/>
      <c r="AK357" s="2"/>
    </row>
    <row r="358" spans="1:55" s="446" customFormat="1" ht="13.8" hidden="1" x14ac:dyDescent="0.25">
      <c r="A358" s="433" t="s">
        <v>1038</v>
      </c>
      <c r="B358" s="460" t="s">
        <v>1396</v>
      </c>
      <c r="C358" s="460" t="s">
        <v>1424</v>
      </c>
      <c r="D358" s="460"/>
      <c r="E358" s="461" t="s">
        <v>1446</v>
      </c>
      <c r="F358" s="462" t="s">
        <v>1447</v>
      </c>
      <c r="G358" s="462" t="s">
        <v>1448</v>
      </c>
      <c r="H358" s="461" t="s">
        <v>1449</v>
      </c>
      <c r="I358" s="462" t="s">
        <v>1450</v>
      </c>
      <c r="J358" s="462" t="s">
        <v>1451</v>
      </c>
      <c r="K358" s="463"/>
      <c r="L358" s="463"/>
      <c r="U358" s="235" t="s">
        <v>959</v>
      </c>
      <c r="V358" s="464" t="s">
        <v>961</v>
      </c>
      <c r="W358" s="464" t="s">
        <v>962</v>
      </c>
      <c r="AJ358" s="447"/>
      <c r="AK358" s="447"/>
    </row>
    <row r="359" spans="1:55" ht="17.25" hidden="1" customHeight="1" x14ac:dyDescent="0.25">
      <c r="A359" s="433" t="s">
        <v>1038</v>
      </c>
      <c r="B359" s="3217" t="s">
        <v>272</v>
      </c>
      <c r="C359" s="3217"/>
      <c r="D359" s="3217"/>
      <c r="E359" s="534"/>
      <c r="F359" s="534"/>
      <c r="G359" s="535"/>
      <c r="H359" s="534"/>
      <c r="I359" s="534"/>
      <c r="J359" s="535"/>
      <c r="K359" s="332"/>
      <c r="L359" s="332"/>
      <c r="Q359" s="415" t="s">
        <v>1407</v>
      </c>
      <c r="R359" s="415" t="s">
        <v>1408</v>
      </c>
      <c r="V359" s="465" t="str">
        <f>IFERROR(V361+V360,"")</f>
        <v/>
      </c>
      <c r="W359" s="465" t="str">
        <f>IFERROR(W361+W360,"")</f>
        <v/>
      </c>
      <c r="AH359" s="2"/>
      <c r="AI359" s="2"/>
      <c r="AJ359" s="2"/>
      <c r="AK359" s="2"/>
      <c r="AL359" s="270"/>
      <c r="AM359" s="271"/>
    </row>
    <row r="360" spans="1:55" ht="18" hidden="1" customHeight="1" x14ac:dyDescent="0.25">
      <c r="A360" s="433" t="s">
        <v>1038</v>
      </c>
      <c r="B360" s="565" t="str">
        <f>IFERROR(IF(DESPath=3,"Electricity",""),"")</f>
        <v/>
      </c>
      <c r="C360" s="3079" t="str">
        <f>IFERROR(IF(ISBLANK($B360),"",VLOOKUP($B360,PO_Enrgy_1_Table,MATCH($C$16,PO_Enrgy_1_Hdr,0),FALSE) ),"")</f>
        <v/>
      </c>
      <c r="D360" s="3080" t="str">
        <f>IF(C360="","",VLOOKUP(C360,ProjectEnergyTypeTable,3,FALSE))</f>
        <v/>
      </c>
      <c r="E360" s="536" t="str">
        <f>IFERROR(IF(AND(DESPath=3,DistrictCooling,$B$360="Electricity"),DESPath3_Cooling_COP,""),"")</f>
        <v/>
      </c>
      <c r="F360" s="537" t="str">
        <f>IFERROR(IF(DESPath=3,VLOOKUP("District Cooling",PO_Enrgy_9_Table,MATCH($E$336,PO_Enrgy_9_Hdr,0),FALSE)/$E360*VLOOKUP(VLOOKUP("District Cooling",PO_Enrgy_9_Table,MATCH($C$336,PO_Enrgy_9_Hdr,0),FALSE),EnergyUnitsTable,3,FALSE)/VLOOKUP($C360,EnergyUnitsTable,3,FALSE),""),"")</f>
        <v/>
      </c>
      <c r="G360" s="529" t="str">
        <f>IFERROR(F360*VLOOKUP($B360,PO_Enrgy_8_Table,MATCH($E$316,PO_Enrgy_8_Hdr,0),FALSE),"")</f>
        <v/>
      </c>
      <c r="H360" s="537" t="str">
        <f>IFERROR(IF(AND(DESPath=3,DistrictHeating,$B$360="Electricity"),DESPath3_Heating_eCOP,""),"")</f>
        <v/>
      </c>
      <c r="I360" s="537">
        <f>IF(DESPath = 3,IFERROR(VLOOKUP("District Hot Water",PO_Enrgy_9_Table,MATCH($E$336,PO_Enrgy_9_Hdr,0),FALSE)/$H360*VLOOKUP(VLOOKUP("District Hot Water",PO_Enrgy_9_Table,MATCH($C$336,PO_Enrgy_9_Hdr,0),FALSE),EnergyUnitsTable,3,FALSE)/VLOOKUP($C360,EnergyUnitsTable,3,FALSE),0)+IFERROR(VLOOKUP("District Steam",PO_Enrgy_9_Table,MATCH($E$336,PO_Enrgy_9_Hdr,0),FALSE)/$H360*VLOOKUP(VLOOKUP("District Steam",PO_Enrgy_9_Table,MATCH($C$336,PO_Enrgy_9_Hdr,0),FALSE),EnergyUnitsTable,3,FALSE)/VLOOKUP($H360,EnergyUnitsTable,3,FALSE),0),0)</f>
        <v>0</v>
      </c>
      <c r="J360" s="529" t="str">
        <f>IFERROR(I360*VLOOKUP($B360,PO_Enrgy_8_Table,MATCH($E$316,PO_Enrgy_8_Hdr,0),FALSE),"")</f>
        <v/>
      </c>
      <c r="K360" s="332"/>
      <c r="L360" s="332"/>
      <c r="M360" s="332"/>
      <c r="Q360" s="416" t="str">
        <f>IFERROR(IF(ISBLANK($B360),"",VLOOKUP($B360,PO_Enrgy_1_Table,MATCH($K$16,PO_Enrgy_1_Hdr,0),FALSE)),"")</f>
        <v/>
      </c>
      <c r="R360" s="416" t="str">
        <f>IFERROR(IF(ISBLANK($B360),"",VLOOKUP($B360,PO_Enrgy_1_Table,MATCH($M$16,PO_Enrgy_1_Hdr,0),FALSE)),"")</f>
        <v/>
      </c>
      <c r="U360" s="235" t="s">
        <v>957</v>
      </c>
      <c r="V360" s="466" t="str">
        <f>IFERROR(VLOOKUP($B360,PO_Enrgy_8_Table,MATCH($E$316,PO_Enrgy_8_Hdr,0),FALSE)/$E$360*VLOOKUP(VLOOKUP("District Cooling",PO_Enrgy_9_Table,MATCH($C$336,PO_Enrgy_9_Hdr,0),FALSE),EnergyUnitsTable,3,FALSE)/VLOOKUP($C360,EnergyUnitsTable,3,FALSE),"")</f>
        <v/>
      </c>
      <c r="W360" s="466" t="str">
        <f>IFERROR(VLOOKUP($B360,PO_Enrgy_8_Table,MATCH($E$316,PO_Enrgy_8_Hdr,0),FALSE)/$H$360*(IFERROR(VLOOKUP(VLOOKUP("District Hot Water",PO_Enrgy_9_Table,MATCH($C$336,PO_Enrgy_9_Hdr,0),FALSE),EnergyUnitsTable,3,FALSE),1)+IFERROR(VLOOKUP(VLOOKUP("District Steam",PO_Enrgy_9_Table,MATCH($C$336,PO_Enrgy_9_Hdr,0),FALSE),EnergyUnitsTable,3,FALSE),1))/VLOOKUP($C360,EnergyUnitsTable,3,FALSE),"")</f>
        <v/>
      </c>
      <c r="AH360" s="449"/>
      <c r="AI360" s="449"/>
      <c r="AJ360" s="253"/>
      <c r="AK360" s="2"/>
      <c r="AL360" s="270"/>
      <c r="AM360" s="271"/>
      <c r="BC360" s="804"/>
    </row>
    <row r="361" spans="1:55" ht="18" hidden="1" customHeight="1" x14ac:dyDescent="0.25">
      <c r="A361" s="433" t="s">
        <v>1038</v>
      </c>
      <c r="B361" s="648" t="str">
        <f>IFERROR(IF(DESPath=3,IF(MATCH("Natural Gas",PO_Enrgy_1_Index,0)&gt;0,"Natural Gas",IF(MATCH("Fuel Oil / Diesel",PO_Enrgy_1_Table,0)&gt;1,"Fuel Oil / Diesel","")),""),"")</f>
        <v/>
      </c>
      <c r="C361" s="3079" t="str">
        <f>IFERROR(IF(ISBLANK($B361),"",VLOOKUP($B361,PO_Enrgy_1_Table,MATCH($C$16,PO_Enrgy_1_Hdr,0),FALSE) ),"")</f>
        <v/>
      </c>
      <c r="D361" s="3080" t="str">
        <f>IF(C361="","",VLOOKUP(C361,ProjectEnergyTypeTable,3,FALSE))</f>
        <v/>
      </c>
      <c r="E361" s="538"/>
      <c r="F361" s="538"/>
      <c r="G361" s="653"/>
      <c r="H361" s="537" t="str">
        <f>IFERROR(IF(AND(DESPath=3,DistrictHeating,$B$360="Electricity"),DESPath3_Heating_fCOP,""),"")</f>
        <v/>
      </c>
      <c r="I361" s="537">
        <f>IF(DESPath = 3,IFERROR(VLOOKUP("District Hot Water",PO_Enrgy_9_Table,MATCH($E$336,PO_Enrgy_9_Hdr,0),FALSE)/$H361*VLOOKUP(VLOOKUP("District Hot Water",PO_Enrgy_9_Table,MATCH($C$336,PO_Enrgy_9_Hdr,0),FALSE),EnergyUnitsTable,3,FALSE)/VLOOKUP($C361,EnergyUnitsTable,3,FALSE),0)+IFERROR(VLOOKUP("District Steam",PO_Enrgy_9_Table,MATCH($E$336,PO_Enrgy_9_Hdr,0),FALSE)/$H361*VLOOKUP(VLOOKUP("District Steam",PO_Enrgy_9_Table,MATCH($C$336,PO_Enrgy_9_Hdr,0),FALSE),EnergyUnitsTable,3,FALSE)/VLOOKUP($H361,EnergyUnitsTable,3,FALSE),0),0)</f>
        <v>0</v>
      </c>
      <c r="J361" s="529" t="str">
        <f>IFERROR(I361*VLOOKUP($B361,PO_Enrgy_8_Table,MATCH($E$316,PO_Enrgy_8_Hdr,0),FALSE),"")</f>
        <v/>
      </c>
      <c r="K361" s="332"/>
      <c r="L361" s="332"/>
      <c r="M361" s="332"/>
      <c r="Q361" s="416" t="str">
        <f>IFERROR(IF(ISBLANK($B361),"",VLOOKUP($B361,PO_Enrgy_1_Table,MATCH($K$16,PO_Enrgy_1_Hdr,0),FALSE)),"")</f>
        <v/>
      </c>
      <c r="R361" s="416" t="str">
        <f>IFERROR(IF(ISBLANK($B361),"",VLOOKUP($B361,PO_Enrgy_1_Table,MATCH($M$16,PO_Enrgy_1_Hdr,0),FALSE)),"")</f>
        <v/>
      </c>
      <c r="U361" s="235" t="s">
        <v>958</v>
      </c>
      <c r="V361" s="466" t="str">
        <f>IFERROR(VLOOKUP($B361,PO_Enrgy_8_Table,MATCH($E$316,PO_Enrgy_8_Hdr,0),FALSE)/$E$360*VLOOKUP(VLOOKUP("District Cooling",PO_Enrgy_9_Table,MATCH($C$336,PO_Enrgy_9_Hdr,0),FALSE),EnergyUnitsTable,3,FALSE)/VLOOKUP($C361,EnergyUnitsTable,3,FALSE),"")</f>
        <v/>
      </c>
      <c r="W361" s="466" t="str">
        <f>IFERROR(VLOOKUP($B361,PO_Enrgy_8_Table,MATCH($E$316,PO_Enrgy_8_Hdr,0),FALSE)/$H$360*(IFERROR(VLOOKUP(VLOOKUP("District Hot Water",PO_Enrgy_9_Table,MATCH($C$336,PO_Enrgy_9_Hdr,0),FALSE),EnergyUnitsTable,3,FALSE),1)+IFERROR(VLOOKUP(VLOOKUP("District Steam",PO_Enrgy_9_Table,MATCH($C$336,PO_Enrgy_9_Hdr,0),FALSE),EnergyUnitsTable,3,FALSE),1))/VLOOKUP($C361,EnergyUnitsTable,3,FALSE),"")</f>
        <v/>
      </c>
      <c r="AH361" s="449"/>
      <c r="AI361" s="449"/>
      <c r="AJ361" s="253"/>
      <c r="AK361" s="2"/>
      <c r="AL361" s="270"/>
      <c r="AM361" s="271"/>
      <c r="BC361" s="804"/>
    </row>
    <row r="362" spans="1:55" s="446" customFormat="1" ht="13.8" hidden="1" x14ac:dyDescent="0.25">
      <c r="A362" s="433" t="s">
        <v>1038</v>
      </c>
      <c r="B362" s="460" t="s">
        <v>1396</v>
      </c>
      <c r="C362" s="460" t="s">
        <v>1424</v>
      </c>
      <c r="D362" s="460"/>
      <c r="E362" s="461" t="s">
        <v>1446</v>
      </c>
      <c r="F362" s="462" t="s">
        <v>1447</v>
      </c>
      <c r="G362" s="462" t="s">
        <v>1448</v>
      </c>
      <c r="H362" s="461" t="s">
        <v>1449</v>
      </c>
      <c r="I362" s="462" t="s">
        <v>1450</v>
      </c>
      <c r="J362" s="462" t="s">
        <v>1451</v>
      </c>
      <c r="K362" s="463"/>
      <c r="L362" s="463"/>
      <c r="Q362" s="415" t="s">
        <v>1407</v>
      </c>
      <c r="R362" s="415" t="s">
        <v>1408</v>
      </c>
      <c r="V362" s="464" t="s">
        <v>961</v>
      </c>
      <c r="W362" s="464" t="s">
        <v>962</v>
      </c>
      <c r="AH362" s="447"/>
      <c r="AI362" s="447"/>
      <c r="AJ362" s="447"/>
      <c r="AK362" s="447"/>
    </row>
    <row r="363" spans="1:55" ht="17.25" hidden="1" customHeight="1" x14ac:dyDescent="0.25">
      <c r="A363" s="433" t="s">
        <v>1038</v>
      </c>
      <c r="B363" s="3217" t="s">
        <v>273</v>
      </c>
      <c r="C363" s="3217"/>
      <c r="D363" s="3217"/>
      <c r="E363" s="539"/>
      <c r="F363" s="539"/>
      <c r="G363" s="540"/>
      <c r="H363" s="539"/>
      <c r="I363" s="539"/>
      <c r="J363" s="540"/>
      <c r="K363" s="332"/>
      <c r="L363" s="332"/>
      <c r="U363" s="235" t="s">
        <v>960</v>
      </c>
      <c r="V363" s="465" t="str">
        <f ca="1">IFERROR(V364+V365,"")</f>
        <v/>
      </c>
      <c r="W363" s="465" t="str">
        <f ca="1">IFERROR(W364+W365,"")</f>
        <v/>
      </c>
      <c r="AI363" s="2"/>
      <c r="AJ363" s="2"/>
      <c r="AK363" s="2"/>
      <c r="AL363" s="270"/>
      <c r="AM363" s="271"/>
    </row>
    <row r="364" spans="1:55" ht="18" hidden="1" customHeight="1" x14ac:dyDescent="0.25">
      <c r="A364" s="433" t="s">
        <v>1038</v>
      </c>
      <c r="B364" s="541" t="str">
        <f>IFERROR(IF(ISBLANK(B17),"",B17),"")</f>
        <v>Electricity</v>
      </c>
      <c r="C364" s="3079" t="str">
        <f>IFERROR(IF(ISBLANK($B364),"",VLOOKUP($B364,PO_Enrgy_1_Table,MATCH($C$16,PO_Enrgy_1_Hdr,0),FALSE) ),"")</f>
        <v>kWh</v>
      </c>
      <c r="D364" s="3080" t="e">
        <f>IF(C364="","",VLOOKUP(C364,ProjectEnergyTypeTable,3,FALSE))</f>
        <v>#NAME?</v>
      </c>
      <c r="E364" s="798"/>
      <c r="F364" s="537" t="str">
        <f ca="1">IFERROR(VLOOKUP($B364,PO_Enrgy_9_Table,MATCH($E$336,PO_Enrgy_9_Hdr,0),FALSE)/$E$364*VLOOKUP(VLOOKUP("District Cooling",PO_Enrgy_9_Table,MATCH($C$336,PO_Enrgy_9_Hdr,0),FALSE),EnergyUnitsTable,3,FALSE)/VLOOKUP($C364,EnergyUnitsTable,3,FALSE),"")</f>
        <v/>
      </c>
      <c r="G364" s="529" t="str">
        <f ca="1">IFERROR(F364*VLOOKUP($B364,PO_Enrgy_8_Table,MATCH($H$316,PO_Enrgy_8_Hdr,0),FALSE),"")</f>
        <v/>
      </c>
      <c r="H364" s="799"/>
      <c r="I364" s="537">
        <f>IF(DESPath = 3,IFERROR(VLOOKUP("District Hot Water",PO_Enrgy_9_Table,MATCH($H$336,PO_Enrgy_9_Hdr,0),FALSE)/$H364*VLOOKUP(VLOOKUP("District Hot Water",PO_Enrgy_9_Table,MATCH($C$336,PO_Enrgy_9_Hdr,0),FALSE),EnergyUnitsTable,3,FALSE)/VLOOKUP($C364,EnergyUnitsTable,3,FALSE),0)+IFERROR(VLOOKUP("District Steam",PO_Enrgy_9_Table,MATCH($H$336,PO_Enrgy_9_Hdr,0),FALSE)/$H364*VLOOKUP(VLOOKUP("District Steam",PO_Enrgy_9_Table,MATCH($C$336,PO_Enrgy_9_Hdr,0),FALSE),EnergyUnitsTable,3,FALSE)/VLOOKUP($H364,EnergyUnitsTable,3,FALSE),0),0)</f>
        <v>0</v>
      </c>
      <c r="J364" s="529" t="str">
        <f ca="1">IFERROR(I364*VLOOKUP($B364,PO_Enrgy_8_Table,MATCH($H$316,PO_Enrgy_8_Hdr,0),FALSE),"")</f>
        <v/>
      </c>
      <c r="K364" s="332"/>
      <c r="L364" s="332"/>
      <c r="M364" s="332"/>
      <c r="Q364" s="416">
        <f>IFERROR(IF(ISBLANK($B364),"",VLOOKUP($B364,PO_Enrgy_1_Table,MATCH($K$16,PO_Enrgy_1_Hdr,0),FALSE)),"")</f>
        <v>3.4120000000000001E-3</v>
      </c>
      <c r="R364" s="416">
        <f>IFERROR(IF(ISBLANK($B364),"",VLOOKUP($B364,PO_Enrgy_1_Table,MATCH($M$16,PO_Enrgy_1_Hdr,0),FALSE)),"")</f>
        <v>1.0713680000000001E-2</v>
      </c>
      <c r="U364" s="235" t="s">
        <v>957</v>
      </c>
      <c r="V364" s="466" t="str">
        <f ca="1">IFERROR(VLOOKUP($B364,PO_Enrgy_8_Table,MATCH($H$316,PO_Enrgy_8_Hdr,0),FALSE)/$E$364*VLOOKUP(VLOOKUP("District Cooling",PO_Enrgy_9_Table,MATCH($C$336,PO_Enrgy_9_Hdr,0),FALSE),EnergyUnitsTable,3,FALSE)/VLOOKUP($C364,EnergyUnitsTable,3,FALSE),"")</f>
        <v/>
      </c>
      <c r="W364" s="466" t="str">
        <f ca="1">IFERROR(VLOOKUP($B364,PO_Enrgy_8_Table,MATCH($H$316,PO_Enrgy_8_Hdr,0),FALSE)/$H$364*(IFERROR(VLOOKUP(VLOOKUP("District Hot Water",PO_Enrgy_9_Table,MATCH($C$336,PO_Enrgy_9_Hdr,0),FALSE),EnergyUnitsTable,3,FALSE),1)+IFERROR(VLOOKUP(VLOOKUP("District Steam",PO_Enrgy_9_Table,MATCH($C$336,PO_Enrgy_9_Hdr,0),FALSE),EnergyUnitsTable,3,FALSE),1))/VLOOKUP($C364,EnergyUnitsTable,3,FALSE),"")</f>
        <v/>
      </c>
      <c r="AH364" s="449"/>
      <c r="AI364" s="449"/>
      <c r="AJ364" s="253"/>
      <c r="AK364" s="2"/>
      <c r="AL364" s="270"/>
      <c r="AM364" s="271"/>
      <c r="BC364" s="804"/>
    </row>
    <row r="365" spans="1:55" ht="18" hidden="1" customHeight="1" x14ac:dyDescent="0.25">
      <c r="A365" s="433" t="s">
        <v>1038</v>
      </c>
      <c r="B365" s="541" t="str">
        <f>IFERROR(IF(ISBLANK($B$361),"",$B$361),"")</f>
        <v/>
      </c>
      <c r="C365" s="3079" t="str">
        <f>IFERROR(IF(ISBLANK($B365),"",VLOOKUP($B365,PO_Enrgy_1_Table,MATCH($C$16,PO_Enrgy_1_Hdr,0),FALSE) ),"")</f>
        <v/>
      </c>
      <c r="D365" s="3080" t="str">
        <f>IF(C365="","",VLOOKUP(C365,ProjectEnergyTypeTable,3,FALSE))</f>
        <v/>
      </c>
      <c r="E365" s="799"/>
      <c r="F365" s="537" t="str">
        <f>IFERROR(VLOOKUP($B365,PO_Enrgy_9_Table,MATCH($E$336,PO_Enrgy_9_Hdr,0),FALSE)/$E$364*VLOOKUP(VLOOKUP("District Cooling",PO_Enrgy_9_Table,MATCH($C$336,PO_Enrgy_9_Hdr,0),FALSE),EnergyUnitsTable,3,FALSE)/VLOOKUP($C365,EnergyUnitsTable,3,FALSE),"")</f>
        <v/>
      </c>
      <c r="G365" s="529" t="str">
        <f>IFERROR(F365*VLOOKUP($B365,PO_Enrgy_8_Table,MATCH($H$316,PO_Enrgy_8_Hdr,0),FALSE),"")</f>
        <v/>
      </c>
      <c r="H365" s="800"/>
      <c r="I365" s="537">
        <f>IF(DESPath = 3,IFERROR(VLOOKUP("District Hot Water",PO_Enrgy_9_Table,MATCH($H$336,PO_Enrgy_9_Hdr,0),FALSE)/$H365*VLOOKUP(VLOOKUP("District Hot Water",PO_Enrgy_9_Table,MATCH($C$336,PO_Enrgy_9_Hdr,0),FALSE),EnergyUnitsTable,3,FALSE)/VLOOKUP($C365,EnergyUnitsTable,3,FALSE),0)+IFERROR(VLOOKUP("District Steam",PO_Enrgy_9_Table,MATCH($H$336,PO_Enrgy_9_Hdr,0),FALSE)/$H365*VLOOKUP(VLOOKUP("District Steam",PO_Enrgy_9_Table,MATCH($C$336,PO_Enrgy_9_Hdr,0),FALSE),EnergyUnitsTable,3,FALSE)/VLOOKUP($H365,EnergyUnitsTable,3,FALSE),0),0)</f>
        <v>0</v>
      </c>
      <c r="J365" s="529" t="str">
        <f>IFERROR(I365*VLOOKUP($B365,PO_Enrgy_8_Table,MATCH($H$316,PO_Enrgy_8_Hdr,0),FALSE),"")</f>
        <v/>
      </c>
      <c r="K365" s="332"/>
      <c r="L365" s="332"/>
      <c r="M365" s="332"/>
      <c r="Q365" s="416" t="str">
        <f>IFERROR(IF(ISBLANK($B365),"",VLOOKUP($B365,PO_Enrgy_1_Table,MATCH($K$16,PO_Enrgy_1_Hdr,0),FALSE)),"")</f>
        <v/>
      </c>
      <c r="R365" s="416" t="str">
        <f>IFERROR(IF(ISBLANK($B365),"",VLOOKUP($B365,PO_Enrgy_1_Table,MATCH($M$16,PO_Enrgy_1_Hdr,0),FALSE)),"")</f>
        <v/>
      </c>
      <c r="U365" s="235" t="s">
        <v>958</v>
      </c>
      <c r="V365" s="466" t="str">
        <f>IFERROR(VLOOKUP($B365,PO_Enrgy_8_Table,MATCH($H$316,PO_Enrgy_8_Hdr,0),FALSE)/$E$364*VLOOKUP(VLOOKUP("District Cooling",PO_Enrgy_9_Table,MATCH($C$336,PO_Enrgy_9_Hdr,0),FALSE),EnergyUnitsTable,3,FALSE)/VLOOKUP($C365,EnergyUnitsTable,3,FALSE),"")</f>
        <v/>
      </c>
      <c r="W365" s="466" t="str">
        <f>IFERROR(VLOOKUP($B365,PO_Enrgy_8_Table,MATCH($H$316,PO_Enrgy_8_Hdr,0),FALSE)/$H$364*(IFERROR(VLOOKUP(VLOOKUP("District Hot Water",PO_Enrgy_9_Table,MATCH($C$336,PO_Enrgy_9_Hdr,0),FALSE),EnergyUnitsTable,3,FALSE),1)+IFERROR(VLOOKUP(VLOOKUP("District Steam",PO_Enrgy_9_Table,MATCH($C$336,PO_Enrgy_9_Hdr,0),FALSE),EnergyUnitsTable,3,FALSE),1))/VLOOKUP($C365,EnergyUnitsTable,3,FALSE),"")</f>
        <v/>
      </c>
      <c r="AH365" s="449"/>
      <c r="AI365" s="449"/>
      <c r="AJ365" s="253"/>
      <c r="AK365" s="2"/>
      <c r="AL365" s="270" t="str">
        <f>IFERROR(G365/E365,"")</f>
        <v/>
      </c>
      <c r="AM365" s="271" t="str">
        <f>IFERROR(J365/H365,"")</f>
        <v/>
      </c>
      <c r="BC365" s="804"/>
    </row>
    <row r="366" spans="1:55" s="245" customFormat="1" ht="1.95" hidden="1" customHeight="1" x14ac:dyDescent="0.25">
      <c r="A366" s="433" t="s">
        <v>1038</v>
      </c>
      <c r="B366" s="531"/>
      <c r="C366" s="532"/>
      <c r="D366" s="531"/>
      <c r="E366" s="531"/>
      <c r="F366" s="531"/>
      <c r="G366" s="533"/>
      <c r="H366" s="532"/>
      <c r="I366" s="532" t="s">
        <v>867</v>
      </c>
      <c r="J366" s="531"/>
      <c r="K366" s="249"/>
      <c r="L366" s="249"/>
      <c r="M366" s="588"/>
      <c r="N366" s="235"/>
      <c r="O366" s="235"/>
      <c r="P366" s="235"/>
      <c r="AE366" s="302"/>
      <c r="AF366" s="302"/>
      <c r="AH366" s="2"/>
      <c r="AI366" s="2"/>
      <c r="AJ366" s="2"/>
      <c r="AK366" s="2"/>
    </row>
    <row r="367" spans="1:55" s="245" customFormat="1" ht="19.5" hidden="1" customHeight="1" x14ac:dyDescent="0.25">
      <c r="A367" s="433" t="s">
        <v>1038</v>
      </c>
      <c r="B367" s="3214"/>
      <c r="C367" s="3214"/>
      <c r="D367" s="3214"/>
      <c r="E367" s="249"/>
      <c r="F367" s="249"/>
      <c r="G367" s="235"/>
      <c r="H367" s="334"/>
      <c r="I367" s="334"/>
      <c r="J367" s="294"/>
      <c r="K367" s="232"/>
      <c r="L367" s="232"/>
      <c r="M367" s="293"/>
      <c r="N367" s="235"/>
      <c r="O367" s="235"/>
      <c r="P367" s="235"/>
      <c r="AH367" s="2"/>
      <c r="AI367" s="2"/>
      <c r="AJ367" s="2"/>
      <c r="AK367" s="2"/>
      <c r="AL367" s="270"/>
      <c r="AM367" s="271"/>
    </row>
    <row r="368" spans="1:55" ht="60" hidden="1" customHeight="1" x14ac:dyDescent="0.25">
      <c r="A368" s="433" t="s">
        <v>1038</v>
      </c>
      <c r="B368" s="3138" t="s">
        <v>354</v>
      </c>
      <c r="C368" s="3139" t="s">
        <v>1436</v>
      </c>
      <c r="D368" s="3102"/>
      <c r="E368" s="3101" t="s">
        <v>1041</v>
      </c>
      <c r="F368" s="3101"/>
      <c r="G368" s="3101"/>
      <c r="H368" s="3101" t="s">
        <v>1042</v>
      </c>
      <c r="I368" s="3101"/>
      <c r="J368" s="3101"/>
      <c r="K368" s="3100" t="s">
        <v>358</v>
      </c>
      <c r="L368" s="3101"/>
      <c r="M368" s="3120"/>
      <c r="N368" s="3190"/>
      <c r="O368" s="3190"/>
      <c r="P368" s="3190"/>
      <c r="AJ368" s="2"/>
      <c r="AL368" s="270"/>
      <c r="AM368" s="271"/>
    </row>
    <row r="369" spans="1:55" ht="48" hidden="1" customHeight="1" x14ac:dyDescent="0.25">
      <c r="A369" s="433" t="s">
        <v>1038</v>
      </c>
      <c r="B369" s="3102"/>
      <c r="C369" s="3102"/>
      <c r="D369" s="3102"/>
      <c r="E369" s="582" t="s">
        <v>902</v>
      </c>
      <c r="F369" s="584" t="str">
        <f>"Source Energy Use ("  &amp; PO_SourceUnits &amp; ")"</f>
        <v>Source Energy Use (Btu x 10^6)</v>
      </c>
      <c r="G369" s="582" t="s">
        <v>356</v>
      </c>
      <c r="H369" s="582" t="s">
        <v>902</v>
      </c>
      <c r="I369" s="584" t="str">
        <f>"Source Energy Use ("  &amp; PO_SourceUnits &amp; ")"</f>
        <v>Source Energy Use (Btu x 10^6)</v>
      </c>
      <c r="J369" s="582" t="s">
        <v>356</v>
      </c>
      <c r="K369" s="3100" t="s">
        <v>357</v>
      </c>
      <c r="L369" s="3185"/>
      <c r="M369" s="582" t="s">
        <v>356</v>
      </c>
      <c r="N369" s="334"/>
      <c r="O369" s="334"/>
      <c r="P369" s="334"/>
      <c r="AJ369" s="2"/>
    </row>
    <row r="370" spans="1:55" s="446" customFormat="1" ht="13.8" hidden="1" x14ac:dyDescent="0.25">
      <c r="A370" s="433" t="s">
        <v>1038</v>
      </c>
      <c r="B370" s="468" t="s">
        <v>1396</v>
      </c>
      <c r="C370" s="460" t="s">
        <v>1424</v>
      </c>
      <c r="D370" s="468"/>
      <c r="E370" s="469" t="s">
        <v>1452</v>
      </c>
      <c r="F370" s="468" t="s">
        <v>1453</v>
      </c>
      <c r="G370" s="469" t="s">
        <v>1454</v>
      </c>
      <c r="H370" s="469" t="s">
        <v>1437</v>
      </c>
      <c r="I370" s="468" t="s">
        <v>1438</v>
      </c>
      <c r="J370" s="469" t="s">
        <v>1439</v>
      </c>
      <c r="K370" s="469" t="s">
        <v>1455</v>
      </c>
      <c r="L370" s="460"/>
      <c r="M370" s="469" t="s">
        <v>1441</v>
      </c>
      <c r="N370" s="463"/>
      <c r="O370" s="463"/>
      <c r="P370" s="463"/>
      <c r="Q370" s="415" t="s">
        <v>1407</v>
      </c>
      <c r="R370" s="415" t="s">
        <v>1408</v>
      </c>
      <c r="AJ370" s="447"/>
    </row>
    <row r="371" spans="1:55" ht="15" hidden="1" customHeight="1" x14ac:dyDescent="0.25">
      <c r="A371" s="433" t="s">
        <v>1038</v>
      </c>
      <c r="B371" s="541" t="str">
        <f t="shared" ref="B371:B382" si="163">IFERROR(IF(ISBLANK(B17),"",B17),"")</f>
        <v>Electricity</v>
      </c>
      <c r="C371" s="3079" t="str">
        <f t="shared" ref="C371:C385" si="164">IFERROR(IF(ISBLANK($B371),"",VLOOKUP($B371,PO_Enrgy_1_Table,MATCH($C$16,PO_Enrgy_1_Hdr,0),FALSE) ),"")</f>
        <v>kWh</v>
      </c>
      <c r="D371" s="3080" t="e">
        <f>IF(C371="","",VLOOKUP(C371,ProjectEnergyTypeTable,3,FALSE))</f>
        <v>#NAME?</v>
      </c>
      <c r="E371" s="547">
        <f t="shared" ref="E371:E378" ca="1" si="165">IFERROR(IFERROR(IFERROR(VLOOKUP($B371,PO_DESbase_Enrgy_Table,MATCH($F$358,PO_DESbase_Enrgy_Hdr,0),FALSE),0)+IFERROR(VLOOKUP($B371,PO_DESbase_Enrgy_Table,MATCH($I$358,PO_DESbase_Enrgy_Hdr,0),FALSE),0),0)+IF(OR(DESPath&lt;&gt;3,AND(B371&lt;&gt;"District Cooling",B371&lt;&gt;"District Hot Water",B371&lt;&gt;"District Steam")),VLOOKUP($B371,PO_Enrgy_9_Table,MATCH($E$336,PO_Enrgy_9_Hdr,0),FALSE),0),"")</f>
        <v>0</v>
      </c>
      <c r="F371" s="547">
        <f t="shared" ref="F371:F376" ca="1" si="166">IFERROR(E371*$R371,"")</f>
        <v>0</v>
      </c>
      <c r="G371" s="529">
        <f t="shared" ref="G371:G378" si="167">IFERROR(IFERROR(IFERROR(VLOOKUP($B371,PO_DESbase_Enrgy_Table,MATCH($G$358,PO_DESbase_Enrgy_Hdr,0),FALSE),0)+IFERROR(VLOOKUP($B371,PO_DESbase_Enrgy_Table,MATCH($J$358,PO_DESbase_Enrgy_Hdr,0),FALSE),0),0)+IF(OR(DESPath&lt;&gt;3,AND(B371&lt;&gt;"District Cooling",B371&lt;&gt;"District Hot Water",B371&lt;&gt;"District Steam")),VLOOKUP($B371,PO_Enrgy_9_Table,MATCH($G$336,PO_Enrgy_9_Hdr,0),FALSE),0),"")</f>
        <v>0</v>
      </c>
      <c r="H371" s="547">
        <f t="shared" ref="H371:H378" ca="1" si="168">IFERROR(IFERROR(IFERROR(VLOOKUP($B371,PO_DESdesign_Enrgy_Table,MATCH($F$362,PO_DESdesign_Enrgy_Hdr,0),FALSE),0)+IFERROR(VLOOKUP($B371,PO_DESdesign_Enrgy_Table,MATCH($I$362,PO_DESdesign_Enrgy_Hdr,0),FALSE),0),0)+IF(OR(DESPath&lt;&gt;3,AND(B371&lt;&gt;"District Cooling",B371&lt;&gt;"District Hot Water",B371&lt;&gt;"District Steam")),VLOOKUP($B371,PO_Enrgy_9_Table,MATCH($H$336,PO_Enrgy_9_Hdr,0),FALSE),0),"")</f>
        <v>0</v>
      </c>
      <c r="I371" s="547">
        <f t="shared" ref="I371:I376" ca="1" si="169">IFERROR(H371*$R371,"")</f>
        <v>0</v>
      </c>
      <c r="J371" s="529">
        <f t="shared" ref="J371:J378" ca="1" si="170">IFERROR(IFERROR(IFERROR(VLOOKUP($B371,PO_DESdesign_Enrgy_Table,MATCH($G$362,PO_DESdesign_Enrgy_Hdr,0),FALSE),0)+IFERROR(VLOOKUP($B371,PO_DESdesign_Enrgy_Table,MATCH($J$362,PO_DESdesign_Enrgy_Hdr,0),FALSE),0),0)+IF(OR(DESPath&lt;&gt;3,AND(B371&lt;&gt;"District Cooling",B371&lt;&gt;"District Hot Water",B371&lt;&gt;"District Steam")),VLOOKUP($B371,PO_Enrgy_9_Table,MATCH($J$336,PO_Enrgy_9_Hdr,0),FALSE),0),"")</f>
        <v>0</v>
      </c>
      <c r="K371" s="3084" t="str">
        <f t="shared" ref="K371:K386" ca="1" si="171">IFERROR(1-H371/E371,"")</f>
        <v/>
      </c>
      <c r="L371" s="3085"/>
      <c r="M371" s="659" t="str">
        <f t="shared" ref="M371:M386" ca="1" si="172">IFERROR(1-J371/G371,"")</f>
        <v/>
      </c>
      <c r="Q371" s="416">
        <f t="shared" ref="Q371:Q385" si="173">IFERROR(IF(ISBLANK($B371),"",VLOOKUP($B371,PO_Enrgy_1_Table,MATCH($K$16,PO_Enrgy_1_Hdr,0),FALSE)),"")</f>
        <v>3.4120000000000001E-3</v>
      </c>
      <c r="R371" s="416">
        <f t="shared" ref="R371:R385" si="174">IFERROR(IF(ISBLANK($B371),"",VLOOKUP($B371,PO_Enrgy_1_Table,MATCH($M$16,PO_Enrgy_1_Hdr,0),FALSE)),"")</f>
        <v>1.0713680000000001E-2</v>
      </c>
      <c r="AH371" s="263"/>
      <c r="AI371" s="263"/>
      <c r="AJ371" s="253"/>
      <c r="AL371" s="270"/>
      <c r="AM371" s="271"/>
      <c r="AR371" s="254"/>
      <c r="BC371" s="804"/>
    </row>
    <row r="372" spans="1:55" ht="15" hidden="1" customHeight="1" x14ac:dyDescent="0.25">
      <c r="A372" s="433" t="s">
        <v>1038</v>
      </c>
      <c r="B372" s="541" t="str">
        <f t="shared" si="163"/>
        <v>Natural Gas</v>
      </c>
      <c r="C372" s="3079" t="str">
        <f t="shared" si="164"/>
        <v>therm</v>
      </c>
      <c r="D372" s="3080" t="e">
        <f>IF(C372="","",VLOOKUP(C372,ProjectEnergyTypeTable,3,FALSE))</f>
        <v>#NAME?</v>
      </c>
      <c r="E372" s="547">
        <f t="shared" ca="1" si="165"/>
        <v>0</v>
      </c>
      <c r="F372" s="547">
        <f t="shared" ca="1" si="166"/>
        <v>0</v>
      </c>
      <c r="G372" s="529">
        <f t="shared" si="167"/>
        <v>0</v>
      </c>
      <c r="H372" s="547">
        <f t="shared" ca="1" si="168"/>
        <v>0</v>
      </c>
      <c r="I372" s="547">
        <f t="shared" ca="1" si="169"/>
        <v>0</v>
      </c>
      <c r="J372" s="529">
        <f t="shared" si="170"/>
        <v>0</v>
      </c>
      <c r="K372" s="3084" t="str">
        <f t="shared" ca="1" si="171"/>
        <v/>
      </c>
      <c r="L372" s="3085"/>
      <c r="M372" s="659" t="str">
        <f t="shared" si="172"/>
        <v/>
      </c>
      <c r="Q372" s="416">
        <f t="shared" si="173"/>
        <v>0.1</v>
      </c>
      <c r="R372" s="416">
        <f t="shared" si="174"/>
        <v>0.10500000000000001</v>
      </c>
      <c r="AH372" s="263"/>
      <c r="AI372" s="263"/>
      <c r="AJ372" s="253"/>
      <c r="AL372" s="270"/>
      <c r="AM372" s="271"/>
      <c r="AR372" s="254"/>
      <c r="BC372" s="804"/>
    </row>
    <row r="373" spans="1:55" ht="15" hidden="1" customHeight="1" x14ac:dyDescent="0.25">
      <c r="A373" s="433" t="s">
        <v>1038</v>
      </c>
      <c r="B373" s="541" t="str">
        <f t="shared" si="163"/>
        <v>District Cooling</v>
      </c>
      <c r="C373" s="3079" t="str">
        <f t="shared" si="164"/>
        <v>MWh</v>
      </c>
      <c r="D373" s="3080" t="e">
        <f>IF(C373="","",VLOOKUP(C373,ProjectEnergyTypeTable,3,FALSE))</f>
        <v>#NAME?</v>
      </c>
      <c r="E373" s="547">
        <f t="shared" si="165"/>
        <v>0</v>
      </c>
      <c r="F373" s="547">
        <f t="shared" si="166"/>
        <v>0</v>
      </c>
      <c r="G373" s="529">
        <f t="shared" si="167"/>
        <v>0</v>
      </c>
      <c r="H373" s="547">
        <f t="shared" si="168"/>
        <v>0</v>
      </c>
      <c r="I373" s="547">
        <f t="shared" si="169"/>
        <v>0</v>
      </c>
      <c r="J373" s="529">
        <f t="shared" si="170"/>
        <v>0</v>
      </c>
      <c r="K373" s="3084" t="str">
        <f t="shared" si="171"/>
        <v/>
      </c>
      <c r="L373" s="3085"/>
      <c r="M373" s="659" t="str">
        <f t="shared" si="172"/>
        <v/>
      </c>
      <c r="Q373" s="416">
        <f t="shared" si="173"/>
        <v>3.4119999999999999</v>
      </c>
      <c r="R373" s="416">
        <f t="shared" si="174"/>
        <v>3.4119999999999999</v>
      </c>
      <c r="AH373" s="263"/>
      <c r="AI373" s="263"/>
      <c r="AJ373" s="253"/>
      <c r="AL373" s="270"/>
      <c r="AM373" s="271"/>
      <c r="AR373" s="254"/>
      <c r="BC373" s="804"/>
    </row>
    <row r="374" spans="1:55" ht="15" hidden="1" customHeight="1" x14ac:dyDescent="0.25">
      <c r="A374" s="433" t="s">
        <v>1038</v>
      </c>
      <c r="B374" s="541" t="str">
        <f t="shared" si="163"/>
        <v>District Cooling</v>
      </c>
      <c r="C374" s="3079" t="str">
        <f t="shared" si="164"/>
        <v>MWh</v>
      </c>
      <c r="D374" s="3080" t="e">
        <f>IF(C374="","",VLOOKUP(C374,ProjectEnergyTypeTable,3,FALSE))</f>
        <v>#NAME?</v>
      </c>
      <c r="E374" s="547">
        <f t="shared" si="165"/>
        <v>0</v>
      </c>
      <c r="F374" s="547">
        <f t="shared" si="166"/>
        <v>0</v>
      </c>
      <c r="G374" s="529">
        <f t="shared" si="167"/>
        <v>0</v>
      </c>
      <c r="H374" s="547">
        <f t="shared" si="168"/>
        <v>0</v>
      </c>
      <c r="I374" s="547">
        <f t="shared" si="169"/>
        <v>0</v>
      </c>
      <c r="J374" s="529">
        <f t="shared" si="170"/>
        <v>0</v>
      </c>
      <c r="K374" s="3084" t="str">
        <f t="shared" si="171"/>
        <v/>
      </c>
      <c r="L374" s="3085"/>
      <c r="M374" s="659" t="str">
        <f t="shared" si="172"/>
        <v/>
      </c>
      <c r="Q374" s="416">
        <f t="shared" si="173"/>
        <v>3.4119999999999999</v>
      </c>
      <c r="R374" s="416">
        <f t="shared" si="174"/>
        <v>3.4119999999999999</v>
      </c>
      <c r="AH374" s="263"/>
      <c r="AI374" s="263"/>
      <c r="AJ374" s="253"/>
      <c r="AL374" s="270"/>
      <c r="AM374" s="271"/>
      <c r="AR374" s="254"/>
      <c r="BC374" s="804"/>
    </row>
    <row r="375" spans="1:55" ht="15" hidden="1" customHeight="1" x14ac:dyDescent="0.25">
      <c r="A375" s="433" t="s">
        <v>1038</v>
      </c>
      <c r="B375" s="541" t="str">
        <f t="shared" si="163"/>
        <v>District Cooling</v>
      </c>
      <c r="C375" s="3079" t="str">
        <f t="shared" si="164"/>
        <v>MWh</v>
      </c>
      <c r="D375" s="3080" t="e">
        <f>IF(C375="","",VLOOKUP(C375,ProjectEnergyTypeTable,3,FALSE))</f>
        <v>#NAME?</v>
      </c>
      <c r="E375" s="547">
        <f t="shared" si="165"/>
        <v>0</v>
      </c>
      <c r="F375" s="547">
        <f t="shared" si="166"/>
        <v>0</v>
      </c>
      <c r="G375" s="529">
        <f t="shared" si="167"/>
        <v>0</v>
      </c>
      <c r="H375" s="547">
        <f t="shared" si="168"/>
        <v>0</v>
      </c>
      <c r="I375" s="547">
        <f t="shared" si="169"/>
        <v>0</v>
      </c>
      <c r="J375" s="529">
        <f t="shared" si="170"/>
        <v>0</v>
      </c>
      <c r="K375" s="3084" t="str">
        <f t="shared" si="171"/>
        <v/>
      </c>
      <c r="L375" s="3085"/>
      <c r="M375" s="659" t="str">
        <f t="shared" si="172"/>
        <v/>
      </c>
      <c r="Q375" s="416">
        <f t="shared" si="173"/>
        <v>3.4119999999999999</v>
      </c>
      <c r="R375" s="416">
        <f t="shared" si="174"/>
        <v>3.4119999999999999</v>
      </c>
      <c r="AH375" s="263"/>
      <c r="AI375" s="263"/>
      <c r="AJ375" s="253"/>
      <c r="AL375" s="270"/>
      <c r="AM375" s="271"/>
      <c r="AR375" s="254"/>
      <c r="BC375" s="804"/>
    </row>
    <row r="376" spans="1:55" ht="15" hidden="1" customHeight="1" x14ac:dyDescent="0.25">
      <c r="A376" s="433" t="s">
        <v>1038</v>
      </c>
      <c r="B376" s="541" t="str">
        <f t="shared" si="163"/>
        <v>District Cooling</v>
      </c>
      <c r="C376" s="3079" t="str">
        <f t="shared" si="164"/>
        <v>MWh</v>
      </c>
      <c r="D376" s="3080" t="e">
        <f>IF(C376="","",VLOOKUP(C376,ProjectEnergyTypeTable,3,FALSE))</f>
        <v>#NAME?</v>
      </c>
      <c r="E376" s="547">
        <f t="shared" si="165"/>
        <v>0</v>
      </c>
      <c r="F376" s="547">
        <f t="shared" si="166"/>
        <v>0</v>
      </c>
      <c r="G376" s="529">
        <f t="shared" si="167"/>
        <v>0</v>
      </c>
      <c r="H376" s="547">
        <f t="shared" si="168"/>
        <v>0</v>
      </c>
      <c r="I376" s="547">
        <f t="shared" si="169"/>
        <v>0</v>
      </c>
      <c r="J376" s="529">
        <f t="shared" si="170"/>
        <v>0</v>
      </c>
      <c r="K376" s="3084" t="str">
        <f t="shared" ref="K376" si="175">IFERROR(1-H376/E376,"")</f>
        <v/>
      </c>
      <c r="L376" s="3085"/>
      <c r="M376" s="659" t="str">
        <f t="shared" ref="M376" si="176">IFERROR(1-J376/G376,"")</f>
        <v/>
      </c>
      <c r="Q376" s="416">
        <f t="shared" si="173"/>
        <v>3.4119999999999999</v>
      </c>
      <c r="R376" s="416">
        <f t="shared" si="174"/>
        <v>3.4119999999999999</v>
      </c>
      <c r="AH376" s="263"/>
      <c r="AI376" s="263"/>
      <c r="AJ376" s="253"/>
      <c r="AL376" s="270"/>
      <c r="AM376" s="271"/>
      <c r="AR376" s="254"/>
      <c r="BC376" s="804"/>
    </row>
    <row r="377" spans="1:55" ht="15" hidden="1" customHeight="1" x14ac:dyDescent="0.25">
      <c r="A377" s="433" t="s">
        <v>1038</v>
      </c>
      <c r="B377" s="541" t="str">
        <f t="shared" si="163"/>
        <v>District Cooling</v>
      </c>
      <c r="C377" s="3079" t="str">
        <f t="shared" si="164"/>
        <v>MWh</v>
      </c>
      <c r="D377" s="3080" t="e">
        <f>IF(C377="","",VLOOKUP(C377,ProjectEnergyTypeTable,3,FALSE))</f>
        <v>#NAME?</v>
      </c>
      <c r="E377" s="547">
        <f t="shared" si="165"/>
        <v>0</v>
      </c>
      <c r="F377" s="547">
        <f t="shared" ref="F377:F378" si="177">IFERROR(E377*$R377,"")</f>
        <v>0</v>
      </c>
      <c r="G377" s="529">
        <f t="shared" si="167"/>
        <v>0</v>
      </c>
      <c r="H377" s="547">
        <f t="shared" si="168"/>
        <v>0</v>
      </c>
      <c r="I377" s="547">
        <f t="shared" ref="I377:I378" si="178">IFERROR(H377*$R377,"")</f>
        <v>0</v>
      </c>
      <c r="J377" s="529">
        <f t="shared" si="170"/>
        <v>0</v>
      </c>
      <c r="K377" s="3084" t="str">
        <f t="shared" ref="K377:K378" si="179">IFERROR(1-H377/E377,"")</f>
        <v/>
      </c>
      <c r="L377" s="3085"/>
      <c r="M377" s="659" t="str">
        <f t="shared" ref="M377:M378" si="180">IFERROR(1-J377/G377,"")</f>
        <v/>
      </c>
      <c r="Q377" s="416">
        <f t="shared" si="173"/>
        <v>3.4119999999999999</v>
      </c>
      <c r="R377" s="416">
        <f t="shared" si="174"/>
        <v>3.4119999999999999</v>
      </c>
      <c r="AH377" s="263"/>
      <c r="AI377" s="263"/>
      <c r="AJ377" s="253"/>
      <c r="AL377" s="270"/>
      <c r="AM377" s="271"/>
      <c r="AR377" s="254"/>
      <c r="BC377" s="804"/>
    </row>
    <row r="378" spans="1:55" ht="15" hidden="1" customHeight="1" x14ac:dyDescent="0.25">
      <c r="A378" s="433" t="s">
        <v>1038</v>
      </c>
      <c r="B378" s="541" t="str">
        <f t="shared" si="163"/>
        <v>District Cooling</v>
      </c>
      <c r="C378" s="3079" t="str">
        <f t="shared" si="164"/>
        <v>MWh</v>
      </c>
      <c r="D378" s="3080" t="e">
        <f>IF(C378="","",VLOOKUP(C378,ProjectEnergyTypeTable,3,FALSE))</f>
        <v>#NAME?</v>
      </c>
      <c r="E378" s="547">
        <f t="shared" si="165"/>
        <v>0</v>
      </c>
      <c r="F378" s="547">
        <f t="shared" si="177"/>
        <v>0</v>
      </c>
      <c r="G378" s="529">
        <f t="shared" si="167"/>
        <v>0</v>
      </c>
      <c r="H378" s="547">
        <f t="shared" si="168"/>
        <v>0</v>
      </c>
      <c r="I378" s="547">
        <f t="shared" si="178"/>
        <v>0</v>
      </c>
      <c r="J378" s="529">
        <f t="shared" si="170"/>
        <v>0</v>
      </c>
      <c r="K378" s="3084" t="str">
        <f t="shared" si="179"/>
        <v/>
      </c>
      <c r="L378" s="3085"/>
      <c r="M378" s="659" t="str">
        <f t="shared" si="180"/>
        <v/>
      </c>
      <c r="Q378" s="416">
        <f t="shared" si="173"/>
        <v>3.4119999999999999</v>
      </c>
      <c r="R378" s="416">
        <f t="shared" si="174"/>
        <v>3.4119999999999999</v>
      </c>
      <c r="AH378" s="263"/>
      <c r="AI378" s="263"/>
      <c r="AJ378" s="253"/>
      <c r="AL378" s="270"/>
      <c r="AM378" s="271"/>
      <c r="AR378" s="254"/>
      <c r="BC378" s="804"/>
    </row>
    <row r="379" spans="1:55" ht="15" hidden="1" customHeight="1" x14ac:dyDescent="0.25">
      <c r="A379" s="433" t="s">
        <v>1038</v>
      </c>
      <c r="B379" s="541" t="str">
        <f t="shared" si="163"/>
        <v>District Cooling</v>
      </c>
      <c r="C379" s="3079" t="str">
        <f t="shared" si="164"/>
        <v>MWh</v>
      </c>
      <c r="D379" s="3080" t="e">
        <f>IF(C379="","",VLOOKUP(C379,ProjectEnergyTypeTable,3,FALSE))</f>
        <v>#NAME?</v>
      </c>
      <c r="E379" s="547">
        <f t="shared" ref="E379" si="181">IFERROR(IFERROR(IFERROR(VLOOKUP($B379,PO_DESbase_Enrgy_Table,MATCH($F$358,PO_DESbase_Enrgy_Hdr,0),FALSE),0)+IFERROR(VLOOKUP($B379,PO_DESbase_Enrgy_Table,MATCH($I$358,PO_DESbase_Enrgy_Hdr,0),FALSE),0),0)+IF(OR(DESPath&lt;&gt;3,AND(B379&lt;&gt;"District Cooling",B379&lt;&gt;"District Hot Water",B379&lt;&gt;"District Steam")),VLOOKUP($B379,PO_Enrgy_9_Table,MATCH($E$336,PO_Enrgy_9_Hdr,0),FALSE),0),"")</f>
        <v>0</v>
      </c>
      <c r="F379" s="547">
        <f t="shared" ref="F379" si="182">IFERROR(E379*$R379,"")</f>
        <v>0</v>
      </c>
      <c r="G379" s="529">
        <f t="shared" ref="G379" si="183">IFERROR(IFERROR(IFERROR(VLOOKUP($B379,PO_DESbase_Enrgy_Table,MATCH($G$358,PO_DESbase_Enrgy_Hdr,0),FALSE),0)+IFERROR(VLOOKUP($B379,PO_DESbase_Enrgy_Table,MATCH($J$358,PO_DESbase_Enrgy_Hdr,0),FALSE),0),0)+IF(OR(DESPath&lt;&gt;3,AND(B379&lt;&gt;"District Cooling",B379&lt;&gt;"District Hot Water",B379&lt;&gt;"District Steam")),VLOOKUP($B379,PO_Enrgy_9_Table,MATCH($G$336,PO_Enrgy_9_Hdr,0),FALSE),0),"")</f>
        <v>0</v>
      </c>
      <c r="H379" s="547">
        <f t="shared" ref="H379" si="184">IFERROR(IFERROR(IFERROR(VLOOKUP($B379,PO_DESdesign_Enrgy_Table,MATCH($F$362,PO_DESdesign_Enrgy_Hdr,0),FALSE),0)+IFERROR(VLOOKUP($B379,PO_DESdesign_Enrgy_Table,MATCH($I$362,PO_DESdesign_Enrgy_Hdr,0),FALSE),0),0)+IF(OR(DESPath&lt;&gt;3,AND(B379&lt;&gt;"District Cooling",B379&lt;&gt;"District Hot Water",B379&lt;&gt;"District Steam")),VLOOKUP($B379,PO_Enrgy_9_Table,MATCH($H$336,PO_Enrgy_9_Hdr,0),FALSE),0),"")</f>
        <v>0</v>
      </c>
      <c r="I379" s="547">
        <f t="shared" ref="I379" si="185">IFERROR(H379*$R379,"")</f>
        <v>0</v>
      </c>
      <c r="J379" s="529">
        <f t="shared" ref="J379" si="186">IFERROR(IFERROR(IFERROR(VLOOKUP($B379,PO_DESdesign_Enrgy_Table,MATCH($G$362,PO_DESdesign_Enrgy_Hdr,0),FALSE),0)+IFERROR(VLOOKUP($B379,PO_DESdesign_Enrgy_Table,MATCH($J$362,PO_DESdesign_Enrgy_Hdr,0),FALSE),0),0)+IF(OR(DESPath&lt;&gt;3,AND(B379&lt;&gt;"District Cooling",B379&lt;&gt;"District Hot Water",B379&lt;&gt;"District Steam")),VLOOKUP($B379,PO_Enrgy_9_Table,MATCH($J$336,PO_Enrgy_9_Hdr,0),FALSE),0),"")</f>
        <v>0</v>
      </c>
      <c r="K379" s="3084" t="str">
        <f t="shared" ref="K379" si="187">IFERROR(1-H379/E379,"")</f>
        <v/>
      </c>
      <c r="L379" s="3085"/>
      <c r="M379" s="659" t="str">
        <f t="shared" ref="M379" si="188">IFERROR(1-J379/G379,"")</f>
        <v/>
      </c>
      <c r="Q379" s="416">
        <f t="shared" si="173"/>
        <v>3.4119999999999999</v>
      </c>
      <c r="R379" s="416">
        <f t="shared" si="174"/>
        <v>3.4119999999999999</v>
      </c>
      <c r="AH379" s="263"/>
      <c r="AI379" s="263"/>
      <c r="AJ379" s="253"/>
      <c r="AL379" s="270"/>
      <c r="AM379" s="271"/>
      <c r="AR379" s="254"/>
      <c r="BC379" s="804"/>
    </row>
    <row r="380" spans="1:55" ht="15" hidden="1" customHeight="1" x14ac:dyDescent="0.25">
      <c r="A380" s="433" t="s">
        <v>1038</v>
      </c>
      <c r="B380" s="541" t="str">
        <f t="shared" si="163"/>
        <v>District Cooling</v>
      </c>
      <c r="C380" s="3079" t="str">
        <f t="shared" si="164"/>
        <v>MWh</v>
      </c>
      <c r="D380" s="3080" t="e">
        <f>IF(C380="","",VLOOKUP(C380,ProjectEnergyTypeTable,3,FALSE))</f>
        <v>#NAME?</v>
      </c>
      <c r="E380" s="547">
        <f t="shared" ref="E380" si="189">IFERROR(IFERROR(IFERROR(VLOOKUP($B380,PO_DESbase_Enrgy_Table,MATCH($F$358,PO_DESbase_Enrgy_Hdr,0),FALSE),0)+IFERROR(VLOOKUP($B380,PO_DESbase_Enrgy_Table,MATCH($I$358,PO_DESbase_Enrgy_Hdr,0),FALSE),0),0)+IF(OR(DESPath&lt;&gt;3,AND(B380&lt;&gt;"District Cooling",B380&lt;&gt;"District Hot Water",B380&lt;&gt;"District Steam")),VLOOKUP($B380,PO_Enrgy_9_Table,MATCH($E$336,PO_Enrgy_9_Hdr,0),FALSE),0),"")</f>
        <v>0</v>
      </c>
      <c r="F380" s="547">
        <f t="shared" ref="F380" si="190">IFERROR(E380*$R380,"")</f>
        <v>0</v>
      </c>
      <c r="G380" s="529">
        <f t="shared" ref="G380" si="191">IFERROR(IFERROR(IFERROR(VLOOKUP($B380,PO_DESbase_Enrgy_Table,MATCH($G$358,PO_DESbase_Enrgy_Hdr,0),FALSE),0)+IFERROR(VLOOKUP($B380,PO_DESbase_Enrgy_Table,MATCH($J$358,PO_DESbase_Enrgy_Hdr,0),FALSE),0),0)+IF(OR(DESPath&lt;&gt;3,AND(B380&lt;&gt;"District Cooling",B380&lt;&gt;"District Hot Water",B380&lt;&gt;"District Steam")),VLOOKUP($B380,PO_Enrgy_9_Table,MATCH($G$336,PO_Enrgy_9_Hdr,0),FALSE),0),"")</f>
        <v>0</v>
      </c>
      <c r="H380" s="547">
        <f t="shared" ref="H380" si="192">IFERROR(IFERROR(IFERROR(VLOOKUP($B380,PO_DESdesign_Enrgy_Table,MATCH($F$362,PO_DESdesign_Enrgy_Hdr,0),FALSE),0)+IFERROR(VLOOKUP($B380,PO_DESdesign_Enrgy_Table,MATCH($I$362,PO_DESdesign_Enrgy_Hdr,0),FALSE),0),0)+IF(OR(DESPath&lt;&gt;3,AND(B380&lt;&gt;"District Cooling",B380&lt;&gt;"District Hot Water",B380&lt;&gt;"District Steam")),VLOOKUP($B380,PO_Enrgy_9_Table,MATCH($H$336,PO_Enrgy_9_Hdr,0),FALSE),0),"")</f>
        <v>0</v>
      </c>
      <c r="I380" s="547">
        <f t="shared" ref="I380" si="193">IFERROR(H380*$R380,"")</f>
        <v>0</v>
      </c>
      <c r="J380" s="529">
        <f t="shared" ref="J380" si="194">IFERROR(IFERROR(IFERROR(VLOOKUP($B380,PO_DESdesign_Enrgy_Table,MATCH($G$362,PO_DESdesign_Enrgy_Hdr,0),FALSE),0)+IFERROR(VLOOKUP($B380,PO_DESdesign_Enrgy_Table,MATCH($J$362,PO_DESdesign_Enrgy_Hdr,0),FALSE),0),0)+IF(OR(DESPath&lt;&gt;3,AND(B380&lt;&gt;"District Cooling",B380&lt;&gt;"District Hot Water",B380&lt;&gt;"District Steam")),VLOOKUP($B380,PO_Enrgy_9_Table,MATCH($J$336,PO_Enrgy_9_Hdr,0),FALSE),0),"")</f>
        <v>0</v>
      </c>
      <c r="K380" s="3084" t="str">
        <f t="shared" ref="K380" si="195">IFERROR(1-H380/E380,"")</f>
        <v/>
      </c>
      <c r="L380" s="3085"/>
      <c r="M380" s="659" t="str">
        <f t="shared" ref="M380" si="196">IFERROR(1-J380/G380,"")</f>
        <v/>
      </c>
      <c r="Q380" s="416">
        <f t="shared" si="173"/>
        <v>3.4119999999999999</v>
      </c>
      <c r="R380" s="416">
        <f t="shared" si="174"/>
        <v>3.4119999999999999</v>
      </c>
      <c r="AH380" s="263"/>
      <c r="AI380" s="263"/>
      <c r="AJ380" s="253"/>
      <c r="AL380" s="270"/>
      <c r="AM380" s="271"/>
      <c r="AR380" s="254"/>
      <c r="BC380" s="804"/>
    </row>
    <row r="381" spans="1:55" ht="15" hidden="1" customHeight="1" x14ac:dyDescent="0.25">
      <c r="A381" s="433" t="s">
        <v>1038</v>
      </c>
      <c r="B381" s="541" t="str">
        <f t="shared" si="163"/>
        <v>District Cooling</v>
      </c>
      <c r="C381" s="3079" t="str">
        <f t="shared" si="164"/>
        <v>MWh</v>
      </c>
      <c r="D381" s="3080" t="e">
        <f>IF(C381="","",VLOOKUP(C381,ProjectEnergyTypeTable,3,FALSE))</f>
        <v>#NAME?</v>
      </c>
      <c r="E381" s="547">
        <f t="shared" ref="E381" si="197">IFERROR(IFERROR(IFERROR(VLOOKUP($B381,PO_DESbase_Enrgy_Table,MATCH($F$358,PO_DESbase_Enrgy_Hdr,0),FALSE),0)+IFERROR(VLOOKUP($B381,PO_DESbase_Enrgy_Table,MATCH($I$358,PO_DESbase_Enrgy_Hdr,0),FALSE),0),0)+IF(OR(DESPath&lt;&gt;3,AND(B381&lt;&gt;"District Cooling",B381&lt;&gt;"District Hot Water",B381&lt;&gt;"District Steam")),VLOOKUP($B381,PO_Enrgy_9_Table,MATCH($E$336,PO_Enrgy_9_Hdr,0),FALSE),0),"")</f>
        <v>0</v>
      </c>
      <c r="F381" s="547">
        <f t="shared" ref="F381" si="198">IFERROR(E381*$R381,"")</f>
        <v>0</v>
      </c>
      <c r="G381" s="529">
        <f t="shared" ref="G381" si="199">IFERROR(IFERROR(IFERROR(VLOOKUP($B381,PO_DESbase_Enrgy_Table,MATCH($G$358,PO_DESbase_Enrgy_Hdr,0),FALSE),0)+IFERROR(VLOOKUP($B381,PO_DESbase_Enrgy_Table,MATCH($J$358,PO_DESbase_Enrgy_Hdr,0),FALSE),0),0)+IF(OR(DESPath&lt;&gt;3,AND(B381&lt;&gt;"District Cooling",B381&lt;&gt;"District Hot Water",B381&lt;&gt;"District Steam")),VLOOKUP($B381,PO_Enrgy_9_Table,MATCH($G$336,PO_Enrgy_9_Hdr,0),FALSE),0),"")</f>
        <v>0</v>
      </c>
      <c r="H381" s="547">
        <f t="shared" ref="H381" si="200">IFERROR(IFERROR(IFERROR(VLOOKUP($B381,PO_DESdesign_Enrgy_Table,MATCH($F$362,PO_DESdesign_Enrgy_Hdr,0),FALSE),0)+IFERROR(VLOOKUP($B381,PO_DESdesign_Enrgy_Table,MATCH($I$362,PO_DESdesign_Enrgy_Hdr,0),FALSE),0),0)+IF(OR(DESPath&lt;&gt;3,AND(B381&lt;&gt;"District Cooling",B381&lt;&gt;"District Hot Water",B381&lt;&gt;"District Steam")),VLOOKUP($B381,PO_Enrgy_9_Table,MATCH($H$336,PO_Enrgy_9_Hdr,0),FALSE),0),"")</f>
        <v>0</v>
      </c>
      <c r="I381" s="547">
        <f t="shared" ref="I381" si="201">IFERROR(H381*$R381,"")</f>
        <v>0</v>
      </c>
      <c r="J381" s="529">
        <f t="shared" ref="J381" si="202">IFERROR(IFERROR(IFERROR(VLOOKUP($B381,PO_DESdesign_Enrgy_Table,MATCH($G$362,PO_DESdesign_Enrgy_Hdr,0),FALSE),0)+IFERROR(VLOOKUP($B381,PO_DESdesign_Enrgy_Table,MATCH($J$362,PO_DESdesign_Enrgy_Hdr,0),FALSE),0),0)+IF(OR(DESPath&lt;&gt;3,AND(B381&lt;&gt;"District Cooling",B381&lt;&gt;"District Hot Water",B381&lt;&gt;"District Steam")),VLOOKUP($B381,PO_Enrgy_9_Table,MATCH($J$336,PO_Enrgy_9_Hdr,0),FALSE),0),"")</f>
        <v>0</v>
      </c>
      <c r="K381" s="3084" t="str">
        <f t="shared" ref="K381" si="203">IFERROR(1-H381/E381,"")</f>
        <v/>
      </c>
      <c r="L381" s="3085"/>
      <c r="M381" s="659" t="str">
        <f t="shared" ref="M381" si="204">IFERROR(1-J381/G381,"")</f>
        <v/>
      </c>
      <c r="Q381" s="416">
        <f t="shared" si="173"/>
        <v>3.4119999999999999</v>
      </c>
      <c r="R381" s="416">
        <f t="shared" si="174"/>
        <v>3.4119999999999999</v>
      </c>
      <c r="AH381" s="263"/>
      <c r="AI381" s="263"/>
      <c r="AJ381" s="253"/>
      <c r="AL381" s="270"/>
      <c r="AM381" s="271"/>
      <c r="AR381" s="254"/>
      <c r="BC381" s="804"/>
    </row>
    <row r="382" spans="1:55" ht="15" hidden="1" customHeight="1" x14ac:dyDescent="0.25">
      <c r="A382" s="433" t="s">
        <v>1038</v>
      </c>
      <c r="B382" s="541" t="str">
        <f t="shared" si="163"/>
        <v>District Cooling</v>
      </c>
      <c r="C382" s="3079" t="str">
        <f t="shared" si="164"/>
        <v>MWh</v>
      </c>
      <c r="D382" s="3080" t="e">
        <f>IF(C382="","",VLOOKUP(C382,ProjectEnergyTypeTable,3,FALSE))</f>
        <v>#NAME?</v>
      </c>
      <c r="E382" s="547">
        <f t="shared" ref="E382" si="205">IFERROR(IFERROR(IFERROR(VLOOKUP($B382,PO_DESbase_Enrgy_Table,MATCH($F$358,PO_DESbase_Enrgy_Hdr,0),FALSE),0)+IFERROR(VLOOKUP($B382,PO_DESbase_Enrgy_Table,MATCH($I$358,PO_DESbase_Enrgy_Hdr,0),FALSE),0),0)+IF(OR(DESPath&lt;&gt;3,AND(B382&lt;&gt;"District Cooling",B382&lt;&gt;"District Hot Water",B382&lt;&gt;"District Steam")),VLOOKUP($B382,PO_Enrgy_9_Table,MATCH($E$336,PO_Enrgy_9_Hdr,0),FALSE),0),"")</f>
        <v>0</v>
      </c>
      <c r="F382" s="547">
        <f t="shared" ref="F382" si="206">IFERROR(E382*$R382,"")</f>
        <v>0</v>
      </c>
      <c r="G382" s="529">
        <f t="shared" ref="G382" si="207">IFERROR(IFERROR(IFERROR(VLOOKUP($B382,PO_DESbase_Enrgy_Table,MATCH($G$358,PO_DESbase_Enrgy_Hdr,0),FALSE),0)+IFERROR(VLOOKUP($B382,PO_DESbase_Enrgy_Table,MATCH($J$358,PO_DESbase_Enrgy_Hdr,0),FALSE),0),0)+IF(OR(DESPath&lt;&gt;3,AND(B382&lt;&gt;"District Cooling",B382&lt;&gt;"District Hot Water",B382&lt;&gt;"District Steam")),VLOOKUP($B382,PO_Enrgy_9_Table,MATCH($G$336,PO_Enrgy_9_Hdr,0),FALSE),0),"")</f>
        <v>0</v>
      </c>
      <c r="H382" s="547">
        <f t="shared" ref="H382" si="208">IFERROR(IFERROR(IFERROR(VLOOKUP($B382,PO_DESdesign_Enrgy_Table,MATCH($F$362,PO_DESdesign_Enrgy_Hdr,0),FALSE),0)+IFERROR(VLOOKUP($B382,PO_DESdesign_Enrgy_Table,MATCH($I$362,PO_DESdesign_Enrgy_Hdr,0),FALSE),0),0)+IF(OR(DESPath&lt;&gt;3,AND(B382&lt;&gt;"District Cooling",B382&lt;&gt;"District Hot Water",B382&lt;&gt;"District Steam")),VLOOKUP($B382,PO_Enrgy_9_Table,MATCH($H$336,PO_Enrgy_9_Hdr,0),FALSE),0),"")</f>
        <v>0</v>
      </c>
      <c r="I382" s="547">
        <f t="shared" ref="I382" si="209">IFERROR(H382*$R382,"")</f>
        <v>0</v>
      </c>
      <c r="J382" s="529">
        <f t="shared" ref="J382" si="210">IFERROR(IFERROR(IFERROR(VLOOKUP($B382,PO_DESdesign_Enrgy_Table,MATCH($G$362,PO_DESdesign_Enrgy_Hdr,0),FALSE),0)+IFERROR(VLOOKUP($B382,PO_DESdesign_Enrgy_Table,MATCH($J$362,PO_DESdesign_Enrgy_Hdr,0),FALSE),0),0)+IF(OR(DESPath&lt;&gt;3,AND(B382&lt;&gt;"District Cooling",B382&lt;&gt;"District Hot Water",B382&lt;&gt;"District Steam")),VLOOKUP($B382,PO_Enrgy_9_Table,MATCH($J$336,PO_Enrgy_9_Hdr,0),FALSE),0),"")</f>
        <v>0</v>
      </c>
      <c r="K382" s="3084" t="str">
        <f t="shared" ref="K382" si="211">IFERROR(1-H382/E382,"")</f>
        <v/>
      </c>
      <c r="L382" s="3085"/>
      <c r="M382" s="659" t="str">
        <f t="shared" ref="M382" si="212">IFERROR(1-J382/G382,"")</f>
        <v/>
      </c>
      <c r="Q382" s="416">
        <f t="shared" si="173"/>
        <v>3.4119999999999999</v>
      </c>
      <c r="R382" s="416">
        <f t="shared" si="174"/>
        <v>3.4119999999999999</v>
      </c>
      <c r="AH382" s="263"/>
      <c r="AI382" s="263"/>
      <c r="AJ382" s="253"/>
      <c r="AL382" s="270"/>
      <c r="AM382" s="271"/>
      <c r="AR382" s="254"/>
      <c r="BC382" s="804"/>
    </row>
    <row r="383" spans="1:55" ht="15" hidden="1" customHeight="1" x14ac:dyDescent="0.25">
      <c r="A383" s="433" t="s">
        <v>1038</v>
      </c>
      <c r="B383" s="541" t="str">
        <f t="shared" ref="B383:B385" si="213">IFERROR(IF(ISBLANK(B29),"",B29),"")</f>
        <v>District Cooling</v>
      </c>
      <c r="C383" s="3079" t="str">
        <f t="shared" si="164"/>
        <v>MWh</v>
      </c>
      <c r="D383" s="3080" t="e">
        <f>IF(C383="","",VLOOKUP(C383,ProjectEnergyTypeTable,3,FALSE))</f>
        <v>#NAME?</v>
      </c>
      <c r="E383" s="547">
        <f t="shared" ref="E383:E385" si="214">IFERROR(IFERROR(IFERROR(VLOOKUP($B383,PO_DESbase_Enrgy_Table,MATCH($F$358,PO_DESbase_Enrgy_Hdr,0),FALSE),0)+IFERROR(VLOOKUP($B383,PO_DESbase_Enrgy_Table,MATCH($I$358,PO_DESbase_Enrgy_Hdr,0),FALSE),0),0)+IF(OR(DESPath&lt;&gt;3,AND(B383&lt;&gt;"District Cooling",B383&lt;&gt;"District Hot Water",B383&lt;&gt;"District Steam")),VLOOKUP($B383,PO_Enrgy_9_Table,MATCH($E$336,PO_Enrgy_9_Hdr,0),FALSE),0),"")</f>
        <v>0</v>
      </c>
      <c r="F383" s="547">
        <f t="shared" ref="F383:F385" si="215">IFERROR(E383*$R383,"")</f>
        <v>0</v>
      </c>
      <c r="G383" s="529">
        <f t="shared" ref="G383:G385" si="216">IFERROR(IFERROR(IFERROR(VLOOKUP($B383,PO_DESbase_Enrgy_Table,MATCH($G$358,PO_DESbase_Enrgy_Hdr,0),FALSE),0)+IFERROR(VLOOKUP($B383,PO_DESbase_Enrgy_Table,MATCH($J$358,PO_DESbase_Enrgy_Hdr,0),FALSE),0),0)+IF(OR(DESPath&lt;&gt;3,AND(B383&lt;&gt;"District Cooling",B383&lt;&gt;"District Hot Water",B383&lt;&gt;"District Steam")),VLOOKUP($B383,PO_Enrgy_9_Table,MATCH($G$336,PO_Enrgy_9_Hdr,0),FALSE),0),"")</f>
        <v>0</v>
      </c>
      <c r="H383" s="547">
        <f t="shared" ref="H383:H385" si="217">IFERROR(IFERROR(IFERROR(VLOOKUP($B383,PO_DESdesign_Enrgy_Table,MATCH($F$362,PO_DESdesign_Enrgy_Hdr,0),FALSE),0)+IFERROR(VLOOKUP($B383,PO_DESdesign_Enrgy_Table,MATCH($I$362,PO_DESdesign_Enrgy_Hdr,0),FALSE),0),0)+IF(OR(DESPath&lt;&gt;3,AND(B383&lt;&gt;"District Cooling",B383&lt;&gt;"District Hot Water",B383&lt;&gt;"District Steam")),VLOOKUP($B383,PO_Enrgy_9_Table,MATCH($H$336,PO_Enrgy_9_Hdr,0),FALSE),0),"")</f>
        <v>0</v>
      </c>
      <c r="I383" s="547">
        <f t="shared" ref="I383:I385" si="218">IFERROR(H383*$R383,"")</f>
        <v>0</v>
      </c>
      <c r="J383" s="529">
        <f t="shared" ref="J383:J385" si="219">IFERROR(IFERROR(IFERROR(VLOOKUP($B383,PO_DESdesign_Enrgy_Table,MATCH($G$362,PO_DESdesign_Enrgy_Hdr,0),FALSE),0)+IFERROR(VLOOKUP($B383,PO_DESdesign_Enrgy_Table,MATCH($J$362,PO_DESdesign_Enrgy_Hdr,0),FALSE),0),0)+IF(OR(DESPath&lt;&gt;3,AND(B383&lt;&gt;"District Cooling",B383&lt;&gt;"District Hot Water",B383&lt;&gt;"District Steam")),VLOOKUP($B383,PO_Enrgy_9_Table,MATCH($J$336,PO_Enrgy_9_Hdr,0),FALSE),0),"")</f>
        <v>0</v>
      </c>
      <c r="K383" s="3084" t="str">
        <f t="shared" ref="K383:K385" si="220">IFERROR(1-H383/E383,"")</f>
        <v/>
      </c>
      <c r="L383" s="3085"/>
      <c r="M383" s="659" t="str">
        <f t="shared" ref="M383:M385" si="221">IFERROR(1-J383/G383,"")</f>
        <v/>
      </c>
      <c r="Q383" s="416">
        <f t="shared" si="173"/>
        <v>3.4119999999999999</v>
      </c>
      <c r="R383" s="416">
        <f t="shared" si="174"/>
        <v>3.4119999999999999</v>
      </c>
      <c r="AH383" s="263"/>
      <c r="AI383" s="263"/>
      <c r="AJ383" s="253"/>
      <c r="AL383" s="270"/>
      <c r="AM383" s="271"/>
      <c r="AR383" s="254"/>
      <c r="BC383" s="804"/>
    </row>
    <row r="384" spans="1:55" ht="15" hidden="1" customHeight="1" x14ac:dyDescent="0.25">
      <c r="A384" s="433" t="s">
        <v>1038</v>
      </c>
      <c r="B384" s="541" t="str">
        <f t="shared" si="213"/>
        <v>District Cooling</v>
      </c>
      <c r="C384" s="3079" t="str">
        <f t="shared" si="164"/>
        <v>MWh</v>
      </c>
      <c r="D384" s="3080" t="e">
        <f>IF(C384="","",VLOOKUP(C384,ProjectEnergyTypeTable,3,FALSE))</f>
        <v>#NAME?</v>
      </c>
      <c r="E384" s="547">
        <f t="shared" si="214"/>
        <v>0</v>
      </c>
      <c r="F384" s="547">
        <f t="shared" si="215"/>
        <v>0</v>
      </c>
      <c r="G384" s="529">
        <f t="shared" si="216"/>
        <v>0</v>
      </c>
      <c r="H384" s="547">
        <f t="shared" si="217"/>
        <v>0</v>
      </c>
      <c r="I384" s="547">
        <f t="shared" si="218"/>
        <v>0</v>
      </c>
      <c r="J384" s="529">
        <f t="shared" si="219"/>
        <v>0</v>
      </c>
      <c r="K384" s="3084" t="str">
        <f t="shared" si="220"/>
        <v/>
      </c>
      <c r="L384" s="3085"/>
      <c r="M384" s="659" t="str">
        <f t="shared" si="221"/>
        <v/>
      </c>
      <c r="Q384" s="416">
        <f t="shared" si="173"/>
        <v>3.4119999999999999</v>
      </c>
      <c r="R384" s="416">
        <f t="shared" si="174"/>
        <v>3.4119999999999999</v>
      </c>
      <c r="AH384" s="263"/>
      <c r="AI384" s="263"/>
      <c r="AJ384" s="253"/>
      <c r="AL384" s="270"/>
      <c r="AM384" s="271"/>
      <c r="AR384" s="254"/>
      <c r="BC384" s="804"/>
    </row>
    <row r="385" spans="1:55" ht="15" hidden="1" customHeight="1" x14ac:dyDescent="0.25">
      <c r="A385" s="433" t="s">
        <v>1038</v>
      </c>
      <c r="B385" s="541" t="str">
        <f t="shared" si="213"/>
        <v>District Cooling</v>
      </c>
      <c r="C385" s="3079" t="str">
        <f t="shared" si="164"/>
        <v>MWh</v>
      </c>
      <c r="D385" s="3080" t="e">
        <f>IF(C385="","",VLOOKUP(C385,ProjectEnergyTypeTable,3,FALSE))</f>
        <v>#NAME?</v>
      </c>
      <c r="E385" s="547">
        <f t="shared" si="214"/>
        <v>0</v>
      </c>
      <c r="F385" s="547">
        <f t="shared" si="215"/>
        <v>0</v>
      </c>
      <c r="G385" s="529">
        <f t="shared" si="216"/>
        <v>0</v>
      </c>
      <c r="H385" s="547">
        <f t="shared" si="217"/>
        <v>0</v>
      </c>
      <c r="I385" s="547">
        <f t="shared" si="218"/>
        <v>0</v>
      </c>
      <c r="J385" s="529">
        <f t="shared" si="219"/>
        <v>0</v>
      </c>
      <c r="K385" s="3084" t="str">
        <f t="shared" si="220"/>
        <v/>
      </c>
      <c r="L385" s="3085"/>
      <c r="M385" s="659" t="str">
        <f t="shared" si="221"/>
        <v/>
      </c>
      <c r="Q385" s="416">
        <f t="shared" si="173"/>
        <v>3.4119999999999999</v>
      </c>
      <c r="R385" s="416">
        <f t="shared" si="174"/>
        <v>3.4119999999999999</v>
      </c>
      <c r="AH385" s="263"/>
      <c r="AI385" s="263"/>
      <c r="AJ385" s="253"/>
      <c r="AL385" s="270"/>
      <c r="AM385" s="271"/>
      <c r="AR385" s="254"/>
      <c r="BC385" s="804"/>
    </row>
    <row r="386" spans="1:55" s="245" customFormat="1" ht="21" hidden="1" customHeight="1" x14ac:dyDescent="0.25">
      <c r="A386" s="433" t="s">
        <v>1038</v>
      </c>
      <c r="B386" s="3135" t="str">
        <f>"Energy Model Subtotal (" &amp; PO_SiteUnits &amp; ")"</f>
        <v>Energy Model Subtotal (Btu x 10^6)</v>
      </c>
      <c r="C386" s="3135"/>
      <c r="D386" s="3135"/>
      <c r="E386" s="527">
        <f ca="1">IFERROR(SUMPRODUCT(INDEX(PO_Enrgy_10_Table,0,MATCH(E$370,PO_Enrgy_10_Hdr,0)),INDEX(PO_Enrgy_10_Table,0,MATCH($Q$370,PO_Enrgy_10_Hdr,0))),"")</f>
        <v>0</v>
      </c>
      <c r="F386" s="527">
        <f ca="1">IFERROR(SUM(INDEX(PO_Enrgy_10_Table,0,MATCH(F$370,PO_Enrgy_10_Hdr,0))),"")</f>
        <v>0</v>
      </c>
      <c r="G386" s="529">
        <f>IFERROR(SUM(INDEX(PO_Enrgy_10_Table,0,MATCH(G$370,PO_Enrgy_10_Hdr,0))),"")</f>
        <v>0</v>
      </c>
      <c r="H386" s="527">
        <f ca="1">IFERROR(SUMPRODUCT(INDEX(PO_Enrgy_10_Table,0,MATCH(H$370,PO_Enrgy_10_Hdr,0)),INDEX(PO_Enrgy_10_Table,0,MATCH($Q$370,PO_Enrgy_10_Hdr,0))),"")</f>
        <v>0</v>
      </c>
      <c r="I386" s="527">
        <f ca="1">IFERROR(SUM(INDEX(PO_Enrgy_10_Table,0,MATCH(I$370,PO_Enrgy_10_Hdr,0))),"")</f>
        <v>0</v>
      </c>
      <c r="J386" s="529">
        <f ca="1">IFERROR(SUM(INDEX(PO_Enrgy_10_Table,0,MATCH(J$370,PO_Enrgy_10_Hdr,0))),"")</f>
        <v>0</v>
      </c>
      <c r="K386" s="3090" t="str">
        <f t="shared" ca="1" si="171"/>
        <v/>
      </c>
      <c r="L386" s="3085"/>
      <c r="M386" s="578" t="str">
        <f t="shared" ca="1" si="172"/>
        <v/>
      </c>
      <c r="N386" s="235"/>
      <c r="O386" s="235"/>
      <c r="P386" s="235"/>
      <c r="AJ386" s="2"/>
      <c r="AL386" s="270"/>
      <c r="AM386" s="271"/>
      <c r="BC386" s="804"/>
    </row>
    <row r="387" spans="1:55" s="245" customFormat="1" ht="33" hidden="1" customHeight="1" x14ac:dyDescent="0.25">
      <c r="A387" s="433" t="s">
        <v>1038</v>
      </c>
      <c r="B387" s="3214"/>
      <c r="C387" s="3214"/>
      <c r="D387" s="3214"/>
      <c r="E387" s="545"/>
      <c r="F387" s="546"/>
      <c r="G387" s="545"/>
      <c r="H387" s="545"/>
      <c r="I387" s="545"/>
      <c r="J387" s="235"/>
      <c r="K387" s="232"/>
      <c r="L387" s="232"/>
      <c r="M387" s="293"/>
      <c r="N387" s="235"/>
      <c r="O387" s="235"/>
      <c r="P387" s="235"/>
      <c r="AJ387" s="2"/>
      <c r="AL387" s="270"/>
      <c r="AM387" s="271"/>
    </row>
    <row r="388" spans="1:55" ht="21.75" hidden="1" customHeight="1" x14ac:dyDescent="0.25">
      <c r="A388" s="433" t="s">
        <v>1038</v>
      </c>
      <c r="B388" s="310" t="s">
        <v>908</v>
      </c>
      <c r="AL388" s="289"/>
      <c r="AM388" s="290"/>
    </row>
    <row r="389" spans="1:55" s="245" customFormat="1" ht="76.5" hidden="1" customHeight="1" x14ac:dyDescent="0.25">
      <c r="A389" s="433" t="s">
        <v>1038</v>
      </c>
      <c r="B389" s="3201" t="str">
        <f>CONCATENATE("Startup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 Also upload simulation outputs and performance rating method calculations with and without the exceptional calculation methods for both Startup IT Loads, and the full buildout IT loads.","
",IF(DESPath=3," Note: The calculations using DES Path 3 must be performed manually for the Startup IT Load method, and supplemental documentation uploaded for the project must show these calculations.",""))</f>
        <v xml:space="preserv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Also upload simulation outputs and performance rating method calculations with and without the exceptional calculation methods for both Startup IT Loads, and the full buildout IT loads.
</v>
      </c>
      <c r="C389" s="3201"/>
      <c r="D389" s="3201"/>
      <c r="E389" s="3201"/>
      <c r="F389" s="3201"/>
      <c r="G389" s="3201"/>
      <c r="H389" s="3201"/>
      <c r="I389" s="3201"/>
      <c r="J389" s="3201"/>
      <c r="K389" s="3201"/>
      <c r="L389" s="3201"/>
      <c r="M389" s="3201"/>
      <c r="N389" s="235"/>
      <c r="O389" s="235"/>
      <c r="P389" s="235"/>
      <c r="AL389" s="270"/>
      <c r="AM389" s="271"/>
    </row>
    <row r="390" spans="1:55" ht="21.75" hidden="1" customHeight="1" x14ac:dyDescent="0.25">
      <c r="A390" s="433" t="s">
        <v>1038</v>
      </c>
      <c r="B390" s="583" t="s">
        <v>1043</v>
      </c>
      <c r="AL390" s="289"/>
      <c r="AM390" s="290"/>
    </row>
    <row r="391" spans="1:55" ht="32.25" hidden="1" customHeight="1" x14ac:dyDescent="0.25">
      <c r="A391" s="433" t="s">
        <v>1038</v>
      </c>
      <c r="B391" s="3138" t="s">
        <v>354</v>
      </c>
      <c r="C391" s="3139" t="s">
        <v>1436</v>
      </c>
      <c r="D391" s="3102"/>
      <c r="E391" s="3138" t="s">
        <v>1017</v>
      </c>
      <c r="F391" s="3138"/>
      <c r="G391" s="3138"/>
      <c r="H391" s="3140" t="s">
        <v>941</v>
      </c>
      <c r="I391" s="3138"/>
      <c r="J391" s="3138"/>
      <c r="K391" s="3140" t="s">
        <v>358</v>
      </c>
      <c r="L391" s="3140"/>
      <c r="M391" s="3140"/>
      <c r="N391" s="3190"/>
      <c r="O391" s="3190"/>
      <c r="P391" s="3190"/>
      <c r="AJ391" s="2"/>
      <c r="AL391" s="267"/>
      <c r="AM391" s="268"/>
    </row>
    <row r="392" spans="1:55" ht="48" hidden="1" customHeight="1" x14ac:dyDescent="0.25">
      <c r="A392" s="433" t="s">
        <v>1038</v>
      </c>
      <c r="B392" s="3102"/>
      <c r="C392" s="3102"/>
      <c r="D392" s="3102"/>
      <c r="E392" s="580" t="s">
        <v>902</v>
      </c>
      <c r="F392" s="579" t="str">
        <f>"Source Energy Use ("  &amp; PO_SourceUnits &amp; ")"</f>
        <v>Source Energy Use (Btu x 10^6)</v>
      </c>
      <c r="G392" s="580" t="s">
        <v>356</v>
      </c>
      <c r="H392" s="580" t="s">
        <v>902</v>
      </c>
      <c r="I392" s="579" t="str">
        <f>"Source Energy Use ("  &amp; PO_SourceUnits &amp; ")"</f>
        <v>Source Energy Use (Btu x 10^6)</v>
      </c>
      <c r="J392" s="580" t="s">
        <v>356</v>
      </c>
      <c r="K392" s="3140" t="s">
        <v>357</v>
      </c>
      <c r="L392" s="3195"/>
      <c r="M392" s="580" t="s">
        <v>356</v>
      </c>
      <c r="N392" s="334"/>
      <c r="O392" s="334"/>
      <c r="P392" s="334"/>
      <c r="AJ392" s="2"/>
    </row>
    <row r="393" spans="1:55" s="446" customFormat="1" ht="13.8" hidden="1" x14ac:dyDescent="0.25">
      <c r="A393" s="433" t="s">
        <v>1038</v>
      </c>
      <c r="B393" s="468" t="s">
        <v>1396</v>
      </c>
      <c r="C393" s="460" t="s">
        <v>1424</v>
      </c>
      <c r="D393" s="468"/>
      <c r="E393" s="469" t="s">
        <v>1452</v>
      </c>
      <c r="F393" s="468" t="s">
        <v>1453</v>
      </c>
      <c r="G393" s="469" t="s">
        <v>1454</v>
      </c>
      <c r="H393" s="469" t="s">
        <v>1437</v>
      </c>
      <c r="I393" s="468" t="s">
        <v>1438</v>
      </c>
      <c r="J393" s="469" t="s">
        <v>1439</v>
      </c>
      <c r="K393" s="469" t="s">
        <v>1455</v>
      </c>
      <c r="L393" s="460"/>
      <c r="M393" s="469" t="s">
        <v>1441</v>
      </c>
      <c r="N393" s="463"/>
      <c r="O393" s="463"/>
      <c r="P393" s="463"/>
      <c r="Q393" s="415" t="s">
        <v>1407</v>
      </c>
      <c r="R393" s="415" t="s">
        <v>1408</v>
      </c>
      <c r="AJ393" s="447"/>
    </row>
    <row r="394" spans="1:55" ht="15" hidden="1" customHeight="1" x14ac:dyDescent="0.25">
      <c r="A394" s="433" t="s">
        <v>1038</v>
      </c>
      <c r="B394" s="541" t="str">
        <f t="shared" ref="B394:B405" si="222">IFERROR(IF(ISBLANK(B17),"",B17),"")</f>
        <v>Electricity</v>
      </c>
      <c r="C394" s="3079" t="str">
        <f t="shared" ref="C394:C408" si="223">IFERROR(IF(ISBLANK($B394),"",VLOOKUP($B394,PO_Enrgy_1_Table,MATCH($C$16,PO_Enrgy_1_Hdr,0),FALSE) ),"")</f>
        <v>kWh</v>
      </c>
      <c r="D394" s="3080" t="e">
        <f>IF(C394="","",VLOOKUP(C394,ProjectEnergyTypeTable,3,FALSE))</f>
        <v>#NAME?</v>
      </c>
      <c r="E394" s="548"/>
      <c r="F394" s="566">
        <f t="shared" ref="F394:F399" si="224">IFERROR(E394*$Q394,"")</f>
        <v>0</v>
      </c>
      <c r="G394" s="448"/>
      <c r="H394" s="548"/>
      <c r="I394" s="566">
        <f t="shared" ref="I394:I399" si="225">IFERROR(H394*$Q394,"")</f>
        <v>0</v>
      </c>
      <c r="J394" s="448"/>
      <c r="K394" s="3084" t="str">
        <f t="shared" ref="K394:K409" si="226">IFERROR(1-H394/E394,"")</f>
        <v/>
      </c>
      <c r="L394" s="3085"/>
      <c r="M394" s="659" t="str">
        <f t="shared" ref="M394:M409" si="227">IFERROR(1-J394/G394,"")</f>
        <v/>
      </c>
      <c r="Q394" s="416">
        <f t="shared" ref="Q394:Q408" si="228">IFERROR(IF(ISBLANK($B394),"",VLOOKUP($B394,PO_Enrgy_1_Table,MATCH($K$16,PO_Enrgy_1_Hdr,0),FALSE)),"")</f>
        <v>3.4120000000000001E-3</v>
      </c>
      <c r="R394" s="416">
        <f t="shared" ref="R394:R408" si="229">IFERROR(IF(ISBLANK($B394),"",VLOOKUP($B394,PO_Enrgy_1_Table,MATCH($M$16,PO_Enrgy_1_Hdr,0),FALSE)),"")</f>
        <v>1.0713680000000001E-2</v>
      </c>
      <c r="AH394" s="263"/>
      <c r="AI394" s="263"/>
      <c r="AJ394" s="2"/>
      <c r="AL394" s="267"/>
      <c r="AM394" s="268"/>
      <c r="AN394" s="269"/>
    </row>
    <row r="395" spans="1:55" ht="15" hidden="1" customHeight="1" x14ac:dyDescent="0.25">
      <c r="A395" s="433" t="s">
        <v>1038</v>
      </c>
      <c r="B395" s="541" t="str">
        <f t="shared" si="222"/>
        <v>Natural Gas</v>
      </c>
      <c r="C395" s="3079" t="str">
        <f t="shared" si="223"/>
        <v>therm</v>
      </c>
      <c r="D395" s="3080" t="e">
        <f>IF(C395="","",VLOOKUP(C395,ProjectEnergyTypeTable,3,FALSE))</f>
        <v>#NAME?</v>
      </c>
      <c r="E395" s="548"/>
      <c r="F395" s="566">
        <f t="shared" si="224"/>
        <v>0</v>
      </c>
      <c r="G395" s="448"/>
      <c r="H395" s="548"/>
      <c r="I395" s="566">
        <f t="shared" si="225"/>
        <v>0</v>
      </c>
      <c r="J395" s="448"/>
      <c r="K395" s="3084" t="str">
        <f t="shared" si="226"/>
        <v/>
      </c>
      <c r="L395" s="3085"/>
      <c r="M395" s="659" t="str">
        <f t="shared" si="227"/>
        <v/>
      </c>
      <c r="Q395" s="416">
        <f t="shared" si="228"/>
        <v>0.1</v>
      </c>
      <c r="R395" s="416">
        <f t="shared" si="229"/>
        <v>0.10500000000000001</v>
      </c>
      <c r="AH395" s="263"/>
      <c r="AI395" s="263"/>
      <c r="AJ395" s="2"/>
      <c r="AL395" s="267"/>
      <c r="AM395" s="268"/>
      <c r="AN395" s="269"/>
    </row>
    <row r="396" spans="1:55" ht="15" hidden="1" customHeight="1" x14ac:dyDescent="0.25">
      <c r="A396" s="433" t="s">
        <v>1038</v>
      </c>
      <c r="B396" s="541" t="str">
        <f t="shared" si="222"/>
        <v>District Cooling</v>
      </c>
      <c r="C396" s="3079" t="str">
        <f t="shared" si="223"/>
        <v>MWh</v>
      </c>
      <c r="D396" s="3080" t="e">
        <f>IF(C396="","",VLOOKUP(C396,ProjectEnergyTypeTable,3,FALSE))</f>
        <v>#NAME?</v>
      </c>
      <c r="E396" s="548"/>
      <c r="F396" s="566">
        <f t="shared" si="224"/>
        <v>0</v>
      </c>
      <c r="G396" s="448"/>
      <c r="H396" s="548"/>
      <c r="I396" s="566">
        <f t="shared" si="225"/>
        <v>0</v>
      </c>
      <c r="J396" s="448"/>
      <c r="K396" s="3084" t="str">
        <f t="shared" si="226"/>
        <v/>
      </c>
      <c r="L396" s="3085"/>
      <c r="M396" s="659" t="str">
        <f t="shared" si="227"/>
        <v/>
      </c>
      <c r="Q396" s="416">
        <f t="shared" si="228"/>
        <v>3.4119999999999999</v>
      </c>
      <c r="R396" s="416">
        <f t="shared" si="229"/>
        <v>3.4119999999999999</v>
      </c>
      <c r="AH396" s="263"/>
      <c r="AI396" s="263"/>
      <c r="AJ396" s="2"/>
      <c r="AL396" s="267"/>
      <c r="AM396" s="268"/>
      <c r="AN396" s="269"/>
    </row>
    <row r="397" spans="1:55" ht="15" hidden="1" customHeight="1" x14ac:dyDescent="0.25">
      <c r="A397" s="433" t="s">
        <v>1038</v>
      </c>
      <c r="B397" s="541" t="str">
        <f t="shared" si="222"/>
        <v>District Cooling</v>
      </c>
      <c r="C397" s="3079" t="str">
        <f t="shared" si="223"/>
        <v>MWh</v>
      </c>
      <c r="D397" s="3080" t="e">
        <f>IF(C397="","",VLOOKUP(C397,ProjectEnergyTypeTable,3,FALSE))</f>
        <v>#NAME?</v>
      </c>
      <c r="E397" s="548"/>
      <c r="F397" s="566">
        <f t="shared" si="224"/>
        <v>0</v>
      </c>
      <c r="G397" s="448"/>
      <c r="H397" s="548"/>
      <c r="I397" s="566">
        <f t="shared" si="225"/>
        <v>0</v>
      </c>
      <c r="J397" s="448"/>
      <c r="K397" s="3084" t="str">
        <f t="shared" si="226"/>
        <v/>
      </c>
      <c r="L397" s="3085"/>
      <c r="M397" s="659" t="str">
        <f t="shared" si="227"/>
        <v/>
      </c>
      <c r="Q397" s="416">
        <f t="shared" si="228"/>
        <v>3.4119999999999999</v>
      </c>
      <c r="R397" s="416">
        <f t="shared" si="229"/>
        <v>3.4119999999999999</v>
      </c>
      <c r="AH397" s="263"/>
      <c r="AI397" s="263"/>
      <c r="AJ397" s="2"/>
      <c r="AL397" s="267"/>
      <c r="AM397" s="268"/>
      <c r="AN397" s="269"/>
    </row>
    <row r="398" spans="1:55" ht="15" hidden="1" customHeight="1" x14ac:dyDescent="0.25">
      <c r="A398" s="433" t="s">
        <v>1038</v>
      </c>
      <c r="B398" s="541" t="str">
        <f t="shared" si="222"/>
        <v>District Cooling</v>
      </c>
      <c r="C398" s="3079" t="str">
        <f t="shared" si="223"/>
        <v>MWh</v>
      </c>
      <c r="D398" s="3080" t="e">
        <f>IF(C398="","",VLOOKUP(C398,ProjectEnergyTypeTable,3,FALSE))</f>
        <v>#NAME?</v>
      </c>
      <c r="E398" s="548"/>
      <c r="F398" s="566">
        <f t="shared" si="224"/>
        <v>0</v>
      </c>
      <c r="G398" s="448"/>
      <c r="H398" s="548"/>
      <c r="I398" s="566">
        <f t="shared" si="225"/>
        <v>0</v>
      </c>
      <c r="J398" s="448"/>
      <c r="K398" s="3084" t="str">
        <f t="shared" si="226"/>
        <v/>
      </c>
      <c r="L398" s="3085"/>
      <c r="M398" s="659" t="str">
        <f t="shared" si="227"/>
        <v/>
      </c>
      <c r="Q398" s="416">
        <f t="shared" si="228"/>
        <v>3.4119999999999999</v>
      </c>
      <c r="R398" s="416">
        <f t="shared" si="229"/>
        <v>3.4119999999999999</v>
      </c>
      <c r="AH398" s="263"/>
      <c r="AI398" s="263"/>
      <c r="AJ398" s="2"/>
      <c r="AL398" s="267"/>
      <c r="AM398" s="268"/>
      <c r="AN398" s="269"/>
    </row>
    <row r="399" spans="1:55" ht="15" hidden="1" customHeight="1" x14ac:dyDescent="0.25">
      <c r="A399" s="433" t="s">
        <v>1038</v>
      </c>
      <c r="B399" s="541" t="str">
        <f t="shared" si="222"/>
        <v>District Cooling</v>
      </c>
      <c r="C399" s="3079" t="str">
        <f t="shared" si="223"/>
        <v>MWh</v>
      </c>
      <c r="D399" s="3080" t="e">
        <f>IF(C399="","",VLOOKUP(C399,ProjectEnergyTypeTable,3,FALSE))</f>
        <v>#NAME?</v>
      </c>
      <c r="E399" s="548"/>
      <c r="F399" s="566">
        <f t="shared" si="224"/>
        <v>0</v>
      </c>
      <c r="G399" s="448"/>
      <c r="H399" s="548"/>
      <c r="I399" s="566">
        <f t="shared" si="225"/>
        <v>0</v>
      </c>
      <c r="J399" s="448"/>
      <c r="K399" s="3084" t="str">
        <f t="shared" ref="K399" si="230">IFERROR(1-H399/E399,"")</f>
        <v/>
      </c>
      <c r="L399" s="3085"/>
      <c r="M399" s="659" t="str">
        <f t="shared" ref="M399" si="231">IFERROR(1-J399/G399,"")</f>
        <v/>
      </c>
      <c r="Q399" s="416">
        <f t="shared" si="228"/>
        <v>3.4119999999999999</v>
      </c>
      <c r="R399" s="416">
        <f t="shared" si="229"/>
        <v>3.4119999999999999</v>
      </c>
      <c r="AH399" s="263"/>
      <c r="AI399" s="263"/>
      <c r="AJ399" s="2"/>
      <c r="AL399" s="267"/>
      <c r="AM399" s="268"/>
      <c r="AN399" s="269"/>
    </row>
    <row r="400" spans="1:55" ht="15" hidden="1" customHeight="1" x14ac:dyDescent="0.25">
      <c r="A400" s="433" t="s">
        <v>1038</v>
      </c>
      <c r="B400" s="541" t="str">
        <f t="shared" si="222"/>
        <v>District Cooling</v>
      </c>
      <c r="C400" s="3079" t="str">
        <f t="shared" si="223"/>
        <v>MWh</v>
      </c>
      <c r="D400" s="3080" t="e">
        <f>IF(C400="","",VLOOKUP(C400,ProjectEnergyTypeTable,3,FALSE))</f>
        <v>#NAME?</v>
      </c>
      <c r="E400" s="548"/>
      <c r="F400" s="566">
        <f t="shared" ref="F400:F401" si="232">IFERROR(E400*$Q400,"")</f>
        <v>0</v>
      </c>
      <c r="G400" s="448"/>
      <c r="H400" s="548"/>
      <c r="I400" s="566">
        <f t="shared" ref="I400:I401" si="233">IFERROR(H400*$Q400,"")</f>
        <v>0</v>
      </c>
      <c r="J400" s="448"/>
      <c r="K400" s="3084" t="str">
        <f t="shared" ref="K400:K401" si="234">IFERROR(1-H400/E400,"")</f>
        <v/>
      </c>
      <c r="L400" s="3085"/>
      <c r="M400" s="659" t="str">
        <f t="shared" ref="M400:M401" si="235">IFERROR(1-J400/G400,"")</f>
        <v/>
      </c>
      <c r="Q400" s="416">
        <f t="shared" si="228"/>
        <v>3.4119999999999999</v>
      </c>
      <c r="R400" s="416">
        <f t="shared" si="229"/>
        <v>3.4119999999999999</v>
      </c>
      <c r="AH400" s="263"/>
      <c r="AI400" s="263"/>
      <c r="AJ400" s="2"/>
      <c r="AL400" s="267"/>
      <c r="AM400" s="268"/>
      <c r="AN400" s="269"/>
    </row>
    <row r="401" spans="1:40" ht="15" hidden="1" customHeight="1" x14ac:dyDescent="0.25">
      <c r="A401" s="433" t="s">
        <v>1038</v>
      </c>
      <c r="B401" s="541" t="str">
        <f t="shared" si="222"/>
        <v>District Cooling</v>
      </c>
      <c r="C401" s="3079" t="str">
        <f t="shared" si="223"/>
        <v>MWh</v>
      </c>
      <c r="D401" s="3080" t="e">
        <f>IF(C401="","",VLOOKUP(C401,ProjectEnergyTypeTable,3,FALSE))</f>
        <v>#NAME?</v>
      </c>
      <c r="E401" s="548"/>
      <c r="F401" s="566">
        <f t="shared" si="232"/>
        <v>0</v>
      </c>
      <c r="G401" s="448"/>
      <c r="H401" s="548"/>
      <c r="I401" s="566">
        <f t="shared" si="233"/>
        <v>0</v>
      </c>
      <c r="J401" s="448"/>
      <c r="K401" s="3084" t="str">
        <f t="shared" si="234"/>
        <v/>
      </c>
      <c r="L401" s="3085"/>
      <c r="M401" s="659" t="str">
        <f t="shared" si="235"/>
        <v/>
      </c>
      <c r="Q401" s="416">
        <f t="shared" si="228"/>
        <v>3.4119999999999999</v>
      </c>
      <c r="R401" s="416">
        <f t="shared" si="229"/>
        <v>3.4119999999999999</v>
      </c>
      <c r="AH401" s="263"/>
      <c r="AI401" s="263"/>
      <c r="AJ401" s="2"/>
      <c r="AL401" s="267"/>
      <c r="AM401" s="268"/>
      <c r="AN401" s="269"/>
    </row>
    <row r="402" spans="1:40" ht="15" hidden="1" customHeight="1" x14ac:dyDescent="0.25">
      <c r="A402" s="433" t="s">
        <v>1038</v>
      </c>
      <c r="B402" s="541" t="str">
        <f t="shared" si="222"/>
        <v>District Cooling</v>
      </c>
      <c r="C402" s="3079" t="str">
        <f t="shared" si="223"/>
        <v>MWh</v>
      </c>
      <c r="D402" s="3080" t="e">
        <f>IF(C402="","",VLOOKUP(C402,ProjectEnergyTypeTable,3,FALSE))</f>
        <v>#NAME?</v>
      </c>
      <c r="E402" s="548"/>
      <c r="F402" s="566">
        <f t="shared" ref="F402" si="236">IFERROR(E402*$Q402,"")</f>
        <v>0</v>
      </c>
      <c r="G402" s="448"/>
      <c r="H402" s="548"/>
      <c r="I402" s="566">
        <f t="shared" ref="I402" si="237">IFERROR(H402*$Q402,"")</f>
        <v>0</v>
      </c>
      <c r="J402" s="448"/>
      <c r="K402" s="3084" t="str">
        <f t="shared" ref="K402" si="238">IFERROR(1-H402/E402,"")</f>
        <v/>
      </c>
      <c r="L402" s="3085"/>
      <c r="M402" s="659" t="str">
        <f t="shared" ref="M402" si="239">IFERROR(1-J402/G402,"")</f>
        <v/>
      </c>
      <c r="Q402" s="416">
        <f t="shared" si="228"/>
        <v>3.4119999999999999</v>
      </c>
      <c r="R402" s="416">
        <f t="shared" si="229"/>
        <v>3.4119999999999999</v>
      </c>
      <c r="AH402" s="263"/>
      <c r="AI402" s="263"/>
      <c r="AJ402" s="2"/>
      <c r="AL402" s="267"/>
      <c r="AM402" s="268"/>
      <c r="AN402" s="269"/>
    </row>
    <row r="403" spans="1:40" ht="15" hidden="1" customHeight="1" x14ac:dyDescent="0.25">
      <c r="A403" s="433" t="s">
        <v>1038</v>
      </c>
      <c r="B403" s="541" t="str">
        <f t="shared" si="222"/>
        <v>District Cooling</v>
      </c>
      <c r="C403" s="3079" t="str">
        <f t="shared" si="223"/>
        <v>MWh</v>
      </c>
      <c r="D403" s="3080" t="e">
        <f>IF(C403="","",VLOOKUP(C403,ProjectEnergyTypeTable,3,FALSE))</f>
        <v>#NAME?</v>
      </c>
      <c r="E403" s="548"/>
      <c r="F403" s="566">
        <f t="shared" ref="F403" si="240">IFERROR(E403*$Q403,"")</f>
        <v>0</v>
      </c>
      <c r="G403" s="448"/>
      <c r="H403" s="548"/>
      <c r="I403" s="566">
        <f t="shared" ref="I403" si="241">IFERROR(H403*$Q403,"")</f>
        <v>0</v>
      </c>
      <c r="J403" s="448"/>
      <c r="K403" s="3084" t="str">
        <f t="shared" ref="K403" si="242">IFERROR(1-H403/E403,"")</f>
        <v/>
      </c>
      <c r="L403" s="3085"/>
      <c r="M403" s="659" t="str">
        <f t="shared" ref="M403" si="243">IFERROR(1-J403/G403,"")</f>
        <v/>
      </c>
      <c r="Q403" s="416">
        <f t="shared" si="228"/>
        <v>3.4119999999999999</v>
      </c>
      <c r="R403" s="416">
        <f t="shared" si="229"/>
        <v>3.4119999999999999</v>
      </c>
      <c r="AH403" s="263"/>
      <c r="AI403" s="263"/>
      <c r="AJ403" s="2"/>
      <c r="AL403" s="267"/>
      <c r="AM403" s="268"/>
      <c r="AN403" s="269"/>
    </row>
    <row r="404" spans="1:40" ht="15" hidden="1" customHeight="1" x14ac:dyDescent="0.25">
      <c r="A404" s="433" t="s">
        <v>1038</v>
      </c>
      <c r="B404" s="541" t="str">
        <f t="shared" si="222"/>
        <v>District Cooling</v>
      </c>
      <c r="C404" s="3079" t="str">
        <f t="shared" si="223"/>
        <v>MWh</v>
      </c>
      <c r="D404" s="3080" t="e">
        <f>IF(C404="","",VLOOKUP(C404,ProjectEnergyTypeTable,3,FALSE))</f>
        <v>#NAME?</v>
      </c>
      <c r="E404" s="548"/>
      <c r="F404" s="566">
        <f t="shared" ref="F404" si="244">IFERROR(E404*$Q404,"")</f>
        <v>0</v>
      </c>
      <c r="G404" s="448"/>
      <c r="H404" s="548"/>
      <c r="I404" s="566">
        <f t="shared" ref="I404" si="245">IFERROR(H404*$Q404,"")</f>
        <v>0</v>
      </c>
      <c r="J404" s="448"/>
      <c r="K404" s="3084" t="str">
        <f t="shared" ref="K404" si="246">IFERROR(1-H404/E404,"")</f>
        <v/>
      </c>
      <c r="L404" s="3085"/>
      <c r="M404" s="659" t="str">
        <f t="shared" ref="M404" si="247">IFERROR(1-J404/G404,"")</f>
        <v/>
      </c>
      <c r="Q404" s="416">
        <f t="shared" si="228"/>
        <v>3.4119999999999999</v>
      </c>
      <c r="R404" s="416">
        <f t="shared" si="229"/>
        <v>3.4119999999999999</v>
      </c>
      <c r="AH404" s="263"/>
      <c r="AI404" s="263"/>
      <c r="AJ404" s="2"/>
      <c r="AL404" s="267"/>
      <c r="AM404" s="268"/>
      <c r="AN404" s="269"/>
    </row>
    <row r="405" spans="1:40" ht="15" hidden="1" customHeight="1" x14ac:dyDescent="0.25">
      <c r="A405" s="433" t="s">
        <v>1038</v>
      </c>
      <c r="B405" s="541" t="str">
        <f t="shared" si="222"/>
        <v>District Cooling</v>
      </c>
      <c r="C405" s="3079" t="str">
        <f t="shared" si="223"/>
        <v>MWh</v>
      </c>
      <c r="D405" s="3080" t="e">
        <f>IF(C405="","",VLOOKUP(C405,ProjectEnergyTypeTable,3,FALSE))</f>
        <v>#NAME?</v>
      </c>
      <c r="E405" s="548"/>
      <c r="F405" s="566">
        <f t="shared" ref="F405" si="248">IFERROR(E405*$Q405,"")</f>
        <v>0</v>
      </c>
      <c r="G405" s="448"/>
      <c r="H405" s="548"/>
      <c r="I405" s="566">
        <f t="shared" ref="I405" si="249">IFERROR(H405*$Q405,"")</f>
        <v>0</v>
      </c>
      <c r="J405" s="448"/>
      <c r="K405" s="3084" t="str">
        <f t="shared" ref="K405" si="250">IFERROR(1-H405/E405,"")</f>
        <v/>
      </c>
      <c r="L405" s="3085"/>
      <c r="M405" s="659" t="str">
        <f t="shared" ref="M405" si="251">IFERROR(1-J405/G405,"")</f>
        <v/>
      </c>
      <c r="Q405" s="416">
        <f t="shared" si="228"/>
        <v>3.4119999999999999</v>
      </c>
      <c r="R405" s="416">
        <f t="shared" si="229"/>
        <v>3.4119999999999999</v>
      </c>
      <c r="AH405" s="263"/>
      <c r="AI405" s="263"/>
      <c r="AJ405" s="2"/>
      <c r="AL405" s="267"/>
      <c r="AM405" s="268"/>
      <c r="AN405" s="269"/>
    </row>
    <row r="406" spans="1:40" ht="15" hidden="1" customHeight="1" x14ac:dyDescent="0.25">
      <c r="A406" s="433" t="s">
        <v>1038</v>
      </c>
      <c r="B406" s="541" t="str">
        <f t="shared" ref="B406:B408" si="252">IFERROR(IF(ISBLANK(B29),"",B29),"")</f>
        <v>District Cooling</v>
      </c>
      <c r="C406" s="3079" t="str">
        <f t="shared" si="223"/>
        <v>MWh</v>
      </c>
      <c r="D406" s="3080" t="e">
        <f>IF(C406="","",VLOOKUP(C406,ProjectEnergyTypeTable,3,FALSE))</f>
        <v>#NAME?</v>
      </c>
      <c r="E406" s="548"/>
      <c r="F406" s="566">
        <f t="shared" ref="F406:F408" si="253">IFERROR(E406*$Q406,"")</f>
        <v>0</v>
      </c>
      <c r="G406" s="448"/>
      <c r="H406" s="548"/>
      <c r="I406" s="566">
        <f t="shared" ref="I406:I408" si="254">IFERROR(H406*$Q406,"")</f>
        <v>0</v>
      </c>
      <c r="J406" s="448"/>
      <c r="K406" s="3084" t="str">
        <f t="shared" ref="K406:K408" si="255">IFERROR(1-H406/E406,"")</f>
        <v/>
      </c>
      <c r="L406" s="3085"/>
      <c r="M406" s="659" t="str">
        <f t="shared" ref="M406:M408" si="256">IFERROR(1-J406/G406,"")</f>
        <v/>
      </c>
      <c r="Q406" s="416">
        <f t="shared" si="228"/>
        <v>3.4119999999999999</v>
      </c>
      <c r="R406" s="416">
        <f t="shared" si="229"/>
        <v>3.4119999999999999</v>
      </c>
      <c r="AH406" s="263"/>
      <c r="AI406" s="263"/>
      <c r="AJ406" s="2"/>
      <c r="AL406" s="267"/>
      <c r="AM406" s="268"/>
      <c r="AN406" s="269"/>
    </row>
    <row r="407" spans="1:40" ht="15" hidden="1" customHeight="1" x14ac:dyDescent="0.25">
      <c r="A407" s="433" t="s">
        <v>1038</v>
      </c>
      <c r="B407" s="541" t="str">
        <f t="shared" si="252"/>
        <v>District Cooling</v>
      </c>
      <c r="C407" s="3079" t="str">
        <f t="shared" si="223"/>
        <v>MWh</v>
      </c>
      <c r="D407" s="3080" t="e">
        <f>IF(C407="","",VLOOKUP(C407,ProjectEnergyTypeTable,3,FALSE))</f>
        <v>#NAME?</v>
      </c>
      <c r="E407" s="548"/>
      <c r="F407" s="566">
        <f t="shared" si="253"/>
        <v>0</v>
      </c>
      <c r="G407" s="448"/>
      <c r="H407" s="548"/>
      <c r="I407" s="566">
        <f t="shared" si="254"/>
        <v>0</v>
      </c>
      <c r="J407" s="448"/>
      <c r="K407" s="3084" t="str">
        <f t="shared" si="255"/>
        <v/>
      </c>
      <c r="L407" s="3085"/>
      <c r="M407" s="659" t="str">
        <f t="shared" si="256"/>
        <v/>
      </c>
      <c r="Q407" s="416">
        <f t="shared" si="228"/>
        <v>3.4119999999999999</v>
      </c>
      <c r="R407" s="416">
        <f t="shared" si="229"/>
        <v>3.4119999999999999</v>
      </c>
      <c r="AH407" s="263"/>
      <c r="AI407" s="263"/>
      <c r="AJ407" s="2"/>
      <c r="AL407" s="267"/>
      <c r="AM407" s="268"/>
      <c r="AN407" s="269"/>
    </row>
    <row r="408" spans="1:40" ht="15" hidden="1" customHeight="1" x14ac:dyDescent="0.25">
      <c r="A408" s="433" t="s">
        <v>1038</v>
      </c>
      <c r="B408" s="541" t="str">
        <f t="shared" si="252"/>
        <v>District Cooling</v>
      </c>
      <c r="C408" s="3079" t="str">
        <f t="shared" si="223"/>
        <v>MWh</v>
      </c>
      <c r="D408" s="3080" t="e">
        <f>IF(C408="","",VLOOKUP(C408,ProjectEnergyTypeTable,3,FALSE))</f>
        <v>#NAME?</v>
      </c>
      <c r="E408" s="548"/>
      <c r="F408" s="566">
        <f t="shared" si="253"/>
        <v>0</v>
      </c>
      <c r="G408" s="448"/>
      <c r="H408" s="548"/>
      <c r="I408" s="566">
        <f t="shared" si="254"/>
        <v>0</v>
      </c>
      <c r="J408" s="448"/>
      <c r="K408" s="3084" t="str">
        <f t="shared" si="255"/>
        <v/>
      </c>
      <c r="L408" s="3085"/>
      <c r="M408" s="659" t="str">
        <f t="shared" si="256"/>
        <v/>
      </c>
      <c r="Q408" s="416">
        <f t="shared" si="228"/>
        <v>3.4119999999999999</v>
      </c>
      <c r="R408" s="416">
        <f t="shared" si="229"/>
        <v>3.4119999999999999</v>
      </c>
      <c r="AH408" s="263"/>
      <c r="AI408" s="263"/>
      <c r="AJ408" s="2"/>
      <c r="AL408" s="267"/>
      <c r="AM408" s="268"/>
      <c r="AN408" s="269"/>
    </row>
    <row r="409" spans="1:40" s="245" customFormat="1" ht="21" hidden="1" customHeight="1" x14ac:dyDescent="0.25">
      <c r="A409" s="433" t="s">
        <v>1038</v>
      </c>
      <c r="B409" s="3135" t="str">
        <f>"Energy model subtotal (" &amp; PO_SiteUnits &amp; ")"</f>
        <v>Energy model subtotal (Btu x 10^6)</v>
      </c>
      <c r="C409" s="3135"/>
      <c r="D409" s="3135"/>
      <c r="E409" s="547">
        <f>IFERROR(SUMPRODUCT(INDEX(PO_Enrgy_11_Table,0,MATCH(E$393,PO_Enrgy_11_Hdr,0)),INDEX(PO_Enrgy_11_Table,0,MATCH($Q$393,PO_Enrgy_11_Hdr,0))),"")</f>
        <v>0</v>
      </c>
      <c r="F409" s="537">
        <f>IFERROR(SUM(INDEX(PO_Enrgy_11_Table,0,MATCH(F$393,PO_Enrgy_11_Hdr,0))),"")</f>
        <v>0</v>
      </c>
      <c r="G409" s="529">
        <f>IFERROR(SUM(INDEX(PO_Enrgy_11_Table,0,MATCH(G$393,PO_Enrgy_11_Hdr,0))),"")</f>
        <v>0</v>
      </c>
      <c r="H409" s="547">
        <f>IFERROR(SUMPRODUCT(INDEX(PO_Enrgy_11_Table,0,MATCH(H$393,PO_Enrgy_11_Hdr,0)),INDEX(PO_Enrgy_11_Table,0,MATCH($Q$393,PO_Enrgy_11_Hdr,0))),"")</f>
        <v>0</v>
      </c>
      <c r="I409" s="537">
        <f>IFERROR(SUM(INDEX(PO_Enrgy_11_Table,0,MATCH(I$393,PO_Enrgy_11_Hdr,0))),"")</f>
        <v>0</v>
      </c>
      <c r="J409" s="529">
        <f>IFERROR(SUM(INDEX(PO_Enrgy_11_Table,0,MATCH(J$393,PO_Enrgy_11_Hdr,0))),"")</f>
        <v>0</v>
      </c>
      <c r="K409" s="3090" t="str">
        <f t="shared" si="226"/>
        <v/>
      </c>
      <c r="L409" s="3085"/>
      <c r="M409" s="578" t="str">
        <f t="shared" si="227"/>
        <v/>
      </c>
      <c r="N409" s="235"/>
      <c r="O409" s="235"/>
      <c r="P409" s="235"/>
      <c r="AJ409" s="2"/>
      <c r="AL409" s="267"/>
      <c r="AM409" s="268"/>
    </row>
    <row r="410" spans="1:40" s="245" customFormat="1" ht="21.75" hidden="1" customHeight="1" x14ac:dyDescent="0.25">
      <c r="A410" s="433" t="s">
        <v>1038</v>
      </c>
      <c r="B410" s="3203"/>
      <c r="C410" s="3204"/>
      <c r="D410" s="3204"/>
      <c r="E410" s="3204"/>
      <c r="F410" s="3204"/>
      <c r="G410" s="3204"/>
      <c r="H410" s="3204"/>
      <c r="I410" s="3204"/>
      <c r="J410" s="3204"/>
      <c r="K410" s="3204"/>
      <c r="L410" s="3204"/>
      <c r="M410" s="332"/>
      <c r="N410" s="235"/>
      <c r="O410" s="235"/>
      <c r="P410" s="235"/>
      <c r="AL410" s="270"/>
      <c r="AM410" s="271"/>
    </row>
    <row r="411" spans="1:40" ht="19.5" hidden="1" customHeight="1" x14ac:dyDescent="0.25">
      <c r="A411" s="433" t="s">
        <v>1038</v>
      </c>
      <c r="B411" s="583" t="s">
        <v>1044</v>
      </c>
      <c r="AL411" s="289"/>
      <c r="AM411" s="290"/>
    </row>
    <row r="412" spans="1:40" ht="32.25" hidden="1" customHeight="1" x14ac:dyDescent="0.25">
      <c r="A412" s="433" t="s">
        <v>1038</v>
      </c>
      <c r="B412" s="3138" t="s">
        <v>354</v>
      </c>
      <c r="C412" s="3139" t="s">
        <v>1436</v>
      </c>
      <c r="D412" s="3102"/>
      <c r="E412" s="3101" t="s">
        <v>1017</v>
      </c>
      <c r="F412" s="3101"/>
      <c r="G412" s="3101"/>
      <c r="H412" s="3100" t="s">
        <v>941</v>
      </c>
      <c r="I412" s="3101"/>
      <c r="J412" s="3101"/>
      <c r="K412" s="3100" t="s">
        <v>358</v>
      </c>
      <c r="L412" s="3100"/>
      <c r="M412" s="3100"/>
      <c r="N412" s="3190"/>
      <c r="O412" s="3190"/>
      <c r="P412" s="3190"/>
      <c r="AJ412" s="2"/>
      <c r="AL412" s="267"/>
      <c r="AM412" s="268"/>
    </row>
    <row r="413" spans="1:40" ht="48" hidden="1" customHeight="1" x14ac:dyDescent="0.25">
      <c r="A413" s="433" t="s">
        <v>1038</v>
      </c>
      <c r="B413" s="3102"/>
      <c r="C413" s="3102"/>
      <c r="D413" s="3102"/>
      <c r="E413" s="582" t="s">
        <v>902</v>
      </c>
      <c r="F413" s="584" t="str">
        <f>"Source Energy Use ("  &amp; PO_SourceUnits &amp; ")"</f>
        <v>Source Energy Use (Btu x 10^6)</v>
      </c>
      <c r="G413" s="582" t="s">
        <v>356</v>
      </c>
      <c r="H413" s="582" t="s">
        <v>902</v>
      </c>
      <c r="I413" s="584" t="str">
        <f>"Source Energy Use ("  &amp; PO_SourceUnits &amp; ")"</f>
        <v>Source Energy Use (Btu x 10^6)</v>
      </c>
      <c r="J413" s="582" t="s">
        <v>356</v>
      </c>
      <c r="K413" s="3100" t="s">
        <v>357</v>
      </c>
      <c r="L413" s="3185"/>
      <c r="M413" s="582" t="s">
        <v>356</v>
      </c>
      <c r="N413" s="334"/>
      <c r="O413" s="334"/>
      <c r="P413" s="334"/>
      <c r="AJ413" s="2"/>
    </row>
    <row r="414" spans="1:40" s="446" customFormat="1" ht="13.8" hidden="1" x14ac:dyDescent="0.25">
      <c r="A414" s="433" t="s">
        <v>1038</v>
      </c>
      <c r="B414" s="468" t="s">
        <v>1396</v>
      </c>
      <c r="C414" s="460" t="s">
        <v>1424</v>
      </c>
      <c r="D414" s="468"/>
      <c r="E414" s="469" t="s">
        <v>1452</v>
      </c>
      <c r="F414" s="468" t="s">
        <v>1453</v>
      </c>
      <c r="G414" s="469" t="s">
        <v>1454</v>
      </c>
      <c r="H414" s="469" t="s">
        <v>1437</v>
      </c>
      <c r="I414" s="468" t="s">
        <v>1438</v>
      </c>
      <c r="J414" s="469" t="s">
        <v>1439</v>
      </c>
      <c r="K414" s="469" t="s">
        <v>1455</v>
      </c>
      <c r="L414" s="460"/>
      <c r="M414" s="469" t="s">
        <v>1441</v>
      </c>
      <c r="N414" s="463"/>
      <c r="O414" s="463"/>
      <c r="P414" s="463"/>
      <c r="Q414" s="415" t="s">
        <v>1407</v>
      </c>
      <c r="R414" s="415" t="s">
        <v>1408</v>
      </c>
      <c r="AJ414" s="447"/>
    </row>
    <row r="415" spans="1:40" ht="15" hidden="1" customHeight="1" x14ac:dyDescent="0.25">
      <c r="A415" s="433" t="s">
        <v>1038</v>
      </c>
      <c r="B415" s="541" t="str">
        <f t="shared" ref="B415:B426" si="257">IFERROR(IF(ISBLANK(B17),"",B17),"")</f>
        <v>Electricity</v>
      </c>
      <c r="C415" s="3079" t="str">
        <f t="shared" ref="C415:C429" si="258">IFERROR(IF(ISBLANK($B415),"",VLOOKUP($B415,PO_Enrgy_1_Table,MATCH($C$16,PO_Enrgy_1_Hdr,0),FALSE) ),"")</f>
        <v>kWh</v>
      </c>
      <c r="D415" s="3080" t="e">
        <f>IF(C415="","",VLOOKUP(C415,ProjectEnergyTypeTable,3,FALSE))</f>
        <v>#NAME?</v>
      </c>
      <c r="E415" s="555">
        <f t="shared" ref="E415:E429" ca="1" si="259">IFERROR(VLOOKUP($B415,PO_Enrgy_10_Table,MATCH($E$370,PO_Enrgy_10_Hdr,0),FALSE),"")</f>
        <v>0</v>
      </c>
      <c r="F415" s="555">
        <f t="shared" ref="F415:F420" ca="1" si="260">IFERROR(E415*$R415,"")</f>
        <v>0</v>
      </c>
      <c r="G415" s="529">
        <f t="shared" ref="G415:G429" si="261">IFERROR(VLOOKUP($B415,PO_Enrgy_10_Table,MATCH($G$370,PO_Enrgy_10_Hdr,0),FALSE),"")</f>
        <v>0</v>
      </c>
      <c r="H415" s="555">
        <f t="shared" ref="H415:H429" ca="1" si="262">IFERROR(VLOOKUP($B415,PO_Enrgy_10_Table,MATCH($H$370,PO_Enrgy_10_Hdr,0),FALSE),"")</f>
        <v>0</v>
      </c>
      <c r="I415" s="555">
        <f t="shared" ref="I415:I420" ca="1" si="263">IFERROR(H415*$R415,"")</f>
        <v>0</v>
      </c>
      <c r="J415" s="529">
        <f t="shared" ref="J415:J429" ca="1" si="264">IFERROR(VLOOKUP($B415,PO_Enrgy_10_Table,MATCH($J$370,PO_Enrgy_10_Hdr,0),FALSE),"")</f>
        <v>0</v>
      </c>
      <c r="K415" s="3084" t="str">
        <f t="shared" ref="K415:K430" ca="1" si="265">IFERROR(1-H415/E415,"")</f>
        <v/>
      </c>
      <c r="L415" s="3085"/>
      <c r="M415" s="659" t="str">
        <f t="shared" ref="M415:M430" ca="1" si="266">IFERROR(1-J415/G415,"")</f>
        <v/>
      </c>
      <c r="Q415" s="416">
        <f t="shared" ref="Q415:Q429" si="267">IFERROR(IF(ISBLANK($B415),"",VLOOKUP($B415,PO_Enrgy_1_Table,MATCH($K$16,PO_Enrgy_1_Hdr,0),FALSE)),"")</f>
        <v>3.4120000000000001E-3</v>
      </c>
      <c r="R415" s="416">
        <f t="shared" ref="R415:R429" si="268">IFERROR(IF(ISBLANK($B415),"",VLOOKUP($B415,PO_Enrgy_1_Table,MATCH($M$16,PO_Enrgy_1_Hdr,0),FALSE)),"")</f>
        <v>1.0713680000000001E-2</v>
      </c>
      <c r="AH415" s="263"/>
      <c r="AI415" s="263"/>
      <c r="AJ415" s="2"/>
      <c r="AL415" s="267"/>
      <c r="AM415" s="268"/>
      <c r="AN415" s="269"/>
    </row>
    <row r="416" spans="1:40" ht="15" hidden="1" customHeight="1" x14ac:dyDescent="0.25">
      <c r="A416" s="433" t="s">
        <v>1038</v>
      </c>
      <c r="B416" s="541" t="str">
        <f t="shared" si="257"/>
        <v>Natural Gas</v>
      </c>
      <c r="C416" s="3079" t="str">
        <f t="shared" si="258"/>
        <v>therm</v>
      </c>
      <c r="D416" s="3080" t="e">
        <f>IF(C416="","",VLOOKUP(C416,ProjectEnergyTypeTable,3,FALSE))</f>
        <v>#NAME?</v>
      </c>
      <c r="E416" s="555">
        <f t="shared" ca="1" si="259"/>
        <v>0</v>
      </c>
      <c r="F416" s="555">
        <f t="shared" ca="1" si="260"/>
        <v>0</v>
      </c>
      <c r="G416" s="529">
        <f t="shared" si="261"/>
        <v>0</v>
      </c>
      <c r="H416" s="555">
        <f t="shared" ca="1" si="262"/>
        <v>0</v>
      </c>
      <c r="I416" s="555">
        <f t="shared" ca="1" si="263"/>
        <v>0</v>
      </c>
      <c r="J416" s="529">
        <f t="shared" si="264"/>
        <v>0</v>
      </c>
      <c r="K416" s="3084" t="str">
        <f t="shared" ca="1" si="265"/>
        <v/>
      </c>
      <c r="L416" s="3085"/>
      <c r="M416" s="659" t="str">
        <f t="shared" si="266"/>
        <v/>
      </c>
      <c r="Q416" s="416">
        <f t="shared" si="267"/>
        <v>0.1</v>
      </c>
      <c r="R416" s="416">
        <f t="shared" si="268"/>
        <v>0.10500000000000001</v>
      </c>
      <c r="AH416" s="263"/>
      <c r="AI416" s="263"/>
      <c r="AJ416" s="2"/>
      <c r="AL416" s="267"/>
      <c r="AM416" s="268"/>
      <c r="AN416" s="269"/>
    </row>
    <row r="417" spans="1:40" ht="15" hidden="1" customHeight="1" x14ac:dyDescent="0.25">
      <c r="A417" s="433" t="s">
        <v>1038</v>
      </c>
      <c r="B417" s="541" t="str">
        <f t="shared" si="257"/>
        <v>District Cooling</v>
      </c>
      <c r="C417" s="3079" t="str">
        <f t="shared" si="258"/>
        <v>MWh</v>
      </c>
      <c r="D417" s="3080" t="e">
        <f>IF(C417="","",VLOOKUP(C417,ProjectEnergyTypeTable,3,FALSE))</f>
        <v>#NAME?</v>
      </c>
      <c r="E417" s="555">
        <f t="shared" si="259"/>
        <v>0</v>
      </c>
      <c r="F417" s="555">
        <f t="shared" si="260"/>
        <v>0</v>
      </c>
      <c r="G417" s="529">
        <f t="shared" si="261"/>
        <v>0</v>
      </c>
      <c r="H417" s="555">
        <f t="shared" si="262"/>
        <v>0</v>
      </c>
      <c r="I417" s="555">
        <f t="shared" si="263"/>
        <v>0</v>
      </c>
      <c r="J417" s="529">
        <f t="shared" si="264"/>
        <v>0</v>
      </c>
      <c r="K417" s="3084" t="str">
        <f t="shared" si="265"/>
        <v/>
      </c>
      <c r="L417" s="3085"/>
      <c r="M417" s="659" t="str">
        <f t="shared" si="266"/>
        <v/>
      </c>
      <c r="Q417" s="416">
        <f t="shared" si="267"/>
        <v>3.4119999999999999</v>
      </c>
      <c r="R417" s="416">
        <f t="shared" si="268"/>
        <v>3.4119999999999999</v>
      </c>
      <c r="AH417" s="263"/>
      <c r="AI417" s="263"/>
      <c r="AJ417" s="2"/>
      <c r="AL417" s="267"/>
      <c r="AM417" s="268"/>
      <c r="AN417" s="269"/>
    </row>
    <row r="418" spans="1:40" ht="15" hidden="1" customHeight="1" x14ac:dyDescent="0.25">
      <c r="A418" s="433" t="s">
        <v>1038</v>
      </c>
      <c r="B418" s="541" t="str">
        <f t="shared" si="257"/>
        <v>District Cooling</v>
      </c>
      <c r="C418" s="3079" t="str">
        <f t="shared" si="258"/>
        <v>MWh</v>
      </c>
      <c r="D418" s="3080" t="e">
        <f>IF(C418="","",VLOOKUP(C418,ProjectEnergyTypeTable,3,FALSE))</f>
        <v>#NAME?</v>
      </c>
      <c r="E418" s="555">
        <f t="shared" si="259"/>
        <v>0</v>
      </c>
      <c r="F418" s="555">
        <f t="shared" si="260"/>
        <v>0</v>
      </c>
      <c r="G418" s="529">
        <f t="shared" si="261"/>
        <v>0</v>
      </c>
      <c r="H418" s="555">
        <f t="shared" si="262"/>
        <v>0</v>
      </c>
      <c r="I418" s="555">
        <f t="shared" si="263"/>
        <v>0</v>
      </c>
      <c r="J418" s="529">
        <f t="shared" si="264"/>
        <v>0</v>
      </c>
      <c r="K418" s="3084" t="str">
        <f t="shared" si="265"/>
        <v/>
      </c>
      <c r="L418" s="3085"/>
      <c r="M418" s="659" t="str">
        <f t="shared" si="266"/>
        <v/>
      </c>
      <c r="Q418" s="416">
        <f t="shared" si="267"/>
        <v>3.4119999999999999</v>
      </c>
      <c r="R418" s="416">
        <f t="shared" si="268"/>
        <v>3.4119999999999999</v>
      </c>
      <c r="AH418" s="263"/>
      <c r="AI418" s="263"/>
      <c r="AJ418" s="2"/>
      <c r="AL418" s="267"/>
      <c r="AM418" s="268"/>
      <c r="AN418" s="269"/>
    </row>
    <row r="419" spans="1:40" ht="15" hidden="1" customHeight="1" x14ac:dyDescent="0.25">
      <c r="A419" s="433" t="s">
        <v>1038</v>
      </c>
      <c r="B419" s="541" t="str">
        <f t="shared" si="257"/>
        <v>District Cooling</v>
      </c>
      <c r="C419" s="3079" t="str">
        <f t="shared" si="258"/>
        <v>MWh</v>
      </c>
      <c r="D419" s="3080" t="e">
        <f>IF(C419="","",VLOOKUP(C419,ProjectEnergyTypeTable,3,FALSE))</f>
        <v>#NAME?</v>
      </c>
      <c r="E419" s="555">
        <f t="shared" si="259"/>
        <v>0</v>
      </c>
      <c r="F419" s="555">
        <f t="shared" si="260"/>
        <v>0</v>
      </c>
      <c r="G419" s="529">
        <f t="shared" si="261"/>
        <v>0</v>
      </c>
      <c r="H419" s="555">
        <f t="shared" si="262"/>
        <v>0</v>
      </c>
      <c r="I419" s="555">
        <f t="shared" si="263"/>
        <v>0</v>
      </c>
      <c r="J419" s="529">
        <f t="shared" si="264"/>
        <v>0</v>
      </c>
      <c r="K419" s="3084" t="str">
        <f t="shared" si="265"/>
        <v/>
      </c>
      <c r="L419" s="3085"/>
      <c r="M419" s="659" t="str">
        <f t="shared" si="266"/>
        <v/>
      </c>
      <c r="Q419" s="416">
        <f t="shared" si="267"/>
        <v>3.4119999999999999</v>
      </c>
      <c r="R419" s="416">
        <f t="shared" si="268"/>
        <v>3.4119999999999999</v>
      </c>
      <c r="AH419" s="263"/>
      <c r="AI419" s="263"/>
      <c r="AJ419" s="2"/>
      <c r="AL419" s="267"/>
      <c r="AM419" s="268"/>
      <c r="AN419" s="269"/>
    </row>
    <row r="420" spans="1:40" ht="15" hidden="1" customHeight="1" x14ac:dyDescent="0.25">
      <c r="A420" s="433" t="s">
        <v>1038</v>
      </c>
      <c r="B420" s="541" t="str">
        <f t="shared" si="257"/>
        <v>District Cooling</v>
      </c>
      <c r="C420" s="3079" t="str">
        <f t="shared" si="258"/>
        <v>MWh</v>
      </c>
      <c r="D420" s="3080" t="e">
        <f>IF(C420="","",VLOOKUP(C420,ProjectEnergyTypeTable,3,FALSE))</f>
        <v>#NAME?</v>
      </c>
      <c r="E420" s="555">
        <f t="shared" si="259"/>
        <v>0</v>
      </c>
      <c r="F420" s="555">
        <f t="shared" si="260"/>
        <v>0</v>
      </c>
      <c r="G420" s="529">
        <f t="shared" si="261"/>
        <v>0</v>
      </c>
      <c r="H420" s="555">
        <f t="shared" si="262"/>
        <v>0</v>
      </c>
      <c r="I420" s="555">
        <f t="shared" si="263"/>
        <v>0</v>
      </c>
      <c r="J420" s="529">
        <f t="shared" si="264"/>
        <v>0</v>
      </c>
      <c r="K420" s="3084" t="str">
        <f t="shared" ref="K420" si="269">IFERROR(1-H420/E420,"")</f>
        <v/>
      </c>
      <c r="L420" s="3085"/>
      <c r="M420" s="659" t="str">
        <f t="shared" ref="M420" si="270">IFERROR(1-J420/G420,"")</f>
        <v/>
      </c>
      <c r="Q420" s="416">
        <f t="shared" si="267"/>
        <v>3.4119999999999999</v>
      </c>
      <c r="R420" s="416">
        <f t="shared" si="268"/>
        <v>3.4119999999999999</v>
      </c>
      <c r="AH420" s="263"/>
      <c r="AI420" s="263"/>
      <c r="AJ420" s="2"/>
      <c r="AL420" s="267"/>
      <c r="AM420" s="268"/>
      <c r="AN420" s="269"/>
    </row>
    <row r="421" spans="1:40" ht="15" hidden="1" customHeight="1" x14ac:dyDescent="0.25">
      <c r="A421" s="433" t="s">
        <v>1038</v>
      </c>
      <c r="B421" s="541" t="str">
        <f t="shared" si="257"/>
        <v>District Cooling</v>
      </c>
      <c r="C421" s="3079" t="str">
        <f t="shared" si="258"/>
        <v>MWh</v>
      </c>
      <c r="D421" s="3080" t="e">
        <f>IF(C421="","",VLOOKUP(C421,ProjectEnergyTypeTable,3,FALSE))</f>
        <v>#NAME?</v>
      </c>
      <c r="E421" s="555">
        <f t="shared" si="259"/>
        <v>0</v>
      </c>
      <c r="F421" s="555">
        <f t="shared" ref="F421:F422" si="271">IFERROR(E421*$R421,"")</f>
        <v>0</v>
      </c>
      <c r="G421" s="529">
        <f t="shared" si="261"/>
        <v>0</v>
      </c>
      <c r="H421" s="555">
        <f t="shared" si="262"/>
        <v>0</v>
      </c>
      <c r="I421" s="555">
        <f t="shared" ref="I421:I422" si="272">IFERROR(H421*$R421,"")</f>
        <v>0</v>
      </c>
      <c r="J421" s="529">
        <f t="shared" si="264"/>
        <v>0</v>
      </c>
      <c r="K421" s="3084" t="str">
        <f t="shared" ref="K421:K422" si="273">IFERROR(1-H421/E421,"")</f>
        <v/>
      </c>
      <c r="L421" s="3085"/>
      <c r="M421" s="659" t="str">
        <f t="shared" ref="M421:M422" si="274">IFERROR(1-J421/G421,"")</f>
        <v/>
      </c>
      <c r="Q421" s="416">
        <f t="shared" si="267"/>
        <v>3.4119999999999999</v>
      </c>
      <c r="R421" s="416">
        <f t="shared" si="268"/>
        <v>3.4119999999999999</v>
      </c>
      <c r="AH421" s="263"/>
      <c r="AI421" s="263"/>
      <c r="AJ421" s="2"/>
      <c r="AL421" s="267"/>
      <c r="AM421" s="268"/>
      <c r="AN421" s="269"/>
    </row>
    <row r="422" spans="1:40" ht="15" hidden="1" customHeight="1" x14ac:dyDescent="0.25">
      <c r="A422" s="433" t="s">
        <v>1038</v>
      </c>
      <c r="B422" s="541" t="str">
        <f t="shared" si="257"/>
        <v>District Cooling</v>
      </c>
      <c r="C422" s="3079" t="str">
        <f t="shared" si="258"/>
        <v>MWh</v>
      </c>
      <c r="D422" s="3080" t="e">
        <f>IF(C422="","",VLOOKUP(C422,ProjectEnergyTypeTable,3,FALSE))</f>
        <v>#NAME?</v>
      </c>
      <c r="E422" s="555">
        <f t="shared" si="259"/>
        <v>0</v>
      </c>
      <c r="F422" s="555">
        <f t="shared" si="271"/>
        <v>0</v>
      </c>
      <c r="G422" s="529">
        <f t="shared" si="261"/>
        <v>0</v>
      </c>
      <c r="H422" s="555">
        <f t="shared" si="262"/>
        <v>0</v>
      </c>
      <c r="I422" s="555">
        <f t="shared" si="272"/>
        <v>0</v>
      </c>
      <c r="J422" s="529">
        <f t="shared" si="264"/>
        <v>0</v>
      </c>
      <c r="K422" s="3084" t="str">
        <f t="shared" si="273"/>
        <v/>
      </c>
      <c r="L422" s="3085"/>
      <c r="M422" s="659" t="str">
        <f t="shared" si="274"/>
        <v/>
      </c>
      <c r="Q422" s="416">
        <f t="shared" si="267"/>
        <v>3.4119999999999999</v>
      </c>
      <c r="R422" s="416">
        <f t="shared" si="268"/>
        <v>3.4119999999999999</v>
      </c>
      <c r="AH422" s="263"/>
      <c r="AI422" s="263"/>
      <c r="AJ422" s="2"/>
      <c r="AL422" s="267"/>
      <c r="AM422" s="268"/>
      <c r="AN422" s="269"/>
    </row>
    <row r="423" spans="1:40" ht="15" hidden="1" customHeight="1" x14ac:dyDescent="0.25">
      <c r="A423" s="433" t="s">
        <v>1038</v>
      </c>
      <c r="B423" s="541" t="str">
        <f t="shared" si="257"/>
        <v>District Cooling</v>
      </c>
      <c r="C423" s="3079" t="str">
        <f t="shared" si="258"/>
        <v>MWh</v>
      </c>
      <c r="D423" s="3080" t="e">
        <f>IF(C423="","",VLOOKUP(C423,ProjectEnergyTypeTable,3,FALSE))</f>
        <v>#NAME?</v>
      </c>
      <c r="E423" s="555">
        <f t="shared" si="259"/>
        <v>0</v>
      </c>
      <c r="F423" s="555">
        <f t="shared" ref="F423" si="275">IFERROR(E423*$R423,"")</f>
        <v>0</v>
      </c>
      <c r="G423" s="529">
        <f t="shared" si="261"/>
        <v>0</v>
      </c>
      <c r="H423" s="555">
        <f t="shared" si="262"/>
        <v>0</v>
      </c>
      <c r="I423" s="555">
        <f t="shared" ref="I423" si="276">IFERROR(H423*$R423,"")</f>
        <v>0</v>
      </c>
      <c r="J423" s="529">
        <f t="shared" si="264"/>
        <v>0</v>
      </c>
      <c r="K423" s="3084" t="str">
        <f t="shared" ref="K423" si="277">IFERROR(1-H423/E423,"")</f>
        <v/>
      </c>
      <c r="L423" s="3085"/>
      <c r="M423" s="659" t="str">
        <f t="shared" ref="M423" si="278">IFERROR(1-J423/G423,"")</f>
        <v/>
      </c>
      <c r="Q423" s="416">
        <f t="shared" si="267"/>
        <v>3.4119999999999999</v>
      </c>
      <c r="R423" s="416">
        <f t="shared" si="268"/>
        <v>3.4119999999999999</v>
      </c>
      <c r="AH423" s="263"/>
      <c r="AI423" s="263"/>
      <c r="AJ423" s="2"/>
      <c r="AL423" s="267"/>
      <c r="AM423" s="268"/>
      <c r="AN423" s="269"/>
    </row>
    <row r="424" spans="1:40" ht="15" hidden="1" customHeight="1" x14ac:dyDescent="0.25">
      <c r="A424" s="433" t="s">
        <v>1038</v>
      </c>
      <c r="B424" s="541" t="str">
        <f t="shared" si="257"/>
        <v>District Cooling</v>
      </c>
      <c r="C424" s="3079" t="str">
        <f t="shared" si="258"/>
        <v>MWh</v>
      </c>
      <c r="D424" s="3080" t="e">
        <f>IF(C424="","",VLOOKUP(C424,ProjectEnergyTypeTable,3,FALSE))</f>
        <v>#NAME?</v>
      </c>
      <c r="E424" s="555">
        <f t="shared" si="259"/>
        <v>0</v>
      </c>
      <c r="F424" s="555">
        <f t="shared" ref="F424" si="279">IFERROR(E424*$R424,"")</f>
        <v>0</v>
      </c>
      <c r="G424" s="529">
        <f t="shared" si="261"/>
        <v>0</v>
      </c>
      <c r="H424" s="555">
        <f t="shared" si="262"/>
        <v>0</v>
      </c>
      <c r="I424" s="555">
        <f t="shared" ref="I424" si="280">IFERROR(H424*$R424,"")</f>
        <v>0</v>
      </c>
      <c r="J424" s="529">
        <f t="shared" si="264"/>
        <v>0</v>
      </c>
      <c r="K424" s="3084" t="str">
        <f t="shared" ref="K424" si="281">IFERROR(1-H424/E424,"")</f>
        <v/>
      </c>
      <c r="L424" s="3085"/>
      <c r="M424" s="659" t="str">
        <f t="shared" ref="M424" si="282">IFERROR(1-J424/G424,"")</f>
        <v/>
      </c>
      <c r="Q424" s="416">
        <f t="shared" si="267"/>
        <v>3.4119999999999999</v>
      </c>
      <c r="R424" s="416">
        <f t="shared" si="268"/>
        <v>3.4119999999999999</v>
      </c>
      <c r="AH424" s="263"/>
      <c r="AI424" s="263"/>
      <c r="AJ424" s="2"/>
      <c r="AL424" s="267"/>
      <c r="AM424" s="268"/>
      <c r="AN424" s="269"/>
    </row>
    <row r="425" spans="1:40" ht="15" hidden="1" customHeight="1" x14ac:dyDescent="0.25">
      <c r="A425" s="433" t="s">
        <v>1038</v>
      </c>
      <c r="B425" s="541" t="str">
        <f t="shared" si="257"/>
        <v>District Cooling</v>
      </c>
      <c r="C425" s="3079" t="str">
        <f t="shared" si="258"/>
        <v>MWh</v>
      </c>
      <c r="D425" s="3080" t="e">
        <f>IF(C425="","",VLOOKUP(C425,ProjectEnergyTypeTable,3,FALSE))</f>
        <v>#NAME?</v>
      </c>
      <c r="E425" s="555">
        <f t="shared" si="259"/>
        <v>0</v>
      </c>
      <c r="F425" s="555">
        <f t="shared" ref="F425" si="283">IFERROR(E425*$R425,"")</f>
        <v>0</v>
      </c>
      <c r="G425" s="529">
        <f t="shared" si="261"/>
        <v>0</v>
      </c>
      <c r="H425" s="555">
        <f t="shared" si="262"/>
        <v>0</v>
      </c>
      <c r="I425" s="555">
        <f t="shared" ref="I425" si="284">IFERROR(H425*$R425,"")</f>
        <v>0</v>
      </c>
      <c r="J425" s="529">
        <f t="shared" si="264"/>
        <v>0</v>
      </c>
      <c r="K425" s="3084" t="str">
        <f t="shared" ref="K425" si="285">IFERROR(1-H425/E425,"")</f>
        <v/>
      </c>
      <c r="L425" s="3085"/>
      <c r="M425" s="659" t="str">
        <f t="shared" ref="M425" si="286">IFERROR(1-J425/G425,"")</f>
        <v/>
      </c>
      <c r="Q425" s="416">
        <f t="shared" si="267"/>
        <v>3.4119999999999999</v>
      </c>
      <c r="R425" s="416">
        <f t="shared" si="268"/>
        <v>3.4119999999999999</v>
      </c>
      <c r="AH425" s="263"/>
      <c r="AI425" s="263"/>
      <c r="AJ425" s="2"/>
      <c r="AL425" s="267"/>
      <c r="AM425" s="268"/>
      <c r="AN425" s="269"/>
    </row>
    <row r="426" spans="1:40" ht="15" hidden="1" customHeight="1" x14ac:dyDescent="0.25">
      <c r="A426" s="433" t="s">
        <v>1038</v>
      </c>
      <c r="B426" s="541" t="str">
        <f t="shared" si="257"/>
        <v>District Cooling</v>
      </c>
      <c r="C426" s="3079" t="str">
        <f t="shared" si="258"/>
        <v>MWh</v>
      </c>
      <c r="D426" s="3080" t="e">
        <f>IF(C426="","",VLOOKUP(C426,ProjectEnergyTypeTable,3,FALSE))</f>
        <v>#NAME?</v>
      </c>
      <c r="E426" s="555">
        <f t="shared" si="259"/>
        <v>0</v>
      </c>
      <c r="F426" s="555">
        <f t="shared" ref="F426" si="287">IFERROR(E426*$R426,"")</f>
        <v>0</v>
      </c>
      <c r="G426" s="529">
        <f t="shared" si="261"/>
        <v>0</v>
      </c>
      <c r="H426" s="555">
        <f t="shared" si="262"/>
        <v>0</v>
      </c>
      <c r="I426" s="555">
        <f t="shared" ref="I426" si="288">IFERROR(H426*$R426,"")</f>
        <v>0</v>
      </c>
      <c r="J426" s="529">
        <f t="shared" si="264"/>
        <v>0</v>
      </c>
      <c r="K426" s="3084" t="str">
        <f t="shared" ref="K426" si="289">IFERROR(1-H426/E426,"")</f>
        <v/>
      </c>
      <c r="L426" s="3085"/>
      <c r="M426" s="659" t="str">
        <f t="shared" ref="M426" si="290">IFERROR(1-J426/G426,"")</f>
        <v/>
      </c>
      <c r="Q426" s="416">
        <f t="shared" si="267"/>
        <v>3.4119999999999999</v>
      </c>
      <c r="R426" s="416">
        <f t="shared" si="268"/>
        <v>3.4119999999999999</v>
      </c>
      <c r="AH426" s="263"/>
      <c r="AI426" s="263"/>
      <c r="AJ426" s="2"/>
      <c r="AL426" s="267"/>
      <c r="AM426" s="268"/>
      <c r="AN426" s="269"/>
    </row>
    <row r="427" spans="1:40" ht="15" hidden="1" customHeight="1" x14ac:dyDescent="0.25">
      <c r="A427" s="433" t="s">
        <v>1038</v>
      </c>
      <c r="B427" s="541" t="str">
        <f t="shared" ref="B427:B429" si="291">IFERROR(IF(ISBLANK(B29),"",B29),"")</f>
        <v>District Cooling</v>
      </c>
      <c r="C427" s="3079" t="str">
        <f t="shared" si="258"/>
        <v>MWh</v>
      </c>
      <c r="D427" s="3080" t="e">
        <f>IF(C427="","",VLOOKUP(C427,ProjectEnergyTypeTable,3,FALSE))</f>
        <v>#NAME?</v>
      </c>
      <c r="E427" s="555">
        <f t="shared" si="259"/>
        <v>0</v>
      </c>
      <c r="F427" s="555">
        <f t="shared" ref="F427:F429" si="292">IFERROR(E427*$R427,"")</f>
        <v>0</v>
      </c>
      <c r="G427" s="529">
        <f t="shared" si="261"/>
        <v>0</v>
      </c>
      <c r="H427" s="555">
        <f t="shared" si="262"/>
        <v>0</v>
      </c>
      <c r="I427" s="555">
        <f t="shared" ref="I427:I429" si="293">IFERROR(H427*$R427,"")</f>
        <v>0</v>
      </c>
      <c r="J427" s="529">
        <f t="shared" si="264"/>
        <v>0</v>
      </c>
      <c r="K427" s="3084" t="str">
        <f t="shared" ref="K427:K429" si="294">IFERROR(1-H427/E427,"")</f>
        <v/>
      </c>
      <c r="L427" s="3085"/>
      <c r="M427" s="659" t="str">
        <f t="shared" ref="M427:M429" si="295">IFERROR(1-J427/G427,"")</f>
        <v/>
      </c>
      <c r="Q427" s="416">
        <f t="shared" si="267"/>
        <v>3.4119999999999999</v>
      </c>
      <c r="R427" s="416">
        <f t="shared" si="268"/>
        <v>3.4119999999999999</v>
      </c>
      <c r="AH427" s="263"/>
      <c r="AI427" s="263"/>
      <c r="AJ427" s="2"/>
      <c r="AL427" s="267"/>
      <c r="AM427" s="268"/>
      <c r="AN427" s="269"/>
    </row>
    <row r="428" spans="1:40" ht="15" hidden="1" customHeight="1" x14ac:dyDescent="0.25">
      <c r="A428" s="433" t="s">
        <v>1038</v>
      </c>
      <c r="B428" s="541" t="str">
        <f t="shared" si="291"/>
        <v>District Cooling</v>
      </c>
      <c r="C428" s="3079" t="str">
        <f t="shared" si="258"/>
        <v>MWh</v>
      </c>
      <c r="D428" s="3080" t="e">
        <f>IF(C428="","",VLOOKUP(C428,ProjectEnergyTypeTable,3,FALSE))</f>
        <v>#NAME?</v>
      </c>
      <c r="E428" s="555">
        <f t="shared" si="259"/>
        <v>0</v>
      </c>
      <c r="F428" s="555">
        <f t="shared" si="292"/>
        <v>0</v>
      </c>
      <c r="G428" s="529">
        <f t="shared" si="261"/>
        <v>0</v>
      </c>
      <c r="H428" s="555">
        <f t="shared" si="262"/>
        <v>0</v>
      </c>
      <c r="I428" s="555">
        <f t="shared" si="293"/>
        <v>0</v>
      </c>
      <c r="J428" s="529">
        <f t="shared" si="264"/>
        <v>0</v>
      </c>
      <c r="K428" s="3084" t="str">
        <f t="shared" si="294"/>
        <v/>
      </c>
      <c r="L428" s="3085"/>
      <c r="M428" s="659" t="str">
        <f t="shared" si="295"/>
        <v/>
      </c>
      <c r="Q428" s="416">
        <f t="shared" si="267"/>
        <v>3.4119999999999999</v>
      </c>
      <c r="R428" s="416">
        <f t="shared" si="268"/>
        <v>3.4119999999999999</v>
      </c>
      <c r="AH428" s="263"/>
      <c r="AI428" s="263"/>
      <c r="AJ428" s="2"/>
      <c r="AL428" s="267"/>
      <c r="AM428" s="268"/>
      <c r="AN428" s="269"/>
    </row>
    <row r="429" spans="1:40" ht="15" hidden="1" customHeight="1" x14ac:dyDescent="0.25">
      <c r="A429" s="433" t="s">
        <v>1038</v>
      </c>
      <c r="B429" s="541" t="str">
        <f t="shared" si="291"/>
        <v>District Cooling</v>
      </c>
      <c r="C429" s="3079" t="str">
        <f t="shared" si="258"/>
        <v>MWh</v>
      </c>
      <c r="D429" s="3080" t="e">
        <f>IF(C429="","",VLOOKUP(C429,ProjectEnergyTypeTable,3,FALSE))</f>
        <v>#NAME?</v>
      </c>
      <c r="E429" s="555">
        <f t="shared" si="259"/>
        <v>0</v>
      </c>
      <c r="F429" s="555">
        <f t="shared" si="292"/>
        <v>0</v>
      </c>
      <c r="G429" s="529">
        <f t="shared" si="261"/>
        <v>0</v>
      </c>
      <c r="H429" s="555">
        <f t="shared" si="262"/>
        <v>0</v>
      </c>
      <c r="I429" s="555">
        <f t="shared" si="293"/>
        <v>0</v>
      </c>
      <c r="J429" s="529">
        <f t="shared" si="264"/>
        <v>0</v>
      </c>
      <c r="K429" s="3084" t="str">
        <f t="shared" si="294"/>
        <v/>
      </c>
      <c r="L429" s="3085"/>
      <c r="M429" s="659" t="str">
        <f t="shared" si="295"/>
        <v/>
      </c>
      <c r="Q429" s="416">
        <f t="shared" si="267"/>
        <v>3.4119999999999999</v>
      </c>
      <c r="R429" s="416">
        <f t="shared" si="268"/>
        <v>3.4119999999999999</v>
      </c>
      <c r="AH429" s="263"/>
      <c r="AI429" s="263"/>
      <c r="AJ429" s="2"/>
      <c r="AL429" s="267"/>
      <c r="AM429" s="268"/>
      <c r="AN429" s="269"/>
    </row>
    <row r="430" spans="1:40" s="245" customFormat="1" ht="21" hidden="1" customHeight="1" x14ac:dyDescent="0.25">
      <c r="A430" s="433" t="s">
        <v>1038</v>
      </c>
      <c r="B430" s="3135" t="str">
        <f>"Energy model subtotal (" &amp; PO_SiteUnits &amp; ")"</f>
        <v>Energy model subtotal (Btu x 10^6)</v>
      </c>
      <c r="C430" s="3135"/>
      <c r="D430" s="3135"/>
      <c r="E430" s="527">
        <f ca="1">IFERROR(SUMPRODUCT(INDEX(PO_Enrgy_12_Table,0,MATCH(E$414,PO_Enrgy_12_Hdr,0)),INDEX(PO_Enrgy_12_Table,0,MATCH($Q$414,PO_Enrgy_12_Hdr,0))),"")</f>
        <v>0</v>
      </c>
      <c r="F430" s="527">
        <f ca="1">IFERROR(SUM(INDEX(PO_Enrgy_12_Table,0,MATCH(F$414,PO_Enrgy_12_Hdr,0))),"")</f>
        <v>0</v>
      </c>
      <c r="G430" s="529">
        <f>IFERROR(SUM(INDEX(PO_Enrgy_12_Table,0,MATCH(G$414,PO_Enrgy_12_Hdr,0))),"")</f>
        <v>0</v>
      </c>
      <c r="H430" s="527">
        <f ca="1">IFERROR(SUMPRODUCT(INDEX(PO_Enrgy_12_Table,0,MATCH(H$414,PO_Enrgy_12_Hdr,0)),INDEX(PO_Enrgy_12_Table,0,MATCH($Q$414,PO_Enrgy_12_Hdr,0))),"")</f>
        <v>0</v>
      </c>
      <c r="I430" s="527">
        <f ca="1">IFERROR(SUM(INDEX(PO_Enrgy_12_Table,0,MATCH(I$414,PO_Enrgy_12_Hdr,0))),"")</f>
        <v>0</v>
      </c>
      <c r="J430" s="529">
        <f ca="1">IFERROR(SUM(INDEX(PO_Enrgy_12_Table,0,MATCH(J$414,PO_Enrgy_12_Hdr,0))),"")</f>
        <v>0</v>
      </c>
      <c r="K430" s="3090" t="str">
        <f t="shared" ca="1" si="265"/>
        <v/>
      </c>
      <c r="L430" s="3085"/>
      <c r="M430" s="578" t="str">
        <f t="shared" ca="1" si="266"/>
        <v/>
      </c>
      <c r="N430" s="235"/>
      <c r="O430" s="235"/>
      <c r="P430" s="235"/>
      <c r="AJ430" s="2"/>
      <c r="AL430" s="267"/>
      <c r="AM430" s="268"/>
    </row>
    <row r="431" spans="1:40" s="245" customFormat="1" ht="21.75" hidden="1" customHeight="1" x14ac:dyDescent="0.25">
      <c r="A431" s="433" t="s">
        <v>1038</v>
      </c>
      <c r="B431" s="3203"/>
      <c r="C431" s="3204"/>
      <c r="D431" s="3204"/>
      <c r="E431" s="3204"/>
      <c r="F431" s="3204"/>
      <c r="G431" s="3204"/>
      <c r="H431" s="3204"/>
      <c r="I431" s="3204"/>
      <c r="J431" s="3204"/>
      <c r="K431" s="3204"/>
      <c r="L431" s="3204"/>
      <c r="M431" s="332"/>
      <c r="N431" s="235"/>
      <c r="O431" s="235"/>
      <c r="P431" s="235"/>
      <c r="AL431" s="270"/>
      <c r="AM431" s="271"/>
    </row>
    <row r="432" spans="1:40" ht="21.75" hidden="1" customHeight="1" x14ac:dyDescent="0.25">
      <c r="A432" s="433" t="s">
        <v>1038</v>
      </c>
      <c r="B432" s="583" t="s">
        <v>1045</v>
      </c>
      <c r="AL432" s="289"/>
      <c r="AM432" s="290"/>
    </row>
    <row r="433" spans="1:40" ht="32.25" hidden="1" customHeight="1" x14ac:dyDescent="0.25">
      <c r="A433" s="433" t="s">
        <v>1038</v>
      </c>
      <c r="B433" s="3138" t="s">
        <v>354</v>
      </c>
      <c r="C433" s="3139" t="s">
        <v>1436</v>
      </c>
      <c r="D433" s="3102"/>
      <c r="E433" s="3207" t="s">
        <v>1046</v>
      </c>
      <c r="F433" s="3207"/>
      <c r="G433" s="3207"/>
      <c r="H433" s="3208" t="s">
        <v>364</v>
      </c>
      <c r="I433" s="3207"/>
      <c r="J433" s="3207"/>
      <c r="K433" s="3208" t="s">
        <v>358</v>
      </c>
      <c r="L433" s="3208"/>
      <c r="M433" s="3209"/>
      <c r="N433" s="3190"/>
      <c r="O433" s="3190"/>
      <c r="P433" s="3190"/>
      <c r="AJ433" s="2"/>
      <c r="AL433" s="267"/>
      <c r="AM433" s="268"/>
    </row>
    <row r="434" spans="1:40" ht="48" hidden="1" customHeight="1" x14ac:dyDescent="0.25">
      <c r="A434" s="433" t="s">
        <v>1038</v>
      </c>
      <c r="B434" s="3102"/>
      <c r="C434" s="3102"/>
      <c r="D434" s="3102"/>
      <c r="E434" s="582" t="s">
        <v>902</v>
      </c>
      <c r="F434" s="584" t="str">
        <f>"Source Energy Use ("  &amp; PO_SourceUnits &amp; ")"</f>
        <v>Source Energy Use (Btu x 10^6)</v>
      </c>
      <c r="G434" s="582" t="s">
        <v>356</v>
      </c>
      <c r="H434" s="582" t="s">
        <v>902</v>
      </c>
      <c r="I434" s="584" t="str">
        <f>"Source Energy Use ("  &amp; PO_SourceUnits &amp; ")"</f>
        <v>Source Energy Use (Btu x 10^6)</v>
      </c>
      <c r="J434" s="582" t="s">
        <v>356</v>
      </c>
      <c r="K434" s="3100" t="s">
        <v>357</v>
      </c>
      <c r="L434" s="3185"/>
      <c r="M434" s="549" t="s">
        <v>356</v>
      </c>
      <c r="N434" s="334"/>
      <c r="O434" s="334"/>
      <c r="P434" s="334"/>
      <c r="AJ434" s="2"/>
    </row>
    <row r="435" spans="1:40" s="446" customFormat="1" ht="13.8" hidden="1" x14ac:dyDescent="0.25">
      <c r="A435" s="433" t="s">
        <v>1038</v>
      </c>
      <c r="B435" s="467" t="s">
        <v>1396</v>
      </c>
      <c r="C435" s="460" t="s">
        <v>1424</v>
      </c>
      <c r="D435" s="468"/>
      <c r="E435" s="469" t="s">
        <v>1452</v>
      </c>
      <c r="F435" s="468" t="s">
        <v>1453</v>
      </c>
      <c r="G435" s="469" t="s">
        <v>1454</v>
      </c>
      <c r="H435" s="469" t="s">
        <v>1437</v>
      </c>
      <c r="I435" s="468" t="s">
        <v>1438</v>
      </c>
      <c r="J435" s="469" t="s">
        <v>1439</v>
      </c>
      <c r="K435" s="469" t="s">
        <v>1455</v>
      </c>
      <c r="L435" s="460"/>
      <c r="M435" s="470" t="s">
        <v>1441</v>
      </c>
      <c r="N435" s="463"/>
      <c r="O435" s="463"/>
      <c r="P435" s="463"/>
      <c r="Q435" s="415" t="s">
        <v>1407</v>
      </c>
      <c r="R435" s="415" t="s">
        <v>1408</v>
      </c>
      <c r="AJ435" s="447"/>
    </row>
    <row r="436" spans="1:40" ht="15" hidden="1" customHeight="1" x14ac:dyDescent="0.25">
      <c r="A436" s="433" t="s">
        <v>1038</v>
      </c>
      <c r="B436" s="567" t="str">
        <f t="shared" ref="B436:B447" si="296">IFERROR(IF(ISBLANK(B17),"",B17),"")</f>
        <v>Electricity</v>
      </c>
      <c r="C436" s="3079" t="str">
        <f t="shared" ref="C436:C450" si="297">IFERROR(IF(ISBLANK($B436),"",VLOOKUP($B436,PO_Enrgy_1_Table,MATCH($C$16,PO_Enrgy_1_Hdr,0),FALSE) ),"")</f>
        <v>kWh</v>
      </c>
      <c r="D436" s="3080" t="e">
        <f>IF(C436="","",VLOOKUP(C436,ProjectEnergyTypeTable,3,FALSE))</f>
        <v>#NAME?</v>
      </c>
      <c r="E436" s="568">
        <f t="shared" ref="E436:E450" ca="1" si="298">IFERROR(IF(Datacenter_Avg=TRUE,AVERAGE(VLOOKUP($B436,PO_Enrgy_11_Table,MATCH($E$393,PO_Enrgy_11_Hdr,0),FALSE),VLOOKUP($B436,PO_Enrgy_12_Table,MATCH($E$414,PO_Enrgy_12_Hdr,0),FALSE)),VLOOKUP($B436,PO_Enrgy_12_Table,MATCH($E$414,PO_Enrgy_12_Hdr,0),FALSE)),"")</f>
        <v>0</v>
      </c>
      <c r="F436" s="568">
        <f t="shared" ref="F436:F441" ca="1" si="299">IFERROR(E436*$R436,"")</f>
        <v>0</v>
      </c>
      <c r="G436" s="529">
        <f t="shared" ref="G436:G450" si="300">IFERROR(IF(Datacenter_Avg=TRUE,AVERAGE(VLOOKUP($B436,PO_Enrgy_11_Table,MATCH($G$393,PO_Enrgy_11_Hdr,0),FALSE),VLOOKUP($B436,PO_Enrgy_12_Table,MATCH($G$414,PO_Enrgy_12_Hdr,0),FALSE)),VLOOKUP($B436,PO_Enrgy_12_Table,MATCH($G$414,PO_Enrgy_12_Hdr,0),FALSE)),"")</f>
        <v>0</v>
      </c>
      <c r="H436" s="568">
        <f t="shared" ref="H436:H450" ca="1" si="301">IFERROR(IF(Datacenter_Avg=TRUE,AVERAGE(VLOOKUP($B436,PO_Enrgy_11_Table,MATCH($H$393,PO_Enrgy_11_Hdr,0),FALSE),VLOOKUP($B436,PO_Enrgy_12_Table,MATCH($H$414,PO_Enrgy_12_Hdr,0),FALSE)),VLOOKUP($B436,PO_Enrgy_12_Table,MATCH($H$414,PO_Enrgy_12_Hdr,0),FALSE)),"")</f>
        <v>0</v>
      </c>
      <c r="I436" s="568">
        <f t="shared" ref="I436:I441" ca="1" si="302">IFERROR(H436*$R436,"")</f>
        <v>0</v>
      </c>
      <c r="J436" s="529">
        <f t="shared" ref="J436:J450" ca="1" si="303">IFERROR(IF(Datacenter_Avg=TRUE,AVERAGE(VLOOKUP($B436,PO_Enrgy_11_Table,MATCH($J$393,PO_Enrgy_11_Hdr,0),FALSE),VLOOKUP($B436,PO_Enrgy_12_Table,MATCH($J$414,PO_Enrgy_12_Hdr,0),FALSE)),VLOOKUP($B436,PO_Enrgy_12_Table,MATCH($J$414,PO_Enrgy_12_Hdr,0),FALSE)),"")</f>
        <v>0</v>
      </c>
      <c r="K436" s="3084" t="str">
        <f t="shared" ref="K436:K451" ca="1" si="304">IFERROR(1-H436/E436,"")</f>
        <v/>
      </c>
      <c r="L436" s="3085"/>
      <c r="M436" s="569" t="str">
        <f t="shared" ref="M436:M451" ca="1" si="305">IFERROR(1-J436/G436,"")</f>
        <v/>
      </c>
      <c r="Q436" s="416">
        <f t="shared" ref="Q436:Q450" si="306">IFERROR(IF(ISBLANK($B436),"",VLOOKUP($B436,PO_Enrgy_1_Table,MATCH($K$16,PO_Enrgy_1_Hdr,0),FALSE)),"")</f>
        <v>3.4120000000000001E-3</v>
      </c>
      <c r="R436" s="416">
        <f t="shared" ref="R436:R450" si="307">IFERROR(IF(ISBLANK($B436),"",VLOOKUP($B436,PO_Enrgy_1_Table,MATCH($M$16,PO_Enrgy_1_Hdr,0),FALSE)),"")</f>
        <v>1.0713680000000001E-2</v>
      </c>
      <c r="AH436" s="263"/>
      <c r="AI436" s="263"/>
      <c r="AJ436" s="2"/>
      <c r="AL436" s="267"/>
      <c r="AM436" s="268"/>
      <c r="AN436" s="269"/>
    </row>
    <row r="437" spans="1:40" ht="15" hidden="1" customHeight="1" x14ac:dyDescent="0.25">
      <c r="A437" s="433" t="s">
        <v>1038</v>
      </c>
      <c r="B437" s="567" t="str">
        <f t="shared" si="296"/>
        <v>Natural Gas</v>
      </c>
      <c r="C437" s="3079" t="str">
        <f t="shared" si="297"/>
        <v>therm</v>
      </c>
      <c r="D437" s="3080" t="e">
        <f>IF(C437="","",VLOOKUP(C437,ProjectEnergyTypeTable,3,FALSE))</f>
        <v>#NAME?</v>
      </c>
      <c r="E437" s="568">
        <f t="shared" ca="1" si="298"/>
        <v>0</v>
      </c>
      <c r="F437" s="568">
        <f t="shared" ca="1" si="299"/>
        <v>0</v>
      </c>
      <c r="G437" s="529">
        <f t="shared" si="300"/>
        <v>0</v>
      </c>
      <c r="H437" s="568">
        <f t="shared" ca="1" si="301"/>
        <v>0</v>
      </c>
      <c r="I437" s="568">
        <f t="shared" ca="1" si="302"/>
        <v>0</v>
      </c>
      <c r="J437" s="529">
        <f t="shared" si="303"/>
        <v>0</v>
      </c>
      <c r="K437" s="3084" t="str">
        <f t="shared" ca="1" si="304"/>
        <v/>
      </c>
      <c r="L437" s="3085"/>
      <c r="M437" s="569" t="str">
        <f t="shared" si="305"/>
        <v/>
      </c>
      <c r="Q437" s="416">
        <f t="shared" si="306"/>
        <v>0.1</v>
      </c>
      <c r="R437" s="416">
        <f t="shared" si="307"/>
        <v>0.10500000000000001</v>
      </c>
      <c r="AH437" s="263"/>
      <c r="AI437" s="263"/>
      <c r="AJ437" s="2"/>
      <c r="AL437" s="267"/>
      <c r="AM437" s="268"/>
      <c r="AN437" s="269"/>
    </row>
    <row r="438" spans="1:40" ht="15" hidden="1" customHeight="1" x14ac:dyDescent="0.25">
      <c r="A438" s="433" t="s">
        <v>1038</v>
      </c>
      <c r="B438" s="567" t="str">
        <f t="shared" si="296"/>
        <v>District Cooling</v>
      </c>
      <c r="C438" s="3079" t="str">
        <f t="shared" si="297"/>
        <v>MWh</v>
      </c>
      <c r="D438" s="3080" t="e">
        <f>IF(C438="","",VLOOKUP(C438,ProjectEnergyTypeTable,3,FALSE))</f>
        <v>#NAME?</v>
      </c>
      <c r="E438" s="568">
        <f t="shared" si="298"/>
        <v>0</v>
      </c>
      <c r="F438" s="568">
        <f t="shared" si="299"/>
        <v>0</v>
      </c>
      <c r="G438" s="529">
        <f t="shared" si="300"/>
        <v>0</v>
      </c>
      <c r="H438" s="568">
        <f t="shared" si="301"/>
        <v>0</v>
      </c>
      <c r="I438" s="568">
        <f t="shared" si="302"/>
        <v>0</v>
      </c>
      <c r="J438" s="529">
        <f t="shared" si="303"/>
        <v>0</v>
      </c>
      <c r="K438" s="3084" t="str">
        <f t="shared" si="304"/>
        <v/>
      </c>
      <c r="L438" s="3085"/>
      <c r="M438" s="569" t="str">
        <f t="shared" si="305"/>
        <v/>
      </c>
      <c r="Q438" s="416">
        <f t="shared" si="306"/>
        <v>3.4119999999999999</v>
      </c>
      <c r="R438" s="416">
        <f t="shared" si="307"/>
        <v>3.4119999999999999</v>
      </c>
      <c r="AH438" s="263"/>
      <c r="AI438" s="263"/>
      <c r="AJ438" s="2"/>
      <c r="AL438" s="267"/>
      <c r="AM438" s="268"/>
      <c r="AN438" s="269"/>
    </row>
    <row r="439" spans="1:40" ht="15" hidden="1" customHeight="1" x14ac:dyDescent="0.25">
      <c r="A439" s="433" t="s">
        <v>1038</v>
      </c>
      <c r="B439" s="567" t="str">
        <f t="shared" si="296"/>
        <v>District Cooling</v>
      </c>
      <c r="C439" s="3079" t="str">
        <f t="shared" si="297"/>
        <v>MWh</v>
      </c>
      <c r="D439" s="3080" t="e">
        <f>IF(C439="","",VLOOKUP(C439,ProjectEnergyTypeTable,3,FALSE))</f>
        <v>#NAME?</v>
      </c>
      <c r="E439" s="568">
        <f t="shared" si="298"/>
        <v>0</v>
      </c>
      <c r="F439" s="568">
        <f t="shared" si="299"/>
        <v>0</v>
      </c>
      <c r="G439" s="529">
        <f t="shared" si="300"/>
        <v>0</v>
      </c>
      <c r="H439" s="568">
        <f t="shared" si="301"/>
        <v>0</v>
      </c>
      <c r="I439" s="568">
        <f t="shared" si="302"/>
        <v>0</v>
      </c>
      <c r="J439" s="529">
        <f t="shared" si="303"/>
        <v>0</v>
      </c>
      <c r="K439" s="3084" t="str">
        <f t="shared" si="304"/>
        <v/>
      </c>
      <c r="L439" s="3085"/>
      <c r="M439" s="569" t="str">
        <f t="shared" si="305"/>
        <v/>
      </c>
      <c r="Q439" s="416">
        <f t="shared" si="306"/>
        <v>3.4119999999999999</v>
      </c>
      <c r="R439" s="416">
        <f t="shared" si="307"/>
        <v>3.4119999999999999</v>
      </c>
      <c r="AH439" s="263"/>
      <c r="AI439" s="263"/>
      <c r="AJ439" s="2"/>
      <c r="AL439" s="267"/>
      <c r="AM439" s="268"/>
      <c r="AN439" s="269"/>
    </row>
    <row r="440" spans="1:40" ht="15" hidden="1" customHeight="1" x14ac:dyDescent="0.25">
      <c r="A440" s="433" t="s">
        <v>1038</v>
      </c>
      <c r="B440" s="567" t="str">
        <f t="shared" si="296"/>
        <v>District Cooling</v>
      </c>
      <c r="C440" s="3079" t="str">
        <f t="shared" si="297"/>
        <v>MWh</v>
      </c>
      <c r="D440" s="3080" t="e">
        <f>IF(C440="","",VLOOKUP(C440,ProjectEnergyTypeTable,3,FALSE))</f>
        <v>#NAME?</v>
      </c>
      <c r="E440" s="568">
        <f t="shared" si="298"/>
        <v>0</v>
      </c>
      <c r="F440" s="568">
        <f t="shared" si="299"/>
        <v>0</v>
      </c>
      <c r="G440" s="529">
        <f t="shared" si="300"/>
        <v>0</v>
      </c>
      <c r="H440" s="568">
        <f t="shared" si="301"/>
        <v>0</v>
      </c>
      <c r="I440" s="568">
        <f t="shared" si="302"/>
        <v>0</v>
      </c>
      <c r="J440" s="529">
        <f t="shared" si="303"/>
        <v>0</v>
      </c>
      <c r="K440" s="3084" t="str">
        <f t="shared" si="304"/>
        <v/>
      </c>
      <c r="L440" s="3085"/>
      <c r="M440" s="569" t="str">
        <f t="shared" si="305"/>
        <v/>
      </c>
      <c r="Q440" s="416">
        <f t="shared" si="306"/>
        <v>3.4119999999999999</v>
      </c>
      <c r="R440" s="416">
        <f t="shared" si="307"/>
        <v>3.4119999999999999</v>
      </c>
      <c r="AH440" s="263"/>
      <c r="AI440" s="263"/>
      <c r="AJ440" s="2"/>
      <c r="AL440" s="267"/>
      <c r="AM440" s="268"/>
      <c r="AN440" s="269"/>
    </row>
    <row r="441" spans="1:40" ht="15" hidden="1" customHeight="1" x14ac:dyDescent="0.25">
      <c r="A441" s="433" t="s">
        <v>1038</v>
      </c>
      <c r="B441" s="567" t="str">
        <f t="shared" si="296"/>
        <v>District Cooling</v>
      </c>
      <c r="C441" s="3079" t="str">
        <f t="shared" si="297"/>
        <v>MWh</v>
      </c>
      <c r="D441" s="3080" t="e">
        <f>IF(C441="","",VLOOKUP(C441,ProjectEnergyTypeTable,3,FALSE))</f>
        <v>#NAME?</v>
      </c>
      <c r="E441" s="568">
        <f t="shared" si="298"/>
        <v>0</v>
      </c>
      <c r="F441" s="568">
        <f t="shared" si="299"/>
        <v>0</v>
      </c>
      <c r="G441" s="529">
        <f t="shared" si="300"/>
        <v>0</v>
      </c>
      <c r="H441" s="568">
        <f t="shared" si="301"/>
        <v>0</v>
      </c>
      <c r="I441" s="568">
        <f t="shared" si="302"/>
        <v>0</v>
      </c>
      <c r="J441" s="529">
        <f t="shared" si="303"/>
        <v>0</v>
      </c>
      <c r="K441" s="3084" t="str">
        <f t="shared" ref="K441" si="308">IFERROR(1-H441/E441,"")</f>
        <v/>
      </c>
      <c r="L441" s="3085"/>
      <c r="M441" s="569" t="str">
        <f t="shared" ref="M441" si="309">IFERROR(1-J441/G441,"")</f>
        <v/>
      </c>
      <c r="Q441" s="416">
        <f t="shared" si="306"/>
        <v>3.4119999999999999</v>
      </c>
      <c r="R441" s="416">
        <f t="shared" si="307"/>
        <v>3.4119999999999999</v>
      </c>
      <c r="AH441" s="263"/>
      <c r="AI441" s="263"/>
      <c r="AJ441" s="2"/>
      <c r="AL441" s="267"/>
      <c r="AM441" s="268"/>
      <c r="AN441" s="269"/>
    </row>
    <row r="442" spans="1:40" ht="15" hidden="1" customHeight="1" x14ac:dyDescent="0.25">
      <c r="A442" s="433" t="s">
        <v>1038</v>
      </c>
      <c r="B442" s="567" t="str">
        <f t="shared" si="296"/>
        <v>District Cooling</v>
      </c>
      <c r="C442" s="3079" t="str">
        <f t="shared" si="297"/>
        <v>MWh</v>
      </c>
      <c r="D442" s="3080" t="e">
        <f>IF(C442="","",VLOOKUP(C442,ProjectEnergyTypeTable,3,FALSE))</f>
        <v>#NAME?</v>
      </c>
      <c r="E442" s="568">
        <f t="shared" si="298"/>
        <v>0</v>
      </c>
      <c r="F442" s="568">
        <f t="shared" ref="F442:F443" si="310">IFERROR(E442*$R442,"")</f>
        <v>0</v>
      </c>
      <c r="G442" s="529">
        <f t="shared" si="300"/>
        <v>0</v>
      </c>
      <c r="H442" s="568">
        <f t="shared" si="301"/>
        <v>0</v>
      </c>
      <c r="I442" s="568">
        <f t="shared" ref="I442:I443" si="311">IFERROR(H442*$R442,"")</f>
        <v>0</v>
      </c>
      <c r="J442" s="529">
        <f t="shared" si="303"/>
        <v>0</v>
      </c>
      <c r="K442" s="3084" t="str">
        <f t="shared" ref="K442:K443" si="312">IFERROR(1-H442/E442,"")</f>
        <v/>
      </c>
      <c r="L442" s="3085"/>
      <c r="M442" s="569" t="str">
        <f t="shared" ref="M442:M443" si="313">IFERROR(1-J442/G442,"")</f>
        <v/>
      </c>
      <c r="Q442" s="416">
        <f t="shared" si="306"/>
        <v>3.4119999999999999</v>
      </c>
      <c r="R442" s="416">
        <f t="shared" si="307"/>
        <v>3.4119999999999999</v>
      </c>
      <c r="AH442" s="263"/>
      <c r="AI442" s="263"/>
      <c r="AJ442" s="2"/>
      <c r="AL442" s="267"/>
      <c r="AM442" s="268"/>
      <c r="AN442" s="269"/>
    </row>
    <row r="443" spans="1:40" ht="15" hidden="1" customHeight="1" x14ac:dyDescent="0.25">
      <c r="A443" s="433" t="s">
        <v>1038</v>
      </c>
      <c r="B443" s="567" t="str">
        <f t="shared" si="296"/>
        <v>District Cooling</v>
      </c>
      <c r="C443" s="3079" t="str">
        <f t="shared" si="297"/>
        <v>MWh</v>
      </c>
      <c r="D443" s="3080" t="e">
        <f>IF(C443="","",VLOOKUP(C443,ProjectEnergyTypeTable,3,FALSE))</f>
        <v>#NAME?</v>
      </c>
      <c r="E443" s="568">
        <f t="shared" si="298"/>
        <v>0</v>
      </c>
      <c r="F443" s="568">
        <f t="shared" si="310"/>
        <v>0</v>
      </c>
      <c r="G443" s="529">
        <f t="shared" si="300"/>
        <v>0</v>
      </c>
      <c r="H443" s="568">
        <f t="shared" si="301"/>
        <v>0</v>
      </c>
      <c r="I443" s="568">
        <f t="shared" si="311"/>
        <v>0</v>
      </c>
      <c r="J443" s="529">
        <f t="shared" si="303"/>
        <v>0</v>
      </c>
      <c r="K443" s="3084" t="str">
        <f t="shared" si="312"/>
        <v/>
      </c>
      <c r="L443" s="3085"/>
      <c r="M443" s="569" t="str">
        <f t="shared" si="313"/>
        <v/>
      </c>
      <c r="Q443" s="416">
        <f t="shared" si="306"/>
        <v>3.4119999999999999</v>
      </c>
      <c r="R443" s="416">
        <f t="shared" si="307"/>
        <v>3.4119999999999999</v>
      </c>
      <c r="AH443" s="263"/>
      <c r="AI443" s="263"/>
      <c r="AJ443" s="2"/>
      <c r="AL443" s="267"/>
      <c r="AM443" s="268"/>
      <c r="AN443" s="269"/>
    </row>
    <row r="444" spans="1:40" ht="15" hidden="1" customHeight="1" x14ac:dyDescent="0.25">
      <c r="A444" s="433" t="s">
        <v>1038</v>
      </c>
      <c r="B444" s="567" t="str">
        <f t="shared" si="296"/>
        <v>District Cooling</v>
      </c>
      <c r="C444" s="3079" t="str">
        <f t="shared" si="297"/>
        <v>MWh</v>
      </c>
      <c r="D444" s="3080" t="e">
        <f>IF(C444="","",VLOOKUP(C444,ProjectEnergyTypeTable,3,FALSE))</f>
        <v>#NAME?</v>
      </c>
      <c r="E444" s="568">
        <f t="shared" si="298"/>
        <v>0</v>
      </c>
      <c r="F444" s="568">
        <f t="shared" ref="F444" si="314">IFERROR(E444*$R444,"")</f>
        <v>0</v>
      </c>
      <c r="G444" s="529">
        <f t="shared" si="300"/>
        <v>0</v>
      </c>
      <c r="H444" s="568">
        <f t="shared" si="301"/>
        <v>0</v>
      </c>
      <c r="I444" s="568">
        <f t="shared" ref="I444" si="315">IFERROR(H444*$R444,"")</f>
        <v>0</v>
      </c>
      <c r="J444" s="529">
        <f t="shared" si="303"/>
        <v>0</v>
      </c>
      <c r="K444" s="3084" t="str">
        <f t="shared" ref="K444" si="316">IFERROR(1-H444/E444,"")</f>
        <v/>
      </c>
      <c r="L444" s="3085"/>
      <c r="M444" s="569" t="str">
        <f t="shared" ref="M444" si="317">IFERROR(1-J444/G444,"")</f>
        <v/>
      </c>
      <c r="Q444" s="416">
        <f t="shared" si="306"/>
        <v>3.4119999999999999</v>
      </c>
      <c r="R444" s="416">
        <f t="shared" si="307"/>
        <v>3.4119999999999999</v>
      </c>
      <c r="AH444" s="263"/>
      <c r="AI444" s="263"/>
      <c r="AJ444" s="2"/>
      <c r="AL444" s="267"/>
      <c r="AM444" s="268"/>
      <c r="AN444" s="269"/>
    </row>
    <row r="445" spans="1:40" ht="15" hidden="1" customHeight="1" x14ac:dyDescent="0.25">
      <c r="A445" s="433" t="s">
        <v>1038</v>
      </c>
      <c r="B445" s="567" t="str">
        <f t="shared" si="296"/>
        <v>District Cooling</v>
      </c>
      <c r="C445" s="3079" t="str">
        <f t="shared" si="297"/>
        <v>MWh</v>
      </c>
      <c r="D445" s="3080" t="e">
        <f>IF(C445="","",VLOOKUP(C445,ProjectEnergyTypeTable,3,FALSE))</f>
        <v>#NAME?</v>
      </c>
      <c r="E445" s="568">
        <f t="shared" si="298"/>
        <v>0</v>
      </c>
      <c r="F445" s="568">
        <f t="shared" ref="F445" si="318">IFERROR(E445*$R445,"")</f>
        <v>0</v>
      </c>
      <c r="G445" s="529">
        <f t="shared" si="300"/>
        <v>0</v>
      </c>
      <c r="H445" s="568">
        <f t="shared" si="301"/>
        <v>0</v>
      </c>
      <c r="I445" s="568">
        <f t="shared" ref="I445" si="319">IFERROR(H445*$R445,"")</f>
        <v>0</v>
      </c>
      <c r="J445" s="529">
        <f t="shared" si="303"/>
        <v>0</v>
      </c>
      <c r="K445" s="3084" t="str">
        <f t="shared" ref="K445" si="320">IFERROR(1-H445/E445,"")</f>
        <v/>
      </c>
      <c r="L445" s="3085"/>
      <c r="M445" s="569" t="str">
        <f t="shared" ref="M445" si="321">IFERROR(1-J445/G445,"")</f>
        <v/>
      </c>
      <c r="Q445" s="416">
        <f t="shared" si="306"/>
        <v>3.4119999999999999</v>
      </c>
      <c r="R445" s="416">
        <f t="shared" si="307"/>
        <v>3.4119999999999999</v>
      </c>
      <c r="AH445" s="263"/>
      <c r="AI445" s="263"/>
      <c r="AJ445" s="2"/>
      <c r="AL445" s="267"/>
      <c r="AM445" s="268"/>
      <c r="AN445" s="269"/>
    </row>
    <row r="446" spans="1:40" ht="15" hidden="1" customHeight="1" x14ac:dyDescent="0.25">
      <c r="A446" s="433" t="s">
        <v>1038</v>
      </c>
      <c r="B446" s="567" t="str">
        <f t="shared" si="296"/>
        <v>District Cooling</v>
      </c>
      <c r="C446" s="3079" t="str">
        <f t="shared" si="297"/>
        <v>MWh</v>
      </c>
      <c r="D446" s="3080" t="e">
        <f>IF(C446="","",VLOOKUP(C446,ProjectEnergyTypeTable,3,FALSE))</f>
        <v>#NAME?</v>
      </c>
      <c r="E446" s="568">
        <f t="shared" si="298"/>
        <v>0</v>
      </c>
      <c r="F446" s="568">
        <f t="shared" ref="F446" si="322">IFERROR(E446*$R446,"")</f>
        <v>0</v>
      </c>
      <c r="G446" s="529">
        <f t="shared" si="300"/>
        <v>0</v>
      </c>
      <c r="H446" s="568">
        <f t="shared" si="301"/>
        <v>0</v>
      </c>
      <c r="I446" s="568">
        <f t="shared" ref="I446" si="323">IFERROR(H446*$R446,"")</f>
        <v>0</v>
      </c>
      <c r="J446" s="529">
        <f t="shared" si="303"/>
        <v>0</v>
      </c>
      <c r="K446" s="3084" t="str">
        <f t="shared" ref="K446" si="324">IFERROR(1-H446/E446,"")</f>
        <v/>
      </c>
      <c r="L446" s="3085"/>
      <c r="M446" s="569" t="str">
        <f t="shared" ref="M446" si="325">IFERROR(1-J446/G446,"")</f>
        <v/>
      </c>
      <c r="Q446" s="416">
        <f t="shared" si="306"/>
        <v>3.4119999999999999</v>
      </c>
      <c r="R446" s="416">
        <f t="shared" si="307"/>
        <v>3.4119999999999999</v>
      </c>
      <c r="AH446" s="263"/>
      <c r="AI446" s="263"/>
      <c r="AJ446" s="2"/>
      <c r="AL446" s="267"/>
      <c r="AM446" s="268"/>
      <c r="AN446" s="269"/>
    </row>
    <row r="447" spans="1:40" ht="15" hidden="1" customHeight="1" x14ac:dyDescent="0.25">
      <c r="A447" s="433" t="s">
        <v>1038</v>
      </c>
      <c r="B447" s="567" t="str">
        <f t="shared" si="296"/>
        <v>District Cooling</v>
      </c>
      <c r="C447" s="3079" t="str">
        <f t="shared" si="297"/>
        <v>MWh</v>
      </c>
      <c r="D447" s="3080" t="e">
        <f>IF(C447="","",VLOOKUP(C447,ProjectEnergyTypeTable,3,FALSE))</f>
        <v>#NAME?</v>
      </c>
      <c r="E447" s="568">
        <f t="shared" si="298"/>
        <v>0</v>
      </c>
      <c r="F447" s="568">
        <f t="shared" ref="F447" si="326">IFERROR(E447*$R447,"")</f>
        <v>0</v>
      </c>
      <c r="G447" s="529">
        <f t="shared" si="300"/>
        <v>0</v>
      </c>
      <c r="H447" s="568">
        <f t="shared" si="301"/>
        <v>0</v>
      </c>
      <c r="I447" s="568">
        <f t="shared" ref="I447" si="327">IFERROR(H447*$R447,"")</f>
        <v>0</v>
      </c>
      <c r="J447" s="529">
        <f t="shared" si="303"/>
        <v>0</v>
      </c>
      <c r="K447" s="3084" t="str">
        <f t="shared" ref="K447" si="328">IFERROR(1-H447/E447,"")</f>
        <v/>
      </c>
      <c r="L447" s="3085"/>
      <c r="M447" s="569" t="str">
        <f t="shared" ref="M447" si="329">IFERROR(1-J447/G447,"")</f>
        <v/>
      </c>
      <c r="Q447" s="416">
        <f t="shared" si="306"/>
        <v>3.4119999999999999</v>
      </c>
      <c r="R447" s="416">
        <f t="shared" si="307"/>
        <v>3.4119999999999999</v>
      </c>
      <c r="AH447" s="263"/>
      <c r="AI447" s="263"/>
      <c r="AJ447" s="2"/>
      <c r="AL447" s="267"/>
      <c r="AM447" s="268"/>
      <c r="AN447" s="269"/>
    </row>
    <row r="448" spans="1:40" ht="15" hidden="1" customHeight="1" x14ac:dyDescent="0.25">
      <c r="A448" s="433" t="s">
        <v>1038</v>
      </c>
      <c r="B448" s="567" t="str">
        <f t="shared" ref="B448:B450" si="330">IFERROR(IF(ISBLANK(B29),"",B29),"")</f>
        <v>District Cooling</v>
      </c>
      <c r="C448" s="3079" t="str">
        <f t="shared" si="297"/>
        <v>MWh</v>
      </c>
      <c r="D448" s="3080" t="e">
        <f>IF(C448="","",VLOOKUP(C448,ProjectEnergyTypeTable,3,FALSE))</f>
        <v>#NAME?</v>
      </c>
      <c r="E448" s="568">
        <f t="shared" si="298"/>
        <v>0</v>
      </c>
      <c r="F448" s="568">
        <f t="shared" ref="F448:F450" si="331">IFERROR(E448*$R448,"")</f>
        <v>0</v>
      </c>
      <c r="G448" s="529">
        <f t="shared" si="300"/>
        <v>0</v>
      </c>
      <c r="H448" s="568">
        <f t="shared" si="301"/>
        <v>0</v>
      </c>
      <c r="I448" s="568">
        <f t="shared" ref="I448:I450" si="332">IFERROR(H448*$R448,"")</f>
        <v>0</v>
      </c>
      <c r="J448" s="529">
        <f t="shared" si="303"/>
        <v>0</v>
      </c>
      <c r="K448" s="3084" t="str">
        <f t="shared" ref="K448:K450" si="333">IFERROR(1-H448/E448,"")</f>
        <v/>
      </c>
      <c r="L448" s="3085"/>
      <c r="M448" s="569" t="str">
        <f t="shared" ref="M448:M450" si="334">IFERROR(1-J448/G448,"")</f>
        <v/>
      </c>
      <c r="Q448" s="416">
        <f t="shared" si="306"/>
        <v>3.4119999999999999</v>
      </c>
      <c r="R448" s="416">
        <f t="shared" si="307"/>
        <v>3.4119999999999999</v>
      </c>
      <c r="AH448" s="263"/>
      <c r="AI448" s="263"/>
      <c r="AJ448" s="2"/>
      <c r="AL448" s="267"/>
      <c r="AM448" s="268"/>
      <c r="AN448" s="269"/>
    </row>
    <row r="449" spans="1:55" ht="15" hidden="1" customHeight="1" x14ac:dyDescent="0.25">
      <c r="A449" s="433" t="s">
        <v>1038</v>
      </c>
      <c r="B449" s="567" t="str">
        <f t="shared" si="330"/>
        <v>District Cooling</v>
      </c>
      <c r="C449" s="3079" t="str">
        <f t="shared" si="297"/>
        <v>MWh</v>
      </c>
      <c r="D449" s="3080" t="e">
        <f>IF(C449="","",VLOOKUP(C449,ProjectEnergyTypeTable,3,FALSE))</f>
        <v>#NAME?</v>
      </c>
      <c r="E449" s="568">
        <f t="shared" si="298"/>
        <v>0</v>
      </c>
      <c r="F449" s="568">
        <f t="shared" si="331"/>
        <v>0</v>
      </c>
      <c r="G449" s="529">
        <f t="shared" si="300"/>
        <v>0</v>
      </c>
      <c r="H449" s="568">
        <f t="shared" si="301"/>
        <v>0</v>
      </c>
      <c r="I449" s="568">
        <f t="shared" si="332"/>
        <v>0</v>
      </c>
      <c r="J449" s="529">
        <f t="shared" si="303"/>
        <v>0</v>
      </c>
      <c r="K449" s="3084" t="str">
        <f t="shared" si="333"/>
        <v/>
      </c>
      <c r="L449" s="3085"/>
      <c r="M449" s="569" t="str">
        <f t="shared" si="334"/>
        <v/>
      </c>
      <c r="Q449" s="416">
        <f t="shared" si="306"/>
        <v>3.4119999999999999</v>
      </c>
      <c r="R449" s="416">
        <f t="shared" si="307"/>
        <v>3.4119999999999999</v>
      </c>
      <c r="AH449" s="263"/>
      <c r="AI449" s="263"/>
      <c r="AJ449" s="2"/>
      <c r="AL449" s="267"/>
      <c r="AM449" s="268"/>
      <c r="AN449" s="269"/>
    </row>
    <row r="450" spans="1:55" ht="15" hidden="1" customHeight="1" x14ac:dyDescent="0.25">
      <c r="A450" s="433" t="s">
        <v>1038</v>
      </c>
      <c r="B450" s="567" t="str">
        <f t="shared" si="330"/>
        <v>District Cooling</v>
      </c>
      <c r="C450" s="3079" t="str">
        <f t="shared" si="297"/>
        <v>MWh</v>
      </c>
      <c r="D450" s="3080" t="e">
        <f>IF(C450="","",VLOOKUP(C450,ProjectEnergyTypeTable,3,FALSE))</f>
        <v>#NAME?</v>
      </c>
      <c r="E450" s="568">
        <f t="shared" si="298"/>
        <v>0</v>
      </c>
      <c r="F450" s="568">
        <f t="shared" si="331"/>
        <v>0</v>
      </c>
      <c r="G450" s="529">
        <f t="shared" si="300"/>
        <v>0</v>
      </c>
      <c r="H450" s="568">
        <f t="shared" si="301"/>
        <v>0</v>
      </c>
      <c r="I450" s="568">
        <f t="shared" si="332"/>
        <v>0</v>
      </c>
      <c r="J450" s="529">
        <f t="shared" si="303"/>
        <v>0</v>
      </c>
      <c r="K450" s="3084" t="str">
        <f t="shared" si="333"/>
        <v/>
      </c>
      <c r="L450" s="3085"/>
      <c r="M450" s="569" t="str">
        <f t="shared" si="334"/>
        <v/>
      </c>
      <c r="Q450" s="416">
        <f t="shared" si="306"/>
        <v>3.4119999999999999</v>
      </c>
      <c r="R450" s="416">
        <f t="shared" si="307"/>
        <v>3.4119999999999999</v>
      </c>
      <c r="AH450" s="263"/>
      <c r="AI450" s="263"/>
      <c r="AJ450" s="2"/>
      <c r="AL450" s="267"/>
      <c r="AM450" s="268"/>
      <c r="AN450" s="269"/>
    </row>
    <row r="451" spans="1:55" s="245" customFormat="1" ht="21" hidden="1" customHeight="1" x14ac:dyDescent="0.25">
      <c r="A451" s="433" t="s">
        <v>1038</v>
      </c>
      <c r="B451" s="3210" t="str">
        <f>"Energy Model Subtotal (" &amp; PO_SiteUnits &amp; ")"</f>
        <v>Energy Model Subtotal (Btu x 10^6)</v>
      </c>
      <c r="C451" s="3211"/>
      <c r="D451" s="3211"/>
      <c r="E451" s="550">
        <f ca="1">IFERROR(SUMPRODUCT(INDEX(PO_Enrgy_13_Table,0,MATCH(E$435,PO_Enrgy_13_Hdr,0)),INDEX(PO_Enrgy_13_Table,0,MATCH($Q$435,PO_Enrgy_13_Hdr,0))),"")</f>
        <v>0</v>
      </c>
      <c r="F451" s="551">
        <f ca="1">IFERROR(SUM(INDEX(PO_Enrgy_13_Table,0,MATCH(F$435,PO_Enrgy_12_Hdr,0))),"")</f>
        <v>0</v>
      </c>
      <c r="G451" s="552">
        <f>IFERROR(SUM(INDEX(PO_Enrgy_13_Table,0,MATCH(G$435,PO_Enrgy_12_Hdr,0))),"")</f>
        <v>0</v>
      </c>
      <c r="H451" s="550">
        <f ca="1">IFERROR(SUMPRODUCT(INDEX(PO_Enrgy_13_Table,0,MATCH(H$435,PO_Enrgy_13_Hdr,0)),INDEX(PO_Enrgy_13_Table,0,MATCH($Q$435,PO_Enrgy_13_Hdr,0))),"")</f>
        <v>0</v>
      </c>
      <c r="I451" s="551">
        <f ca="1">IFERROR(SUM(INDEX(PO_Enrgy_13_Table,0,MATCH(I$435,PO_Enrgy_12_Hdr,0))),"")</f>
        <v>0</v>
      </c>
      <c r="J451" s="552">
        <f ca="1">IFERROR(SUM(INDEX(PO_Enrgy_13_Table,0,MATCH(J$435,PO_Enrgy_12_Hdr,0))),"")</f>
        <v>0</v>
      </c>
      <c r="K451" s="3212" t="str">
        <f t="shared" ca="1" si="304"/>
        <v/>
      </c>
      <c r="L451" s="3213"/>
      <c r="M451" s="553" t="str">
        <f t="shared" ca="1" si="305"/>
        <v/>
      </c>
      <c r="N451" s="235"/>
      <c r="O451" s="235"/>
      <c r="P451" s="235"/>
      <c r="AJ451" s="2"/>
      <c r="AL451" s="267"/>
      <c r="AM451" s="268"/>
    </row>
    <row r="452" spans="1:55" s="245" customFormat="1" ht="30" hidden="1" customHeight="1" x14ac:dyDescent="0.25">
      <c r="A452" s="433" t="s">
        <v>1038</v>
      </c>
      <c r="B452" s="3203"/>
      <c r="C452" s="3204"/>
      <c r="D452" s="3204"/>
      <c r="E452" s="3204"/>
      <c r="F452" s="3204"/>
      <c r="G452" s="3204"/>
      <c r="H452" s="3204"/>
      <c r="I452" s="3204"/>
      <c r="J452" s="3204"/>
      <c r="K452" s="3204"/>
      <c r="L452" s="3204"/>
      <c r="M452" s="332"/>
      <c r="N452" s="235"/>
      <c r="O452" s="235"/>
      <c r="P452" s="235"/>
      <c r="AL452" s="270"/>
      <c r="AM452" s="271"/>
    </row>
    <row r="453" spans="1:55" ht="18" customHeight="1" x14ac:dyDescent="0.25">
      <c r="A453" s="433" t="s">
        <v>1038</v>
      </c>
      <c r="B453" s="3191" t="s">
        <v>1027</v>
      </c>
      <c r="C453" s="3142"/>
      <c r="D453" s="3142"/>
      <c r="E453" s="3142"/>
      <c r="F453" s="3142"/>
      <c r="G453" s="3183"/>
      <c r="H453" s="3183"/>
      <c r="I453" s="3183"/>
      <c r="J453" s="3183"/>
      <c r="K453" s="3205" t="str">
        <f ca="1">$M$451</f>
        <v/>
      </c>
      <c r="L453" s="3088"/>
      <c r="M453" s="3206"/>
      <c r="AJ453" s="2"/>
      <c r="BC453" s="804"/>
    </row>
    <row r="454" spans="1:55" ht="18" customHeight="1" x14ac:dyDescent="0.25">
      <c r="A454" s="433" t="s">
        <v>1038</v>
      </c>
      <c r="B454" s="3191" t="s">
        <v>1879</v>
      </c>
      <c r="C454" s="3142"/>
      <c r="D454" s="3142"/>
      <c r="E454" s="3142"/>
      <c r="F454" s="3142"/>
      <c r="G454" s="3183"/>
      <c r="H454" s="3183"/>
      <c r="I454" s="3183"/>
      <c r="J454" s="3183"/>
      <c r="K454" s="3192" t="str">
        <f ca="1">IFERROR(1-K453,"")</f>
        <v/>
      </c>
      <c r="L454" s="3192"/>
      <c r="M454" s="3193"/>
      <c r="AJ454" s="2"/>
      <c r="BC454" s="804"/>
    </row>
    <row r="455" spans="1:55" s="245" customFormat="1" ht="33" customHeight="1" x14ac:dyDescent="0.25">
      <c r="A455" s="433" t="s">
        <v>1038</v>
      </c>
      <c r="B455" s="249"/>
      <c r="C455" s="249"/>
      <c r="D455" s="249"/>
      <c r="E455" s="250"/>
      <c r="F455" s="250"/>
      <c r="G455" s="294"/>
      <c r="H455" s="250"/>
      <c r="I455" s="250"/>
      <c r="J455" s="294"/>
      <c r="K455" s="332"/>
      <c r="L455" s="332"/>
      <c r="M455" s="332"/>
      <c r="N455" s="235"/>
      <c r="O455" s="235"/>
      <c r="P455" s="235"/>
      <c r="AL455" s="270"/>
      <c r="AM455" s="271"/>
    </row>
    <row r="456" spans="1:55" ht="21.75" customHeight="1" x14ac:dyDescent="0.25">
      <c r="A456" s="433" t="s">
        <v>1038</v>
      </c>
      <c r="B456" s="583" t="s">
        <v>1018</v>
      </c>
      <c r="AL456" s="289"/>
      <c r="AM456" s="290"/>
    </row>
    <row r="457" spans="1:55" ht="42" customHeight="1" x14ac:dyDescent="0.25">
      <c r="A457" s="433" t="s">
        <v>1038</v>
      </c>
      <c r="B457" s="3138" t="s">
        <v>354</v>
      </c>
      <c r="C457" s="3139" t="s">
        <v>1436</v>
      </c>
      <c r="D457" s="3102"/>
      <c r="E457" s="3194" t="s">
        <v>362</v>
      </c>
      <c r="F457" s="3194"/>
      <c r="G457" s="3194"/>
      <c r="H457" s="3140" t="s">
        <v>942</v>
      </c>
      <c r="I457" s="3138"/>
      <c r="J457" s="3138"/>
      <c r="K457" s="3138" t="s">
        <v>361</v>
      </c>
      <c r="L457" s="3138"/>
      <c r="M457" s="3102"/>
      <c r="N457" s="3190"/>
      <c r="O457" s="3190"/>
      <c r="P457" s="3190"/>
      <c r="AJ457" s="2"/>
      <c r="AL457" s="267"/>
      <c r="AM457" s="268"/>
      <c r="AR457" s="399"/>
      <c r="AS457" s="400"/>
      <c r="AT457" s="400"/>
      <c r="AU457" s="400"/>
      <c r="AV457" s="272"/>
    </row>
    <row r="458" spans="1:55" ht="56.25" customHeight="1" x14ac:dyDescent="0.25">
      <c r="A458" s="433" t="s">
        <v>1038</v>
      </c>
      <c r="B458" s="3102"/>
      <c r="C458" s="3102"/>
      <c r="D458" s="3102"/>
      <c r="E458" s="580" t="s">
        <v>360</v>
      </c>
      <c r="F458" s="579" t="str">
        <f>"Source Energy Use Savings 
("  &amp; PO_SourceUnits &amp; ")"</f>
        <v>Source Energy Use Savings 
(Btu x 10^6)</v>
      </c>
      <c r="G458" s="580" t="s">
        <v>359</v>
      </c>
      <c r="H458" s="580" t="s">
        <v>902</v>
      </c>
      <c r="I458" s="579" t="str">
        <f>"Source Energy Use 
("  &amp; PO_SourceUnits &amp; ")"</f>
        <v>Source Energy Use 
(Btu x 10^6)</v>
      </c>
      <c r="J458" s="580" t="s">
        <v>356</v>
      </c>
      <c r="K458" s="3140" t="s">
        <v>357</v>
      </c>
      <c r="L458" s="3102"/>
      <c r="M458" s="580" t="s">
        <v>356</v>
      </c>
      <c r="N458" s="588"/>
      <c r="O458" s="588"/>
      <c r="P458" s="588"/>
      <c r="AJ458" s="2"/>
      <c r="AL458" s="267"/>
      <c r="AM458" s="268"/>
      <c r="AR458" s="400"/>
      <c r="AS458" s="283"/>
      <c r="AT458" s="283"/>
      <c r="AU458" s="283"/>
    </row>
    <row r="459" spans="1:55" s="446" customFormat="1" ht="13.8" hidden="1" x14ac:dyDescent="0.25">
      <c r="A459" s="433" t="s">
        <v>1038</v>
      </c>
      <c r="B459" s="468" t="s">
        <v>1396</v>
      </c>
      <c r="C459" s="460" t="s">
        <v>1424</v>
      </c>
      <c r="D459" s="468"/>
      <c r="E459" s="469" t="s">
        <v>1456</v>
      </c>
      <c r="F459" s="468" t="s">
        <v>1457</v>
      </c>
      <c r="G459" s="469" t="s">
        <v>1458</v>
      </c>
      <c r="H459" s="469" t="s">
        <v>1437</v>
      </c>
      <c r="I459" s="468" t="s">
        <v>1438</v>
      </c>
      <c r="J459" s="469" t="s">
        <v>1439</v>
      </c>
      <c r="K459" s="469" t="s">
        <v>1455</v>
      </c>
      <c r="L459" s="460"/>
      <c r="M459" s="469" t="s">
        <v>1441</v>
      </c>
      <c r="N459" s="463"/>
      <c r="O459" s="463"/>
      <c r="P459" s="463"/>
      <c r="Q459" s="415" t="s">
        <v>1407</v>
      </c>
      <c r="R459" s="415" t="s">
        <v>1408</v>
      </c>
      <c r="S459" s="415" t="s">
        <v>1506</v>
      </c>
      <c r="AJ459" s="447"/>
    </row>
    <row r="460" spans="1:55" ht="15" customHeight="1" x14ac:dyDescent="0.25">
      <c r="A460" s="433" t="s">
        <v>1038</v>
      </c>
      <c r="B460" s="541" t="str">
        <f t="shared" ref="B460:B471" si="335">IFERROR(IF(ISBLANK(B17),"",B17),"")</f>
        <v>Electricity</v>
      </c>
      <c r="C460" s="3107" t="str">
        <f t="shared" ref="C460:C474" si="336">IFERROR(IF(ISBLANK($B460),"",VLOOKUP($B460,PO_Enrgy_1_Table,MATCH($C$16,PO_Enrgy_1_Hdr,0),FALSE) ),"")</f>
        <v>kWh</v>
      </c>
      <c r="D460" s="3108" t="e">
        <f>IF(C460="","",VLOOKUP(C460,ProjectEnergyTypeTable,3,FALSE))</f>
        <v>#NAME?</v>
      </c>
      <c r="E460" s="555">
        <f t="shared" ref="E460:E474" si="337">IFERROR(IF(PO_SiteRenewable=TRUE,VLOOKUP($B460,PO_Enrgy_2_Table,MATCH($E$50,PO_Enrgy_2_Hdr,0),FALSE),0),"")</f>
        <v>0</v>
      </c>
      <c r="F460" s="555">
        <f t="shared" ref="F460:F465" si="338">IFERROR(E460*$R460,"")</f>
        <v>0</v>
      </c>
      <c r="G460" s="529">
        <f t="shared" ref="G460:G474" ca="1" si="339">IFERROR(IF(PO_SiteRenewable=TRUE,VLOOKUP($B460,PO_Enrgy_2_Table,MATCH($J$50,PO_Enrgy_2_Hdr,0),FALSE),0),"")</f>
        <v>0</v>
      </c>
      <c r="H460" s="555">
        <f t="shared" ref="H460:H474" ca="1" si="340">IFERROR(VLOOKUP($B460,PO_Enrgy_13_Table,MATCH($H$435,PO_Enrgy_13_Hdr,0),FALSE)-IF(PO_SiteRenewable=TRUE,VLOOKUP($B460,PO_Enrgy_2_Table,MATCH($E$50,PO_Enrgy_2_Hdr,0),FALSE),0),0)</f>
        <v>0</v>
      </c>
      <c r="I460" s="555">
        <f t="shared" ref="I460:I465" ca="1" si="341">IFERROR(H460*$R460,"")</f>
        <v>0</v>
      </c>
      <c r="J460" s="529">
        <f t="shared" ref="J460:J474" ca="1" si="342">IFERROR(VLOOKUP($B460,PO_Enrgy_13_Table,MATCH($J$435,PO_Enrgy_13_Hdr,0),FALSE)-IF(PO_SiteRenewable=TRUE,VLOOKUP($B460,PO_Enrgy_2_Table,MATCH($J$50,PO_Enrgy_2_Hdr,0),FALSE),0),0)</f>
        <v>0</v>
      </c>
      <c r="K460" s="3129" t="str">
        <f t="shared" ref="K460:K474" ca="1" si="343">IFERROR(1-$H460/VLOOKUP($B460,PO_Enrgy_13_Table,MATCH($E$435,PO_Enrgy_13_Hdr,0),FALSE),"")</f>
        <v/>
      </c>
      <c r="L460" s="3130"/>
      <c r="M460" s="570" t="str">
        <f t="shared" ref="M460:M474" ca="1" si="344">IFERROR(1-$J460/VLOOKUP($B460,PO_Enrgy_13_Table,MATCH($G$435,PO_Enrgy_13_Hdr,0),FALSE),"")</f>
        <v/>
      </c>
      <c r="Q460" s="627">
        <f t="shared" ref="Q460:Q474" si="345">IFERROR(IF(ISBLANK($B460),"",VLOOKUP($B460,PO_Enrgy_1_Table,MATCH($K$16,PO_Enrgy_1_Hdr,0),FALSE)),"")</f>
        <v>3.4120000000000001E-3</v>
      </c>
      <c r="R460" s="627">
        <f t="shared" ref="R460:R474" si="346">IFERROR(IF(ISBLANK($B460),"",VLOOKUP($B460,PO_Enrgy_1_Table,MATCH($M$16,PO_Enrgy_1_Hdr,0),FALSE)),"")</f>
        <v>1.0713680000000001E-2</v>
      </c>
      <c r="S460" s="627" t="str">
        <f t="shared" ref="S460:S465" ca="1" si="347">IFERROR(G460/E460,"")</f>
        <v/>
      </c>
      <c r="AH460" s="263"/>
      <c r="AI460" s="263"/>
      <c r="AJ460" s="256"/>
      <c r="AL460" s="267"/>
      <c r="AM460" s="267"/>
      <c r="AN460" s="300"/>
      <c r="AP460" s="273"/>
      <c r="AR460" s="274"/>
      <c r="AS460" s="257"/>
      <c r="AT460" s="257"/>
      <c r="AU460" s="284"/>
      <c r="BC460" s="804"/>
    </row>
    <row r="461" spans="1:55" ht="15" customHeight="1" x14ac:dyDescent="0.25">
      <c r="A461" s="433" t="s">
        <v>1038</v>
      </c>
      <c r="B461" s="541" t="str">
        <f t="shared" si="335"/>
        <v>Natural Gas</v>
      </c>
      <c r="C461" s="3107" t="str">
        <f t="shared" si="336"/>
        <v>therm</v>
      </c>
      <c r="D461" s="3108" t="e">
        <f>IF(C461="","",VLOOKUP(C461,ProjectEnergyTypeTable,3,FALSE))</f>
        <v>#NAME?</v>
      </c>
      <c r="E461" s="555">
        <f t="shared" si="337"/>
        <v>0</v>
      </c>
      <c r="F461" s="555">
        <f t="shared" si="338"/>
        <v>0</v>
      </c>
      <c r="G461" s="529">
        <f t="shared" ca="1" si="339"/>
        <v>0</v>
      </c>
      <c r="H461" s="555">
        <f t="shared" ca="1" si="340"/>
        <v>0</v>
      </c>
      <c r="I461" s="555">
        <f t="shared" ca="1" si="341"/>
        <v>0</v>
      </c>
      <c r="J461" s="529">
        <f t="shared" ca="1" si="342"/>
        <v>0</v>
      </c>
      <c r="K461" s="3129" t="str">
        <f t="shared" ca="1" si="343"/>
        <v/>
      </c>
      <c r="L461" s="3130"/>
      <c r="M461" s="570" t="str">
        <f t="shared" ca="1" si="344"/>
        <v/>
      </c>
      <c r="Q461" s="627">
        <f t="shared" si="345"/>
        <v>0.1</v>
      </c>
      <c r="R461" s="627">
        <f t="shared" si="346"/>
        <v>0.10500000000000001</v>
      </c>
      <c r="S461" s="627" t="str">
        <f t="shared" ca="1" si="347"/>
        <v/>
      </c>
      <c r="AH461" s="263"/>
      <c r="AI461" s="263"/>
      <c r="AJ461" s="256"/>
      <c r="AL461" s="267"/>
      <c r="AM461" s="267"/>
      <c r="AN461" s="300"/>
      <c r="AP461" s="273"/>
      <c r="AR461" s="274"/>
      <c r="AS461" s="257"/>
      <c r="AT461" s="257"/>
      <c r="AU461" s="284"/>
      <c r="BC461" s="804"/>
    </row>
    <row r="462" spans="1:55" ht="15" customHeight="1" x14ac:dyDescent="0.25">
      <c r="A462" s="433" t="s">
        <v>1038</v>
      </c>
      <c r="B462" s="541" t="str">
        <f t="shared" si="335"/>
        <v>District Cooling</v>
      </c>
      <c r="C462" s="3107" t="str">
        <f t="shared" si="336"/>
        <v>MWh</v>
      </c>
      <c r="D462" s="3108" t="e">
        <f>IF(C462="","",VLOOKUP(C462,ProjectEnergyTypeTable,3,FALSE))</f>
        <v>#NAME?</v>
      </c>
      <c r="E462" s="555">
        <f t="shared" si="337"/>
        <v>0</v>
      </c>
      <c r="F462" s="555">
        <f t="shared" si="338"/>
        <v>0</v>
      </c>
      <c r="G462" s="529">
        <f t="shared" si="339"/>
        <v>0</v>
      </c>
      <c r="H462" s="555">
        <f t="shared" si="340"/>
        <v>0</v>
      </c>
      <c r="I462" s="555">
        <f t="shared" si="341"/>
        <v>0</v>
      </c>
      <c r="J462" s="529">
        <f t="shared" si="342"/>
        <v>0</v>
      </c>
      <c r="K462" s="3129" t="str">
        <f t="shared" si="343"/>
        <v/>
      </c>
      <c r="L462" s="3130"/>
      <c r="M462" s="570" t="str">
        <f t="shared" si="344"/>
        <v/>
      </c>
      <c r="Q462" s="627">
        <f t="shared" si="345"/>
        <v>3.4119999999999999</v>
      </c>
      <c r="R462" s="627">
        <f t="shared" si="346"/>
        <v>3.4119999999999999</v>
      </c>
      <c r="S462" s="627" t="str">
        <f t="shared" si="347"/>
        <v/>
      </c>
      <c r="AH462" s="263"/>
      <c r="AI462" s="263"/>
      <c r="AJ462" s="256"/>
      <c r="AL462" s="267"/>
      <c r="AM462" s="267"/>
      <c r="AN462" s="300"/>
      <c r="AP462" s="273"/>
      <c r="AR462" s="274"/>
      <c r="AS462" s="257"/>
      <c r="AT462" s="257"/>
      <c r="AU462" s="284"/>
      <c r="BC462" s="804"/>
    </row>
    <row r="463" spans="1:55" ht="15" customHeight="1" x14ac:dyDescent="0.25">
      <c r="A463" s="433" t="s">
        <v>1038</v>
      </c>
      <c r="B463" s="541" t="str">
        <f t="shared" si="335"/>
        <v>District Cooling</v>
      </c>
      <c r="C463" s="3107" t="str">
        <f t="shared" si="336"/>
        <v>MWh</v>
      </c>
      <c r="D463" s="3108" t="e">
        <f>IF(C463="","",VLOOKUP(C463,ProjectEnergyTypeTable,3,FALSE))</f>
        <v>#NAME?</v>
      </c>
      <c r="E463" s="555">
        <f t="shared" si="337"/>
        <v>0</v>
      </c>
      <c r="F463" s="555">
        <f t="shared" si="338"/>
        <v>0</v>
      </c>
      <c r="G463" s="529">
        <f t="shared" si="339"/>
        <v>0</v>
      </c>
      <c r="H463" s="555">
        <f t="shared" si="340"/>
        <v>0</v>
      </c>
      <c r="I463" s="555">
        <f t="shared" si="341"/>
        <v>0</v>
      </c>
      <c r="J463" s="529">
        <f t="shared" si="342"/>
        <v>0</v>
      </c>
      <c r="K463" s="3129" t="str">
        <f t="shared" si="343"/>
        <v/>
      </c>
      <c r="L463" s="3130"/>
      <c r="M463" s="570" t="str">
        <f t="shared" si="344"/>
        <v/>
      </c>
      <c r="Q463" s="627">
        <f t="shared" si="345"/>
        <v>3.4119999999999999</v>
      </c>
      <c r="R463" s="627">
        <f t="shared" si="346"/>
        <v>3.4119999999999999</v>
      </c>
      <c r="S463" s="627" t="str">
        <f t="shared" si="347"/>
        <v/>
      </c>
      <c r="AH463" s="263"/>
      <c r="AI463" s="263"/>
      <c r="AJ463" s="256"/>
      <c r="AL463" s="267"/>
      <c r="AM463" s="267"/>
      <c r="AN463" s="300"/>
      <c r="AP463" s="273"/>
      <c r="AR463" s="274"/>
      <c r="AS463" s="257"/>
      <c r="AT463" s="257"/>
      <c r="AU463" s="284"/>
      <c r="BC463" s="804"/>
    </row>
    <row r="464" spans="1:55" ht="15" customHeight="1" x14ac:dyDescent="0.25">
      <c r="A464" s="433" t="s">
        <v>1038</v>
      </c>
      <c r="B464" s="541" t="str">
        <f t="shared" si="335"/>
        <v>District Cooling</v>
      </c>
      <c r="C464" s="3107" t="str">
        <f t="shared" si="336"/>
        <v>MWh</v>
      </c>
      <c r="D464" s="3108" t="e">
        <f>IF(C464="","",VLOOKUP(C464,ProjectEnergyTypeTable,3,FALSE))</f>
        <v>#NAME?</v>
      </c>
      <c r="E464" s="555">
        <f t="shared" si="337"/>
        <v>0</v>
      </c>
      <c r="F464" s="555">
        <f t="shared" si="338"/>
        <v>0</v>
      </c>
      <c r="G464" s="529">
        <f t="shared" si="339"/>
        <v>0</v>
      </c>
      <c r="H464" s="555">
        <f t="shared" si="340"/>
        <v>0</v>
      </c>
      <c r="I464" s="555">
        <f t="shared" si="341"/>
        <v>0</v>
      </c>
      <c r="J464" s="529">
        <f t="shared" si="342"/>
        <v>0</v>
      </c>
      <c r="K464" s="3129" t="str">
        <f t="shared" si="343"/>
        <v/>
      </c>
      <c r="L464" s="3130"/>
      <c r="M464" s="570" t="str">
        <f t="shared" si="344"/>
        <v/>
      </c>
      <c r="Q464" s="627">
        <f t="shared" si="345"/>
        <v>3.4119999999999999</v>
      </c>
      <c r="R464" s="627">
        <f t="shared" si="346"/>
        <v>3.4119999999999999</v>
      </c>
      <c r="S464" s="627" t="str">
        <f t="shared" si="347"/>
        <v/>
      </c>
      <c r="AH464" s="263"/>
      <c r="AI464" s="263"/>
      <c r="AJ464" s="256"/>
      <c r="AL464" s="267"/>
      <c r="AM464" s="267"/>
      <c r="AN464" s="300"/>
      <c r="AP464" s="273"/>
      <c r="AR464" s="274"/>
      <c r="AS464" s="257"/>
      <c r="AT464" s="257"/>
      <c r="AU464" s="284"/>
      <c r="BC464" s="804"/>
    </row>
    <row r="465" spans="1:55" ht="15" customHeight="1" x14ac:dyDescent="0.25">
      <c r="A465" s="433" t="s">
        <v>1038</v>
      </c>
      <c r="B465" s="541" t="str">
        <f t="shared" si="335"/>
        <v>District Cooling</v>
      </c>
      <c r="C465" s="3107" t="str">
        <f t="shared" si="336"/>
        <v>MWh</v>
      </c>
      <c r="D465" s="3108" t="e">
        <f>IF(C465="","",VLOOKUP(C465,ProjectEnergyTypeTable,3,FALSE))</f>
        <v>#NAME?</v>
      </c>
      <c r="E465" s="555">
        <f t="shared" si="337"/>
        <v>0</v>
      </c>
      <c r="F465" s="555">
        <f t="shared" si="338"/>
        <v>0</v>
      </c>
      <c r="G465" s="529">
        <f t="shared" si="339"/>
        <v>0</v>
      </c>
      <c r="H465" s="555">
        <f t="shared" si="340"/>
        <v>0</v>
      </c>
      <c r="I465" s="555">
        <f t="shared" si="341"/>
        <v>0</v>
      </c>
      <c r="J465" s="529">
        <f t="shared" si="342"/>
        <v>0</v>
      </c>
      <c r="K465" s="3129" t="str">
        <f t="shared" si="343"/>
        <v/>
      </c>
      <c r="L465" s="3130"/>
      <c r="M465" s="570" t="str">
        <f t="shared" si="344"/>
        <v/>
      </c>
      <c r="Q465" s="627">
        <f t="shared" si="345"/>
        <v>3.4119999999999999</v>
      </c>
      <c r="R465" s="627">
        <f t="shared" si="346"/>
        <v>3.4119999999999999</v>
      </c>
      <c r="S465" s="627" t="str">
        <f t="shared" si="347"/>
        <v/>
      </c>
      <c r="AH465" s="263"/>
      <c r="AI465" s="263"/>
      <c r="AJ465" s="256"/>
      <c r="AL465" s="267"/>
      <c r="AM465" s="267"/>
      <c r="AN465" s="300"/>
      <c r="AP465" s="273"/>
      <c r="AR465" s="274"/>
      <c r="AS465" s="257"/>
      <c r="AT465" s="257"/>
      <c r="AU465" s="284"/>
      <c r="BC465" s="804"/>
    </row>
    <row r="466" spans="1:55" ht="15" customHeight="1" x14ac:dyDescent="0.25">
      <c r="A466" s="433" t="s">
        <v>1038</v>
      </c>
      <c r="B466" s="541" t="str">
        <f t="shared" si="335"/>
        <v>District Cooling</v>
      </c>
      <c r="C466" s="3107" t="str">
        <f t="shared" si="336"/>
        <v>MWh</v>
      </c>
      <c r="D466" s="3108" t="e">
        <f>IF(C466="","",VLOOKUP(C466,ProjectEnergyTypeTable,3,FALSE))</f>
        <v>#NAME?</v>
      </c>
      <c r="E466" s="555">
        <f t="shared" si="337"/>
        <v>0</v>
      </c>
      <c r="F466" s="555">
        <f t="shared" ref="F466:F467" si="348">IFERROR(E466*$R466,"")</f>
        <v>0</v>
      </c>
      <c r="G466" s="529">
        <f t="shared" si="339"/>
        <v>0</v>
      </c>
      <c r="H466" s="555">
        <f t="shared" si="340"/>
        <v>0</v>
      </c>
      <c r="I466" s="555">
        <f t="shared" ref="I466:I467" si="349">IFERROR(H466*$R466,"")</f>
        <v>0</v>
      </c>
      <c r="J466" s="529">
        <f t="shared" si="342"/>
        <v>0</v>
      </c>
      <c r="K466" s="3129" t="str">
        <f t="shared" si="343"/>
        <v/>
      </c>
      <c r="L466" s="3130"/>
      <c r="M466" s="570" t="str">
        <f t="shared" si="344"/>
        <v/>
      </c>
      <c r="Q466" s="627">
        <f t="shared" si="345"/>
        <v>3.4119999999999999</v>
      </c>
      <c r="R466" s="627">
        <f t="shared" si="346"/>
        <v>3.4119999999999999</v>
      </c>
      <c r="S466" s="627" t="str">
        <f t="shared" ref="S466:S467" si="350">IFERROR(G466/E466,"")</f>
        <v/>
      </c>
      <c r="AH466" s="263"/>
      <c r="AI466" s="263"/>
      <c r="AJ466" s="256"/>
      <c r="AL466" s="267"/>
      <c r="AM466" s="267"/>
      <c r="AN466" s="300"/>
      <c r="AP466" s="273"/>
      <c r="AR466" s="274"/>
      <c r="AS466" s="257"/>
      <c r="AT466" s="257"/>
      <c r="AU466" s="284"/>
      <c r="BC466" s="804"/>
    </row>
    <row r="467" spans="1:55" ht="15" customHeight="1" x14ac:dyDescent="0.25">
      <c r="A467" s="433" t="s">
        <v>1038</v>
      </c>
      <c r="B467" s="541" t="str">
        <f t="shared" si="335"/>
        <v>District Cooling</v>
      </c>
      <c r="C467" s="3107" t="str">
        <f t="shared" si="336"/>
        <v>MWh</v>
      </c>
      <c r="D467" s="3108" t="e">
        <f>IF(C467="","",VLOOKUP(C467,ProjectEnergyTypeTable,3,FALSE))</f>
        <v>#NAME?</v>
      </c>
      <c r="E467" s="555">
        <f t="shared" si="337"/>
        <v>0</v>
      </c>
      <c r="F467" s="555">
        <f t="shared" si="348"/>
        <v>0</v>
      </c>
      <c r="G467" s="529">
        <f t="shared" si="339"/>
        <v>0</v>
      </c>
      <c r="H467" s="555">
        <f t="shared" si="340"/>
        <v>0</v>
      </c>
      <c r="I467" s="555">
        <f t="shared" si="349"/>
        <v>0</v>
      </c>
      <c r="J467" s="529">
        <f t="shared" si="342"/>
        <v>0</v>
      </c>
      <c r="K467" s="3129" t="str">
        <f t="shared" si="343"/>
        <v/>
      </c>
      <c r="L467" s="3130"/>
      <c r="M467" s="570" t="str">
        <f t="shared" si="344"/>
        <v/>
      </c>
      <c r="Q467" s="627">
        <f t="shared" si="345"/>
        <v>3.4119999999999999</v>
      </c>
      <c r="R467" s="627">
        <f t="shared" si="346"/>
        <v>3.4119999999999999</v>
      </c>
      <c r="S467" s="627" t="str">
        <f t="shared" si="350"/>
        <v/>
      </c>
      <c r="AH467" s="263"/>
      <c r="AI467" s="263"/>
      <c r="AJ467" s="256"/>
      <c r="AL467" s="267"/>
      <c r="AM467" s="267"/>
      <c r="AN467" s="300"/>
      <c r="AP467" s="273"/>
      <c r="AR467" s="274"/>
      <c r="AS467" s="257"/>
      <c r="AT467" s="257"/>
      <c r="AU467" s="284"/>
      <c r="BC467" s="804"/>
    </row>
    <row r="468" spans="1:55" ht="15" customHeight="1" x14ac:dyDescent="0.25">
      <c r="A468" s="433" t="s">
        <v>1038</v>
      </c>
      <c r="B468" s="541" t="str">
        <f t="shared" si="335"/>
        <v>District Cooling</v>
      </c>
      <c r="C468" s="3107" t="str">
        <f t="shared" si="336"/>
        <v>MWh</v>
      </c>
      <c r="D468" s="3108" t="e">
        <f>IF(C468="","",VLOOKUP(C468,ProjectEnergyTypeTable,3,FALSE))</f>
        <v>#NAME?</v>
      </c>
      <c r="E468" s="555">
        <f t="shared" si="337"/>
        <v>0</v>
      </c>
      <c r="F468" s="555">
        <f t="shared" ref="F468" si="351">IFERROR(E468*$R468,"")</f>
        <v>0</v>
      </c>
      <c r="G468" s="529">
        <f t="shared" si="339"/>
        <v>0</v>
      </c>
      <c r="H468" s="555">
        <f t="shared" si="340"/>
        <v>0</v>
      </c>
      <c r="I468" s="555">
        <f t="shared" ref="I468" si="352">IFERROR(H468*$R468,"")</f>
        <v>0</v>
      </c>
      <c r="J468" s="529">
        <f t="shared" si="342"/>
        <v>0</v>
      </c>
      <c r="K468" s="3129" t="str">
        <f t="shared" si="343"/>
        <v/>
      </c>
      <c r="L468" s="3130"/>
      <c r="M468" s="570" t="str">
        <f t="shared" si="344"/>
        <v/>
      </c>
      <c r="Q468" s="627">
        <f t="shared" si="345"/>
        <v>3.4119999999999999</v>
      </c>
      <c r="R468" s="627">
        <f t="shared" si="346"/>
        <v>3.4119999999999999</v>
      </c>
      <c r="S468" s="627" t="str">
        <f t="shared" ref="S468" si="353">IFERROR(G468/E468,"")</f>
        <v/>
      </c>
      <c r="AH468" s="263"/>
      <c r="AI468" s="263"/>
      <c r="AJ468" s="256"/>
      <c r="AL468" s="267"/>
      <c r="AM468" s="267"/>
      <c r="AN468" s="300"/>
      <c r="AP468" s="273"/>
      <c r="AR468" s="274"/>
      <c r="AS468" s="257"/>
      <c r="AT468" s="257"/>
      <c r="AU468" s="284"/>
      <c r="BC468" s="804"/>
    </row>
    <row r="469" spans="1:55" ht="15" customHeight="1" x14ac:dyDescent="0.25">
      <c r="A469" s="433" t="s">
        <v>1038</v>
      </c>
      <c r="B469" s="541" t="str">
        <f t="shared" si="335"/>
        <v>District Cooling</v>
      </c>
      <c r="C469" s="3107" t="str">
        <f t="shared" si="336"/>
        <v>MWh</v>
      </c>
      <c r="D469" s="3108" t="e">
        <f>IF(C469="","",VLOOKUP(C469,ProjectEnergyTypeTable,3,FALSE))</f>
        <v>#NAME?</v>
      </c>
      <c r="E469" s="555">
        <f t="shared" si="337"/>
        <v>0</v>
      </c>
      <c r="F469" s="555">
        <f t="shared" ref="F469" si="354">IFERROR(E469*$R469,"")</f>
        <v>0</v>
      </c>
      <c r="G469" s="529">
        <f t="shared" si="339"/>
        <v>0</v>
      </c>
      <c r="H469" s="555">
        <f t="shared" si="340"/>
        <v>0</v>
      </c>
      <c r="I469" s="555">
        <f t="shared" ref="I469" si="355">IFERROR(H469*$R469,"")</f>
        <v>0</v>
      </c>
      <c r="J469" s="529">
        <f t="shared" si="342"/>
        <v>0</v>
      </c>
      <c r="K469" s="3129" t="str">
        <f t="shared" si="343"/>
        <v/>
      </c>
      <c r="L469" s="3130"/>
      <c r="M469" s="570" t="str">
        <f t="shared" si="344"/>
        <v/>
      </c>
      <c r="Q469" s="627">
        <f t="shared" si="345"/>
        <v>3.4119999999999999</v>
      </c>
      <c r="R469" s="627">
        <f t="shared" si="346"/>
        <v>3.4119999999999999</v>
      </c>
      <c r="S469" s="627" t="str">
        <f t="shared" ref="S469" si="356">IFERROR(G469/E469,"")</f>
        <v/>
      </c>
      <c r="AH469" s="263"/>
      <c r="AI469" s="263"/>
      <c r="AJ469" s="256"/>
      <c r="AL469" s="267"/>
      <c r="AM469" s="267"/>
      <c r="AN469" s="300"/>
      <c r="AP469" s="273"/>
      <c r="AR469" s="274"/>
      <c r="AS469" s="257"/>
      <c r="AT469" s="257"/>
      <c r="AU469" s="284"/>
      <c r="BC469" s="804"/>
    </row>
    <row r="470" spans="1:55" ht="15" customHeight="1" x14ac:dyDescent="0.25">
      <c r="A470" s="433" t="s">
        <v>1038</v>
      </c>
      <c r="B470" s="541" t="str">
        <f t="shared" si="335"/>
        <v>District Cooling</v>
      </c>
      <c r="C470" s="3107" t="str">
        <f t="shared" si="336"/>
        <v>MWh</v>
      </c>
      <c r="D470" s="3108" t="e">
        <f>IF(C470="","",VLOOKUP(C470,ProjectEnergyTypeTable,3,FALSE))</f>
        <v>#NAME?</v>
      </c>
      <c r="E470" s="555">
        <f t="shared" si="337"/>
        <v>0</v>
      </c>
      <c r="F470" s="555">
        <f t="shared" ref="F470" si="357">IFERROR(E470*$R470,"")</f>
        <v>0</v>
      </c>
      <c r="G470" s="529">
        <f t="shared" si="339"/>
        <v>0</v>
      </c>
      <c r="H470" s="555">
        <f t="shared" si="340"/>
        <v>0</v>
      </c>
      <c r="I470" s="555">
        <f t="shared" ref="I470" si="358">IFERROR(H470*$R470,"")</f>
        <v>0</v>
      </c>
      <c r="J470" s="529">
        <f t="shared" si="342"/>
        <v>0</v>
      </c>
      <c r="K470" s="3129" t="str">
        <f t="shared" si="343"/>
        <v/>
      </c>
      <c r="L470" s="3130"/>
      <c r="M470" s="570" t="str">
        <f t="shared" si="344"/>
        <v/>
      </c>
      <c r="Q470" s="627">
        <f t="shared" si="345"/>
        <v>3.4119999999999999</v>
      </c>
      <c r="R470" s="627">
        <f t="shared" si="346"/>
        <v>3.4119999999999999</v>
      </c>
      <c r="S470" s="627" t="str">
        <f t="shared" ref="S470" si="359">IFERROR(G470/E470,"")</f>
        <v/>
      </c>
      <c r="AH470" s="263"/>
      <c r="AI470" s="263"/>
      <c r="AJ470" s="256"/>
      <c r="AL470" s="267"/>
      <c r="AM470" s="267"/>
      <c r="AN470" s="300"/>
      <c r="AP470" s="273"/>
      <c r="AR470" s="274"/>
      <c r="AS470" s="257"/>
      <c r="AT470" s="257"/>
      <c r="AU470" s="284"/>
      <c r="BC470" s="804"/>
    </row>
    <row r="471" spans="1:55" ht="15" customHeight="1" x14ac:dyDescent="0.25">
      <c r="A471" s="433" t="s">
        <v>1038</v>
      </c>
      <c r="B471" s="541" t="str">
        <f t="shared" si="335"/>
        <v>District Cooling</v>
      </c>
      <c r="C471" s="3107" t="str">
        <f t="shared" si="336"/>
        <v>MWh</v>
      </c>
      <c r="D471" s="3108" t="e">
        <f>IF(C471="","",VLOOKUP(C471,ProjectEnergyTypeTable,3,FALSE))</f>
        <v>#NAME?</v>
      </c>
      <c r="E471" s="555">
        <f t="shared" si="337"/>
        <v>0</v>
      </c>
      <c r="F471" s="555">
        <f t="shared" ref="F471" si="360">IFERROR(E471*$R471,"")</f>
        <v>0</v>
      </c>
      <c r="G471" s="529">
        <f t="shared" si="339"/>
        <v>0</v>
      </c>
      <c r="H471" s="555">
        <f t="shared" si="340"/>
        <v>0</v>
      </c>
      <c r="I471" s="555">
        <f t="shared" ref="I471" si="361">IFERROR(H471*$R471,"")</f>
        <v>0</v>
      </c>
      <c r="J471" s="529">
        <f t="shared" si="342"/>
        <v>0</v>
      </c>
      <c r="K471" s="3129" t="str">
        <f t="shared" si="343"/>
        <v/>
      </c>
      <c r="L471" s="3130"/>
      <c r="M471" s="570" t="str">
        <f t="shared" si="344"/>
        <v/>
      </c>
      <c r="Q471" s="627">
        <f t="shared" si="345"/>
        <v>3.4119999999999999</v>
      </c>
      <c r="R471" s="627">
        <f t="shared" si="346"/>
        <v>3.4119999999999999</v>
      </c>
      <c r="S471" s="627" t="str">
        <f t="shared" ref="S471" si="362">IFERROR(G471/E471,"")</f>
        <v/>
      </c>
      <c r="AH471" s="263"/>
      <c r="AI471" s="263"/>
      <c r="AJ471" s="256"/>
      <c r="AL471" s="267"/>
      <c r="AM471" s="267"/>
      <c r="AN471" s="300"/>
      <c r="AP471" s="273"/>
      <c r="AR471" s="274"/>
      <c r="AS471" s="257"/>
      <c r="AT471" s="257"/>
      <c r="AU471" s="284"/>
      <c r="BC471" s="804"/>
    </row>
    <row r="472" spans="1:55" ht="15" customHeight="1" x14ac:dyDescent="0.25">
      <c r="A472" s="433" t="s">
        <v>1038</v>
      </c>
      <c r="B472" s="541" t="str">
        <f t="shared" ref="B472:B474" si="363">IFERROR(IF(ISBLANK(B29),"",B29),"")</f>
        <v>District Cooling</v>
      </c>
      <c r="C472" s="3107" t="str">
        <f t="shared" si="336"/>
        <v>MWh</v>
      </c>
      <c r="D472" s="3108" t="e">
        <f>IF(C472="","",VLOOKUP(C472,ProjectEnergyTypeTable,3,FALSE))</f>
        <v>#NAME?</v>
      </c>
      <c r="E472" s="555">
        <f t="shared" si="337"/>
        <v>0</v>
      </c>
      <c r="F472" s="555">
        <f t="shared" ref="F472:F474" si="364">IFERROR(E472*$R472,"")</f>
        <v>0</v>
      </c>
      <c r="G472" s="529">
        <f t="shared" si="339"/>
        <v>0</v>
      </c>
      <c r="H472" s="555">
        <f t="shared" si="340"/>
        <v>0</v>
      </c>
      <c r="I472" s="555">
        <f t="shared" ref="I472:I474" si="365">IFERROR(H472*$R472,"")</f>
        <v>0</v>
      </c>
      <c r="J472" s="529">
        <f t="shared" si="342"/>
        <v>0</v>
      </c>
      <c r="K472" s="3129" t="str">
        <f t="shared" si="343"/>
        <v/>
      </c>
      <c r="L472" s="3130"/>
      <c r="M472" s="570" t="str">
        <f t="shared" si="344"/>
        <v/>
      </c>
      <c r="Q472" s="627">
        <f t="shared" si="345"/>
        <v>3.4119999999999999</v>
      </c>
      <c r="R472" s="627">
        <f t="shared" si="346"/>
        <v>3.4119999999999999</v>
      </c>
      <c r="S472" s="627" t="str">
        <f t="shared" ref="S472:S474" si="366">IFERROR(G472/E472,"")</f>
        <v/>
      </c>
      <c r="AH472" s="263"/>
      <c r="AI472" s="263"/>
      <c r="AJ472" s="256"/>
      <c r="AL472" s="267"/>
      <c r="AM472" s="267"/>
      <c r="AN472" s="300"/>
      <c r="AP472" s="273"/>
      <c r="AR472" s="274"/>
      <c r="AS472" s="257"/>
      <c r="AT472" s="257"/>
      <c r="AU472" s="284"/>
      <c r="BC472" s="804"/>
    </row>
    <row r="473" spans="1:55" ht="15" customHeight="1" x14ac:dyDescent="0.25">
      <c r="A473" s="433" t="s">
        <v>1038</v>
      </c>
      <c r="B473" s="541" t="str">
        <f t="shared" si="363"/>
        <v>District Cooling</v>
      </c>
      <c r="C473" s="3107" t="str">
        <f t="shared" si="336"/>
        <v>MWh</v>
      </c>
      <c r="D473" s="3108" t="e">
        <f>IF(C473="","",VLOOKUP(C473,ProjectEnergyTypeTable,3,FALSE))</f>
        <v>#NAME?</v>
      </c>
      <c r="E473" s="555">
        <f t="shared" si="337"/>
        <v>0</v>
      </c>
      <c r="F473" s="555">
        <f t="shared" si="364"/>
        <v>0</v>
      </c>
      <c r="G473" s="529">
        <f t="shared" si="339"/>
        <v>0</v>
      </c>
      <c r="H473" s="555">
        <f t="shared" si="340"/>
        <v>0</v>
      </c>
      <c r="I473" s="555">
        <f t="shared" si="365"/>
        <v>0</v>
      </c>
      <c r="J473" s="529">
        <f t="shared" si="342"/>
        <v>0</v>
      </c>
      <c r="K473" s="3129" t="str">
        <f t="shared" si="343"/>
        <v/>
      </c>
      <c r="L473" s="3130"/>
      <c r="M473" s="570" t="str">
        <f t="shared" si="344"/>
        <v/>
      </c>
      <c r="Q473" s="627">
        <f t="shared" si="345"/>
        <v>3.4119999999999999</v>
      </c>
      <c r="R473" s="627">
        <f t="shared" si="346"/>
        <v>3.4119999999999999</v>
      </c>
      <c r="S473" s="627" t="str">
        <f t="shared" si="366"/>
        <v/>
      </c>
      <c r="AH473" s="263"/>
      <c r="AI473" s="263"/>
      <c r="AJ473" s="256"/>
      <c r="AL473" s="267"/>
      <c r="AM473" s="267"/>
      <c r="AN473" s="300"/>
      <c r="AP473" s="273"/>
      <c r="AR473" s="274"/>
      <c r="AS473" s="257"/>
      <c r="AT473" s="257"/>
      <c r="AU473" s="284"/>
      <c r="BC473" s="804"/>
    </row>
    <row r="474" spans="1:55" ht="15" customHeight="1" x14ac:dyDescent="0.25">
      <c r="A474" s="433" t="s">
        <v>1038</v>
      </c>
      <c r="B474" s="541" t="str">
        <f t="shared" si="363"/>
        <v>District Cooling</v>
      </c>
      <c r="C474" s="3107" t="str">
        <f t="shared" si="336"/>
        <v>MWh</v>
      </c>
      <c r="D474" s="3108" t="e">
        <f>IF(C474="","",VLOOKUP(C474,ProjectEnergyTypeTable,3,FALSE))</f>
        <v>#NAME?</v>
      </c>
      <c r="E474" s="555">
        <f t="shared" si="337"/>
        <v>0</v>
      </c>
      <c r="F474" s="555">
        <f t="shared" si="364"/>
        <v>0</v>
      </c>
      <c r="G474" s="529">
        <f t="shared" si="339"/>
        <v>0</v>
      </c>
      <c r="H474" s="555">
        <f t="shared" si="340"/>
        <v>0</v>
      </c>
      <c r="I474" s="555">
        <f t="shared" si="365"/>
        <v>0</v>
      </c>
      <c r="J474" s="529">
        <f t="shared" si="342"/>
        <v>0</v>
      </c>
      <c r="K474" s="3129" t="str">
        <f t="shared" si="343"/>
        <v/>
      </c>
      <c r="L474" s="3130"/>
      <c r="M474" s="570" t="str">
        <f t="shared" si="344"/>
        <v/>
      </c>
      <c r="Q474" s="627">
        <f t="shared" si="345"/>
        <v>3.4119999999999999</v>
      </c>
      <c r="R474" s="627">
        <f t="shared" si="346"/>
        <v>3.4119999999999999</v>
      </c>
      <c r="S474" s="627" t="str">
        <f t="shared" si="366"/>
        <v/>
      </c>
      <c r="AH474" s="263"/>
      <c r="AI474" s="263"/>
      <c r="AJ474" s="256"/>
      <c r="AL474" s="267"/>
      <c r="AM474" s="267"/>
      <c r="AN474" s="300"/>
      <c r="AP474" s="273"/>
      <c r="AR474" s="274"/>
      <c r="AS474" s="257"/>
      <c r="AT474" s="257"/>
      <c r="AU474" s="284"/>
      <c r="BC474" s="804"/>
    </row>
    <row r="475" spans="1:55" s="245" customFormat="1" ht="21" customHeight="1" x14ac:dyDescent="0.25">
      <c r="A475" s="433" t="s">
        <v>1038</v>
      </c>
      <c r="B475" s="3135" t="str">
        <f>"Energy model subtotal (" &amp; PO_SiteUnits &amp; ")"</f>
        <v>Energy model subtotal (Btu x 10^6)</v>
      </c>
      <c r="C475" s="3135"/>
      <c r="D475" s="3135"/>
      <c r="E475" s="555">
        <f>IFERROR(SUMPRODUCT(INDEX(PO_Enrgy_14_Table,0,MATCH(E$459,PO_Enrgy_14_Hdr,0)),INDEX(PO_Enrgy_14_Table,0,MATCH($Q$459,PO_Enrgy_14_Hdr,0))),"")</f>
        <v>0</v>
      </c>
      <c r="F475" s="527">
        <f>IFERROR(SUM(INDEX(PO_Enrgy_14_Table,0,MATCH(F$459,PO_Enrgy_14_Hdr,0))),"")</f>
        <v>0</v>
      </c>
      <c r="G475" s="529">
        <f ca="1">IFERROR(SUM(INDEX(PO_Enrgy_14_Table,0,MATCH(G$459,PO_Enrgy_14_Hdr,0))),"")</f>
        <v>0</v>
      </c>
      <c r="H475" s="555">
        <f ca="1">IFERROR(SUMPRODUCT(INDEX(PO_Enrgy_14_Table,0,MATCH(H$459,PO_Enrgy_14_Hdr,0)),INDEX(PO_Enrgy_14_Table,0,MATCH($Q$459,PO_Enrgy_14_Hdr,0))),"")</f>
        <v>0</v>
      </c>
      <c r="I475" s="527">
        <f ca="1">IFERROR(SUM(INDEX(PO_Enrgy_14_Table,0,MATCH(I$459,PO_Enrgy_14_Hdr,0))),"")</f>
        <v>0</v>
      </c>
      <c r="J475" s="529">
        <f ca="1">IFERROR(SUM(INDEX(PO_Enrgy_14_Table,0,MATCH(J$459,PO_Enrgy_14_Hdr,0))),"")</f>
        <v>0</v>
      </c>
      <c r="K475" s="3200" t="str">
        <f ca="1">IFERROR(1-$H475/$E$451,"")</f>
        <v/>
      </c>
      <c r="L475" s="3200"/>
      <c r="M475" s="554" t="str">
        <f ca="1">IFERROR(1-$J475/$G$451,"")</f>
        <v/>
      </c>
      <c r="N475" s="235"/>
      <c r="O475" s="235"/>
      <c r="P475" s="235"/>
      <c r="AJ475" s="2"/>
      <c r="AL475" s="267"/>
      <c r="AM475" s="268"/>
      <c r="AR475" s="274"/>
      <c r="AS475" s="257"/>
      <c r="AT475" s="257"/>
      <c r="AU475" s="258"/>
      <c r="BC475" s="804"/>
    </row>
    <row r="476" spans="1:55" s="245" customFormat="1" ht="33" customHeight="1" x14ac:dyDescent="0.25">
      <c r="A476" s="433" t="s">
        <v>1038</v>
      </c>
      <c r="B476" s="249"/>
      <c r="C476" s="249"/>
      <c r="D476" s="249"/>
      <c r="E476" s="255"/>
      <c r="F476" s="255"/>
      <c r="G476" s="294"/>
      <c r="H476" s="255"/>
      <c r="I476" s="255"/>
      <c r="J476" s="294"/>
      <c r="K476" s="332"/>
      <c r="L476" s="235"/>
      <c r="M476" s="332"/>
      <c r="N476" s="235"/>
      <c r="O476" s="235"/>
      <c r="P476" s="235"/>
      <c r="AJ476" s="2"/>
      <c r="AL476" s="267"/>
      <c r="AM476" s="268"/>
      <c r="AR476" s="274"/>
      <c r="AS476" s="257"/>
      <c r="AT476" s="257"/>
      <c r="AU476" s="258"/>
    </row>
    <row r="477" spans="1:55" ht="21.75" hidden="1" customHeight="1" x14ac:dyDescent="0.25">
      <c r="A477" s="433" t="s">
        <v>1038</v>
      </c>
      <c r="B477" s="583" t="s">
        <v>1031</v>
      </c>
      <c r="C477" s="184"/>
      <c r="D477" s="184"/>
      <c r="E477" s="184"/>
      <c r="F477" s="184"/>
      <c r="G477" s="184"/>
      <c r="H477" s="184"/>
      <c r="I477" s="184"/>
      <c r="J477" s="184"/>
      <c r="AL477" s="289"/>
      <c r="AM477" s="290"/>
    </row>
    <row r="478" spans="1:55" ht="39.75" hidden="1" customHeight="1" x14ac:dyDescent="0.25">
      <c r="A478" s="433" t="s">
        <v>1038</v>
      </c>
      <c r="B478" s="3201" t="str">
        <f>"Enter the IT equipment energy consumption " &amp; IF(Datacenter_Avg=FALSE, " and total building consumption by end-use including renewable energy ","") &amp; "for the Startup IT loads.  The information for the full buildout loads is tabulated from the data above.  PUE3 is calculated based on source energy."</f>
        <v>Enter the IT equipment energy consumption  and total building consumption by end-use including renewable energy for the Startup IT loads.  The information for the full buildout loads is tabulated from the data above.  PUE3 is calculated based on source energy.</v>
      </c>
      <c r="C478" s="3202"/>
      <c r="D478" s="3202"/>
      <c r="E478" s="3202"/>
      <c r="F478" s="3202"/>
      <c r="G478" s="3202"/>
      <c r="H478" s="3202"/>
      <c r="I478" s="3202"/>
      <c r="J478" s="3202"/>
      <c r="K478" s="3202"/>
      <c r="L478" s="3202"/>
      <c r="M478" s="3202"/>
      <c r="AL478" s="289"/>
      <c r="AM478" s="290"/>
    </row>
    <row r="479" spans="1:55" ht="54" hidden="1" customHeight="1" x14ac:dyDescent="0.25">
      <c r="A479" s="433" t="s">
        <v>1038</v>
      </c>
      <c r="B479" s="3138" t="s">
        <v>354</v>
      </c>
      <c r="C479" s="3139" t="s">
        <v>1436</v>
      </c>
      <c r="D479" s="3102"/>
      <c r="E479" s="3138" t="s">
        <v>1035</v>
      </c>
      <c r="F479" s="3138"/>
      <c r="G479" s="3138"/>
      <c r="H479" s="3185"/>
      <c r="I479" s="3138" t="s">
        <v>1036</v>
      </c>
      <c r="J479" s="3196"/>
      <c r="K479" s="3196"/>
      <c r="L479" s="3196"/>
      <c r="M479" s="3196"/>
      <c r="N479" s="3190"/>
      <c r="O479" s="3190"/>
      <c r="P479" s="3190"/>
      <c r="AJ479" s="2"/>
      <c r="AL479" s="267"/>
      <c r="AM479" s="268"/>
    </row>
    <row r="480" spans="1:55" ht="48" hidden="1" customHeight="1" x14ac:dyDescent="0.25">
      <c r="A480" s="433" t="s">
        <v>1038</v>
      </c>
      <c r="B480" s="3102"/>
      <c r="C480" s="3102"/>
      <c r="D480" s="3102"/>
      <c r="E480" s="580" t="s">
        <v>902</v>
      </c>
      <c r="F480" s="579" t="str">
        <f>"Source Energy Use 
("  &amp; PO_SourceUnits &amp; ")"</f>
        <v>Source Energy Use 
(Btu x 10^6)</v>
      </c>
      <c r="G480" s="3140" t="s">
        <v>903</v>
      </c>
      <c r="H480" s="3195"/>
      <c r="I480" s="580" t="s">
        <v>902</v>
      </c>
      <c r="J480" s="579" t="str">
        <f>"Source Energy Use 
("  &amp; PO_SourceUnits &amp; ")"</f>
        <v>Source Energy Use 
(Btu x 10^6)</v>
      </c>
      <c r="K480" s="3140" t="s">
        <v>903</v>
      </c>
      <c r="L480" s="3196"/>
      <c r="M480" s="3196"/>
      <c r="N480" s="334"/>
      <c r="O480" s="334"/>
      <c r="P480" s="334"/>
      <c r="AJ480" s="2"/>
    </row>
    <row r="481" spans="1:40" s="446" customFormat="1" ht="13.8" hidden="1" x14ac:dyDescent="0.25">
      <c r="A481" s="433" t="s">
        <v>1038</v>
      </c>
      <c r="B481" s="468" t="s">
        <v>1396</v>
      </c>
      <c r="C481" s="460" t="s">
        <v>1424</v>
      </c>
      <c r="D481" s="468"/>
      <c r="E481" s="469" t="s">
        <v>1459</v>
      </c>
      <c r="F481" s="468" t="s">
        <v>1460</v>
      </c>
      <c r="G481" s="469" t="s">
        <v>1461</v>
      </c>
      <c r="H481" s="469"/>
      <c r="I481" s="468" t="s">
        <v>1462</v>
      </c>
      <c r="J481" s="469" t="s">
        <v>1463</v>
      </c>
      <c r="K481" s="469" t="s">
        <v>1464</v>
      </c>
      <c r="L481" s="460"/>
      <c r="M481" s="469"/>
      <c r="N481" s="463"/>
      <c r="O481" s="463"/>
      <c r="P481" s="463"/>
      <c r="Q481" s="415" t="s">
        <v>1407</v>
      </c>
      <c r="R481" s="415" t="s">
        <v>1408</v>
      </c>
      <c r="AJ481" s="447"/>
    </row>
    <row r="482" spans="1:40" ht="15" hidden="1" customHeight="1" x14ac:dyDescent="0.25">
      <c r="A482" s="433" t="s">
        <v>1038</v>
      </c>
      <c r="B482" s="577" t="str">
        <f>B263</f>
        <v>IT equipment</v>
      </c>
      <c r="C482" s="3079" t="s">
        <v>398</v>
      </c>
      <c r="D482" s="3080" t="e">
        <f>IF(C482="","",VLOOKUP(C482,ProjectEnergyTypeTable,3,FALSE))</f>
        <v>#NAME?</v>
      </c>
      <c r="E482" s="556"/>
      <c r="F482" s="527">
        <f>IFERROR(E482*$R482,"")</f>
        <v>0</v>
      </c>
      <c r="G482" s="3197"/>
      <c r="H482" s="3198"/>
      <c r="I482" s="557" t="str">
        <f ca="1">IFERROR(VLOOKUP(B482,PO_design_table,MATCH($H$242,PO_design_hdr,0),FALSE),"")</f>
        <v/>
      </c>
      <c r="J482" s="527" t="str">
        <f ca="1">IFERROR(I482*$R482,"")</f>
        <v/>
      </c>
      <c r="K482" s="3199"/>
      <c r="L482" s="3199"/>
      <c r="M482" s="3199"/>
      <c r="Q482" s="416">
        <f>IFERROR(VLOOKUP("Electricity",PO_Enrgy_1_Table,MATCH($K$16,PO_Enrgy_1_Hdr,0),FALSE),"")</f>
        <v>3.4120000000000001E-3</v>
      </c>
      <c r="R482" s="416">
        <f>IFERROR(VLOOKUP("electricity",PO_Enrgy_1_Table,MATCH($M$16,PO_Enrgy_1_Hdr,0),FALSE),"")</f>
        <v>1.0713680000000001E-2</v>
      </c>
      <c r="AH482" s="263"/>
      <c r="AI482" s="263"/>
      <c r="AJ482" s="2"/>
      <c r="AL482" s="267"/>
      <c r="AM482" s="268"/>
      <c r="AN482" s="269"/>
    </row>
    <row r="483" spans="1:40" ht="21" hidden="1" customHeight="1" x14ac:dyDescent="0.25">
      <c r="A483" s="433" t="s">
        <v>1038</v>
      </c>
      <c r="B483" s="3170" t="s">
        <v>899</v>
      </c>
      <c r="C483" s="3186"/>
      <c r="D483" s="3187"/>
      <c r="E483" s="558"/>
      <c r="F483" s="558"/>
      <c r="G483" s="3188"/>
      <c r="H483" s="3188"/>
      <c r="I483" s="559"/>
      <c r="J483" s="559"/>
      <c r="K483" s="3189"/>
      <c r="L483" s="3189"/>
      <c r="M483" s="3189"/>
      <c r="Q483" s="415" t="s">
        <v>1407</v>
      </c>
      <c r="R483" s="415" t="s">
        <v>1408</v>
      </c>
      <c r="AH483" s="263"/>
      <c r="AI483" s="263"/>
      <c r="AJ483" s="2"/>
      <c r="AL483" s="267"/>
      <c r="AM483" s="268"/>
      <c r="AN483" s="269"/>
    </row>
    <row r="484" spans="1:40" ht="15" hidden="1" customHeight="1" x14ac:dyDescent="0.25">
      <c r="A484" s="433" t="s">
        <v>1038</v>
      </c>
      <c r="B484" s="577" t="str">
        <f t="shared" ref="B484:B495" si="367">IFERROR(IF(ISBLANK(B17),"",B17),"")</f>
        <v>Electricity</v>
      </c>
      <c r="C484" s="3079" t="str">
        <f t="shared" ref="C484:C498" si="368">IFERROR(IF(ISBLANK($B484),"",VLOOKUP($B484,PO_Enrgy_1_Table,MATCH($C$16,PO_Enrgy_1_Hdr,0),FALSE) ),"")</f>
        <v>kWh</v>
      </c>
      <c r="D484" s="3080" t="e">
        <f>IF(C484="","",VLOOKUP(C484,ProjectEnergyTypeTable,3,FALSE))</f>
        <v>#NAME?</v>
      </c>
      <c r="E484" s="571" t="str">
        <f>IFERROR(IF(Datacenter_Avg=TRUE,VLOOKUP($B484,PO_Enrgy_11_Table,MATCH($H$393,PO_Enrgy_11_Hdr,0),FALSE)-VLOOKUP($B484,PO_Enrgy_14_Table,MATCH($E459,PO_Enrgy_14_Hdr,0),FALSE),""),"")</f>
        <v/>
      </c>
      <c r="F484" s="555" t="str">
        <f t="shared" ref="F484:F489" si="369">IFERROR(E484*$R484,"")</f>
        <v/>
      </c>
      <c r="G484" s="3081"/>
      <c r="H484" s="3082"/>
      <c r="I484" s="555">
        <f t="shared" ref="I484:I498" ca="1" si="370">IFERROR(VLOOKUP($B484,PO_Enrgy_12_Table,MATCH($H$414,PO_Enrgy_12_Hdr,0),FALSE)-VLOOKUP($B484,PO_Enrgy_14_Table,MATCH($E$459,PO_Enrgy_14_Hdr,0),FALSE),"")</f>
        <v>0</v>
      </c>
      <c r="J484" s="555">
        <f t="shared" ref="J484:J489" ca="1" si="371">IFERROR(I484*$R484,"")</f>
        <v>0</v>
      </c>
      <c r="K484" s="3083"/>
      <c r="L484" s="3083"/>
      <c r="M484" s="3083"/>
      <c r="Q484" s="416">
        <f t="shared" ref="Q484:Q498" si="372">IFERROR(IF(ISBLANK($B484),"",VLOOKUP($B484,PO_Enrgy_1_Table,MATCH($K$16,PO_Enrgy_1_Hdr,0),FALSE)),"")</f>
        <v>3.4120000000000001E-3</v>
      </c>
      <c r="R484" s="416">
        <f t="shared" ref="R484:R498" si="373">IFERROR(IF(ISBLANK($B484),"",VLOOKUP($B484,PO_Enrgy_1_Table,MATCH($M$16,PO_Enrgy_1_Hdr,0),FALSE)),"")</f>
        <v>1.0713680000000001E-2</v>
      </c>
      <c r="AH484" s="263"/>
      <c r="AI484" s="263"/>
      <c r="AJ484" s="471"/>
      <c r="AK484" s="255"/>
      <c r="AL484" s="267"/>
      <c r="AM484" s="268"/>
      <c r="AN484" s="269"/>
    </row>
    <row r="485" spans="1:40" ht="15" hidden="1" customHeight="1" x14ac:dyDescent="0.25">
      <c r="A485" s="433" t="s">
        <v>1038</v>
      </c>
      <c r="B485" s="577" t="str">
        <f t="shared" si="367"/>
        <v>Natural Gas</v>
      </c>
      <c r="C485" s="3079" t="str">
        <f t="shared" si="368"/>
        <v>therm</v>
      </c>
      <c r="D485" s="3080" t="e">
        <f>IF(C485="","",VLOOKUP(C485,ProjectEnergyTypeTable,3,FALSE))</f>
        <v>#NAME?</v>
      </c>
      <c r="E485" s="571" t="str">
        <f>IFERROR(IF(Datacenter_Avg=TRUE,VLOOKUP($B485,PO_Enrgy_11_Table,MATCH($H$393,PO_Enrgy_11_Hdr,0),FALSE)-VLOOKUP($B485,PO_Enrgy_14_Table,MATCH(#REF!,PO_Enrgy_14_Hdr,0),FALSE),""),"")</f>
        <v/>
      </c>
      <c r="F485" s="555" t="str">
        <f t="shared" si="369"/>
        <v/>
      </c>
      <c r="G485" s="3081"/>
      <c r="H485" s="3082"/>
      <c r="I485" s="555">
        <f t="shared" ca="1" si="370"/>
        <v>0</v>
      </c>
      <c r="J485" s="555">
        <f t="shared" ca="1" si="371"/>
        <v>0</v>
      </c>
      <c r="K485" s="3083"/>
      <c r="L485" s="3083"/>
      <c r="M485" s="3083"/>
      <c r="Q485" s="416">
        <f t="shared" si="372"/>
        <v>0.1</v>
      </c>
      <c r="R485" s="416">
        <f t="shared" si="373"/>
        <v>0.10500000000000001</v>
      </c>
      <c r="AH485" s="263"/>
      <c r="AI485" s="263"/>
      <c r="AJ485" s="471"/>
      <c r="AK485" s="255"/>
      <c r="AL485" s="267"/>
      <c r="AM485" s="268"/>
      <c r="AN485" s="269"/>
    </row>
    <row r="486" spans="1:40" ht="15" hidden="1" customHeight="1" x14ac:dyDescent="0.25">
      <c r="A486" s="433" t="s">
        <v>1038</v>
      </c>
      <c r="B486" s="577" t="str">
        <f t="shared" si="367"/>
        <v>District Cooling</v>
      </c>
      <c r="C486" s="3079" t="str">
        <f t="shared" si="368"/>
        <v>MWh</v>
      </c>
      <c r="D486" s="3080" t="e">
        <f>IF(C486="","",VLOOKUP(C486,ProjectEnergyTypeTable,3,FALSE))</f>
        <v>#NAME?</v>
      </c>
      <c r="E486" s="571" t="str">
        <f>IFERROR(IF(Datacenter_Avg=TRUE,VLOOKUP($B486,PO_Enrgy_11_Table,MATCH($H$393,PO_Enrgy_11_Hdr,0),FALSE)-VLOOKUP($B486,PO_Enrgy_14_Table,MATCH(#REF!,PO_Enrgy_14_Hdr,0),FALSE),""),"")</f>
        <v/>
      </c>
      <c r="F486" s="555" t="str">
        <f t="shared" si="369"/>
        <v/>
      </c>
      <c r="G486" s="3081"/>
      <c r="H486" s="3082"/>
      <c r="I486" s="555">
        <f t="shared" si="370"/>
        <v>0</v>
      </c>
      <c r="J486" s="555">
        <f t="shared" si="371"/>
        <v>0</v>
      </c>
      <c r="K486" s="3083"/>
      <c r="L486" s="3083"/>
      <c r="M486" s="3083"/>
      <c r="Q486" s="416">
        <f t="shared" si="372"/>
        <v>3.4119999999999999</v>
      </c>
      <c r="R486" s="416">
        <f t="shared" si="373"/>
        <v>3.4119999999999999</v>
      </c>
      <c r="AH486" s="263"/>
      <c r="AI486" s="263"/>
      <c r="AJ486" s="471"/>
      <c r="AK486" s="255"/>
      <c r="AL486" s="267"/>
      <c r="AM486" s="268"/>
      <c r="AN486" s="269"/>
    </row>
    <row r="487" spans="1:40" ht="15" hidden="1" customHeight="1" x14ac:dyDescent="0.25">
      <c r="A487" s="433" t="s">
        <v>1038</v>
      </c>
      <c r="B487" s="577" t="str">
        <f t="shared" si="367"/>
        <v>District Cooling</v>
      </c>
      <c r="C487" s="3079" t="str">
        <f t="shared" si="368"/>
        <v>MWh</v>
      </c>
      <c r="D487" s="3080" t="e">
        <f>IF(C487="","",VLOOKUP(C487,ProjectEnergyTypeTable,3,FALSE))</f>
        <v>#NAME?</v>
      </c>
      <c r="E487" s="571" t="str">
        <f>IFERROR(IF(Datacenter_Avg=TRUE,VLOOKUP($B487,PO_Enrgy_11_Table,MATCH($H$393,PO_Enrgy_11_Hdr,0),FALSE)-VLOOKUP($B487,PO_Enrgy_14_Table,MATCH(#REF!,PO_Enrgy_14_Hdr,0),FALSE),""),"")</f>
        <v/>
      </c>
      <c r="F487" s="555" t="str">
        <f t="shared" si="369"/>
        <v/>
      </c>
      <c r="G487" s="3081"/>
      <c r="H487" s="3082"/>
      <c r="I487" s="555">
        <f t="shared" si="370"/>
        <v>0</v>
      </c>
      <c r="J487" s="555">
        <f t="shared" si="371"/>
        <v>0</v>
      </c>
      <c r="K487" s="3083"/>
      <c r="L487" s="3083"/>
      <c r="M487" s="3083"/>
      <c r="Q487" s="416">
        <f t="shared" si="372"/>
        <v>3.4119999999999999</v>
      </c>
      <c r="R487" s="416">
        <f t="shared" si="373"/>
        <v>3.4119999999999999</v>
      </c>
      <c r="AH487" s="263"/>
      <c r="AI487" s="263"/>
      <c r="AJ487" s="471"/>
      <c r="AK487" s="255"/>
      <c r="AL487" s="267"/>
      <c r="AM487" s="268"/>
      <c r="AN487" s="269"/>
    </row>
    <row r="488" spans="1:40" ht="15" hidden="1" customHeight="1" x14ac:dyDescent="0.25">
      <c r="A488" s="433" t="s">
        <v>1038</v>
      </c>
      <c r="B488" s="577" t="str">
        <f t="shared" si="367"/>
        <v>District Cooling</v>
      </c>
      <c r="C488" s="3079" t="str">
        <f t="shared" si="368"/>
        <v>MWh</v>
      </c>
      <c r="D488" s="3080" t="e">
        <f>IF(C488="","",VLOOKUP(C488,ProjectEnergyTypeTable,3,FALSE))</f>
        <v>#NAME?</v>
      </c>
      <c r="E488" s="571" t="str">
        <f>IFERROR(IF(Datacenter_Avg=TRUE,VLOOKUP($B488,PO_Enrgy_11_Table,MATCH($H$393,PO_Enrgy_11_Hdr,0),FALSE)-VLOOKUP($B488,PO_Enrgy_14_Table,MATCH(#REF!,PO_Enrgy_14_Hdr,0),FALSE),""),"")</f>
        <v/>
      </c>
      <c r="F488" s="555" t="str">
        <f t="shared" si="369"/>
        <v/>
      </c>
      <c r="G488" s="3081"/>
      <c r="H488" s="3082"/>
      <c r="I488" s="555">
        <f t="shared" si="370"/>
        <v>0</v>
      </c>
      <c r="J488" s="555">
        <f t="shared" si="371"/>
        <v>0</v>
      </c>
      <c r="K488" s="3083"/>
      <c r="L488" s="3083"/>
      <c r="M488" s="3083"/>
      <c r="Q488" s="416">
        <f t="shared" si="372"/>
        <v>3.4119999999999999</v>
      </c>
      <c r="R488" s="416">
        <f t="shared" si="373"/>
        <v>3.4119999999999999</v>
      </c>
      <c r="AH488" s="263"/>
      <c r="AI488" s="263"/>
      <c r="AJ488" s="471"/>
      <c r="AK488" s="255"/>
      <c r="AL488" s="267"/>
      <c r="AM488" s="268"/>
      <c r="AN488" s="269"/>
    </row>
    <row r="489" spans="1:40" ht="15" hidden="1" customHeight="1" x14ac:dyDescent="0.25">
      <c r="A489" s="433" t="s">
        <v>1038</v>
      </c>
      <c r="B489" s="577" t="str">
        <f t="shared" si="367"/>
        <v>District Cooling</v>
      </c>
      <c r="C489" s="3079" t="str">
        <f t="shared" si="368"/>
        <v>MWh</v>
      </c>
      <c r="D489" s="3080" t="e">
        <f>IF(C489="","",VLOOKUP(C489,ProjectEnergyTypeTable,3,FALSE))</f>
        <v>#NAME?</v>
      </c>
      <c r="E489" s="571" t="str">
        <f>IFERROR(IF(Datacenter_Avg=TRUE,VLOOKUP($B489,PO_Enrgy_11_Table,MATCH($H$393,PO_Enrgy_11_Hdr,0),FALSE)-VLOOKUP($B489,PO_Enrgy_14_Table,MATCH(#REF!,PO_Enrgy_14_Hdr,0),FALSE),""),"")</f>
        <v/>
      </c>
      <c r="F489" s="555" t="str">
        <f t="shared" si="369"/>
        <v/>
      </c>
      <c r="G489" s="3081"/>
      <c r="H489" s="3082"/>
      <c r="I489" s="555">
        <f t="shared" si="370"/>
        <v>0</v>
      </c>
      <c r="J489" s="555">
        <f t="shared" si="371"/>
        <v>0</v>
      </c>
      <c r="K489" s="3083"/>
      <c r="L489" s="3083"/>
      <c r="M489" s="3083"/>
      <c r="Q489" s="416">
        <f t="shared" si="372"/>
        <v>3.4119999999999999</v>
      </c>
      <c r="R489" s="416">
        <f t="shared" si="373"/>
        <v>3.4119999999999999</v>
      </c>
      <c r="AH489" s="263"/>
      <c r="AI489" s="263"/>
      <c r="AJ489" s="471"/>
      <c r="AK489" s="255"/>
      <c r="AL489" s="267"/>
      <c r="AM489" s="268"/>
      <c r="AN489" s="269"/>
    </row>
    <row r="490" spans="1:40" ht="15" hidden="1" customHeight="1" x14ac:dyDescent="0.25">
      <c r="A490" s="433" t="s">
        <v>1038</v>
      </c>
      <c r="B490" s="577" t="str">
        <f t="shared" si="367"/>
        <v>District Cooling</v>
      </c>
      <c r="C490" s="3079" t="str">
        <f t="shared" si="368"/>
        <v>MWh</v>
      </c>
      <c r="D490" s="3080" t="e">
        <f>IF(C490="","",VLOOKUP(C490,ProjectEnergyTypeTable,3,FALSE))</f>
        <v>#NAME?</v>
      </c>
      <c r="E490" s="571" t="str">
        <f>IFERROR(IF(Datacenter_Avg=TRUE,VLOOKUP($B490,PO_Enrgy_11_Table,MATCH($H$393,PO_Enrgy_11_Hdr,0),FALSE)-VLOOKUP($B490,PO_Enrgy_14_Table,MATCH(#REF!,PO_Enrgy_14_Hdr,0),FALSE),""),"")</f>
        <v/>
      </c>
      <c r="F490" s="555" t="str">
        <f t="shared" ref="F490:F491" si="374">IFERROR(E490*$R490,"")</f>
        <v/>
      </c>
      <c r="G490" s="3081"/>
      <c r="H490" s="3082"/>
      <c r="I490" s="555">
        <f t="shared" si="370"/>
        <v>0</v>
      </c>
      <c r="J490" s="555">
        <f t="shared" ref="J490:J491" si="375">IFERROR(I490*$R490,"")</f>
        <v>0</v>
      </c>
      <c r="K490" s="3083"/>
      <c r="L490" s="3083"/>
      <c r="M490" s="3083"/>
      <c r="Q490" s="416">
        <f t="shared" si="372"/>
        <v>3.4119999999999999</v>
      </c>
      <c r="R490" s="416">
        <f t="shared" si="373"/>
        <v>3.4119999999999999</v>
      </c>
      <c r="AH490" s="263"/>
      <c r="AI490" s="263"/>
      <c r="AJ490" s="471"/>
      <c r="AK490" s="255"/>
      <c r="AL490" s="267"/>
      <c r="AM490" s="268"/>
      <c r="AN490" s="269"/>
    </row>
    <row r="491" spans="1:40" ht="15" hidden="1" customHeight="1" x14ac:dyDescent="0.25">
      <c r="A491" s="433" t="s">
        <v>1038</v>
      </c>
      <c r="B491" s="577" t="str">
        <f t="shared" si="367"/>
        <v>District Cooling</v>
      </c>
      <c r="C491" s="3079" t="str">
        <f t="shared" si="368"/>
        <v>MWh</v>
      </c>
      <c r="D491" s="3080" t="e">
        <f>IF(C491="","",VLOOKUP(C491,ProjectEnergyTypeTable,3,FALSE))</f>
        <v>#NAME?</v>
      </c>
      <c r="E491" s="571" t="str">
        <f>IFERROR(IF(Datacenter_Avg=TRUE,VLOOKUP($B491,PO_Enrgy_11_Table,MATCH($H$393,PO_Enrgy_11_Hdr,0),FALSE)-VLOOKUP($B491,PO_Enrgy_14_Table,MATCH(#REF!,PO_Enrgy_14_Hdr,0),FALSE),""),"")</f>
        <v/>
      </c>
      <c r="F491" s="555" t="str">
        <f t="shared" si="374"/>
        <v/>
      </c>
      <c r="G491" s="3081"/>
      <c r="H491" s="3082"/>
      <c r="I491" s="555">
        <f t="shared" si="370"/>
        <v>0</v>
      </c>
      <c r="J491" s="555">
        <f t="shared" si="375"/>
        <v>0</v>
      </c>
      <c r="K491" s="3083"/>
      <c r="L491" s="3083"/>
      <c r="M491" s="3083"/>
      <c r="Q491" s="416">
        <f t="shared" si="372"/>
        <v>3.4119999999999999</v>
      </c>
      <c r="R491" s="416">
        <f t="shared" si="373"/>
        <v>3.4119999999999999</v>
      </c>
      <c r="AH491" s="263"/>
      <c r="AI491" s="263"/>
      <c r="AJ491" s="471"/>
      <c r="AK491" s="255"/>
      <c r="AL491" s="267"/>
      <c r="AM491" s="268"/>
      <c r="AN491" s="269"/>
    </row>
    <row r="492" spans="1:40" ht="15" hidden="1" customHeight="1" x14ac:dyDescent="0.25">
      <c r="A492" s="433" t="s">
        <v>1038</v>
      </c>
      <c r="B492" s="577" t="str">
        <f t="shared" si="367"/>
        <v>District Cooling</v>
      </c>
      <c r="C492" s="3079" t="str">
        <f t="shared" si="368"/>
        <v>MWh</v>
      </c>
      <c r="D492" s="3080" t="e">
        <f>IF(C492="","",VLOOKUP(C492,ProjectEnergyTypeTable,3,FALSE))</f>
        <v>#NAME?</v>
      </c>
      <c r="E492" s="571" t="str">
        <f>IFERROR(IF(Datacenter_Avg=TRUE,VLOOKUP($B492,PO_Enrgy_11_Table,MATCH($H$393,PO_Enrgy_11_Hdr,0),FALSE)-VLOOKUP($B492,PO_Enrgy_14_Table,MATCH(#REF!,PO_Enrgy_14_Hdr,0),FALSE),""),"")</f>
        <v/>
      </c>
      <c r="F492" s="555" t="str">
        <f t="shared" ref="F492" si="376">IFERROR(E492*$R492,"")</f>
        <v/>
      </c>
      <c r="G492" s="3081"/>
      <c r="H492" s="3082"/>
      <c r="I492" s="555">
        <f t="shared" si="370"/>
        <v>0</v>
      </c>
      <c r="J492" s="555">
        <f t="shared" ref="J492" si="377">IFERROR(I492*$R492,"")</f>
        <v>0</v>
      </c>
      <c r="K492" s="3083"/>
      <c r="L492" s="3083"/>
      <c r="M492" s="3083"/>
      <c r="Q492" s="416">
        <f t="shared" si="372"/>
        <v>3.4119999999999999</v>
      </c>
      <c r="R492" s="416">
        <f t="shared" si="373"/>
        <v>3.4119999999999999</v>
      </c>
      <c r="AH492" s="263"/>
      <c r="AI492" s="263"/>
      <c r="AJ492" s="471"/>
      <c r="AK492" s="255"/>
      <c r="AL492" s="267"/>
      <c r="AM492" s="268"/>
      <c r="AN492" s="269"/>
    </row>
    <row r="493" spans="1:40" ht="15" hidden="1" customHeight="1" x14ac:dyDescent="0.25">
      <c r="A493" s="433" t="s">
        <v>1038</v>
      </c>
      <c r="B493" s="577" t="str">
        <f t="shared" si="367"/>
        <v>District Cooling</v>
      </c>
      <c r="C493" s="3079" t="str">
        <f t="shared" si="368"/>
        <v>MWh</v>
      </c>
      <c r="D493" s="3080" t="e">
        <f>IF(C493="","",VLOOKUP(C493,ProjectEnergyTypeTable,3,FALSE))</f>
        <v>#NAME?</v>
      </c>
      <c r="E493" s="571" t="str">
        <f>IFERROR(IF(Datacenter_Avg=TRUE,VLOOKUP($B493,PO_Enrgy_11_Table,MATCH($H$393,PO_Enrgy_11_Hdr,0),FALSE)-VLOOKUP($B493,PO_Enrgy_14_Table,MATCH(#REF!,PO_Enrgy_14_Hdr,0),FALSE),""),"")</f>
        <v/>
      </c>
      <c r="F493" s="555" t="str">
        <f t="shared" ref="F493" si="378">IFERROR(E493*$R493,"")</f>
        <v/>
      </c>
      <c r="G493" s="3081"/>
      <c r="H493" s="3082"/>
      <c r="I493" s="555">
        <f t="shared" si="370"/>
        <v>0</v>
      </c>
      <c r="J493" s="555">
        <f t="shared" ref="J493" si="379">IFERROR(I493*$R493,"")</f>
        <v>0</v>
      </c>
      <c r="K493" s="3083"/>
      <c r="L493" s="3083"/>
      <c r="M493" s="3083"/>
      <c r="Q493" s="416">
        <f t="shared" si="372"/>
        <v>3.4119999999999999</v>
      </c>
      <c r="R493" s="416">
        <f t="shared" si="373"/>
        <v>3.4119999999999999</v>
      </c>
      <c r="AH493" s="263"/>
      <c r="AI493" s="263"/>
      <c r="AJ493" s="471"/>
      <c r="AK493" s="255"/>
      <c r="AL493" s="267"/>
      <c r="AM493" s="268"/>
      <c r="AN493" s="269"/>
    </row>
    <row r="494" spans="1:40" ht="15" hidden="1" customHeight="1" x14ac:dyDescent="0.25">
      <c r="A494" s="433" t="s">
        <v>1038</v>
      </c>
      <c r="B494" s="577" t="str">
        <f t="shared" si="367"/>
        <v>District Cooling</v>
      </c>
      <c r="C494" s="3079" t="str">
        <f t="shared" si="368"/>
        <v>MWh</v>
      </c>
      <c r="D494" s="3080" t="e">
        <f>IF(C494="","",VLOOKUP(C494,ProjectEnergyTypeTable,3,FALSE))</f>
        <v>#NAME?</v>
      </c>
      <c r="E494" s="571" t="str">
        <f>IFERROR(IF(Datacenter_Avg=TRUE,VLOOKUP($B494,PO_Enrgy_11_Table,MATCH($H$393,PO_Enrgy_11_Hdr,0),FALSE)-VLOOKUP($B494,PO_Enrgy_14_Table,MATCH(#REF!,PO_Enrgy_14_Hdr,0),FALSE),""),"")</f>
        <v/>
      </c>
      <c r="F494" s="555" t="str">
        <f t="shared" ref="F494" si="380">IFERROR(E494*$R494,"")</f>
        <v/>
      </c>
      <c r="G494" s="3081"/>
      <c r="H494" s="3082"/>
      <c r="I494" s="555">
        <f t="shared" si="370"/>
        <v>0</v>
      </c>
      <c r="J494" s="555">
        <f t="shared" ref="J494" si="381">IFERROR(I494*$R494,"")</f>
        <v>0</v>
      </c>
      <c r="K494" s="3083"/>
      <c r="L494" s="3083"/>
      <c r="M494" s="3083"/>
      <c r="Q494" s="416">
        <f t="shared" si="372"/>
        <v>3.4119999999999999</v>
      </c>
      <c r="R494" s="416">
        <f t="shared" si="373"/>
        <v>3.4119999999999999</v>
      </c>
      <c r="AH494" s="263"/>
      <c r="AI494" s="263"/>
      <c r="AJ494" s="471"/>
      <c r="AK494" s="255"/>
      <c r="AL494" s="267"/>
      <c r="AM494" s="268"/>
      <c r="AN494" s="269"/>
    </row>
    <row r="495" spans="1:40" ht="15" hidden="1" customHeight="1" x14ac:dyDescent="0.25">
      <c r="A495" s="433" t="s">
        <v>1038</v>
      </c>
      <c r="B495" s="577" t="str">
        <f t="shared" si="367"/>
        <v>District Cooling</v>
      </c>
      <c r="C495" s="3079" t="str">
        <f t="shared" si="368"/>
        <v>MWh</v>
      </c>
      <c r="D495" s="3080" t="e">
        <f>IF(C495="","",VLOOKUP(C495,ProjectEnergyTypeTable,3,FALSE))</f>
        <v>#NAME?</v>
      </c>
      <c r="E495" s="571" t="str">
        <f>IFERROR(IF(Datacenter_Avg=TRUE,VLOOKUP($B495,PO_Enrgy_11_Table,MATCH($H$393,PO_Enrgy_11_Hdr,0),FALSE)-VLOOKUP($B495,PO_Enrgy_14_Table,MATCH(#REF!,PO_Enrgy_14_Hdr,0),FALSE),""),"")</f>
        <v/>
      </c>
      <c r="F495" s="555" t="str">
        <f t="shared" ref="F495" si="382">IFERROR(E495*$R495,"")</f>
        <v/>
      </c>
      <c r="G495" s="3081"/>
      <c r="H495" s="3082"/>
      <c r="I495" s="555">
        <f t="shared" si="370"/>
        <v>0</v>
      </c>
      <c r="J495" s="555">
        <f t="shared" ref="J495" si="383">IFERROR(I495*$R495,"")</f>
        <v>0</v>
      </c>
      <c r="K495" s="3083"/>
      <c r="L495" s="3083"/>
      <c r="M495" s="3083"/>
      <c r="Q495" s="416">
        <f t="shared" si="372"/>
        <v>3.4119999999999999</v>
      </c>
      <c r="R495" s="416">
        <f t="shared" si="373"/>
        <v>3.4119999999999999</v>
      </c>
      <c r="AH495" s="263"/>
      <c r="AI495" s="263"/>
      <c r="AJ495" s="471"/>
      <c r="AK495" s="255"/>
      <c r="AL495" s="267"/>
      <c r="AM495" s="268"/>
      <c r="AN495" s="269"/>
    </row>
    <row r="496" spans="1:40" ht="15" hidden="1" customHeight="1" x14ac:dyDescent="0.25">
      <c r="A496" s="433" t="s">
        <v>1038</v>
      </c>
      <c r="B496" s="577" t="str">
        <f t="shared" ref="B496:B498" si="384">IFERROR(IF(ISBLANK(B29),"",B29),"")</f>
        <v>District Cooling</v>
      </c>
      <c r="C496" s="3079" t="str">
        <f t="shared" si="368"/>
        <v>MWh</v>
      </c>
      <c r="D496" s="3080" t="e">
        <f>IF(C496="","",VLOOKUP(C496,ProjectEnergyTypeTable,3,FALSE))</f>
        <v>#NAME?</v>
      </c>
      <c r="E496" s="571" t="str">
        <f>IFERROR(IF(Datacenter_Avg=TRUE,VLOOKUP($B496,PO_Enrgy_11_Table,MATCH($H$393,PO_Enrgy_11_Hdr,0),FALSE)-VLOOKUP($B496,PO_Enrgy_14_Table,MATCH(#REF!,PO_Enrgy_14_Hdr,0),FALSE),""),"")</f>
        <v/>
      </c>
      <c r="F496" s="555" t="str">
        <f t="shared" ref="F496:F498" si="385">IFERROR(E496*$R496,"")</f>
        <v/>
      </c>
      <c r="G496" s="3081"/>
      <c r="H496" s="3082"/>
      <c r="I496" s="555">
        <f t="shared" si="370"/>
        <v>0</v>
      </c>
      <c r="J496" s="555">
        <f t="shared" ref="J496:J498" si="386">IFERROR(I496*$R496,"")</f>
        <v>0</v>
      </c>
      <c r="K496" s="3083"/>
      <c r="L496" s="3083"/>
      <c r="M496" s="3083"/>
      <c r="Q496" s="416">
        <f t="shared" si="372"/>
        <v>3.4119999999999999</v>
      </c>
      <c r="R496" s="416">
        <f t="shared" si="373"/>
        <v>3.4119999999999999</v>
      </c>
      <c r="AH496" s="263"/>
      <c r="AI496" s="263"/>
      <c r="AJ496" s="471"/>
      <c r="AK496" s="255"/>
      <c r="AL496" s="267"/>
      <c r="AM496" s="268"/>
      <c r="AN496" s="269"/>
    </row>
    <row r="497" spans="1:55" ht="15" hidden="1" customHeight="1" x14ac:dyDescent="0.25">
      <c r="A497" s="433" t="s">
        <v>1038</v>
      </c>
      <c r="B497" s="577" t="str">
        <f t="shared" si="384"/>
        <v>District Cooling</v>
      </c>
      <c r="C497" s="3079" t="str">
        <f t="shared" si="368"/>
        <v>MWh</v>
      </c>
      <c r="D497" s="3080" t="e">
        <f>IF(C497="","",VLOOKUP(C497,ProjectEnergyTypeTable,3,FALSE))</f>
        <v>#NAME?</v>
      </c>
      <c r="E497" s="571" t="str">
        <f>IFERROR(IF(Datacenter_Avg=TRUE,VLOOKUP($B497,PO_Enrgy_11_Table,MATCH($H$393,PO_Enrgy_11_Hdr,0),FALSE)-VLOOKUP($B497,PO_Enrgy_14_Table,MATCH(#REF!,PO_Enrgy_14_Hdr,0),FALSE),""),"")</f>
        <v/>
      </c>
      <c r="F497" s="555" t="str">
        <f t="shared" si="385"/>
        <v/>
      </c>
      <c r="G497" s="3081"/>
      <c r="H497" s="3082"/>
      <c r="I497" s="555">
        <f t="shared" si="370"/>
        <v>0</v>
      </c>
      <c r="J497" s="555">
        <f t="shared" si="386"/>
        <v>0</v>
      </c>
      <c r="K497" s="3083"/>
      <c r="L497" s="3083"/>
      <c r="M497" s="3083"/>
      <c r="Q497" s="416">
        <f t="shared" si="372"/>
        <v>3.4119999999999999</v>
      </c>
      <c r="R497" s="416">
        <f t="shared" si="373"/>
        <v>3.4119999999999999</v>
      </c>
      <c r="AH497" s="263"/>
      <c r="AI497" s="263"/>
      <c r="AJ497" s="471"/>
      <c r="AK497" s="255"/>
      <c r="AL497" s="267"/>
      <c r="AM497" s="268"/>
      <c r="AN497" s="269"/>
    </row>
    <row r="498" spans="1:55" ht="15" hidden="1" customHeight="1" x14ac:dyDescent="0.25">
      <c r="A498" s="433" t="s">
        <v>1038</v>
      </c>
      <c r="B498" s="577" t="str">
        <f t="shared" si="384"/>
        <v>District Cooling</v>
      </c>
      <c r="C498" s="3079" t="str">
        <f t="shared" si="368"/>
        <v>MWh</v>
      </c>
      <c r="D498" s="3080" t="e">
        <f>IF(C498="","",VLOOKUP(C498,ProjectEnergyTypeTable,3,FALSE))</f>
        <v>#NAME?</v>
      </c>
      <c r="E498" s="571" t="str">
        <f>IFERROR(IF(Datacenter_Avg=TRUE,VLOOKUP($B498,PO_Enrgy_11_Table,MATCH($H$393,PO_Enrgy_11_Hdr,0),FALSE)-VLOOKUP($B498,PO_Enrgy_14_Table,MATCH(#REF!,PO_Enrgy_14_Hdr,0),FALSE),""),"")</f>
        <v/>
      </c>
      <c r="F498" s="555" t="str">
        <f t="shared" si="385"/>
        <v/>
      </c>
      <c r="G498" s="3081"/>
      <c r="H498" s="3082"/>
      <c r="I498" s="555">
        <f t="shared" si="370"/>
        <v>0</v>
      </c>
      <c r="J498" s="555">
        <f t="shared" si="386"/>
        <v>0</v>
      </c>
      <c r="K498" s="3083"/>
      <c r="L498" s="3083"/>
      <c r="M498" s="3083"/>
      <c r="Q498" s="416">
        <f t="shared" si="372"/>
        <v>3.4119999999999999</v>
      </c>
      <c r="R498" s="416">
        <f t="shared" si="373"/>
        <v>3.4119999999999999</v>
      </c>
      <c r="AH498" s="263"/>
      <c r="AI498" s="263"/>
      <c r="AJ498" s="471"/>
      <c r="AK498" s="255"/>
      <c r="AL498" s="267"/>
      <c r="AM498" s="268"/>
      <c r="AN498" s="269"/>
    </row>
    <row r="499" spans="1:55" s="245" customFormat="1" ht="21" hidden="1" customHeight="1" x14ac:dyDescent="0.25">
      <c r="A499" s="433" t="s">
        <v>1038</v>
      </c>
      <c r="B499" s="3135" t="str">
        <f>"Energy model subtotal (" &amp; PO_SiteUnits &amp; ")"</f>
        <v>Energy model subtotal (Btu x 10^6)</v>
      </c>
      <c r="C499" s="3135"/>
      <c r="D499" s="3135"/>
      <c r="E499" s="555">
        <f>IFERROR(SUMPRODUCT(INDEX(PO_Enrgy_15_Table,0,MATCH(E$481,PO_Enrgy_15_Hdr,0)),INDEX(PO_Enrgy_15_Table,0,MATCH($Q$481,PO_Enrgy_15_Hdr,0))),"")</f>
        <v>0</v>
      </c>
      <c r="F499" s="527">
        <f>IFERROR(SUM(INDEX(PO_Enrgy_15_Table,0,MATCH(F$481,PO_Enrgy_15_Hdr,0))),"")</f>
        <v>0</v>
      </c>
      <c r="G499" s="3136" t="str">
        <f>IFERROR(F499/F482,"")</f>
        <v/>
      </c>
      <c r="H499" s="3137"/>
      <c r="I499" s="555">
        <f ca="1">IFERROR(SUMPRODUCT(INDEX(PO_Enrgy_15_Table,0,MATCH(I$481,PO_Enrgy_15_Hdr,0)),INDEX(PO_Enrgy_15_Table,0,MATCH($Q$481,PO_Enrgy_15_Hdr,0))),"")</f>
        <v>0</v>
      </c>
      <c r="J499" s="527">
        <f ca="1">IFERROR(SUM(INDEX(PO_Enrgy_15_Table,0,MATCH(J$481,PO_Enrgy_15_Hdr,0))),"")</f>
        <v>0</v>
      </c>
      <c r="K499" s="3136" t="str">
        <f ca="1">IFERROR(J499/J482,"")</f>
        <v/>
      </c>
      <c r="L499" s="3136"/>
      <c r="M499" s="3136"/>
      <c r="N499" s="235"/>
      <c r="O499" s="235"/>
      <c r="P499" s="235"/>
      <c r="AJ499" s="2"/>
      <c r="AL499" s="267"/>
      <c r="AM499" s="268"/>
    </row>
    <row r="500" spans="1:55" s="245" customFormat="1" ht="33.75" hidden="1" customHeight="1" x14ac:dyDescent="0.25">
      <c r="A500" s="433" t="s">
        <v>1038</v>
      </c>
      <c r="B500" s="249"/>
      <c r="C500" s="249"/>
      <c r="D500" s="249"/>
      <c r="E500" s="336"/>
      <c r="F500" s="255"/>
      <c r="G500" s="297"/>
      <c r="I500" s="255"/>
      <c r="J500" s="255"/>
      <c r="K500" s="332"/>
      <c r="L500" s="332"/>
      <c r="M500" s="332"/>
      <c r="N500" s="235"/>
      <c r="O500" s="235"/>
      <c r="P500" s="235"/>
      <c r="AJ500" s="2"/>
      <c r="AL500" s="267"/>
      <c r="AM500" s="268"/>
    </row>
    <row r="501" spans="1:55" ht="21" customHeight="1" x14ac:dyDescent="0.25">
      <c r="A501" s="433" t="s">
        <v>1038</v>
      </c>
      <c r="B501" s="583" t="s">
        <v>1019</v>
      </c>
      <c r="AL501" s="289"/>
      <c r="AM501" s="290"/>
    </row>
    <row r="502" spans="1:55" ht="25.5" customHeight="1" x14ac:dyDescent="0.25">
      <c r="A502" s="433" t="s">
        <v>1038</v>
      </c>
      <c r="B502" s="3138" t="s">
        <v>354</v>
      </c>
      <c r="C502" s="3139" t="s">
        <v>1436</v>
      </c>
      <c r="D502" s="3102"/>
      <c r="E502" s="3140" t="s">
        <v>272</v>
      </c>
      <c r="F502" s="3138"/>
      <c r="G502" s="3138"/>
      <c r="H502" s="3140" t="s">
        <v>273</v>
      </c>
      <c r="I502" s="3138"/>
      <c r="J502" s="3138"/>
      <c r="K502" s="3140" t="s">
        <v>358</v>
      </c>
      <c r="L502" s="3138"/>
      <c r="M502" s="3102"/>
      <c r="AJ502" s="2"/>
    </row>
    <row r="503" spans="1:55" ht="63.75" customHeight="1" x14ac:dyDescent="0.25">
      <c r="A503" s="433" t="s">
        <v>1038</v>
      </c>
      <c r="B503" s="3102"/>
      <c r="C503" s="3102"/>
      <c r="D503" s="3102"/>
      <c r="E503" s="580" t="s">
        <v>902</v>
      </c>
      <c r="F503" s="579" t="str">
        <f>"Source Energy Use 
("  &amp; PO_SourceUnits &amp; ")"</f>
        <v>Source Energy Use 
(Btu x 10^6)</v>
      </c>
      <c r="G503" s="580" t="s">
        <v>356</v>
      </c>
      <c r="H503" s="580" t="s">
        <v>902</v>
      </c>
      <c r="I503" s="579" t="str">
        <f>"Source Energy Use 
("  &amp; PO_SourceUnits &amp; ")"</f>
        <v>Source Energy Use 
(Btu x 10^6)</v>
      </c>
      <c r="J503" s="580" t="s">
        <v>356</v>
      </c>
      <c r="K503" s="3140" t="s">
        <v>357</v>
      </c>
      <c r="L503" s="3102"/>
      <c r="M503" s="580" t="s">
        <v>356</v>
      </c>
      <c r="AJ503" s="2"/>
    </row>
    <row r="504" spans="1:55" s="446" customFormat="1" ht="13.8" hidden="1" x14ac:dyDescent="0.25">
      <c r="A504" s="433" t="s">
        <v>1038</v>
      </c>
      <c r="B504" s="468" t="s">
        <v>1396</v>
      </c>
      <c r="C504" s="460" t="s">
        <v>1424</v>
      </c>
      <c r="D504" s="468"/>
      <c r="E504" s="469" t="s">
        <v>1452</v>
      </c>
      <c r="F504" s="468" t="s">
        <v>1453</v>
      </c>
      <c r="G504" s="469" t="s">
        <v>1454</v>
      </c>
      <c r="H504" s="469" t="s">
        <v>1437</v>
      </c>
      <c r="I504" s="468" t="s">
        <v>1438</v>
      </c>
      <c r="J504" s="469" t="s">
        <v>1439</v>
      </c>
      <c r="K504" s="469" t="s">
        <v>1455</v>
      </c>
      <c r="L504" s="460"/>
      <c r="M504" s="469" t="s">
        <v>1441</v>
      </c>
      <c r="N504" s="463"/>
      <c r="O504" s="463"/>
      <c r="P504" s="463"/>
      <c r="Q504" s="415" t="s">
        <v>1407</v>
      </c>
      <c r="R504" s="415" t="s">
        <v>1408</v>
      </c>
      <c r="AJ504" s="447"/>
    </row>
    <row r="505" spans="1:55" ht="15" customHeight="1" x14ac:dyDescent="0.25">
      <c r="A505" s="433" t="s">
        <v>1038</v>
      </c>
      <c r="B505" s="577" t="str">
        <f t="shared" ref="B505:B516" si="387">IFERROR(IF(ISBLANK(B17),"",B17),"")</f>
        <v>Electricity</v>
      </c>
      <c r="C505" s="3079" t="str">
        <f t="shared" ref="C505:C519" si="388">IFERROR(IF(ISBLANK($B505),"",VLOOKUP($B505,PO_Enrgy_1_Table,MATCH($C$16,PO_Enrgy_1_Hdr,0),FALSE) ),"")</f>
        <v>kWh</v>
      </c>
      <c r="D505" s="3080" t="e">
        <f>IF(C505="","",VLOOKUP(C505,ProjectEnergyTypeTable,3,FALSE))</f>
        <v>#NAME?</v>
      </c>
      <c r="E505" s="555">
        <f t="shared" ref="E505:E519" ca="1" si="389">IFERROR(VLOOKUP($B505,PO_Enrgy_13_Table,MATCH($E$435,PO_Enrgy_13_Hdr,0),FALSE),"")</f>
        <v>0</v>
      </c>
      <c r="F505" s="555">
        <f t="shared" ref="F505:F510" ca="1" si="390">IFERROR(E505*$R505,"")</f>
        <v>0</v>
      </c>
      <c r="G505" s="572">
        <f t="shared" ref="G505:G519" si="391">IFERROR(VLOOKUP($B505,PO_Enrgy_13_Table,MATCH($G$435,PO_Enrgy_13_Hdr,0),FALSE),"")</f>
        <v>0</v>
      </c>
      <c r="H505" s="555">
        <f t="shared" ref="H505:H519" ca="1" si="392">IFERROR(VLOOKUP($B505,PO_Enrgy_14_Table,MATCH($H$435,PO_Enrgy_14_Hdr,0),FALSE),"")</f>
        <v>0</v>
      </c>
      <c r="I505" s="555">
        <f t="shared" ref="I505:I510" ca="1" si="393">IFERROR(H505*$R505,"")</f>
        <v>0</v>
      </c>
      <c r="J505" s="555">
        <f t="shared" ref="J505:J519" ca="1" si="394">IFERROR(VLOOKUP($B505,PO_Enrgy_14_Table,MATCH($J$435,PO_Enrgy_14_Hdr,0),FALSE),"")</f>
        <v>0</v>
      </c>
      <c r="K505" s="3084" t="str">
        <f t="shared" ref="K505:K520" ca="1" si="395">IFERROR(1-H505/E505,"")</f>
        <v/>
      </c>
      <c r="L505" s="3085"/>
      <c r="M505" s="659" t="str">
        <f t="shared" ref="M505:M520" ca="1" si="396">IFERROR(1-J505/G505,"")</f>
        <v/>
      </c>
      <c r="Q505" s="627">
        <f t="shared" ref="Q505:Q519" si="397">IFERROR(IF(ISBLANK($B505),"",VLOOKUP($B505,PO_Enrgy_1_Table,MATCH($K$16,PO_Enrgy_1_Hdr,0),FALSE)),"")</f>
        <v>3.4120000000000001E-3</v>
      </c>
      <c r="R505" s="627">
        <f t="shared" ref="R505:R519" si="398">IFERROR(IF(ISBLANK($B505),"",VLOOKUP($B505,PO_Enrgy_1_Table,MATCH($M$16,PO_Enrgy_1_Hdr,0),FALSE)),"")</f>
        <v>1.0713680000000001E-2</v>
      </c>
      <c r="AH505" s="263"/>
      <c r="AI505" s="263"/>
      <c r="AJ505" s="2"/>
      <c r="AL505" s="267"/>
      <c r="AM505" s="268"/>
      <c r="BC505" s="804"/>
    </row>
    <row r="506" spans="1:55" ht="15" customHeight="1" x14ac:dyDescent="0.25">
      <c r="A506" s="433" t="s">
        <v>1038</v>
      </c>
      <c r="B506" s="577" t="str">
        <f t="shared" si="387"/>
        <v>Natural Gas</v>
      </c>
      <c r="C506" s="3079" t="str">
        <f t="shared" si="388"/>
        <v>therm</v>
      </c>
      <c r="D506" s="3080" t="e">
        <f>IF(C506="","",VLOOKUP(C506,ProjectEnergyTypeTable,3,FALSE))</f>
        <v>#NAME?</v>
      </c>
      <c r="E506" s="555">
        <f t="shared" ca="1" si="389"/>
        <v>0</v>
      </c>
      <c r="F506" s="555">
        <f t="shared" ca="1" si="390"/>
        <v>0</v>
      </c>
      <c r="G506" s="572">
        <f t="shared" si="391"/>
        <v>0</v>
      </c>
      <c r="H506" s="555">
        <f t="shared" ca="1" si="392"/>
        <v>0</v>
      </c>
      <c r="I506" s="555">
        <f t="shared" ca="1" si="393"/>
        <v>0</v>
      </c>
      <c r="J506" s="555">
        <f t="shared" ca="1" si="394"/>
        <v>0</v>
      </c>
      <c r="K506" s="3084" t="str">
        <f t="shared" ca="1" si="395"/>
        <v/>
      </c>
      <c r="L506" s="3085"/>
      <c r="M506" s="659" t="str">
        <f t="shared" ca="1" si="396"/>
        <v/>
      </c>
      <c r="Q506" s="627">
        <f t="shared" si="397"/>
        <v>0.1</v>
      </c>
      <c r="R506" s="627">
        <f t="shared" si="398"/>
        <v>0.10500000000000001</v>
      </c>
      <c r="AH506" s="263"/>
      <c r="AI506" s="263"/>
      <c r="AJ506" s="2"/>
      <c r="AL506" s="267"/>
      <c r="AM506" s="268"/>
      <c r="BC506" s="804"/>
    </row>
    <row r="507" spans="1:55" ht="15" customHeight="1" x14ac:dyDescent="0.25">
      <c r="A507" s="433" t="s">
        <v>1038</v>
      </c>
      <c r="B507" s="577" t="str">
        <f t="shared" si="387"/>
        <v>District Cooling</v>
      </c>
      <c r="C507" s="3079" t="str">
        <f t="shared" si="388"/>
        <v>MWh</v>
      </c>
      <c r="D507" s="3080" t="e">
        <f>IF(C507="","",VLOOKUP(C507,ProjectEnergyTypeTable,3,FALSE))</f>
        <v>#NAME?</v>
      </c>
      <c r="E507" s="555">
        <f t="shared" si="389"/>
        <v>0</v>
      </c>
      <c r="F507" s="555">
        <f t="shared" si="390"/>
        <v>0</v>
      </c>
      <c r="G507" s="572">
        <f t="shared" si="391"/>
        <v>0</v>
      </c>
      <c r="H507" s="555">
        <f t="shared" si="392"/>
        <v>0</v>
      </c>
      <c r="I507" s="555">
        <f t="shared" si="393"/>
        <v>0</v>
      </c>
      <c r="J507" s="555">
        <f t="shared" si="394"/>
        <v>0</v>
      </c>
      <c r="K507" s="3084" t="str">
        <f t="shared" si="395"/>
        <v/>
      </c>
      <c r="L507" s="3085"/>
      <c r="M507" s="659" t="str">
        <f t="shared" si="396"/>
        <v/>
      </c>
      <c r="Q507" s="627">
        <f t="shared" si="397"/>
        <v>3.4119999999999999</v>
      </c>
      <c r="R507" s="627">
        <f t="shared" si="398"/>
        <v>3.4119999999999999</v>
      </c>
      <c r="AH507" s="263"/>
      <c r="AI507" s="263"/>
      <c r="AJ507" s="2"/>
      <c r="AL507" s="267"/>
      <c r="AM507" s="268"/>
      <c r="BC507" s="804"/>
    </row>
    <row r="508" spans="1:55" ht="15" customHeight="1" x14ac:dyDescent="0.25">
      <c r="A508" s="433" t="s">
        <v>1038</v>
      </c>
      <c r="B508" s="577" t="str">
        <f t="shared" si="387"/>
        <v>District Cooling</v>
      </c>
      <c r="C508" s="3079" t="str">
        <f t="shared" si="388"/>
        <v>MWh</v>
      </c>
      <c r="D508" s="3080" t="e">
        <f>IF(C508="","",VLOOKUP(C508,ProjectEnergyTypeTable,3,FALSE))</f>
        <v>#NAME?</v>
      </c>
      <c r="E508" s="555">
        <f t="shared" si="389"/>
        <v>0</v>
      </c>
      <c r="F508" s="555">
        <f t="shared" si="390"/>
        <v>0</v>
      </c>
      <c r="G508" s="572">
        <f t="shared" si="391"/>
        <v>0</v>
      </c>
      <c r="H508" s="555">
        <f t="shared" si="392"/>
        <v>0</v>
      </c>
      <c r="I508" s="555">
        <f t="shared" si="393"/>
        <v>0</v>
      </c>
      <c r="J508" s="555">
        <f t="shared" si="394"/>
        <v>0</v>
      </c>
      <c r="K508" s="3084" t="str">
        <f t="shared" si="395"/>
        <v/>
      </c>
      <c r="L508" s="3085"/>
      <c r="M508" s="659" t="str">
        <f t="shared" si="396"/>
        <v/>
      </c>
      <c r="Q508" s="627">
        <f t="shared" si="397"/>
        <v>3.4119999999999999</v>
      </c>
      <c r="R508" s="627">
        <f t="shared" si="398"/>
        <v>3.4119999999999999</v>
      </c>
      <c r="AH508" s="263"/>
      <c r="AI508" s="263"/>
      <c r="AJ508" s="2"/>
      <c r="AL508" s="267"/>
      <c r="AM508" s="268"/>
      <c r="BC508" s="804"/>
    </row>
    <row r="509" spans="1:55" ht="15" customHeight="1" x14ac:dyDescent="0.25">
      <c r="A509" s="433" t="s">
        <v>1038</v>
      </c>
      <c r="B509" s="577" t="str">
        <f t="shared" si="387"/>
        <v>District Cooling</v>
      </c>
      <c r="C509" s="3079" t="str">
        <f t="shared" si="388"/>
        <v>MWh</v>
      </c>
      <c r="D509" s="3080" t="e">
        <f>IF(C509="","",VLOOKUP(C509,ProjectEnergyTypeTable,3,FALSE))</f>
        <v>#NAME?</v>
      </c>
      <c r="E509" s="555">
        <f t="shared" si="389"/>
        <v>0</v>
      </c>
      <c r="F509" s="555">
        <f t="shared" si="390"/>
        <v>0</v>
      </c>
      <c r="G509" s="572">
        <f t="shared" si="391"/>
        <v>0</v>
      </c>
      <c r="H509" s="555">
        <f t="shared" si="392"/>
        <v>0</v>
      </c>
      <c r="I509" s="555">
        <f t="shared" si="393"/>
        <v>0</v>
      </c>
      <c r="J509" s="555">
        <f t="shared" si="394"/>
        <v>0</v>
      </c>
      <c r="K509" s="3084" t="str">
        <f t="shared" si="395"/>
        <v/>
      </c>
      <c r="L509" s="3085"/>
      <c r="M509" s="659" t="str">
        <f t="shared" si="396"/>
        <v/>
      </c>
      <c r="Q509" s="627">
        <f t="shared" si="397"/>
        <v>3.4119999999999999</v>
      </c>
      <c r="R509" s="627">
        <f t="shared" si="398"/>
        <v>3.4119999999999999</v>
      </c>
      <c r="AH509" s="263"/>
      <c r="AI509" s="263"/>
      <c r="AJ509" s="2"/>
      <c r="AL509" s="267"/>
      <c r="AM509" s="268"/>
      <c r="BC509" s="804"/>
    </row>
    <row r="510" spans="1:55" ht="15" customHeight="1" x14ac:dyDescent="0.25">
      <c r="A510" s="433" t="s">
        <v>1038</v>
      </c>
      <c r="B510" s="577" t="str">
        <f t="shared" si="387"/>
        <v>District Cooling</v>
      </c>
      <c r="C510" s="3079" t="str">
        <f t="shared" si="388"/>
        <v>MWh</v>
      </c>
      <c r="D510" s="3080" t="e">
        <f>IF(C510="","",VLOOKUP(C510,ProjectEnergyTypeTable,3,FALSE))</f>
        <v>#NAME?</v>
      </c>
      <c r="E510" s="555">
        <f t="shared" si="389"/>
        <v>0</v>
      </c>
      <c r="F510" s="555">
        <f t="shared" si="390"/>
        <v>0</v>
      </c>
      <c r="G510" s="572">
        <f t="shared" si="391"/>
        <v>0</v>
      </c>
      <c r="H510" s="555">
        <f t="shared" si="392"/>
        <v>0</v>
      </c>
      <c r="I510" s="555">
        <f t="shared" si="393"/>
        <v>0</v>
      </c>
      <c r="J510" s="555">
        <f t="shared" si="394"/>
        <v>0</v>
      </c>
      <c r="K510" s="3084" t="str">
        <f t="shared" ref="K510" si="399">IFERROR(1-H510/E510,"")</f>
        <v/>
      </c>
      <c r="L510" s="3085"/>
      <c r="M510" s="659" t="str">
        <f t="shared" ref="M510" si="400">IFERROR(1-J510/G510,"")</f>
        <v/>
      </c>
      <c r="Q510" s="627">
        <f t="shared" si="397"/>
        <v>3.4119999999999999</v>
      </c>
      <c r="R510" s="627">
        <f t="shared" si="398"/>
        <v>3.4119999999999999</v>
      </c>
      <c r="AH510" s="263"/>
      <c r="AI510" s="263"/>
      <c r="AJ510" s="2"/>
      <c r="AL510" s="267"/>
      <c r="AM510" s="268"/>
      <c r="BC510" s="804"/>
    </row>
    <row r="511" spans="1:55" ht="15" customHeight="1" x14ac:dyDescent="0.25">
      <c r="A511" s="433" t="s">
        <v>1038</v>
      </c>
      <c r="B511" s="577" t="str">
        <f t="shared" si="387"/>
        <v>District Cooling</v>
      </c>
      <c r="C511" s="3079" t="str">
        <f t="shared" si="388"/>
        <v>MWh</v>
      </c>
      <c r="D511" s="3080" t="e">
        <f>IF(C511="","",VLOOKUP(C511,ProjectEnergyTypeTable,3,FALSE))</f>
        <v>#NAME?</v>
      </c>
      <c r="E511" s="555">
        <f t="shared" si="389"/>
        <v>0</v>
      </c>
      <c r="F511" s="555">
        <f t="shared" ref="F511:F512" si="401">IFERROR(E511*$R511,"")</f>
        <v>0</v>
      </c>
      <c r="G511" s="572">
        <f t="shared" si="391"/>
        <v>0</v>
      </c>
      <c r="H511" s="555">
        <f t="shared" si="392"/>
        <v>0</v>
      </c>
      <c r="I511" s="555">
        <f t="shared" ref="I511:I512" si="402">IFERROR(H511*$R511,"")</f>
        <v>0</v>
      </c>
      <c r="J511" s="555">
        <f t="shared" si="394"/>
        <v>0</v>
      </c>
      <c r="K511" s="3084" t="str">
        <f t="shared" ref="K511:K512" si="403">IFERROR(1-H511/E511,"")</f>
        <v/>
      </c>
      <c r="L511" s="3085"/>
      <c r="M511" s="659" t="str">
        <f t="shared" ref="M511:M512" si="404">IFERROR(1-J511/G511,"")</f>
        <v/>
      </c>
      <c r="Q511" s="627">
        <f t="shared" si="397"/>
        <v>3.4119999999999999</v>
      </c>
      <c r="R511" s="627">
        <f t="shared" si="398"/>
        <v>3.4119999999999999</v>
      </c>
      <c r="AH511" s="263"/>
      <c r="AI511" s="263"/>
      <c r="AJ511" s="2"/>
      <c r="AL511" s="267"/>
      <c r="AM511" s="268"/>
      <c r="BC511" s="804"/>
    </row>
    <row r="512" spans="1:55" ht="15" customHeight="1" x14ac:dyDescent="0.25">
      <c r="A512" s="433" t="s">
        <v>1038</v>
      </c>
      <c r="B512" s="577" t="str">
        <f t="shared" si="387"/>
        <v>District Cooling</v>
      </c>
      <c r="C512" s="3079" t="str">
        <f t="shared" si="388"/>
        <v>MWh</v>
      </c>
      <c r="D512" s="3080" t="e">
        <f>IF(C512="","",VLOOKUP(C512,ProjectEnergyTypeTable,3,FALSE))</f>
        <v>#NAME?</v>
      </c>
      <c r="E512" s="555">
        <f t="shared" si="389"/>
        <v>0</v>
      </c>
      <c r="F512" s="555">
        <f t="shared" si="401"/>
        <v>0</v>
      </c>
      <c r="G512" s="572">
        <f t="shared" si="391"/>
        <v>0</v>
      </c>
      <c r="H512" s="555">
        <f t="shared" si="392"/>
        <v>0</v>
      </c>
      <c r="I512" s="555">
        <f t="shared" si="402"/>
        <v>0</v>
      </c>
      <c r="J512" s="555">
        <f t="shared" si="394"/>
        <v>0</v>
      </c>
      <c r="K512" s="3084" t="str">
        <f t="shared" si="403"/>
        <v/>
      </c>
      <c r="L512" s="3085"/>
      <c r="M512" s="659" t="str">
        <f t="shared" si="404"/>
        <v/>
      </c>
      <c r="Q512" s="627">
        <f t="shared" si="397"/>
        <v>3.4119999999999999</v>
      </c>
      <c r="R512" s="627">
        <f t="shared" si="398"/>
        <v>3.4119999999999999</v>
      </c>
      <c r="AH512" s="263"/>
      <c r="AI512" s="263"/>
      <c r="AJ512" s="2"/>
      <c r="AL512" s="267"/>
      <c r="AM512" s="268"/>
      <c r="BC512" s="804"/>
    </row>
    <row r="513" spans="1:60" ht="15" customHeight="1" x14ac:dyDescent="0.25">
      <c r="A513" s="433" t="s">
        <v>1038</v>
      </c>
      <c r="B513" s="577" t="str">
        <f t="shared" si="387"/>
        <v>District Cooling</v>
      </c>
      <c r="C513" s="3079" t="str">
        <f t="shared" si="388"/>
        <v>MWh</v>
      </c>
      <c r="D513" s="3080" t="e">
        <f>IF(C513="","",VLOOKUP(C513,ProjectEnergyTypeTable,3,FALSE))</f>
        <v>#NAME?</v>
      </c>
      <c r="E513" s="555">
        <f t="shared" si="389"/>
        <v>0</v>
      </c>
      <c r="F513" s="555">
        <f t="shared" ref="F513" si="405">IFERROR(E513*$R513,"")</f>
        <v>0</v>
      </c>
      <c r="G513" s="572">
        <f t="shared" si="391"/>
        <v>0</v>
      </c>
      <c r="H513" s="555">
        <f t="shared" si="392"/>
        <v>0</v>
      </c>
      <c r="I513" s="555">
        <f t="shared" ref="I513" si="406">IFERROR(H513*$R513,"")</f>
        <v>0</v>
      </c>
      <c r="J513" s="555">
        <f t="shared" si="394"/>
        <v>0</v>
      </c>
      <c r="K513" s="3084" t="str">
        <f t="shared" ref="K513" si="407">IFERROR(1-H513/E513,"")</f>
        <v/>
      </c>
      <c r="L513" s="3085"/>
      <c r="M513" s="659" t="str">
        <f t="shared" ref="M513" si="408">IFERROR(1-J513/G513,"")</f>
        <v/>
      </c>
      <c r="Q513" s="627">
        <f t="shared" si="397"/>
        <v>3.4119999999999999</v>
      </c>
      <c r="R513" s="627">
        <f t="shared" si="398"/>
        <v>3.4119999999999999</v>
      </c>
      <c r="AH513" s="263"/>
      <c r="AI513" s="263"/>
      <c r="AJ513" s="2"/>
      <c r="AL513" s="267"/>
      <c r="AM513" s="268"/>
      <c r="BC513" s="804"/>
    </row>
    <row r="514" spans="1:60" ht="15" customHeight="1" x14ac:dyDescent="0.25">
      <c r="A514" s="433" t="s">
        <v>1038</v>
      </c>
      <c r="B514" s="577" t="str">
        <f t="shared" si="387"/>
        <v>District Cooling</v>
      </c>
      <c r="C514" s="3079" t="str">
        <f t="shared" si="388"/>
        <v>MWh</v>
      </c>
      <c r="D514" s="3080" t="e">
        <f>IF(C514="","",VLOOKUP(C514,ProjectEnergyTypeTable,3,FALSE))</f>
        <v>#NAME?</v>
      </c>
      <c r="E514" s="555">
        <f t="shared" si="389"/>
        <v>0</v>
      </c>
      <c r="F514" s="555">
        <f t="shared" ref="F514" si="409">IFERROR(E514*$R514,"")</f>
        <v>0</v>
      </c>
      <c r="G514" s="572">
        <f t="shared" si="391"/>
        <v>0</v>
      </c>
      <c r="H514" s="555">
        <f t="shared" si="392"/>
        <v>0</v>
      </c>
      <c r="I514" s="555">
        <f t="shared" ref="I514" si="410">IFERROR(H514*$R514,"")</f>
        <v>0</v>
      </c>
      <c r="J514" s="555">
        <f t="shared" si="394"/>
        <v>0</v>
      </c>
      <c r="K514" s="3084" t="str">
        <f t="shared" ref="K514" si="411">IFERROR(1-H514/E514,"")</f>
        <v/>
      </c>
      <c r="L514" s="3085"/>
      <c r="M514" s="659" t="str">
        <f t="shared" ref="M514" si="412">IFERROR(1-J514/G514,"")</f>
        <v/>
      </c>
      <c r="Q514" s="627">
        <f t="shared" si="397"/>
        <v>3.4119999999999999</v>
      </c>
      <c r="R514" s="627">
        <f t="shared" si="398"/>
        <v>3.4119999999999999</v>
      </c>
      <c r="AH514" s="263"/>
      <c r="AI514" s="263"/>
      <c r="AJ514" s="2"/>
      <c r="AL514" s="267"/>
      <c r="AM514" s="268"/>
      <c r="BC514" s="804"/>
    </row>
    <row r="515" spans="1:60" ht="15" customHeight="1" x14ac:dyDescent="0.25">
      <c r="A515" s="433" t="s">
        <v>1038</v>
      </c>
      <c r="B515" s="577" t="str">
        <f t="shared" si="387"/>
        <v>District Cooling</v>
      </c>
      <c r="C515" s="3079" t="str">
        <f t="shared" si="388"/>
        <v>MWh</v>
      </c>
      <c r="D515" s="3080" t="e">
        <f>IF(C515="","",VLOOKUP(C515,ProjectEnergyTypeTable,3,FALSE))</f>
        <v>#NAME?</v>
      </c>
      <c r="E515" s="555">
        <f t="shared" si="389"/>
        <v>0</v>
      </c>
      <c r="F515" s="555">
        <f t="shared" ref="F515" si="413">IFERROR(E515*$R515,"")</f>
        <v>0</v>
      </c>
      <c r="G515" s="572">
        <f t="shared" si="391"/>
        <v>0</v>
      </c>
      <c r="H515" s="555">
        <f t="shared" si="392"/>
        <v>0</v>
      </c>
      <c r="I515" s="555">
        <f t="shared" ref="I515" si="414">IFERROR(H515*$R515,"")</f>
        <v>0</v>
      </c>
      <c r="J515" s="555">
        <f t="shared" si="394"/>
        <v>0</v>
      </c>
      <c r="K515" s="3084" t="str">
        <f t="shared" ref="K515" si="415">IFERROR(1-H515/E515,"")</f>
        <v/>
      </c>
      <c r="L515" s="3085"/>
      <c r="M515" s="659" t="str">
        <f t="shared" ref="M515" si="416">IFERROR(1-J515/G515,"")</f>
        <v/>
      </c>
      <c r="Q515" s="627">
        <f t="shared" si="397"/>
        <v>3.4119999999999999</v>
      </c>
      <c r="R515" s="627">
        <f t="shared" si="398"/>
        <v>3.4119999999999999</v>
      </c>
      <c r="AH515" s="263"/>
      <c r="AI515" s="263"/>
      <c r="AJ515" s="2"/>
      <c r="AL515" s="267"/>
      <c r="AM515" s="268"/>
      <c r="BC515" s="804"/>
    </row>
    <row r="516" spans="1:60" ht="15" customHeight="1" x14ac:dyDescent="0.25">
      <c r="A516" s="433" t="s">
        <v>1038</v>
      </c>
      <c r="B516" s="577" t="str">
        <f t="shared" si="387"/>
        <v>District Cooling</v>
      </c>
      <c r="C516" s="3079" t="str">
        <f t="shared" si="388"/>
        <v>MWh</v>
      </c>
      <c r="D516" s="3080" t="e">
        <f>IF(C516="","",VLOOKUP(C516,ProjectEnergyTypeTable,3,FALSE))</f>
        <v>#NAME?</v>
      </c>
      <c r="E516" s="555">
        <f t="shared" si="389"/>
        <v>0</v>
      </c>
      <c r="F516" s="555">
        <f t="shared" ref="F516" si="417">IFERROR(E516*$R516,"")</f>
        <v>0</v>
      </c>
      <c r="G516" s="572">
        <f t="shared" si="391"/>
        <v>0</v>
      </c>
      <c r="H516" s="555">
        <f t="shared" si="392"/>
        <v>0</v>
      </c>
      <c r="I516" s="555">
        <f t="shared" ref="I516" si="418">IFERROR(H516*$R516,"")</f>
        <v>0</v>
      </c>
      <c r="J516" s="555">
        <f t="shared" si="394"/>
        <v>0</v>
      </c>
      <c r="K516" s="3084" t="str">
        <f t="shared" ref="K516" si="419">IFERROR(1-H516/E516,"")</f>
        <v/>
      </c>
      <c r="L516" s="3085"/>
      <c r="M516" s="659" t="str">
        <f t="shared" ref="M516" si="420">IFERROR(1-J516/G516,"")</f>
        <v/>
      </c>
      <c r="Q516" s="627">
        <f t="shared" si="397"/>
        <v>3.4119999999999999</v>
      </c>
      <c r="R516" s="627">
        <f t="shared" si="398"/>
        <v>3.4119999999999999</v>
      </c>
      <c r="AH516" s="263"/>
      <c r="AI516" s="263"/>
      <c r="AJ516" s="2"/>
      <c r="AL516" s="267"/>
      <c r="AM516" s="268"/>
      <c r="BC516" s="804"/>
    </row>
    <row r="517" spans="1:60" ht="15" customHeight="1" x14ac:dyDescent="0.25">
      <c r="A517" s="433" t="s">
        <v>1038</v>
      </c>
      <c r="B517" s="577" t="str">
        <f t="shared" ref="B517:B519" si="421">IFERROR(IF(ISBLANK(B29),"",B29),"")</f>
        <v>District Cooling</v>
      </c>
      <c r="C517" s="3079" t="str">
        <f t="shared" si="388"/>
        <v>MWh</v>
      </c>
      <c r="D517" s="3080" t="e">
        <f>IF(C517="","",VLOOKUP(C517,ProjectEnergyTypeTable,3,FALSE))</f>
        <v>#NAME?</v>
      </c>
      <c r="E517" s="555">
        <f t="shared" si="389"/>
        <v>0</v>
      </c>
      <c r="F517" s="555">
        <f t="shared" ref="F517:F519" si="422">IFERROR(E517*$R517,"")</f>
        <v>0</v>
      </c>
      <c r="G517" s="572">
        <f t="shared" si="391"/>
        <v>0</v>
      </c>
      <c r="H517" s="555">
        <f t="shared" si="392"/>
        <v>0</v>
      </c>
      <c r="I517" s="555">
        <f t="shared" ref="I517:I519" si="423">IFERROR(H517*$R517,"")</f>
        <v>0</v>
      </c>
      <c r="J517" s="555">
        <f t="shared" si="394"/>
        <v>0</v>
      </c>
      <c r="K517" s="3084" t="str">
        <f t="shared" ref="K517:K519" si="424">IFERROR(1-H517/E517,"")</f>
        <v/>
      </c>
      <c r="L517" s="3085"/>
      <c r="M517" s="659" t="str">
        <f t="shared" ref="M517:M519" si="425">IFERROR(1-J517/G517,"")</f>
        <v/>
      </c>
      <c r="Q517" s="627">
        <f t="shared" si="397"/>
        <v>3.4119999999999999</v>
      </c>
      <c r="R517" s="627">
        <f t="shared" si="398"/>
        <v>3.4119999999999999</v>
      </c>
      <c r="AH517" s="263"/>
      <c r="AI517" s="263"/>
      <c r="AJ517" s="2"/>
      <c r="AL517" s="267"/>
      <c r="AM517" s="268"/>
      <c r="BC517" s="804"/>
    </row>
    <row r="518" spans="1:60" ht="15" customHeight="1" x14ac:dyDescent="0.25">
      <c r="A518" s="433" t="s">
        <v>1038</v>
      </c>
      <c r="B518" s="577" t="str">
        <f t="shared" si="421"/>
        <v>District Cooling</v>
      </c>
      <c r="C518" s="3079" t="str">
        <f t="shared" si="388"/>
        <v>MWh</v>
      </c>
      <c r="D518" s="3080" t="e">
        <f>IF(C518="","",VLOOKUP(C518,ProjectEnergyTypeTable,3,FALSE))</f>
        <v>#NAME?</v>
      </c>
      <c r="E518" s="555">
        <f t="shared" si="389"/>
        <v>0</v>
      </c>
      <c r="F518" s="555">
        <f t="shared" si="422"/>
        <v>0</v>
      </c>
      <c r="G518" s="572">
        <f t="shared" si="391"/>
        <v>0</v>
      </c>
      <c r="H518" s="555">
        <f t="shared" si="392"/>
        <v>0</v>
      </c>
      <c r="I518" s="555">
        <f t="shared" si="423"/>
        <v>0</v>
      </c>
      <c r="J518" s="555">
        <f t="shared" si="394"/>
        <v>0</v>
      </c>
      <c r="K518" s="3084" t="str">
        <f t="shared" si="424"/>
        <v/>
      </c>
      <c r="L518" s="3085"/>
      <c r="M518" s="659" t="str">
        <f t="shared" si="425"/>
        <v/>
      </c>
      <c r="Q518" s="627">
        <f t="shared" si="397"/>
        <v>3.4119999999999999</v>
      </c>
      <c r="R518" s="627">
        <f t="shared" si="398"/>
        <v>3.4119999999999999</v>
      </c>
      <c r="AH518" s="263"/>
      <c r="AI518" s="263"/>
      <c r="AJ518" s="2"/>
      <c r="AL518" s="267"/>
      <c r="AM518" s="268"/>
      <c r="BC518" s="804"/>
    </row>
    <row r="519" spans="1:60" ht="15" customHeight="1" x14ac:dyDescent="0.25">
      <c r="A519" s="433" t="s">
        <v>1038</v>
      </c>
      <c r="B519" s="577" t="str">
        <f t="shared" si="421"/>
        <v>District Cooling</v>
      </c>
      <c r="C519" s="3079" t="str">
        <f t="shared" si="388"/>
        <v>MWh</v>
      </c>
      <c r="D519" s="3080" t="e">
        <f>IF(C519="","",VLOOKUP(C519,ProjectEnergyTypeTable,3,FALSE))</f>
        <v>#NAME?</v>
      </c>
      <c r="E519" s="555">
        <f t="shared" si="389"/>
        <v>0</v>
      </c>
      <c r="F519" s="555">
        <f t="shared" si="422"/>
        <v>0</v>
      </c>
      <c r="G519" s="572">
        <f t="shared" si="391"/>
        <v>0</v>
      </c>
      <c r="H519" s="555">
        <f t="shared" si="392"/>
        <v>0</v>
      </c>
      <c r="I519" s="555">
        <f t="shared" si="423"/>
        <v>0</v>
      </c>
      <c r="J519" s="555">
        <f t="shared" si="394"/>
        <v>0</v>
      </c>
      <c r="K519" s="3084" t="str">
        <f t="shared" si="424"/>
        <v/>
      </c>
      <c r="L519" s="3085"/>
      <c r="M519" s="659" t="str">
        <f t="shared" si="425"/>
        <v/>
      </c>
      <c r="Q519" s="627">
        <f t="shared" si="397"/>
        <v>3.4119999999999999</v>
      </c>
      <c r="R519" s="627">
        <f t="shared" si="398"/>
        <v>3.4119999999999999</v>
      </c>
      <c r="AH519" s="263"/>
      <c r="AI519" s="263"/>
      <c r="AJ519" s="2"/>
      <c r="AL519" s="267"/>
      <c r="AM519" s="268"/>
      <c r="BC519" s="804"/>
    </row>
    <row r="520" spans="1:60" ht="21" customHeight="1" x14ac:dyDescent="0.25">
      <c r="A520" s="433" t="s">
        <v>1038</v>
      </c>
      <c r="B520" s="3141" t="s">
        <v>122</v>
      </c>
      <c r="C520" s="3142"/>
      <c r="D520" s="3142"/>
      <c r="E520" s="547">
        <f ca="1">IFERROR(SUMPRODUCT(INDEX(PO_Enrgy_16_Table,0,MATCH(E$504,PO_Enrgy_16_Hdr,0)),INDEX(PO_Enrgy_16_Table,0,MATCH($Q$504,PO_Enrgy_16_Hdr,0))),"")</f>
        <v>0</v>
      </c>
      <c r="F520" s="527">
        <f ca="1">IFERROR(SUM(INDEX(PO_Enrgy_16_Table,0,MATCH(F$504,PO_Enrgy_16_Hdr,0))),"")</f>
        <v>0</v>
      </c>
      <c r="G520" s="529">
        <f>IFERROR(SUM(INDEX(PO_Enrgy_16_Table,0,MATCH(G$504,PO_Enrgy_16_Hdr,0))),"")</f>
        <v>0</v>
      </c>
      <c r="H520" s="547">
        <f ca="1">IFERROR(SUMPRODUCT(INDEX(PO_Enrgy_16_Table,0,MATCH(H$504,PO_Enrgy_16_Hdr,0)),INDEX(PO_Enrgy_16_Table,0,MATCH($Q$504,PO_Enrgy_16_Hdr,0))),"")</f>
        <v>0</v>
      </c>
      <c r="I520" s="527">
        <f ca="1">IFERROR(SUM(INDEX(PO_Enrgy_16_Table,0,MATCH(I$504,PO_Enrgy_16_Hdr,0))),"")</f>
        <v>0</v>
      </c>
      <c r="J520" s="529">
        <f ca="1">IFERROR(SUM(INDEX(PO_Enrgy_16_Table,0,MATCH(J$504,PO_Enrgy_16_Hdr,0))),"")</f>
        <v>0</v>
      </c>
      <c r="K520" s="3090" t="str">
        <f t="shared" ca="1" si="395"/>
        <v/>
      </c>
      <c r="L520" s="3085"/>
      <c r="M520" s="578" t="str">
        <f t="shared" ca="1" si="396"/>
        <v/>
      </c>
      <c r="AJ520" s="2"/>
      <c r="BC520" s="804"/>
    </row>
    <row r="521" spans="1:60" ht="21" customHeight="1" x14ac:dyDescent="0.25">
      <c r="A521" s="433" t="s">
        <v>1038</v>
      </c>
      <c r="B521" s="3182" t="s">
        <v>1028</v>
      </c>
      <c r="C521" s="3142"/>
      <c r="D521" s="3142"/>
      <c r="E521" s="3142"/>
      <c r="F521" s="3142"/>
      <c r="G521" s="3183"/>
      <c r="H521" s="3183"/>
      <c r="I521" s="3183"/>
      <c r="J521" s="3183"/>
      <c r="K521" s="3184"/>
      <c r="L521" s="3184"/>
      <c r="M521" s="560" t="str">
        <f ca="1">$M$520</f>
        <v/>
      </c>
      <c r="AJ521" s="2"/>
      <c r="BC521" s="804"/>
    </row>
    <row r="522" spans="1:60" ht="21" customHeight="1" x14ac:dyDescent="0.25">
      <c r="A522" s="433"/>
      <c r="B522" s="3182" t="s">
        <v>1880</v>
      </c>
      <c r="C522" s="3142"/>
      <c r="D522" s="3142"/>
      <c r="E522" s="3142"/>
      <c r="F522" s="3142"/>
      <c r="G522" s="3183"/>
      <c r="H522" s="3183"/>
      <c r="I522" s="3183"/>
      <c r="J522" s="3183"/>
      <c r="K522" s="3184"/>
      <c r="L522" s="3184"/>
      <c r="M522" s="915" t="str">
        <f ca="1">IFERROR(1-M521,"")</f>
        <v/>
      </c>
      <c r="AJ522" s="2"/>
      <c r="BC522" s="914"/>
    </row>
    <row r="523" spans="1:60" ht="33" customHeight="1" x14ac:dyDescent="0.25">
      <c r="A523" s="433" t="s">
        <v>1038</v>
      </c>
      <c r="C523" s="329"/>
      <c r="D523" s="329"/>
      <c r="E523" s="338"/>
      <c r="F523" s="251"/>
      <c r="G523" s="250"/>
      <c r="H523" s="251"/>
      <c r="I523" s="250"/>
      <c r="J523" s="298"/>
      <c r="AJ523" s="2"/>
    </row>
    <row r="524" spans="1:60" s="347" customFormat="1" ht="21.75" customHeight="1" x14ac:dyDescent="0.25">
      <c r="A524" s="433" t="s">
        <v>1038</v>
      </c>
      <c r="B524" s="196" t="s">
        <v>906</v>
      </c>
      <c r="E524" s="9"/>
      <c r="H524" s="9"/>
      <c r="I524" s="9"/>
      <c r="J524" s="9"/>
      <c r="M524" s="9"/>
      <c r="N524" s="9"/>
      <c r="O524" s="9"/>
      <c r="T524" s="42"/>
      <c r="U524" s="42"/>
      <c r="V524" s="42"/>
      <c r="W524" s="42"/>
      <c r="X524" s="42"/>
      <c r="Y524" s="42"/>
      <c r="Z524" s="42"/>
      <c r="AA524" s="42"/>
      <c r="AD524" s="42"/>
      <c r="AE524" s="42"/>
      <c r="AF524" s="42"/>
      <c r="AG524" s="42"/>
      <c r="AH524" s="42"/>
      <c r="AI524" s="42"/>
      <c r="AJ524" s="42"/>
      <c r="AK524" s="42"/>
      <c r="AL524" s="42"/>
      <c r="AM524" s="42"/>
      <c r="AN524" s="42"/>
      <c r="AO524" s="42"/>
      <c r="AP524" s="42"/>
      <c r="AQ524" s="42"/>
      <c r="AR524" s="42"/>
      <c r="AS524" s="42"/>
      <c r="AT524" s="42"/>
      <c r="AU524" s="42"/>
      <c r="AV524" s="42"/>
      <c r="AW524" s="42"/>
      <c r="AX524" s="42"/>
      <c r="AY524" s="42"/>
      <c r="AZ524" s="42"/>
      <c r="BA524" s="42"/>
      <c r="BB524" s="42"/>
      <c r="BC524" s="42"/>
      <c r="BD524" s="42"/>
      <c r="BE524" s="42"/>
      <c r="BF524" s="42"/>
      <c r="BG524" s="42"/>
      <c r="BH524" s="42"/>
    </row>
    <row r="525" spans="1:60" s="347" customFormat="1" ht="21.75" customHeight="1" x14ac:dyDescent="0.25">
      <c r="A525" s="433"/>
      <c r="B525" s="333" t="s">
        <v>1466</v>
      </c>
      <c r="E525" s="9"/>
      <c r="H525" s="9"/>
      <c r="I525" s="9"/>
      <c r="J525" s="9"/>
      <c r="M525" s="9"/>
      <c r="N525" s="9"/>
      <c r="O525" s="9"/>
      <c r="T525" s="42"/>
      <c r="U525" s="42"/>
      <c r="V525" s="42"/>
      <c r="W525" s="42"/>
      <c r="X525" s="42"/>
      <c r="Y525" s="42"/>
      <c r="Z525" s="42"/>
      <c r="AA525" s="42"/>
      <c r="AD525" s="42"/>
      <c r="AE525" s="42"/>
      <c r="AF525" s="42"/>
      <c r="AG525" s="42"/>
      <c r="AH525" s="42"/>
      <c r="AI525" s="42"/>
      <c r="AJ525" s="42"/>
      <c r="AK525" s="42"/>
      <c r="AL525" s="42"/>
      <c r="AM525" s="42"/>
      <c r="AN525" s="42"/>
      <c r="AO525" s="42"/>
      <c r="AP525" s="42"/>
      <c r="AQ525" s="42"/>
      <c r="AR525" s="42"/>
      <c r="AS525" s="42"/>
      <c r="AT525" s="42"/>
      <c r="AU525" s="42"/>
      <c r="AV525" s="42"/>
      <c r="AW525" s="42"/>
      <c r="AX525" s="42"/>
      <c r="AY525" s="42"/>
      <c r="AZ525" s="42"/>
      <c r="BA525" s="42"/>
      <c r="BB525" s="42"/>
      <c r="BC525" s="42"/>
      <c r="BD525" s="42"/>
      <c r="BE525" s="42"/>
      <c r="BF525" s="42"/>
      <c r="BG525" s="42"/>
      <c r="BH525" s="42"/>
    </row>
    <row r="526" spans="1:60" ht="33" customHeight="1" x14ac:dyDescent="0.25">
      <c r="A526" s="433" t="s">
        <v>1038</v>
      </c>
      <c r="B526" s="3100" t="s">
        <v>906</v>
      </c>
      <c r="C526" s="3100"/>
      <c r="D526" s="3100"/>
      <c r="E526" s="3100"/>
      <c r="F526" s="3100" t="s">
        <v>272</v>
      </c>
      <c r="G526" s="3185"/>
      <c r="H526" s="3185"/>
      <c r="I526" s="3100" t="s">
        <v>273</v>
      </c>
      <c r="J526" s="3185"/>
      <c r="K526" s="3185"/>
      <c r="L526" s="3185"/>
      <c r="M526" s="3185"/>
    </row>
    <row r="527" spans="1:60" ht="15" customHeight="1" x14ac:dyDescent="0.25">
      <c r="A527" s="433" t="s">
        <v>1038</v>
      </c>
      <c r="B527" s="3174" t="s">
        <v>353</v>
      </c>
      <c r="C527" s="3175"/>
      <c r="D527" s="3175"/>
      <c r="E527" s="3175"/>
      <c r="F527" s="3111"/>
      <c r="G527" s="3176"/>
      <c r="H527" s="3176"/>
      <c r="I527" s="3177"/>
      <c r="J527" s="3176"/>
      <c r="K527" s="3176"/>
      <c r="L527" s="3176"/>
      <c r="M527" s="3176"/>
      <c r="BC527" s="804"/>
    </row>
    <row r="528" spans="1:60" ht="15" customHeight="1" x14ac:dyDescent="0.25">
      <c r="A528" s="433" t="s">
        <v>1038</v>
      </c>
      <c r="B528" s="3174" t="s">
        <v>352</v>
      </c>
      <c r="C528" s="3175"/>
      <c r="D528" s="3175"/>
      <c r="E528" s="3175"/>
      <c r="F528" s="3111"/>
      <c r="G528" s="3176"/>
      <c r="H528" s="3176"/>
      <c r="I528" s="3177"/>
      <c r="J528" s="3176"/>
      <c r="K528" s="3176"/>
      <c r="L528" s="3176"/>
      <c r="M528" s="3176"/>
      <c r="BC528" s="804"/>
    </row>
    <row r="529" spans="1:55" ht="18" customHeight="1" x14ac:dyDescent="0.25">
      <c r="A529" s="433" t="s">
        <v>1038</v>
      </c>
      <c r="B529" s="3170" t="s">
        <v>122</v>
      </c>
      <c r="C529" s="3171"/>
      <c r="D529" s="3171"/>
      <c r="E529" s="3171"/>
      <c r="F529" s="3169">
        <f>IF(ISERROR(F527+F528),0,F527+F528)</f>
        <v>0</v>
      </c>
      <c r="G529" s="3120"/>
      <c r="H529" s="3120"/>
      <c r="I529" s="3169">
        <f>IF(ISERROR(I527+I528),0,I527+I528)</f>
        <v>0</v>
      </c>
      <c r="J529" s="3120"/>
      <c r="K529" s="3120"/>
      <c r="L529" s="3120"/>
      <c r="M529" s="3120"/>
      <c r="BC529" s="804"/>
    </row>
    <row r="530" spans="1:55" ht="18" customHeight="1" x14ac:dyDescent="0.25">
      <c r="A530" s="433" t="s">
        <v>1038</v>
      </c>
      <c r="B530" s="3170" t="s">
        <v>351</v>
      </c>
      <c r="C530" s="3171"/>
      <c r="D530" s="3171"/>
      <c r="E530" s="3171"/>
      <c r="F530" s="3169" t="str">
        <f>IF(ISERROR(OR(F527+F528,I527+I528)),"Enter numbers only",
     IF(OR(F529&gt;300,I529&gt;300),"No","Yes"))</f>
        <v>Yes</v>
      </c>
      <c r="G530" s="3089"/>
      <c r="H530" s="3089"/>
      <c r="I530" s="3120"/>
      <c r="J530" s="3120"/>
      <c r="K530" s="3120"/>
      <c r="L530" s="3120"/>
      <c r="M530" s="3120"/>
      <c r="BC530" s="804"/>
    </row>
    <row r="531" spans="1:55" ht="33" customHeight="1" x14ac:dyDescent="0.25">
      <c r="C531" s="3172" t="str">
        <f>IF(ISERROR(F529+I529),"",IF(OR(I529&gt;300,F529&gt;300),"Revise the model so that the unmet load hours for both the baseline and proposed case are 300 hours or less",""))</f>
        <v/>
      </c>
      <c r="D531" s="3173"/>
      <c r="E531" s="3173"/>
      <c r="F531" s="3173"/>
      <c r="G531" s="3173"/>
      <c r="H531" s="275"/>
    </row>
    <row r="532" spans="1:55" ht="30" customHeight="1" x14ac:dyDescent="0.25">
      <c r="B532" s="285" t="s">
        <v>703</v>
      </c>
    </row>
    <row r="533" spans="1:55" ht="15" customHeight="1" x14ac:dyDescent="0.25">
      <c r="B533" s="3163" t="str">
        <f>IF(MultipleBuildingsExist="No","General information","Multiple Building Details")</f>
        <v>General information</v>
      </c>
      <c r="C533" s="772" t="str">
        <f>"Total Area "&amp;IF(SI_IP_Units="IP","(sq ft)","(sq m)")</f>
        <v>Total Area (sq ft)</v>
      </c>
      <c r="D533" s="740"/>
      <c r="E533" s="740"/>
      <c r="F533" s="740"/>
      <c r="G533" s="740"/>
      <c r="H533" s="740"/>
      <c r="I533" s="740"/>
      <c r="J533" s="740"/>
      <c r="K533" s="740"/>
      <c r="L533" s="740"/>
      <c r="M533" s="741"/>
    </row>
    <row r="534" spans="1:55" x14ac:dyDescent="0.25">
      <c r="B534" s="3165"/>
      <c r="C534" s="773">
        <f ca="1">IFERROR(IF(MultipleBuildingsExist="No",
GI_BldgArea,
SUMIF(MBD_BS_Index,$H$5,OFFSET(MBD_BS_Index,0,MATCH('1 - Multiple Buildings Details'!$G$22,MBD_BS_Hdr,0)-1,1,1))+SUMIF(MBD_BS_Index,$H$5,OFFSET(MBD_BS_Index,0,MATCH('1 - Multiple Buildings Details'!$H$22,MBD_BS_Hdr,0)-1,1,1))),"")</f>
        <v>0</v>
      </c>
      <c r="D534" s="743"/>
      <c r="E534" s="743"/>
      <c r="F534" s="743"/>
      <c r="G534" s="743"/>
      <c r="H534" s="743"/>
      <c r="I534" s="743"/>
      <c r="J534" s="743"/>
      <c r="K534" s="743"/>
      <c r="L534" s="743"/>
      <c r="M534" s="744"/>
    </row>
    <row r="535" spans="1:55" ht="42" customHeight="1" x14ac:dyDescent="0.25">
      <c r="B535" s="3163" t="s">
        <v>241</v>
      </c>
      <c r="C535" s="771" t="str">
        <f>"Total Area "&amp;IF(SI_IP_Units="IP","(sq ft)","(sq m)")</f>
        <v>Total Area (sq ft)</v>
      </c>
      <c r="D535" s="737" t="s">
        <v>1486</v>
      </c>
      <c r="E535" s="737"/>
      <c r="F535" s="736" t="s">
        <v>1485</v>
      </c>
      <c r="G535" s="736" t="s">
        <v>1592</v>
      </c>
      <c r="H535" s="736" t="s">
        <v>1593</v>
      </c>
      <c r="I535" s="736" t="s">
        <v>1594</v>
      </c>
      <c r="J535" s="736" t="s">
        <v>1595</v>
      </c>
      <c r="K535" s="739"/>
      <c r="L535" s="745"/>
      <c r="M535" s="741"/>
    </row>
    <row r="536" spans="1:55" x14ac:dyDescent="0.25">
      <c r="B536" s="3165"/>
      <c r="C536" s="761">
        <f>IFERROR(TotalArea,"")</f>
        <v>0</v>
      </c>
      <c r="D536" s="729" t="str">
        <f ca="1">IFERROR(OFFSET(L_IL_SumTable,MATCH($H$5,L_IL_SumIndex,0)-1,MATCH('6b - General Lighting'!$L$107,L_IL_SumHdr,0)-1,1,1),"")</f>
        <v>Base_Power</v>
      </c>
      <c r="E536" s="730"/>
      <c r="F536" s="768" t="str">
        <f ca="1">IFERROR(OFFSET(L_IL_SumTable,MATCH($H$5,L_IL_SumIndex,0)-1,MATCH('6b - General Lighting'!$O$107,L_IL_SumHdr,0)-1,1,1),"")</f>
        <v>Design_Power</v>
      </c>
      <c r="G536" s="769">
        <f ca="1">IFERROR(OFFSET(L_ExtSum_Table,1,MATCH('6b - General Lighting'!$J$172,L_ExtSum_Hdr,0)-1,1,1),"")</f>
        <v>0</v>
      </c>
      <c r="H536" s="724">
        <f ca="1">IFERROR(OFFSET(L_ExtSum_Table,1,MATCH('6b - General Lighting'!$M$172,L_ExtSum_Hdr,0)-1,1,1),"")</f>
        <v>0</v>
      </c>
      <c r="I536" s="724" t="str">
        <f ca="1">IFERROR(OFFSET(L_LtgZone_Table,1,MATCH('6b - General Lighting'!$M$134,L_LtgZone_Hdr,0)-1,1,1)+OFFSET(L_NTSurface_Table,MATCH('6b - General Lighting'!$B$166,L_NTSurface_Index,0)-1,MATCH('6b - General Lighting'!$J$159,L_NTSurface_Hdr,0)-1,1,1),"")</f>
        <v/>
      </c>
      <c r="J536" s="770">
        <f ca="1">IFERROR(OFFSET(L_NTSurface_Table,MATCH('6b - General Lighting'!$B$166,L_NTSurface_Index,0)-1,MATCH('6b - General Lighting'!$M$159,L_NTSurface_Hdr,0)-1,1,1),"")</f>
        <v>0</v>
      </c>
      <c r="K536" s="742"/>
      <c r="L536" s="743"/>
      <c r="M536" s="744"/>
    </row>
    <row r="537" spans="1:55" ht="15" customHeight="1" x14ac:dyDescent="0.25">
      <c r="B537" s="3163" t="s">
        <v>843</v>
      </c>
      <c r="C537" s="746" t="s">
        <v>1581</v>
      </c>
      <c r="D537" s="714" t="s">
        <v>1480</v>
      </c>
      <c r="E537" s="714"/>
      <c r="F537" s="746" t="s">
        <v>1968</v>
      </c>
      <c r="G537" s="746" t="s">
        <v>1969</v>
      </c>
      <c r="H537" s="740"/>
      <c r="I537" s="740"/>
      <c r="J537" s="740"/>
      <c r="K537" s="740"/>
      <c r="L537" s="740"/>
      <c r="M537" s="741"/>
    </row>
    <row r="538" spans="1:55" x14ac:dyDescent="0.25">
      <c r="B538" s="3165"/>
      <c r="C538" s="721" t="str">
        <f ca="1">IFERROR(OFFSET('4 - Shading and Fenestration'!S:U,MATCH(CONCATENATE($H$5, " zones"),'4 - Shading and Fenestration'!S:S,0)-1,1,1,1),"")</f>
        <v/>
      </c>
      <c r="D538" s="3178" t="b">
        <f ca="1">IF(IFERROR(COUNTIFS('4 - Shading and Fenestration'!S:S,$H$5,'4 - Shading and Fenestration'!U:U,TRUE),"")&gt;0,TRUE,FALSE)</f>
        <v>0</v>
      </c>
      <c r="E538" s="3179"/>
      <c r="F538" s="721">
        <f>ROUND('4 - Shading and Fenestration'!D54,3)</f>
        <v>0</v>
      </c>
      <c r="G538" s="721" t="e">
        <f ca="1">ROUND('4 - Shading and Fenestration'!B54,3)</f>
        <v>#VALUE!</v>
      </c>
      <c r="H538" s="743"/>
      <c r="I538" s="743"/>
      <c r="J538" s="743"/>
      <c r="K538" s="743"/>
      <c r="L538" s="743"/>
      <c r="M538" s="744"/>
    </row>
    <row r="539" spans="1:55" ht="42.75" customHeight="1" x14ac:dyDescent="0.25">
      <c r="B539" s="3163" t="s">
        <v>1591</v>
      </c>
      <c r="C539" s="764" t="s">
        <v>1481</v>
      </c>
      <c r="D539" s="737" t="s">
        <v>1482</v>
      </c>
      <c r="E539" s="737"/>
      <c r="F539" s="736" t="s">
        <v>1486</v>
      </c>
      <c r="G539" s="736" t="s">
        <v>1485</v>
      </c>
      <c r="H539" s="736" t="s">
        <v>1596</v>
      </c>
      <c r="I539" s="736" t="s">
        <v>1597</v>
      </c>
      <c r="J539" s="736" t="s">
        <v>1598</v>
      </c>
      <c r="K539" s="737" t="s">
        <v>1487</v>
      </c>
      <c r="L539" s="737"/>
      <c r="M539" s="747"/>
    </row>
    <row r="540" spans="1:55" x14ac:dyDescent="0.25">
      <c r="B540" s="3164"/>
      <c r="C540" s="765">
        <f ca="1">IFERROR(MAX(OFFSET(PO_design_table,MATCH($B$243,PO_design_index,0)-2,MATCH($S$242,PO_design_hdr,0)-1,1,1)),"")</f>
        <v>0</v>
      </c>
      <c r="D540" s="717">
        <f ca="1">IFERROR(MAX(OFFSET(PO_design_table,MATCH($B$243,PO_design_index,0)-2,MATCH($T$242,PO_design_hdr,0)-1,1,1)),"")</f>
        <v>0</v>
      </c>
      <c r="E540" s="716"/>
      <c r="F540" s="713">
        <f ca="1">IFERROR(MAX(OFFSET(PO_design_table,MATCH($B$243,PO_design_index,0)-1,MATCH($G$242,PO_design_hdr,0)-1,1,1)),"")</f>
        <v>0</v>
      </c>
      <c r="G540" s="713">
        <f ca="1">IFERROR(MAX(OFFSET(PO_design_table,MATCH($B$243,PO_design_index,0)-1,MATCH($H$242,PO_design_hdr,0)-1,1,1)),"")</f>
        <v>0</v>
      </c>
      <c r="H540" s="713">
        <f ca="1">IFERROR(MAX(OFFSET(PO_design_table,MATCH($B$245,PO_design_index,0)-2,MATCH($G$242,PO_design_hdr,0)-1,1,1)),"")</f>
        <v>0</v>
      </c>
      <c r="I540" s="713">
        <f ca="1">IFERROR(MAX(OFFSET(PO_design_table,MATCH($B$245,PO_design_index,0)-2,MATCH($H$242,PO_design_hdr,0)-1,1,1)),"")</f>
        <v>0</v>
      </c>
      <c r="J540" s="713">
        <f ca="1">IFERROR(MAX(OFFSET(PO_design_table,MATCH($B$245,PO_design_index,0)-2,MATCH($S$242,PO_design_hdr,0)-1,1,1)),"")</f>
        <v>0</v>
      </c>
      <c r="K540" s="716">
        <f ca="1">IFERROR(MAX(OFFSET(PO_design_table,MATCH($B$245,PO_design_index,0)-2,MATCH($T$242,PO_design_hdr,0)-1,1,1)),"")</f>
        <v>0</v>
      </c>
      <c r="L540" s="722"/>
      <c r="M540" s="748"/>
    </row>
    <row r="541" spans="1:55" ht="26.4" x14ac:dyDescent="0.25">
      <c r="B541" s="3164"/>
      <c r="C541" s="760" t="s">
        <v>1592</v>
      </c>
      <c r="D541" s="737" t="s">
        <v>1593</v>
      </c>
      <c r="E541" s="737"/>
      <c r="F541" s="736" t="s">
        <v>1599</v>
      </c>
      <c r="G541" s="736" t="s">
        <v>1600</v>
      </c>
      <c r="H541" s="736" t="s">
        <v>1601</v>
      </c>
      <c r="I541" s="736" t="s">
        <v>1602</v>
      </c>
      <c r="J541" s="736" t="s">
        <v>1603</v>
      </c>
      <c r="K541" s="737" t="s">
        <v>1604</v>
      </c>
      <c r="L541" s="737"/>
      <c r="M541" s="736" t="s">
        <v>1499</v>
      </c>
    </row>
    <row r="542" spans="1:55" x14ac:dyDescent="0.25">
      <c r="B542" s="3164"/>
      <c r="C542" s="761">
        <f ca="1">IFERROR(MAX(OFFSET(PO_design_table,MATCH($B$245,PO_design_index,0)-1,MATCH($G$242,PO_design_hdr,0)-1,1,1)),"")</f>
        <v>0</v>
      </c>
      <c r="D542" s="716">
        <f ca="1">IFERROR(MAX(OFFSET(PO_design_table,MATCH($B$245,PO_design_index,0)-1,MATCH($H$242,PO_design_hdr,0)-1,1,1)),"")</f>
        <v>0</v>
      </c>
      <c r="E542" s="716"/>
      <c r="F542" s="713" t="str">
        <f ca="1">IFERROR((OFFSET(PO_design_table,MATCH($B$261,PO_design_index,0)-2,MATCH($G$242,PO_design_hdr,0)-1,1,1)*OFFSET(PO_design_table,MATCH($B$261,PO_design_index,0)-2,MATCH($Q$242,PO_design_hdr,0)-1,1,1))/OFFSET(PO_ModelSubtotal,0,4,1,1),"")</f>
        <v/>
      </c>
      <c r="G542" s="713" t="str">
        <f ca="1">IFERROR((OFFSET(PO_design_table,MATCH($B$261,PO_design_index,0)-2,MATCH($H$242,PO_design_hdr,0)-1,1,1)*OFFSET(PO_design_table,MATCH($B$261,PO_design_index,0)-2,MATCH($Q$242,PO_design_hdr,0)-1,1,1))/OFFSET(PO_ModelSubtotal,0,7,1,1),"")</f>
        <v/>
      </c>
      <c r="H542" s="713"/>
      <c r="I542" s="713" t="str">
        <f ca="1">IFERROR((OFFSET(PO_design_table,MATCH($B$259,PO_design_index,0)-2,MATCH($G$242,PO_design_hdr,0)-1,1,1)*OFFSET(PO_design_table,MATCH($B$259,PO_design_index,0)-2,MATCH($Q$242,PO_design_hdr,0)-1,1,1))/OFFSET(PO_ModelSubtotal,0,4,1,1),"")</f>
        <v/>
      </c>
      <c r="J542" s="713" t="str">
        <f ca="1">IFERROR((OFFSET(PO_design_table,MATCH($B$259,PO_design_index,0)-2,MATCH($H$242,PO_design_hdr,0)-1,1,1)*OFFSET(PO_design_table,MATCH($B$259,PO_design_index,0)-2,MATCH($Q$242,PO_design_hdr,0)-1,1,1))/OFFSET(PO_ModelSubtotal,0,7,1,1),"")</f>
        <v/>
      </c>
      <c r="K542" s="716">
        <f ca="1">IFERROR(MAX(OFFSET(PO_design_table,MATCH($B$251,PO_design_index,0)-2,MATCH($G$242,PO_design_hdr,0)-1,1,1)),"")</f>
        <v>0</v>
      </c>
      <c r="L542" s="716"/>
      <c r="M542" s="718">
        <f ca="1">IFERROR(MAX(OFFSET(PO_design_table,MATCH($B$255,PO_design_index,0)-2,MATCH($S$242,PO_design_hdr,0)-1,1,1)),"")</f>
        <v>0</v>
      </c>
    </row>
    <row r="543" spans="1:55" ht="26.4" x14ac:dyDescent="0.25">
      <c r="B543" s="3164"/>
      <c r="C543" s="760" t="s">
        <v>1500</v>
      </c>
      <c r="D543" s="737" t="s">
        <v>1501</v>
      </c>
      <c r="E543" s="737"/>
      <c r="F543" s="736" t="s">
        <v>1502</v>
      </c>
      <c r="G543" s="736" t="s">
        <v>1505</v>
      </c>
      <c r="H543" s="736" t="s">
        <v>1605</v>
      </c>
      <c r="I543" s="736" t="s">
        <v>1606</v>
      </c>
      <c r="J543" s="736" t="s">
        <v>1607</v>
      </c>
      <c r="K543" s="737" t="s">
        <v>1608</v>
      </c>
      <c r="L543" s="737"/>
      <c r="M543" s="736" t="s">
        <v>1609</v>
      </c>
    </row>
    <row r="544" spans="1:55" x14ac:dyDescent="0.25">
      <c r="B544" s="3165"/>
      <c r="C544" s="761">
        <f ca="1">IFERROR(IFERROR(MAX(OFFSET(PO_design_table,MATCH($B$255,PO_design_index,0)-2,MATCH($T$242,PO_design_hdr,0)-1,1,1)),""),"")</f>
        <v>0</v>
      </c>
      <c r="D544" s="716">
        <f ca="1">IFERROR(IFERROR(MAX(OFFSET(PO_design_table,MATCH($B$255,PO_design_index,0)-1,MATCH($G$242,PO_design_hdr,0)-1,1,1)),""),"")</f>
        <v>0</v>
      </c>
      <c r="E544" s="716"/>
      <c r="F544" s="724">
        <f ca="1">IFERROR(IFERROR(MAX(OFFSET(PO_design_table,MATCH($B$255,PO_design_index,0)-1,MATCH($H$242,PO_design_hdr,0)-1,1,1)),""),"")</f>
        <v>0</v>
      </c>
      <c r="G544" s="724" t="str">
        <f ca="1">IFERROR(MAX(IFERROR(OFFSET(PO_renewable_table,MATCH("Photovoltaic system",PO_renewable_Index,0)-2,MATCH($S$44,PO_renewable_hdr,0)-1,1,1),0),
IFERROR(OFFSET(PO_renewable_table,MATCH("Solar thermal system",PO_renewable_Index,0)-2,MATCH($S$44,PO_renewable_hdr,0)-1,1,1),0)),"")</f>
        <v/>
      </c>
      <c r="H544" s="724"/>
      <c r="I544" s="724" t="str">
        <f ca="1">IFERROR(OFFSET(PO_Enrgy_8_Table,MATCH("Electricity",PO_Enrgy_8_Index,0)-2,MATCH($H$316,PO_Enrgy_8_Hdr,0)-1,1,1),"")</f>
        <v/>
      </c>
      <c r="J544" s="724" t="str">
        <f ca="1">IFERROR(OFFSET(PO_Enrgy_8_Table,MATCH("Natural Gas",PO_Enrgy_8_Index,0)-2,MATCH($H$316,PO_Enrgy_8_Hdr,0)-1,1,1),"")</f>
        <v/>
      </c>
      <c r="K544" s="725" t="str">
        <f>IFERROR(GetPerformanceOutputRangeSums("PO_QA_BaseExtLtgDem"),"")</f>
        <v>Error</v>
      </c>
      <c r="L544" s="725"/>
      <c r="M544" s="726" t="str">
        <f>IFERROR(GetPerformanceOutputRangeSums("PO_QA_DesignExtLtgDem"),"")</f>
        <v>Error</v>
      </c>
    </row>
    <row r="545" spans="2:18" ht="15" customHeight="1" x14ac:dyDescent="0.25">
      <c r="B545" s="3163" t="s">
        <v>239</v>
      </c>
      <c r="C545" s="766" t="s">
        <v>1492</v>
      </c>
      <c r="D545" s="719" t="s">
        <v>1493</v>
      </c>
      <c r="E545" s="759"/>
      <c r="F545" s="749"/>
      <c r="G545" s="750"/>
      <c r="H545" s="750"/>
      <c r="I545" s="750"/>
      <c r="J545" s="750"/>
      <c r="K545" s="750"/>
      <c r="L545" s="750"/>
      <c r="M545" s="751"/>
    </row>
    <row r="546" spans="2:18" x14ac:dyDescent="0.25">
      <c r="B546" s="3165"/>
      <c r="C546" s="958" t="e">
        <f ca="1">isbasehvac(2)+isbasehvac(3)+isbasehvac(4)+isbasehvac(6)+isbasehvac(9)+isbasehvac(10)</f>
        <v>#NAME?</v>
      </c>
      <c r="D546" s="3180" t="e">
        <f ca="1">isbasehvac(1)+isbasehvac(5)+isbasehvac(7)+isbasehvac(8)+isbasehvac(11)+isbasehvac(12)+isbasehvac(13)</f>
        <v>#NAME?</v>
      </c>
      <c r="E546" s="3181"/>
      <c r="F546" s="752"/>
      <c r="G546" s="753"/>
      <c r="H546" s="753"/>
      <c r="I546" s="753"/>
      <c r="J546" s="753"/>
      <c r="K546" s="753"/>
      <c r="L546" s="753"/>
      <c r="M546" s="754"/>
    </row>
    <row r="547" spans="2:18" ht="31.5" customHeight="1" x14ac:dyDescent="0.25">
      <c r="B547" s="3163" t="s">
        <v>851</v>
      </c>
      <c r="C547" s="760" t="s">
        <v>1497</v>
      </c>
      <c r="D547" s="737" t="s">
        <v>1498</v>
      </c>
      <c r="E547" s="737"/>
      <c r="F547" s="738" t="s">
        <v>1495</v>
      </c>
      <c r="G547" s="738" t="s">
        <v>1496</v>
      </c>
      <c r="H547" s="736" t="s">
        <v>1610</v>
      </c>
      <c r="I547" s="736" t="s">
        <v>1611</v>
      </c>
      <c r="J547" s="736" t="s">
        <v>1612</v>
      </c>
      <c r="K547" s="737" t="s">
        <v>1613</v>
      </c>
      <c r="L547" s="737"/>
      <c r="M547" s="747"/>
    </row>
    <row r="548" spans="2:18" x14ac:dyDescent="0.25">
      <c r="B548" s="3164"/>
      <c r="C548" s="761">
        <f>IFERROR(SUMIFS(AHVAC_Base_FanFlow,AHVAC_Base_ID,$H$5),"")</f>
        <v>0</v>
      </c>
      <c r="D548" s="716">
        <f>IFERROR(SUMIFS(AHVAC_Design_FanFlow,AHVAC_Design_ID,$H$5),"")</f>
        <v>0</v>
      </c>
      <c r="E548" s="716"/>
      <c r="F548" s="727">
        <f>IFERROR(SUMIFS(AHVAC_Base_FanPower,AHVAC_Base_ID,$H$5),"")</f>
        <v>0</v>
      </c>
      <c r="G548" s="727">
        <f>IFERROR(SUMIFS(AHVAC_Design_FanPower,AHVAC_Design_ID,$H$5),"")</f>
        <v>0</v>
      </c>
      <c r="H548" s="724">
        <f>IFERROR(SUMIFS(AHVAC_Base_CoolingCap,AHVAC_Base_ID,$H$5),"")</f>
        <v>0</v>
      </c>
      <c r="I548" s="724">
        <f>IFERROR(SUMIFS(AHVAC_Design_CoolingCap,AHVAC_Design_ID,$H$5),"")</f>
        <v>0</v>
      </c>
      <c r="J548" s="724">
        <f>IFERROR(SUMIFS(AHVAC_Base_HeatingCap,AHVAC_Base_ID,$H$5),"")</f>
        <v>0</v>
      </c>
      <c r="K548" s="725">
        <f>IFERROR(SUMIFS(AHVAC_Design_HeatingCap,AHVAC_Design_ID,$H$5),"")</f>
        <v>0</v>
      </c>
      <c r="L548" s="728"/>
      <c r="M548" s="748"/>
    </row>
    <row r="549" spans="2:18" x14ac:dyDescent="0.25">
      <c r="B549" s="3164"/>
      <c r="C549" s="762" t="s">
        <v>1503</v>
      </c>
      <c r="D549" s="715" t="s">
        <v>1504</v>
      </c>
      <c r="E549" s="759"/>
      <c r="F549" s="755"/>
      <c r="G549" s="756"/>
      <c r="H549" s="750"/>
      <c r="I549" s="750"/>
      <c r="J549" s="750"/>
      <c r="K549" s="750"/>
      <c r="L549" s="750"/>
      <c r="M549" s="751"/>
    </row>
    <row r="550" spans="2:18" x14ac:dyDescent="0.25">
      <c r="B550" s="3165"/>
      <c r="C550" s="767">
        <f>IFERROR(SUMIFS(AHVAC_Base_OAFlow,AHVAC_Base_ID,$H$5),"")</f>
        <v>0</v>
      </c>
      <c r="D550" s="720">
        <f>IFERROR(SUMIFS(AHVAC_Design_OAFlow,AHVAC_Design_ID,$H$5),"")</f>
        <v>0</v>
      </c>
      <c r="E550" s="723"/>
      <c r="F550" s="757"/>
      <c r="G550" s="758"/>
      <c r="H550" s="753"/>
      <c r="I550" s="753"/>
      <c r="J550" s="753"/>
      <c r="K550" s="753"/>
      <c r="L550" s="753"/>
      <c r="M550" s="754"/>
    </row>
    <row r="551" spans="2:18" ht="30" customHeight="1" x14ac:dyDescent="0.25">
      <c r="C551" s="602"/>
      <c r="D551" s="603"/>
      <c r="E551" s="603"/>
    </row>
    <row r="552" spans="2:18" ht="23.25" customHeight="1" x14ac:dyDescent="0.25">
      <c r="B552" s="3166" t="s">
        <v>349</v>
      </c>
      <c r="C552" s="3167"/>
      <c r="D552" s="3167"/>
      <c r="E552" s="3167"/>
      <c r="F552" s="3167"/>
      <c r="G552" s="3167"/>
      <c r="H552" s="3167"/>
      <c r="I552" s="3167" t="s">
        <v>1507</v>
      </c>
      <c r="J552" s="3167"/>
      <c r="K552" s="3167"/>
      <c r="L552" s="3167"/>
      <c r="M552" s="3168"/>
      <c r="Q552" s="627" t="s">
        <v>852</v>
      </c>
      <c r="R552" s="627" t="s">
        <v>1478</v>
      </c>
    </row>
    <row r="553" spans="2:18" ht="25.5" customHeight="1" x14ac:dyDescent="0.25">
      <c r="B553" s="3152" t="str">
        <f>"The total building area reported in the "&amp;IF(MultipleBuildingsExist="No","General Information", "Multiple Building Details")&amp; " tab differs from the total building area reported in the Lighting tab (Interior Lighting section) by more than 10%. Please check for consistency and verify that the building areas reported are accurate."</f>
        <v>The total building area reported in the General Information tab differs from the total building area reported in the Lighting tab (Interior Lighting section) by more than 10%. Please check for consistency and verify that the building areas reported are accurate.</v>
      </c>
      <c r="C553" s="3153"/>
      <c r="D553" s="3153"/>
      <c r="E553" s="3153"/>
      <c r="F553" s="3153"/>
      <c r="G553" s="3153"/>
      <c r="H553" s="3153"/>
      <c r="I553" s="3156"/>
      <c r="J553" s="3156"/>
      <c r="K553" s="3156"/>
      <c r="L553" s="3156"/>
      <c r="M553" s="3157"/>
      <c r="R553" s="627" t="b">
        <f ca="1">IFERROR(IF(ABS(C534-C536)/MIN(C534,C536)&gt;0.1,TRUE,FALSE),TRUE)</f>
        <v>1</v>
      </c>
    </row>
    <row r="554" spans="2:18" ht="25.5" customHeight="1" x14ac:dyDescent="0.25">
      <c r="B554" s="3152" t="s">
        <v>1903</v>
      </c>
      <c r="C554" s="3153"/>
      <c r="D554" s="3153"/>
      <c r="E554" s="3153"/>
      <c r="F554" s="3153"/>
      <c r="G554" s="3153"/>
      <c r="H554" s="3153"/>
      <c r="I554" s="3154"/>
      <c r="J554" s="3154"/>
      <c r="K554" s="3154"/>
      <c r="L554" s="3154"/>
      <c r="M554" s="3155"/>
      <c r="R554" s="627" t="b">
        <f ca="1">IFERROR(IF(F538=G538,FALSE,TRUE),FALSE)</f>
        <v>0</v>
      </c>
    </row>
    <row r="555" spans="2:18" ht="25.5" customHeight="1" x14ac:dyDescent="0.25">
      <c r="B555" s="3152" t="s">
        <v>1051</v>
      </c>
      <c r="C555" s="3153"/>
      <c r="D555" s="3153"/>
      <c r="E555" s="3153"/>
      <c r="F555" s="3153"/>
      <c r="G555" s="3153"/>
      <c r="H555" s="3153"/>
      <c r="I555" s="3154"/>
      <c r="J555" s="3154"/>
      <c r="K555" s="3154"/>
      <c r="L555" s="3154"/>
      <c r="M555" s="3155"/>
      <c r="R555" s="627" t="b">
        <f ca="1">IFERROR(IF(D538=TRUE,TRUE,FALSE),TRUE)</f>
        <v>0</v>
      </c>
    </row>
    <row r="556" spans="2:18" ht="38.25" customHeight="1" x14ac:dyDescent="0.25">
      <c r="B556" s="3152" t="s">
        <v>1052</v>
      </c>
      <c r="C556" s="3153"/>
      <c r="D556" s="3153"/>
      <c r="E556" s="3153"/>
      <c r="F556" s="3153"/>
      <c r="G556" s="3153"/>
      <c r="H556" s="3153"/>
      <c r="I556" s="3154"/>
      <c r="J556" s="3154"/>
      <c r="K556" s="3154"/>
      <c r="L556" s="3154"/>
      <c r="M556" s="3155"/>
      <c r="R556" s="627" t="b">
        <f ca="1">IFERROR(IF(OR(C540&gt;4000,D540&gt;4000),TRUE,FALSE),TRUE)</f>
        <v>0</v>
      </c>
    </row>
    <row r="557" spans="2:18" ht="25.5" customHeight="1" x14ac:dyDescent="0.25">
      <c r="B557" s="3152" t="s">
        <v>1053</v>
      </c>
      <c r="C557" s="3153"/>
      <c r="D557" s="3153"/>
      <c r="E557" s="3153"/>
      <c r="F557" s="3153"/>
      <c r="G557" s="3153"/>
      <c r="H557" s="3153"/>
      <c r="I557" s="3156"/>
      <c r="J557" s="3156"/>
      <c r="K557" s="3156"/>
      <c r="L557" s="3156"/>
      <c r="M557" s="3157"/>
      <c r="R557" s="627" t="b">
        <f ca="1">IFERROR(IF(OR(ABS(C540-D540)/MIN(C540,D540)&gt;0.1,MIN(C540,D540)=0),TRUE,FALSE),TRUE)</f>
        <v>1</v>
      </c>
    </row>
    <row r="558" spans="2:18" ht="38.25" customHeight="1" x14ac:dyDescent="0.25">
      <c r="B558" s="3152" t="s">
        <v>1054</v>
      </c>
      <c r="C558" s="3153"/>
      <c r="D558" s="3153"/>
      <c r="E558" s="3153"/>
      <c r="F558" s="3153"/>
      <c r="G558" s="3153"/>
      <c r="H558" s="3153"/>
      <c r="I558" s="3156"/>
      <c r="J558" s="3156"/>
      <c r="K558" s="3156"/>
      <c r="L558" s="3156"/>
      <c r="M558" s="3157"/>
      <c r="R558" s="627" t="b">
        <f ca="1">IFERROR(IF(OR(((F540-D536)/MIN(F540,D536))&gt;0.05,((G540-F536)/MIN(G540,F536))&gt;0.05),TRUE,FALSE),TRUE)</f>
        <v>1</v>
      </c>
    </row>
    <row r="559" spans="2:18" ht="76.5" customHeight="1" x14ac:dyDescent="0.25">
      <c r="B559" s="3152" t="s">
        <v>1896</v>
      </c>
      <c r="C559" s="3153"/>
      <c r="D559" s="3153"/>
      <c r="E559" s="3153"/>
      <c r="F559" s="3153"/>
      <c r="G559" s="3153"/>
      <c r="H559" s="3153"/>
      <c r="I559" s="3156"/>
      <c r="J559" s="3156"/>
      <c r="K559" s="3156"/>
      <c r="L559" s="3156"/>
      <c r="M559" s="3157"/>
      <c r="R559" s="627" t="b">
        <f ca="1">IFERROR(IF(OR(H540=0,I540=0),TRUE,FALSE),TRUE)</f>
        <v>1</v>
      </c>
    </row>
    <row r="560" spans="2:18" ht="38.25" customHeight="1" x14ac:dyDescent="0.25">
      <c r="B560" s="3152" t="s">
        <v>1846</v>
      </c>
      <c r="C560" s="3153"/>
      <c r="D560" s="3153"/>
      <c r="E560" s="3153"/>
      <c r="F560" s="3153"/>
      <c r="G560" s="3153"/>
      <c r="H560" s="3153"/>
      <c r="I560" s="3154"/>
      <c r="J560" s="3154"/>
      <c r="K560" s="3154"/>
      <c r="L560" s="3154"/>
      <c r="M560" s="3155"/>
      <c r="R560" s="627" t="b">
        <f ca="1">IFERROR(IF(OR(J540&gt;5110,K540&gt;5110),TRUE,FALSE),TRUE)</f>
        <v>0</v>
      </c>
    </row>
    <row r="561" spans="2:18" ht="38.25" customHeight="1" x14ac:dyDescent="0.25">
      <c r="B561" s="3152" t="s">
        <v>1057</v>
      </c>
      <c r="C561" s="3153"/>
      <c r="D561" s="3153"/>
      <c r="E561" s="3153"/>
      <c r="F561" s="3153"/>
      <c r="G561" s="3153"/>
      <c r="H561" s="3153"/>
      <c r="I561" s="3156"/>
      <c r="J561" s="3156"/>
      <c r="K561" s="3156"/>
      <c r="L561" s="3156"/>
      <c r="M561" s="3157"/>
      <c r="R561" s="627" t="b">
        <f ca="1">IFERROR(IF(ABS(J540-K540)/MIN(J540,K540)&gt;0.05,TRUE,FALSE),TRUE)</f>
        <v>1</v>
      </c>
    </row>
    <row r="562" spans="2:18" ht="76.5" customHeight="1" x14ac:dyDescent="0.25">
      <c r="B562" s="3152" t="s">
        <v>1897</v>
      </c>
      <c r="C562" s="3153"/>
      <c r="D562" s="3153"/>
      <c r="E562" s="3153"/>
      <c r="F562" s="3153"/>
      <c r="G562" s="3153"/>
      <c r="H562" s="3153"/>
      <c r="I562" s="3156"/>
      <c r="J562" s="3156"/>
      <c r="K562" s="3156"/>
      <c r="L562" s="3156"/>
      <c r="M562" s="3157"/>
      <c r="R562" s="627" t="b">
        <f ca="1">IFERROR(IF(ABS(H540-I540)/MIN(H540,I540)&lt;0.01,TRUE,FALSE),TRUE)</f>
        <v>1</v>
      </c>
    </row>
    <row r="563" spans="2:18" ht="51" customHeight="1" x14ac:dyDescent="0.25">
      <c r="B563" s="3152" t="s">
        <v>1060</v>
      </c>
      <c r="C563" s="3153"/>
      <c r="D563" s="3153"/>
      <c r="E563" s="3153"/>
      <c r="F563" s="3153"/>
      <c r="G563" s="3153"/>
      <c r="H563" s="3153"/>
      <c r="I563" s="3156"/>
      <c r="J563" s="3156"/>
      <c r="K563" s="3156"/>
      <c r="L563" s="3156"/>
      <c r="M563" s="3157"/>
      <c r="R563" s="627" t="b">
        <f ca="1">IFERROR(IF(OR(F542&gt;0.4,G542&gt;0.4,F542&lt;0.1,G542&lt;0.1),TRUE,FALSE),TRUE)</f>
        <v>1</v>
      </c>
    </row>
    <row r="564" spans="2:18" ht="38.25" customHeight="1" x14ac:dyDescent="0.25">
      <c r="B564" s="3152" t="s">
        <v>1061</v>
      </c>
      <c r="C564" s="3153"/>
      <c r="D564" s="3153"/>
      <c r="E564" s="3153"/>
      <c r="F564" s="3153"/>
      <c r="G564" s="3153"/>
      <c r="H564" s="3153"/>
      <c r="I564" s="3154"/>
      <c r="J564" s="3154"/>
      <c r="K564" s="3154"/>
      <c r="L564" s="3154"/>
      <c r="M564" s="3155"/>
      <c r="R564" s="627" t="b">
        <f ca="1">IFERROR(IF(COUNTIFS(INDEX(PO_design_table,,MATCH($D$242,PO_design_hdr,0)),"x",INDEX(PO_design_table,,MATCH($I$242,PO_design_hdr,0)),"&gt;0.03")+COUNTIFS(INDEX(PO_design_table,,MATCH($D$242,PO_design_hdr,0)),"x",INDEX(PO_design_table,,MATCH($I$242,PO_design_hdr,0)),"&lt;-0.03")&gt;0,TRUE,FALSE),TRUE)</f>
        <v>0</v>
      </c>
    </row>
    <row r="565" spans="2:18" ht="63.75" customHeight="1" x14ac:dyDescent="0.25">
      <c r="B565" s="3152" t="s">
        <v>1898</v>
      </c>
      <c r="C565" s="3153"/>
      <c r="D565" s="3153"/>
      <c r="E565" s="3153"/>
      <c r="F565" s="3153"/>
      <c r="G565" s="3153"/>
      <c r="H565" s="3153"/>
      <c r="I565" s="3156"/>
      <c r="J565" s="3156"/>
      <c r="K565" s="3156"/>
      <c r="L565" s="3156"/>
      <c r="M565" s="3157"/>
      <c r="R565" s="627" t="b">
        <f ca="1">IFERROR(IF(OR(I542&gt;0.15,J542&gt;0.15),TRUE,FALSE),TRUE)</f>
        <v>1</v>
      </c>
    </row>
    <row r="566" spans="2:18" ht="25.5" customHeight="1" x14ac:dyDescent="0.25">
      <c r="B566" s="3152" t="s">
        <v>1494</v>
      </c>
      <c r="C566" s="3153"/>
      <c r="D566" s="3153"/>
      <c r="E566" s="3153"/>
      <c r="F566" s="3153"/>
      <c r="G566" s="3153"/>
      <c r="H566" s="3153"/>
      <c r="I566" s="3154"/>
      <c r="J566" s="3154"/>
      <c r="K566" s="3154"/>
      <c r="L566" s="3154"/>
      <c r="M566" s="3155"/>
      <c r="R566" s="627" t="b">
        <f ca="1">IFERROR(IF(AND(C546&gt;0,D546&lt;1),TRUE,FALSE),TRUE)</f>
        <v>1</v>
      </c>
    </row>
    <row r="567" spans="2:18" ht="51" customHeight="1" x14ac:dyDescent="0.25">
      <c r="B567" s="3152" t="s">
        <v>1847</v>
      </c>
      <c r="C567" s="3153"/>
      <c r="D567" s="3153"/>
      <c r="E567" s="3153"/>
      <c r="F567" s="3153"/>
      <c r="G567" s="3153"/>
      <c r="H567" s="3153"/>
      <c r="I567" s="3156"/>
      <c r="J567" s="3156"/>
      <c r="K567" s="3156"/>
      <c r="L567" s="3156"/>
      <c r="M567" s="3157"/>
      <c r="R567" s="627" t="b">
        <f>IFERROR(IF(ABS(C548-D548)/MIN(C548,D548),TRUE,FALSE),TRUE)</f>
        <v>1</v>
      </c>
    </row>
    <row r="568" spans="2:18" ht="38.25" customHeight="1" x14ac:dyDescent="0.25">
      <c r="B568" s="3152" t="s">
        <v>1063</v>
      </c>
      <c r="C568" s="3153"/>
      <c r="D568" s="3153"/>
      <c r="E568" s="3153"/>
      <c r="F568" s="3153"/>
      <c r="G568" s="3153"/>
      <c r="H568" s="3153"/>
      <c r="I568" s="3154"/>
      <c r="J568" s="3154"/>
      <c r="K568" s="3154"/>
      <c r="L568" s="3154"/>
      <c r="M568" s="3155"/>
      <c r="R568" s="627" t="b">
        <f ca="1">IFERROR(IF(OR(M542&gt;4000,C544&gt;4000),TRUE,FALSE),TRUE)</f>
        <v>0</v>
      </c>
    </row>
    <row r="569" spans="2:18" ht="38.25" customHeight="1" x14ac:dyDescent="0.25">
      <c r="B569" s="3152" t="s">
        <v>1064</v>
      </c>
      <c r="C569" s="3153"/>
      <c r="D569" s="3153"/>
      <c r="E569" s="3153"/>
      <c r="F569" s="3153"/>
      <c r="G569" s="3153"/>
      <c r="H569" s="3153"/>
      <c r="I569" s="3156"/>
      <c r="J569" s="3156"/>
      <c r="K569" s="3156"/>
      <c r="L569" s="3156"/>
      <c r="M569" s="3157"/>
      <c r="R569" s="627" t="b">
        <f ca="1">IFERROR(IF(ABS(M542-C544)/MIN(M542,C544)&gt;0.25,TRUE,FALSE),TRUE)</f>
        <v>1</v>
      </c>
    </row>
    <row r="570" spans="2:18" ht="38.25" customHeight="1" x14ac:dyDescent="0.25">
      <c r="B570" s="3152" t="s">
        <v>1065</v>
      </c>
      <c r="C570" s="3153"/>
      <c r="D570" s="3153"/>
      <c r="E570" s="3153"/>
      <c r="F570" s="3153"/>
      <c r="G570" s="3153"/>
      <c r="H570" s="3153"/>
      <c r="I570" s="3156"/>
      <c r="J570" s="3156"/>
      <c r="K570" s="3156"/>
      <c r="L570" s="3156"/>
      <c r="M570" s="3157"/>
      <c r="R570" s="627" t="b">
        <f ca="1">IFERROR(IF(OR(((D544-F548)/MIN(D544,F548))&gt;0.05,((F544-G548)/MIN(F544,G548))&gt;0.05),TRUE,FALSE),TRUE)</f>
        <v>1</v>
      </c>
    </row>
    <row r="571" spans="2:18" ht="38.25" customHeight="1" x14ac:dyDescent="0.25">
      <c r="B571" s="3152" t="s">
        <v>1066</v>
      </c>
      <c r="C571" s="3153"/>
      <c r="D571" s="3153"/>
      <c r="E571" s="3153"/>
      <c r="F571" s="3153"/>
      <c r="G571" s="3153"/>
      <c r="H571" s="3153"/>
      <c r="I571" s="3156"/>
      <c r="J571" s="3156"/>
      <c r="K571" s="3156"/>
      <c r="L571" s="3156"/>
      <c r="M571" s="3157"/>
      <c r="R571" s="627" t="b">
        <f ca="1">IFERROR(IF(OR(1-(D544/F548)&gt;0.6,1-(F544/G548)&gt;0.6),TRUE,FALSE),TRUE)</f>
        <v>1</v>
      </c>
    </row>
    <row r="572" spans="2:18" ht="76.5" customHeight="1" x14ac:dyDescent="0.25">
      <c r="B572" s="3152" t="s">
        <v>1899</v>
      </c>
      <c r="C572" s="3153"/>
      <c r="D572" s="3153"/>
      <c r="E572" s="3153"/>
      <c r="F572" s="3153"/>
      <c r="G572" s="3153"/>
      <c r="H572" s="3153"/>
      <c r="I572" s="3156"/>
      <c r="J572" s="3156"/>
      <c r="K572" s="3156"/>
      <c r="L572" s="3156"/>
      <c r="M572" s="3157"/>
      <c r="N572" s="246"/>
      <c r="R572" s="627" t="b">
        <f>IFERROR(IF(OR(ABS(H548-I548)/MIN(H548,I548)&gt;0.35,ABS(J548-K548)/MIN(J548,K548)&gt;0.35),TRUE,FALSE),TRUE)</f>
        <v>1</v>
      </c>
    </row>
    <row r="573" spans="2:18" ht="76.5" customHeight="1" x14ac:dyDescent="0.25">
      <c r="B573" s="3152" t="s">
        <v>1848</v>
      </c>
      <c r="C573" s="3153"/>
      <c r="D573" s="3153"/>
      <c r="E573" s="3153"/>
      <c r="F573" s="3153"/>
      <c r="G573" s="3153"/>
      <c r="H573" s="3153"/>
      <c r="I573" s="3154"/>
      <c r="J573" s="3154"/>
      <c r="K573" s="3154"/>
      <c r="L573" s="3154"/>
      <c r="M573" s="3155"/>
      <c r="R573" s="627" t="b">
        <f>IFERROR(IF(C550&gt;D550,TRUE,FALSE),TRUE)</f>
        <v>0</v>
      </c>
    </row>
    <row r="574" spans="2:18" ht="51" customHeight="1" x14ac:dyDescent="0.25">
      <c r="B574" s="3152" t="s">
        <v>1067</v>
      </c>
      <c r="C574" s="3153"/>
      <c r="D574" s="3153"/>
      <c r="E574" s="3153"/>
      <c r="F574" s="3153"/>
      <c r="G574" s="3153"/>
      <c r="H574" s="3153"/>
      <c r="I574" s="3156"/>
      <c r="J574" s="3156"/>
      <c r="K574" s="3156"/>
      <c r="L574" s="3156"/>
      <c r="M574" s="3157"/>
      <c r="R574" s="627" t="b">
        <f ca="1">IFERROR(IF(G544&gt;1500,TRUE,FALSE),TRUE)</f>
        <v>1</v>
      </c>
    </row>
    <row r="575" spans="2:18" ht="51" customHeight="1" x14ac:dyDescent="0.25">
      <c r="B575" s="3152" t="s">
        <v>1068</v>
      </c>
      <c r="C575" s="3153"/>
      <c r="D575" s="3153"/>
      <c r="E575" s="3153"/>
      <c r="F575" s="3153"/>
      <c r="G575" s="3153"/>
      <c r="H575" s="3153"/>
      <c r="I575" s="3154"/>
      <c r="J575" s="3154"/>
      <c r="K575" s="3154"/>
      <c r="L575" s="3154"/>
      <c r="M575" s="3155"/>
      <c r="R575" s="627" t="b">
        <f ca="1">IFERROR(IF(COUNTIF(INDEX(PO_Enrgy_8_Table,,MATCH($K$316,PO_Enrgy_8_Hdr,0)),"&gt;0.1")+COUNTIF(INDEX(PO_Enrgy_8_Table,,MATCH($K$316,PO_Enrgy_8_Hdr,0)),"&lt;-0.1")&gt;0,TRUE,FALSE),TRUE)</f>
        <v>0</v>
      </c>
    </row>
    <row r="576" spans="2:18" ht="25.5" customHeight="1" x14ac:dyDescent="0.25">
      <c r="B576" s="3152" t="s">
        <v>1069</v>
      </c>
      <c r="C576" s="3153"/>
      <c r="D576" s="3153"/>
      <c r="E576" s="3153"/>
      <c r="F576" s="3153"/>
      <c r="G576" s="3153"/>
      <c r="H576" s="3153"/>
      <c r="I576" s="3154"/>
      <c r="J576" s="3154"/>
      <c r="K576" s="3154"/>
      <c r="L576" s="3154"/>
      <c r="M576" s="3155"/>
      <c r="R576" s="627" t="b">
        <f ca="1">IFERROR(IF(PO_SiteRenewable=TRUE,IF(COUNTIF(INDEX(PO_renewable_table,,MATCH($U$44,PO_renewable_hdr,0)),"&gt;0.05")+COUNTIF(INDEX(PO_renewable_table,,MATCH($U$44,PO_renewable_hdr,0)),"&lt;-0.05")&gt;0,TRUE,FALSE),FALSE),TRUE)</f>
        <v>0</v>
      </c>
    </row>
    <row r="577" spans="2:18" ht="25.5" customHeight="1" x14ac:dyDescent="0.25">
      <c r="B577" s="3152" t="s">
        <v>1557</v>
      </c>
      <c r="C577" s="3153"/>
      <c r="D577" s="3153"/>
      <c r="E577" s="3153"/>
      <c r="F577" s="3153"/>
      <c r="G577" s="3153"/>
      <c r="H577" s="3153"/>
      <c r="I577" s="3154"/>
      <c r="J577" s="3154"/>
      <c r="K577" s="3154"/>
      <c r="L577" s="3154"/>
      <c r="M577" s="3155"/>
      <c r="N577" s="2"/>
      <c r="O577" s="2"/>
      <c r="P577" s="2"/>
      <c r="Q577" s="2"/>
      <c r="R577" s="627" t="b">
        <f>IFERROR(IF(PO_ShowExCalc=TRUE,IF(COUNTIF(INDEX(PO_ExCalc_Table,,MATCH($U$80,PO_ExCalc_Hdr,0)),"&gt;0.05")+COUNTIF(INDEX(PO_ExCalc_Table,,MATCH($U$80,PO_ExCalc_Hdr,0)),"&lt;-0.05")&gt;0,TRUE,FALSE),FALSE),TRUE)</f>
        <v>0</v>
      </c>
    </row>
    <row r="578" spans="2:18" ht="25.5" customHeight="1" x14ac:dyDescent="0.25">
      <c r="B578" s="3152" t="s">
        <v>1070</v>
      </c>
      <c r="C578" s="3153"/>
      <c r="D578" s="3153"/>
      <c r="E578" s="3153"/>
      <c r="F578" s="3153"/>
      <c r="G578" s="3153"/>
      <c r="H578" s="3153"/>
      <c r="I578" s="3156"/>
      <c r="J578" s="3156"/>
      <c r="K578" s="3156"/>
      <c r="L578" s="3156"/>
      <c r="M578" s="3157"/>
      <c r="R578" s="627" t="b">
        <f ca="1">IFERROR(IF(OR(I544&lt;0.06,I544&gt;0.25),TRUE,FALSE),TRUE)</f>
        <v>1</v>
      </c>
    </row>
    <row r="579" spans="2:18" ht="25.5" customHeight="1" x14ac:dyDescent="0.25">
      <c r="B579" s="3152" t="s">
        <v>1558</v>
      </c>
      <c r="C579" s="3153"/>
      <c r="D579" s="3153"/>
      <c r="E579" s="3153"/>
      <c r="F579" s="3153"/>
      <c r="G579" s="3153"/>
      <c r="H579" s="3153"/>
      <c r="I579" s="3156"/>
      <c r="J579" s="3156"/>
      <c r="K579" s="3156"/>
      <c r="L579" s="3156"/>
      <c r="M579" s="3157"/>
      <c r="R579" s="627" t="b">
        <f ca="1">IFERROR(IF(OR(J544&lt;0.5,J544&gt;2),TRUE,FALSE),TRUE)</f>
        <v>1</v>
      </c>
    </row>
    <row r="580" spans="2:18" ht="38.25" customHeight="1" x14ac:dyDescent="0.25">
      <c r="B580" s="3152" t="s">
        <v>1900</v>
      </c>
      <c r="C580" s="3153"/>
      <c r="D580" s="3153"/>
      <c r="E580" s="3153"/>
      <c r="F580" s="3153"/>
      <c r="G580" s="3153"/>
      <c r="H580" s="3153"/>
      <c r="I580" s="3154"/>
      <c r="J580" s="3154"/>
      <c r="K580" s="3154"/>
      <c r="L580" s="3154"/>
      <c r="M580" s="3155"/>
      <c r="R580" s="627" t="b">
        <f>IFERROR(IF(PO_EnergyReportingMethod&gt;2,TRUE,FALSE),FALSE)</f>
        <v>0</v>
      </c>
    </row>
    <row r="581" spans="2:18" ht="63.75" customHeight="1" x14ac:dyDescent="0.25">
      <c r="B581" s="3152" t="s">
        <v>1849</v>
      </c>
      <c r="C581" s="3153"/>
      <c r="D581" s="3153"/>
      <c r="E581" s="3153"/>
      <c r="F581" s="3153"/>
      <c r="G581" s="3153"/>
      <c r="H581" s="3153"/>
      <c r="I581" s="3154"/>
      <c r="J581" s="3154"/>
      <c r="K581" s="3154"/>
      <c r="L581" s="3154"/>
      <c r="M581" s="3155"/>
      <c r="R581" s="627" t="b">
        <f ca="1">IFERROR(IF(AND(COUNTIFS(INDEX(PO_design_table,,MATCH($E$242,PO_design_hdr,0)),"Electricity",INDEX(PO_design_table,,MATCH($B$242,PO_design_hdr,0)),"Space Heating",INDEX(PO_design_table,,MATCH($G$242,PO_design_hdr,0)),"&gt;0")&gt;0,COUNTIFS(INDEX(PO_design_table,,MATCH($E$242,PO_design_hdr,0)),"&lt;&gt;Electricity",INDEX(PO_design_table,,MATCH($B$242,PO_design_hdr,0)),"Space Heating",INDEX(PO_design_table,,MATCH($G$242,PO_design_hdr,0)),"&gt;0")&gt;0),TRUE,FALSE),TRUE)</f>
        <v>0</v>
      </c>
    </row>
    <row r="582" spans="2:18" ht="25.5" customHeight="1" x14ac:dyDescent="0.25">
      <c r="B582" s="3152" t="s">
        <v>1073</v>
      </c>
      <c r="C582" s="3153"/>
      <c r="D582" s="3153"/>
      <c r="E582" s="3153"/>
      <c r="F582" s="3153"/>
      <c r="G582" s="3153"/>
      <c r="H582" s="3153"/>
      <c r="I582" s="3154"/>
      <c r="J582" s="3154"/>
      <c r="K582" s="3154"/>
      <c r="L582" s="3154"/>
      <c r="M582" s="3155"/>
      <c r="R582" s="627" t="b">
        <f>IFERROR(IF(MAX(F529:M529)&gt;300,TRUE,FALSE),TRUE)</f>
        <v>0</v>
      </c>
    </row>
    <row r="583" spans="2:18" ht="38.25" customHeight="1" x14ac:dyDescent="0.25">
      <c r="B583" s="3152" t="str">
        <f ca="1">"The three largest end use contributors to the cost savings are "&amp;CONCATENATE(VLOOKUP(1,QCEnSaveRank,2,FALSE),", ", VLOOKUP(2,QCEnSaveRank,2,FALSE), ", ",VLOOKUP(3,QCEnSaveRank,2,FALSE))&amp;" (as reported in the Performance Outputs tab). Please provide a narrative to justify the savings of these end uses, such as the energy conservation measures which contribute to the savings claimed."</f>
        <v>The three largest end use contributors to the cost savings are Interior lighting, Exterior lighting, Space heating (as reported in the Performance Outputs tab). Please provide a narrative to justify the savings of these end uses, such as the energy conservation measures which contribute to the savings claimed.</v>
      </c>
      <c r="C583" s="3153"/>
      <c r="D583" s="3153"/>
      <c r="E583" s="3153"/>
      <c r="F583" s="3153"/>
      <c r="G583" s="3153"/>
      <c r="H583" s="3153"/>
      <c r="I583" s="3156"/>
      <c r="J583" s="3156"/>
      <c r="K583" s="3156"/>
      <c r="L583" s="3156"/>
      <c r="M583" s="3157"/>
      <c r="R583" s="627" t="b">
        <f>TRUE</f>
        <v>1</v>
      </c>
    </row>
    <row r="584" spans="2:18" ht="25.5" customHeight="1" x14ac:dyDescent="0.25">
      <c r="B584" s="3152" t="s">
        <v>1580</v>
      </c>
      <c r="C584" s="3153"/>
      <c r="D584" s="3153"/>
      <c r="E584" s="3153"/>
      <c r="F584" s="3153"/>
      <c r="G584" s="3153"/>
      <c r="H584" s="3153"/>
      <c r="I584" s="3154"/>
      <c r="J584" s="3154"/>
      <c r="K584" s="3154"/>
      <c r="L584" s="3154"/>
      <c r="M584" s="3155"/>
      <c r="R584" s="627" t="b">
        <f>IF(RatingSystemSelection="BD+C: Data Centers",TRUE,FALSE)</f>
        <v>0</v>
      </c>
    </row>
    <row r="585" spans="2:18" ht="25.5" customHeight="1" x14ac:dyDescent="0.25">
      <c r="B585" s="3146" t="s">
        <v>1582</v>
      </c>
      <c r="C585" s="3147"/>
      <c r="D585" s="3147"/>
      <c r="E585" s="3147"/>
      <c r="F585" s="3147"/>
      <c r="G585" s="3147"/>
      <c r="H585" s="3147"/>
      <c r="I585" s="3150"/>
      <c r="J585" s="3150"/>
      <c r="K585" s="3150"/>
      <c r="L585" s="3150"/>
      <c r="M585" s="3151"/>
      <c r="R585" s="627" t="b">
        <f ca="1">IFERROR(IF(C538&lt;10,TRUE,FALSE),TRUE)</f>
        <v>0</v>
      </c>
    </row>
    <row r="586" spans="2:18" ht="40.5" customHeight="1" x14ac:dyDescent="0.25">
      <c r="B586" s="3146" t="s">
        <v>1059</v>
      </c>
      <c r="C586" s="3147"/>
      <c r="D586" s="3147"/>
      <c r="E586" s="3147"/>
      <c r="F586" s="3147"/>
      <c r="G586" s="3147"/>
      <c r="H586" s="3147"/>
      <c r="I586" s="3148"/>
      <c r="J586" s="3148"/>
      <c r="K586" s="3148"/>
      <c r="L586" s="3148"/>
      <c r="M586" s="3149"/>
      <c r="O586" s="2"/>
      <c r="Q586" s="380"/>
      <c r="R586" s="627" t="b">
        <f>TRUE</f>
        <v>1</v>
      </c>
    </row>
    <row r="587" spans="2:18" ht="39.75" customHeight="1" x14ac:dyDescent="0.25">
      <c r="B587" s="3146" t="s">
        <v>1850</v>
      </c>
      <c r="C587" s="3147"/>
      <c r="D587" s="3147"/>
      <c r="E587" s="3147"/>
      <c r="F587" s="3147"/>
      <c r="G587" s="3147"/>
      <c r="H587" s="3147"/>
      <c r="I587" s="3148"/>
      <c r="J587" s="3148"/>
      <c r="K587" s="3148"/>
      <c r="L587" s="3148"/>
      <c r="M587" s="3149"/>
      <c r="O587" s="2"/>
      <c r="Q587" s="380"/>
      <c r="R587" s="627" t="b">
        <f>TRUE</f>
        <v>1</v>
      </c>
    </row>
    <row r="588" spans="2:18" ht="63" customHeight="1" x14ac:dyDescent="0.25">
      <c r="B588" s="3146" t="s">
        <v>1851</v>
      </c>
      <c r="C588" s="3147"/>
      <c r="D588" s="3147"/>
      <c r="E588" s="3147"/>
      <c r="F588" s="3147"/>
      <c r="G588" s="3147"/>
      <c r="H588" s="3147"/>
      <c r="I588" s="3148"/>
      <c r="J588" s="3148"/>
      <c r="K588" s="3148"/>
      <c r="L588" s="3148"/>
      <c r="M588" s="3149"/>
      <c r="O588" s="2"/>
      <c r="Q588" s="380"/>
      <c r="R588" s="627" t="b">
        <f>TRUE</f>
        <v>1</v>
      </c>
    </row>
  </sheetData>
  <sheetProtection algorithmName="SHA-512" hashValue="zxr+5IU55S+V/Z3j7wKBgojFiKn6C3A2qfKOrfAANBZGmOlbfuP9l2/NFhw7Gqow6ODdP7OxzS/O8rFmbsO9EQ==" saltValue="oDrGiOk/CnSuhfdHx5ybjw==" spinCount="100000" sheet="1" objects="1" scenarios="1"/>
  <mergeCells count="1206">
    <mergeCell ref="C493:D493"/>
    <mergeCell ref="G493:H493"/>
    <mergeCell ref="K493:M493"/>
    <mergeCell ref="C514:D514"/>
    <mergeCell ref="K514:L514"/>
    <mergeCell ref="C305:D305"/>
    <mergeCell ref="K305:L305"/>
    <mergeCell ref="C326:D326"/>
    <mergeCell ref="E326:G326"/>
    <mergeCell ref="H326:J326"/>
    <mergeCell ref="K326:M326"/>
    <mergeCell ref="C346:D346"/>
    <mergeCell ref="K346:L346"/>
    <mergeCell ref="C380:D380"/>
    <mergeCell ref="K380:L380"/>
    <mergeCell ref="C488:D488"/>
    <mergeCell ref="G488:H488"/>
    <mergeCell ref="K488:M488"/>
    <mergeCell ref="C375:D375"/>
    <mergeCell ref="K375:L375"/>
    <mergeCell ref="C398:D398"/>
    <mergeCell ref="K398:L398"/>
    <mergeCell ref="C419:D419"/>
    <mergeCell ref="K419:L419"/>
    <mergeCell ref="C440:D440"/>
    <mergeCell ref="K440:L440"/>
    <mergeCell ref="C464:D464"/>
    <mergeCell ref="K464:L464"/>
    <mergeCell ref="C487:D487"/>
    <mergeCell ref="G487:H487"/>
    <mergeCell ref="K487:M487"/>
    <mergeCell ref="C394:D394"/>
    <mergeCell ref="B96:F96"/>
    <mergeCell ref="J96:K96"/>
    <mergeCell ref="L96:M96"/>
    <mergeCell ref="B113:F113"/>
    <mergeCell ref="J113:K113"/>
    <mergeCell ref="L113:M113"/>
    <mergeCell ref="B203:D203"/>
    <mergeCell ref="K203:M203"/>
    <mergeCell ref="B224:E224"/>
    <mergeCell ref="K224:M224"/>
    <mergeCell ref="B121:M121"/>
    <mergeCell ref="B124:M124"/>
    <mergeCell ref="B125:M125"/>
    <mergeCell ref="B127:M127"/>
    <mergeCell ref="B129:M129"/>
    <mergeCell ref="B131:M131"/>
    <mergeCell ref="B141:M141"/>
    <mergeCell ref="B161:C162"/>
    <mergeCell ref="D161:D162"/>
    <mergeCell ref="E161:E162"/>
    <mergeCell ref="K161:M161"/>
    <mergeCell ref="K162:M162"/>
    <mergeCell ref="B163:C164"/>
    <mergeCell ref="D163:D164"/>
    <mergeCell ref="E163:E164"/>
    <mergeCell ref="K163:M163"/>
    <mergeCell ref="K164:M164"/>
    <mergeCell ref="B165:C166"/>
    <mergeCell ref="D165:D166"/>
    <mergeCell ref="E165:E166"/>
    <mergeCell ref="K165:M165"/>
    <mergeCell ref="K166:M166"/>
    <mergeCell ref="C300:D300"/>
    <mergeCell ref="K300:L300"/>
    <mergeCell ref="C299:D299"/>
    <mergeCell ref="K299:L299"/>
    <mergeCell ref="B132:M132"/>
    <mergeCell ref="B136:M136"/>
    <mergeCell ref="B137:M137"/>
    <mergeCell ref="B138:M138"/>
    <mergeCell ref="B139:M139"/>
    <mergeCell ref="B140:M140"/>
    <mergeCell ref="B149:C150"/>
    <mergeCell ref="D149:D150"/>
    <mergeCell ref="E149:E150"/>
    <mergeCell ref="K149:M149"/>
    <mergeCell ref="K150:M150"/>
    <mergeCell ref="B151:C152"/>
    <mergeCell ref="D151:D152"/>
    <mergeCell ref="B155:C156"/>
    <mergeCell ref="D155:D156"/>
    <mergeCell ref="E155:E156"/>
    <mergeCell ref="K155:M155"/>
    <mergeCell ref="K156:M156"/>
    <mergeCell ref="B157:C158"/>
    <mergeCell ref="D157:D158"/>
    <mergeCell ref="E157:E158"/>
    <mergeCell ref="K157:M157"/>
    <mergeCell ref="K158:M158"/>
    <mergeCell ref="B159:C160"/>
    <mergeCell ref="D159:D160"/>
    <mergeCell ref="E159:E160"/>
    <mergeCell ref="K159:M159"/>
    <mergeCell ref="K160:M160"/>
    <mergeCell ref="C417:D417"/>
    <mergeCell ref="K417:L417"/>
    <mergeCell ref="B430:D430"/>
    <mergeCell ref="K430:L430"/>
    <mergeCell ref="B431:L431"/>
    <mergeCell ref="B433:B434"/>
    <mergeCell ref="C433:D434"/>
    <mergeCell ref="B91:F91"/>
    <mergeCell ref="J91:K91"/>
    <mergeCell ref="L91:M91"/>
    <mergeCell ref="B90:F90"/>
    <mergeCell ref="J90:K90"/>
    <mergeCell ref="L90:M90"/>
    <mergeCell ref="B40:M40"/>
    <mergeCell ref="B41:M41"/>
    <mergeCell ref="B43:D43"/>
    <mergeCell ref="F43:G43"/>
    <mergeCell ref="B53:D53"/>
    <mergeCell ref="H53:I53"/>
    <mergeCell ref="J53:M53"/>
    <mergeCell ref="B66:F66"/>
    <mergeCell ref="H66:I66"/>
    <mergeCell ref="J66:M66"/>
    <mergeCell ref="B51:D51"/>
    <mergeCell ref="H43:I43"/>
    <mergeCell ref="J43:M43"/>
    <mergeCell ref="B45:D45"/>
    <mergeCell ref="J45:M45"/>
    <mergeCell ref="B46:D46"/>
    <mergeCell ref="J46:M46"/>
    <mergeCell ref="B47:M47"/>
    <mergeCell ref="C374:D374"/>
    <mergeCell ref="C16:D16"/>
    <mergeCell ref="C17:D17"/>
    <mergeCell ref="C320:D320"/>
    <mergeCell ref="E320:G320"/>
    <mergeCell ref="H320:J320"/>
    <mergeCell ref="K320:M320"/>
    <mergeCell ref="F17:G17"/>
    <mergeCell ref="H17:J17"/>
    <mergeCell ref="K17:L17"/>
    <mergeCell ref="C18:D18"/>
    <mergeCell ref="F18:G18"/>
    <mergeCell ref="H18:J18"/>
    <mergeCell ref="K18:L18"/>
    <mergeCell ref="B33:K33"/>
    <mergeCell ref="L33:M33"/>
    <mergeCell ref="C19:D19"/>
    <mergeCell ref="F19:G19"/>
    <mergeCell ref="H19:J19"/>
    <mergeCell ref="K19:L19"/>
    <mergeCell ref="B32:K32"/>
    <mergeCell ref="L32:M32"/>
    <mergeCell ref="C20:D20"/>
    <mergeCell ref="F20:G20"/>
    <mergeCell ref="H20:J20"/>
    <mergeCell ref="K25:L25"/>
    <mergeCell ref="C26:D26"/>
    <mergeCell ref="F26:G26"/>
    <mergeCell ref="H26:J26"/>
    <mergeCell ref="K26:L26"/>
    <mergeCell ref="H51:I51"/>
    <mergeCell ref="J51:M51"/>
    <mergeCell ref="B52:D52"/>
    <mergeCell ref="K374:L374"/>
    <mergeCell ref="C321:D321"/>
    <mergeCell ref="E321:G321"/>
    <mergeCell ref="H321:J321"/>
    <mergeCell ref="K321:M321"/>
    <mergeCell ref="C341:D341"/>
    <mergeCell ref="K341:L341"/>
    <mergeCell ref="C339:D339"/>
    <mergeCell ref="K339:L339"/>
    <mergeCell ref="B352:D352"/>
    <mergeCell ref="K352:L352"/>
    <mergeCell ref="B354:L354"/>
    <mergeCell ref="B355:M355"/>
    <mergeCell ref="C371:D371"/>
    <mergeCell ref="K371:L371"/>
    <mergeCell ref="C373:D373"/>
    <mergeCell ref="K373:L373"/>
    <mergeCell ref="K368:M368"/>
    <mergeCell ref="C372:D372"/>
    <mergeCell ref="K372:L372"/>
    <mergeCell ref="C344:D344"/>
    <mergeCell ref="B333:L333"/>
    <mergeCell ref="B334:B335"/>
    <mergeCell ref="C334:D335"/>
    <mergeCell ref="E334:G334"/>
    <mergeCell ref="H334:J334"/>
    <mergeCell ref="K334:M334"/>
    <mergeCell ref="K327:M327"/>
    <mergeCell ref="C324:D324"/>
    <mergeCell ref="E324:G324"/>
    <mergeCell ref="H324:J324"/>
    <mergeCell ref="K324:M324"/>
    <mergeCell ref="H5:M5"/>
    <mergeCell ref="B7:M7"/>
    <mergeCell ref="B8:M8"/>
    <mergeCell ref="B9:M9"/>
    <mergeCell ref="B10:M10"/>
    <mergeCell ref="B11:M11"/>
    <mergeCell ref="B12:M12"/>
    <mergeCell ref="B13:M13"/>
    <mergeCell ref="B14:B15"/>
    <mergeCell ref="C14:D15"/>
    <mergeCell ref="E14:E15"/>
    <mergeCell ref="F14:G15"/>
    <mergeCell ref="H14:J15"/>
    <mergeCell ref="K14:M14"/>
    <mergeCell ref="K15:L15"/>
    <mergeCell ref="K20:L20"/>
    <mergeCell ref="B48:D49"/>
    <mergeCell ref="E48:G48"/>
    <mergeCell ref="H48:I49"/>
    <mergeCell ref="J48:M49"/>
    <mergeCell ref="E49:F49"/>
    <mergeCell ref="C22:D22"/>
    <mergeCell ref="F22:G22"/>
    <mergeCell ref="H22:J22"/>
    <mergeCell ref="K22:L22"/>
    <mergeCell ref="C21:D21"/>
    <mergeCell ref="F21:G21"/>
    <mergeCell ref="H21:J21"/>
    <mergeCell ref="K21:L21"/>
    <mergeCell ref="C25:D25"/>
    <mergeCell ref="F25:G25"/>
    <mergeCell ref="H25:J25"/>
    <mergeCell ref="H52:I52"/>
    <mergeCell ref="J52:M52"/>
    <mergeCell ref="B54:D54"/>
    <mergeCell ref="H54:I54"/>
    <mergeCell ref="J54:M54"/>
    <mergeCell ref="B67:I67"/>
    <mergeCell ref="J67:M67"/>
    <mergeCell ref="B56:D56"/>
    <mergeCell ref="H56:I56"/>
    <mergeCell ref="J56:M56"/>
    <mergeCell ref="B55:D55"/>
    <mergeCell ref="H55:I55"/>
    <mergeCell ref="J55:M55"/>
    <mergeCell ref="B59:D59"/>
    <mergeCell ref="H59:I59"/>
    <mergeCell ref="J59:M59"/>
    <mergeCell ref="B60:D60"/>
    <mergeCell ref="H60:I60"/>
    <mergeCell ref="J60:M60"/>
    <mergeCell ref="B68:L68"/>
    <mergeCell ref="B73:M73"/>
    <mergeCell ref="B76:M76"/>
    <mergeCell ref="B78:B79"/>
    <mergeCell ref="C78:C79"/>
    <mergeCell ref="D78:E79"/>
    <mergeCell ref="F78:F79"/>
    <mergeCell ref="G78:K78"/>
    <mergeCell ref="D82:E82"/>
    <mergeCell ref="J82:K82"/>
    <mergeCell ref="L82:M82"/>
    <mergeCell ref="D83:E83"/>
    <mergeCell ref="J83:K83"/>
    <mergeCell ref="L83:M83"/>
    <mergeCell ref="L78:M79"/>
    <mergeCell ref="G79:H79"/>
    <mergeCell ref="J79:K79"/>
    <mergeCell ref="D80:E80"/>
    <mergeCell ref="D81:E81"/>
    <mergeCell ref="J81:K81"/>
    <mergeCell ref="L81:M81"/>
    <mergeCell ref="B88:F88"/>
    <mergeCell ref="J88:K88"/>
    <mergeCell ref="L88:M88"/>
    <mergeCell ref="B89:F89"/>
    <mergeCell ref="J89:K89"/>
    <mergeCell ref="L89:M89"/>
    <mergeCell ref="D84:E84"/>
    <mergeCell ref="J84:K84"/>
    <mergeCell ref="L84:M84"/>
    <mergeCell ref="B85:E85"/>
    <mergeCell ref="B87:F87"/>
    <mergeCell ref="J87:K87"/>
    <mergeCell ref="L87:M87"/>
    <mergeCell ref="B106:F106"/>
    <mergeCell ref="J106:K106"/>
    <mergeCell ref="L106:M106"/>
    <mergeCell ref="B119:F119"/>
    <mergeCell ref="J119:K119"/>
    <mergeCell ref="L119:M119"/>
    <mergeCell ref="B102:E102"/>
    <mergeCell ref="B104:F104"/>
    <mergeCell ref="J104:K104"/>
    <mergeCell ref="L104:M104"/>
    <mergeCell ref="B105:F105"/>
    <mergeCell ref="J105:K105"/>
    <mergeCell ref="L105:M105"/>
    <mergeCell ref="B107:F107"/>
    <mergeCell ref="J107:K107"/>
    <mergeCell ref="L107:M107"/>
    <mergeCell ref="B108:F108"/>
    <mergeCell ref="J108:K108"/>
    <mergeCell ref="L108:M108"/>
    <mergeCell ref="BF142:BI142"/>
    <mergeCell ref="B143:C143"/>
    <mergeCell ref="K143:M143"/>
    <mergeCell ref="B145:C146"/>
    <mergeCell ref="D145:D146"/>
    <mergeCell ref="E145:E146"/>
    <mergeCell ref="K145:M145"/>
    <mergeCell ref="K146:M146"/>
    <mergeCell ref="B147:C148"/>
    <mergeCell ref="D147:D148"/>
    <mergeCell ref="E147:E148"/>
    <mergeCell ref="K147:M147"/>
    <mergeCell ref="K148:M148"/>
    <mergeCell ref="E151:E152"/>
    <mergeCell ref="K151:M151"/>
    <mergeCell ref="K152:M152"/>
    <mergeCell ref="B153:C154"/>
    <mergeCell ref="D153:D154"/>
    <mergeCell ref="E153:E154"/>
    <mergeCell ref="K153:M153"/>
    <mergeCell ref="K154:M154"/>
    <mergeCell ref="B167:C168"/>
    <mergeCell ref="D167:D168"/>
    <mergeCell ref="E167:E168"/>
    <mergeCell ref="K167:M167"/>
    <mergeCell ref="K168:M168"/>
    <mergeCell ref="B169:C170"/>
    <mergeCell ref="D169:D170"/>
    <mergeCell ref="E169:E170"/>
    <mergeCell ref="K169:M169"/>
    <mergeCell ref="K170:M170"/>
    <mergeCell ref="B171:C172"/>
    <mergeCell ref="D171:D172"/>
    <mergeCell ref="E171:E172"/>
    <mergeCell ref="K171:M171"/>
    <mergeCell ref="K172:M172"/>
    <mergeCell ref="B173:C174"/>
    <mergeCell ref="D173:D174"/>
    <mergeCell ref="E173:E174"/>
    <mergeCell ref="K173:M173"/>
    <mergeCell ref="K174:M174"/>
    <mergeCell ref="K192:M192"/>
    <mergeCell ref="K194:M194"/>
    <mergeCell ref="B187:C188"/>
    <mergeCell ref="D187:D188"/>
    <mergeCell ref="E187:E188"/>
    <mergeCell ref="K187:M187"/>
    <mergeCell ref="K188:M188"/>
    <mergeCell ref="B189:C190"/>
    <mergeCell ref="D189:D190"/>
    <mergeCell ref="E189:E190"/>
    <mergeCell ref="K189:M189"/>
    <mergeCell ref="K190:M190"/>
    <mergeCell ref="B175:C176"/>
    <mergeCell ref="D175:D176"/>
    <mergeCell ref="E175:E176"/>
    <mergeCell ref="K175:M175"/>
    <mergeCell ref="K176:M176"/>
    <mergeCell ref="B177:C178"/>
    <mergeCell ref="D177:D178"/>
    <mergeCell ref="E177:E178"/>
    <mergeCell ref="K177:M177"/>
    <mergeCell ref="K178:M178"/>
    <mergeCell ref="B179:C180"/>
    <mergeCell ref="D179:D180"/>
    <mergeCell ref="E179:E180"/>
    <mergeCell ref="K179:M179"/>
    <mergeCell ref="K180:M180"/>
    <mergeCell ref="B181:C182"/>
    <mergeCell ref="D181:D182"/>
    <mergeCell ref="E181:E182"/>
    <mergeCell ref="K181:M181"/>
    <mergeCell ref="K182:M182"/>
    <mergeCell ref="B234:M234"/>
    <mergeCell ref="B235:M235"/>
    <mergeCell ref="B236:M236"/>
    <mergeCell ref="B237:M237"/>
    <mergeCell ref="B238:M238"/>
    <mergeCell ref="B239:M239"/>
    <mergeCell ref="B216:E216"/>
    <mergeCell ref="K216:M216"/>
    <mergeCell ref="B217:E217"/>
    <mergeCell ref="K217:M217"/>
    <mergeCell ref="B230:F230"/>
    <mergeCell ref="K230:M230"/>
    <mergeCell ref="B218:E218"/>
    <mergeCell ref="K218:M218"/>
    <mergeCell ref="B219:E219"/>
    <mergeCell ref="K219:M219"/>
    <mergeCell ref="B221:E221"/>
    <mergeCell ref="K221:M221"/>
    <mergeCell ref="B222:E222"/>
    <mergeCell ref="K222:M222"/>
    <mergeCell ref="BF240:BI240"/>
    <mergeCell ref="B241:C241"/>
    <mergeCell ref="K241:L241"/>
    <mergeCell ref="B243:C244"/>
    <mergeCell ref="D243:D244"/>
    <mergeCell ref="E243:E244"/>
    <mergeCell ref="J243:J244"/>
    <mergeCell ref="K243:L244"/>
    <mergeCell ref="M243:M244"/>
    <mergeCell ref="AF243:AG244"/>
    <mergeCell ref="AF245:AG246"/>
    <mergeCell ref="B247:C248"/>
    <mergeCell ref="D247:D248"/>
    <mergeCell ref="E247:E248"/>
    <mergeCell ref="J247:J248"/>
    <mergeCell ref="K247:L248"/>
    <mergeCell ref="M247:M248"/>
    <mergeCell ref="AF247:AG248"/>
    <mergeCell ref="B245:C246"/>
    <mergeCell ref="D245:D246"/>
    <mergeCell ref="E245:E246"/>
    <mergeCell ref="J245:J246"/>
    <mergeCell ref="K245:L246"/>
    <mergeCell ref="M245:M246"/>
    <mergeCell ref="AF249:AG250"/>
    <mergeCell ref="B251:C252"/>
    <mergeCell ref="D251:D252"/>
    <mergeCell ref="E251:E252"/>
    <mergeCell ref="J251:J252"/>
    <mergeCell ref="K251:L252"/>
    <mergeCell ref="M251:M252"/>
    <mergeCell ref="AF251:AG252"/>
    <mergeCell ref="B249:C250"/>
    <mergeCell ref="D249:D250"/>
    <mergeCell ref="E249:E250"/>
    <mergeCell ref="J249:J250"/>
    <mergeCell ref="K249:L250"/>
    <mergeCell ref="M249:M250"/>
    <mergeCell ref="AF253:AG254"/>
    <mergeCell ref="B255:C256"/>
    <mergeCell ref="D255:D256"/>
    <mergeCell ref="E255:E256"/>
    <mergeCell ref="J255:J256"/>
    <mergeCell ref="K255:L256"/>
    <mergeCell ref="M255:M256"/>
    <mergeCell ref="AF255:AG256"/>
    <mergeCell ref="B253:C254"/>
    <mergeCell ref="D253:D254"/>
    <mergeCell ref="E253:E254"/>
    <mergeCell ref="J253:J254"/>
    <mergeCell ref="K253:L254"/>
    <mergeCell ref="M253:M254"/>
    <mergeCell ref="AF257:AG258"/>
    <mergeCell ref="B259:C260"/>
    <mergeCell ref="D259:D260"/>
    <mergeCell ref="E259:E260"/>
    <mergeCell ref="J259:J260"/>
    <mergeCell ref="K259:L260"/>
    <mergeCell ref="M259:M260"/>
    <mergeCell ref="AF259:AG260"/>
    <mergeCell ref="B257:C258"/>
    <mergeCell ref="D257:D258"/>
    <mergeCell ref="E257:E258"/>
    <mergeCell ref="J257:J258"/>
    <mergeCell ref="K257:L258"/>
    <mergeCell ref="M257:M258"/>
    <mergeCell ref="AF261:AG262"/>
    <mergeCell ref="B263:C264"/>
    <mergeCell ref="D263:D264"/>
    <mergeCell ref="E263:E264"/>
    <mergeCell ref="J263:J264"/>
    <mergeCell ref="K263:L264"/>
    <mergeCell ref="M263:M264"/>
    <mergeCell ref="AF263:AG264"/>
    <mergeCell ref="B261:C262"/>
    <mergeCell ref="D261:D262"/>
    <mergeCell ref="E261:E262"/>
    <mergeCell ref="J261:J262"/>
    <mergeCell ref="K261:L262"/>
    <mergeCell ref="M261:M262"/>
    <mergeCell ref="AF265:AG266"/>
    <mergeCell ref="B267:C268"/>
    <mergeCell ref="D267:D268"/>
    <mergeCell ref="E267:E268"/>
    <mergeCell ref="J267:J268"/>
    <mergeCell ref="K267:L268"/>
    <mergeCell ref="M267:M268"/>
    <mergeCell ref="AF267:AG268"/>
    <mergeCell ref="B265:C266"/>
    <mergeCell ref="D265:D266"/>
    <mergeCell ref="E265:E266"/>
    <mergeCell ref="J265:J266"/>
    <mergeCell ref="K265:L266"/>
    <mergeCell ref="M265:M266"/>
    <mergeCell ref="AF269:AG270"/>
    <mergeCell ref="B271:C272"/>
    <mergeCell ref="D271:D272"/>
    <mergeCell ref="E271:E272"/>
    <mergeCell ref="J271:J272"/>
    <mergeCell ref="K271:L272"/>
    <mergeCell ref="M271:M272"/>
    <mergeCell ref="AF271:AG272"/>
    <mergeCell ref="B269:C270"/>
    <mergeCell ref="D269:D270"/>
    <mergeCell ref="E269:E270"/>
    <mergeCell ref="J269:J270"/>
    <mergeCell ref="K269:L270"/>
    <mergeCell ref="M269:M270"/>
    <mergeCell ref="AF287:AG288"/>
    <mergeCell ref="B285:C286"/>
    <mergeCell ref="D285:D286"/>
    <mergeCell ref="E285:E286"/>
    <mergeCell ref="J285:J286"/>
    <mergeCell ref="K285:L286"/>
    <mergeCell ref="M285:M286"/>
    <mergeCell ref="AF273:AG274"/>
    <mergeCell ref="B275:C276"/>
    <mergeCell ref="D275:D276"/>
    <mergeCell ref="E275:E276"/>
    <mergeCell ref="J275:J276"/>
    <mergeCell ref="K275:L276"/>
    <mergeCell ref="M275:M276"/>
    <mergeCell ref="AF275:AG276"/>
    <mergeCell ref="B273:C274"/>
    <mergeCell ref="D273:D274"/>
    <mergeCell ref="E273:E274"/>
    <mergeCell ref="J273:J274"/>
    <mergeCell ref="K273:L274"/>
    <mergeCell ref="M273:M274"/>
    <mergeCell ref="AF277:AG278"/>
    <mergeCell ref="B279:C280"/>
    <mergeCell ref="D279:D280"/>
    <mergeCell ref="E279:E280"/>
    <mergeCell ref="J279:J280"/>
    <mergeCell ref="K279:L280"/>
    <mergeCell ref="M279:M280"/>
    <mergeCell ref="AF279:AG280"/>
    <mergeCell ref="B277:C278"/>
    <mergeCell ref="D277:D278"/>
    <mergeCell ref="E277:E278"/>
    <mergeCell ref="AF289:AG290"/>
    <mergeCell ref="B293:B294"/>
    <mergeCell ref="C293:D294"/>
    <mergeCell ref="E293:G293"/>
    <mergeCell ref="H293:J293"/>
    <mergeCell ref="K293:M293"/>
    <mergeCell ref="K294:L294"/>
    <mergeCell ref="B289:C290"/>
    <mergeCell ref="D289:D290"/>
    <mergeCell ref="E289:E290"/>
    <mergeCell ref="J289:J290"/>
    <mergeCell ref="K289:L290"/>
    <mergeCell ref="M289:M290"/>
    <mergeCell ref="AF281:AG282"/>
    <mergeCell ref="B283:C284"/>
    <mergeCell ref="D283:D284"/>
    <mergeCell ref="E283:E284"/>
    <mergeCell ref="J283:J284"/>
    <mergeCell ref="K283:L284"/>
    <mergeCell ref="M283:M284"/>
    <mergeCell ref="AF283:AG284"/>
    <mergeCell ref="B281:C282"/>
    <mergeCell ref="D281:D282"/>
    <mergeCell ref="E281:E282"/>
    <mergeCell ref="J281:J282"/>
    <mergeCell ref="K281:L282"/>
    <mergeCell ref="M281:M282"/>
    <mergeCell ref="AF285:AG286"/>
    <mergeCell ref="B287:C288"/>
    <mergeCell ref="D287:D288"/>
    <mergeCell ref="E287:E288"/>
    <mergeCell ref="J287:J288"/>
    <mergeCell ref="C343:D343"/>
    <mergeCell ref="K343:L343"/>
    <mergeCell ref="C317:D317"/>
    <mergeCell ref="E317:G317"/>
    <mergeCell ref="H317:J317"/>
    <mergeCell ref="K317:M317"/>
    <mergeCell ref="C318:D318"/>
    <mergeCell ref="E318:G318"/>
    <mergeCell ref="H318:J318"/>
    <mergeCell ref="K318:M318"/>
    <mergeCell ref="B311:D311"/>
    <mergeCell ref="K311:L311"/>
    <mergeCell ref="B314:L314"/>
    <mergeCell ref="B315:D315"/>
    <mergeCell ref="E315:G315"/>
    <mergeCell ref="H315:J315"/>
    <mergeCell ref="K315:M315"/>
    <mergeCell ref="C319:D319"/>
    <mergeCell ref="E319:G319"/>
    <mergeCell ref="H319:J319"/>
    <mergeCell ref="K319:M319"/>
    <mergeCell ref="B410:L410"/>
    <mergeCell ref="B412:B413"/>
    <mergeCell ref="C412:D413"/>
    <mergeCell ref="E412:G412"/>
    <mergeCell ref="H412:J412"/>
    <mergeCell ref="K412:M412"/>
    <mergeCell ref="C397:D397"/>
    <mergeCell ref="K397:L397"/>
    <mergeCell ref="C399:D399"/>
    <mergeCell ref="K399:L399"/>
    <mergeCell ref="C402:D402"/>
    <mergeCell ref="N334:P334"/>
    <mergeCell ref="K335:L335"/>
    <mergeCell ref="C337:D337"/>
    <mergeCell ref="K337:L337"/>
    <mergeCell ref="C338:D338"/>
    <mergeCell ref="K338:L338"/>
    <mergeCell ref="N368:P368"/>
    <mergeCell ref="K369:L369"/>
    <mergeCell ref="C360:D360"/>
    <mergeCell ref="C361:D361"/>
    <mergeCell ref="B363:D363"/>
    <mergeCell ref="C364:D364"/>
    <mergeCell ref="C365:D365"/>
    <mergeCell ref="B367:D367"/>
    <mergeCell ref="B356:B357"/>
    <mergeCell ref="C356:D357"/>
    <mergeCell ref="E356:G356"/>
    <mergeCell ref="H356:J356"/>
    <mergeCell ref="K356:L356"/>
    <mergeCell ref="B359:D359"/>
    <mergeCell ref="B368:B369"/>
    <mergeCell ref="K420:L420"/>
    <mergeCell ref="C421:D421"/>
    <mergeCell ref="K421:L421"/>
    <mergeCell ref="C422:D422"/>
    <mergeCell ref="K422:L422"/>
    <mergeCell ref="C423:D423"/>
    <mergeCell ref="K423:L423"/>
    <mergeCell ref="C424:D424"/>
    <mergeCell ref="K424:L424"/>
    <mergeCell ref="C445:D445"/>
    <mergeCell ref="K445:L445"/>
    <mergeCell ref="N391:P391"/>
    <mergeCell ref="K392:L392"/>
    <mergeCell ref="B386:D386"/>
    <mergeCell ref="K386:L386"/>
    <mergeCell ref="B387:D387"/>
    <mergeCell ref="B389:M389"/>
    <mergeCell ref="B391:B392"/>
    <mergeCell ref="C391:D392"/>
    <mergeCell ref="E391:G391"/>
    <mergeCell ref="H391:J391"/>
    <mergeCell ref="K391:M391"/>
    <mergeCell ref="N412:P412"/>
    <mergeCell ref="K413:L413"/>
    <mergeCell ref="C415:D415"/>
    <mergeCell ref="K415:L415"/>
    <mergeCell ref="C416:D416"/>
    <mergeCell ref="K416:L416"/>
    <mergeCell ref="C396:D396"/>
    <mergeCell ref="K396:L396"/>
    <mergeCell ref="B409:D409"/>
    <mergeCell ref="K409:L409"/>
    <mergeCell ref="B452:L452"/>
    <mergeCell ref="B453:J453"/>
    <mergeCell ref="K453:M453"/>
    <mergeCell ref="N433:P433"/>
    <mergeCell ref="K434:L434"/>
    <mergeCell ref="C436:D436"/>
    <mergeCell ref="K436:L436"/>
    <mergeCell ref="C437:D437"/>
    <mergeCell ref="K437:L437"/>
    <mergeCell ref="C439:D439"/>
    <mergeCell ref="K439:L439"/>
    <mergeCell ref="C441:D441"/>
    <mergeCell ref="K441:L441"/>
    <mergeCell ref="C442:D442"/>
    <mergeCell ref="K442:L442"/>
    <mergeCell ref="C443:D443"/>
    <mergeCell ref="K443:L443"/>
    <mergeCell ref="E433:G433"/>
    <mergeCell ref="H433:J433"/>
    <mergeCell ref="K433:M433"/>
    <mergeCell ref="C444:D444"/>
    <mergeCell ref="K444:L444"/>
    <mergeCell ref="C448:D448"/>
    <mergeCell ref="K448:L448"/>
    <mergeCell ref="C449:D449"/>
    <mergeCell ref="K449:L449"/>
    <mergeCell ref="C450:D450"/>
    <mergeCell ref="K450:L450"/>
    <mergeCell ref="C438:D438"/>
    <mergeCell ref="K438:L438"/>
    <mergeCell ref="B451:D451"/>
    <mergeCell ref="K451:L451"/>
    <mergeCell ref="N457:P457"/>
    <mergeCell ref="K458:L458"/>
    <mergeCell ref="C460:D460"/>
    <mergeCell ref="K460:L460"/>
    <mergeCell ref="C461:D461"/>
    <mergeCell ref="K461:L461"/>
    <mergeCell ref="B454:J454"/>
    <mergeCell ref="K454:M454"/>
    <mergeCell ref="B457:B458"/>
    <mergeCell ref="C457:D458"/>
    <mergeCell ref="E457:G457"/>
    <mergeCell ref="H457:J457"/>
    <mergeCell ref="K457:M457"/>
    <mergeCell ref="N479:P479"/>
    <mergeCell ref="G480:H480"/>
    <mergeCell ref="K480:M480"/>
    <mergeCell ref="C482:D482"/>
    <mergeCell ref="G482:H482"/>
    <mergeCell ref="K482:M482"/>
    <mergeCell ref="C462:D462"/>
    <mergeCell ref="K462:L462"/>
    <mergeCell ref="B475:D475"/>
    <mergeCell ref="K475:L475"/>
    <mergeCell ref="B478:M478"/>
    <mergeCell ref="B479:B480"/>
    <mergeCell ref="C479:D480"/>
    <mergeCell ref="E479:H479"/>
    <mergeCell ref="I479:M479"/>
    <mergeCell ref="C463:D463"/>
    <mergeCell ref="K463:L463"/>
    <mergeCell ref="C465:D465"/>
    <mergeCell ref="K465:L465"/>
    <mergeCell ref="K466:L466"/>
    <mergeCell ref="C467:D467"/>
    <mergeCell ref="K467:L467"/>
    <mergeCell ref="C468:D468"/>
    <mergeCell ref="C485:D485"/>
    <mergeCell ref="G485:H485"/>
    <mergeCell ref="K485:M485"/>
    <mergeCell ref="C486:D486"/>
    <mergeCell ref="G486:H486"/>
    <mergeCell ref="K486:M486"/>
    <mergeCell ref="B483:D483"/>
    <mergeCell ref="G483:H483"/>
    <mergeCell ref="K483:M483"/>
    <mergeCell ref="C484:D484"/>
    <mergeCell ref="G484:H484"/>
    <mergeCell ref="K484:M484"/>
    <mergeCell ref="C469:D469"/>
    <mergeCell ref="K469:L469"/>
    <mergeCell ref="K468:L468"/>
    <mergeCell ref="C472:D472"/>
    <mergeCell ref="K472:L472"/>
    <mergeCell ref="C473:D473"/>
    <mergeCell ref="K473:L473"/>
    <mergeCell ref="C474:D474"/>
    <mergeCell ref="K474:L474"/>
    <mergeCell ref="B520:D520"/>
    <mergeCell ref="K520:L520"/>
    <mergeCell ref="B521:L521"/>
    <mergeCell ref="B522:L522"/>
    <mergeCell ref="B526:E526"/>
    <mergeCell ref="F526:H526"/>
    <mergeCell ref="I526:M526"/>
    <mergeCell ref="C505:D505"/>
    <mergeCell ref="K505:L505"/>
    <mergeCell ref="C506:D506"/>
    <mergeCell ref="K506:L506"/>
    <mergeCell ref="C507:D507"/>
    <mergeCell ref="K507:L507"/>
    <mergeCell ref="C509:D509"/>
    <mergeCell ref="K509:L509"/>
    <mergeCell ref="C508:D508"/>
    <mergeCell ref="K508:L508"/>
    <mergeCell ref="C512:D512"/>
    <mergeCell ref="K512:L512"/>
    <mergeCell ref="B547:B550"/>
    <mergeCell ref="B552:H552"/>
    <mergeCell ref="I552:M552"/>
    <mergeCell ref="B553:H553"/>
    <mergeCell ref="I553:M553"/>
    <mergeCell ref="B554:H554"/>
    <mergeCell ref="I554:M554"/>
    <mergeCell ref="B561:H561"/>
    <mergeCell ref="I561:M561"/>
    <mergeCell ref="B562:H562"/>
    <mergeCell ref="I562:M562"/>
    <mergeCell ref="I529:M529"/>
    <mergeCell ref="B530:E530"/>
    <mergeCell ref="F530:M530"/>
    <mergeCell ref="C531:G531"/>
    <mergeCell ref="B527:E527"/>
    <mergeCell ref="F527:H527"/>
    <mergeCell ref="I527:M527"/>
    <mergeCell ref="B528:E528"/>
    <mergeCell ref="F528:H528"/>
    <mergeCell ref="I528:M528"/>
    <mergeCell ref="B533:B534"/>
    <mergeCell ref="B535:B536"/>
    <mergeCell ref="B537:B538"/>
    <mergeCell ref="D538:E538"/>
    <mergeCell ref="B539:B544"/>
    <mergeCell ref="B545:B546"/>
    <mergeCell ref="D546:E546"/>
    <mergeCell ref="B529:E529"/>
    <mergeCell ref="F529:H529"/>
    <mergeCell ref="B567:H567"/>
    <mergeCell ref="I567:M567"/>
    <mergeCell ref="B568:H568"/>
    <mergeCell ref="I568:M568"/>
    <mergeCell ref="B569:H569"/>
    <mergeCell ref="I569:M569"/>
    <mergeCell ref="B564:H564"/>
    <mergeCell ref="I564:M564"/>
    <mergeCell ref="B565:H565"/>
    <mergeCell ref="I565:M565"/>
    <mergeCell ref="B566:H566"/>
    <mergeCell ref="I566:M566"/>
    <mergeCell ref="B555:H555"/>
    <mergeCell ref="I555:M555"/>
    <mergeCell ref="B556:H556"/>
    <mergeCell ref="I556:M556"/>
    <mergeCell ref="B557:H557"/>
    <mergeCell ref="I557:M557"/>
    <mergeCell ref="K184:M184"/>
    <mergeCell ref="B185:C186"/>
    <mergeCell ref="D185:D186"/>
    <mergeCell ref="E185:E186"/>
    <mergeCell ref="K185:M185"/>
    <mergeCell ref="K186:M186"/>
    <mergeCell ref="B191:C192"/>
    <mergeCell ref="D191:D192"/>
    <mergeCell ref="E191:E192"/>
    <mergeCell ref="K191:M191"/>
    <mergeCell ref="B572:H572"/>
    <mergeCell ref="I572:M572"/>
    <mergeCell ref="B579:H579"/>
    <mergeCell ref="I579:M579"/>
    <mergeCell ref="B580:H580"/>
    <mergeCell ref="I580:M580"/>
    <mergeCell ref="B581:H581"/>
    <mergeCell ref="I581:M581"/>
    <mergeCell ref="B576:H576"/>
    <mergeCell ref="I576:M576"/>
    <mergeCell ref="B577:H577"/>
    <mergeCell ref="I577:M577"/>
    <mergeCell ref="B578:H578"/>
    <mergeCell ref="I578:M578"/>
    <mergeCell ref="B563:H563"/>
    <mergeCell ref="I563:M563"/>
    <mergeCell ref="B558:H558"/>
    <mergeCell ref="I558:M558"/>
    <mergeCell ref="B559:H559"/>
    <mergeCell ref="I559:M559"/>
    <mergeCell ref="B560:H560"/>
    <mergeCell ref="I560:M560"/>
    <mergeCell ref="B570:H570"/>
    <mergeCell ref="I570:M570"/>
    <mergeCell ref="B571:H571"/>
    <mergeCell ref="I571:M571"/>
    <mergeCell ref="K470:L470"/>
    <mergeCell ref="C494:D494"/>
    <mergeCell ref="G494:H494"/>
    <mergeCell ref="K494:M494"/>
    <mergeCell ref="C515:D515"/>
    <mergeCell ref="K515:L515"/>
    <mergeCell ref="B92:F92"/>
    <mergeCell ref="J92:K92"/>
    <mergeCell ref="L92:M92"/>
    <mergeCell ref="B109:F109"/>
    <mergeCell ref="J109:K109"/>
    <mergeCell ref="L109:M109"/>
    <mergeCell ref="B199:D199"/>
    <mergeCell ref="K199:M199"/>
    <mergeCell ref="B220:E220"/>
    <mergeCell ref="K220:M220"/>
    <mergeCell ref="L94:M94"/>
    <mergeCell ref="B110:F110"/>
    <mergeCell ref="J110:K110"/>
    <mergeCell ref="L110:M110"/>
    <mergeCell ref="B111:F111"/>
    <mergeCell ref="J111:K111"/>
    <mergeCell ref="L111:M111"/>
    <mergeCell ref="B200:D200"/>
    <mergeCell ref="B183:C184"/>
    <mergeCell ref="D183:D184"/>
    <mergeCell ref="E183:E184"/>
    <mergeCell ref="K183:M183"/>
    <mergeCell ref="B588:H588"/>
    <mergeCell ref="I588:M588"/>
    <mergeCell ref="B585:H585"/>
    <mergeCell ref="I585:M585"/>
    <mergeCell ref="B586:H586"/>
    <mergeCell ref="I586:M586"/>
    <mergeCell ref="B587:H587"/>
    <mergeCell ref="I587:M587"/>
    <mergeCell ref="B582:H582"/>
    <mergeCell ref="I582:M582"/>
    <mergeCell ref="B583:H583"/>
    <mergeCell ref="I583:M583"/>
    <mergeCell ref="B584:H584"/>
    <mergeCell ref="I584:M584"/>
    <mergeCell ref="B573:H573"/>
    <mergeCell ref="I573:M573"/>
    <mergeCell ref="B574:H574"/>
    <mergeCell ref="I574:M574"/>
    <mergeCell ref="B575:H575"/>
    <mergeCell ref="I575:M575"/>
    <mergeCell ref="K200:M200"/>
    <mergeCell ref="B201:D201"/>
    <mergeCell ref="K201:M201"/>
    <mergeCell ref="B210:F210"/>
    <mergeCell ref="K210:M210"/>
    <mergeCell ref="B213:F213"/>
    <mergeCell ref="C301:D301"/>
    <mergeCell ref="K301:L301"/>
    <mergeCell ref="C322:D322"/>
    <mergeCell ref="E322:G322"/>
    <mergeCell ref="H322:J322"/>
    <mergeCell ref="K322:M322"/>
    <mergeCell ref="C342:D342"/>
    <mergeCell ref="K342:L342"/>
    <mergeCell ref="C376:D376"/>
    <mergeCell ref="K376:L376"/>
    <mergeCell ref="C302:D302"/>
    <mergeCell ref="K302:L302"/>
    <mergeCell ref="C303:D303"/>
    <mergeCell ref="K303:L303"/>
    <mergeCell ref="C323:D323"/>
    <mergeCell ref="E323:G323"/>
    <mergeCell ref="H323:J323"/>
    <mergeCell ref="E327:G327"/>
    <mergeCell ref="H327:J327"/>
    <mergeCell ref="C368:D369"/>
    <mergeCell ref="E368:G368"/>
    <mergeCell ref="H368:J368"/>
    <mergeCell ref="C347:D347"/>
    <mergeCell ref="K347:L347"/>
    <mergeCell ref="C340:D340"/>
    <mergeCell ref="K340:L340"/>
    <mergeCell ref="B195:D195"/>
    <mergeCell ref="K195:M195"/>
    <mergeCell ref="B196:D196"/>
    <mergeCell ref="K196:M196"/>
    <mergeCell ref="B209:F209"/>
    <mergeCell ref="K209:M209"/>
    <mergeCell ref="C489:D489"/>
    <mergeCell ref="G489:H489"/>
    <mergeCell ref="K489:M489"/>
    <mergeCell ref="C510:D510"/>
    <mergeCell ref="K510:L510"/>
    <mergeCell ref="C23:D23"/>
    <mergeCell ref="F23:G23"/>
    <mergeCell ref="H23:J23"/>
    <mergeCell ref="K23:L23"/>
    <mergeCell ref="C24:D24"/>
    <mergeCell ref="F24:G24"/>
    <mergeCell ref="H24:J24"/>
    <mergeCell ref="K24:L24"/>
    <mergeCell ref="B57:D57"/>
    <mergeCell ref="H57:I57"/>
    <mergeCell ref="J57:M57"/>
    <mergeCell ref="B58:D58"/>
    <mergeCell ref="H58:I58"/>
    <mergeCell ref="J58:M58"/>
    <mergeCell ref="B93:F93"/>
    <mergeCell ref="J93:K93"/>
    <mergeCell ref="L93:M93"/>
    <mergeCell ref="B94:F94"/>
    <mergeCell ref="J94:K94"/>
    <mergeCell ref="K344:L344"/>
    <mergeCell ref="C377:D377"/>
    <mergeCell ref="C490:D490"/>
    <mergeCell ref="G490:H490"/>
    <mergeCell ref="K490:M490"/>
    <mergeCell ref="C491:D491"/>
    <mergeCell ref="G491:H491"/>
    <mergeCell ref="K491:M491"/>
    <mergeCell ref="C511:D511"/>
    <mergeCell ref="K511:L511"/>
    <mergeCell ref="C306:D306"/>
    <mergeCell ref="K306:L306"/>
    <mergeCell ref="C327:D327"/>
    <mergeCell ref="K401:L401"/>
    <mergeCell ref="K394:L394"/>
    <mergeCell ref="C395:D395"/>
    <mergeCell ref="K395:L395"/>
    <mergeCell ref="B499:D499"/>
    <mergeCell ref="G499:H499"/>
    <mergeCell ref="K499:M499"/>
    <mergeCell ref="B502:B503"/>
    <mergeCell ref="C502:D503"/>
    <mergeCell ref="E502:G502"/>
    <mergeCell ref="H502:J502"/>
    <mergeCell ref="K502:M502"/>
    <mergeCell ref="K503:L503"/>
    <mergeCell ref="K323:M323"/>
    <mergeCell ref="K377:L377"/>
    <mergeCell ref="C378:D378"/>
    <mergeCell ref="K378:L378"/>
    <mergeCell ref="C400:D400"/>
    <mergeCell ref="K400:L400"/>
    <mergeCell ref="C401:D401"/>
    <mergeCell ref="C466:D466"/>
    <mergeCell ref="C27:D27"/>
    <mergeCell ref="F27:G27"/>
    <mergeCell ref="H27:J27"/>
    <mergeCell ref="K27:L27"/>
    <mergeCell ref="B61:D61"/>
    <mergeCell ref="H61:I61"/>
    <mergeCell ref="J61:M61"/>
    <mergeCell ref="B97:F97"/>
    <mergeCell ref="J97:K97"/>
    <mergeCell ref="L97:M97"/>
    <mergeCell ref="B114:F114"/>
    <mergeCell ref="J114:K114"/>
    <mergeCell ref="L114:M114"/>
    <mergeCell ref="B204:D204"/>
    <mergeCell ref="K204:M204"/>
    <mergeCell ref="B225:E225"/>
    <mergeCell ref="K225:M225"/>
    <mergeCell ref="B197:D197"/>
    <mergeCell ref="K197:M197"/>
    <mergeCell ref="B198:D198"/>
    <mergeCell ref="K198:M198"/>
    <mergeCell ref="B194:D194"/>
    <mergeCell ref="B95:F95"/>
    <mergeCell ref="J95:K95"/>
    <mergeCell ref="L95:M95"/>
    <mergeCell ref="B112:F112"/>
    <mergeCell ref="J112:K112"/>
    <mergeCell ref="L112:M112"/>
    <mergeCell ref="B202:D202"/>
    <mergeCell ref="K202:M202"/>
    <mergeCell ref="B223:E223"/>
    <mergeCell ref="K223:M223"/>
    <mergeCell ref="C28:D28"/>
    <mergeCell ref="F28:G28"/>
    <mergeCell ref="H28:J28"/>
    <mergeCell ref="K28:L28"/>
    <mergeCell ref="B62:D62"/>
    <mergeCell ref="H62:I62"/>
    <mergeCell ref="J62:M62"/>
    <mergeCell ref="B98:F98"/>
    <mergeCell ref="J98:K98"/>
    <mergeCell ref="L98:M98"/>
    <mergeCell ref="B115:F115"/>
    <mergeCell ref="J115:K115"/>
    <mergeCell ref="L115:M115"/>
    <mergeCell ref="B205:D205"/>
    <mergeCell ref="K205:M205"/>
    <mergeCell ref="B226:E226"/>
    <mergeCell ref="K226:M226"/>
    <mergeCell ref="B100:F100"/>
    <mergeCell ref="J100:K100"/>
    <mergeCell ref="L100:M100"/>
    <mergeCell ref="B101:F101"/>
    <mergeCell ref="J101:K101"/>
    <mergeCell ref="L101:M101"/>
    <mergeCell ref="B116:F116"/>
    <mergeCell ref="J116:K116"/>
    <mergeCell ref="L116:M116"/>
    <mergeCell ref="B117:F117"/>
    <mergeCell ref="J117:K117"/>
    <mergeCell ref="L117:M117"/>
    <mergeCell ref="B118:F118"/>
    <mergeCell ref="J118:K118"/>
    <mergeCell ref="L118:M118"/>
    <mergeCell ref="C492:D492"/>
    <mergeCell ref="G492:H492"/>
    <mergeCell ref="K492:M492"/>
    <mergeCell ref="C513:D513"/>
    <mergeCell ref="K513:L513"/>
    <mergeCell ref="C304:D304"/>
    <mergeCell ref="K304:L304"/>
    <mergeCell ref="C325:D325"/>
    <mergeCell ref="C495:D495"/>
    <mergeCell ref="G495:H495"/>
    <mergeCell ref="K495:M495"/>
    <mergeCell ref="C516:D516"/>
    <mergeCell ref="K516:L516"/>
    <mergeCell ref="C307:D307"/>
    <mergeCell ref="K307:L307"/>
    <mergeCell ref="C328:D328"/>
    <mergeCell ref="E328:G328"/>
    <mergeCell ref="H328:J328"/>
    <mergeCell ref="K328:M328"/>
    <mergeCell ref="C348:D348"/>
    <mergeCell ref="K348:L348"/>
    <mergeCell ref="C382:D382"/>
    <mergeCell ref="K382:L382"/>
    <mergeCell ref="C405:D405"/>
    <mergeCell ref="K405:L405"/>
    <mergeCell ref="C426:D426"/>
    <mergeCell ref="K426:L426"/>
    <mergeCell ref="C447:D447"/>
    <mergeCell ref="K447:L447"/>
    <mergeCell ref="C471:D471"/>
    <mergeCell ref="K471:L471"/>
    <mergeCell ref="C381:D381"/>
    <mergeCell ref="C446:D446"/>
    <mergeCell ref="K446:L446"/>
    <mergeCell ref="C470:D470"/>
    <mergeCell ref="C29:D29"/>
    <mergeCell ref="F29:G29"/>
    <mergeCell ref="H29:J29"/>
    <mergeCell ref="K29:L29"/>
    <mergeCell ref="C30:D30"/>
    <mergeCell ref="F30:G30"/>
    <mergeCell ref="H30:J30"/>
    <mergeCell ref="K30:L30"/>
    <mergeCell ref="C31:D31"/>
    <mergeCell ref="F31:G31"/>
    <mergeCell ref="H31:J31"/>
    <mergeCell ref="K31:L31"/>
    <mergeCell ref="B63:D63"/>
    <mergeCell ref="H63:I63"/>
    <mergeCell ref="J63:M63"/>
    <mergeCell ref="B64:D64"/>
    <mergeCell ref="H64:I64"/>
    <mergeCell ref="J64:M64"/>
    <mergeCell ref="B65:D65"/>
    <mergeCell ref="H65:I65"/>
    <mergeCell ref="J65:M65"/>
    <mergeCell ref="B99:F99"/>
    <mergeCell ref="J99:K99"/>
    <mergeCell ref="L99:M99"/>
    <mergeCell ref="E325:G325"/>
    <mergeCell ref="H325:J325"/>
    <mergeCell ref="K325:M325"/>
    <mergeCell ref="C345:D345"/>
    <mergeCell ref="K345:L345"/>
    <mergeCell ref="B206:D206"/>
    <mergeCell ref="K206:M206"/>
    <mergeCell ref="B207:D207"/>
    <mergeCell ref="K207:M207"/>
    <mergeCell ref="B208:D208"/>
    <mergeCell ref="K208:M208"/>
    <mergeCell ref="B227:E227"/>
    <mergeCell ref="K227:M227"/>
    <mergeCell ref="B228:E228"/>
    <mergeCell ref="K228:M228"/>
    <mergeCell ref="B229:E229"/>
    <mergeCell ref="K229:M229"/>
    <mergeCell ref="C308:D308"/>
    <mergeCell ref="K308:L308"/>
    <mergeCell ref="C309:D309"/>
    <mergeCell ref="K309:L309"/>
    <mergeCell ref="C310:D310"/>
    <mergeCell ref="K310:L310"/>
    <mergeCell ref="K213:M213"/>
    <mergeCell ref="B215:E215"/>
    <mergeCell ref="K215:M215"/>
    <mergeCell ref="C296:D296"/>
    <mergeCell ref="K296:L296"/>
    <mergeCell ref="C297:D297"/>
    <mergeCell ref="K297:L297"/>
    <mergeCell ref="C298:D298"/>
    <mergeCell ref="K298:L298"/>
    <mergeCell ref="K287:L288"/>
    <mergeCell ref="M287:M288"/>
    <mergeCell ref="J277:J278"/>
    <mergeCell ref="K277:L278"/>
    <mergeCell ref="M277:M278"/>
    <mergeCell ref="K429:L429"/>
    <mergeCell ref="C329:D329"/>
    <mergeCell ref="E329:G329"/>
    <mergeCell ref="H329:J329"/>
    <mergeCell ref="K329:M329"/>
    <mergeCell ref="C330:D330"/>
    <mergeCell ref="E330:G330"/>
    <mergeCell ref="H330:J330"/>
    <mergeCell ref="K330:M330"/>
    <mergeCell ref="C331:D331"/>
    <mergeCell ref="E331:G331"/>
    <mergeCell ref="H331:J331"/>
    <mergeCell ref="K331:M331"/>
    <mergeCell ref="C349:D349"/>
    <mergeCell ref="K349:L349"/>
    <mergeCell ref="C350:D350"/>
    <mergeCell ref="K350:L350"/>
    <mergeCell ref="C351:D351"/>
    <mergeCell ref="K351:L351"/>
    <mergeCell ref="K381:L381"/>
    <mergeCell ref="C404:D404"/>
    <mergeCell ref="K404:L404"/>
    <mergeCell ref="C425:D425"/>
    <mergeCell ref="K425:L425"/>
    <mergeCell ref="C379:D379"/>
    <mergeCell ref="K379:L379"/>
    <mergeCell ref="K402:L402"/>
    <mergeCell ref="C403:D403"/>
    <mergeCell ref="K403:L403"/>
    <mergeCell ref="C418:D418"/>
    <mergeCell ref="K418:L418"/>
    <mergeCell ref="C420:D420"/>
    <mergeCell ref="C496:D496"/>
    <mergeCell ref="G496:H496"/>
    <mergeCell ref="K496:M496"/>
    <mergeCell ref="C497:D497"/>
    <mergeCell ref="G497:H497"/>
    <mergeCell ref="K497:M497"/>
    <mergeCell ref="C498:D498"/>
    <mergeCell ref="G498:H498"/>
    <mergeCell ref="K498:M498"/>
    <mergeCell ref="C517:D517"/>
    <mergeCell ref="K517:L517"/>
    <mergeCell ref="C518:D518"/>
    <mergeCell ref="K518:L518"/>
    <mergeCell ref="C519:D519"/>
    <mergeCell ref="K519:L519"/>
    <mergeCell ref="C383:D383"/>
    <mergeCell ref="K383:L383"/>
    <mergeCell ref="C384:D384"/>
    <mergeCell ref="K384:L384"/>
    <mergeCell ref="C385:D385"/>
    <mergeCell ref="K385:L385"/>
    <mergeCell ref="C406:D406"/>
    <mergeCell ref="K406:L406"/>
    <mergeCell ref="C407:D407"/>
    <mergeCell ref="K407:L407"/>
    <mergeCell ref="C408:D408"/>
    <mergeCell ref="K408:L408"/>
    <mergeCell ref="C427:D427"/>
    <mergeCell ref="K427:L427"/>
    <mergeCell ref="C428:D428"/>
    <mergeCell ref="K428:L428"/>
    <mergeCell ref="C429:D429"/>
  </mergeCells>
  <conditionalFormatting sqref="F530 K453:L453">
    <cfRule type="cellIs" dxfId="542" priority="96" operator="equal">
      <formula>"No"</formula>
    </cfRule>
  </conditionalFormatting>
  <conditionalFormatting sqref="K317:K318">
    <cfRule type="expression" dxfId="541" priority="95">
      <formula>IFERROR(AND(K317&gt;0.1,K317&lt;&gt;""),FALSE)</formula>
    </cfRule>
  </conditionalFormatting>
  <conditionalFormatting sqref="B505:M506 B484:M485 B394:M395 B415:M416 B371:M372 B460:M461 B436:M437">
    <cfRule type="expression" dxfId="540" priority="94">
      <formula>AND(DESPath=3,OR($B371="District Cooling",$B371="District Hot Water",$B371="District Steam"))</formula>
    </cfRule>
  </conditionalFormatting>
  <conditionalFormatting sqref="E317:J318">
    <cfRule type="expression" dxfId="539" priority="97">
      <formula>AND(DESPath=3,$B$361=$B317,ISERROR(1/VLOOKUP($B317,PO_Enrgy_7_Table,MATCH($G$295,PO_Enrgy_7_Hdr,0),FALSE)))</formula>
    </cfRule>
  </conditionalFormatting>
  <conditionalFormatting sqref="I553:M588">
    <cfRule type="expression" dxfId="538" priority="93">
      <formula>IF($R553=TRUE,TRUE,FALSE)</formula>
    </cfRule>
  </conditionalFormatting>
  <conditionalFormatting sqref="K319">
    <cfRule type="expression" dxfId="537" priority="91">
      <formula>IFERROR(AND(K319&gt;0.1,K319&lt;&gt;""),FALSE)</formula>
    </cfRule>
  </conditionalFormatting>
  <conditionalFormatting sqref="E319:J319">
    <cfRule type="expression" dxfId="536" priority="92">
      <formula>AND(DESPath=3,$B$361=$B319,ISERROR(1/VLOOKUP($B319,PO_Enrgy_7_Table,MATCH($G$295,PO_Enrgy_7_Hdr,0),FALSE)))</formula>
    </cfRule>
  </conditionalFormatting>
  <conditionalFormatting sqref="B373:M373">
    <cfRule type="expression" dxfId="535" priority="90">
      <formula>AND(DESPath=3,OR($B373="District Cooling",$B373="District Hot Water",$B373="District Steam"))</formula>
    </cfRule>
  </conditionalFormatting>
  <conditionalFormatting sqref="B396:M396">
    <cfRule type="expression" dxfId="534" priority="89">
      <formula>AND(DESPath=3,OR($B396="District Cooling",$B396="District Hot Water",$B396="District Steam"))</formula>
    </cfRule>
  </conditionalFormatting>
  <conditionalFormatting sqref="B417:M417">
    <cfRule type="expression" dxfId="533" priority="88">
      <formula>AND(DESPath=3,OR($B417="District Cooling",$B417="District Hot Water",$B417="District Steam"))</formula>
    </cfRule>
  </conditionalFormatting>
  <conditionalFormatting sqref="B438:M438">
    <cfRule type="expression" dxfId="532" priority="87">
      <formula>AND(DESPath=3,OR($B438="District Cooling",$B438="District Hot Water",$B438="District Steam"))</formula>
    </cfRule>
  </conditionalFormatting>
  <conditionalFormatting sqref="B462:M462">
    <cfRule type="expression" dxfId="531" priority="86">
      <formula>AND(DESPath=3,OR($B462="District Cooling",$B462="District Hot Water",$B462="District Steam"))</formula>
    </cfRule>
  </conditionalFormatting>
  <conditionalFormatting sqref="B486:M486">
    <cfRule type="expression" dxfId="530" priority="85">
      <formula>AND(DESPath=3,OR($B486="District Cooling",$B486="District Hot Water",$B486="District Steam"))</formula>
    </cfRule>
  </conditionalFormatting>
  <conditionalFormatting sqref="B507:M507">
    <cfRule type="expression" dxfId="529" priority="84">
      <formula>AND(DESPath=3,OR($B507="District Cooling",$B507="District Hot Water",$B507="District Steam"))</formula>
    </cfRule>
  </conditionalFormatting>
  <conditionalFormatting sqref="B553:H588">
    <cfRule type="expression" dxfId="528" priority="83">
      <formula>IF($R553=TRUE,TRUE,FALSE)</formula>
    </cfRule>
  </conditionalFormatting>
  <conditionalFormatting sqref="K454:L454">
    <cfRule type="cellIs" dxfId="527" priority="82" operator="equal">
      <formula>"No"</formula>
    </cfRule>
  </conditionalFormatting>
  <conditionalFormatting sqref="K320">
    <cfRule type="expression" dxfId="526" priority="80">
      <formula>IFERROR(AND(K320&gt;0.1,K320&lt;&gt;""),FALSE)</formula>
    </cfRule>
  </conditionalFormatting>
  <conditionalFormatting sqref="E320:J320">
    <cfRule type="expression" dxfId="525" priority="81">
      <formula>AND(DESPath=3,$B$361=$B320,ISERROR(1/VLOOKUP($B320,PO_Enrgy_7_Table,MATCH($G$295,PO_Enrgy_7_Hdr,0),FALSE)))</formula>
    </cfRule>
  </conditionalFormatting>
  <conditionalFormatting sqref="B374:M374">
    <cfRule type="expression" dxfId="524" priority="79">
      <formula>AND(DESPath=3,OR($B374="District Cooling",$B374="District Hot Water",$B374="District Steam"))</formula>
    </cfRule>
  </conditionalFormatting>
  <conditionalFormatting sqref="B397:M397">
    <cfRule type="expression" dxfId="523" priority="78">
      <formula>AND(DESPath=3,OR($B397="District Cooling",$B397="District Hot Water",$B397="District Steam"))</formula>
    </cfRule>
  </conditionalFormatting>
  <conditionalFormatting sqref="B418:M418">
    <cfRule type="expression" dxfId="522" priority="77">
      <formula>AND(DESPath=3,OR($B418="District Cooling",$B418="District Hot Water",$B418="District Steam"))</formula>
    </cfRule>
  </conditionalFormatting>
  <conditionalFormatting sqref="B439:M439">
    <cfRule type="expression" dxfId="521" priority="76">
      <formula>AND(DESPath=3,OR($B439="District Cooling",$B439="District Hot Water",$B439="District Steam"))</formula>
    </cfRule>
  </conditionalFormatting>
  <conditionalFormatting sqref="B463:M463">
    <cfRule type="expression" dxfId="520" priority="75">
      <formula>AND(DESPath=3,OR($B463="District Cooling",$B463="District Hot Water",$B463="District Steam"))</formula>
    </cfRule>
  </conditionalFormatting>
  <conditionalFormatting sqref="B487:M487">
    <cfRule type="expression" dxfId="519" priority="74">
      <formula>AND(DESPath=3,OR($B487="District Cooling",$B487="District Hot Water",$B487="District Steam"))</formula>
    </cfRule>
  </conditionalFormatting>
  <conditionalFormatting sqref="B508:M508">
    <cfRule type="expression" dxfId="518" priority="73">
      <formula>AND(DESPath=3,OR($B508="District Cooling",$B508="District Hot Water",$B508="District Steam"))</formula>
    </cfRule>
  </conditionalFormatting>
  <conditionalFormatting sqref="K321">
    <cfRule type="expression" dxfId="517" priority="71">
      <formula>IFERROR(AND(K321&gt;0.1,K321&lt;&gt;""),FALSE)</formula>
    </cfRule>
  </conditionalFormatting>
  <conditionalFormatting sqref="E321:J321">
    <cfRule type="expression" dxfId="516" priority="72">
      <formula>AND(DESPath=3,$B$361=$B321,ISERROR(1/VLOOKUP($B321,PO_Enrgy_7_Table,MATCH($G$295,PO_Enrgy_7_Hdr,0),FALSE)))</formula>
    </cfRule>
  </conditionalFormatting>
  <conditionalFormatting sqref="B375:M375">
    <cfRule type="expression" dxfId="515" priority="70">
      <formula>AND(DESPath=3,OR($B375="District Cooling",$B375="District Hot Water",$B375="District Steam"))</formula>
    </cfRule>
  </conditionalFormatting>
  <conditionalFormatting sqref="B398:M398">
    <cfRule type="expression" dxfId="514" priority="69">
      <formula>AND(DESPath=3,OR($B398="District Cooling",$B398="District Hot Water",$B398="District Steam"))</formula>
    </cfRule>
  </conditionalFormatting>
  <conditionalFormatting sqref="B419:M419">
    <cfRule type="expression" dxfId="513" priority="68">
      <formula>AND(DESPath=3,OR($B419="District Cooling",$B419="District Hot Water",$B419="District Steam"))</formula>
    </cfRule>
  </conditionalFormatting>
  <conditionalFormatting sqref="B440:M440">
    <cfRule type="expression" dxfId="512" priority="67">
      <formula>AND(DESPath=3,OR($B440="District Cooling",$B440="District Hot Water",$B440="District Steam"))</formula>
    </cfRule>
  </conditionalFormatting>
  <conditionalFormatting sqref="B464:M464">
    <cfRule type="expression" dxfId="511" priority="66">
      <formula>AND(DESPath=3,OR($B464="District Cooling",$B464="District Hot Water",$B464="District Steam"))</formula>
    </cfRule>
  </conditionalFormatting>
  <conditionalFormatting sqref="B488:M488">
    <cfRule type="expression" dxfId="510" priority="65">
      <formula>AND(DESPath=3,OR($B488="District Cooling",$B488="District Hot Water",$B488="District Steam"))</formula>
    </cfRule>
  </conditionalFormatting>
  <conditionalFormatting sqref="B509:M509">
    <cfRule type="expression" dxfId="509" priority="64">
      <formula>AND(DESPath=3,OR($B509="District Cooling",$B509="District Hot Water",$B509="District Steam"))</formula>
    </cfRule>
  </conditionalFormatting>
  <conditionalFormatting sqref="K322">
    <cfRule type="expression" dxfId="508" priority="62">
      <formula>IFERROR(AND(K322&gt;0.1,K322&lt;&gt;""),FALSE)</formula>
    </cfRule>
  </conditionalFormatting>
  <conditionalFormatting sqref="E322:J322">
    <cfRule type="expression" dxfId="507" priority="63">
      <formula>AND(DESPath=3,$B$361=$B322,ISERROR(1/VLOOKUP($B322,PO_Enrgy_7_Table,MATCH($G$295,PO_Enrgy_7_Hdr,0),FALSE)))</formula>
    </cfRule>
  </conditionalFormatting>
  <conditionalFormatting sqref="B376:M376">
    <cfRule type="expression" dxfId="506" priority="61">
      <formula>AND(DESPath=3,OR($B376="District Cooling",$B376="District Hot Water",$B376="District Steam"))</formula>
    </cfRule>
  </conditionalFormatting>
  <conditionalFormatting sqref="B399:M399">
    <cfRule type="expression" dxfId="505" priority="60">
      <formula>AND(DESPath=3,OR($B399="District Cooling",$B399="District Hot Water",$B399="District Steam"))</formula>
    </cfRule>
  </conditionalFormatting>
  <conditionalFormatting sqref="B420:M420">
    <cfRule type="expression" dxfId="504" priority="59">
      <formula>AND(DESPath=3,OR($B420="District Cooling",$B420="District Hot Water",$B420="District Steam"))</formula>
    </cfRule>
  </conditionalFormatting>
  <conditionalFormatting sqref="B441:M441">
    <cfRule type="expression" dxfId="503" priority="58">
      <formula>AND(DESPath=3,OR($B441="District Cooling",$B441="District Hot Water",$B441="District Steam"))</formula>
    </cfRule>
  </conditionalFormatting>
  <conditionalFormatting sqref="B465:M465">
    <cfRule type="expression" dxfId="502" priority="57">
      <formula>AND(DESPath=3,OR($B465="District Cooling",$B465="District Hot Water",$B465="District Steam"))</formula>
    </cfRule>
  </conditionalFormatting>
  <conditionalFormatting sqref="B489:M489">
    <cfRule type="expression" dxfId="501" priority="56">
      <formula>AND(DESPath=3,OR($B489="District Cooling",$B489="District Hot Water",$B489="District Steam"))</formula>
    </cfRule>
  </conditionalFormatting>
  <conditionalFormatting sqref="B510:M510">
    <cfRule type="expression" dxfId="500" priority="55">
      <formula>AND(DESPath=3,OR($B510="District Cooling",$B510="District Hot Water",$B510="District Steam"))</formula>
    </cfRule>
  </conditionalFormatting>
  <conditionalFormatting sqref="K323:K324">
    <cfRule type="expression" dxfId="499" priority="53">
      <formula>IFERROR(AND(K323&gt;0.1,K323&lt;&gt;""),FALSE)</formula>
    </cfRule>
  </conditionalFormatting>
  <conditionalFormatting sqref="E323:J324">
    <cfRule type="expression" dxfId="498" priority="54">
      <formula>AND(DESPath=3,$B$361=$B323,ISERROR(1/VLOOKUP($B323,PO_Enrgy_7_Table,MATCH($G$295,PO_Enrgy_7_Hdr,0),FALSE)))</formula>
    </cfRule>
  </conditionalFormatting>
  <conditionalFormatting sqref="B377:M378">
    <cfRule type="expression" dxfId="497" priority="52">
      <formula>AND(DESPath=3,OR($B377="District Cooling",$B377="District Hot Water",$B377="District Steam"))</formula>
    </cfRule>
  </conditionalFormatting>
  <conditionalFormatting sqref="B400:M401">
    <cfRule type="expression" dxfId="496" priority="51">
      <formula>AND(DESPath=3,OR($B400="District Cooling",$B400="District Hot Water",$B400="District Steam"))</formula>
    </cfRule>
  </conditionalFormatting>
  <conditionalFormatting sqref="B421:M422">
    <cfRule type="expression" dxfId="495" priority="50">
      <formula>AND(DESPath=3,OR($B421="District Cooling",$B421="District Hot Water",$B421="District Steam"))</formula>
    </cfRule>
  </conditionalFormatting>
  <conditionalFormatting sqref="B442:M443">
    <cfRule type="expression" dxfId="494" priority="49">
      <formula>AND(DESPath=3,OR($B442="District Cooling",$B442="District Hot Water",$B442="District Steam"))</formula>
    </cfRule>
  </conditionalFormatting>
  <conditionalFormatting sqref="B466:M467">
    <cfRule type="expression" dxfId="493" priority="48">
      <formula>AND(DESPath=3,OR($B466="District Cooling",$B466="District Hot Water",$B466="District Steam"))</formula>
    </cfRule>
  </conditionalFormatting>
  <conditionalFormatting sqref="B490:M491">
    <cfRule type="expression" dxfId="492" priority="47">
      <formula>AND(DESPath=3,OR($B490="District Cooling",$B490="District Hot Water",$B490="District Steam"))</formula>
    </cfRule>
  </conditionalFormatting>
  <conditionalFormatting sqref="B511:M512">
    <cfRule type="expression" dxfId="491" priority="46">
      <formula>AND(DESPath=3,OR($B511="District Cooling",$B511="District Hot Water",$B511="District Steam"))</formula>
    </cfRule>
  </conditionalFormatting>
  <conditionalFormatting sqref="K325">
    <cfRule type="expression" dxfId="490" priority="44">
      <formula>IFERROR(AND(K325&gt;0.1,K325&lt;&gt;""),FALSE)</formula>
    </cfRule>
  </conditionalFormatting>
  <conditionalFormatting sqref="E325:J325">
    <cfRule type="expression" dxfId="489" priority="45">
      <formula>AND(DESPath=3,$B$361=$B325,ISERROR(1/VLOOKUP($B325,PO_Enrgy_7_Table,MATCH($G$295,PO_Enrgy_7_Hdr,0),FALSE)))</formula>
    </cfRule>
  </conditionalFormatting>
  <conditionalFormatting sqref="B379:M379">
    <cfRule type="expression" dxfId="488" priority="43">
      <formula>AND(DESPath=3,OR($B379="District Cooling",$B379="District Hot Water",$B379="District Steam"))</formula>
    </cfRule>
  </conditionalFormatting>
  <conditionalFormatting sqref="B402:M402">
    <cfRule type="expression" dxfId="487" priority="42">
      <formula>AND(DESPath=3,OR($B402="District Cooling",$B402="District Hot Water",$B402="District Steam"))</formula>
    </cfRule>
  </conditionalFormatting>
  <conditionalFormatting sqref="B423:M423">
    <cfRule type="expression" dxfId="486" priority="41">
      <formula>AND(DESPath=3,OR($B423="District Cooling",$B423="District Hot Water",$B423="District Steam"))</formula>
    </cfRule>
  </conditionalFormatting>
  <conditionalFormatting sqref="B444:M444">
    <cfRule type="expression" dxfId="485" priority="40">
      <formula>AND(DESPath=3,OR($B444="District Cooling",$B444="District Hot Water",$B444="District Steam"))</formula>
    </cfRule>
  </conditionalFormatting>
  <conditionalFormatting sqref="B468:M468">
    <cfRule type="expression" dxfId="484" priority="39">
      <formula>AND(DESPath=3,OR($B468="District Cooling",$B468="District Hot Water",$B468="District Steam"))</formula>
    </cfRule>
  </conditionalFormatting>
  <conditionalFormatting sqref="B492:M492">
    <cfRule type="expression" dxfId="483" priority="38">
      <formula>AND(DESPath=3,OR($B492="District Cooling",$B492="District Hot Water",$B492="District Steam"))</formula>
    </cfRule>
  </conditionalFormatting>
  <conditionalFormatting sqref="B513:M513">
    <cfRule type="expression" dxfId="482" priority="37">
      <formula>AND(DESPath=3,OR($B513="District Cooling",$B513="District Hot Water",$B513="District Steam"))</formula>
    </cfRule>
  </conditionalFormatting>
  <conditionalFormatting sqref="K326">
    <cfRule type="expression" dxfId="481" priority="35">
      <formula>IFERROR(AND(K326&gt;0.1,K326&lt;&gt;""),FALSE)</formula>
    </cfRule>
  </conditionalFormatting>
  <conditionalFormatting sqref="E326:J326">
    <cfRule type="expression" dxfId="480" priority="36">
      <formula>AND(DESPath=3,$B$361=$B326,ISERROR(1/VLOOKUP($B326,PO_Enrgy_7_Table,MATCH($G$295,PO_Enrgy_7_Hdr,0),FALSE)))</formula>
    </cfRule>
  </conditionalFormatting>
  <conditionalFormatting sqref="B380:M380">
    <cfRule type="expression" dxfId="479" priority="34">
      <formula>AND(DESPath=3,OR($B380="District Cooling",$B380="District Hot Water",$B380="District Steam"))</formula>
    </cfRule>
  </conditionalFormatting>
  <conditionalFormatting sqref="B403:M403">
    <cfRule type="expression" dxfId="478" priority="33">
      <formula>AND(DESPath=3,OR($B403="District Cooling",$B403="District Hot Water",$B403="District Steam"))</formula>
    </cfRule>
  </conditionalFormatting>
  <conditionalFormatting sqref="B424:M424">
    <cfRule type="expression" dxfId="477" priority="32">
      <formula>AND(DESPath=3,OR($B424="District Cooling",$B424="District Hot Water",$B424="District Steam"))</formula>
    </cfRule>
  </conditionalFormatting>
  <conditionalFormatting sqref="B445:M445">
    <cfRule type="expression" dxfId="476" priority="31">
      <formula>AND(DESPath=3,OR($B445="District Cooling",$B445="District Hot Water",$B445="District Steam"))</formula>
    </cfRule>
  </conditionalFormatting>
  <conditionalFormatting sqref="B469:M469">
    <cfRule type="expression" dxfId="475" priority="30">
      <formula>AND(DESPath=3,OR($B469="District Cooling",$B469="District Hot Water",$B469="District Steam"))</formula>
    </cfRule>
  </conditionalFormatting>
  <conditionalFormatting sqref="B493:M493">
    <cfRule type="expression" dxfId="474" priority="29">
      <formula>AND(DESPath=3,OR($B493="District Cooling",$B493="District Hot Water",$B493="District Steam"))</formula>
    </cfRule>
  </conditionalFormatting>
  <conditionalFormatting sqref="B514:M514">
    <cfRule type="expression" dxfId="473" priority="28">
      <formula>AND(DESPath=3,OR($B514="District Cooling",$B514="District Hot Water",$B514="District Steam"))</formula>
    </cfRule>
  </conditionalFormatting>
  <conditionalFormatting sqref="K327">
    <cfRule type="expression" dxfId="472" priority="26">
      <formula>IFERROR(AND(K327&gt;0.1,K327&lt;&gt;""),FALSE)</formula>
    </cfRule>
  </conditionalFormatting>
  <conditionalFormatting sqref="E327:J327">
    <cfRule type="expression" dxfId="471" priority="27">
      <formula>AND(DESPath=3,$B$361=$B327,ISERROR(1/VLOOKUP($B327,PO_Enrgy_7_Table,MATCH($G$295,PO_Enrgy_7_Hdr,0),FALSE)))</formula>
    </cfRule>
  </conditionalFormatting>
  <conditionalFormatting sqref="B381:M381">
    <cfRule type="expression" dxfId="470" priority="25">
      <formula>AND(DESPath=3,OR($B381="District Cooling",$B381="District Hot Water",$B381="District Steam"))</formula>
    </cfRule>
  </conditionalFormatting>
  <conditionalFormatting sqref="B404:M404">
    <cfRule type="expression" dxfId="469" priority="24">
      <formula>AND(DESPath=3,OR($B404="District Cooling",$B404="District Hot Water",$B404="District Steam"))</formula>
    </cfRule>
  </conditionalFormatting>
  <conditionalFormatting sqref="B425:M425">
    <cfRule type="expression" dxfId="468" priority="23">
      <formula>AND(DESPath=3,OR($B425="District Cooling",$B425="District Hot Water",$B425="District Steam"))</formula>
    </cfRule>
  </conditionalFormatting>
  <conditionalFormatting sqref="B446:M446">
    <cfRule type="expression" dxfId="467" priority="22">
      <formula>AND(DESPath=3,OR($B446="District Cooling",$B446="District Hot Water",$B446="District Steam"))</formula>
    </cfRule>
  </conditionalFormatting>
  <conditionalFormatting sqref="B470:M470">
    <cfRule type="expression" dxfId="466" priority="21">
      <formula>AND(DESPath=3,OR($B470="District Cooling",$B470="District Hot Water",$B470="District Steam"))</formula>
    </cfRule>
  </conditionalFormatting>
  <conditionalFormatting sqref="B494:M494">
    <cfRule type="expression" dxfId="465" priority="20">
      <formula>AND(DESPath=3,OR($B494="District Cooling",$B494="District Hot Water",$B494="District Steam"))</formula>
    </cfRule>
  </conditionalFormatting>
  <conditionalFormatting sqref="B515:M515">
    <cfRule type="expression" dxfId="464" priority="19">
      <formula>AND(DESPath=3,OR($B515="District Cooling",$B515="District Hot Water",$B515="District Steam"))</formula>
    </cfRule>
  </conditionalFormatting>
  <conditionalFormatting sqref="K328">
    <cfRule type="expression" dxfId="463" priority="17">
      <formula>IFERROR(AND(K328&gt;0.1,K328&lt;&gt;""),FALSE)</formula>
    </cfRule>
  </conditionalFormatting>
  <conditionalFormatting sqref="E328:J328">
    <cfRule type="expression" dxfId="462" priority="18">
      <formula>AND(DESPath=3,$B$361=$B328,ISERROR(1/VLOOKUP($B328,PO_Enrgy_7_Table,MATCH($G$295,PO_Enrgy_7_Hdr,0),FALSE)))</formula>
    </cfRule>
  </conditionalFormatting>
  <conditionalFormatting sqref="B382:M382">
    <cfRule type="expression" dxfId="461" priority="16">
      <formula>AND(DESPath=3,OR($B382="District Cooling",$B382="District Hot Water",$B382="District Steam"))</formula>
    </cfRule>
  </conditionalFormatting>
  <conditionalFormatting sqref="B405:M405">
    <cfRule type="expression" dxfId="460" priority="15">
      <formula>AND(DESPath=3,OR($B405="District Cooling",$B405="District Hot Water",$B405="District Steam"))</formula>
    </cfRule>
  </conditionalFormatting>
  <conditionalFormatting sqref="B426:M426">
    <cfRule type="expression" dxfId="459" priority="14">
      <formula>AND(DESPath=3,OR($B426="District Cooling",$B426="District Hot Water",$B426="District Steam"))</formula>
    </cfRule>
  </conditionalFormatting>
  <conditionalFormatting sqref="B447:M447">
    <cfRule type="expression" dxfId="458" priority="13">
      <formula>AND(DESPath=3,OR($B447="District Cooling",$B447="District Hot Water",$B447="District Steam"))</formula>
    </cfRule>
  </conditionalFormatting>
  <conditionalFormatting sqref="B471:M471">
    <cfRule type="expression" dxfId="457" priority="12">
      <formula>AND(DESPath=3,OR($B471="District Cooling",$B471="District Hot Water",$B471="District Steam"))</formula>
    </cfRule>
  </conditionalFormatting>
  <conditionalFormatting sqref="B495:M495">
    <cfRule type="expression" dxfId="456" priority="11">
      <formula>AND(DESPath=3,OR($B495="District Cooling",$B495="District Hot Water",$B495="District Steam"))</formula>
    </cfRule>
  </conditionalFormatting>
  <conditionalFormatting sqref="B516:M516">
    <cfRule type="expression" dxfId="455" priority="10">
      <formula>AND(DESPath=3,OR($B516="District Cooling",$B516="District Hot Water",$B516="District Steam"))</formula>
    </cfRule>
  </conditionalFormatting>
  <conditionalFormatting sqref="K329:K331">
    <cfRule type="expression" dxfId="454" priority="8">
      <formula>IFERROR(AND(K329&gt;0.1,K329&lt;&gt;""),FALSE)</formula>
    </cfRule>
  </conditionalFormatting>
  <conditionalFormatting sqref="E329:J331">
    <cfRule type="expression" dxfId="453" priority="9">
      <formula>AND(DESPath=3,$B$361=$B329,ISERROR(1/VLOOKUP($B329,PO_Enrgy_7_Table,MATCH($G$295,PO_Enrgy_7_Hdr,0),FALSE)))</formula>
    </cfRule>
  </conditionalFormatting>
  <conditionalFormatting sqref="B383:M385">
    <cfRule type="expression" dxfId="452" priority="7">
      <formula>AND(DESPath=3,OR($B383="District Cooling",$B383="District Hot Water",$B383="District Steam"))</formula>
    </cfRule>
  </conditionalFormatting>
  <conditionalFormatting sqref="B406:M408">
    <cfRule type="expression" dxfId="451" priority="6">
      <formula>AND(DESPath=3,OR($B406="District Cooling",$B406="District Hot Water",$B406="District Steam"))</formula>
    </cfRule>
  </conditionalFormatting>
  <conditionalFormatting sqref="B427:M429">
    <cfRule type="expression" dxfId="450" priority="5">
      <formula>AND(DESPath=3,OR($B427="District Cooling",$B427="District Hot Water",$B427="District Steam"))</formula>
    </cfRule>
  </conditionalFormatting>
  <conditionalFormatting sqref="B448:M450">
    <cfRule type="expression" dxfId="449" priority="4">
      <formula>AND(DESPath=3,OR($B448="District Cooling",$B448="District Hot Water",$B448="District Steam"))</formula>
    </cfRule>
  </conditionalFormatting>
  <conditionalFormatting sqref="B472:M474">
    <cfRule type="expression" dxfId="448" priority="3">
      <formula>AND(DESPath=3,OR($B472="District Cooling",$B472="District Hot Water",$B472="District Steam"))</formula>
    </cfRule>
  </conditionalFormatting>
  <conditionalFormatting sqref="B496:M498">
    <cfRule type="expression" dxfId="447" priority="2">
      <formula>AND(DESPath=3,OR($B496="District Cooling",$B496="District Hot Water",$B496="District Steam"))</formula>
    </cfRule>
  </conditionalFormatting>
  <conditionalFormatting sqref="B517:M519">
    <cfRule type="expression" dxfId="446" priority="1">
      <formula>AND(DESPath=3,OR($B517="District Cooling",$B517="District Hot Water",$B517="District Steam"))</formula>
    </cfRule>
  </conditionalFormatting>
  <dataValidations count="21">
    <dataValidation type="list" errorStyle="warning" allowBlank="1" showInputMessage="1" showErrorMessage="1" errorTitle="Required Input" error="The units must be selected from the provided list." promptTitle="Select the demand units:" sqref="E17:E31" xr:uid="{00000000-0002-0000-0000-000000000000}">
      <formula1>DemandUnits</formula1>
    </dataValidation>
    <dataValidation type="list" allowBlank="1" showInputMessage="1" showErrorMessage="1" errorTitle="Invalid Entry" error="Please select from the list of values shown." promptTitle="Project Energy Types" sqref="B17:B31" xr:uid="{00000000-0002-0000-0000-000001000000}">
      <formula1>FuelTypes</formula1>
    </dataValidation>
    <dataValidation allowBlank="1" showInputMessage="1" showErrorMessage="1" promptTitle="Utility Rate Name" sqref="N17:O31 F17:F31" xr:uid="{00000000-0002-0000-0000-000002000000}"/>
    <dataValidation type="list" allowBlank="1" showInputMessage="1" showErrorMessage="1" errorTitle="Required Input" error="The units must be selected from the provided list." promptTitle="Energy Consumption Units:" sqref="C17:C31" xr:uid="{00000000-0002-0000-0000-000003000000}">
      <formula1>ConsumptionUnits</formula1>
    </dataValidation>
    <dataValidation type="list" allowBlank="1" showInputMessage="1" promptTitle="Utility Rate Structure" sqref="H17:H31" xr:uid="{00000000-0002-0000-0000-000004000000}">
      <formula1>UtilityRateStructure</formula1>
    </dataValidation>
    <dataValidation allowBlank="1" showErrorMessage="1" sqref="B501 B477:B478 B432 B390 B333 B456 B354 B359 B411 B363" xr:uid="{00000000-0002-0000-0000-000005000000}"/>
    <dataValidation type="list" allowBlank="1" promptTitle="Fossil Fuel" prompt="Select the fossil fuel used within the District Plant for generating District Cooling (if applicable)." sqref="B361" xr:uid="{00000000-0002-0000-0000-000006000000}">
      <formula1>INDEX(PO_Enrgy_1_Table,,1)</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291" xr:uid="{00000000-0002-0000-0000-000007000000}">
      <formula1>PO_EnergyType</formula1>
    </dataValidation>
    <dataValidation type="list" showInputMessage="1" sqref="D243:D290 D145:D192" xr:uid="{00000000-0002-0000-0000-000008000000}">
      <formula1>" x"</formula1>
    </dataValidation>
    <dataValidation allowBlank="1" showInputMessage="1" sqref="H45:H46" xr:uid="{00000000-0002-0000-0000-000009000000}"/>
    <dataValidation allowBlank="1" showErrorMessage="1" promptTitle="Calculated Automatically" prompt="This value is calculated automatically based on the virtual energy rates" sqref="T45:T46 J45:J46" xr:uid="{00000000-0002-0000-0000-00000A000000}"/>
    <dataValidation type="list" allowBlank="1" showInputMessage="1" promptTitle="Renewable Source" sqref="B45:D46" xr:uid="{00000000-0002-0000-0000-00000B000000}">
      <formula1>RenewableSource</formula1>
    </dataValidation>
    <dataValidation type="list" allowBlank="1" showInputMessage="1" showErrorMessage="1" promptTitle="Energy Type" sqref="E45:E46" xr:uid="{00000000-0002-0000-0000-00000C000000}">
      <formula1>INDEX(PO_Enrgy_1_Table,,1)</formula1>
    </dataValidation>
    <dataValidation allowBlank="1" promptTitle="Energy End Use" prompt="Select the energy end use or enter the end use if not listed." sqref="B243:C290 B145:C192" xr:uid="{00000000-0002-0000-0000-00000D000000}"/>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32:L33" xr:uid="{00000000-0002-0000-0000-00000E000000}">
      <formula1>ConsumptionUnits</formula1>
    </dataValidation>
    <dataValidation type="whole" allowBlank="1" showErrorMessage="1" errorTitle="Input Error" error="Please enter a whole number between 0 and 8,760 hours." sqref="F527:F528" xr:uid="{00000000-0002-0000-0000-00000F000000}">
      <formula1>0</formula1>
      <formula2>8760</formula2>
    </dataValidation>
    <dataValidation allowBlank="1" showInputMessage="1" showErrorMessage="1" prompt="Enter energy savings as a positive number. If the exceptional calculation method leads to energy penalties for this energy type (i.e. increased proposed case energy usage or decreased baseline case usage), enter the penalty as a negative number." sqref="AW81:AY84 AS81:AU84" xr:uid="{00000000-0002-0000-0000-000010000000}"/>
    <dataValidation type="list" allowBlank="1" showInputMessage="1" showErrorMessage="1" prompt="Select &quot;Add to Baseline&quot; if the exceptional calculation adjusts the Baseline building energy consumption and cost up, or &quot;Subtract from Proposed&quot; if the exceptional calculation adjusts the Proposed building energy consumption and cost down." sqref="AR81:AR84" xr:uid="{00000000-0002-0000-0000-000011000000}">
      <formula1>"Apply to Baseline, Subtract from Proposed"</formula1>
    </dataValidation>
    <dataValidation allowBlank="1" showInputMessage="1" showErrorMessage="1" errorTitle="Not a valid energy type" error="This energy type has not yet been listed in the energy sources table above. Please fill out the energy sources table above; then select from the list of energy types." sqref="B81:C84" xr:uid="{00000000-0002-0000-0000-000012000000}"/>
    <dataValidation type="list" allowBlank="1" showInputMessage="1" showErrorMessage="1" sqref="F81:F84" xr:uid="{00000000-0002-0000-0000-000013000000}">
      <formula1>"Add to Baseline, Subtract from Proposed"</formula1>
    </dataValidation>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145:E192 E243:E290 C85:D85 D81:D84" xr:uid="{00000000-0002-0000-0000-000014000000}">
      <formula1>INDEX(PO_Enrgy_1_Table,,1)</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tnAddUtility">
              <controlPr defaultSize="0" print="0" autoFill="0" autoPict="0" macro="[0]!AddEnergyType">
                <anchor moveWithCells="1">
                  <from>
                    <xdr:col>1</xdr:col>
                    <xdr:colOff>0</xdr:colOff>
                    <xdr:row>33</xdr:row>
                    <xdr:rowOff>99060</xdr:rowOff>
                  </from>
                  <to>
                    <xdr:col>1</xdr:col>
                    <xdr:colOff>1333500</xdr:colOff>
                    <xdr:row>33</xdr:row>
                    <xdr:rowOff>365760</xdr:rowOff>
                  </to>
                </anchor>
              </controlPr>
            </control>
          </mc:Choice>
        </mc:AlternateContent>
        <mc:AlternateContent xmlns:mc="http://schemas.openxmlformats.org/markup-compatibility/2006">
          <mc:Choice Requires="x14">
            <control shapeId="215042" r:id="rId5" name="btnDeleteUtility">
              <controlPr defaultSize="0" print="0" autoFill="0" autoPict="0" macro="[0]!DeleteEnergyType">
                <anchor moveWithCells="1">
                  <from>
                    <xdr:col>1</xdr:col>
                    <xdr:colOff>1386840</xdr:colOff>
                    <xdr:row>33</xdr:row>
                    <xdr:rowOff>99060</xdr:rowOff>
                  </from>
                  <to>
                    <xdr:col>2</xdr:col>
                    <xdr:colOff>1127760</xdr:colOff>
                    <xdr:row>33</xdr:row>
                    <xdr:rowOff>358140</xdr:rowOff>
                  </to>
                </anchor>
              </controlPr>
            </control>
          </mc:Choice>
        </mc:AlternateContent>
        <mc:AlternateContent xmlns:mc="http://schemas.openxmlformats.org/markup-compatibility/2006">
          <mc:Choice Requires="x14">
            <control shapeId="215043" r:id="rId6" name="btnAddRenewable">
              <controlPr defaultSize="0" print="0" autoFill="0" autoPict="0" macro="[0]!addA">
                <anchor moveWithCells="1">
                  <from>
                    <xdr:col>1</xdr:col>
                    <xdr:colOff>60960</xdr:colOff>
                    <xdr:row>67</xdr:row>
                    <xdr:rowOff>99060</xdr:rowOff>
                  </from>
                  <to>
                    <xdr:col>1</xdr:col>
                    <xdr:colOff>1424940</xdr:colOff>
                    <xdr:row>67</xdr:row>
                    <xdr:rowOff>365760</xdr:rowOff>
                  </to>
                </anchor>
              </controlPr>
            </control>
          </mc:Choice>
        </mc:AlternateContent>
        <mc:AlternateContent xmlns:mc="http://schemas.openxmlformats.org/markup-compatibility/2006">
          <mc:Choice Requires="x14">
            <control shapeId="215044" r:id="rId7" name="btbDeleteRenewable">
              <controlPr defaultSize="0" print="0" autoFill="0" autoPict="0" macro="[0]!DeleteSome">
                <anchor moveWithCells="1">
                  <from>
                    <xdr:col>2</xdr:col>
                    <xdr:colOff>22860</xdr:colOff>
                    <xdr:row>67</xdr:row>
                    <xdr:rowOff>99060</xdr:rowOff>
                  </from>
                  <to>
                    <xdr:col>2</xdr:col>
                    <xdr:colOff>1394460</xdr:colOff>
                    <xdr:row>67</xdr:row>
                    <xdr:rowOff>365760</xdr:rowOff>
                  </to>
                </anchor>
              </controlPr>
            </control>
          </mc:Choice>
        </mc:AlternateContent>
        <mc:AlternateContent xmlns:mc="http://schemas.openxmlformats.org/markup-compatibility/2006">
          <mc:Choice Requires="x14">
            <control shapeId="215045" r:id="rId8" name="rbOutputReporting1">
              <controlPr defaultSize="0" autoFill="0" autoLine="0" autoPict="0" macro="[0]!ShowBaselineTable">
                <anchor moveWithCells="1">
                  <from>
                    <xdr:col>1</xdr:col>
                    <xdr:colOff>129540</xdr:colOff>
                    <xdr:row>124</xdr:row>
                    <xdr:rowOff>60960</xdr:rowOff>
                  </from>
                  <to>
                    <xdr:col>1</xdr:col>
                    <xdr:colOff>472440</xdr:colOff>
                    <xdr:row>124</xdr:row>
                    <xdr:rowOff>266700</xdr:rowOff>
                  </to>
                </anchor>
              </controlPr>
            </control>
          </mc:Choice>
        </mc:AlternateContent>
        <mc:AlternateContent xmlns:mc="http://schemas.openxmlformats.org/markup-compatibility/2006">
          <mc:Choice Requires="x14">
            <control shapeId="215046" r:id="rId9" name="rbOutputReporting2">
              <controlPr defaultSize="0" autoFill="0" autoLine="0" autoPict="0" macro="[0]!HideBaselineTable">
                <anchor moveWithCells="1">
                  <from>
                    <xdr:col>1</xdr:col>
                    <xdr:colOff>99060</xdr:colOff>
                    <xdr:row>125</xdr:row>
                    <xdr:rowOff>60960</xdr:rowOff>
                  </from>
                  <to>
                    <xdr:col>1</xdr:col>
                    <xdr:colOff>419100</xdr:colOff>
                    <xdr:row>126</xdr:row>
                    <xdr:rowOff>190500</xdr:rowOff>
                  </to>
                </anchor>
              </controlPr>
            </control>
          </mc:Choice>
        </mc:AlternateContent>
        <mc:AlternateContent xmlns:mc="http://schemas.openxmlformats.org/markup-compatibility/2006">
          <mc:Choice Requires="x14">
            <control shapeId="215047" r:id="rId10" name="rbOutputReporting4">
              <controlPr defaultSize="0" autoFill="0" autoLine="0" autoPict="0" macro="[0]!HideBaselineTable">
                <anchor moveWithCells="1">
                  <from>
                    <xdr:col>1</xdr:col>
                    <xdr:colOff>99060</xdr:colOff>
                    <xdr:row>129</xdr:row>
                    <xdr:rowOff>60960</xdr:rowOff>
                  </from>
                  <to>
                    <xdr:col>1</xdr:col>
                    <xdr:colOff>441960</xdr:colOff>
                    <xdr:row>130</xdr:row>
                    <xdr:rowOff>213360</xdr:rowOff>
                  </to>
                </anchor>
              </controlPr>
            </control>
          </mc:Choice>
        </mc:AlternateContent>
        <mc:AlternateContent xmlns:mc="http://schemas.openxmlformats.org/markup-compatibility/2006">
          <mc:Choice Requires="x14">
            <control shapeId="215048" r:id="rId11" name="rbgOutputReporting">
              <controlPr defaultSize="0" print="0" autoFill="0" autoPict="0">
                <anchor moveWithCells="1">
                  <from>
                    <xdr:col>0</xdr:col>
                    <xdr:colOff>137160</xdr:colOff>
                    <xdr:row>122</xdr:row>
                    <xdr:rowOff>365760</xdr:rowOff>
                  </from>
                  <to>
                    <xdr:col>11</xdr:col>
                    <xdr:colOff>129540</xdr:colOff>
                    <xdr:row>132</xdr:row>
                    <xdr:rowOff>0</xdr:rowOff>
                  </to>
                </anchor>
              </controlPr>
            </control>
          </mc:Choice>
        </mc:AlternateContent>
        <mc:AlternateContent xmlns:mc="http://schemas.openxmlformats.org/markup-compatibility/2006">
          <mc:Choice Requires="x14">
            <control shapeId="215049" r:id="rId12" name="SiteRenewable Checkbox">
              <controlPr defaultSize="0" autoFill="0" autoLine="0" autoPict="0" macro="[0]!SiteRenewable_Change">
                <anchor moveWithCells="1">
                  <from>
                    <xdr:col>1</xdr:col>
                    <xdr:colOff>60960</xdr:colOff>
                    <xdr:row>36</xdr:row>
                    <xdr:rowOff>99060</xdr:rowOff>
                  </from>
                  <to>
                    <xdr:col>1</xdr:col>
                    <xdr:colOff>403860</xdr:colOff>
                    <xdr:row>37</xdr:row>
                    <xdr:rowOff>213360</xdr:rowOff>
                  </to>
                </anchor>
              </controlPr>
            </control>
          </mc:Choice>
        </mc:AlternateContent>
        <mc:AlternateContent xmlns:mc="http://schemas.openxmlformats.org/markup-compatibility/2006">
          <mc:Choice Requires="x14">
            <control shapeId="215050" r:id="rId13" name="ExcCalcCheckbox">
              <controlPr locked="0" defaultSize="0" autoFill="0" autoLine="0" autoPict="0" macro="[0]!ExCalc_Change">
                <anchor moveWithCells="1">
                  <from>
                    <xdr:col>1</xdr:col>
                    <xdr:colOff>22860</xdr:colOff>
                    <xdr:row>70</xdr:row>
                    <xdr:rowOff>76200</xdr:rowOff>
                  </from>
                  <to>
                    <xdr:col>1</xdr:col>
                    <xdr:colOff>403860</xdr:colOff>
                    <xdr:row>71</xdr:row>
                    <xdr:rowOff>251460</xdr:rowOff>
                  </to>
                </anchor>
              </controlPr>
            </control>
          </mc:Choice>
        </mc:AlternateContent>
        <mc:AlternateContent xmlns:mc="http://schemas.openxmlformats.org/markup-compatibility/2006">
          <mc:Choice Requires="x14">
            <control shapeId="215051" r:id="rId14" name="rbOutputReporting3">
              <controlPr defaultSize="0" autoFill="0" autoLine="0" autoPict="0" macro="[0]!HideBaselineTable">
                <anchor moveWithCells="1">
                  <from>
                    <xdr:col>1</xdr:col>
                    <xdr:colOff>99060</xdr:colOff>
                    <xdr:row>127</xdr:row>
                    <xdr:rowOff>60960</xdr:rowOff>
                  </from>
                  <to>
                    <xdr:col>1</xdr:col>
                    <xdr:colOff>419100</xdr:colOff>
                    <xdr:row>128</xdr:row>
                    <xdr:rowOff>213360</xdr:rowOff>
                  </to>
                </anchor>
              </controlPr>
            </control>
          </mc:Choice>
        </mc:AlternateContent>
        <mc:AlternateContent xmlns:mc="http://schemas.openxmlformats.org/markup-compatibility/2006">
          <mc:Choice Requires="x14">
            <control shapeId="215052" r:id="rId15" name="btnRestoreRenewCost">
              <controlPr defaultSize="0" print="0" autoFill="0" autoPict="0" macro="[0]!Copy_Default_Renewable_Cost">
                <anchor moveWithCells="1">
                  <from>
                    <xdr:col>10</xdr:col>
                    <xdr:colOff>434340</xdr:colOff>
                    <xdr:row>67</xdr:row>
                    <xdr:rowOff>152400</xdr:rowOff>
                  </from>
                  <to>
                    <xdr:col>12</xdr:col>
                    <xdr:colOff>937260</xdr:colOff>
                    <xdr:row>67</xdr:row>
                    <xdr:rowOff>403860</xdr:rowOff>
                  </to>
                </anchor>
              </controlPr>
            </control>
          </mc:Choice>
        </mc:AlternateContent>
        <mc:AlternateContent xmlns:mc="http://schemas.openxmlformats.org/markup-compatibility/2006">
          <mc:Choice Requires="x14">
            <control shapeId="215053" r:id="rId16" name="btnAddExCalc">
              <controlPr defaultSize="0" print="0" autoFill="0" autoPict="0" macro="[0]!addB">
                <anchor moveWithCells="1">
                  <from>
                    <xdr:col>1</xdr:col>
                    <xdr:colOff>60960</xdr:colOff>
                    <xdr:row>119</xdr:row>
                    <xdr:rowOff>175260</xdr:rowOff>
                  </from>
                  <to>
                    <xdr:col>1</xdr:col>
                    <xdr:colOff>1424940</xdr:colOff>
                    <xdr:row>119</xdr:row>
                    <xdr:rowOff>441960</xdr:rowOff>
                  </to>
                </anchor>
              </controlPr>
            </control>
          </mc:Choice>
        </mc:AlternateContent>
        <mc:AlternateContent xmlns:mc="http://schemas.openxmlformats.org/markup-compatibility/2006">
          <mc:Choice Requires="x14">
            <control shapeId="215054" r:id="rId17" name="btnDeleteExCalc">
              <controlPr defaultSize="0" print="0" autoFill="0" autoPict="0" macro="[0]!DeleteSome">
                <anchor moveWithCells="1">
                  <from>
                    <xdr:col>2</xdr:col>
                    <xdr:colOff>60960</xdr:colOff>
                    <xdr:row>119</xdr:row>
                    <xdr:rowOff>167640</xdr:rowOff>
                  </from>
                  <to>
                    <xdr:col>2</xdr:col>
                    <xdr:colOff>1432560</xdr:colOff>
                    <xdr:row>119</xdr:row>
                    <xdr:rowOff>441960</xdr:rowOff>
                  </to>
                </anchor>
              </controlPr>
            </control>
          </mc:Choice>
        </mc:AlternateContent>
        <mc:AlternateContent xmlns:mc="http://schemas.openxmlformats.org/markup-compatibility/2006">
          <mc:Choice Requires="x14">
            <control shapeId="215055" r:id="rId18" name="btnRestoreExCalCost">
              <controlPr defaultSize="0" print="0" autoFill="0" autoPict="0" macro="[0]!Copy_Default_ExCalc_Cost">
                <anchor moveWithCells="1">
                  <from>
                    <xdr:col>10</xdr:col>
                    <xdr:colOff>434340</xdr:colOff>
                    <xdr:row>119</xdr:row>
                    <xdr:rowOff>137160</xdr:rowOff>
                  </from>
                  <to>
                    <xdr:col>12</xdr:col>
                    <xdr:colOff>937260</xdr:colOff>
                    <xdr:row>119</xdr:row>
                    <xdr:rowOff>403860</xdr:rowOff>
                  </to>
                </anchor>
              </controlPr>
            </control>
          </mc:Choice>
        </mc:AlternateContent>
        <mc:AlternateContent xmlns:mc="http://schemas.openxmlformats.org/markup-compatibility/2006">
          <mc:Choice Requires="x14">
            <control shapeId="215056" r:id="rId19" name="Button 16">
              <controlPr defaultSize="0" print="0" autoFill="0" autoPict="0" macro="[0]!Copy_Default_PO_VR_Table">
                <anchor moveWithCells="1">
                  <from>
                    <xdr:col>10</xdr:col>
                    <xdr:colOff>518160</xdr:colOff>
                    <xdr:row>331</xdr:row>
                    <xdr:rowOff>137160</xdr:rowOff>
                  </from>
                  <to>
                    <xdr:col>12</xdr:col>
                    <xdr:colOff>1013460</xdr:colOff>
                    <xdr:row>332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4">
    <tabColor rgb="FFFFFF99"/>
  </sheetPr>
  <dimension ref="B2:L53"/>
  <sheetViews>
    <sheetView showGridLines="0" tabSelected="1" zoomScaleNormal="100" workbookViewId="0">
      <selection activeCell="B2" sqref="B2"/>
    </sheetView>
  </sheetViews>
  <sheetFormatPr defaultColWidth="9" defaultRowHeight="13.8" x14ac:dyDescent="0.25"/>
  <cols>
    <col min="1" max="1" width="11.19921875" customWidth="1"/>
    <col min="2" max="2" width="115.296875" customWidth="1"/>
  </cols>
  <sheetData>
    <row r="2" spans="2:12" ht="28.2" thickBot="1" x14ac:dyDescent="0.7">
      <c r="B2" s="3049" t="s">
        <v>3180</v>
      </c>
    </row>
    <row r="3" spans="2:12" ht="25.2" thickTop="1" thickBot="1" x14ac:dyDescent="0.65">
      <c r="B3" s="3050" t="s">
        <v>3306</v>
      </c>
      <c r="C3" s="988"/>
      <c r="D3" s="988"/>
      <c r="E3" s="988"/>
      <c r="F3" s="988"/>
      <c r="G3" s="988"/>
      <c r="H3" s="988"/>
      <c r="I3" s="988"/>
      <c r="J3" s="988"/>
      <c r="K3" s="988"/>
      <c r="L3" s="988"/>
    </row>
    <row r="4" spans="2:12" ht="23.25" customHeight="1" thickTop="1" x14ac:dyDescent="0.25">
      <c r="B4" s="1807" t="s">
        <v>3172</v>
      </c>
    </row>
    <row r="5" spans="2:12" ht="23.25" customHeight="1" x14ac:dyDescent="0.25">
      <c r="B5" s="2969"/>
    </row>
    <row r="6" spans="2:12" ht="23.25" customHeight="1" x14ac:dyDescent="0.25">
      <c r="B6" s="1807"/>
    </row>
    <row r="7" spans="2:12" ht="20.25" customHeight="1" x14ac:dyDescent="0.25">
      <c r="B7" s="1841"/>
      <c r="C7" s="1842"/>
      <c r="D7" s="1843"/>
    </row>
    <row r="8" spans="2:12" ht="45.6" x14ac:dyDescent="0.25">
      <c r="B8" s="1808" t="s">
        <v>3415</v>
      </c>
      <c r="C8" s="1793"/>
    </row>
    <row r="9" spans="2:12" ht="15.6" x14ac:dyDescent="0.25">
      <c r="B9" s="1808"/>
      <c r="C9" s="1793"/>
    </row>
    <row r="10" spans="2:12" s="1793" customFormat="1" ht="45.6" x14ac:dyDescent="0.25">
      <c r="B10" s="1809" t="s">
        <v>2486</v>
      </c>
      <c r="E10"/>
    </row>
    <row r="11" spans="2:12" s="1793" customFormat="1" ht="30" x14ac:dyDescent="0.25">
      <c r="B11" s="1809" t="s">
        <v>3424</v>
      </c>
    </row>
    <row r="12" spans="2:12" s="1793" customFormat="1" ht="15" x14ac:dyDescent="0.25">
      <c r="B12" s="1809"/>
    </row>
    <row r="13" spans="2:12" s="1793" customFormat="1" ht="322.2" customHeight="1" x14ac:dyDescent="0.25">
      <c r="B13" s="1806" t="s">
        <v>3173</v>
      </c>
    </row>
    <row r="14" spans="2:12" s="1793" customFormat="1" ht="15" x14ac:dyDescent="0.25">
      <c r="B14" s="1795"/>
    </row>
    <row r="15" spans="2:12" s="1793" customFormat="1" ht="268.5" customHeight="1" x14ac:dyDescent="0.25">
      <c r="B15" s="1679" t="s">
        <v>3174</v>
      </c>
    </row>
    <row r="16" spans="2:12" s="1793" customFormat="1" ht="15.6" x14ac:dyDescent="0.3">
      <c r="B16" s="1796"/>
    </row>
    <row r="17" spans="2:4" s="1793" customFormat="1" ht="105.6" x14ac:dyDescent="0.25">
      <c r="B17" s="1679" t="s">
        <v>2440</v>
      </c>
    </row>
    <row r="18" spans="2:4" s="1793" customFormat="1" ht="15" x14ac:dyDescent="0.25">
      <c r="B18" s="1794"/>
    </row>
    <row r="19" spans="2:4" s="1793" customFormat="1" ht="9.75" customHeight="1" x14ac:dyDescent="0.25">
      <c r="B19" s="1797"/>
      <c r="D19" s="1843"/>
    </row>
    <row r="20" spans="2:4" s="1793" customFormat="1" ht="9.75" customHeight="1" x14ac:dyDescent="0.25">
      <c r="B20" s="1797"/>
    </row>
    <row r="21" spans="2:4" x14ac:dyDescent="0.25">
      <c r="B21" s="989" t="s">
        <v>2275</v>
      </c>
    </row>
    <row r="22" spans="2:4" ht="2.7" customHeight="1" x14ac:dyDescent="0.25">
      <c r="B22" s="989"/>
    </row>
    <row r="23" spans="2:4" ht="25.2" x14ac:dyDescent="0.25">
      <c r="B23" s="15" t="s">
        <v>2276</v>
      </c>
    </row>
    <row r="24" spans="2:4" ht="2.7" customHeight="1" x14ac:dyDescent="0.25"/>
    <row r="25" spans="2:4" x14ac:dyDescent="0.25">
      <c r="B25" s="1659" t="s">
        <v>2273</v>
      </c>
    </row>
    <row r="26" spans="2:4" ht="2.7" customHeight="1" x14ac:dyDescent="0.25"/>
    <row r="27" spans="2:4" x14ac:dyDescent="0.25">
      <c r="B27" s="1660" t="s">
        <v>2279</v>
      </c>
    </row>
    <row r="28" spans="2:4" ht="2.7" customHeight="1" x14ac:dyDescent="0.25"/>
    <row r="29" spans="2:4" ht="13.5" customHeight="1" x14ac:dyDescent="0.25">
      <c r="B29" s="1563" t="s">
        <v>2274</v>
      </c>
    </row>
    <row r="30" spans="2:4" ht="2.7" customHeight="1" x14ac:dyDescent="0.25"/>
    <row r="31" spans="2:4" ht="13.5" customHeight="1" x14ac:dyDescent="0.25">
      <c r="B31" s="1973" t="s">
        <v>2339</v>
      </c>
    </row>
    <row r="32" spans="2:4" ht="2.7" customHeight="1" x14ac:dyDescent="0.25"/>
    <row r="33" spans="2:2" ht="13.5" customHeight="1" x14ac:dyDescent="0.25">
      <c r="B33" s="1660" t="s">
        <v>2340</v>
      </c>
    </row>
    <row r="34" spans="2:2" ht="2.7" customHeight="1" x14ac:dyDescent="0.25"/>
    <row r="35" spans="2:2" x14ac:dyDescent="0.25">
      <c r="B35" s="1563" t="s">
        <v>2344</v>
      </c>
    </row>
    <row r="36" spans="2:2" ht="2.7" customHeight="1" x14ac:dyDescent="0.25"/>
    <row r="37" spans="2:2" x14ac:dyDescent="0.25">
      <c r="B37" s="1972" t="s">
        <v>2413</v>
      </c>
    </row>
    <row r="38" spans="2:2" ht="2.7" customHeight="1" x14ac:dyDescent="0.25"/>
    <row r="39" spans="2:2" x14ac:dyDescent="0.25">
      <c r="B39" s="1755" t="s">
        <v>2414</v>
      </c>
    </row>
    <row r="41" spans="2:2" x14ac:dyDescent="0.25">
      <c r="B41" s="989" t="s">
        <v>3031</v>
      </c>
    </row>
    <row r="42" spans="2:2" x14ac:dyDescent="0.25">
      <c r="B42" s="2267" t="s">
        <v>3032</v>
      </c>
    </row>
    <row r="43" spans="2:2" x14ac:dyDescent="0.25">
      <c r="B43" s="2268" t="s">
        <v>3035</v>
      </c>
    </row>
    <row r="44" spans="2:2" x14ac:dyDescent="0.25">
      <c r="B44" s="2282" t="s">
        <v>3036</v>
      </c>
    </row>
    <row r="45" spans="2:2" x14ac:dyDescent="0.25">
      <c r="B45" s="2269" t="s">
        <v>3033</v>
      </c>
    </row>
    <row r="49" spans="2:2" x14ac:dyDescent="0.25">
      <c r="B49" s="2971" t="s">
        <v>3458</v>
      </c>
    </row>
    <row r="50" spans="2:2" x14ac:dyDescent="0.25">
      <c r="B50" s="2971" t="s">
        <v>3417</v>
      </c>
    </row>
    <row r="51" spans="2:2" x14ac:dyDescent="0.25">
      <c r="B51" s="2972" t="s">
        <v>3418</v>
      </c>
    </row>
    <row r="52" spans="2:2" x14ac:dyDescent="0.25">
      <c r="B52" s="2972" t="s">
        <v>3419</v>
      </c>
    </row>
    <row r="53" spans="2:2" x14ac:dyDescent="0.25">
      <c r="B53" s="2972" t="s">
        <v>3459</v>
      </c>
    </row>
  </sheetData>
  <sheetProtection algorithmName="SHA-512" hashValue="ZRe6KViycWLzIrm/0IoE+Q7HMg07EIVj8W7jtkFacDBt3HIdWoBCyvqJ7dNcdR8bXKwWXrWgSfYyKBa5lpNRGg==" saltValue="hJ30K9JFGtXYr9xz6hFkZA==" spinCount="100000" sheet="1" objects="1" scenarios="1"/>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tabColor theme="5" tint="0.39997558519241921"/>
  </sheetPr>
  <dimension ref="A1:D117"/>
  <sheetViews>
    <sheetView workbookViewId="0">
      <selection activeCell="C11" sqref="C11"/>
    </sheetView>
  </sheetViews>
  <sheetFormatPr defaultColWidth="9" defaultRowHeight="13.8" x14ac:dyDescent="0.25"/>
  <cols>
    <col min="1" max="1" width="2.69921875" style="354" customWidth="1"/>
    <col min="2" max="2" width="40" style="354" customWidth="1"/>
    <col min="3" max="3" width="116.69921875" style="354" customWidth="1"/>
    <col min="4" max="4" width="4.5" style="354" customWidth="1"/>
    <col min="5" max="16384" width="9" style="354"/>
  </cols>
  <sheetData>
    <row r="1" spans="1:4" x14ac:dyDescent="0.25">
      <c r="A1" s="331"/>
      <c r="B1" s="359"/>
      <c r="C1" s="359"/>
      <c r="D1" s="660"/>
    </row>
    <row r="2" spans="1:4" ht="25.2" x14ac:dyDescent="0.25">
      <c r="A2" s="331"/>
      <c r="B2" s="15" t="s">
        <v>1632</v>
      </c>
      <c r="C2" s="15"/>
      <c r="D2" s="660"/>
    </row>
    <row r="3" spans="1:4" x14ac:dyDescent="0.25">
      <c r="A3" s="331"/>
      <c r="B3" s="359"/>
      <c r="C3" s="359"/>
      <c r="D3" s="660"/>
    </row>
    <row r="4" spans="1:4" x14ac:dyDescent="0.25">
      <c r="C4" s="802"/>
    </row>
    <row r="5" spans="1:4" ht="27.6" x14ac:dyDescent="0.25">
      <c r="B5" s="2360" t="s">
        <v>1631</v>
      </c>
      <c r="C5" s="802" t="s">
        <v>1630</v>
      </c>
      <c r="D5" s="661"/>
    </row>
    <row r="6" spans="1:4" ht="27.6" x14ac:dyDescent="0.25">
      <c r="B6" s="801" t="s">
        <v>1629</v>
      </c>
      <c r="C6" s="802" t="s">
        <v>1628</v>
      </c>
    </row>
    <row r="7" spans="1:4" ht="75" customHeight="1" x14ac:dyDescent="0.25">
      <c r="B7" s="801" t="s">
        <v>1627</v>
      </c>
      <c r="C7" s="802" t="s">
        <v>1626</v>
      </c>
    </row>
    <row r="8" spans="1:4" ht="41.4" x14ac:dyDescent="0.25">
      <c r="B8" s="801" t="s">
        <v>1625</v>
      </c>
      <c r="C8" s="802" t="s">
        <v>1624</v>
      </c>
    </row>
    <row r="9" spans="1:4" x14ac:dyDescent="0.25">
      <c r="B9" s="801" t="s">
        <v>1623</v>
      </c>
      <c r="C9" s="802"/>
    </row>
    <row r="10" spans="1:4" ht="41.4" x14ac:dyDescent="0.25">
      <c r="B10" s="801" t="s">
        <v>3176</v>
      </c>
      <c r="C10" s="802" t="s">
        <v>3177</v>
      </c>
    </row>
    <row r="11" spans="1:4" ht="79.5" customHeight="1" x14ac:dyDescent="0.25">
      <c r="B11" s="801" t="s">
        <v>1622</v>
      </c>
      <c r="C11" s="802" t="s">
        <v>1856</v>
      </c>
    </row>
    <row r="12" spans="1:4" ht="84.75" customHeight="1" x14ac:dyDescent="0.25">
      <c r="B12" s="801" t="s">
        <v>1621</v>
      </c>
      <c r="C12" s="802" t="s">
        <v>3178</v>
      </c>
    </row>
    <row r="13" spans="1:4" ht="33" customHeight="1" x14ac:dyDescent="0.25">
      <c r="B13" s="801" t="s">
        <v>1620</v>
      </c>
      <c r="C13" s="802" t="s">
        <v>1857</v>
      </c>
    </row>
    <row r="14" spans="1:4" ht="41.25" customHeight="1" x14ac:dyDescent="0.25">
      <c r="B14" s="801" t="s">
        <v>1619</v>
      </c>
      <c r="C14" s="802" t="s">
        <v>1618</v>
      </c>
    </row>
    <row r="15" spans="1:4" ht="23.25" customHeight="1" x14ac:dyDescent="0.25">
      <c r="B15" s="801" t="s">
        <v>1617</v>
      </c>
      <c r="C15" s="802" t="s">
        <v>2096</v>
      </c>
    </row>
    <row r="16" spans="1:4" ht="53.25" customHeight="1" x14ac:dyDescent="0.25">
      <c r="B16" s="801" t="s">
        <v>1616</v>
      </c>
      <c r="C16" s="802" t="s">
        <v>1615</v>
      </c>
    </row>
    <row r="17" spans="2:2" x14ac:dyDescent="0.25">
      <c r="B17" s="439"/>
    </row>
    <row r="18" spans="2:2" x14ac:dyDescent="0.25">
      <c r="B18" s="439"/>
    </row>
    <row r="19" spans="2:2" x14ac:dyDescent="0.25">
      <c r="B19" s="439"/>
    </row>
    <row r="20" spans="2:2" x14ac:dyDescent="0.25">
      <c r="B20" s="439"/>
    </row>
    <row r="21" spans="2:2" x14ac:dyDescent="0.25">
      <c r="B21" s="439"/>
    </row>
    <row r="22" spans="2:2" x14ac:dyDescent="0.25">
      <c r="B22" s="439"/>
    </row>
    <row r="23" spans="2:2" x14ac:dyDescent="0.25">
      <c r="B23" s="439"/>
    </row>
    <row r="24" spans="2:2" x14ac:dyDescent="0.25">
      <c r="B24" s="439"/>
    </row>
    <row r="25" spans="2:2" x14ac:dyDescent="0.25">
      <c r="B25" s="439"/>
    </row>
    <row r="26" spans="2:2" x14ac:dyDescent="0.25">
      <c r="B26" s="439"/>
    </row>
    <row r="27" spans="2:2" x14ac:dyDescent="0.25">
      <c r="B27" s="439"/>
    </row>
    <row r="28" spans="2:2" x14ac:dyDescent="0.25">
      <c r="B28" s="439"/>
    </row>
    <row r="29" spans="2:2" x14ac:dyDescent="0.25">
      <c r="B29" s="439"/>
    </row>
    <row r="30" spans="2:2" x14ac:dyDescent="0.25">
      <c r="B30" s="439"/>
    </row>
    <row r="31" spans="2:2" x14ac:dyDescent="0.25">
      <c r="B31" s="439"/>
    </row>
    <row r="32" spans="2:2" x14ac:dyDescent="0.25">
      <c r="B32" s="439"/>
    </row>
    <row r="33" spans="2:2" x14ac:dyDescent="0.25">
      <c r="B33" s="439"/>
    </row>
    <row r="34" spans="2:2" x14ac:dyDescent="0.25">
      <c r="B34" s="439"/>
    </row>
    <row r="35" spans="2:2" x14ac:dyDescent="0.25">
      <c r="B35" s="439"/>
    </row>
    <row r="36" spans="2:2" x14ac:dyDescent="0.25">
      <c r="B36" s="439"/>
    </row>
    <row r="37" spans="2:2" x14ac:dyDescent="0.25">
      <c r="B37" s="439"/>
    </row>
    <row r="38" spans="2:2" x14ac:dyDescent="0.25">
      <c r="B38" s="439"/>
    </row>
    <row r="39" spans="2:2" x14ac:dyDescent="0.25">
      <c r="B39" s="439"/>
    </row>
    <row r="40" spans="2:2" x14ac:dyDescent="0.25">
      <c r="B40" s="439"/>
    </row>
    <row r="41" spans="2:2" x14ac:dyDescent="0.25">
      <c r="B41" s="439"/>
    </row>
    <row r="42" spans="2:2" x14ac:dyDescent="0.25">
      <c r="B42" s="439"/>
    </row>
    <row r="43" spans="2:2" x14ac:dyDescent="0.25">
      <c r="B43" s="439"/>
    </row>
    <row r="44" spans="2:2" x14ac:dyDescent="0.25">
      <c r="B44" s="439"/>
    </row>
    <row r="45" spans="2:2" x14ac:dyDescent="0.25">
      <c r="B45" s="439"/>
    </row>
    <row r="46" spans="2:2" x14ac:dyDescent="0.25">
      <c r="B46" s="439"/>
    </row>
    <row r="47" spans="2:2" x14ac:dyDescent="0.25">
      <c r="B47" s="439"/>
    </row>
    <row r="48" spans="2:2" x14ac:dyDescent="0.25">
      <c r="B48" s="439"/>
    </row>
    <row r="49" spans="2:2" x14ac:dyDescent="0.25">
      <c r="B49" s="439"/>
    </row>
    <row r="50" spans="2:2" x14ac:dyDescent="0.25">
      <c r="B50" s="439"/>
    </row>
    <row r="51" spans="2:2" x14ac:dyDescent="0.25">
      <c r="B51" s="439"/>
    </row>
    <row r="52" spans="2:2" x14ac:dyDescent="0.25">
      <c r="B52" s="439"/>
    </row>
    <row r="53" spans="2:2" x14ac:dyDescent="0.25">
      <c r="B53" s="439"/>
    </row>
    <row r="54" spans="2:2" x14ac:dyDescent="0.25">
      <c r="B54" s="439"/>
    </row>
    <row r="55" spans="2:2" x14ac:dyDescent="0.25">
      <c r="B55" s="439"/>
    </row>
    <row r="56" spans="2:2" x14ac:dyDescent="0.25">
      <c r="B56" s="439"/>
    </row>
    <row r="57" spans="2:2" x14ac:dyDescent="0.25">
      <c r="B57" s="439"/>
    </row>
    <row r="58" spans="2:2" x14ac:dyDescent="0.25">
      <c r="B58" s="439"/>
    </row>
    <row r="59" spans="2:2" x14ac:dyDescent="0.25">
      <c r="B59" s="439"/>
    </row>
    <row r="60" spans="2:2" x14ac:dyDescent="0.25">
      <c r="B60" s="439"/>
    </row>
    <row r="61" spans="2:2" x14ac:dyDescent="0.25">
      <c r="B61" s="439"/>
    </row>
    <row r="62" spans="2:2" x14ac:dyDescent="0.25">
      <c r="B62" s="439"/>
    </row>
    <row r="63" spans="2:2" x14ac:dyDescent="0.25">
      <c r="B63" s="439"/>
    </row>
    <row r="64" spans="2:2" x14ac:dyDescent="0.25">
      <c r="B64" s="439"/>
    </row>
    <row r="65" spans="2:2" x14ac:dyDescent="0.25">
      <c r="B65" s="439"/>
    </row>
    <row r="66" spans="2:2" x14ac:dyDescent="0.25">
      <c r="B66" s="439"/>
    </row>
    <row r="67" spans="2:2" x14ac:dyDescent="0.25">
      <c r="B67" s="439"/>
    </row>
    <row r="68" spans="2:2" x14ac:dyDescent="0.25">
      <c r="B68" s="439"/>
    </row>
    <row r="69" spans="2:2" x14ac:dyDescent="0.25">
      <c r="B69" s="439"/>
    </row>
    <row r="70" spans="2:2" x14ac:dyDescent="0.25">
      <c r="B70" s="439"/>
    </row>
    <row r="71" spans="2:2" x14ac:dyDescent="0.25">
      <c r="B71" s="439"/>
    </row>
    <row r="72" spans="2:2" x14ac:dyDescent="0.25">
      <c r="B72" s="439"/>
    </row>
    <row r="73" spans="2:2" x14ac:dyDescent="0.25">
      <c r="B73" s="439"/>
    </row>
    <row r="74" spans="2:2" x14ac:dyDescent="0.25">
      <c r="B74" s="439"/>
    </row>
    <row r="75" spans="2:2" x14ac:dyDescent="0.25">
      <c r="B75" s="439"/>
    </row>
    <row r="76" spans="2:2" x14ac:dyDescent="0.25">
      <c r="B76" s="439"/>
    </row>
    <row r="77" spans="2:2" x14ac:dyDescent="0.25">
      <c r="B77" s="439"/>
    </row>
    <row r="78" spans="2:2" x14ac:dyDescent="0.25">
      <c r="B78" s="439"/>
    </row>
    <row r="79" spans="2:2" x14ac:dyDescent="0.25">
      <c r="B79" s="439"/>
    </row>
    <row r="80" spans="2:2" x14ac:dyDescent="0.25">
      <c r="B80" s="439"/>
    </row>
    <row r="81" spans="2:2" x14ac:dyDescent="0.25">
      <c r="B81" s="439"/>
    </row>
    <row r="82" spans="2:2" x14ac:dyDescent="0.25">
      <c r="B82" s="439"/>
    </row>
    <row r="83" spans="2:2" x14ac:dyDescent="0.25">
      <c r="B83" s="439"/>
    </row>
    <row r="84" spans="2:2" x14ac:dyDescent="0.25">
      <c r="B84" s="439"/>
    </row>
    <row r="85" spans="2:2" x14ac:dyDescent="0.25">
      <c r="B85" s="439"/>
    </row>
    <row r="86" spans="2:2" x14ac:dyDescent="0.25">
      <c r="B86" s="439"/>
    </row>
    <row r="87" spans="2:2" x14ac:dyDescent="0.25">
      <c r="B87" s="439"/>
    </row>
    <row r="88" spans="2:2" x14ac:dyDescent="0.25">
      <c r="B88" s="439"/>
    </row>
    <row r="89" spans="2:2" x14ac:dyDescent="0.25">
      <c r="B89" s="439"/>
    </row>
    <row r="90" spans="2:2" x14ac:dyDescent="0.25">
      <c r="B90" s="439"/>
    </row>
    <row r="91" spans="2:2" x14ac:dyDescent="0.25">
      <c r="B91" s="439"/>
    </row>
    <row r="92" spans="2:2" x14ac:dyDescent="0.25">
      <c r="B92" s="439"/>
    </row>
    <row r="93" spans="2:2" x14ac:dyDescent="0.25">
      <c r="B93" s="439"/>
    </row>
    <row r="94" spans="2:2" x14ac:dyDescent="0.25">
      <c r="B94" s="439"/>
    </row>
    <row r="95" spans="2:2" x14ac:dyDescent="0.25">
      <c r="B95" s="439"/>
    </row>
    <row r="96" spans="2:2" x14ac:dyDescent="0.25">
      <c r="B96" s="439"/>
    </row>
    <row r="97" spans="2:2" x14ac:dyDescent="0.25">
      <c r="B97" s="439"/>
    </row>
    <row r="98" spans="2:2" x14ac:dyDescent="0.25">
      <c r="B98" s="439"/>
    </row>
    <row r="99" spans="2:2" x14ac:dyDescent="0.25">
      <c r="B99" s="439"/>
    </row>
    <row r="100" spans="2:2" x14ac:dyDescent="0.25">
      <c r="B100" s="439"/>
    </row>
    <row r="101" spans="2:2" x14ac:dyDescent="0.25">
      <c r="B101" s="439"/>
    </row>
    <row r="102" spans="2:2" x14ac:dyDescent="0.25">
      <c r="B102" s="439"/>
    </row>
    <row r="103" spans="2:2" x14ac:dyDescent="0.25">
      <c r="B103" s="439"/>
    </row>
    <row r="104" spans="2:2" x14ac:dyDescent="0.25">
      <c r="B104" s="439"/>
    </row>
    <row r="105" spans="2:2" x14ac:dyDescent="0.25">
      <c r="B105" s="439"/>
    </row>
    <row r="106" spans="2:2" x14ac:dyDescent="0.25">
      <c r="B106" s="439"/>
    </row>
    <row r="107" spans="2:2" x14ac:dyDescent="0.25">
      <c r="B107" s="439"/>
    </row>
    <row r="108" spans="2:2" x14ac:dyDescent="0.25">
      <c r="B108" s="439"/>
    </row>
    <row r="109" spans="2:2" x14ac:dyDescent="0.25">
      <c r="B109" s="439"/>
    </row>
    <row r="110" spans="2:2" x14ac:dyDescent="0.25">
      <c r="B110" s="439"/>
    </row>
    <row r="111" spans="2:2" x14ac:dyDescent="0.25">
      <c r="B111" s="439"/>
    </row>
    <row r="112" spans="2:2" x14ac:dyDescent="0.25">
      <c r="B112" s="439"/>
    </row>
    <row r="113" spans="2:2" x14ac:dyDescent="0.25">
      <c r="B113" s="439"/>
    </row>
    <row r="114" spans="2:2" x14ac:dyDescent="0.25">
      <c r="B114" s="439"/>
    </row>
    <row r="115" spans="2:2" x14ac:dyDescent="0.25">
      <c r="B115" s="439"/>
    </row>
    <row r="116" spans="2:2" x14ac:dyDescent="0.25">
      <c r="B116" s="439"/>
    </row>
    <row r="117" spans="2:2" x14ac:dyDescent="0.25">
      <c r="B117" s="439"/>
    </row>
  </sheetData>
  <sheetProtection algorithmName="SHA-512" hashValue="8bwqpLMzK6gjNtkj3/NBpg2cWADWUTiX1aoeXadyW1nkGaO1kK7a/Hm5vSSCDwWBoApKt4iugJVJszc5FWYPfw==" saltValue="rUCT5ItjmT9M7+um3KfOGg==" spinCount="100000" sheet="1" objects="1" scenarios="1"/>
  <dataConsolid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0" tint="-0.249977111117893"/>
    <pageSetUpPr fitToPage="1"/>
  </sheetPr>
  <dimension ref="A1:AI87"/>
  <sheetViews>
    <sheetView showGridLines="0" zoomScale="90" zoomScaleNormal="90" workbookViewId="0">
      <selection activeCell="H24" sqref="H24"/>
    </sheetView>
  </sheetViews>
  <sheetFormatPr defaultColWidth="8.69921875" defaultRowHeight="15" customHeight="1" outlineLevelCol="1" x14ac:dyDescent="0.25"/>
  <cols>
    <col min="1" max="1" width="1.19921875" style="125" customWidth="1"/>
    <col min="2" max="2" width="22.796875" style="125" customWidth="1"/>
    <col min="3" max="3" width="2.5" style="125" customWidth="1"/>
    <col min="4" max="4" width="1.69921875" style="125" customWidth="1"/>
    <col min="5" max="10" width="17.296875" style="125" customWidth="1"/>
    <col min="11" max="11" width="20.69921875" style="125" customWidth="1"/>
    <col min="12" max="12" width="15.69921875" style="125" customWidth="1"/>
    <col min="13" max="13" width="15.69921875" style="125" hidden="1" customWidth="1" outlineLevel="1"/>
    <col min="14" max="14" width="18.69921875" style="125" hidden="1" customWidth="1" outlineLevel="1"/>
    <col min="15" max="15" width="17.19921875" hidden="1" customWidth="1" outlineLevel="1"/>
    <col min="16" max="17" width="19.69921875" style="125" hidden="1" customWidth="1" outlineLevel="1"/>
    <col min="18" max="18" width="16.69921875" style="330" hidden="1" customWidth="1" outlineLevel="1"/>
    <col min="19" max="19" width="12" style="330" hidden="1" customWidth="1" outlineLevel="1"/>
    <col min="20" max="20" width="9.69921875" style="330" hidden="1" customWidth="1" outlineLevel="1"/>
    <col min="21" max="21" width="12" style="330" hidden="1" customWidth="1" outlineLevel="1"/>
    <col min="22" max="27" width="12.296875" style="330" hidden="1" customWidth="1" outlineLevel="1"/>
    <col min="28" max="31" width="8.69921875" style="125" hidden="1" customWidth="1" outlineLevel="1"/>
    <col min="32" max="32" width="2.69921875" style="125" hidden="1" customWidth="1" outlineLevel="1"/>
    <col min="33" max="33" width="2.69921875" style="125" customWidth="1" collapsed="1"/>
    <col min="34" max="34" width="50.69921875" style="2138" customWidth="1"/>
    <col min="35" max="38" width="8.69921875" style="125" customWidth="1"/>
    <col min="39" max="16384" width="8.69921875" style="125"/>
  </cols>
  <sheetData>
    <row r="1" spans="1:35" s="126" customFormat="1" ht="24" customHeight="1" x14ac:dyDescent="0.25">
      <c r="A1" s="360"/>
      <c r="B1" s="15" t="s">
        <v>244</v>
      </c>
      <c r="C1" s="15"/>
      <c r="D1" s="15"/>
      <c r="E1" s="15"/>
      <c r="F1" s="15"/>
      <c r="G1" s="15"/>
      <c r="H1" s="16"/>
      <c r="I1" s="16"/>
      <c r="J1" s="16"/>
      <c r="K1" s="16"/>
      <c r="L1" s="31"/>
      <c r="M1" s="31"/>
      <c r="N1" s="31"/>
      <c r="O1"/>
      <c r="P1"/>
      <c r="Q1"/>
      <c r="R1" s="125"/>
      <c r="S1" s="125"/>
      <c r="T1" s="125"/>
      <c r="U1" s="125"/>
      <c r="AH1" s="2138"/>
    </row>
    <row r="2" spans="1:35" s="126" customFormat="1" ht="15" customHeight="1" x14ac:dyDescent="0.25">
      <c r="A2" s="123"/>
      <c r="B2" s="124"/>
      <c r="C2" s="124"/>
      <c r="D2" s="124"/>
      <c r="E2" s="124"/>
      <c r="F2" s="124"/>
      <c r="G2" s="124"/>
      <c r="H2" s="124"/>
      <c r="I2" s="124"/>
      <c r="J2" s="124"/>
      <c r="K2" s="124"/>
      <c r="L2" s="2998"/>
      <c r="M2" s="2998"/>
      <c r="N2" s="2998"/>
      <c r="O2"/>
      <c r="P2"/>
      <c r="Q2"/>
      <c r="R2" s="125"/>
      <c r="S2" s="125"/>
      <c r="T2" s="125"/>
      <c r="U2" s="125"/>
      <c r="AH2" s="2138"/>
    </row>
    <row r="3" spans="1:35" s="347" customFormat="1" ht="50.25" customHeight="1" x14ac:dyDescent="0.25">
      <c r="A3" s="351"/>
      <c r="B3" s="3330" t="s">
        <v>1562</v>
      </c>
      <c r="C3" s="3330"/>
      <c r="D3" s="3330"/>
      <c r="E3" s="3330"/>
      <c r="F3" s="3330"/>
      <c r="G3" s="3330"/>
      <c r="H3" s="3331"/>
      <c r="I3" s="3331"/>
      <c r="J3" s="3331"/>
      <c r="K3" s="3331"/>
      <c r="L3" s="1609"/>
      <c r="M3" s="1609"/>
      <c r="N3" s="1609"/>
      <c r="O3" s="866"/>
      <c r="P3" s="866"/>
      <c r="Q3" s="866"/>
      <c r="R3" s="339"/>
      <c r="S3" s="339"/>
      <c r="T3" s="339"/>
      <c r="U3" s="339"/>
      <c r="AH3" s="1370" t="s">
        <v>2277</v>
      </c>
    </row>
    <row r="4" spans="1:35" s="339" customFormat="1" ht="15" customHeight="1" x14ac:dyDescent="0.25">
      <c r="O4" s="866"/>
      <c r="AH4" s="1521"/>
    </row>
    <row r="5" spans="1:35" s="339" customFormat="1" ht="15" customHeight="1" x14ac:dyDescent="0.25">
      <c r="B5" s="339" t="s">
        <v>3181</v>
      </c>
      <c r="J5" s="3335"/>
      <c r="K5" s="3336"/>
      <c r="L5" s="1610"/>
      <c r="M5" s="1610"/>
      <c r="N5" s="1610"/>
      <c r="O5" s="866"/>
      <c r="AH5" s="1802"/>
    </row>
    <row r="6" spans="1:35" s="339" customFormat="1" ht="15" customHeight="1" x14ac:dyDescent="0.25">
      <c r="O6" s="866"/>
      <c r="AH6" s="1521"/>
    </row>
    <row r="7" spans="1:35" s="339" customFormat="1" ht="15" customHeight="1" x14ac:dyDescent="0.25">
      <c r="B7" s="339" t="s">
        <v>2469</v>
      </c>
      <c r="J7" s="3335"/>
      <c r="K7" s="3336"/>
      <c r="L7" s="1610"/>
      <c r="M7" s="1610"/>
      <c r="N7" s="1610"/>
      <c r="O7" s="866"/>
      <c r="R7" s="614" t="str">
        <f>H55</f>
        <v>ASHRAE 90.1-2016</v>
      </c>
      <c r="AH7" s="1802"/>
    </row>
    <row r="8" spans="1:35" s="339" customFormat="1" ht="15" customHeight="1" x14ac:dyDescent="0.25">
      <c r="O8" s="866"/>
      <c r="AH8" s="1521"/>
    </row>
    <row r="9" spans="1:35" s="339" customFormat="1" ht="15" customHeight="1" x14ac:dyDescent="0.25">
      <c r="B9" s="339" t="s">
        <v>977</v>
      </c>
      <c r="J9" s="3340"/>
      <c r="K9" s="3341"/>
      <c r="L9" s="2481"/>
      <c r="M9" s="1610"/>
      <c r="N9" s="1610"/>
      <c r="O9" s="866"/>
      <c r="R9" s="614" t="str">
        <f>IFERROR(VLOOKUP(J9,DropdownData!W:X,2,FALSE),"")</f>
        <v/>
      </c>
      <c r="S9" s="1804">
        <f>1</f>
        <v>1</v>
      </c>
      <c r="AH9" s="1802"/>
    </row>
    <row r="10" spans="1:35" s="339" customFormat="1" ht="15" customHeight="1" x14ac:dyDescent="0.25">
      <c r="J10" s="2481"/>
      <c r="K10" s="2481"/>
      <c r="L10" s="2481"/>
      <c r="M10" s="1610"/>
      <c r="N10" s="1610"/>
      <c r="O10" s="866"/>
      <c r="R10" s="2482"/>
      <c r="S10" s="2483"/>
      <c r="AH10" s="2149"/>
    </row>
    <row r="11" spans="1:35" s="339" customFormat="1" ht="15" customHeight="1" x14ac:dyDescent="0.25">
      <c r="B11" s="339" t="s">
        <v>3238</v>
      </c>
      <c r="J11" s="3340"/>
      <c r="K11" s="3341"/>
      <c r="N11" s="1610"/>
      <c r="O11" s="866"/>
      <c r="R11" s="3009" t="str">
        <f>IFERROR(VLOOKUP(J11,DropdownData!EO:EP,2,FALSE),"")</f>
        <v/>
      </c>
      <c r="S11" s="2483"/>
      <c r="AH11" s="2749"/>
      <c r="AI11" s="2758"/>
    </row>
    <row r="12" spans="1:35" s="339" customFormat="1" ht="30.75" customHeight="1" x14ac:dyDescent="0.25">
      <c r="J12" s="3342" t="str">
        <f>IF(bpf_reference="LEEDv4.1","Note: BPF will be determined on the basis of the Building Type(s) and Climate Zone.",IF(bpf_reference="ACP","Note: BPF will be determined exclusively on the basis of the Building Type(s).",""))</f>
        <v/>
      </c>
      <c r="K12" s="3342"/>
      <c r="L12" s="2481"/>
      <c r="M12" s="1610"/>
      <c r="N12" s="1610"/>
      <c r="O12" s="866"/>
      <c r="R12" s="2482"/>
      <c r="S12" s="2483"/>
      <c r="AH12" s="2757"/>
    </row>
    <row r="13" spans="1:35" s="339" customFormat="1" ht="9" customHeight="1" x14ac:dyDescent="0.25">
      <c r="O13" s="866"/>
      <c r="AH13" s="1521"/>
    </row>
    <row r="14" spans="1:35" s="339" customFormat="1" ht="15" customHeight="1" x14ac:dyDescent="0.25">
      <c r="B14" s="339" t="s">
        <v>841</v>
      </c>
      <c r="K14" s="1509"/>
      <c r="L14" s="2992"/>
      <c r="O14" s="866"/>
      <c r="R14" s="1611" t="str">
        <f>IF(K14="SI units","SI","IP")</f>
        <v>IP</v>
      </c>
      <c r="S14" s="1612" t="str">
        <f>CONCATENATE(H53," (",'General Information'!R14,")")</f>
        <v xml:space="preserve"> (IP)</v>
      </c>
      <c r="AH14" s="1802"/>
    </row>
    <row r="15" spans="1:35" s="339" customFormat="1" ht="22.5" customHeight="1" x14ac:dyDescent="0.25">
      <c r="B15" s="308" t="s">
        <v>979</v>
      </c>
      <c r="C15" s="308"/>
      <c r="D15" s="308"/>
      <c r="E15" s="308"/>
      <c r="F15" s="308"/>
      <c r="G15" s="308"/>
      <c r="O15" s="866"/>
      <c r="Q15" s="2989" t="s">
        <v>2612</v>
      </c>
      <c r="R15" s="2989" t="s">
        <v>2613</v>
      </c>
      <c r="S15" s="2989" t="s">
        <v>2614</v>
      </c>
      <c r="Z15" s="2018"/>
      <c r="AA15" s="2018"/>
      <c r="AH15" s="1521"/>
    </row>
    <row r="16" spans="1:35" s="339" customFormat="1" ht="15" hidden="1" customHeight="1" x14ac:dyDescent="0.25">
      <c r="B16" s="1" t="s">
        <v>1214</v>
      </c>
      <c r="C16" s="1"/>
      <c r="D16" s="1"/>
      <c r="E16" s="1"/>
      <c r="F16" s="1"/>
      <c r="G16" s="1"/>
      <c r="K16" s="3013" t="s">
        <v>1560</v>
      </c>
      <c r="L16" s="2999"/>
      <c r="M16" s="1868" t="str">
        <f>IF(AND(RatingSystemSelection="2016 NYS Energy Code ASHRAE 90.1 Appendix G",MultipleBuildingsExist="Yes"),"Project should not have multiple buildings.","")</f>
        <v/>
      </c>
      <c r="N16" s="1868"/>
      <c r="O16" s="866"/>
      <c r="Q16" s="2990"/>
      <c r="R16" s="2990" t="s">
        <v>2613</v>
      </c>
      <c r="S16" s="2990" t="s">
        <v>2614</v>
      </c>
      <c r="Z16" s="2018"/>
      <c r="AA16" s="2018"/>
      <c r="AH16" s="1802"/>
    </row>
    <row r="17" spans="1:34" s="339" customFormat="1" ht="18.75" hidden="1" customHeight="1" x14ac:dyDescent="0.25">
      <c r="B17" s="1868" t="s">
        <v>3425</v>
      </c>
      <c r="C17" s="890"/>
      <c r="D17" s="890"/>
      <c r="E17" s="952"/>
      <c r="H17" s="866"/>
      <c r="Q17" s="2990"/>
      <c r="R17" s="2990"/>
      <c r="S17" s="2990"/>
      <c r="T17" s="2018"/>
      <c r="U17" s="2018"/>
      <c r="AB17" s="1521"/>
    </row>
    <row r="18" spans="1:34" s="339" customFormat="1" ht="23.25" customHeight="1" x14ac:dyDescent="0.25">
      <c r="B18" s="1"/>
      <c r="C18" s="1"/>
      <c r="D18" s="1"/>
      <c r="E18" s="1625"/>
      <c r="H18" s="866"/>
      <c r="O18" s="339" t="e">
        <f>IF(N19="Multifamily",TRUE,FALSE)</f>
        <v>#N/A</v>
      </c>
      <c r="Q18" s="2991"/>
      <c r="R18" s="2991" t="s">
        <v>2613</v>
      </c>
      <c r="S18" s="2991" t="s">
        <v>2614</v>
      </c>
      <c r="T18" s="2018"/>
      <c r="U18" s="2018"/>
      <c r="V18" s="339" t="s">
        <v>1113</v>
      </c>
      <c r="W18" s="339" t="s">
        <v>1113</v>
      </c>
      <c r="X18" s="339" t="s">
        <v>1113</v>
      </c>
      <c r="Y18" s="339" t="s">
        <v>3311</v>
      </c>
      <c r="AB18" s="1521"/>
    </row>
    <row r="19" spans="1:34" s="339" customFormat="1" ht="40.5" customHeight="1" x14ac:dyDescent="0.25">
      <c r="B19" s="575" t="str">
        <f>IF(MultipleBuildingsExist="Yes","Note: After completing the General Info tab, complete the Multiple Building Details Tab before proceeding to the other tabs.","")</f>
        <v/>
      </c>
      <c r="C19" s="575"/>
      <c r="D19" s="575"/>
      <c r="E19" s="1198" t="s">
        <v>2222</v>
      </c>
      <c r="F19" s="1198" t="str">
        <f>IF($R$14="IP","New Construction Conditioned (sq ft)","New Construction Conditioned (sq m)")</f>
        <v>New Construction Conditioned (sq ft)</v>
      </c>
      <c r="G19" s="1198" t="str">
        <f>IF($R$14="IP","Renovation Conditioned (sq ft)","Renovation Conditioned (sq m)")</f>
        <v>Renovation Conditioned (sq ft)</v>
      </c>
      <c r="H19" s="1198" t="str">
        <f>IF($R$14="IP","New Construction Unconditioned (sq ft)","New Construction Unconditioned (sq m)")</f>
        <v>New Construction Unconditioned (sq ft)</v>
      </c>
      <c r="I19" s="2484" t="str">
        <f>IF($R$14="IP","Renovation Unconditioned (sq ft)","Renovation Unconditioned (sq m)")</f>
        <v>Renovation Unconditioned (sq ft)</v>
      </c>
      <c r="J19" s="2792" t="s">
        <v>2226</v>
      </c>
      <c r="K19" s="2485" t="s">
        <v>2600</v>
      </c>
      <c r="L19" s="32"/>
      <c r="N19" s="1160" t="e">
        <f>INDEX(E20:E26,MATCH(MAX(M20:M26),M20:M26,0))</f>
        <v>#N/A</v>
      </c>
      <c r="O19" s="3008">
        <f>SUM(F20:G26)+SUM(H20:I26)</f>
        <v>0</v>
      </c>
      <c r="S19" s="339" t="s">
        <v>2855</v>
      </c>
      <c r="T19" s="339" t="s">
        <v>2853</v>
      </c>
      <c r="U19" s="339" t="s">
        <v>241</v>
      </c>
      <c r="V19" s="339" t="s">
        <v>2669</v>
      </c>
      <c r="W19" s="339" t="s">
        <v>2876</v>
      </c>
      <c r="AA19" s="1521"/>
    </row>
    <row r="20" spans="1:34" s="339" customFormat="1" ht="15.75" customHeight="1" x14ac:dyDescent="0.25">
      <c r="A20" s="304" t="s">
        <v>805</v>
      </c>
      <c r="B20" s="1" t="str">
        <f>"Building Type "&amp;E20</f>
        <v xml:space="preserve">Building Type </v>
      </c>
      <c r="C20" s="1"/>
      <c r="D20" s="1"/>
      <c r="E20" s="1628"/>
      <c r="F20" s="1628"/>
      <c r="G20" s="1628"/>
      <c r="H20" s="1628"/>
      <c r="I20" s="2366"/>
      <c r="J20" s="1160" t="str">
        <f t="shared" ref="J20:J25" si="0">Y20</f>
        <v/>
      </c>
      <c r="K20" s="1628"/>
      <c r="L20" s="3000"/>
      <c r="M20" s="1160" t="str">
        <f>IF(ISBLANK(E20),"",SUM(F20:I20))</f>
        <v/>
      </c>
      <c r="O20" s="1160">
        <f t="shared" ref="O20:O25" si="1">IFERROR(M20/BuildingArea,0)</f>
        <v>0</v>
      </c>
      <c r="P20" s="1160" t="e">
        <f>IF($R$56=2010,INDEX('BPF 2010'!$C$3:$T$12,MATCH(E20,'BPF 2010'!$B$3:$B$12,0),MATCH("Average",'BPF 2010'!$C$3:$T$3,0)),IF($R$56=2016,INDEX('BPF 2016'!$C$3:$T$13,MATCH(E20,'BPF 2016'!$B$3:$B$13,0),MATCH("Average",'BPF 2016'!$C$3:$T$3,0)),IF($R$56=2013,INDEX('BPF 2013'!$C$3:$T$12,MATCH(E20,'BPF 2013'!$B$3:$B$12,0),MATCH("Average",'BPF 2007'!$C$3:$T$3,0)),IF($R$56=2007,INDEX('BPF 2007'!$C$3:$T$12,MATCH(E20,'BPF 2007'!$B$3:$B$12,0),MATCH("Average",'BPF 2007'!$C$3:$T$3,0)),""))))</f>
        <v>#N/A</v>
      </c>
      <c r="Q20" s="1160" t="e">
        <f>IF($R$56=2013,INDEX('BPF 2013'!$C$3:$T$12,MATCH(E20,'BPF 2013'!$B$3:$B$12,0),MATCH($H$53,'BPF 2013'!$C$3:$T$3,0)),IF($R$56=2007,INDEX('BPF 2007'!$C$3:$T$12,MATCH(E20,'BPF 2007'!$B$3:$B$12,0),MATCH($H$53,'BPF 2007'!$C$3:$T$3,0)),IF($R$56=2010,INDEX('BPF 2010'!$C$3:$T$12,MATCH(E20,'BPF 2010'!$B$3:$B$12,0),MATCH($H$53,'BPF 2010'!$C$3:$T$3,0)),IF($R$56=2016,INDEX('BPF 2016'!$C$3:$T$13,MATCH(E20,'BPF 2016'!$B$3:$B$13,0),MATCH($H$53,'BPF 2016'!$C$3:$T$3,0))))))</f>
        <v>#N/A</v>
      </c>
      <c r="R20" s="1160" t="e">
        <f>IF($R$56=2016,INDEX('BPF 2016'!$C$3:$T$13,MATCH(E20,'BPF 2016'!$B$3:$B$13,0),MATCH($H$53,'BPF 2016'!$C$3:$T$3,0)))</f>
        <v>#N/A</v>
      </c>
      <c r="S20" s="1160" t="str">
        <f>IFERROR(VLOOKUP(E20,'Quality Assurance Checks'!DW2:EU26,1,0),VLOOKUP("Office",'Quality Assurance Checks'!DW2:EU26,1,0))</f>
        <v>Office</v>
      </c>
      <c r="T20" s="1160">
        <f>IFERROR(O20*VLOOKUP(E20,'Quality Assurance Checks'!DW2:EU26,9,0),O20*VLOOKUP("Office",'Quality Assurance Checks'!DW2:EU26,9,0))</f>
        <v>0</v>
      </c>
      <c r="U20" s="2016" t="e">
        <f>O20*VLOOKUP(E20,'Quality Assurance Checks'!DM2:DU26,5,0)</f>
        <v>#N/A</v>
      </c>
      <c r="V20" s="2016" t="e">
        <f>O20*VLOOKUP(E20,'Quality Assurance Checks'!DM2:DU26,9,0)</f>
        <v>#N/A</v>
      </c>
      <c r="W20" s="2016" t="e">
        <f>O20*VLOOKUP(E20,'Quality Assurance Checks'!DM2:DU26,6,0)</f>
        <v>#N/A</v>
      </c>
      <c r="X20" s="2016">
        <f>SUM(F20:H20)</f>
        <v>0</v>
      </c>
      <c r="Y20" s="1160" t="str">
        <f>IFERROR(IF(ISBLANK(E20),"",IF(bpf_reference="LEEDv4.1",INDEX('BPF 2016'!$C$3:$T$13,MATCH(E20,'BPF 2016'!$B$3:$B$13,0),MATCH(H$53,'BPF 2016'!$C$3:$T$3)),IF(bpf_reference="ACP",VLOOKUP(E20,'BPF 2016'!$B$17:$C$28,2,FALSE),""))),"")</f>
        <v/>
      </c>
      <c r="AA20" s="2149"/>
      <c r="AH20" s="1802"/>
    </row>
    <row r="21" spans="1:34" s="339" customFormat="1" ht="15.75" customHeight="1" x14ac:dyDescent="0.25">
      <c r="A21" s="304" t="s">
        <v>805</v>
      </c>
      <c r="B21" s="1" t="str">
        <f t="shared" ref="B21:B22" si="2">"Building Type "&amp;E21</f>
        <v xml:space="preserve">Building Type </v>
      </c>
      <c r="C21" s="1"/>
      <c r="D21" s="1"/>
      <c r="E21" s="1628"/>
      <c r="F21" s="1628"/>
      <c r="G21" s="1628"/>
      <c r="H21" s="1628"/>
      <c r="I21" s="2366"/>
      <c r="J21" s="1160" t="str">
        <f t="shared" si="0"/>
        <v/>
      </c>
      <c r="K21" s="1628" t="str">
        <f t="shared" ref="K21:K25" si="3">Y21</f>
        <v/>
      </c>
      <c r="L21" s="3000"/>
      <c r="M21" s="1160" t="str">
        <f t="shared" ref="M21:M22" si="4">IF(ISBLANK(E21),"",SUM(F21:I21))</f>
        <v/>
      </c>
      <c r="O21" s="1160">
        <f t="shared" si="1"/>
        <v>0</v>
      </c>
      <c r="P21" s="1160" t="e">
        <f>IF($R$56=2010,INDEX('BPF 2010'!$C$3:$T$12,MATCH(E21,'BPF 2010'!$B$3:$B$12,0),MATCH("Average",'BPF 2010'!$C$3:$T$3,0)),IF($R$56=2016,INDEX('BPF 2016'!$C$3:$T$13,MATCH(E21,'BPF 2016'!$B$3:$B$13,0),MATCH("Average",'BPF 2016'!$C$3:$T$3,0)),IF($R$56=2013,INDEX('BPF 2013'!$C$3:$T$12,MATCH(E21,'BPF 2013'!$B$3:$B$12,0),MATCH("Average",'BPF 2007'!$C$3:$T$3,0)),IF($R$56=2007,INDEX('BPF 2007'!$C$3:$T$12,MATCH(E21,'BPF 2007'!$B$3:$B$12,0),MATCH("Average",'BPF 2007'!$C$3:$T$3,0)),""))))</f>
        <v>#N/A</v>
      </c>
      <c r="Q21" s="1160" t="e">
        <f>IF($R$56=2013,INDEX('BPF 2013'!$C$3:$T$12,MATCH(E21,'BPF 2013'!$B$3:$B$12,0),MATCH($H$53,'BPF 2013'!$C$3:$T$3,0)),IF($R$56=2007,INDEX('BPF 2007'!$C$3:$T$12,MATCH(E21,'BPF 2007'!$B$3:$B$12,0),MATCH($H$53,'BPF 2007'!$C$3:$T$3,0)),IF($R$56=2010,INDEX('BPF 2010'!$C$3:$T$12,MATCH(E21,'BPF 2010'!$B$3:$B$12,0),MATCH($H$53,'BPF 2010'!$C$3:$T$3,0)),IF($R$56=2016,INDEX('BPF 2016'!$C$3:$T$13,MATCH(E21,'BPF 2016'!$B$3:$B$13,0),MATCH($H$53,'BPF 2016'!$C$3:$T$3,0))))))</f>
        <v>#N/A</v>
      </c>
      <c r="R21" s="1160" t="e">
        <f>IF($R$56=2016,INDEX('BPF 2016'!$C$3:$T$13,MATCH(E21,'BPF 2016'!$B$3:$B$13,0),MATCH($H$53,'BPF 2016'!$C$3:$T$3,0)))</f>
        <v>#N/A</v>
      </c>
      <c r="S21" s="1160" t="str">
        <f>IFERROR(VLOOKUP(E21,'Quality Assurance Checks'!DW3:EU27,1,0),VLOOKUP("Office",'Quality Assurance Checks'!DW3:EU27,1,0))</f>
        <v>Office</v>
      </c>
      <c r="T21" s="1160">
        <f>IFERROR(O21*VLOOKUP(E21,'Quality Assurance Checks'!DW3:EU27,9,0),O21*VLOOKUP("Office",'Quality Assurance Checks'!DW3:EU27,9,0))</f>
        <v>0</v>
      </c>
      <c r="U21" s="2016" t="e">
        <f>O21*VLOOKUP(E21,'Quality Assurance Checks'!DM3:DU27,5,0)</f>
        <v>#N/A</v>
      </c>
      <c r="V21" s="2016" t="e">
        <f>O21*VLOOKUP(E21,'Quality Assurance Checks'!DM3:DU27,9,0)</f>
        <v>#N/A</v>
      </c>
      <c r="W21" s="2016" t="e">
        <f>O21*VLOOKUP(E21,'Quality Assurance Checks'!DM3:DU27,6,0)</f>
        <v>#N/A</v>
      </c>
      <c r="X21" s="2016">
        <f t="shared" ref="X21:X22" si="5">SUM(F21:H21)</f>
        <v>0</v>
      </c>
      <c r="Y21" s="1160" t="str">
        <f>IF(ISBLANK(E21),"",IF(bpf_reference="LEEDv4.1",INDEX('BPF 2016'!$C$3:$T$13,MATCH(E21,'BPF 2016'!$B$3:$B$13,0),MATCH(H$53,'BPF 2016'!$C$3:$T$3)),IF(bpf_reference="ACP",VLOOKUP(E21,'BPF 2016'!$B$17:$C$28,2,FALSE),"")))</f>
        <v/>
      </c>
      <c r="AA21" s="2149"/>
      <c r="AH21" s="1802"/>
    </row>
    <row r="22" spans="1:34" s="339" customFormat="1" ht="15.75" customHeight="1" x14ac:dyDescent="0.25">
      <c r="A22" s="304" t="s">
        <v>805</v>
      </c>
      <c r="B22" s="1" t="str">
        <f t="shared" si="2"/>
        <v xml:space="preserve">Building Type </v>
      </c>
      <c r="C22" s="1"/>
      <c r="D22" s="1"/>
      <c r="E22" s="1628"/>
      <c r="F22" s="1628"/>
      <c r="G22" s="1628"/>
      <c r="H22" s="1628"/>
      <c r="I22" s="2366"/>
      <c r="J22" s="1160" t="str">
        <f t="shared" si="0"/>
        <v/>
      </c>
      <c r="K22" s="1628" t="str">
        <f t="shared" si="3"/>
        <v/>
      </c>
      <c r="L22" s="3000"/>
      <c r="M22" s="1160" t="str">
        <f t="shared" si="4"/>
        <v/>
      </c>
      <c r="O22" s="1160">
        <f t="shared" si="1"/>
        <v>0</v>
      </c>
      <c r="P22" s="1160" t="e">
        <f>IF($R$56=2010,INDEX('BPF 2010'!$C$3:$T$12,MATCH(E22,'BPF 2010'!$B$3:$B$12,0),MATCH("Average",'BPF 2010'!$C$3:$T$3,0)),IF($R$56=2016,INDEX('BPF 2016'!$C$3:$T$13,MATCH(E22,'BPF 2016'!$B$3:$B$13,0),MATCH("Average",'BPF 2016'!$C$3:$T$3,0)),IF($R$56=2013,INDEX('BPF 2013'!$C$3:$T$12,MATCH(E22,'BPF 2013'!$B$3:$B$12,0),MATCH("Average",'BPF 2007'!$C$3:$T$3,0)),IF($R$56=2007,INDEX('BPF 2007'!$C$3:$T$12,MATCH(E22,'BPF 2007'!$B$3:$B$12,0),MATCH("Average",'BPF 2007'!$C$3:$T$3,0)),""))))</f>
        <v>#N/A</v>
      </c>
      <c r="Q22" s="1160" t="e">
        <f>IF($R$56=2013,INDEX('BPF 2013'!$C$3:$T$12,MATCH(E22,'BPF 2013'!$B$3:$B$12,0),MATCH($H$53,'BPF 2013'!$C$3:$T$3,0)),IF($R$56=2007,INDEX('BPF 2007'!$C$3:$T$12,MATCH(E22,'BPF 2007'!$B$3:$B$12,0),MATCH($H$53,'BPF 2007'!$C$3:$T$3,0)),IF($R$56=2010,INDEX('BPF 2010'!$C$3:$T$12,MATCH(E22,'BPF 2010'!$B$3:$B$12,0),MATCH($H$53,'BPF 2010'!$C$3:$T$3,0)),IF($R$56=2016,INDEX('BPF 2016'!$C$3:$T$13,MATCH(E22,'BPF 2016'!$B$3:$B$13,0),MATCH($H$53,'BPF 2016'!$C$3:$T$3,0))))))</f>
        <v>#N/A</v>
      </c>
      <c r="R22" s="1160" t="e">
        <f>IF($R$56=2016,INDEX('BPF 2016'!$C$3:$T$13,MATCH(E22,'BPF 2016'!$B$3:$B$13,0),MATCH($H$53,'BPF 2016'!$C$3:$T$3,0)))</f>
        <v>#N/A</v>
      </c>
      <c r="S22" s="1160" t="str">
        <f>IFERROR(VLOOKUP(E22,'Quality Assurance Checks'!DW4:EU28,1,0),VLOOKUP("Office",'Quality Assurance Checks'!DW4:EU28,1,0))</f>
        <v>Office</v>
      </c>
      <c r="T22" s="1160">
        <f>IFERROR(O22*VLOOKUP(E22,'Quality Assurance Checks'!DW4:EU28,9,0),O22*VLOOKUP("Office",'Quality Assurance Checks'!DW4:EU28,9,0))</f>
        <v>0</v>
      </c>
      <c r="U22" s="2016" t="e">
        <f>O22*VLOOKUP(E22,'Quality Assurance Checks'!DM4:DU28,5,0)</f>
        <v>#N/A</v>
      </c>
      <c r="V22" s="2016" t="e">
        <f>O22*VLOOKUP(E22,'Quality Assurance Checks'!DM4:DU28,9,0)</f>
        <v>#N/A</v>
      </c>
      <c r="W22" s="2016" t="e">
        <f>O22*VLOOKUP(E22,'Quality Assurance Checks'!DM4:DU28,6,0)</f>
        <v>#N/A</v>
      </c>
      <c r="X22" s="2016">
        <f t="shared" si="5"/>
        <v>0</v>
      </c>
      <c r="Y22" s="1160" t="str">
        <f>IF(ISBLANK(E22),"",IF(bpf_reference="LEEDv4.1",INDEX('BPF 2016'!$C$3:$T$13,MATCH(E22,'BPF 2016'!$B$3:$B$13,0),MATCH(H$53,'BPF 2016'!$C$3:$T$3)),IF(bpf_reference="ACP",VLOOKUP(E22,'BPF 2016'!$B$17:$C$28,2,FALSE),"")))</f>
        <v/>
      </c>
      <c r="AA22" s="2149"/>
      <c r="AH22" s="1802"/>
    </row>
    <row r="23" spans="1:34" s="339" customFormat="1" ht="15.75" customHeight="1" x14ac:dyDescent="0.25">
      <c r="A23" s="304" t="s">
        <v>805</v>
      </c>
      <c r="B23" s="1" t="str">
        <f t="shared" ref="B23" si="6">"Building Type "&amp;E23</f>
        <v xml:space="preserve">Building Type </v>
      </c>
      <c r="C23" s="1"/>
      <c r="D23" s="1"/>
      <c r="E23" s="1628"/>
      <c r="F23" s="1628"/>
      <c r="G23" s="1628"/>
      <c r="H23" s="1628"/>
      <c r="I23" s="2366"/>
      <c r="J23" s="1160" t="str">
        <f t="shared" si="0"/>
        <v/>
      </c>
      <c r="K23" s="1628" t="str">
        <f t="shared" si="3"/>
        <v/>
      </c>
      <c r="L23" s="3000"/>
      <c r="M23" s="1160" t="str">
        <f t="shared" ref="M23" si="7">IF(ISBLANK(E23),"",SUM(F23:I23))</f>
        <v/>
      </c>
      <c r="O23" s="1160">
        <f t="shared" si="1"/>
        <v>0</v>
      </c>
      <c r="P23" s="1160" t="e">
        <f>IF($R$56=2010,INDEX('BPF 2010'!$C$3:$T$12,MATCH(E23,'BPF 2010'!$B$3:$B$12,0),MATCH("Average",'BPF 2010'!$C$3:$T$3,0)),IF($R$56=2016,INDEX('BPF 2016'!$C$3:$T$13,MATCH(E23,'BPF 2016'!$B$3:$B$13,0),MATCH("Average",'BPF 2016'!$C$3:$T$3,0)),IF($R$56=2013,INDEX('BPF 2013'!$C$3:$T$12,MATCH(E23,'BPF 2013'!$B$3:$B$12,0),MATCH("Average",'BPF 2007'!$C$3:$T$3,0)),IF($R$56=2007,INDEX('BPF 2007'!$C$3:$T$12,MATCH(E23,'BPF 2007'!$B$3:$B$12,0),MATCH("Average",'BPF 2007'!$C$3:$T$3,0)),""))))</f>
        <v>#N/A</v>
      </c>
      <c r="Q23" s="1160" t="e">
        <f>IF($R$56=2013,INDEX('BPF 2013'!$C$3:$T$12,MATCH(E23,'BPF 2013'!$B$3:$B$12,0),MATCH($H$53,'BPF 2013'!$C$3:$T$3,0)),IF($R$56=2007,INDEX('BPF 2007'!$C$3:$T$12,MATCH(E23,'BPF 2007'!$B$3:$B$12,0),MATCH($H$53,'BPF 2007'!$C$3:$T$3,0)),IF($R$56=2010,INDEX('BPF 2010'!$C$3:$T$12,MATCH(E23,'BPF 2010'!$B$3:$B$12,0),MATCH($H$53,'BPF 2010'!$C$3:$T$3,0)),IF($R$56=2016,INDEX('BPF 2016'!$C$3:$T$13,MATCH(E23,'BPF 2016'!$B$3:$B$13,0),MATCH($H$53,'BPF 2016'!$C$3:$T$3,0))))))</f>
        <v>#N/A</v>
      </c>
      <c r="R23" s="1160" t="e">
        <f>IF($R$56=2016,INDEX('BPF 2016'!$C$3:$T$13,MATCH(E23,'BPF 2016'!$B$3:$B$13,0),MATCH($H$53,'BPF 2016'!$C$3:$T$3,0)))</f>
        <v>#N/A</v>
      </c>
      <c r="S23" s="1160" t="str">
        <f>IFERROR(VLOOKUP(E23,'Quality Assurance Checks'!DW5:EU29,1,0),VLOOKUP("Office",'Quality Assurance Checks'!DW5:EU29,1,0))</f>
        <v>Office</v>
      </c>
      <c r="T23" s="1160">
        <f>IFERROR(O23*VLOOKUP(E23,'Quality Assurance Checks'!DW5:EU29,9,0),O23*VLOOKUP("Office",'Quality Assurance Checks'!DW5:EU29,9,0))</f>
        <v>0</v>
      </c>
      <c r="U23" s="2016" t="e">
        <f>O23*VLOOKUP(E23,'Quality Assurance Checks'!DM5:DU29,5,0)</f>
        <v>#N/A</v>
      </c>
      <c r="V23" s="2016" t="e">
        <f>O23*VLOOKUP(E23,'Quality Assurance Checks'!DM5:DU29,9,0)</f>
        <v>#N/A</v>
      </c>
      <c r="W23" s="2016" t="e">
        <f>O23*VLOOKUP(E23,'Quality Assurance Checks'!DM5:DU29,6,0)</f>
        <v>#N/A</v>
      </c>
      <c r="X23" s="2016">
        <f t="shared" ref="X23" si="8">SUM(F23:H23)</f>
        <v>0</v>
      </c>
      <c r="Y23" s="1160" t="str">
        <f>IF(ISBLANK(E23),"",IF(bpf_reference="LEEDv4.1",INDEX('BPF 2016'!$C$3:$T$13,MATCH(E23,'BPF 2016'!$B$3:$B$13,0),MATCH(H$53,'BPF 2016'!$C$3:$T$3)),IF(bpf_reference="ACP",VLOOKUP(E23,'BPF 2016'!$B$17:$C$28,2,FALSE),"")))</f>
        <v/>
      </c>
      <c r="AA23" s="2149"/>
      <c r="AH23" s="1802"/>
    </row>
    <row r="24" spans="1:34" s="339" customFormat="1" ht="15.75" customHeight="1" x14ac:dyDescent="0.25">
      <c r="A24" s="304" t="s">
        <v>805</v>
      </c>
      <c r="B24" s="1" t="str">
        <f t="shared" ref="B24" si="9">"Building Type "&amp;E24</f>
        <v xml:space="preserve">Building Type </v>
      </c>
      <c r="C24" s="1"/>
      <c r="D24" s="1"/>
      <c r="E24" s="1628"/>
      <c r="F24" s="1628"/>
      <c r="G24" s="1628"/>
      <c r="H24" s="1628"/>
      <c r="I24" s="2366"/>
      <c r="J24" s="1160" t="str">
        <f t="shared" si="0"/>
        <v/>
      </c>
      <c r="K24" s="1628" t="str">
        <f t="shared" si="3"/>
        <v/>
      </c>
      <c r="L24" s="3000"/>
      <c r="M24" s="1160" t="str">
        <f t="shared" ref="M24" si="10">IF(ISBLANK(E24),"",SUM(F24:I24))</f>
        <v/>
      </c>
      <c r="O24" s="1160">
        <f t="shared" si="1"/>
        <v>0</v>
      </c>
      <c r="P24" s="1160" t="e">
        <f>IF($R$56=2010,INDEX('BPF 2010'!$C$3:$T$12,MATCH(E24,'BPF 2010'!$B$3:$B$12,0),MATCH("Average",'BPF 2010'!$C$3:$T$3,0)),IF($R$56=2016,INDEX('BPF 2016'!$C$3:$T$13,MATCH(E24,'BPF 2016'!$B$3:$B$13,0),MATCH("Average",'BPF 2016'!$C$3:$T$3,0)),IF($R$56=2013,INDEX('BPF 2013'!$C$3:$T$12,MATCH(E24,'BPF 2013'!$B$3:$B$12,0),MATCH("Average",'BPF 2007'!$C$3:$T$3,0)),IF($R$56=2007,INDEX('BPF 2007'!$C$3:$T$12,MATCH(E24,'BPF 2007'!$B$3:$B$12,0),MATCH("Average",'BPF 2007'!$C$3:$T$3,0)),""))))</f>
        <v>#N/A</v>
      </c>
      <c r="Q24" s="1160" t="e">
        <f>IF($R$56=2013,INDEX('BPF 2013'!$C$3:$T$12,MATCH(E24,'BPF 2013'!$B$3:$B$12,0),MATCH($H$53,'BPF 2013'!$C$3:$T$3,0)),IF($R$56=2007,INDEX('BPF 2007'!$C$3:$T$12,MATCH(E24,'BPF 2007'!$B$3:$B$12,0),MATCH($H$53,'BPF 2007'!$C$3:$T$3,0)),IF($R$56=2010,INDEX('BPF 2010'!$C$3:$T$12,MATCH(E24,'BPF 2010'!$B$3:$B$12,0),MATCH($H$53,'BPF 2010'!$C$3:$T$3,0)),IF($R$56=2016,INDEX('BPF 2016'!$C$3:$T$13,MATCH(E24,'BPF 2016'!$B$3:$B$13,0),MATCH($H$53,'BPF 2016'!$C$3:$T$3,0))))))</f>
        <v>#N/A</v>
      </c>
      <c r="R24" s="1160" t="e">
        <f>IF($R$56=2016,INDEX('BPF 2016'!$C$3:$T$13,MATCH(E24,'BPF 2016'!$B$3:$B$13,0),MATCH($H$53,'BPF 2016'!$C$3:$T$3,0)))</f>
        <v>#N/A</v>
      </c>
      <c r="S24" s="1160" t="str">
        <f>IFERROR(VLOOKUP(E24,'Quality Assurance Checks'!DW6:EU30,1,0),VLOOKUP("Office",'Quality Assurance Checks'!DW6:EU30,1,0))</f>
        <v>Office</v>
      </c>
      <c r="T24" s="1160">
        <f>IFERROR(O24*VLOOKUP(E24,'Quality Assurance Checks'!DW6:EU30,9,0),O24*VLOOKUP("Office",'Quality Assurance Checks'!DW6:EU30,9,0))</f>
        <v>0</v>
      </c>
      <c r="U24" s="2016" t="e">
        <f>O24*VLOOKUP(E24,'Quality Assurance Checks'!DM6:DU30,5,0)</f>
        <v>#N/A</v>
      </c>
      <c r="V24" s="2016" t="e">
        <f>O24*VLOOKUP(E24,'Quality Assurance Checks'!DM6:DU30,9,0)</f>
        <v>#N/A</v>
      </c>
      <c r="W24" s="2016" t="e">
        <f>O24*VLOOKUP(E24,'Quality Assurance Checks'!DM6:DU30,6,0)</f>
        <v>#N/A</v>
      </c>
      <c r="X24" s="2016">
        <f t="shared" ref="X24" si="11">SUM(F24:H24)</f>
        <v>0</v>
      </c>
      <c r="Y24" s="1160" t="str">
        <f>IF(ISBLANK(E24),"",IF(bpf_reference="LEEDv4.1",INDEX('BPF 2016'!$C$3:$T$13,MATCH(E24,'BPF 2016'!$B$3:$B$13,0),MATCH(H$53,'BPF 2016'!$C$3:$T$3)),IF(bpf_reference="ACP",VLOOKUP(E24,'BPF 2016'!$B$17:$C$28,2,FALSE),"")))</f>
        <v/>
      </c>
      <c r="AA24" s="2149"/>
      <c r="AH24" s="1802"/>
    </row>
    <row r="25" spans="1:34" s="339" customFormat="1" ht="15.75" customHeight="1" x14ac:dyDescent="0.25">
      <c r="A25" s="304"/>
      <c r="B25" s="1" t="str">
        <f t="shared" ref="B25" si="12">"Building Type "&amp;E25</f>
        <v xml:space="preserve">Building Type </v>
      </c>
      <c r="C25" s="1"/>
      <c r="D25" s="1"/>
      <c r="E25" s="1628"/>
      <c r="F25" s="1628"/>
      <c r="G25" s="1628"/>
      <c r="H25" s="1628"/>
      <c r="I25" s="2366"/>
      <c r="J25" s="1160" t="str">
        <f t="shared" si="0"/>
        <v/>
      </c>
      <c r="K25" s="1628" t="str">
        <f t="shared" si="3"/>
        <v/>
      </c>
      <c r="L25" s="3000"/>
      <c r="M25" s="1160" t="str">
        <f t="shared" ref="M25" si="13">IF(ISBLANK(E25),"",SUM(F25:I25))</f>
        <v/>
      </c>
      <c r="O25" s="1160">
        <f t="shared" si="1"/>
        <v>0</v>
      </c>
      <c r="P25" s="1160" t="e">
        <f>IF($R$56=2010,INDEX('BPF 2010'!$C$3:$T$12,MATCH(E25,'BPF 2010'!$B$3:$B$12,0),MATCH("Average",'BPF 2010'!$C$3:$T$3,0)),IF($R$56=2016,INDEX('BPF 2016'!$C$3:$T$13,MATCH(E25,'BPF 2016'!$B$3:$B$13,0),MATCH("Average",'BPF 2016'!$C$3:$T$3,0)),IF($R$56=2013,INDEX('BPF 2013'!$C$3:$T$12,MATCH(E25,'BPF 2013'!$B$3:$B$12,0),MATCH("Average",'BPF 2007'!$C$3:$T$3,0)),IF($R$56=2007,INDEX('BPF 2007'!$C$3:$T$12,MATCH(E25,'BPF 2007'!$B$3:$B$12,0),MATCH("Average",'BPF 2007'!$C$3:$T$3,0)),""))))</f>
        <v>#N/A</v>
      </c>
      <c r="Q25" s="1160" t="e">
        <f>IF($R$56=2013,INDEX('BPF 2013'!$C$3:$T$12,MATCH(E25,'BPF 2013'!$B$3:$B$12,0),MATCH($H$53,'BPF 2013'!$C$3:$T$3,0)),IF($R$56=2007,INDEX('BPF 2007'!$C$3:$T$12,MATCH(E25,'BPF 2007'!$B$3:$B$12,0),MATCH($H$53,'BPF 2007'!$C$3:$T$3,0)),IF($R$56=2010,INDEX('BPF 2010'!$C$3:$T$12,MATCH(E25,'BPF 2010'!$B$3:$B$12,0),MATCH($H$53,'BPF 2010'!$C$3:$T$3,0)),IF($R$56=2016,INDEX('BPF 2016'!$C$3:$T$13,MATCH(E25,'BPF 2016'!$B$3:$B$13,0),MATCH($H$53,'BPF 2016'!$C$3:$T$3,0))))))</f>
        <v>#N/A</v>
      </c>
      <c r="R25" s="1160" t="e">
        <f>IF($R$56=2016,INDEX('BPF 2016'!$C$3:$T$13,MATCH(E25,'BPF 2016'!$B$3:$B$13,0),MATCH($H$53,'BPF 2016'!$C$3:$T$3,0)))</f>
        <v>#N/A</v>
      </c>
      <c r="S25" s="1160" t="str">
        <f>IFERROR(VLOOKUP(E25,'Quality Assurance Checks'!DW5:EU29,1,0),VLOOKUP("Office",'Quality Assurance Checks'!DW5:EU29,1,0))</f>
        <v>Office</v>
      </c>
      <c r="T25" s="1160">
        <f>IFERROR(O25*VLOOKUP(E25,'Quality Assurance Checks'!DW5:EU29,9,0),O25*VLOOKUP("Office",'Quality Assurance Checks'!DW5:EU29,9,0))</f>
        <v>0</v>
      </c>
      <c r="U25" s="2016" t="e">
        <f>O25*VLOOKUP(E25,'Quality Assurance Checks'!DM5:DU29,5,0)</f>
        <v>#N/A</v>
      </c>
      <c r="V25" s="2016" t="e">
        <f>O25*VLOOKUP(E25,'Quality Assurance Checks'!DM5:DU29,9,0)</f>
        <v>#N/A</v>
      </c>
      <c r="W25" s="2016" t="e">
        <f>O25*VLOOKUP(E25,'Quality Assurance Checks'!DM5:DU29,6,0)</f>
        <v>#N/A</v>
      </c>
      <c r="X25" s="2016">
        <f t="shared" ref="X25" si="14">SUM(F25:H25)</f>
        <v>0</v>
      </c>
      <c r="Y25" s="1160" t="str">
        <f>IF(ISBLANK(E25),"",IF(bpf_reference="LEEDv4.1",INDEX('BPF 2016'!$C$3:$T$13,MATCH(E25,'BPF 2016'!$B$3:$B$13,0),MATCH(H$53,'BPF 2016'!$C$3:$T$3)),IF(bpf_reference="ACP",VLOOKUP(E25,'BPF 2016'!$B$17:$C$28,2,FALSE),"")))</f>
        <v/>
      </c>
      <c r="AA25" s="2149"/>
      <c r="AH25" s="1802"/>
    </row>
    <row r="26" spans="1:34" s="339" customFormat="1" ht="14.25" customHeight="1" x14ac:dyDescent="0.25">
      <c r="B26" s="1008"/>
      <c r="C26" s="1008"/>
      <c r="D26" s="1008"/>
      <c r="E26" s="952"/>
      <c r="F26" s="1936"/>
      <c r="G26" s="1936"/>
      <c r="H26" s="1937"/>
      <c r="Y26" s="2761">
        <f t="shared" ref="Y26" si="15">SUM(F26:H26)</f>
        <v>0</v>
      </c>
      <c r="AB26" s="1521"/>
    </row>
    <row r="27" spans="1:34" s="339" customFormat="1" ht="14.25" customHeight="1" x14ac:dyDescent="0.25">
      <c r="B27" s="1008"/>
      <c r="C27" s="1008"/>
      <c r="D27" s="1008"/>
      <c r="E27" s="952"/>
      <c r="F27" s="1936"/>
      <c r="G27" s="1936"/>
      <c r="H27" s="1937"/>
      <c r="I27" s="2756" t="s">
        <v>3307</v>
      </c>
      <c r="J27" s="2760" t="str">
        <f>IFERROR((SUMPRODUCT('General Information'!J20:J26,'General Information'!M20:M26))/BuildingArea,"-")</f>
        <v>-</v>
      </c>
      <c r="Y27" s="2755"/>
      <c r="Z27" s="2758"/>
      <c r="AB27" s="1521"/>
    </row>
    <row r="28" spans="1:34" s="339" customFormat="1" ht="27" customHeight="1" x14ac:dyDescent="0.25">
      <c r="E28" s="952"/>
      <c r="H28" s="866"/>
      <c r="J28" s="2759"/>
      <c r="AB28" s="1521"/>
    </row>
    <row r="29" spans="1:34" s="339" customFormat="1" ht="36" customHeight="1" x14ac:dyDescent="0.25">
      <c r="G29" s="1198" t="s">
        <v>15</v>
      </c>
      <c r="H29" s="1198" t="str">
        <f>F19</f>
        <v>New Construction Conditioned (sq ft)</v>
      </c>
      <c r="I29" s="1198" t="str">
        <f>G19</f>
        <v>Renovation Conditioned (sq ft)</v>
      </c>
      <c r="J29" s="1198" t="str">
        <f>H19</f>
        <v>New Construction Unconditioned (sq ft)</v>
      </c>
      <c r="K29" s="1198" t="s">
        <v>2602</v>
      </c>
      <c r="L29" s="32"/>
      <c r="AB29" s="1521"/>
    </row>
    <row r="30" spans="1:34" s="339" customFormat="1" ht="15" customHeight="1" x14ac:dyDescent="0.25">
      <c r="B30" s="339" t="str">
        <f>IF($R$14="IP","Total building area (sq ft)","Total building area (sq m)")</f>
        <v>Total building area (sq ft)</v>
      </c>
      <c r="G30" s="1626">
        <f>O19</f>
        <v>0</v>
      </c>
      <c r="H30" s="1626">
        <f>SUM(F20:F26)</f>
        <v>0</v>
      </c>
      <c r="I30" s="1626">
        <f>SUM(G20:G26)</f>
        <v>0</v>
      </c>
      <c r="J30" s="1626">
        <f>SUM(H20:H26)</f>
        <v>0</v>
      </c>
      <c r="K30" s="3007">
        <f>SUM(H30:I30)</f>
        <v>0</v>
      </c>
      <c r="L30" s="3001"/>
      <c r="AB30" s="1802"/>
    </row>
    <row r="31" spans="1:34" s="339" customFormat="1" ht="15" customHeight="1" x14ac:dyDescent="0.25">
      <c r="B31" s="339" t="s">
        <v>2601</v>
      </c>
      <c r="G31" s="1869" t="s">
        <v>2212</v>
      </c>
      <c r="H31" s="1869" t="str">
        <f>IFERROR(H30/K30,"-")</f>
        <v>-</v>
      </c>
      <c r="I31" s="1869" t="str">
        <f>IFERROR(I30/K30,"-")</f>
        <v>-</v>
      </c>
      <c r="J31" s="1869" t="s">
        <v>2212</v>
      </c>
      <c r="AB31" s="1802"/>
    </row>
    <row r="32" spans="1:34" s="339" customFormat="1" ht="22.5" customHeight="1" x14ac:dyDescent="0.25">
      <c r="E32" s="1627"/>
      <c r="H32" s="866"/>
      <c r="K32" s="2320"/>
      <c r="L32" s="2320"/>
      <c r="AB32" s="1521"/>
    </row>
    <row r="33" spans="2:34" s="339" customFormat="1" ht="15" customHeight="1" x14ac:dyDescent="0.25">
      <c r="B33" s="339" t="s">
        <v>1085</v>
      </c>
      <c r="H33" s="866"/>
      <c r="K33" s="1678" t="s">
        <v>22</v>
      </c>
      <c r="AB33" s="1802"/>
    </row>
    <row r="34" spans="2:34" s="339" customFormat="1" ht="19.5" customHeight="1" x14ac:dyDescent="0.25">
      <c r="E34" s="1627"/>
      <c r="H34" s="866"/>
      <c r="AB34" s="1521"/>
    </row>
    <row r="35" spans="2:34" s="339" customFormat="1" ht="15.75" customHeight="1" x14ac:dyDescent="0.25">
      <c r="G35" s="32"/>
      <c r="H35" s="866"/>
      <c r="J35" s="1198" t="s">
        <v>2598</v>
      </c>
      <c r="K35" s="1198" t="s">
        <v>2599</v>
      </c>
      <c r="AB35" s="1521"/>
    </row>
    <row r="36" spans="2:34" s="339" customFormat="1" ht="15" customHeight="1" x14ac:dyDescent="0.25">
      <c r="B36" s="339" t="s">
        <v>1075</v>
      </c>
      <c r="G36" s="32"/>
      <c r="H36" s="866"/>
      <c r="J36" s="1680"/>
      <c r="K36" s="1680"/>
      <c r="AB36" s="1802"/>
    </row>
    <row r="37" spans="2:34" s="339" customFormat="1" ht="33" customHeight="1" x14ac:dyDescent="0.25">
      <c r="K37" s="1938"/>
      <c r="L37" s="1938"/>
      <c r="M37" s="1938"/>
      <c r="O37" s="866"/>
      <c r="AH37" s="1521"/>
    </row>
    <row r="38" spans="2:34" s="339" customFormat="1" ht="15" customHeight="1" x14ac:dyDescent="0.25">
      <c r="B38" s="196" t="s">
        <v>840</v>
      </c>
      <c r="C38" s="196"/>
      <c r="D38" s="196"/>
      <c r="E38" s="196"/>
      <c r="F38" s="196"/>
      <c r="G38" s="196"/>
      <c r="O38" s="866"/>
      <c r="AH38" s="1521"/>
    </row>
    <row r="39" spans="2:34" s="339" customFormat="1" ht="9" customHeight="1" x14ac:dyDescent="0.25">
      <c r="B39" s="196"/>
      <c r="C39" s="196"/>
      <c r="D39" s="196"/>
      <c r="E39" s="196"/>
      <c r="F39" s="196"/>
      <c r="G39" s="196"/>
      <c r="O39" s="866"/>
      <c r="AH39" s="1521"/>
    </row>
    <row r="40" spans="2:34" s="339" customFormat="1" ht="15" customHeight="1" x14ac:dyDescent="0.25">
      <c r="B40" s="243" t="s">
        <v>1078</v>
      </c>
      <c r="C40" s="243"/>
      <c r="D40" s="243"/>
      <c r="E40" s="243"/>
      <c r="F40" s="243"/>
      <c r="G40" s="243"/>
      <c r="H40" s="3332"/>
      <c r="I40" s="3333"/>
      <c r="J40" s="3333"/>
      <c r="K40" s="3334"/>
      <c r="L40" s="3002"/>
      <c r="O40" s="866"/>
      <c r="AH40" s="1802"/>
    </row>
    <row r="41" spans="2:34" s="339" customFormat="1" ht="9" customHeight="1" x14ac:dyDescent="0.25">
      <c r="B41" s="243"/>
      <c r="C41" s="243"/>
      <c r="D41" s="243"/>
      <c r="E41" s="243"/>
      <c r="F41" s="243"/>
      <c r="G41" s="243"/>
      <c r="H41" s="641"/>
      <c r="I41" s="641"/>
      <c r="J41" s="641"/>
      <c r="K41" s="641"/>
      <c r="L41" s="641"/>
      <c r="O41" s="866"/>
      <c r="AH41" s="1521"/>
    </row>
    <row r="42" spans="2:34" s="339" customFormat="1" ht="15" customHeight="1" x14ac:dyDescent="0.25">
      <c r="B42" s="243" t="s">
        <v>1077</v>
      </c>
      <c r="C42" s="243"/>
      <c r="D42" s="243"/>
      <c r="E42" s="243"/>
      <c r="F42" s="243"/>
      <c r="G42" s="243"/>
      <c r="H42" s="3332"/>
      <c r="I42" s="3333"/>
      <c r="J42" s="3333"/>
      <c r="K42" s="3334"/>
      <c r="L42" s="3002"/>
      <c r="O42" s="866"/>
      <c r="AH42" s="1802"/>
    </row>
    <row r="43" spans="2:34" s="339" customFormat="1" ht="9" hidden="1" customHeight="1" x14ac:dyDescent="0.25">
      <c r="B43" s="243"/>
      <c r="C43" s="243"/>
      <c r="D43" s="243"/>
      <c r="E43" s="243"/>
      <c r="F43" s="243"/>
      <c r="G43" s="243"/>
      <c r="H43" s="341"/>
      <c r="I43" s="341"/>
      <c r="J43" s="341"/>
      <c r="K43" s="341"/>
      <c r="L43" s="641"/>
      <c r="O43" s="866"/>
      <c r="AH43" s="1521"/>
    </row>
    <row r="44" spans="2:34" s="339" customFormat="1" ht="13.8" hidden="1" x14ac:dyDescent="0.25">
      <c r="B44" s="3310" t="s">
        <v>1079</v>
      </c>
      <c r="C44" s="3310"/>
      <c r="D44" s="3310"/>
      <c r="E44" s="3310"/>
      <c r="F44" s="3310"/>
      <c r="G44" s="3310"/>
      <c r="H44" s="3310"/>
      <c r="I44" s="3310"/>
      <c r="J44" s="3310"/>
      <c r="K44" s="3310"/>
      <c r="L44" s="2351"/>
      <c r="O44" s="866"/>
      <c r="AH44" s="1521"/>
    </row>
    <row r="45" spans="2:34" s="339" customFormat="1" ht="46.5" hidden="1" customHeight="1" x14ac:dyDescent="0.25">
      <c r="B45" s="3337" t="s">
        <v>2227</v>
      </c>
      <c r="C45" s="3338"/>
      <c r="D45" s="3338"/>
      <c r="E45" s="3338"/>
      <c r="F45" s="3338"/>
      <c r="G45" s="3338"/>
      <c r="H45" s="3338"/>
      <c r="I45" s="3338"/>
      <c r="J45" s="3338"/>
      <c r="K45" s="3339"/>
      <c r="L45" s="3003"/>
      <c r="M45" s="866"/>
      <c r="N45" s="866"/>
      <c r="O45" s="866"/>
      <c r="AH45" s="1521"/>
    </row>
    <row r="46" spans="2:34" s="339" customFormat="1" ht="9" customHeight="1" x14ac:dyDescent="0.25">
      <c r="B46" s="243"/>
      <c r="C46" s="243"/>
      <c r="D46" s="243"/>
      <c r="E46" s="243"/>
      <c r="F46" s="243"/>
      <c r="G46" s="243"/>
      <c r="H46" s="642"/>
      <c r="I46" s="642"/>
      <c r="J46" s="642"/>
      <c r="K46" s="642"/>
      <c r="L46" s="641"/>
      <c r="M46" s="641"/>
      <c r="N46" s="641"/>
      <c r="O46" s="866"/>
      <c r="AH46" s="1521"/>
    </row>
    <row r="47" spans="2:34" s="339" customFormat="1" ht="15" customHeight="1" x14ac:dyDescent="0.25">
      <c r="B47" s="243" t="s">
        <v>405</v>
      </c>
      <c r="C47" s="243"/>
      <c r="D47" s="243"/>
      <c r="E47" s="243"/>
      <c r="F47" s="243"/>
      <c r="G47" s="243"/>
      <c r="H47" s="3302"/>
      <c r="I47" s="3303"/>
      <c r="J47" s="3303"/>
      <c r="K47" s="1258" t="s">
        <v>2603</v>
      </c>
      <c r="L47" s="1867" t="str">
        <f>IF(K47="","Please specify.",IF(K47="&lt;Specify Version Number&gt;","Please specify",""))</f>
        <v>Please specify</v>
      </c>
      <c r="O47" s="866"/>
      <c r="AH47" s="1802"/>
    </row>
    <row r="48" spans="2:34" s="339" customFormat="1" ht="9" customHeight="1" x14ac:dyDescent="0.25">
      <c r="O48" s="866"/>
      <c r="AH48" s="1521"/>
    </row>
    <row r="49" spans="2:34" s="339" customFormat="1" ht="15" customHeight="1" x14ac:dyDescent="0.25">
      <c r="B49" s="243" t="s">
        <v>2479</v>
      </c>
      <c r="C49" s="243"/>
      <c r="D49" s="243"/>
      <c r="E49" s="243"/>
      <c r="F49" s="243"/>
      <c r="G49" s="243"/>
      <c r="H49" s="3332"/>
      <c r="I49" s="3333"/>
      <c r="J49" s="3333"/>
      <c r="K49" s="3334"/>
      <c r="L49" s="3002"/>
      <c r="O49" s="866"/>
      <c r="R49" s="1558" t="str">
        <f>IF(H49="California Title-24 2013, Part 6","TRUE","FALSE")</f>
        <v>FALSE</v>
      </c>
      <c r="AH49" s="1802"/>
    </row>
    <row r="50" spans="2:34" s="339" customFormat="1" ht="9" customHeight="1" x14ac:dyDescent="0.25">
      <c r="O50" s="866"/>
      <c r="AH50" s="1521"/>
    </row>
    <row r="51" spans="2:34" s="339" customFormat="1" ht="15" customHeight="1" x14ac:dyDescent="0.25">
      <c r="B51" s="243" t="s">
        <v>406</v>
      </c>
      <c r="C51" s="243"/>
      <c r="D51" s="243"/>
      <c r="E51" s="243"/>
      <c r="F51" s="243"/>
      <c r="G51" s="243"/>
      <c r="H51" s="3307"/>
      <c r="I51" s="3308"/>
      <c r="J51" s="3308"/>
      <c r="K51" s="3309"/>
      <c r="L51" s="1152"/>
      <c r="O51" s="866"/>
      <c r="AH51" s="1802"/>
    </row>
    <row r="52" spans="2:34" s="339" customFormat="1" ht="9" customHeight="1" x14ac:dyDescent="0.25">
      <c r="O52" s="866"/>
      <c r="AH52" s="1521"/>
    </row>
    <row r="53" spans="2:34" s="347" customFormat="1" ht="15" customHeight="1" x14ac:dyDescent="0.25">
      <c r="B53" s="243" t="s">
        <v>980</v>
      </c>
      <c r="C53" s="243"/>
      <c r="D53" s="243"/>
      <c r="E53" s="243"/>
      <c r="F53" s="243"/>
      <c r="G53" s="243"/>
      <c r="H53" s="3307"/>
      <c r="I53" s="3308"/>
      <c r="J53" s="3308"/>
      <c r="K53" s="3309"/>
      <c r="L53" s="1152"/>
      <c r="M53" s="184"/>
      <c r="N53" s="184"/>
      <c r="O53" s="184"/>
      <c r="P53" s="184"/>
      <c r="Q53" s="184"/>
      <c r="R53" s="1199" t="str">
        <f>IF(H53="","",LEFT(H53,1))</f>
        <v/>
      </c>
      <c r="S53" s="1199" t="str">
        <f>IF(OR(H53="3B",H53="3C",H53="4A",H53="4B",H53="4C",H53="5A",H53="5B",H53="5C",H53="6A",H53="6B",H53="7A",H53="7B",H53="8"),"Gas","Electric")</f>
        <v>Electric</v>
      </c>
      <c r="T53" s="190"/>
      <c r="U53" s="333"/>
      <c r="AB53" s="396"/>
      <c r="AC53" s="396"/>
      <c r="AD53" s="396"/>
      <c r="AE53" s="396"/>
      <c r="AH53" s="1802"/>
    </row>
    <row r="54" spans="2:34" s="347" customFormat="1" ht="15" customHeight="1" x14ac:dyDescent="0.25">
      <c r="B54" s="243"/>
      <c r="C54" s="243"/>
      <c r="D54" s="243"/>
      <c r="E54" s="243"/>
      <c r="F54" s="243"/>
      <c r="G54" s="243"/>
      <c r="H54" s="1581"/>
      <c r="I54" s="1152"/>
      <c r="J54" s="1152"/>
      <c r="K54" s="1152"/>
      <c r="L54" s="1152"/>
      <c r="M54" s="339"/>
      <c r="N54" s="339"/>
      <c r="O54" s="184"/>
      <c r="P54" s="184"/>
      <c r="Q54" s="184"/>
      <c r="R54" s="184"/>
      <c r="S54" s="184"/>
      <c r="T54" s="190"/>
      <c r="U54" s="333"/>
      <c r="AB54" s="396"/>
      <c r="AC54" s="396"/>
      <c r="AD54" s="396"/>
      <c r="AE54" s="396"/>
      <c r="AH54" s="1521"/>
    </row>
    <row r="55" spans="2:34" s="347" customFormat="1" ht="15" hidden="1" customHeight="1" x14ac:dyDescent="0.25">
      <c r="B55" s="243" t="s">
        <v>2472</v>
      </c>
      <c r="C55" s="243"/>
      <c r="D55" s="243"/>
      <c r="E55" s="243"/>
      <c r="F55" s="243"/>
      <c r="G55" s="243"/>
      <c r="H55" s="3307" t="s">
        <v>3416</v>
      </c>
      <c r="I55" s="3308"/>
      <c r="J55" s="3308"/>
      <c r="K55" s="3309"/>
      <c r="L55" s="1152"/>
      <c r="M55" s="3311"/>
      <c r="N55" s="3311"/>
      <c r="O55" s="3311"/>
      <c r="P55" s="388"/>
      <c r="Q55" s="388"/>
      <c r="R55" s="617">
        <v>2016</v>
      </c>
      <c r="S55" s="617" t="str">
        <f>IF(M55="","",1)</f>
        <v/>
      </c>
      <c r="T55" s="190"/>
      <c r="U55" s="333"/>
      <c r="AB55" s="396"/>
      <c r="AC55" s="396"/>
      <c r="AD55" s="396"/>
      <c r="AE55" s="396"/>
      <c r="AH55" s="1802"/>
    </row>
    <row r="56" spans="2:34" s="347" customFormat="1" ht="21" hidden="1" customHeight="1" x14ac:dyDescent="0.25">
      <c r="B56" s="340"/>
      <c r="C56" s="340"/>
      <c r="D56" s="340"/>
      <c r="E56" s="340"/>
      <c r="F56" s="340"/>
      <c r="G56" s="340"/>
      <c r="H56" s="1866" t="str">
        <f>IF(OR(AND(RatingSystemSelection="2016 NYS Energy Code ASHRAE 90.1 Appendix G",H55="ASHRAE 90.1-2007"),AND(RatingSystemSelection="2016 NYS Energy Code ASHRAE 90.1 Appendix G",H55="ASHRAE 90.1-2010")),"ASHRAE 90.1-2013 is the version of ASHRAE 90.1 to exceed. Please update.","")</f>
        <v/>
      </c>
      <c r="I56" s="1581"/>
      <c r="J56" s="1581"/>
      <c r="K56" s="1581"/>
      <c r="L56" s="1581"/>
      <c r="M56" s="3311"/>
      <c r="N56" s="3311"/>
      <c r="O56" s="3311"/>
      <c r="P56" s="1581"/>
      <c r="Q56" s="1581"/>
      <c r="R56" s="617">
        <v>2016</v>
      </c>
      <c r="S56" s="352" t="s">
        <v>2226</v>
      </c>
      <c r="T56" s="1581"/>
      <c r="U56" s="333"/>
      <c r="AH56" s="1521"/>
    </row>
    <row r="57" spans="2:34" s="339" customFormat="1" ht="36.75" customHeight="1" x14ac:dyDescent="0.25">
      <c r="B57" s="3310" t="s">
        <v>2561</v>
      </c>
      <c r="C57" s="3310"/>
      <c r="D57" s="3310"/>
      <c r="E57" s="3310"/>
      <c r="F57" s="3310"/>
      <c r="G57" s="3310"/>
      <c r="H57" s="3310"/>
      <c r="I57" s="3310"/>
      <c r="J57" s="3310"/>
      <c r="K57" s="3310"/>
      <c r="L57" s="2351"/>
      <c r="O57" s="866"/>
      <c r="AH57" s="1521"/>
    </row>
    <row r="58" spans="2:34" s="339" customFormat="1" ht="46.5" customHeight="1" x14ac:dyDescent="0.25">
      <c r="B58" s="3304"/>
      <c r="C58" s="3305"/>
      <c r="D58" s="3305"/>
      <c r="E58" s="3305"/>
      <c r="F58" s="3305"/>
      <c r="G58" s="3305"/>
      <c r="H58" s="3305"/>
      <c r="I58" s="3305"/>
      <c r="J58" s="3305"/>
      <c r="K58" s="3306"/>
      <c r="L58" s="2612"/>
      <c r="O58" s="866"/>
      <c r="AH58" s="1802"/>
    </row>
    <row r="59" spans="2:34" s="387" customFormat="1" ht="21" customHeight="1" x14ac:dyDescent="0.25">
      <c r="B59" s="25"/>
      <c r="C59" s="25"/>
      <c r="D59" s="25"/>
      <c r="E59" s="25"/>
      <c r="F59" s="25"/>
      <c r="G59" s="25"/>
      <c r="H59" s="18"/>
      <c r="I59" s="18"/>
      <c r="J59" s="18"/>
      <c r="K59" s="1613"/>
      <c r="L59" s="1613"/>
      <c r="M59" s="339"/>
      <c r="N59" s="339"/>
      <c r="O59" s="188"/>
      <c r="AH59" s="1521"/>
    </row>
    <row r="60" spans="2:34" s="1614" customFormat="1" ht="45.75" customHeight="1" x14ac:dyDescent="0.25">
      <c r="B60" s="3319" t="s">
        <v>2445</v>
      </c>
      <c r="C60" s="3319"/>
      <c r="D60" s="3319"/>
      <c r="E60" s="3319"/>
      <c r="F60" s="3319"/>
      <c r="G60" s="3319"/>
      <c r="H60" s="3319"/>
      <c r="I60" s="3319"/>
      <c r="J60" s="3319"/>
      <c r="K60" s="3319"/>
      <c r="L60" s="3004"/>
      <c r="M60" s="339"/>
      <c r="N60" s="339"/>
      <c r="O60" s="866"/>
      <c r="P60" s="339"/>
      <c r="Q60" s="339"/>
      <c r="R60" s="339"/>
      <c r="S60" s="339"/>
      <c r="T60" s="640"/>
      <c r="U60" s="640"/>
      <c r="V60" s="640"/>
      <c r="W60" s="640"/>
      <c r="X60" s="640"/>
      <c r="Y60" s="640"/>
      <c r="Z60" s="640"/>
      <c r="AA60" s="640"/>
      <c r="AB60" s="640"/>
      <c r="AC60" s="640"/>
      <c r="AD60" s="640"/>
      <c r="AE60" s="640"/>
      <c r="AH60" s="1615"/>
    </row>
    <row r="61" spans="2:34" s="1614" customFormat="1" ht="33" customHeight="1" x14ac:dyDescent="0.25">
      <c r="B61" s="3319" t="s">
        <v>2446</v>
      </c>
      <c r="C61" s="3319"/>
      <c r="D61" s="3319"/>
      <c r="E61" s="3319"/>
      <c r="F61" s="3319"/>
      <c r="G61" s="3319"/>
      <c r="H61" s="3319"/>
      <c r="I61" s="3319"/>
      <c r="J61" s="3319"/>
      <c r="K61" s="3319"/>
      <c r="L61" s="3004"/>
      <c r="M61" s="339"/>
      <c r="N61" s="339"/>
      <c r="O61" s="866"/>
      <c r="P61" s="1615"/>
      <c r="Q61" s="1615"/>
      <c r="R61" s="1615"/>
      <c r="S61" s="1615"/>
      <c r="T61" s="1615"/>
      <c r="U61" s="1615"/>
      <c r="V61" s="1615"/>
      <c r="W61" s="1615"/>
      <c r="X61" s="1615"/>
      <c r="Y61" s="1615"/>
      <c r="Z61" s="1615"/>
      <c r="AA61" s="1615"/>
      <c r="AB61" s="1615"/>
      <c r="AC61" s="1615"/>
      <c r="AD61" s="1615"/>
      <c r="AE61" s="1615"/>
      <c r="AH61" s="1615"/>
    </row>
    <row r="62" spans="2:34" s="1614" customFormat="1" ht="22.5" customHeight="1" x14ac:dyDescent="0.25">
      <c r="B62" s="1862"/>
      <c r="C62" s="1862"/>
      <c r="D62" s="1862"/>
      <c r="E62" s="1862"/>
      <c r="F62" s="1862"/>
      <c r="G62" s="1862"/>
      <c r="H62" s="1862"/>
      <c r="I62" s="1862"/>
      <c r="J62" s="1862"/>
      <c r="K62" s="1862"/>
      <c r="L62" s="3004"/>
      <c r="M62" s="339"/>
      <c r="N62" s="339"/>
      <c r="O62" s="866"/>
      <c r="P62" s="1615"/>
      <c r="Q62" s="1615"/>
      <c r="R62" s="1615"/>
      <c r="S62" s="1615"/>
      <c r="T62" s="1615"/>
      <c r="U62" s="1615"/>
      <c r="V62" s="1615"/>
      <c r="W62" s="1615"/>
      <c r="X62" s="1615"/>
      <c r="Y62" s="1615"/>
      <c r="Z62" s="1615"/>
      <c r="AA62" s="1615"/>
      <c r="AB62" s="1615"/>
      <c r="AC62" s="1615"/>
      <c r="AD62" s="1615"/>
      <c r="AE62" s="1615"/>
      <c r="AH62" s="1615"/>
    </row>
    <row r="63" spans="2:34" s="1614" customFormat="1" ht="26.25" customHeight="1" x14ac:dyDescent="0.25">
      <c r="B63" s="3203" t="s">
        <v>2604</v>
      </c>
      <c r="C63" s="3203"/>
      <c r="D63" s="3203"/>
      <c r="E63" s="3203"/>
      <c r="F63" s="3203"/>
      <c r="G63" s="1867" t="str">
        <f>IF(K63="Yes","Please include an explanation of any error messages in the submitted package.","")</f>
        <v/>
      </c>
      <c r="I63" s="339"/>
      <c r="K63" s="1785"/>
      <c r="L63" s="339"/>
      <c r="M63" s="339"/>
      <c r="N63" s="339"/>
      <c r="O63" s="866"/>
      <c r="P63" s="1615"/>
      <c r="Q63" s="1615"/>
      <c r="R63" s="1615"/>
      <c r="S63" s="1615"/>
      <c r="T63" s="1615"/>
      <c r="U63" s="1615"/>
      <c r="V63" s="1615"/>
      <c r="W63" s="1615"/>
      <c r="X63" s="1615"/>
      <c r="Y63" s="1615"/>
      <c r="Z63" s="1615"/>
      <c r="AA63" s="1615"/>
      <c r="AB63" s="1615"/>
      <c r="AC63" s="1615"/>
      <c r="AD63" s="1615"/>
      <c r="AE63" s="1615"/>
      <c r="AH63" s="1802"/>
    </row>
    <row r="64" spans="2:34" s="1614" customFormat="1" ht="22.5" customHeight="1" x14ac:dyDescent="0.25">
      <c r="B64" s="1616"/>
      <c r="C64" s="1616"/>
      <c r="D64" s="1616"/>
      <c r="E64" s="1616"/>
      <c r="F64" s="1616"/>
      <c r="G64" s="1616"/>
      <c r="H64" s="1617"/>
      <c r="I64" s="1617"/>
      <c r="J64" s="1616"/>
      <c r="K64" s="1616"/>
      <c r="L64" s="1616"/>
      <c r="M64" s="339"/>
      <c r="N64" s="339"/>
      <c r="O64" s="866"/>
      <c r="P64" s="1616"/>
      <c r="Q64" s="1616"/>
      <c r="R64" s="1616"/>
      <c r="S64" s="1616"/>
      <c r="T64" s="1616"/>
      <c r="U64" s="1616"/>
      <c r="V64" s="1616"/>
      <c r="W64" s="1616"/>
      <c r="X64" s="1616"/>
      <c r="Y64" s="1616"/>
      <c r="Z64" s="1616"/>
      <c r="AA64" s="1616"/>
      <c r="AB64" s="1616"/>
      <c r="AC64" s="1616"/>
      <c r="AD64" s="1616"/>
      <c r="AE64" s="1616"/>
      <c r="AH64" s="1615"/>
    </row>
    <row r="65" spans="2:34" s="387" customFormat="1" ht="24.75" customHeight="1" x14ac:dyDescent="0.25">
      <c r="B65" s="3325" t="s">
        <v>856</v>
      </c>
      <c r="C65" s="3325"/>
      <c r="D65" s="3325"/>
      <c r="E65" s="3325"/>
      <c r="F65" s="3325"/>
      <c r="G65" s="3325"/>
      <c r="H65" s="3325"/>
      <c r="I65" s="3325"/>
      <c r="J65" s="3325"/>
      <c r="K65" s="3325"/>
      <c r="L65" s="1486"/>
      <c r="M65" s="339"/>
      <c r="N65" s="339"/>
      <c r="O65" s="188"/>
      <c r="AH65" s="1521"/>
    </row>
    <row r="66" spans="2:34" s="387" customFormat="1" ht="28.5" customHeight="1" x14ac:dyDescent="0.25">
      <c r="B66" s="3301" t="s">
        <v>978</v>
      </c>
      <c r="C66" s="3301"/>
      <c r="D66" s="3301"/>
      <c r="E66" s="3301"/>
      <c r="F66" s="3301"/>
      <c r="G66" s="3301"/>
      <c r="H66" s="3301"/>
      <c r="I66" s="3301"/>
      <c r="J66" s="3301"/>
      <c r="K66" s="3301"/>
      <c r="L66" s="2988"/>
      <c r="M66" s="339"/>
      <c r="N66" s="339"/>
      <c r="O66" s="188"/>
      <c r="AH66" s="1521"/>
    </row>
    <row r="67" spans="2:34" s="387" customFormat="1" ht="15" customHeight="1" x14ac:dyDescent="0.25">
      <c r="B67" s="1618"/>
      <c r="C67" s="1618"/>
      <c r="D67" s="1618"/>
      <c r="E67" s="1618"/>
      <c r="F67" s="1618"/>
      <c r="G67" s="1618"/>
      <c r="H67" s="1618"/>
      <c r="I67" s="1618"/>
      <c r="J67" s="1618"/>
      <c r="K67" s="1618"/>
      <c r="M67" s="339"/>
      <c r="N67" s="339"/>
      <c r="O67" s="866"/>
      <c r="P67" s="9"/>
      <c r="Q67" s="9"/>
      <c r="R67" s="615" t="b">
        <v>0</v>
      </c>
      <c r="S67" s="35"/>
      <c r="T67" s="35"/>
      <c r="U67" s="35"/>
      <c r="V67" s="35"/>
      <c r="W67" s="35"/>
      <c r="X67" s="35"/>
      <c r="Y67" s="35"/>
      <c r="Z67" s="35"/>
      <c r="AA67" s="35"/>
      <c r="AH67" s="1521"/>
    </row>
    <row r="68" spans="2:34" s="387" customFormat="1" ht="21" customHeight="1" x14ac:dyDescent="0.25">
      <c r="B68" s="3327" t="s">
        <v>263</v>
      </c>
      <c r="C68" s="3328"/>
      <c r="D68" s="3328"/>
      <c r="E68" s="3328"/>
      <c r="F68" s="3328"/>
      <c r="G68" s="3328"/>
      <c r="H68" s="3329"/>
      <c r="I68" s="1619"/>
      <c r="J68" s="1620"/>
      <c r="K68" s="1621"/>
      <c r="L68" s="352"/>
      <c r="M68" s="339"/>
      <c r="N68" s="339"/>
      <c r="O68" s="866"/>
      <c r="P68" s="9"/>
      <c r="Q68" s="9"/>
      <c r="R68" s="615" t="b">
        <v>0</v>
      </c>
      <c r="S68" s="617" t="b">
        <v>0</v>
      </c>
      <c r="T68" s="617" t="b">
        <v>0</v>
      </c>
      <c r="U68" s="35"/>
      <c r="V68" s="35"/>
      <c r="W68" s="35"/>
      <c r="X68" s="35"/>
      <c r="Y68" s="35"/>
      <c r="Z68" s="35"/>
      <c r="AA68" s="35"/>
      <c r="AH68" s="1802"/>
    </row>
    <row r="69" spans="2:34" s="387" customFormat="1" ht="21" customHeight="1" x14ac:dyDescent="0.25">
      <c r="B69" s="3312" t="s">
        <v>1633</v>
      </c>
      <c r="C69" s="3313"/>
      <c r="D69" s="3313"/>
      <c r="E69" s="3313"/>
      <c r="F69" s="3313"/>
      <c r="G69" s="3313"/>
      <c r="H69" s="3326"/>
      <c r="I69" s="3295"/>
      <c r="J69" s="3320"/>
      <c r="K69" s="3321"/>
      <c r="L69" s="1571"/>
      <c r="M69" s="339"/>
      <c r="N69" s="339"/>
      <c r="O69" s="866"/>
      <c r="P69" s="9"/>
      <c r="Q69" s="9"/>
      <c r="R69" s="615" t="b">
        <f>IF(AND(R67=TRUE,LEFT(I69,6)="Path 1"),TRUE,FALSE)</f>
        <v>0</v>
      </c>
      <c r="S69" s="617" t="b">
        <f>IF(AND(R67=TRUE,LEFT(I69,6)="Path 2"),TRUE,FALSE)</f>
        <v>0</v>
      </c>
      <c r="T69" s="617" t="b">
        <f>IF(AND(R67=TRUE,LEFT(I69,6)="Path 3"),TRUE,FALSE)</f>
        <v>0</v>
      </c>
      <c r="U69" s="617" t="b">
        <f>IF(AND(R67=TRUE,LEFT(I69,6)="Path 4"),TRUE,FALSE)</f>
        <v>0</v>
      </c>
      <c r="V69" s="35"/>
      <c r="W69" s="35"/>
      <c r="X69" s="35"/>
      <c r="Y69" s="35"/>
      <c r="Z69" s="35"/>
      <c r="AA69" s="35"/>
      <c r="AH69" s="1802"/>
    </row>
    <row r="70" spans="2:34" s="29" customFormat="1" ht="21" customHeight="1" x14ac:dyDescent="0.25">
      <c r="B70" s="3322" t="s">
        <v>265</v>
      </c>
      <c r="C70" s="3323"/>
      <c r="D70" s="3323"/>
      <c r="E70" s="3323"/>
      <c r="F70" s="3323"/>
      <c r="G70" s="3323"/>
      <c r="H70" s="3324"/>
      <c r="I70" s="3295"/>
      <c r="J70" s="3320"/>
      <c r="K70" s="3321"/>
      <c r="L70" s="3005"/>
      <c r="M70" s="339"/>
      <c r="N70" s="339"/>
      <c r="O70" s="866"/>
      <c r="P70" s="9"/>
      <c r="Q70" s="9"/>
      <c r="R70" s="616" t="b">
        <f>IF(I70="Modeling Method",TRUE,FALSE)</f>
        <v>0</v>
      </c>
      <c r="S70" s="618" t="b">
        <f>IF(I70="Monitoring Method",TRUE,FALSE)</f>
        <v>0</v>
      </c>
      <c r="T70" s="588"/>
      <c r="U70" s="588"/>
      <c r="V70" s="588"/>
      <c r="W70" s="588"/>
      <c r="X70" s="588"/>
      <c r="Y70" s="588"/>
      <c r="Z70" s="588"/>
      <c r="AA70" s="588"/>
      <c r="AH70" s="1802"/>
    </row>
    <row r="71" spans="2:34" s="29" customFormat="1" ht="65.25" customHeight="1" x14ac:dyDescent="0.25">
      <c r="B71" s="3322" t="s">
        <v>264</v>
      </c>
      <c r="C71" s="3323"/>
      <c r="D71" s="3323"/>
      <c r="E71" s="3323"/>
      <c r="F71" s="3323"/>
      <c r="G71" s="3323"/>
      <c r="H71" s="3324"/>
      <c r="I71" s="3295"/>
      <c r="J71" s="3320"/>
      <c r="K71" s="3321"/>
      <c r="L71" s="3006"/>
      <c r="M71" s="339"/>
      <c r="N71" s="339"/>
      <c r="O71" s="866"/>
      <c r="P71" s="9"/>
      <c r="Q71" s="9"/>
      <c r="R71" s="249"/>
      <c r="S71" s="249"/>
      <c r="T71" s="588"/>
      <c r="U71" s="588"/>
      <c r="V71" s="588"/>
      <c r="W71" s="588"/>
      <c r="X71" s="588"/>
      <c r="Y71" s="588"/>
      <c r="Z71" s="588"/>
      <c r="AA71" s="588"/>
      <c r="AH71" s="1802"/>
    </row>
    <row r="72" spans="2:34" s="339" customFormat="1" ht="33" customHeight="1" x14ac:dyDescent="0.25">
      <c r="O72" s="866"/>
      <c r="R72" s="1"/>
      <c r="S72" s="1"/>
      <c r="T72" s="1"/>
      <c r="U72" s="1"/>
      <c r="V72" s="1"/>
      <c r="W72" s="1"/>
      <c r="X72" s="1"/>
      <c r="Y72" s="1"/>
      <c r="Z72" s="1"/>
      <c r="AA72" s="1"/>
      <c r="AH72" s="1521"/>
    </row>
    <row r="73" spans="2:34" s="387" customFormat="1" ht="25.5" customHeight="1" thickBot="1" x14ac:dyDescent="0.3">
      <c r="B73" s="3325" t="s">
        <v>855</v>
      </c>
      <c r="C73" s="3325"/>
      <c r="D73" s="3325"/>
      <c r="E73" s="3325"/>
      <c r="F73" s="3325"/>
      <c r="G73" s="3325"/>
      <c r="H73" s="3325"/>
      <c r="I73" s="3325"/>
      <c r="J73" s="3325"/>
      <c r="K73" s="3325"/>
      <c r="L73" s="1486"/>
      <c r="M73" s="339"/>
      <c r="N73" s="339"/>
      <c r="O73" s="188"/>
      <c r="R73" s="2493" t="b">
        <f>IF(OR(R74=TRUE,R75=TRUE),TRUE,FALSE)</f>
        <v>0</v>
      </c>
      <c r="S73" s="35"/>
      <c r="T73" s="35"/>
      <c r="U73" s="35"/>
      <c r="V73" s="35"/>
      <c r="W73" s="35"/>
      <c r="X73" s="35"/>
      <c r="Y73" s="35"/>
      <c r="Z73" s="35"/>
      <c r="AA73" s="35"/>
      <c r="AH73" s="1521"/>
    </row>
    <row r="74" spans="2:34" s="387" customFormat="1" ht="121.5" customHeight="1" thickBot="1" x14ac:dyDescent="0.3">
      <c r="B74" s="3292" t="s">
        <v>3273</v>
      </c>
      <c r="C74" s="3293"/>
      <c r="D74" s="3293"/>
      <c r="E74" s="3293"/>
      <c r="F74" s="3293"/>
      <c r="G74" s="3293"/>
      <c r="H74" s="3294"/>
      <c r="I74" s="3295"/>
      <c r="J74" s="3296"/>
      <c r="K74" s="3297"/>
      <c r="L74" s="3006"/>
      <c r="M74" s="339"/>
      <c r="N74" s="339"/>
      <c r="O74" s="189"/>
      <c r="R74" s="2494" t="b">
        <f>IF(OR($J$9="ID+C: Commercial Interiors",$J$9="ID+C: Retail",$J$9="ID+C: Hospitality"),TRUE,FALSE)</f>
        <v>0</v>
      </c>
      <c r="S74" s="35"/>
      <c r="T74" s="35"/>
      <c r="U74" s="35"/>
      <c r="V74" s="35"/>
      <c r="W74" s="35"/>
      <c r="X74" s="35"/>
      <c r="Y74" s="35"/>
      <c r="Z74" s="35"/>
      <c r="AA74" s="35"/>
      <c r="AH74" s="1802"/>
    </row>
    <row r="75" spans="2:34" s="387" customFormat="1" ht="70.5" customHeight="1" thickBot="1" x14ac:dyDescent="0.3">
      <c r="B75" s="3298" t="s">
        <v>981</v>
      </c>
      <c r="C75" s="3299"/>
      <c r="D75" s="3299"/>
      <c r="E75" s="3299"/>
      <c r="F75" s="3299"/>
      <c r="G75" s="3299"/>
      <c r="H75" s="3300"/>
      <c r="I75" s="3295"/>
      <c r="J75" s="3296"/>
      <c r="K75" s="3297"/>
      <c r="M75" s="339"/>
      <c r="N75" s="339"/>
      <c r="O75" s="189"/>
      <c r="R75" s="2494" t="b">
        <f>IF($J$9="BD+C: Data Centers",TRUE,FALSE)</f>
        <v>0</v>
      </c>
      <c r="S75" s="35"/>
      <c r="T75" s="619" t="b">
        <f>IF(AND(R75=TRUE,J75="Avg of Full IT Load + Startup IT Load"),TRUE,FALSE)</f>
        <v>0</v>
      </c>
      <c r="U75" s="2495" t="b">
        <f>R75</f>
        <v>0</v>
      </c>
      <c r="V75" s="2494" t="b">
        <f>IF(OR($J$9="ID+C: Retail",$J$9="BD+C: Retail"),TRUE,FALSE)</f>
        <v>0</v>
      </c>
      <c r="W75" s="2006"/>
      <c r="X75" s="2006"/>
      <c r="Y75" s="2006"/>
      <c r="Z75" s="2006"/>
      <c r="AA75" s="2006"/>
      <c r="AH75" s="1802"/>
    </row>
    <row r="76" spans="2:34" s="347" customFormat="1" ht="33" customHeight="1" x14ac:dyDescent="0.25">
      <c r="B76" s="1492"/>
      <c r="C76" s="1492"/>
      <c r="D76" s="1492"/>
      <c r="E76" s="1492"/>
      <c r="F76" s="1492"/>
      <c r="G76" s="1492"/>
      <c r="H76" s="1492"/>
      <c r="I76" s="1492"/>
      <c r="J76" s="1492"/>
      <c r="K76" s="1492"/>
      <c r="L76" s="1492"/>
      <c r="M76" s="339"/>
      <c r="N76" s="339"/>
      <c r="O76" s="187"/>
      <c r="R76" s="42"/>
      <c r="S76" s="42"/>
      <c r="T76" s="620" t="s">
        <v>909</v>
      </c>
      <c r="U76" s="620" t="s">
        <v>910</v>
      </c>
      <c r="V76" s="2496" t="s">
        <v>69</v>
      </c>
      <c r="W76" s="2007"/>
      <c r="X76" s="2007"/>
      <c r="Y76" s="2007"/>
      <c r="Z76" s="2007"/>
      <c r="AA76" s="2007"/>
      <c r="AH76" s="1521"/>
    </row>
    <row r="77" spans="2:34" s="387" customFormat="1" ht="25.5" customHeight="1" x14ac:dyDescent="0.25">
      <c r="B77" s="3325" t="s">
        <v>845</v>
      </c>
      <c r="C77" s="3325"/>
      <c r="D77" s="3325"/>
      <c r="E77" s="3325"/>
      <c r="F77" s="3325"/>
      <c r="G77" s="3325"/>
      <c r="H77" s="3325"/>
      <c r="I77" s="3325"/>
      <c r="J77" s="3325"/>
      <c r="K77" s="3325"/>
      <c r="L77" s="1486"/>
      <c r="M77" s="1486"/>
      <c r="N77" s="1486"/>
      <c r="O77" s="188"/>
      <c r="AH77" s="1521"/>
    </row>
    <row r="78" spans="2:34" s="387" customFormat="1" ht="78.75" customHeight="1" x14ac:dyDescent="0.2">
      <c r="B78" s="3292" t="s">
        <v>915</v>
      </c>
      <c r="C78" s="3293"/>
      <c r="D78" s="3293"/>
      <c r="E78" s="3293"/>
      <c r="F78" s="3293"/>
      <c r="G78" s="3294"/>
      <c r="H78" s="3316"/>
      <c r="I78" s="3317"/>
      <c r="J78" s="3317"/>
      <c r="K78" s="3318"/>
      <c r="L78" s="2997"/>
      <c r="M78" s="1622"/>
      <c r="N78" s="1622"/>
      <c r="O78" s="189"/>
      <c r="AH78" s="1802"/>
    </row>
    <row r="79" spans="2:34" s="387" customFormat="1" ht="33" customHeight="1" x14ac:dyDescent="0.2">
      <c r="B79" s="3312" t="s">
        <v>1858</v>
      </c>
      <c r="C79" s="3313"/>
      <c r="D79" s="3313"/>
      <c r="E79" s="3313"/>
      <c r="F79" s="3313"/>
      <c r="G79" s="3313"/>
      <c r="H79" s="3313"/>
      <c r="I79" s="3314"/>
      <c r="J79" s="3314"/>
      <c r="K79" s="3315"/>
      <c r="L79" s="1623"/>
      <c r="M79" s="1623"/>
      <c r="N79" s="1623"/>
      <c r="O79" s="189"/>
      <c r="AH79" s="1802"/>
    </row>
    <row r="80" spans="2:34" s="347" customFormat="1" ht="21" customHeight="1" x14ac:dyDescent="0.25">
      <c r="B80" s="1492"/>
      <c r="C80" s="1492"/>
      <c r="D80" s="1492"/>
      <c r="E80" s="1492"/>
      <c r="F80" s="1492"/>
      <c r="G80" s="1492"/>
      <c r="H80" s="1492"/>
      <c r="I80" s="1492"/>
      <c r="J80" s="1492"/>
      <c r="K80" s="1492"/>
      <c r="L80" s="1492"/>
      <c r="M80" s="1492"/>
      <c r="N80" s="1492"/>
      <c r="O80" s="187"/>
      <c r="AH80" s="1521"/>
    </row>
    <row r="81" spans="15:34" s="339" customFormat="1" ht="15" customHeight="1" x14ac:dyDescent="0.25">
      <c r="O81" s="866"/>
      <c r="AH81" s="1521"/>
    </row>
    <row r="82" spans="15:34" s="339" customFormat="1" ht="15" customHeight="1" x14ac:dyDescent="0.25">
      <c r="O82" s="866"/>
      <c r="AH82" s="1521"/>
    </row>
    <row r="83" spans="15:34" s="339" customFormat="1" ht="15" customHeight="1" x14ac:dyDescent="0.25">
      <c r="O83" s="866"/>
      <c r="AH83" s="1521"/>
    </row>
    <row r="84" spans="15:34" s="339" customFormat="1" ht="15" customHeight="1" x14ac:dyDescent="0.25">
      <c r="O84" s="866"/>
      <c r="AH84" s="1521"/>
    </row>
    <row r="85" spans="15:34" s="339" customFormat="1" ht="15" customHeight="1" x14ac:dyDescent="0.25">
      <c r="O85" s="866"/>
      <c r="AH85" s="1521"/>
    </row>
    <row r="86" spans="15:34" s="339" customFormat="1" ht="15" customHeight="1" x14ac:dyDescent="0.25">
      <c r="O86" s="866"/>
      <c r="AH86" s="1521"/>
    </row>
    <row r="87" spans="15:34" s="339" customFormat="1" ht="15" customHeight="1" x14ac:dyDescent="0.25">
      <c r="O87" s="866"/>
      <c r="R87" s="1624"/>
      <c r="S87" s="1624"/>
      <c r="T87" s="1624"/>
      <c r="U87" s="1624"/>
      <c r="V87" s="1624"/>
      <c r="W87" s="1624"/>
      <c r="X87" s="1624"/>
      <c r="Y87" s="1624"/>
      <c r="Z87" s="1624"/>
      <c r="AA87" s="1624"/>
      <c r="AH87" s="1521"/>
    </row>
  </sheetData>
  <sheetProtection algorithmName="SHA-512" hashValue="fsFFZ+XRbilDvT49v+xsmJCLm5QCYDiOGCVXxZtJNoJ+WdyTvnT2RwsQ2kX3WucHMtWamXKZlVnihJ6X/8jBHw==" saltValue="GknJG4K16ZXSUchnbLNL7Q==" spinCount="100000" sheet="1" objects="1" scenarios="1"/>
  <dataConsolidate/>
  <customSheetViews>
    <customSheetView guid="{75D6F8CE-A4F4-4FDD-BA92-7996F9E19FA9}" scale="90" showGridLines="0" hiddenRows="1">
      <selection activeCell="C38" sqref="C38:F38"/>
      <pageMargins left="0.7" right="0.7" top="0.75" bottom="0.75" header="0.3" footer="0.3"/>
      <pageSetup orientation="portrait" r:id="rId1"/>
    </customSheetView>
  </customSheetViews>
  <mergeCells count="39">
    <mergeCell ref="B3:K3"/>
    <mergeCell ref="H51:K51"/>
    <mergeCell ref="H49:K49"/>
    <mergeCell ref="J5:K5"/>
    <mergeCell ref="J7:K7"/>
    <mergeCell ref="H42:K42"/>
    <mergeCell ref="B44:K44"/>
    <mergeCell ref="B45:K45"/>
    <mergeCell ref="J11:K11"/>
    <mergeCell ref="J9:K9"/>
    <mergeCell ref="H40:K40"/>
    <mergeCell ref="J12:K12"/>
    <mergeCell ref="M55:O56"/>
    <mergeCell ref="B79:K79"/>
    <mergeCell ref="H78:K78"/>
    <mergeCell ref="B61:K61"/>
    <mergeCell ref="I71:K71"/>
    <mergeCell ref="B71:H71"/>
    <mergeCell ref="B77:K77"/>
    <mergeCell ref="B73:K73"/>
    <mergeCell ref="B60:K60"/>
    <mergeCell ref="B69:H69"/>
    <mergeCell ref="B68:H68"/>
    <mergeCell ref="B65:K65"/>
    <mergeCell ref="B70:H70"/>
    <mergeCell ref="I70:K70"/>
    <mergeCell ref="I69:K69"/>
    <mergeCell ref="H55:K55"/>
    <mergeCell ref="B66:K66"/>
    <mergeCell ref="H47:J47"/>
    <mergeCell ref="B58:K58"/>
    <mergeCell ref="H53:K53"/>
    <mergeCell ref="B57:K57"/>
    <mergeCell ref="B63:F63"/>
    <mergeCell ref="B78:G78"/>
    <mergeCell ref="B74:H74"/>
    <mergeCell ref="I74:K74"/>
    <mergeCell ref="I75:K75"/>
    <mergeCell ref="B75:H75"/>
  </mergeCells>
  <conditionalFormatting sqref="B79:N79">
    <cfRule type="expression" dxfId="445" priority="22">
      <formula>IF(ISNUMBER(SEARCH("Additional",$H$78)),FALSE,TRUE)</formula>
    </cfRule>
  </conditionalFormatting>
  <conditionalFormatting sqref="B74">
    <cfRule type="expression" dxfId="444" priority="19">
      <formula>IF($R74 =TRUE,FALSE,TRUE)</formula>
    </cfRule>
  </conditionalFormatting>
  <conditionalFormatting sqref="B70:H71 L70:L71">
    <cfRule type="expression" dxfId="443" priority="18">
      <formula>IF(OR($R$67=FALSE,$R$69=TRUE,$U$69=TRUE),TRUE,FALSE)</formula>
    </cfRule>
  </conditionalFormatting>
  <conditionalFormatting sqref="K33">
    <cfRule type="expression" dxfId="442" priority="17">
      <formula>IF(RatingSystemSelection&lt;&gt;"LEED v4 BD+C: Multifamily Midrise",TRUE,FALSE)</formula>
    </cfRule>
  </conditionalFormatting>
  <conditionalFormatting sqref="B75 H75">
    <cfRule type="expression" dxfId="441" priority="14">
      <formula>IF($R75 =TRUE,FALSE,TRUE)</formula>
    </cfRule>
  </conditionalFormatting>
  <conditionalFormatting sqref="B68:L68 B69:H69 L69">
    <cfRule type="expression" dxfId="440" priority="12">
      <formula>IF($R$67=FALSE,TRUE,FALSE)</formula>
    </cfRule>
  </conditionalFormatting>
  <conditionalFormatting sqref="L74">
    <cfRule type="expression" dxfId="439" priority="9">
      <formula>IF(OR($R$67=FALSE,$R$69=TRUE,$U$69=TRUE),TRUE,FALSE)</formula>
    </cfRule>
  </conditionalFormatting>
  <conditionalFormatting sqref="I74:K74">
    <cfRule type="expression" dxfId="438" priority="6">
      <formula>IF($R$74=FALSE,TRUE,FALSE)</formula>
    </cfRule>
  </conditionalFormatting>
  <conditionalFormatting sqref="I75:K75">
    <cfRule type="expression" dxfId="437" priority="5">
      <formula>IF($R$75=FALSE,TRUE,FALSE)</formula>
    </cfRule>
  </conditionalFormatting>
  <conditionalFormatting sqref="B68:K69">
    <cfRule type="expression" dxfId="436" priority="2">
      <formula>IF($R$67=FALSE,TRUE,FALSE)</formula>
    </cfRule>
  </conditionalFormatting>
  <conditionalFormatting sqref="B70:K71">
    <cfRule type="expression" dxfId="435" priority="1">
      <formula>IF(OR($R$67=FALSE,$R$69=TRUE,$U$69=TRUE),TRUE,FALSE)</formula>
    </cfRule>
  </conditionalFormatting>
  <dataValidations count="21">
    <dataValidation type="list" allowBlank="1" showInputMessage="1" showErrorMessage="1" sqref="I69:L69 O69" xr:uid="{00000000-0002-0000-0300-000000000000}">
      <formula1>"Path 1. ASHRAE 90.1-2010 Appendix G,Path 2. Full DES Performance Accounting,Path 3. Streamlined DES Modeling,Path 4. California Title-24 baseline default efficiencies"</formula1>
    </dataValidation>
    <dataValidation type="list" allowBlank="1" showInputMessage="1" showErrorMessage="1" sqref="I70 O70" xr:uid="{00000000-0002-0000-0300-000001000000}">
      <formula1>"Modeling Method,Monitoring Method"</formula1>
    </dataValidation>
    <dataValidation type="list" allowBlank="1" showInputMessage="1" showErrorMessage="1" sqref="M78:N78" xr:uid="{00000000-0002-0000-0300-000002000000}">
      <formula1>"Identically in both buildings based on the requirements of the baseline building, Claiming savings beyond the baseline building requirements, N/A - No unfinished spaces"</formula1>
    </dataValidation>
    <dataValidation type="list" allowBlank="1" showInputMessage="1" showErrorMessage="1" sqref="I75" xr:uid="{00000000-0002-0000-0300-000003000000}">
      <formula1>"Full buildout IT Loads, Avg of Full IT Load + Startup IT Load"</formula1>
    </dataValidation>
    <dataValidation type="list" allowBlank="1" showInputMessage="1" showErrorMessage="1" sqref="K14:L14 O14" xr:uid="{00000000-0002-0000-0300-000004000000}">
      <formula1>"IP units, SI units"</formula1>
    </dataValidation>
    <dataValidation type="list" allowBlank="1" sqref="O47" xr:uid="{00000000-0002-0000-0300-000005000000}">
      <formula1>SimulationProgram</formula1>
    </dataValidation>
    <dataValidation type="list" allowBlank="1" showErrorMessage="1" sqref="O49" xr:uid="{00000000-0002-0000-0300-000006000000}">
      <formula1>EnergyCode</formula1>
    </dataValidation>
    <dataValidation type="list" allowBlank="1" showInputMessage="1" showErrorMessage="1" sqref="J9:J10" xr:uid="{00000000-0002-0000-0300-000007000000}">
      <formula1>RatingSystem</formula1>
    </dataValidation>
    <dataValidation type="list" allowBlank="1" showInputMessage="1" showErrorMessage="1" sqref="H47" xr:uid="{00000000-0002-0000-0300-000008000000}">
      <formula1>SimulationProgram</formula1>
    </dataValidation>
    <dataValidation type="list" allowBlank="1" showInputMessage="1" showErrorMessage="1" sqref="H49:L49" xr:uid="{00000000-0002-0000-0300-000009000000}">
      <formula1>"ASHRAE 90.1 2016 Appendix G"</formula1>
    </dataValidation>
    <dataValidation type="list" allowBlank="1" showInputMessage="1" showErrorMessage="1" sqref="T53:T55" xr:uid="{00000000-0002-0000-0300-00000A000000}">
      <formula1>IF(#REF!="FALSE",AshraeClimate,CaliforniaClimate)</formula1>
    </dataValidation>
    <dataValidation type="list" allowBlank="1" showInputMessage="1" sqref="H49:L49 H47" xr:uid="{00000000-0002-0000-0300-00000B000000}">
      <formula1>#REF!</formula1>
    </dataValidation>
    <dataValidation type="list" allowBlank="1" showInputMessage="1" showErrorMessage="1" sqref="H53:L53" xr:uid="{00000000-0002-0000-0300-00000C000000}">
      <formula1>IF($R$49="FALSE",AshraeClimate,CaliforniaClimate)</formula1>
    </dataValidation>
    <dataValidation type="list" allowBlank="1" showInputMessage="1" showErrorMessage="1" sqref="H42:L42" xr:uid="{00000000-0002-0000-0300-00000D000000}">
      <formula1>ProjectPhaseCompleteness</formula1>
    </dataValidation>
    <dataValidation type="list" allowBlank="1" showInputMessage="1" showErrorMessage="1" sqref="K33" xr:uid="{00000000-0002-0000-0300-00000E000000}">
      <formula1>"Yes, No"</formula1>
    </dataValidation>
    <dataValidation type="list" allowBlank="1" showInputMessage="1" showErrorMessage="1" sqref="K63" xr:uid="{00000000-0002-0000-0300-00000F000000}">
      <formula1>"Yes,No"</formula1>
    </dataValidation>
    <dataValidation allowBlank="1" showInputMessage="1" sqref="K47" xr:uid="{00000000-0002-0000-0300-000010000000}"/>
    <dataValidation type="list" allowBlank="1" showInputMessage="1" showErrorMessage="1" sqref="E20:E25" xr:uid="{00000000-0002-0000-0300-000011000000}">
      <formula1>BPFBuildingType2016</formula1>
    </dataValidation>
    <dataValidation type="decimal" allowBlank="1" showInputMessage="1" showErrorMessage="1" sqref="J20:J25" xr:uid="{00000000-0002-0000-0300-000012000000}">
      <formula1>0</formula1>
      <formula2>1</formula2>
    </dataValidation>
    <dataValidation type="list" allowBlank="1" showInputMessage="1" showErrorMessage="1" sqref="L78" xr:uid="{00000000-0002-0000-0300-000013000000}">
      <formula1>"Unfinished system type(s) and assembly type(s) modeled identically in baseline and proposed and per ASHRAE 90.1-2016 prescriptive requirements., Claiming savings beyond ASHRAE 90.1-2016 prescriptive requirements.,N/A"</formula1>
    </dataValidation>
    <dataValidation type="list" allowBlank="1" showInputMessage="1" showErrorMessage="1" sqref="H78:K78" xr:uid="{00000000-0002-0000-0300-000014000000}">
      <formula1>SelectUnfinished</formula1>
    </dataValidation>
  </dataValidations>
  <pageMargins left="0.7" right="0.7" top="0.75" bottom="0.75" header="0.3" footer="0.3"/>
  <pageSetup paperSize="8" scale="41" fitToHeight="0" orientation="landscape" r:id="rId2"/>
  <ignoredErrors>
    <ignoredError sqref="K30 K25 K21 K22 K23 K24"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38920" r:id="rId5" name="Check Box 8">
              <controlPr defaultSize="0" autoFill="0" autoLine="0" autoPict="0">
                <anchor moveWithCells="1">
                  <from>
                    <xdr:col>8</xdr:col>
                    <xdr:colOff>99060</xdr:colOff>
                    <xdr:row>66</xdr:row>
                    <xdr:rowOff>175260</xdr:rowOff>
                  </from>
                  <to>
                    <xdr:col>8</xdr:col>
                    <xdr:colOff>1013460</xdr:colOff>
                    <xdr:row>68</xdr:row>
                    <xdr:rowOff>22860</xdr:rowOff>
                  </to>
                </anchor>
              </controlPr>
            </control>
          </mc:Choice>
        </mc:AlternateContent>
        <mc:AlternateContent xmlns:mc="http://schemas.openxmlformats.org/markup-compatibility/2006">
          <mc:Choice Requires="x14">
            <control shapeId="38921" r:id="rId6" name="Check Box 9">
              <controlPr defaultSize="0" autoFill="0" autoLine="0" autoPict="0">
                <anchor moveWithCells="1">
                  <from>
                    <xdr:col>9</xdr:col>
                    <xdr:colOff>358140</xdr:colOff>
                    <xdr:row>66</xdr:row>
                    <xdr:rowOff>175260</xdr:rowOff>
                  </from>
                  <to>
                    <xdr:col>9</xdr:col>
                    <xdr:colOff>1295400</xdr:colOff>
                    <xdr:row>68</xdr:row>
                    <xdr:rowOff>22860</xdr:rowOff>
                  </to>
                </anchor>
              </controlPr>
            </control>
          </mc:Choice>
        </mc:AlternateContent>
        <mc:AlternateContent xmlns:mc="http://schemas.openxmlformats.org/markup-compatibility/2006">
          <mc:Choice Requires="x14">
            <control shapeId="38922" r:id="rId7" name="Check Box 10">
              <controlPr defaultSize="0" autoFill="0" autoLine="0" autoPict="0">
                <anchor moveWithCells="1">
                  <from>
                    <xdr:col>10</xdr:col>
                    <xdr:colOff>594360</xdr:colOff>
                    <xdr:row>66</xdr:row>
                    <xdr:rowOff>152400</xdr:rowOff>
                  </from>
                  <to>
                    <xdr:col>10</xdr:col>
                    <xdr:colOff>1501140</xdr:colOff>
                    <xdr:row>68</xdr:row>
                    <xdr:rowOff>22860</xdr:rowOff>
                  </to>
                </anchor>
              </controlPr>
            </control>
          </mc:Choice>
        </mc:AlternateContent>
        <mc:AlternateContent xmlns:mc="http://schemas.openxmlformats.org/markup-compatibility/2006">
          <mc:Choice Requires="x14">
            <control shapeId="38927" r:id="rId8" name="Check Box 15">
              <controlPr defaultSize="0" autoFill="0" autoLine="0" autoPict="0">
                <anchor moveWithCells="1">
                  <from>
                    <xdr:col>1</xdr:col>
                    <xdr:colOff>0</xdr:colOff>
                    <xdr:row>58</xdr:row>
                    <xdr:rowOff>175260</xdr:rowOff>
                  </from>
                  <to>
                    <xdr:col>1</xdr:col>
                    <xdr:colOff>327660</xdr:colOff>
                    <xdr:row>59</xdr:row>
                    <xdr:rowOff>251460</xdr:rowOff>
                  </to>
                </anchor>
              </controlPr>
            </control>
          </mc:Choice>
        </mc:AlternateContent>
        <mc:AlternateContent xmlns:mc="http://schemas.openxmlformats.org/markup-compatibility/2006">
          <mc:Choice Requires="x14">
            <control shapeId="38928" r:id="rId9" name="Check Box 16">
              <controlPr defaultSize="0" autoFill="0" autoLine="0" autoPict="0">
                <anchor moveWithCells="1">
                  <from>
                    <xdr:col>1</xdr:col>
                    <xdr:colOff>0</xdr:colOff>
                    <xdr:row>59</xdr:row>
                    <xdr:rowOff>480060</xdr:rowOff>
                  </from>
                  <to>
                    <xdr:col>1</xdr:col>
                    <xdr:colOff>327660</xdr:colOff>
                    <xdr:row>60</xdr:row>
                    <xdr:rowOff>251460</xdr:rowOff>
                  </to>
                </anchor>
              </controlPr>
            </control>
          </mc:Choice>
        </mc:AlternateContent>
        <mc:AlternateContent xmlns:mc="http://schemas.openxmlformats.org/markup-compatibility/2006">
          <mc:Choice Requires="x14">
            <control shapeId="38933" r:id="rId10" name="DES_Checkbox">
              <controlPr defaultSize="0" autoFill="0" autoLine="0" autoPict="0" macro="[0]!DES_Checkbox_Click">
                <anchor moveWithCells="1">
                  <from>
                    <xdr:col>1</xdr:col>
                    <xdr:colOff>22860</xdr:colOff>
                    <xdr:row>64</xdr:row>
                    <xdr:rowOff>251460</xdr:rowOff>
                  </from>
                  <to>
                    <xdr:col>1</xdr:col>
                    <xdr:colOff>327660</xdr:colOff>
                    <xdr:row>65</xdr:row>
                    <xdr:rowOff>228600</xdr:rowOff>
                  </to>
                </anchor>
              </controlPr>
            </control>
          </mc:Choice>
        </mc:AlternateContent>
        <mc:AlternateContent xmlns:mc="http://schemas.openxmlformats.org/markup-compatibility/2006">
          <mc:Choice Requires="x14">
            <control shapeId="38936" r:id="rId11" name="Button 24">
              <controlPr defaultSize="0" print="0" autoFill="0" autoPict="0" macro="[0]!addD">
                <anchor moveWithCells="1">
                  <from>
                    <xdr:col>0</xdr:col>
                    <xdr:colOff>152400</xdr:colOff>
                    <xdr:row>25</xdr:row>
                    <xdr:rowOff>60960</xdr:rowOff>
                  </from>
                  <to>
                    <xdr:col>1</xdr:col>
                    <xdr:colOff>1371600</xdr:colOff>
                    <xdr:row>26</xdr:row>
                    <xdr:rowOff>137160</xdr:rowOff>
                  </to>
                </anchor>
              </controlPr>
            </control>
          </mc:Choice>
        </mc:AlternateContent>
        <mc:AlternateContent xmlns:mc="http://schemas.openxmlformats.org/markup-compatibility/2006">
          <mc:Choice Requires="x14">
            <control shapeId="38937" r:id="rId12" name="Button 25">
              <controlPr defaultSize="0" print="0" autoFill="0" autoPict="0" macro="[0]!DeleteSome">
                <anchor moveWithCells="1">
                  <from>
                    <xdr:col>1</xdr:col>
                    <xdr:colOff>1447800</xdr:colOff>
                    <xdr:row>25</xdr:row>
                    <xdr:rowOff>60960</xdr:rowOff>
                  </from>
                  <to>
                    <xdr:col>4</xdr:col>
                    <xdr:colOff>762000</xdr:colOff>
                    <xdr:row>26</xdr:row>
                    <xdr:rowOff>137160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15000000}">
          <x14:formula1>
            <xm:f>DropdownData!$EO$2:$EO$4</xm:f>
          </x14:formula1>
          <xm:sqref>J11:K11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theme="0" tint="-0.249977111117893"/>
  </sheetPr>
  <dimension ref="A1:U36"/>
  <sheetViews>
    <sheetView workbookViewId="0"/>
  </sheetViews>
  <sheetFormatPr defaultColWidth="9" defaultRowHeight="13.8" outlineLevelCol="1" x14ac:dyDescent="0.25"/>
  <cols>
    <col min="1" max="1" width="2.5" style="354" customWidth="1"/>
    <col min="2" max="2" width="14.296875" style="354" customWidth="1"/>
    <col min="3" max="3" width="16.19921875" style="354" customWidth="1"/>
    <col min="4" max="4" width="14.5" style="354" customWidth="1"/>
    <col min="5" max="5" width="15.69921875" style="354" customWidth="1"/>
    <col min="6" max="11" width="14.69921875" style="354" customWidth="1"/>
    <col min="12" max="14" width="2.69921875" style="354" customWidth="1"/>
    <col min="15" max="15" width="9" style="354" hidden="1" customWidth="1" outlineLevel="1"/>
    <col min="16" max="16" width="2.69921875" style="354" customWidth="1" collapsed="1"/>
    <col min="17" max="17" width="2.69921875" style="354" customWidth="1"/>
    <col min="18" max="18" width="50.69921875" style="398" customWidth="1"/>
    <col min="19" max="16384" width="9" style="354"/>
  </cols>
  <sheetData>
    <row r="1" spans="1:21" x14ac:dyDescent="0.25">
      <c r="A1" s="331" t="s">
        <v>1038</v>
      </c>
      <c r="B1" s="39"/>
      <c r="C1" s="39"/>
      <c r="D1" s="39"/>
      <c r="E1" s="39"/>
      <c r="F1" s="39"/>
      <c r="G1" s="38"/>
      <c r="H1" s="39"/>
      <c r="I1" s="38"/>
      <c r="J1" s="38"/>
      <c r="K1" s="39"/>
      <c r="L1" s="401"/>
      <c r="M1" s="401"/>
      <c r="N1" s="401"/>
      <c r="O1" s="401"/>
      <c r="P1" s="401"/>
      <c r="Q1" s="401"/>
      <c r="R1" s="401"/>
      <c r="S1" s="401"/>
      <c r="T1" s="401"/>
      <c r="U1" s="401"/>
    </row>
    <row r="2" spans="1:21" ht="25.2" x14ac:dyDescent="0.25">
      <c r="A2" s="331" t="s">
        <v>1038</v>
      </c>
      <c r="B2" s="15" t="s">
        <v>1215</v>
      </c>
      <c r="C2" s="15"/>
      <c r="D2" s="15"/>
      <c r="E2" s="15"/>
      <c r="F2" s="15"/>
      <c r="G2" s="15"/>
      <c r="H2" s="15"/>
      <c r="I2" s="15"/>
      <c r="J2" s="15"/>
      <c r="K2" s="15"/>
      <c r="L2" s="402"/>
      <c r="M2" s="402"/>
      <c r="N2" s="402"/>
      <c r="O2" s="402"/>
      <c r="P2" s="402"/>
      <c r="Q2" s="402"/>
      <c r="R2" s="1776"/>
      <c r="S2" s="402"/>
      <c r="T2" s="402"/>
      <c r="U2" s="402"/>
    </row>
    <row r="3" spans="1:21" x14ac:dyDescent="0.25">
      <c r="A3" s="331" t="s">
        <v>1038</v>
      </c>
      <c r="B3" s="39"/>
      <c r="C3" s="39"/>
      <c r="D3" s="39"/>
      <c r="E3" s="39"/>
      <c r="F3" s="39"/>
      <c r="G3" s="38"/>
      <c r="H3" s="39"/>
      <c r="I3" s="38"/>
      <c r="J3" s="38"/>
      <c r="K3" s="39"/>
      <c r="L3" s="401"/>
      <c r="M3" s="401"/>
      <c r="N3" s="401"/>
      <c r="O3" s="401"/>
      <c r="P3" s="401"/>
      <c r="Q3" s="401"/>
      <c r="R3" s="401"/>
      <c r="S3" s="401"/>
      <c r="T3" s="401"/>
      <c r="U3" s="401"/>
    </row>
    <row r="4" spans="1:21" x14ac:dyDescent="0.25">
      <c r="A4" s="348" t="s">
        <v>1038</v>
      </c>
    </row>
    <row r="5" spans="1:21" ht="25.5" customHeight="1" x14ac:dyDescent="0.25">
      <c r="A5" s="348" t="s">
        <v>1038</v>
      </c>
      <c r="B5" s="357" t="s">
        <v>1471</v>
      </c>
    </row>
    <row r="6" spans="1:21" ht="19.5" customHeight="1" x14ac:dyDescent="0.25">
      <c r="A6" s="348"/>
      <c r="O6" s="643">
        <v>1</v>
      </c>
    </row>
    <row r="7" spans="1:21" ht="19.5" customHeight="1" x14ac:dyDescent="0.25">
      <c r="A7" s="348"/>
      <c r="O7" s="564"/>
    </row>
    <row r="8" spans="1:21" ht="19.5" customHeight="1" x14ac:dyDescent="0.25">
      <c r="A8" s="348"/>
    </row>
    <row r="9" spans="1:21" ht="12.75" customHeight="1" x14ac:dyDescent="0.25">
      <c r="A9" s="348"/>
    </row>
    <row r="10" spans="1:21" ht="107.25" customHeight="1" x14ac:dyDescent="0.25">
      <c r="A10" s="348" t="s">
        <v>1038</v>
      </c>
      <c r="B10" s="3346" t="str">
        <f>IF(proj_RatingSystem="ND",CONCATENATE("The minimum average building energy improvement over ASHRAE 90.1-2010 must be 5% for new buildings, 3% for major building renovations, or 2% for core and shell buildings."," Multiple buildings may be grouped into a single energy model, provided (1) the building type (new construction, major renovation, or core and shell) is consistent for all buildings included in the energy model, ","or (2) an average 5% improvement is demonstrated for the entire energy model.", "If only a subset of the building energy model details is reported, check the box below, and for the buildings without the details reported here, ","report the sum total energy  consumption for the buildings not reported here in the Performance_Output_Residual tab."," Provide a narrative confirming that at least 90% of the building area for ND non-residential, mixed-use and multiunit residential buildings 4 stories or more were modeled",", and briefly describing the energy efficiency measures for any buildings where energy model details are not reported here."),CONCATENATE("The documentation must be sufficient to show that each building individually complies with the prerequisite performance improvement requirements."," If not modeling each building in a separate energy model to show individual compliance, complete the narrative below to justify that all buildings meet the prerequisite performance improvement requirements. ","Note: if insufficient information is available in the narrative and input data to prove that all buildings individually meet the prerequisite performance improvement requirements, ","additional energy simulation outputs including submetered data per building may be required during the review process to confirm prerequisite compliance per building."))</f>
        <v>The documentation must be sufficient to show that each building individually complies with the prerequisite performance improvement requirements. If not modeling each building in a separate energy model to show individual compliance, complete the narrative below to justify that all buildings meet the prerequisite performance improvement requirements. Note: if insufficient information is available in the narrative and input data to prove that all buildings individually meet the prerequisite performance improvement requirements, additional energy simulation outputs including submetered data per building may be required during the review process to confirm prerequisite compliance per building.</v>
      </c>
      <c r="C10" s="3347"/>
      <c r="D10" s="3347"/>
      <c r="E10" s="3347"/>
      <c r="F10" s="3347"/>
      <c r="G10" s="3347"/>
      <c r="H10" s="3347"/>
      <c r="I10" s="3347"/>
      <c r="J10" s="3347"/>
      <c r="K10" s="3347"/>
      <c r="R10" s="1370" t="s">
        <v>1635</v>
      </c>
    </row>
    <row r="11" spans="1:21" ht="54.75" customHeight="1" x14ac:dyDescent="0.25">
      <c r="A11" s="348" t="s">
        <v>1038</v>
      </c>
      <c r="B11" s="3348"/>
      <c r="C11" s="3348"/>
      <c r="D11" s="3348"/>
      <c r="E11" s="3348"/>
      <c r="F11" s="3348"/>
      <c r="G11" s="3348"/>
      <c r="H11" s="3348"/>
      <c r="I11" s="3348"/>
      <c r="J11" s="3348"/>
      <c r="K11" s="3348"/>
      <c r="R11" s="1777"/>
    </row>
    <row r="12" spans="1:21" ht="49.95" customHeight="1" x14ac:dyDescent="0.25">
      <c r="A12" s="348"/>
      <c r="O12" s="645" t="b">
        <v>0</v>
      </c>
      <c r="R12" s="1753"/>
    </row>
    <row r="13" spans="1:21" ht="15.6" x14ac:dyDescent="0.25">
      <c r="A13" s="348" t="s">
        <v>1038</v>
      </c>
      <c r="B13" s="357" t="s">
        <v>2368</v>
      </c>
      <c r="R13" s="1753"/>
    </row>
    <row r="14" spans="1:21" ht="9" customHeight="1" x14ac:dyDescent="0.25">
      <c r="A14" s="348" t="s">
        <v>1038</v>
      </c>
      <c r="R14" s="1753"/>
    </row>
    <row r="15" spans="1:21" s="395" customFormat="1" ht="21" customHeight="1" x14ac:dyDescent="0.25">
      <c r="A15" s="348" t="s">
        <v>1038</v>
      </c>
      <c r="B15" s="3345" t="s">
        <v>1309</v>
      </c>
      <c r="C15" s="3345"/>
      <c r="D15" s="3344"/>
      <c r="E15" s="3344"/>
      <c r="F15" s="3344"/>
      <c r="G15" s="3344"/>
      <c r="H15" s="3344"/>
      <c r="I15" s="3344"/>
      <c r="J15" s="3344" t="s">
        <v>1221</v>
      </c>
      <c r="K15" s="3344"/>
      <c r="R15" s="1778"/>
    </row>
    <row r="16" spans="1:21" s="405" customFormat="1" ht="15" hidden="1" customHeight="1" x14ac:dyDescent="0.3">
      <c r="A16" s="403" t="s">
        <v>1038</v>
      </c>
      <c r="B16" s="1465" t="s">
        <v>1315</v>
      </c>
      <c r="C16" s="1464"/>
      <c r="D16" s="1464"/>
      <c r="E16" s="1464"/>
      <c r="F16" s="1464"/>
      <c r="G16" s="1464"/>
      <c r="H16" s="1464"/>
      <c r="I16" s="1464"/>
      <c r="J16" s="1465" t="s">
        <v>1221</v>
      </c>
      <c r="K16" s="1464"/>
      <c r="R16" s="1779"/>
    </row>
    <row r="17" spans="1:18" s="395" customFormat="1" ht="15" customHeight="1" x14ac:dyDescent="0.25">
      <c r="A17" s="348"/>
      <c r="B17" s="3350">
        <f>INDEX(MBD_BS_Table,3,1)</f>
        <v>0</v>
      </c>
      <c r="C17" s="3351"/>
      <c r="D17" s="3351"/>
      <c r="E17" s="3351"/>
      <c r="F17" s="3351"/>
      <c r="G17" s="3351"/>
      <c r="H17" s="3351"/>
      <c r="I17" s="3351"/>
      <c r="J17" s="3352">
        <f>INDEX(MBD_BS_Table,3, 5)</f>
        <v>0</v>
      </c>
      <c r="K17" s="3353"/>
      <c r="R17" s="1770"/>
    </row>
    <row r="18" spans="1:18" s="395" customFormat="1" ht="6" customHeight="1" x14ac:dyDescent="0.25">
      <c r="A18" s="348"/>
      <c r="B18" s="612"/>
      <c r="C18" s="612"/>
      <c r="D18" s="612"/>
      <c r="E18" s="612"/>
      <c r="F18" s="612"/>
      <c r="G18" s="612"/>
      <c r="H18" s="612"/>
      <c r="I18" s="612"/>
      <c r="J18" s="613"/>
      <c r="K18" s="613"/>
      <c r="R18" s="1778"/>
    </row>
    <row r="19" spans="1:18" ht="31.5" customHeight="1" x14ac:dyDescent="0.25">
      <c r="A19" s="348" t="s">
        <v>1038</v>
      </c>
      <c r="R19" s="1753"/>
    </row>
    <row r="20" spans="1:18" ht="21" customHeight="1" x14ac:dyDescent="0.25">
      <c r="A20" s="348"/>
      <c r="B20" s="357" t="s">
        <v>2369</v>
      </c>
      <c r="R20" s="1753"/>
    </row>
    <row r="21" spans="1:18" ht="21" customHeight="1" x14ac:dyDescent="0.25">
      <c r="A21" s="348" t="s">
        <v>1038</v>
      </c>
      <c r="B21" s="1459"/>
      <c r="C21" s="1460"/>
      <c r="D21" s="1460"/>
      <c r="E21" s="1360" t="s">
        <v>1314</v>
      </c>
      <c r="F21" s="1360" t="str">
        <f>"Modeled Building Area "&amp;IF(SI_IP_Units="IP","(sq. ft.)","(sq. m.)")</f>
        <v>Modeled Building Area (sq. ft.)</v>
      </c>
      <c r="G21" s="1360"/>
      <c r="H21" s="1360"/>
      <c r="I21" s="1360" t="s">
        <v>1217</v>
      </c>
      <c r="J21" s="1360"/>
      <c r="K21" s="1360"/>
      <c r="R21" s="1753"/>
    </row>
    <row r="22" spans="1:18" ht="33" hidden="1" customHeight="1" x14ac:dyDescent="0.25">
      <c r="A22" s="348" t="s">
        <v>1038</v>
      </c>
      <c r="B22" s="1360" t="s">
        <v>1087</v>
      </c>
      <c r="C22" s="1461"/>
      <c r="D22" s="1461"/>
      <c r="E22" s="1356" t="s">
        <v>1315</v>
      </c>
      <c r="F22" s="1356" t="s">
        <v>1221</v>
      </c>
      <c r="G22" s="1354" t="s">
        <v>1216</v>
      </c>
      <c r="H22" s="1354" t="s">
        <v>348</v>
      </c>
      <c r="I22" s="1354" t="s">
        <v>347</v>
      </c>
      <c r="J22" s="1462" t="s">
        <v>1218</v>
      </c>
      <c r="K22" s="1462"/>
      <c r="R22" s="1753"/>
    </row>
    <row r="23" spans="1:18" hidden="1" x14ac:dyDescent="0.25">
      <c r="A23" s="348"/>
      <c r="B23" s="3349" t="s">
        <v>1390</v>
      </c>
      <c r="C23" s="3349"/>
      <c r="D23" s="3349"/>
      <c r="E23" s="1254" t="str">
        <f>INDEX(MBD_BS_Table,2, 1)</f>
        <v>Residual Project</v>
      </c>
      <c r="F23" s="1255"/>
      <c r="G23" s="1255"/>
      <c r="H23" s="1255"/>
      <c r="I23" s="1256"/>
      <c r="J23" s="1252">
        <f>I23</f>
        <v>0</v>
      </c>
      <c r="K23" s="1253"/>
      <c r="R23" s="1777"/>
    </row>
    <row r="24" spans="1:18" ht="15" hidden="1" customHeight="1" x14ac:dyDescent="0.25">
      <c r="A24" s="348" t="s">
        <v>1038</v>
      </c>
      <c r="B24" s="3349">
        <f>GI_Project_Name</f>
        <v>0</v>
      </c>
      <c r="C24" s="3349"/>
      <c r="D24" s="3349"/>
      <c r="E24" s="1257">
        <v>1</v>
      </c>
      <c r="F24" s="1258"/>
      <c r="G24" s="1259"/>
      <c r="H24" s="1259"/>
      <c r="I24" s="1260"/>
      <c r="J24" s="1252">
        <f>1-I24</f>
        <v>1</v>
      </c>
      <c r="K24" s="1253"/>
      <c r="R24" s="1777"/>
    </row>
    <row r="25" spans="1:18" x14ac:dyDescent="0.25">
      <c r="A25" s="348" t="s">
        <v>1038</v>
      </c>
      <c r="B25" s="600" t="s">
        <v>569</v>
      </c>
      <c r="C25" s="363"/>
      <c r="D25" s="363"/>
      <c r="E25" s="363"/>
      <c r="F25" s="363"/>
      <c r="G25" s="363"/>
      <c r="H25" s="363"/>
      <c r="I25" s="363"/>
      <c r="J25" s="363"/>
      <c r="R25" s="1753"/>
    </row>
    <row r="26" spans="1:18" x14ac:dyDescent="0.25">
      <c r="A26" s="348"/>
      <c r="B26" s="363"/>
      <c r="C26" s="363"/>
      <c r="D26" s="363"/>
      <c r="E26" s="363"/>
      <c r="F26" s="363"/>
      <c r="G26" s="363"/>
      <c r="H26" s="363"/>
      <c r="I26" s="363"/>
      <c r="J26" s="363"/>
      <c r="R26" s="1753"/>
    </row>
    <row r="27" spans="1:18" x14ac:dyDescent="0.25">
      <c r="A27" s="348" t="s">
        <v>1038</v>
      </c>
      <c r="B27" s="363"/>
      <c r="C27" s="363"/>
      <c r="D27" s="363"/>
      <c r="E27" s="363"/>
      <c r="F27" s="363"/>
      <c r="G27" s="363"/>
      <c r="H27" s="363"/>
      <c r="I27" s="363"/>
      <c r="J27" s="363"/>
      <c r="R27" s="1753"/>
    </row>
    <row r="28" spans="1:18" x14ac:dyDescent="0.25">
      <c r="A28" s="348" t="s">
        <v>1038</v>
      </c>
      <c r="B28" s="363"/>
      <c r="C28" s="363"/>
      <c r="D28" s="363"/>
      <c r="E28" s="363"/>
      <c r="F28" s="363"/>
      <c r="G28" s="363"/>
      <c r="H28" s="363"/>
      <c r="I28" s="363"/>
      <c r="J28" s="363"/>
      <c r="R28" s="1753"/>
    </row>
    <row r="29" spans="1:18" ht="15.6" x14ac:dyDescent="0.25">
      <c r="A29" s="348" t="s">
        <v>1038</v>
      </c>
      <c r="B29" s="357" t="s">
        <v>2370</v>
      </c>
      <c r="C29" s="357"/>
      <c r="R29" s="1753"/>
    </row>
    <row r="30" spans="1:18" ht="9" customHeight="1" x14ac:dyDescent="0.25">
      <c r="A30" s="348" t="s">
        <v>1038</v>
      </c>
      <c r="R30" s="1753"/>
    </row>
    <row r="31" spans="1:18" ht="21" customHeight="1" x14ac:dyDescent="0.25">
      <c r="A31" s="348" t="s">
        <v>1038</v>
      </c>
      <c r="B31" s="3344"/>
      <c r="C31" s="3344"/>
      <c r="D31" s="1461"/>
      <c r="E31" s="1461"/>
      <c r="F31" s="1360" t="str">
        <f>"Modeled Building Area "&amp;IF(SI_IP_Units="IP","(sq. ft.)","(sq. m.)")</f>
        <v>Modeled Building Area (sq. ft.)</v>
      </c>
      <c r="G31" s="1360"/>
      <c r="H31" s="1360"/>
      <c r="I31" s="1360" t="s">
        <v>1217</v>
      </c>
      <c r="J31" s="1461"/>
      <c r="K31" s="1360"/>
      <c r="R31" s="1753"/>
    </row>
    <row r="32" spans="1:18" s="398" customFormat="1" ht="33" customHeight="1" x14ac:dyDescent="0.25">
      <c r="A32" s="404" t="s">
        <v>1038</v>
      </c>
      <c r="B32" s="3344"/>
      <c r="C32" s="3344"/>
      <c r="D32" s="1463"/>
      <c r="E32" s="1463"/>
      <c r="F32" s="1354" t="s">
        <v>1222</v>
      </c>
      <c r="G32" s="1354" t="s">
        <v>1216</v>
      </c>
      <c r="H32" s="1354" t="s">
        <v>348</v>
      </c>
      <c r="I32" s="1354" t="s">
        <v>347</v>
      </c>
      <c r="J32" s="1462" t="s">
        <v>1218</v>
      </c>
      <c r="K32" s="1462"/>
      <c r="R32" s="1753"/>
    </row>
    <row r="33" spans="1:18" x14ac:dyDescent="0.25">
      <c r="A33" s="348" t="s">
        <v>1038</v>
      </c>
      <c r="B33" s="3343" t="s">
        <v>1583</v>
      </c>
      <c r="C33" s="3343"/>
      <c r="D33" s="3343"/>
      <c r="E33" s="3343"/>
      <c r="F33" s="1249">
        <f ca="1">SUM(OFFSET(MBD_BS_Index,1,MATCH($F$22,MBD_BS_Hdr,0)-1,ROWS(MBD_BS_Index)-1,1))</f>
        <v>0</v>
      </c>
      <c r="G33" s="1250">
        <f ca="1">SUM(OFFSET(MBD_BS_Index,1,MATCH($G$22,MBD_BS_Hdr,0)-1,ROWS(MBD_BS_Index)-1,1))</f>
        <v>0</v>
      </c>
      <c r="H33" s="1250">
        <f ca="1">SUM(OFFSET(MBD_BS_Index,1,MATCH($H$22,MBD_BS_Hdr,0)-1,ROWS(MBD_BS_Index)-1,1))</f>
        <v>0</v>
      </c>
      <c r="I33" s="1251" t="e">
        <f ca="1">(SUMPRODUCT(OFFSET(MBD_BS_Index,1,MATCH($F$22,MBD_BS_Hdr,0)-1,ROWS(MBD_BS_Index)-1,1),OFFSET(MBD_BS_Index,1,MATCH($G$22,MBD_BS_Hdr,0)-1,ROWS(MBD_BS_Index)-1,1),OFFSET(MBD_BS_Index,1,MATCH($I$22,MBD_BS_Hdr,0)-1,ROWS(MBD_BS_Index)-1,1))+SUMPRODUCT(OFFSET(MBD_BS_Index,1,MATCH($F$22,MBD_BS_Hdr,0)-1,ROWS(MBD_BS_Index)-1,1),OFFSET(MBD_BS_Index,1,MATCH($H$22,MBD_BS_Hdr,0)-1,ROWS(MBD_BS_Index)-1,1),OFFSET(MBD_BS_Index,1,MATCH($I$22,MBD_BS_Hdr,0)-1,ROWS(MBD_BS_Index)-1,1)))/(SUMPRODUCT(OFFSET(MBD_BS_Index,1,MATCH($F$22,MBD_BS_Hdr,0)-1,ROWS(MBD_BS_Index)-1,1),OFFSET(MBD_BS_Index,1,MATCH($G$22,MBD_BS_Hdr,0)-1,ROWS(MBD_BS_Index)-1,1))+SUMPRODUCT(OFFSET(MBD_BS_Index,1,MATCH($F$22,MBD_BS_Hdr,0)-1,ROWS(MBD_BS_Index)-1,1),OFFSET(MBD_BS_Index,1,MATCH($H$22,MBD_BS_Hdr,0)-1,ROWS(MBD_BS_Index)-1,1)))</f>
        <v>#DIV/0!</v>
      </c>
      <c r="J33" s="1252" t="e">
        <f ca="1">1-I33</f>
        <v>#DIV/0!</v>
      </c>
      <c r="K33" s="1253"/>
      <c r="R33" s="1777"/>
    </row>
    <row r="34" spans="1:18" x14ac:dyDescent="0.25">
      <c r="A34" s="348" t="s">
        <v>1038</v>
      </c>
    </row>
    <row r="35" spans="1:18" x14ac:dyDescent="0.25">
      <c r="A35" s="383"/>
    </row>
    <row r="36" spans="1:18" x14ac:dyDescent="0.25">
      <c r="A36" s="383"/>
    </row>
  </sheetData>
  <sheetProtection algorithmName="SHA-512" hashValue="1TrgZYW9xusSKMXp31u1pilg/G5sTnprZhKD2d7t3jk3hdaP9dPRUynFVbguUlLAk49a6OHOfqoHekZRdmmsLw==" saltValue="StQaxvgQZ/FVTJXF/3oXng==" spinCount="100000" sheet="1" objects="1" scenarios="1"/>
  <dataConsolidate/>
  <customSheetViews>
    <customSheetView guid="{75D6F8CE-A4F4-4FDD-BA92-7996F9E19FA9}" hiddenRows="1">
      <selection activeCell="H19" sqref="H19"/>
      <pageMargins left="0.7" right="0.7" top="0.75" bottom="0.75" header="0.3" footer="0.3"/>
      <pageSetup orientation="portrait" r:id="rId1"/>
    </customSheetView>
  </customSheetViews>
  <mergeCells count="10">
    <mergeCell ref="B33:E33"/>
    <mergeCell ref="J15:K15"/>
    <mergeCell ref="B31:C32"/>
    <mergeCell ref="B15:I15"/>
    <mergeCell ref="B10:K10"/>
    <mergeCell ref="B11:K11"/>
    <mergeCell ref="B23:D23"/>
    <mergeCell ref="B17:I17"/>
    <mergeCell ref="J17:K17"/>
    <mergeCell ref="B24:D24"/>
  </mergeCells>
  <conditionalFormatting sqref="B10:K11">
    <cfRule type="expression" dxfId="434" priority="59">
      <formula>AND(proj_RatingSystem&lt;&gt;"ND",$O$6=1)</formula>
    </cfRule>
  </conditionalFormatting>
  <conditionalFormatting sqref="B17:K17">
    <cfRule type="expression" dxfId="433" priority="2">
      <formula>IF($O$6&lt;&gt;3,TRUE,FALSE)</formula>
    </cfRule>
  </conditionalFormatting>
  <dataValidations count="3">
    <dataValidation type="decimal" allowBlank="1" showInputMessage="1" showErrorMessage="1" sqref="I33:J33 I23:J24" xr:uid="{00000000-0002-0000-0400-000000000000}">
      <formula1>0</formula1>
      <formula2>1</formula2>
    </dataValidation>
    <dataValidation type="list" allowBlank="1" showInputMessage="1" showErrorMessage="1" sqref="E23" xr:uid="{00000000-0002-0000-0400-000001000000}">
      <formula1>OFFSET(MBD_EMI_Index,2,0,ROWS(MBD_EMI_Index)-2,1)</formula1>
    </dataValidation>
    <dataValidation type="list" allowBlank="1" showInputMessage="1" showErrorMessage="1" sqref="E24" xr:uid="{00000000-0002-0000-0400-000002000000}">
      <formula1>OFFSET(MBD_EMI_Index,1,0,ROWS(MBD_EMI_Index)-1,1)</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7521" r:id="rId5" name="Button 1">
              <controlPr defaultSize="0" print="0" autoFill="0" autoPict="0" macro="[0]!AddBldg">
                <anchor moveWithCells="1">
                  <from>
                    <xdr:col>1</xdr:col>
                    <xdr:colOff>38100</xdr:colOff>
                    <xdr:row>25</xdr:row>
                    <xdr:rowOff>15240</xdr:rowOff>
                  </from>
                  <to>
                    <xdr:col>2</xdr:col>
                    <xdr:colOff>320040</xdr:colOff>
                    <xdr:row>26</xdr:row>
                    <xdr:rowOff>99060</xdr:rowOff>
                  </to>
                </anchor>
              </controlPr>
            </control>
          </mc:Choice>
        </mc:AlternateContent>
        <mc:AlternateContent xmlns:mc="http://schemas.openxmlformats.org/markup-compatibility/2006">
          <mc:Choice Requires="x14">
            <control shapeId="107526" r:id="rId6" name="btnAddEnergyModel">
              <controlPr defaultSize="0" print="0" autoFill="0" autoPict="0" macro="[0]!AddEnergyModel">
                <anchor moveWithCells="1">
                  <from>
                    <xdr:col>1</xdr:col>
                    <xdr:colOff>15240</xdr:colOff>
                    <xdr:row>18</xdr:row>
                    <xdr:rowOff>0</xdr:rowOff>
                  </from>
                  <to>
                    <xdr:col>2</xdr:col>
                    <xdr:colOff>289560</xdr:colOff>
                    <xdr:row>18</xdr:row>
                    <xdr:rowOff>243840</xdr:rowOff>
                  </to>
                </anchor>
              </controlPr>
            </control>
          </mc:Choice>
        </mc:AlternateContent>
        <mc:AlternateContent xmlns:mc="http://schemas.openxmlformats.org/markup-compatibility/2006">
          <mc:Choice Requires="x14">
            <control shapeId="107527" r:id="rId7" name="btnDeleteEnergyModel">
              <controlPr defaultSize="0" print="0" autoFill="0" autoPict="0" macro="[0]!DeleteEnergyModel">
                <anchor moveWithCells="1">
                  <from>
                    <xdr:col>2</xdr:col>
                    <xdr:colOff>548640</xdr:colOff>
                    <xdr:row>18</xdr:row>
                    <xdr:rowOff>0</xdr:rowOff>
                  </from>
                  <to>
                    <xdr:col>3</xdr:col>
                    <xdr:colOff>662940</xdr:colOff>
                    <xdr:row>18</xdr:row>
                    <xdr:rowOff>243840</xdr:rowOff>
                  </to>
                </anchor>
              </controlPr>
            </control>
          </mc:Choice>
        </mc:AlternateContent>
        <mc:AlternateContent xmlns:mc="http://schemas.openxmlformats.org/markup-compatibility/2006">
          <mc:Choice Requires="x14">
            <control shapeId="107531" r:id="rId8" name="EMSubset_Checkbox">
              <controlPr defaultSize="0" autoFill="0" autoLine="0" autoPict="0" macro="[0]!EMSubsetHideShowBuildingID" altText="Project is submitting a subset of Energy Models for LEED Documentation. The energy consumption for the other buildings not individually submitted are reported as &quot;Residual Project&quot;">
                <anchor moveWithCells="1">
                  <from>
                    <xdr:col>0</xdr:col>
                    <xdr:colOff>167640</xdr:colOff>
                    <xdr:row>11</xdr:row>
                    <xdr:rowOff>175260</xdr:rowOff>
                  </from>
                  <to>
                    <xdr:col>9</xdr:col>
                    <xdr:colOff>624840</xdr:colOff>
                    <xdr:row>11</xdr:row>
                    <xdr:rowOff>472440</xdr:rowOff>
                  </to>
                </anchor>
              </controlPr>
            </control>
          </mc:Choice>
        </mc:AlternateContent>
        <mc:AlternateContent xmlns:mc="http://schemas.openxmlformats.org/markup-compatibility/2006">
          <mc:Choice Requires="x14">
            <control shapeId="107534" r:id="rId9" name="rb1EnergyModelreporting">
              <controlPr defaultSize="0" autoFill="0" autoLine="0" autoPict="0" macro="[0]!ResetEnergyModelTable">
                <anchor moveWithCells="1">
                  <from>
                    <xdr:col>1</xdr:col>
                    <xdr:colOff>175260</xdr:colOff>
                    <xdr:row>5</xdr:row>
                    <xdr:rowOff>0</xdr:rowOff>
                  </from>
                  <to>
                    <xdr:col>9</xdr:col>
                    <xdr:colOff>480060</xdr:colOff>
                    <xdr:row>5</xdr:row>
                    <xdr:rowOff>190500</xdr:rowOff>
                  </to>
                </anchor>
              </controlPr>
            </control>
          </mc:Choice>
        </mc:AlternateContent>
        <mc:AlternateContent xmlns:mc="http://schemas.openxmlformats.org/markup-compatibility/2006">
          <mc:Choice Requires="x14">
            <control shapeId="107536" r:id="rId10" name="rb2EnergyModelreporting">
              <controlPr defaultSize="0" autoFill="0" autoLine="0" autoPict="0" macro="[0]!ResetEnergyModelTable">
                <anchor moveWithCells="1">
                  <from>
                    <xdr:col>1</xdr:col>
                    <xdr:colOff>175260</xdr:colOff>
                    <xdr:row>6</xdr:row>
                    <xdr:rowOff>0</xdr:rowOff>
                  </from>
                  <to>
                    <xdr:col>9</xdr:col>
                    <xdr:colOff>609600</xdr:colOff>
                    <xdr:row>6</xdr:row>
                    <xdr:rowOff>190500</xdr:rowOff>
                  </to>
                </anchor>
              </controlPr>
            </control>
          </mc:Choice>
        </mc:AlternateContent>
        <mc:AlternateContent xmlns:mc="http://schemas.openxmlformats.org/markup-compatibility/2006">
          <mc:Choice Requires="x14">
            <control shapeId="107538" r:id="rId11" name="rb3EnergyModelreporting">
              <controlPr defaultSize="0" autoFill="0" autoLine="0" autoPict="0" macro="[0]!ResetEnergyModelTable">
                <anchor moveWithCells="1">
                  <from>
                    <xdr:col>1</xdr:col>
                    <xdr:colOff>175260</xdr:colOff>
                    <xdr:row>7</xdr:row>
                    <xdr:rowOff>0</xdr:rowOff>
                  </from>
                  <to>
                    <xdr:col>9</xdr:col>
                    <xdr:colOff>533400</xdr:colOff>
                    <xdr:row>7</xdr:row>
                    <xdr:rowOff>228600</xdr:rowOff>
                  </to>
                </anchor>
              </controlPr>
            </control>
          </mc:Choice>
        </mc:AlternateContent>
        <mc:AlternateContent xmlns:mc="http://schemas.openxmlformats.org/markup-compatibility/2006">
          <mc:Choice Requires="x14">
            <control shapeId="107541" r:id="rId12" name="rbgOutputReporting">
              <controlPr defaultSize="0" print="0" autoFill="0" autoPict="0">
                <anchor moveWithCells="1">
                  <from>
                    <xdr:col>0</xdr:col>
                    <xdr:colOff>167640</xdr:colOff>
                    <xdr:row>4</xdr:row>
                    <xdr:rowOff>281940</xdr:rowOff>
                  </from>
                  <to>
                    <xdr:col>9</xdr:col>
                    <xdr:colOff>624840</xdr:colOff>
                    <xdr:row>8</xdr:row>
                    <xdr:rowOff>22860</xdr:rowOff>
                  </to>
                </anchor>
              </controlPr>
            </control>
          </mc:Choice>
        </mc:AlternateContent>
        <mc:AlternateContent xmlns:mc="http://schemas.openxmlformats.org/markup-compatibility/2006">
          <mc:Choice Requires="x14">
            <control shapeId="107542" r:id="rId13" name="Button 22">
              <controlPr defaultSize="0" print="0" autoFill="0" autoPict="0" macro="[0]!DeleteSome">
                <anchor moveWithCells="1">
                  <from>
                    <xdr:col>2</xdr:col>
                    <xdr:colOff>510540</xdr:colOff>
                    <xdr:row>25</xdr:row>
                    <xdr:rowOff>0</xdr:rowOff>
                  </from>
                  <to>
                    <xdr:col>3</xdr:col>
                    <xdr:colOff>662940</xdr:colOff>
                    <xdr:row>26</xdr:row>
                    <xdr:rowOff>99060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0">
    <tabColor rgb="FF0070C0"/>
  </sheetPr>
  <dimension ref="B1:T28"/>
  <sheetViews>
    <sheetView topLeftCell="B1" workbookViewId="0">
      <selection activeCell="Q39" sqref="Q39"/>
    </sheetView>
  </sheetViews>
  <sheetFormatPr defaultColWidth="9" defaultRowHeight="13.8" x14ac:dyDescent="0.25"/>
  <cols>
    <col min="1" max="1" width="8.69921875" customWidth="1"/>
    <col min="2" max="2" width="39.19921875" customWidth="1"/>
    <col min="3" max="20" width="9.69921875" customWidth="1"/>
  </cols>
  <sheetData>
    <row r="1" spans="2:20" ht="14.4" thickBot="1" x14ac:dyDescent="0.3"/>
    <row r="2" spans="2:20" x14ac:dyDescent="0.25">
      <c r="B2" s="3354" t="s">
        <v>3429</v>
      </c>
      <c r="C2" s="3355"/>
      <c r="D2" s="3355"/>
      <c r="E2" s="3355"/>
      <c r="F2" s="3355"/>
      <c r="G2" s="3355"/>
      <c r="H2" s="3355"/>
      <c r="I2" s="3355"/>
      <c r="J2" s="3355"/>
      <c r="K2" s="3355"/>
      <c r="L2" s="3355"/>
      <c r="M2" s="3355"/>
      <c r="N2" s="3355"/>
      <c r="O2" s="3355"/>
      <c r="P2" s="3355"/>
      <c r="Q2" s="3355"/>
      <c r="R2" s="3355"/>
      <c r="S2" s="3355"/>
      <c r="T2" s="3356"/>
    </row>
    <row r="3" spans="2:20" x14ac:dyDescent="0.25">
      <c r="B3" s="2550" t="s">
        <v>106</v>
      </c>
      <c r="C3" s="1159" t="s">
        <v>31</v>
      </c>
      <c r="D3" s="1159" t="s">
        <v>32</v>
      </c>
      <c r="E3" s="1159" t="s">
        <v>33</v>
      </c>
      <c r="F3" s="1159" t="s">
        <v>34</v>
      </c>
      <c r="G3" s="1159" t="s">
        <v>35</v>
      </c>
      <c r="H3" s="1159" t="s">
        <v>36</v>
      </c>
      <c r="I3" s="1159" t="s">
        <v>37</v>
      </c>
      <c r="J3" s="1159" t="s">
        <v>38</v>
      </c>
      <c r="K3" s="1159" t="s">
        <v>39</v>
      </c>
      <c r="L3" s="1159" t="s">
        <v>40</v>
      </c>
      <c r="M3" s="1159" t="s">
        <v>41</v>
      </c>
      <c r="N3" s="1159" t="s">
        <v>42</v>
      </c>
      <c r="O3" s="1159" t="s">
        <v>43</v>
      </c>
      <c r="P3" s="1159" t="s">
        <v>44</v>
      </c>
      <c r="Q3" s="1159" t="s">
        <v>45</v>
      </c>
      <c r="R3" s="1159">
        <v>7</v>
      </c>
      <c r="S3" s="1159">
        <v>8</v>
      </c>
      <c r="T3" s="2551" t="s">
        <v>2219</v>
      </c>
    </row>
    <row r="4" spans="2:20" x14ac:dyDescent="0.25">
      <c r="B4" s="2552" t="s">
        <v>63</v>
      </c>
      <c r="C4" s="1157">
        <v>0.57999999999999996</v>
      </c>
      <c r="D4" s="1157">
        <v>0.62</v>
      </c>
      <c r="E4" s="1157">
        <v>0.56999999999999995</v>
      </c>
      <c r="F4" s="1157">
        <v>0.62</v>
      </c>
      <c r="G4" s="1157">
        <v>0.6</v>
      </c>
      <c r="H4" s="1157">
        <v>0.64</v>
      </c>
      <c r="I4" s="1157">
        <v>0.54</v>
      </c>
      <c r="J4" s="1157">
        <v>0.57999999999999996</v>
      </c>
      <c r="K4" s="1157">
        <v>0.6</v>
      </c>
      <c r="L4" s="1157">
        <v>0.57999999999999996</v>
      </c>
      <c r="M4" s="1157">
        <v>0.6</v>
      </c>
      <c r="N4" s="1157">
        <v>0.61</v>
      </c>
      <c r="O4" s="1157">
        <v>0.57999999999999996</v>
      </c>
      <c r="P4" s="1157">
        <v>0.61</v>
      </c>
      <c r="Q4" s="1157">
        <v>0.61</v>
      </c>
      <c r="R4" s="1157">
        <v>0.56999999999999995</v>
      </c>
      <c r="S4" s="1157">
        <v>0.61</v>
      </c>
      <c r="T4" s="2553">
        <v>0.6</v>
      </c>
    </row>
    <row r="5" spans="2:20" x14ac:dyDescent="0.25">
      <c r="B5" s="2552" t="s">
        <v>69</v>
      </c>
      <c r="C5" s="1157">
        <v>0.52</v>
      </c>
      <c r="D5" s="1157">
        <v>0.57999999999999996</v>
      </c>
      <c r="E5" s="1157">
        <v>0.53</v>
      </c>
      <c r="F5" s="1157">
        <v>0.57999999999999996</v>
      </c>
      <c r="G5" s="1157">
        <v>0.54</v>
      </c>
      <c r="H5" s="1157">
        <v>0.62</v>
      </c>
      <c r="I5" s="1157">
        <v>0.6</v>
      </c>
      <c r="J5" s="1157">
        <v>0.55000000000000004</v>
      </c>
      <c r="K5" s="1157">
        <v>0.6</v>
      </c>
      <c r="L5" s="1157">
        <v>0.6</v>
      </c>
      <c r="M5" s="1157">
        <v>0.55000000000000004</v>
      </c>
      <c r="N5" s="1157">
        <v>0.59</v>
      </c>
      <c r="O5" s="1157">
        <v>0.61</v>
      </c>
      <c r="P5" s="1157">
        <v>0.55000000000000004</v>
      </c>
      <c r="Q5" s="1157">
        <v>0.57999999999999996</v>
      </c>
      <c r="R5" s="1157">
        <v>0.53</v>
      </c>
      <c r="S5" s="1157">
        <v>0.53</v>
      </c>
      <c r="T5" s="2553">
        <v>0.56999999999999995</v>
      </c>
    </row>
    <row r="6" spans="2:20" x14ac:dyDescent="0.25">
      <c r="B6" s="2552" t="s">
        <v>2218</v>
      </c>
      <c r="C6" s="1157">
        <v>0.46</v>
      </c>
      <c r="D6" s="1157">
        <v>0.53</v>
      </c>
      <c r="E6" s="1157">
        <v>0.47</v>
      </c>
      <c r="F6" s="1157">
        <v>0.53</v>
      </c>
      <c r="G6" s="1157">
        <v>0.49</v>
      </c>
      <c r="H6" s="1157">
        <v>0.52</v>
      </c>
      <c r="I6" s="1157">
        <v>0.5</v>
      </c>
      <c r="J6" s="1157">
        <v>0.49</v>
      </c>
      <c r="K6" s="1157">
        <v>0.5</v>
      </c>
      <c r="L6" s="1157">
        <v>0.49</v>
      </c>
      <c r="M6" s="1157">
        <v>0.5</v>
      </c>
      <c r="N6" s="1157">
        <v>0.5</v>
      </c>
      <c r="O6" s="1157">
        <v>0.5</v>
      </c>
      <c r="P6" s="1157">
        <v>0.49</v>
      </c>
      <c r="Q6" s="1157">
        <v>0.5</v>
      </c>
      <c r="R6" s="1157">
        <v>0.47</v>
      </c>
      <c r="S6" s="1157">
        <v>0.51</v>
      </c>
      <c r="T6" s="2553">
        <v>0.5</v>
      </c>
    </row>
    <row r="7" spans="2:20" x14ac:dyDescent="0.25">
      <c r="B7" s="2552" t="s">
        <v>878</v>
      </c>
      <c r="C7" s="1157">
        <v>0.64</v>
      </c>
      <c r="D7" s="1157">
        <v>0.56000000000000005</v>
      </c>
      <c r="E7" s="1157">
        <v>0.6</v>
      </c>
      <c r="F7" s="1157">
        <v>0.56000000000000005</v>
      </c>
      <c r="G7" s="1157">
        <v>0.6</v>
      </c>
      <c r="H7" s="1157">
        <v>0.56000000000000005</v>
      </c>
      <c r="I7" s="1157">
        <v>0.54</v>
      </c>
      <c r="J7" s="1157">
        <v>0.56999999999999995</v>
      </c>
      <c r="K7" s="1157">
        <v>0.53</v>
      </c>
      <c r="L7" s="1157">
        <v>0.55000000000000004</v>
      </c>
      <c r="M7" s="1157">
        <v>0.59</v>
      </c>
      <c r="N7" s="1157">
        <v>0.52</v>
      </c>
      <c r="O7" s="1157">
        <v>0.55000000000000004</v>
      </c>
      <c r="P7" s="1157">
        <v>0.56999999999999995</v>
      </c>
      <c r="Q7" s="1157">
        <v>0.52</v>
      </c>
      <c r="R7" s="1157">
        <v>0.56000000000000005</v>
      </c>
      <c r="S7" s="1157">
        <v>0.56000000000000005</v>
      </c>
      <c r="T7" s="2553">
        <v>0.56000000000000005</v>
      </c>
    </row>
    <row r="8" spans="2:20" x14ac:dyDescent="0.25">
      <c r="B8" s="2552" t="s">
        <v>3240</v>
      </c>
      <c r="C8" s="2986">
        <v>0.64</v>
      </c>
      <c r="D8" s="2986">
        <v>0.65</v>
      </c>
      <c r="E8" s="2986">
        <v>0.62</v>
      </c>
      <c r="F8" s="2986">
        <v>0.6</v>
      </c>
      <c r="G8" s="2986">
        <v>0.63</v>
      </c>
      <c r="H8" s="2986">
        <v>0.65</v>
      </c>
      <c r="I8" s="2986">
        <v>0.64</v>
      </c>
      <c r="J8" s="2986">
        <v>0.62</v>
      </c>
      <c r="K8" s="2986">
        <v>0.64</v>
      </c>
      <c r="L8" s="2986">
        <v>0.62</v>
      </c>
      <c r="M8" s="2986">
        <v>0.6</v>
      </c>
      <c r="N8" s="2986">
        <v>0.61</v>
      </c>
      <c r="O8" s="2986">
        <v>0.6</v>
      </c>
      <c r="P8" s="2986">
        <v>0.59</v>
      </c>
      <c r="Q8" s="2986">
        <v>0.61</v>
      </c>
      <c r="R8" s="2986">
        <v>0.56999999999999995</v>
      </c>
      <c r="S8" s="2986">
        <v>0.57999999999999996</v>
      </c>
      <c r="T8" s="2987">
        <v>0.62</v>
      </c>
    </row>
    <row r="9" spans="2:20" x14ac:dyDescent="0.25">
      <c r="B9" s="2552" t="s">
        <v>2217</v>
      </c>
      <c r="C9" s="1157">
        <v>0.62</v>
      </c>
      <c r="D9" s="1157">
        <v>0.62</v>
      </c>
      <c r="E9" s="1157">
        <v>0.57999999999999996</v>
      </c>
      <c r="F9" s="1157">
        <v>0.61</v>
      </c>
      <c r="G9" s="1157">
        <v>0.6</v>
      </c>
      <c r="H9" s="1157">
        <v>0.6</v>
      </c>
      <c r="I9" s="1157">
        <v>0.61</v>
      </c>
      <c r="J9" s="1157">
        <v>0.57999999999999996</v>
      </c>
      <c r="K9" s="1157">
        <v>0.55000000000000004</v>
      </c>
      <c r="L9" s="1157">
        <v>0.6</v>
      </c>
      <c r="M9" s="1157">
        <v>0.62</v>
      </c>
      <c r="N9" s="1157">
        <v>0.57999999999999996</v>
      </c>
      <c r="O9" s="1157">
        <v>0.6</v>
      </c>
      <c r="P9" s="1157">
        <v>0.63</v>
      </c>
      <c r="Q9" s="1157">
        <v>0.6</v>
      </c>
      <c r="R9" s="1157">
        <v>0.65</v>
      </c>
      <c r="S9" s="1157">
        <v>0.68</v>
      </c>
      <c r="T9" s="2553">
        <v>0.61</v>
      </c>
    </row>
    <row r="10" spans="2:20" x14ac:dyDescent="0.25">
      <c r="B10" s="2552" t="s">
        <v>1645</v>
      </c>
      <c r="C10" s="1157">
        <v>0.64</v>
      </c>
      <c r="D10" s="1157">
        <v>0.65</v>
      </c>
      <c r="E10" s="1157">
        <v>0.62</v>
      </c>
      <c r="F10" s="1157">
        <v>0.6</v>
      </c>
      <c r="G10" s="1157">
        <v>0.63</v>
      </c>
      <c r="H10" s="1157">
        <v>0.65</v>
      </c>
      <c r="I10" s="1157">
        <v>0.64</v>
      </c>
      <c r="J10" s="1157">
        <v>0.62</v>
      </c>
      <c r="K10" s="1157">
        <v>0.64</v>
      </c>
      <c r="L10" s="1157">
        <v>0.62</v>
      </c>
      <c r="M10" s="1157">
        <v>0.6</v>
      </c>
      <c r="N10" s="1157">
        <v>0.61</v>
      </c>
      <c r="O10" s="1157">
        <v>0.6</v>
      </c>
      <c r="P10" s="1157">
        <v>0.59</v>
      </c>
      <c r="Q10" s="1157">
        <v>0.61</v>
      </c>
      <c r="R10" s="1157">
        <v>0.56999999999999995</v>
      </c>
      <c r="S10" s="1157">
        <v>0.57999999999999996</v>
      </c>
      <c r="T10" s="2553">
        <v>0.62</v>
      </c>
    </row>
    <row r="11" spans="2:20" x14ac:dyDescent="0.25">
      <c r="B11" s="2552" t="s">
        <v>74</v>
      </c>
      <c r="C11" s="1157">
        <v>0.51</v>
      </c>
      <c r="D11" s="1157">
        <v>0.52</v>
      </c>
      <c r="E11" s="1157">
        <v>0.56000000000000005</v>
      </c>
      <c r="F11" s="1157">
        <v>0.57999999999999996</v>
      </c>
      <c r="G11" s="1157">
        <v>0.56999999999999995</v>
      </c>
      <c r="H11" s="1157">
        <v>0.59</v>
      </c>
      <c r="I11" s="1157">
        <v>0.63</v>
      </c>
      <c r="J11" s="1157">
        <v>0.57999999999999996</v>
      </c>
      <c r="K11" s="1157">
        <v>0.6</v>
      </c>
      <c r="L11" s="1157">
        <v>0.63</v>
      </c>
      <c r="M11" s="1157">
        <v>0.6</v>
      </c>
      <c r="N11" s="1157">
        <v>0.61</v>
      </c>
      <c r="O11" s="1157">
        <v>0.65</v>
      </c>
      <c r="P11" s="1157">
        <v>0.66</v>
      </c>
      <c r="Q11" s="1157">
        <v>0.66</v>
      </c>
      <c r="R11" s="1157">
        <v>0.67</v>
      </c>
      <c r="S11" s="1157">
        <v>0.67</v>
      </c>
      <c r="T11" s="2553">
        <v>0.61</v>
      </c>
    </row>
    <row r="12" spans="2:20" x14ac:dyDescent="0.25">
      <c r="B12" s="2552" t="s">
        <v>61</v>
      </c>
      <c r="C12" s="1157">
        <v>0.73</v>
      </c>
      <c r="D12" s="1157">
        <v>0.73</v>
      </c>
      <c r="E12" s="1157">
        <v>0.71</v>
      </c>
      <c r="F12" s="1157">
        <v>0.69</v>
      </c>
      <c r="G12" s="1157">
        <v>0.74</v>
      </c>
      <c r="H12" s="1157">
        <v>0.73</v>
      </c>
      <c r="I12" s="1157">
        <v>0.68</v>
      </c>
      <c r="J12" s="1157">
        <v>0.78</v>
      </c>
      <c r="K12" s="1157">
        <v>0.81</v>
      </c>
      <c r="L12" s="1157">
        <v>0.81</v>
      </c>
      <c r="M12" s="1157">
        <v>0.76</v>
      </c>
      <c r="N12" s="1157">
        <v>0.8</v>
      </c>
      <c r="O12" s="1157">
        <v>0.81</v>
      </c>
      <c r="P12" s="1157">
        <v>0.76</v>
      </c>
      <c r="Q12" s="1157">
        <v>0.79</v>
      </c>
      <c r="R12" s="1157">
        <v>0.74</v>
      </c>
      <c r="S12" s="1157">
        <v>0.8</v>
      </c>
      <c r="T12" s="2553">
        <v>0.76</v>
      </c>
    </row>
    <row r="13" spans="2:20" x14ac:dyDescent="0.25">
      <c r="B13" s="2552" t="s">
        <v>2215</v>
      </c>
      <c r="C13" s="1157">
        <v>0.62</v>
      </c>
      <c r="D13" s="1157">
        <v>0.61</v>
      </c>
      <c r="E13" s="1157">
        <v>0.55000000000000004</v>
      </c>
      <c r="F13" s="1157">
        <v>0.56999999999999995</v>
      </c>
      <c r="G13" s="1157">
        <v>0.56000000000000005</v>
      </c>
      <c r="H13" s="1157">
        <v>0.61</v>
      </c>
      <c r="I13" s="1157">
        <v>0.59</v>
      </c>
      <c r="J13" s="1157">
        <v>0.57999999999999996</v>
      </c>
      <c r="K13" s="1157">
        <v>0.56999999999999995</v>
      </c>
      <c r="L13" s="1157">
        <v>0.61</v>
      </c>
      <c r="M13" s="1157">
        <v>0.56999999999999995</v>
      </c>
      <c r="N13" s="1157">
        <v>0.56999999999999995</v>
      </c>
      <c r="O13" s="1157">
        <v>0.61</v>
      </c>
      <c r="P13" s="1157">
        <v>0.56000000000000005</v>
      </c>
      <c r="Q13" s="1157">
        <v>0.56000000000000005</v>
      </c>
      <c r="R13" s="1157">
        <v>0.53</v>
      </c>
      <c r="S13" s="1157">
        <v>0.52</v>
      </c>
      <c r="T13" s="2553">
        <v>0.57999999999999996</v>
      </c>
    </row>
    <row r="14" spans="2:20" x14ac:dyDescent="0.25">
      <c r="B14" s="2554"/>
      <c r="T14" s="2555"/>
    </row>
    <row r="15" spans="2:20" x14ac:dyDescent="0.25">
      <c r="B15" s="2554"/>
      <c r="T15" s="2555"/>
    </row>
    <row r="16" spans="2:20" x14ac:dyDescent="0.25">
      <c r="B16" s="2593" t="s">
        <v>3257</v>
      </c>
      <c r="T16" s="2555"/>
    </row>
    <row r="17" spans="2:20" x14ac:dyDescent="0.25">
      <c r="B17" s="2552" t="s">
        <v>63</v>
      </c>
      <c r="C17">
        <v>0.72</v>
      </c>
      <c r="T17" s="2555"/>
    </row>
    <row r="18" spans="2:20" x14ac:dyDescent="0.25">
      <c r="B18" s="2552" t="s">
        <v>69</v>
      </c>
      <c r="C18">
        <v>0.72</v>
      </c>
      <c r="T18" s="2555"/>
    </row>
    <row r="19" spans="2:20" x14ac:dyDescent="0.25">
      <c r="B19" s="2552" t="s">
        <v>2218</v>
      </c>
      <c r="C19">
        <v>0.65</v>
      </c>
      <c r="T19" s="2555"/>
    </row>
    <row r="20" spans="2:20" x14ac:dyDescent="0.25">
      <c r="B20" s="2552" t="s">
        <v>878</v>
      </c>
      <c r="C20">
        <v>0.69</v>
      </c>
      <c r="T20" s="2555"/>
    </row>
    <row r="21" spans="2:20" x14ac:dyDescent="0.25">
      <c r="B21" s="2552" t="s">
        <v>3240</v>
      </c>
      <c r="C21">
        <v>0.76</v>
      </c>
      <c r="T21" s="2555"/>
    </row>
    <row r="22" spans="2:20" x14ac:dyDescent="0.25">
      <c r="B22" s="2552" t="s">
        <v>2217</v>
      </c>
      <c r="C22">
        <v>0.72</v>
      </c>
      <c r="T22" s="2555"/>
    </row>
    <row r="23" spans="2:20" x14ac:dyDescent="0.25">
      <c r="B23" s="2552" t="s">
        <v>1645</v>
      </c>
      <c r="C23">
        <v>0.72</v>
      </c>
      <c r="T23" s="2555"/>
    </row>
    <row r="24" spans="2:20" x14ac:dyDescent="0.25">
      <c r="B24" s="2552" t="s">
        <v>74</v>
      </c>
      <c r="C24">
        <v>0.7</v>
      </c>
      <c r="T24" s="2555"/>
    </row>
    <row r="25" spans="2:20" x14ac:dyDescent="0.25">
      <c r="B25" s="2552" t="s">
        <v>61</v>
      </c>
      <c r="C25">
        <v>0.89</v>
      </c>
      <c r="T25" s="2555"/>
    </row>
    <row r="26" spans="2:20" x14ac:dyDescent="0.25">
      <c r="B26" s="2552" t="s">
        <v>2215</v>
      </c>
      <c r="C26">
        <v>0.72</v>
      </c>
      <c r="T26" s="2555"/>
    </row>
    <row r="27" spans="2:20" x14ac:dyDescent="0.25">
      <c r="B27" s="2502"/>
      <c r="T27" s="2555"/>
    </row>
    <row r="28" spans="2:20" ht="14.4" thickBot="1" x14ac:dyDescent="0.3">
      <c r="B28" s="2556"/>
      <c r="C28" s="2557"/>
      <c r="D28" s="2557"/>
      <c r="E28" s="2557"/>
      <c r="F28" s="2557"/>
      <c r="G28" s="2557"/>
      <c r="H28" s="2557"/>
      <c r="I28" s="2557"/>
      <c r="J28" s="2557"/>
      <c r="K28" s="2557"/>
      <c r="L28" s="2557"/>
      <c r="M28" s="2557"/>
      <c r="N28" s="2557"/>
      <c r="O28" s="2557"/>
      <c r="P28" s="2557"/>
      <c r="Q28" s="2557"/>
      <c r="R28" s="2557"/>
      <c r="S28" s="2557"/>
      <c r="T28" s="2558"/>
    </row>
  </sheetData>
  <sheetProtection algorithmName="SHA-512" hashValue="tdjf/nKlkhg1Eqe/9ju4suGtZaEbX4G31AikNRIuDML2wTLFOdFXVSj8m+zFmcxiSdEksc6Hfn0IoG7lazo1tA==" saltValue="/E9VpPoaKL5YZPIG8JRMAg==" spinCount="100000" sheet="1" objects="1" scenarios="1"/>
  <mergeCells count="1">
    <mergeCell ref="B2:T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0" tint="-0.249977111117893"/>
  </sheetPr>
  <dimension ref="A1:V203"/>
  <sheetViews>
    <sheetView showGridLines="0" zoomScale="90" zoomScaleNormal="90" workbookViewId="0">
      <selection activeCell="A12" sqref="A12:XFD12"/>
    </sheetView>
  </sheetViews>
  <sheetFormatPr defaultColWidth="9" defaultRowHeight="13.8" x14ac:dyDescent="0.25"/>
  <cols>
    <col min="1" max="1" width="1.69921875" style="354" customWidth="1"/>
    <col min="2" max="2" width="19.19921875" style="354" customWidth="1"/>
    <col min="3" max="3" width="26.69921875" style="354" customWidth="1"/>
    <col min="4" max="19" width="9.796875" style="354" customWidth="1"/>
    <col min="20" max="21" width="2.69921875" style="354" customWidth="1"/>
    <col min="22" max="22" width="50.69921875" style="2139" customWidth="1"/>
    <col min="23" max="16384" width="9" style="354"/>
  </cols>
  <sheetData>
    <row r="1" spans="1:22" x14ac:dyDescent="0.25">
      <c r="A1" s="331" t="s">
        <v>1038</v>
      </c>
      <c r="B1" s="359"/>
      <c r="C1" s="359"/>
      <c r="D1" s="359"/>
      <c r="E1" s="359"/>
      <c r="F1" s="359"/>
      <c r="G1" s="360"/>
      <c r="H1" s="360"/>
      <c r="I1" s="359"/>
      <c r="J1" s="359"/>
      <c r="K1" s="359"/>
      <c r="L1" s="360"/>
      <c r="M1" s="359"/>
      <c r="N1" s="359"/>
      <c r="O1" s="359"/>
      <c r="P1" s="359"/>
      <c r="Q1" s="359"/>
      <c r="R1" s="359"/>
      <c r="S1" s="359"/>
    </row>
    <row r="2" spans="1:22" ht="25.2" x14ac:dyDescent="0.25">
      <c r="A2" s="331" t="s">
        <v>1038</v>
      </c>
      <c r="B2" s="15" t="s">
        <v>1134</v>
      </c>
      <c r="C2" s="15"/>
      <c r="D2" s="15"/>
      <c r="E2" s="15"/>
      <c r="F2" s="15"/>
      <c r="G2" s="15"/>
      <c r="H2" s="15"/>
      <c r="I2" s="15"/>
      <c r="J2" s="15"/>
      <c r="K2" s="15"/>
      <c r="L2" s="15"/>
      <c r="M2" s="15"/>
      <c r="N2" s="15"/>
      <c r="O2" s="15"/>
      <c r="P2" s="15"/>
      <c r="Q2" s="15"/>
      <c r="R2" s="15"/>
      <c r="S2" s="15"/>
    </row>
    <row r="3" spans="1:22" x14ac:dyDescent="0.25">
      <c r="A3" s="331" t="s">
        <v>1038</v>
      </c>
      <c r="B3" s="359"/>
      <c r="C3" s="359"/>
      <c r="D3" s="359"/>
      <c r="E3" s="359"/>
      <c r="F3" s="359"/>
      <c r="G3" s="360"/>
      <c r="H3" s="360"/>
      <c r="I3" s="359"/>
      <c r="J3" s="359"/>
      <c r="K3" s="359"/>
      <c r="L3" s="360"/>
      <c r="M3" s="359"/>
      <c r="N3" s="359"/>
      <c r="O3" s="359"/>
      <c r="P3" s="359"/>
      <c r="Q3" s="359"/>
      <c r="R3" s="359"/>
      <c r="S3" s="359"/>
    </row>
    <row r="4" spans="1:22" s="395" customFormat="1" x14ac:dyDescent="0.25">
      <c r="A4" s="373" t="s">
        <v>1038</v>
      </c>
      <c r="B4" s="291"/>
      <c r="C4" s="291"/>
      <c r="D4" s="291"/>
      <c r="E4" s="291"/>
      <c r="F4" s="291"/>
      <c r="G4" s="291"/>
      <c r="H4" s="291"/>
      <c r="I4" s="291"/>
      <c r="J4" s="291"/>
      <c r="K4" s="291"/>
      <c r="L4" s="291"/>
      <c r="M4" s="291"/>
      <c r="N4" s="291"/>
      <c r="O4" s="291"/>
      <c r="P4" s="291"/>
      <c r="Q4" s="291"/>
      <c r="R4" s="291"/>
      <c r="S4" s="291"/>
      <c r="V4" s="2140"/>
    </row>
    <row r="5" spans="1:22" s="395" customFormat="1" ht="87.75" customHeight="1" x14ac:dyDescent="0.25">
      <c r="A5" s="373" t="s">
        <v>1038</v>
      </c>
      <c r="B5" s="3265" t="str">
        <f>CONCATENATE("Complete the table for each building in the project. Provide information for the ",IF(proj_RatingSystem="Homes","Dwelling Units","Main Building Schedules")," and for each additional area or set of areas where the schedules differ significantly. Ensure that the reported schedules are consistent with the energy-model entered values, and that schedules account for all mandatory controls. ",IF(proj_RatingSystem="Homes",CONCATENATE("Residential lighting shall be for two to four hours per day (700 to 1500 equivalent full load hours per year). See the EFLH Calculator for default Residential Dwelling Unit Schedules that may be input into the energy model.", " Corridors and parking garages shall be lit 24 hours per day; parking garages shall include schedule adjustments for occupant sensor controls."),"" ),""," Ensure that schedules account for all mandatory controls.",CHAR(10),"*Note: The following Equivalent full load schedule information may be optionally excluded from the Table: ","(1) End-uses that do not significantly influence overall energy consumption for the project building type (i.e. service water heating for an office building &lt; 5% of total energy consumption),"," (2) Spaces modeled with differing schedules that contribute minimally to overall building energy consumption (i.e. electrical/mechanical rooms in a school building that contribute &lt; 5% of total building energy consumption)")</f>
        <v>Complete the table for each building in the project. Provide information for the Main Building Schedules and for each additional area or set of areas where the schedules differ significantly. Ensure that the reported schedules are consistent with the energy-model entered values, and that schedules account for all mandatory controls.  Ensure that schedules account for all mandatory controls.
*Note: The following Equivalent full load schedule information may be optionally excluded from the Table: (1) End-uses that do not significantly influence overall energy consumption for the project building type (i.e. service water heating for an office building &lt; 5% of total energy consumption), (2) Spaces modeled with differing schedules that contribute minimally to overall building energy consumption (i.e. electrical/mechanical rooms in a school building that contribute &lt; 5% of total building energy consumption)</v>
      </c>
      <c r="C5" s="3265"/>
      <c r="D5" s="3265"/>
      <c r="E5" s="3265"/>
      <c r="F5" s="3265"/>
      <c r="G5" s="3265"/>
      <c r="H5" s="3265"/>
      <c r="I5" s="3265"/>
      <c r="J5" s="3265"/>
      <c r="K5" s="3265"/>
      <c r="L5" s="3265"/>
      <c r="M5" s="3265"/>
      <c r="N5" s="3265"/>
      <c r="O5" s="3265"/>
      <c r="P5" s="3265"/>
      <c r="Q5" s="3265"/>
      <c r="R5" s="3265"/>
      <c r="S5" s="3265"/>
      <c r="V5" s="2140"/>
    </row>
    <row r="6" spans="1:22" s="395" customFormat="1" x14ac:dyDescent="0.25">
      <c r="A6" s="373" t="s">
        <v>1038</v>
      </c>
      <c r="B6" s="3359" t="s">
        <v>1135</v>
      </c>
      <c r="C6" s="3360"/>
      <c r="D6" s="3360"/>
      <c r="E6" s="3360"/>
      <c r="F6" s="3360"/>
      <c r="G6" s="3360"/>
      <c r="H6" s="3360"/>
      <c r="I6" s="3360"/>
      <c r="J6" s="3360"/>
      <c r="K6" s="3360"/>
      <c r="L6" s="3360"/>
      <c r="M6" s="3360"/>
      <c r="N6" s="3360"/>
      <c r="O6" s="3360"/>
      <c r="P6" s="3360"/>
      <c r="Q6" s="3360"/>
      <c r="R6" s="3360"/>
      <c r="S6" s="3360"/>
      <c r="V6" s="2140"/>
    </row>
    <row r="7" spans="1:22" s="395" customFormat="1" x14ac:dyDescent="0.25">
      <c r="A7" s="373" t="s">
        <v>1038</v>
      </c>
      <c r="B7" s="7" t="s">
        <v>2371</v>
      </c>
      <c r="C7" s="291"/>
      <c r="D7" s="291"/>
      <c r="E7" s="291"/>
      <c r="F7" s="291"/>
      <c r="G7" s="291"/>
      <c r="H7" s="291"/>
      <c r="I7" s="291"/>
      <c r="J7" s="291"/>
      <c r="K7" s="291"/>
      <c r="L7" s="291"/>
      <c r="M7" s="291"/>
      <c r="N7" s="291"/>
      <c r="O7" s="291"/>
      <c r="P7" s="291"/>
      <c r="Q7" s="291"/>
      <c r="R7" s="291"/>
      <c r="S7" s="291"/>
      <c r="V7" s="2140"/>
    </row>
    <row r="8" spans="1:22" s="395" customFormat="1" ht="29.25" customHeight="1" x14ac:dyDescent="0.25">
      <c r="A8" s="373" t="s">
        <v>1038</v>
      </c>
      <c r="B8" s="3357" t="s">
        <v>1087</v>
      </c>
      <c r="C8" s="3357" t="s">
        <v>1136</v>
      </c>
      <c r="D8" s="3357" t="s">
        <v>3432</v>
      </c>
      <c r="E8" s="3357"/>
      <c r="F8" s="3357"/>
      <c r="G8" s="3357"/>
      <c r="H8" s="3357"/>
      <c r="I8" s="3357"/>
      <c r="J8" s="3357"/>
      <c r="K8" s="3357"/>
      <c r="L8" s="3357"/>
      <c r="M8" s="3357"/>
      <c r="N8" s="3357"/>
      <c r="O8" s="3357" t="s">
        <v>2733</v>
      </c>
      <c r="P8" s="3345" t="str">
        <f>IF(proj_RatingSystem="Homes","Active Mode Setpoint","Occupied Mode Setpoint")</f>
        <v>Occupied Mode Setpoint</v>
      </c>
      <c r="Q8" s="3345"/>
      <c r="R8" s="3345" t="s">
        <v>1137</v>
      </c>
      <c r="S8" s="3345"/>
      <c r="V8" s="3358" t="s">
        <v>1635</v>
      </c>
    </row>
    <row r="9" spans="1:22" s="395" customFormat="1" ht="27.75" customHeight="1" x14ac:dyDescent="0.25">
      <c r="A9" s="373" t="s">
        <v>1038</v>
      </c>
      <c r="B9" s="3357"/>
      <c r="C9" s="3357"/>
      <c r="D9" s="3357" t="s">
        <v>236</v>
      </c>
      <c r="E9" s="3357" t="s">
        <v>238</v>
      </c>
      <c r="F9" s="3357" t="s">
        <v>2426</v>
      </c>
      <c r="G9" s="3357" t="s">
        <v>2417</v>
      </c>
      <c r="H9" s="3357" t="s">
        <v>1138</v>
      </c>
      <c r="I9" s="3357" t="s">
        <v>1139</v>
      </c>
      <c r="J9" s="3357" t="s">
        <v>1140</v>
      </c>
      <c r="K9" s="3357" t="s">
        <v>1141</v>
      </c>
      <c r="L9" s="3357" t="s">
        <v>237</v>
      </c>
      <c r="M9" s="3345" t="s">
        <v>1142</v>
      </c>
      <c r="N9" s="3345"/>
      <c r="O9" s="3361"/>
      <c r="P9" s="3345" t="str">
        <f>CONCATENATE("Cooling",IF(SI_IP_Units="IP"," (degrees F)"," (degrees C)"))</f>
        <v>Cooling (degrees F)</v>
      </c>
      <c r="Q9" s="3345" t="str">
        <f>CONCATENATE("Heating",IF(SI_IP_Units="IP"," (degrees F)"," (degrees C)"))</f>
        <v>Heating (degrees F)</v>
      </c>
      <c r="R9" s="3345" t="str">
        <f>CONCATENATE("Cooling",IF(SI_IP_Units="IP"," (degrees F)"," (degrees C)"))</f>
        <v>Cooling (degrees F)</v>
      </c>
      <c r="S9" s="3345" t="str">
        <f>CONCATENATE("Heating",IF(SI_IP_Units="IP"," (degrees F)"," (degrees C)"))</f>
        <v>Heating (degrees F)</v>
      </c>
      <c r="V9" s="3358"/>
    </row>
    <row r="10" spans="1:22" s="395" customFormat="1" ht="25.5" customHeight="1" x14ac:dyDescent="0.25">
      <c r="A10" s="373" t="s">
        <v>1038</v>
      </c>
      <c r="B10" s="3357"/>
      <c r="C10" s="3357"/>
      <c r="D10" s="3357"/>
      <c r="E10" s="3357"/>
      <c r="F10" s="3357"/>
      <c r="G10" s="3357"/>
      <c r="H10" s="3357"/>
      <c r="I10" s="3357"/>
      <c r="J10" s="3357"/>
      <c r="K10" s="3357"/>
      <c r="L10" s="3357"/>
      <c r="M10" s="2974"/>
      <c r="N10" s="2974"/>
      <c r="O10" s="3361"/>
      <c r="P10" s="3345"/>
      <c r="Q10" s="3345"/>
      <c r="R10" s="3345"/>
      <c r="S10" s="3345"/>
      <c r="V10" s="3358"/>
    </row>
    <row r="11" spans="1:22" s="395" customFormat="1" ht="38.25" hidden="1" customHeight="1" x14ac:dyDescent="0.25">
      <c r="A11" s="373"/>
      <c r="B11" s="1629" t="str">
        <f>B8</f>
        <v>Building ID</v>
      </c>
      <c r="C11" s="1629" t="str">
        <f>C8</f>
        <v>Areas Served</v>
      </c>
      <c r="D11" s="1358" t="str">
        <f>D9</f>
        <v>Interior Lighting</v>
      </c>
      <c r="E11" s="1358" t="str">
        <f t="shared" ref="E11:S11" si="0">E9</f>
        <v>Service Water Heating</v>
      </c>
      <c r="F11" s="1358" t="str">
        <f t="shared" si="0"/>
        <v>Appliances</v>
      </c>
      <c r="G11" s="1358" t="str">
        <f t="shared" si="0"/>
        <v>Receptacle Equipment</v>
      </c>
      <c r="H11" s="1358" t="str">
        <f t="shared" si="0"/>
        <v>Refriger-ation</v>
      </c>
      <c r="I11" s="1358" t="str">
        <f t="shared" si="0"/>
        <v>Server Equip-ment</v>
      </c>
      <c r="J11" s="1358" t="str">
        <f t="shared" si="0"/>
        <v>Cooking Equip-ment</v>
      </c>
      <c r="K11" s="1358" t="str">
        <f t="shared" si="0"/>
        <v>Elevators / Escalators</v>
      </c>
      <c r="L11" s="1358" t="str">
        <f t="shared" si="0"/>
        <v>Exterior Lighting</v>
      </c>
      <c r="M11" s="1358" t="str">
        <f t="shared" si="0"/>
        <v>Other Loads (Indicate Loads)</v>
      </c>
      <c r="N11" s="1358">
        <f t="shared" si="0"/>
        <v>0</v>
      </c>
      <c r="O11" s="1358" t="str">
        <f>O8</f>
        <v>Hours per Year HVAC Runs in Occupied Mode</v>
      </c>
      <c r="P11" s="1358" t="str">
        <f t="shared" si="0"/>
        <v>Cooling (degrees F)</v>
      </c>
      <c r="Q11" s="1358" t="str">
        <f t="shared" si="0"/>
        <v>Heating (degrees F)</v>
      </c>
      <c r="R11" s="1358" t="str">
        <f t="shared" si="0"/>
        <v>Cooling (degrees F)</v>
      </c>
      <c r="S11" s="1358" t="str">
        <f t="shared" si="0"/>
        <v>Heating (degrees F)</v>
      </c>
      <c r="V11" s="2140"/>
    </row>
    <row r="12" spans="1:22" s="395" customFormat="1" ht="16.5" customHeight="1" x14ac:dyDescent="0.25">
      <c r="A12" s="373">
        <f>IF(RatingSystemSelection="ENERGY STAR MFHR",1,0)</f>
        <v>0</v>
      </c>
      <c r="B12" s="1297">
        <f>IF(MultipleBuildingsExist="Yes","All",GI_Project_Name)</f>
        <v>0</v>
      </c>
      <c r="C12" s="1297" t="s">
        <v>3420</v>
      </c>
      <c r="D12" s="2973">
        <f>2.34*365</f>
        <v>854.09999999999991</v>
      </c>
      <c r="E12" s="2973">
        <v>2628</v>
      </c>
      <c r="F12" s="2973">
        <f>365*24</f>
        <v>8760</v>
      </c>
      <c r="G12" s="2973">
        <f>5.8*365</f>
        <v>2117</v>
      </c>
      <c r="H12" s="2973">
        <f>365*24</f>
        <v>8760</v>
      </c>
      <c r="I12" s="1632" t="s">
        <v>2214</v>
      </c>
      <c r="J12" s="2973">
        <f>365*24</f>
        <v>8760</v>
      </c>
      <c r="K12" s="1632" t="s">
        <v>2214</v>
      </c>
      <c r="L12" s="2973">
        <f>12*365</f>
        <v>4380</v>
      </c>
      <c r="M12" s="1632" t="s">
        <v>2214</v>
      </c>
      <c r="N12" s="1632" t="s">
        <v>2214</v>
      </c>
      <c r="O12" s="2973">
        <v>8760</v>
      </c>
      <c r="P12" s="2973">
        <v>78</v>
      </c>
      <c r="Q12" s="2973">
        <v>72</v>
      </c>
      <c r="R12" s="2973">
        <v>80</v>
      </c>
      <c r="S12" s="2973">
        <v>70</v>
      </c>
      <c r="V12" s="2141"/>
    </row>
    <row r="13" spans="1:22" s="395" customFormat="1" ht="16.5" customHeight="1" x14ac:dyDescent="0.25">
      <c r="A13" s="373">
        <f>IF(RatingSystemSelection="ENERGY STAR MFHR",1,0)</f>
        <v>0</v>
      </c>
      <c r="B13" s="1297">
        <f>IF(MultipleBuildingsExist="Yes","All",GI_Project_Name)</f>
        <v>0</v>
      </c>
      <c r="C13" s="1297" t="s">
        <v>2803</v>
      </c>
      <c r="D13" s="2973">
        <f>365*24</f>
        <v>8760</v>
      </c>
      <c r="E13" s="3014"/>
      <c r="F13" s="3014"/>
      <c r="G13" s="2973">
        <f>9*365</f>
        <v>3285</v>
      </c>
      <c r="H13" s="3014"/>
      <c r="I13" s="3014"/>
      <c r="J13" s="3014"/>
      <c r="K13" s="3014"/>
      <c r="L13" s="2973">
        <f>12*365</f>
        <v>4380</v>
      </c>
      <c r="M13" s="3014"/>
      <c r="N13" s="3014"/>
      <c r="O13" s="2973">
        <f>365*24</f>
        <v>8760</v>
      </c>
      <c r="P13" s="2973">
        <v>78</v>
      </c>
      <c r="Q13" s="2973">
        <v>72</v>
      </c>
      <c r="R13" s="2973">
        <v>80</v>
      </c>
      <c r="S13" s="2973">
        <v>70</v>
      </c>
      <c r="V13" s="2141"/>
    </row>
    <row r="14" spans="1:22" s="395" customFormat="1" ht="16.5" customHeight="1" x14ac:dyDescent="0.25">
      <c r="A14" s="373">
        <f>IF(RatingSystemSelection="ENERGY STAR MFHR",0,1)</f>
        <v>1</v>
      </c>
      <c r="B14" s="1297">
        <f>IF(MultipleBuildingsExist="Yes","All",GI_Project_Name)</f>
        <v>0</v>
      </c>
      <c r="C14" s="1297" t="s">
        <v>3421</v>
      </c>
      <c r="D14" s="3016"/>
      <c r="E14" s="3016"/>
      <c r="F14" s="3016"/>
      <c r="G14" s="3016"/>
      <c r="H14" s="3016"/>
      <c r="I14" s="3016"/>
      <c r="J14" s="3016"/>
      <c r="K14" s="3016"/>
      <c r="L14" s="3016"/>
      <c r="M14" s="3016"/>
      <c r="N14" s="3016"/>
      <c r="O14" s="1983">
        <f>365*24</f>
        <v>8760</v>
      </c>
      <c r="P14" s="1983">
        <v>78</v>
      </c>
      <c r="Q14" s="1983">
        <v>72</v>
      </c>
      <c r="R14" s="1983">
        <v>80</v>
      </c>
      <c r="S14" s="1983">
        <v>70</v>
      </c>
      <c r="V14" s="2141"/>
    </row>
    <row r="15" spans="1:22" s="395" customFormat="1" ht="16.5" customHeight="1" x14ac:dyDescent="0.25">
      <c r="A15" s="373" t="s">
        <v>1038</v>
      </c>
      <c r="B15" s="1630"/>
      <c r="C15" s="1631"/>
      <c r="D15" s="2975"/>
      <c r="E15" s="2975"/>
      <c r="F15" s="2975"/>
      <c r="G15" s="2975"/>
      <c r="H15" s="2975"/>
      <c r="I15" s="2975"/>
      <c r="J15" s="2975"/>
      <c r="K15" s="2975"/>
      <c r="L15" s="2975"/>
      <c r="M15" s="2975"/>
      <c r="N15" s="2975"/>
      <c r="O15" s="2975"/>
      <c r="P15" s="2976"/>
      <c r="Q15" s="2976"/>
      <c r="R15" s="2976"/>
      <c r="S15" s="2976"/>
      <c r="V15" s="2141"/>
    </row>
    <row r="16" spans="1:22" s="395" customFormat="1" ht="15" hidden="1" customHeight="1" x14ac:dyDescent="0.25">
      <c r="A16" s="576" t="s">
        <v>802</v>
      </c>
      <c r="B16" s="1754">
        <f t="shared" ref="B16" si="1">GI_Project_Name</f>
        <v>0</v>
      </c>
      <c r="C16" s="1754"/>
      <c r="D16" s="1632"/>
      <c r="E16" s="1632"/>
      <c r="F16" s="1632"/>
      <c r="G16" s="1632"/>
      <c r="H16" s="1632"/>
      <c r="I16" s="1632"/>
      <c r="J16" s="1632"/>
      <c r="K16" s="1632"/>
      <c r="L16" s="1632"/>
      <c r="M16" s="1632"/>
      <c r="N16" s="1632"/>
      <c r="O16" s="1632"/>
      <c r="P16" s="1633"/>
      <c r="Q16" s="1633"/>
      <c r="R16" s="1633"/>
      <c r="S16" s="1633"/>
      <c r="V16" s="2141"/>
    </row>
    <row r="17" spans="1:22" s="395" customFormat="1" ht="16.5" customHeight="1" x14ac:dyDescent="0.25">
      <c r="A17" s="576" t="s">
        <v>802</v>
      </c>
      <c r="B17" s="1754"/>
      <c r="C17" s="1754"/>
      <c r="D17" s="3014"/>
      <c r="E17" s="3014"/>
      <c r="F17" s="3014"/>
      <c r="G17" s="3014"/>
      <c r="H17" s="3014"/>
      <c r="I17" s="3014"/>
      <c r="J17" s="3014"/>
      <c r="K17" s="3014"/>
      <c r="L17" s="3014"/>
      <c r="M17" s="3014"/>
      <c r="N17" s="3014"/>
      <c r="O17" s="3014"/>
      <c r="P17" s="3018"/>
      <c r="Q17" s="3018"/>
      <c r="R17" s="3018"/>
      <c r="S17" s="3018"/>
      <c r="V17" s="2141"/>
    </row>
    <row r="18" spans="1:22" s="395" customFormat="1" ht="16.5" customHeight="1" x14ac:dyDescent="0.25">
      <c r="A18" s="576" t="s">
        <v>802</v>
      </c>
      <c r="B18" s="1754"/>
      <c r="C18" s="1754"/>
      <c r="D18" s="3014"/>
      <c r="E18" s="3014"/>
      <c r="F18" s="3014"/>
      <c r="G18" s="3014"/>
      <c r="H18" s="3014"/>
      <c r="I18" s="3014"/>
      <c r="J18" s="3014"/>
      <c r="K18" s="3014"/>
      <c r="L18" s="3014"/>
      <c r="M18" s="3014"/>
      <c r="N18" s="3014"/>
      <c r="O18" s="3014"/>
      <c r="P18" s="3018"/>
      <c r="Q18" s="3018"/>
      <c r="R18" s="3018"/>
      <c r="S18" s="3018"/>
      <c r="V18" s="2141"/>
    </row>
    <row r="19" spans="1:22" s="395" customFormat="1" ht="16.05" customHeight="1" x14ac:dyDescent="0.25">
      <c r="A19" s="576"/>
      <c r="B19" s="1754"/>
      <c r="C19" s="1754"/>
      <c r="D19" s="3014"/>
      <c r="E19" s="3014"/>
      <c r="F19" s="3014"/>
      <c r="G19" s="3014"/>
      <c r="H19" s="3014"/>
      <c r="I19" s="3014"/>
      <c r="J19" s="3014"/>
      <c r="K19" s="3014"/>
      <c r="L19" s="3014"/>
      <c r="M19" s="3014"/>
      <c r="N19" s="3014"/>
      <c r="O19" s="3014"/>
      <c r="P19" s="3018"/>
      <c r="Q19" s="3018"/>
      <c r="R19" s="3018"/>
      <c r="S19" s="3018"/>
      <c r="V19" s="2141"/>
    </row>
    <row r="20" spans="1:22" s="395" customFormat="1" ht="16.05" customHeight="1" x14ac:dyDescent="0.25">
      <c r="A20" s="576"/>
      <c r="B20" s="1754"/>
      <c r="C20" s="1754"/>
      <c r="D20" s="3014"/>
      <c r="E20" s="3014"/>
      <c r="F20" s="3014"/>
      <c r="G20" s="3014"/>
      <c r="H20" s="3014"/>
      <c r="I20" s="3014"/>
      <c r="J20" s="3014"/>
      <c r="K20" s="3014"/>
      <c r="L20" s="3014"/>
      <c r="M20" s="3014"/>
      <c r="N20" s="3014"/>
      <c r="O20" s="3014"/>
      <c r="P20" s="3018"/>
      <c r="Q20" s="3018"/>
      <c r="R20" s="3018"/>
      <c r="S20" s="3018"/>
      <c r="V20" s="2141"/>
    </row>
    <row r="21" spans="1:22" s="395" customFormat="1" ht="16.05" customHeight="1" x14ac:dyDescent="0.25">
      <c r="A21" s="576"/>
      <c r="B21" s="1754"/>
      <c r="C21" s="1754"/>
      <c r="D21" s="3014"/>
      <c r="E21" s="3014"/>
      <c r="F21" s="3014"/>
      <c r="G21" s="3014"/>
      <c r="H21" s="3014"/>
      <c r="I21" s="3014"/>
      <c r="J21" s="3014"/>
      <c r="K21" s="3014"/>
      <c r="L21" s="3014"/>
      <c r="M21" s="3014"/>
      <c r="N21" s="3014"/>
      <c r="O21" s="3014"/>
      <c r="P21" s="3018"/>
      <c r="Q21" s="3018"/>
      <c r="R21" s="3018"/>
      <c r="S21" s="3018"/>
      <c r="V21" s="2141"/>
    </row>
    <row r="22" spans="1:22" s="395" customFormat="1" ht="16.05" customHeight="1" x14ac:dyDescent="0.25">
      <c r="A22" s="576"/>
      <c r="B22" s="1754"/>
      <c r="C22" s="1754"/>
      <c r="D22" s="3014"/>
      <c r="E22" s="3014"/>
      <c r="F22" s="3014"/>
      <c r="G22" s="3014"/>
      <c r="H22" s="3014"/>
      <c r="I22" s="3014"/>
      <c r="J22" s="3014"/>
      <c r="K22" s="3014"/>
      <c r="L22" s="3014"/>
      <c r="M22" s="3014"/>
      <c r="N22" s="3014"/>
      <c r="O22" s="3014"/>
      <c r="P22" s="3018"/>
      <c r="Q22" s="3018"/>
      <c r="R22" s="3018"/>
      <c r="S22" s="3018"/>
      <c r="V22" s="2141"/>
    </row>
    <row r="23" spans="1:22" s="395" customFormat="1" ht="16.05" customHeight="1" x14ac:dyDescent="0.25">
      <c r="A23" s="576" t="s">
        <v>802</v>
      </c>
      <c r="B23" s="1754"/>
      <c r="C23" s="1754"/>
      <c r="D23" s="3014"/>
      <c r="E23" s="3014"/>
      <c r="F23" s="3014"/>
      <c r="G23" s="3014"/>
      <c r="H23" s="3014"/>
      <c r="I23" s="3014"/>
      <c r="J23" s="3014"/>
      <c r="K23" s="3014"/>
      <c r="L23" s="3014"/>
      <c r="M23" s="3014"/>
      <c r="N23" s="3014"/>
      <c r="O23" s="3014"/>
      <c r="P23" s="3018"/>
      <c r="Q23" s="3018"/>
      <c r="R23" s="3018"/>
      <c r="S23" s="3018"/>
      <c r="V23" s="2141"/>
    </row>
    <row r="24" spans="1:22" s="395" customFormat="1" ht="16.05" customHeight="1" x14ac:dyDescent="0.25">
      <c r="A24" s="576"/>
      <c r="B24" s="1754"/>
      <c r="C24" s="1754"/>
      <c r="D24" s="3014"/>
      <c r="E24" s="3014"/>
      <c r="F24" s="3014"/>
      <c r="G24" s="3014"/>
      <c r="H24" s="3014"/>
      <c r="I24" s="3014"/>
      <c r="J24" s="3014"/>
      <c r="K24" s="3014"/>
      <c r="L24" s="3014"/>
      <c r="M24" s="3014"/>
      <c r="N24" s="3014"/>
      <c r="O24" s="3014"/>
      <c r="P24" s="3018"/>
      <c r="Q24" s="3018"/>
      <c r="R24" s="3018"/>
      <c r="S24" s="3018"/>
      <c r="V24" s="2141"/>
    </row>
    <row r="25" spans="1:22" s="395" customFormat="1" ht="16.05" customHeight="1" x14ac:dyDescent="0.25">
      <c r="A25" s="576"/>
      <c r="B25" s="1754"/>
      <c r="C25" s="1754"/>
      <c r="D25" s="3014"/>
      <c r="E25" s="3014"/>
      <c r="F25" s="3014"/>
      <c r="G25" s="3014"/>
      <c r="H25" s="3014"/>
      <c r="I25" s="3014"/>
      <c r="J25" s="3014"/>
      <c r="K25" s="3014"/>
      <c r="L25" s="3014"/>
      <c r="M25" s="3014"/>
      <c r="N25" s="3014"/>
      <c r="O25" s="3014"/>
      <c r="P25" s="3018"/>
      <c r="Q25" s="3018"/>
      <c r="R25" s="3018"/>
      <c r="S25" s="3018"/>
      <c r="V25" s="2141"/>
    </row>
    <row r="26" spans="1:22" s="395" customFormat="1" ht="16.05" customHeight="1" x14ac:dyDescent="0.25">
      <c r="A26" s="576"/>
      <c r="B26" s="1754"/>
      <c r="C26" s="1754"/>
      <c r="D26" s="3014"/>
      <c r="E26" s="3014"/>
      <c r="F26" s="3014"/>
      <c r="G26" s="3014"/>
      <c r="H26" s="3014"/>
      <c r="I26" s="3014"/>
      <c r="J26" s="3014"/>
      <c r="K26" s="3014"/>
      <c r="L26" s="3014"/>
      <c r="M26" s="3014"/>
      <c r="N26" s="3014"/>
      <c r="O26" s="3014"/>
      <c r="P26" s="3018"/>
      <c r="Q26" s="3018"/>
      <c r="R26" s="3018"/>
      <c r="S26" s="3018"/>
      <c r="V26" s="2141"/>
    </row>
    <row r="27" spans="1:22" s="395" customFormat="1" ht="16.05" customHeight="1" x14ac:dyDescent="0.25">
      <c r="A27" s="576"/>
      <c r="B27" s="1754"/>
      <c r="C27" s="1754"/>
      <c r="D27" s="3014"/>
      <c r="E27" s="3014"/>
      <c r="F27" s="3014"/>
      <c r="G27" s="3014"/>
      <c r="H27" s="3014"/>
      <c r="I27" s="3014"/>
      <c r="J27" s="3014"/>
      <c r="K27" s="3014"/>
      <c r="L27" s="3014"/>
      <c r="M27" s="3014"/>
      <c r="N27" s="3014"/>
      <c r="O27" s="3014"/>
      <c r="P27" s="3018"/>
      <c r="Q27" s="3018"/>
      <c r="R27" s="3018"/>
      <c r="S27" s="3018"/>
      <c r="V27" s="2141"/>
    </row>
    <row r="28" spans="1:22" s="395" customFormat="1" ht="16.05" customHeight="1" x14ac:dyDescent="0.25">
      <c r="A28" s="576"/>
      <c r="B28" s="1754"/>
      <c r="C28" s="1754"/>
      <c r="D28" s="3014"/>
      <c r="E28" s="3014"/>
      <c r="F28" s="3014"/>
      <c r="G28" s="3014"/>
      <c r="H28" s="3014"/>
      <c r="I28" s="3014"/>
      <c r="J28" s="3014"/>
      <c r="K28" s="3014"/>
      <c r="L28" s="3014"/>
      <c r="M28" s="3014"/>
      <c r="N28" s="3014"/>
      <c r="O28" s="3014"/>
      <c r="P28" s="3018"/>
      <c r="Q28" s="3018"/>
      <c r="R28" s="3018"/>
      <c r="S28" s="3018"/>
      <c r="V28" s="2141"/>
    </row>
    <row r="29" spans="1:22" s="395" customFormat="1" ht="16.05" customHeight="1" x14ac:dyDescent="0.25">
      <c r="A29" s="576"/>
      <c r="B29" s="1754"/>
      <c r="C29" s="1754"/>
      <c r="D29" s="3014"/>
      <c r="E29" s="3014"/>
      <c r="F29" s="3014"/>
      <c r="G29" s="3014"/>
      <c r="H29" s="3014"/>
      <c r="I29" s="3014"/>
      <c r="J29" s="3014"/>
      <c r="K29" s="3014"/>
      <c r="L29" s="3014"/>
      <c r="M29" s="3014"/>
      <c r="N29" s="3014"/>
      <c r="O29" s="3014"/>
      <c r="P29" s="3018"/>
      <c r="Q29" s="3018"/>
      <c r="R29" s="3018"/>
      <c r="S29" s="3018"/>
      <c r="V29" s="2141"/>
    </row>
    <row r="30" spans="1:22" s="395" customFormat="1" ht="16.05" customHeight="1" x14ac:dyDescent="0.25">
      <c r="A30" s="576"/>
      <c r="B30" s="1754"/>
      <c r="C30" s="1754"/>
      <c r="D30" s="3014"/>
      <c r="E30" s="3014"/>
      <c r="F30" s="3014"/>
      <c r="G30" s="3014"/>
      <c r="H30" s="3014"/>
      <c r="I30" s="3014"/>
      <c r="J30" s="3014"/>
      <c r="K30" s="3014"/>
      <c r="L30" s="3014"/>
      <c r="M30" s="3014"/>
      <c r="N30" s="3014"/>
      <c r="O30" s="3014"/>
      <c r="P30" s="3018"/>
      <c r="Q30" s="3018"/>
      <c r="R30" s="3018"/>
      <c r="S30" s="3018"/>
      <c r="V30" s="2141"/>
    </row>
    <row r="31" spans="1:22" s="395" customFormat="1" ht="16.05" customHeight="1" x14ac:dyDescent="0.25">
      <c r="A31" s="576"/>
      <c r="B31" s="1754"/>
      <c r="C31" s="1754"/>
      <c r="D31" s="3014"/>
      <c r="E31" s="3014"/>
      <c r="F31" s="3014"/>
      <c r="G31" s="3014"/>
      <c r="H31" s="3014"/>
      <c r="I31" s="3014"/>
      <c r="J31" s="3014"/>
      <c r="K31" s="3014"/>
      <c r="L31" s="3014"/>
      <c r="M31" s="3014"/>
      <c r="N31" s="3014"/>
      <c r="O31" s="3014"/>
      <c r="P31" s="3018"/>
      <c r="Q31" s="3018"/>
      <c r="R31" s="3018"/>
      <c r="S31" s="3018"/>
      <c r="V31" s="2141"/>
    </row>
    <row r="32" spans="1:22" s="395" customFormat="1" ht="16.05" customHeight="1" x14ac:dyDescent="0.25">
      <c r="A32" s="576"/>
      <c r="B32" s="1754"/>
      <c r="C32" s="1754"/>
      <c r="D32" s="3014"/>
      <c r="E32" s="3014"/>
      <c r="F32" s="3014"/>
      <c r="G32" s="3014"/>
      <c r="H32" s="3014"/>
      <c r="I32" s="3014"/>
      <c r="J32" s="3014"/>
      <c r="K32" s="3014"/>
      <c r="L32" s="3014"/>
      <c r="M32" s="3014"/>
      <c r="N32" s="3014"/>
      <c r="O32" s="3014"/>
      <c r="P32" s="3018"/>
      <c r="Q32" s="3018"/>
      <c r="R32" s="3018"/>
      <c r="S32" s="3018"/>
      <c r="V32" s="2141"/>
    </row>
    <row r="33" spans="1:22" s="395" customFormat="1" ht="16.05" customHeight="1" x14ac:dyDescent="0.25">
      <c r="A33" s="576"/>
      <c r="B33" s="1754"/>
      <c r="C33" s="1754"/>
      <c r="D33" s="3014"/>
      <c r="E33" s="3014"/>
      <c r="F33" s="3014"/>
      <c r="G33" s="3014"/>
      <c r="H33" s="3014"/>
      <c r="I33" s="3014"/>
      <c r="J33" s="3014"/>
      <c r="K33" s="3014"/>
      <c r="L33" s="3014"/>
      <c r="M33" s="3014"/>
      <c r="N33" s="3014"/>
      <c r="O33" s="3014"/>
      <c r="P33" s="3018"/>
      <c r="Q33" s="3018"/>
      <c r="R33" s="3018"/>
      <c r="S33" s="3018"/>
      <c r="V33" s="2141"/>
    </row>
    <row r="34" spans="1:22" s="395" customFormat="1" ht="16.05" customHeight="1" x14ac:dyDescent="0.25">
      <c r="A34" s="576"/>
      <c r="B34" s="1754"/>
      <c r="C34" s="1754"/>
      <c r="D34" s="3014"/>
      <c r="E34" s="3014"/>
      <c r="F34" s="3014"/>
      <c r="G34" s="3014"/>
      <c r="H34" s="3014"/>
      <c r="I34" s="3014"/>
      <c r="J34" s="3014"/>
      <c r="K34" s="3014"/>
      <c r="L34" s="3014"/>
      <c r="M34" s="3014"/>
      <c r="N34" s="3014"/>
      <c r="O34" s="3014"/>
      <c r="P34" s="3018"/>
      <c r="Q34" s="3018"/>
      <c r="R34" s="3018"/>
      <c r="S34" s="3018"/>
      <c r="V34" s="2141"/>
    </row>
    <row r="35" spans="1:22" s="395" customFormat="1" ht="16.05" customHeight="1" x14ac:dyDescent="0.25">
      <c r="A35" s="576"/>
      <c r="B35" s="1754"/>
      <c r="C35" s="1754"/>
      <c r="D35" s="3014"/>
      <c r="E35" s="3014"/>
      <c r="F35" s="3014"/>
      <c r="G35" s="3014"/>
      <c r="H35" s="3014"/>
      <c r="I35" s="3014"/>
      <c r="J35" s="3014"/>
      <c r="K35" s="3014"/>
      <c r="L35" s="3014"/>
      <c r="M35" s="3014"/>
      <c r="N35" s="3014"/>
      <c r="O35" s="3014"/>
      <c r="P35" s="3018"/>
      <c r="Q35" s="3018"/>
      <c r="R35" s="3018"/>
      <c r="S35" s="3018"/>
      <c r="V35" s="2141"/>
    </row>
    <row r="36" spans="1:22" s="395" customFormat="1" ht="16.05" customHeight="1" x14ac:dyDescent="0.25">
      <c r="A36" s="576"/>
      <c r="B36" s="1754"/>
      <c r="C36" s="1754"/>
      <c r="D36" s="3014"/>
      <c r="E36" s="3014"/>
      <c r="F36" s="3014"/>
      <c r="G36" s="3014"/>
      <c r="H36" s="3014"/>
      <c r="I36" s="3014"/>
      <c r="J36" s="3014"/>
      <c r="K36" s="3014"/>
      <c r="L36" s="3014"/>
      <c r="M36" s="3014"/>
      <c r="N36" s="3014"/>
      <c r="O36" s="3014"/>
      <c r="P36" s="3018"/>
      <c r="Q36" s="3018"/>
      <c r="R36" s="3018"/>
      <c r="S36" s="3018"/>
      <c r="V36" s="2141"/>
    </row>
    <row r="37" spans="1:22" s="395" customFormat="1" ht="16.05" customHeight="1" x14ac:dyDescent="0.25">
      <c r="A37" s="576"/>
      <c r="B37" s="1754"/>
      <c r="C37" s="1754"/>
      <c r="D37" s="3014"/>
      <c r="E37" s="3014"/>
      <c r="F37" s="3014"/>
      <c r="G37" s="3014"/>
      <c r="H37" s="3014"/>
      <c r="I37" s="3014"/>
      <c r="J37" s="3014"/>
      <c r="K37" s="3014"/>
      <c r="L37" s="3014"/>
      <c r="M37" s="3014"/>
      <c r="N37" s="3014"/>
      <c r="O37" s="3014"/>
      <c r="P37" s="3018"/>
      <c r="Q37" s="3018"/>
      <c r="R37" s="3018"/>
      <c r="S37" s="3018"/>
      <c r="V37" s="2141"/>
    </row>
    <row r="38" spans="1:22" s="395" customFormat="1" ht="16.05" customHeight="1" x14ac:dyDescent="0.25">
      <c r="A38" s="576"/>
      <c r="B38" s="1754"/>
      <c r="C38" s="1754"/>
      <c r="D38" s="3014"/>
      <c r="E38" s="3014"/>
      <c r="F38" s="3014"/>
      <c r="G38" s="3014"/>
      <c r="H38" s="3014"/>
      <c r="I38" s="3014"/>
      <c r="J38" s="3014"/>
      <c r="K38" s="3014"/>
      <c r="L38" s="3014"/>
      <c r="M38" s="3014"/>
      <c r="N38" s="3014"/>
      <c r="O38" s="3014"/>
      <c r="P38" s="3018"/>
      <c r="Q38" s="3018"/>
      <c r="R38" s="3018"/>
      <c r="S38" s="3018"/>
      <c r="V38" s="2141"/>
    </row>
    <row r="39" spans="1:22" s="395" customFormat="1" ht="16.05" customHeight="1" x14ac:dyDescent="0.25">
      <c r="A39" s="576"/>
      <c r="B39" s="1754"/>
      <c r="C39" s="1754"/>
      <c r="D39" s="3014"/>
      <c r="E39" s="3014"/>
      <c r="F39" s="3014"/>
      <c r="G39" s="3014"/>
      <c r="H39" s="3014"/>
      <c r="I39" s="3014"/>
      <c r="J39" s="3014"/>
      <c r="K39" s="3014"/>
      <c r="L39" s="3014"/>
      <c r="M39" s="3014"/>
      <c r="N39" s="3014"/>
      <c r="O39" s="3014"/>
      <c r="P39" s="3018"/>
      <c r="Q39" s="3018"/>
      <c r="R39" s="3018"/>
      <c r="S39" s="3018"/>
      <c r="V39" s="2141"/>
    </row>
    <row r="40" spans="1:22" s="395" customFormat="1" ht="16.05" customHeight="1" x14ac:dyDescent="0.25">
      <c r="A40" s="576"/>
      <c r="B40" s="1754"/>
      <c r="C40" s="1754"/>
      <c r="D40" s="3014"/>
      <c r="E40" s="3014"/>
      <c r="F40" s="3014"/>
      <c r="G40" s="3014"/>
      <c r="H40" s="3014"/>
      <c r="I40" s="3014"/>
      <c r="J40" s="3014"/>
      <c r="K40" s="3014"/>
      <c r="L40" s="3014"/>
      <c r="M40" s="3014"/>
      <c r="N40" s="3014"/>
      <c r="O40" s="3014"/>
      <c r="P40" s="3018"/>
      <c r="Q40" s="3018"/>
      <c r="R40" s="3018"/>
      <c r="S40" s="3018"/>
      <c r="V40" s="2141"/>
    </row>
    <row r="41" spans="1:22" s="395" customFormat="1" ht="16.05" customHeight="1" x14ac:dyDescent="0.25">
      <c r="A41" s="576"/>
      <c r="B41" s="1754"/>
      <c r="C41" s="1754"/>
      <c r="D41" s="3014"/>
      <c r="E41" s="3014"/>
      <c r="F41" s="3014"/>
      <c r="G41" s="3014"/>
      <c r="H41" s="3014"/>
      <c r="I41" s="3014"/>
      <c r="J41" s="3014"/>
      <c r="K41" s="3014"/>
      <c r="L41" s="3014"/>
      <c r="M41" s="3014"/>
      <c r="N41" s="3014"/>
      <c r="O41" s="3014"/>
      <c r="P41" s="3018"/>
      <c r="Q41" s="3018"/>
      <c r="R41" s="3018"/>
      <c r="S41" s="3018"/>
      <c r="V41" s="2141"/>
    </row>
    <row r="42" spans="1:22" s="395" customFormat="1" ht="16.05" customHeight="1" x14ac:dyDescent="0.25">
      <c r="A42" s="576"/>
      <c r="B42" s="1754"/>
      <c r="C42" s="1754"/>
      <c r="D42" s="3014"/>
      <c r="E42" s="3014"/>
      <c r="F42" s="3014"/>
      <c r="G42" s="3014"/>
      <c r="H42" s="3014"/>
      <c r="I42" s="3014"/>
      <c r="J42" s="3014"/>
      <c r="K42" s="3014"/>
      <c r="L42" s="3014"/>
      <c r="M42" s="3014"/>
      <c r="N42" s="3014"/>
      <c r="O42" s="3014"/>
      <c r="P42" s="3018"/>
      <c r="Q42" s="3018"/>
      <c r="R42" s="3018"/>
      <c r="S42" s="3018"/>
      <c r="V42" s="2141"/>
    </row>
    <row r="43" spans="1:22" s="395" customFormat="1" ht="16.05" customHeight="1" x14ac:dyDescent="0.25">
      <c r="A43" s="576"/>
      <c r="B43" s="1754"/>
      <c r="C43" s="1754"/>
      <c r="D43" s="3014"/>
      <c r="E43" s="3014"/>
      <c r="F43" s="3014"/>
      <c r="G43" s="3014"/>
      <c r="H43" s="3014"/>
      <c r="I43" s="3014"/>
      <c r="J43" s="3014"/>
      <c r="K43" s="3014"/>
      <c r="L43" s="3014"/>
      <c r="M43" s="3014"/>
      <c r="N43" s="3014"/>
      <c r="O43" s="3014"/>
      <c r="P43" s="3018"/>
      <c r="Q43" s="3018"/>
      <c r="R43" s="3018"/>
      <c r="S43" s="3018"/>
      <c r="V43" s="2141"/>
    </row>
    <row r="44" spans="1:22" s="395" customFormat="1" ht="16.05" customHeight="1" x14ac:dyDescent="0.25">
      <c r="A44" s="576"/>
      <c r="B44" s="1754"/>
      <c r="C44" s="1754"/>
      <c r="D44" s="3014"/>
      <c r="E44" s="3014"/>
      <c r="F44" s="3014"/>
      <c r="G44" s="3014"/>
      <c r="H44" s="3014"/>
      <c r="I44" s="3014"/>
      <c r="J44" s="3014"/>
      <c r="K44" s="3014"/>
      <c r="L44" s="3014"/>
      <c r="M44" s="3014"/>
      <c r="N44" s="3014"/>
      <c r="O44" s="3014"/>
      <c r="P44" s="3018"/>
      <c r="Q44" s="3018"/>
      <c r="R44" s="3018"/>
      <c r="S44" s="3018"/>
      <c r="V44" s="2141"/>
    </row>
    <row r="45" spans="1:22" s="395" customFormat="1" ht="16.05" customHeight="1" x14ac:dyDescent="0.25">
      <c r="A45" s="576"/>
      <c r="B45" s="1754"/>
      <c r="C45" s="1754"/>
      <c r="D45" s="3014"/>
      <c r="E45" s="3014"/>
      <c r="F45" s="3014"/>
      <c r="G45" s="3014"/>
      <c r="H45" s="3014"/>
      <c r="I45" s="3014"/>
      <c r="J45" s="3014"/>
      <c r="K45" s="3014"/>
      <c r="L45" s="3014"/>
      <c r="M45" s="3014"/>
      <c r="N45" s="3014"/>
      <c r="O45" s="3014"/>
      <c r="P45" s="3018"/>
      <c r="Q45" s="3018"/>
      <c r="R45" s="3018"/>
      <c r="S45" s="3018"/>
      <c r="V45" s="2141"/>
    </row>
    <row r="46" spans="1:22" s="395" customFormat="1" ht="16.05" customHeight="1" x14ac:dyDescent="0.25">
      <c r="A46" s="576"/>
      <c r="B46" s="1754"/>
      <c r="C46" s="1754"/>
      <c r="D46" s="3014"/>
      <c r="E46" s="3014"/>
      <c r="F46" s="3014"/>
      <c r="G46" s="3014"/>
      <c r="H46" s="3014"/>
      <c r="I46" s="3014"/>
      <c r="J46" s="3014"/>
      <c r="K46" s="3014"/>
      <c r="L46" s="3014"/>
      <c r="M46" s="3014"/>
      <c r="N46" s="3014"/>
      <c r="O46" s="3014"/>
      <c r="P46" s="3018"/>
      <c r="Q46" s="3018"/>
      <c r="R46" s="3018"/>
      <c r="S46" s="3018"/>
      <c r="V46" s="2141"/>
    </row>
    <row r="47" spans="1:22" s="395" customFormat="1" ht="16.05" customHeight="1" x14ac:dyDescent="0.25">
      <c r="A47" s="576"/>
      <c r="B47" s="1754"/>
      <c r="C47" s="1754"/>
      <c r="D47" s="3014"/>
      <c r="E47" s="3014"/>
      <c r="F47" s="3014"/>
      <c r="G47" s="3014"/>
      <c r="H47" s="3014"/>
      <c r="I47" s="3014"/>
      <c r="J47" s="3014"/>
      <c r="K47" s="3014"/>
      <c r="L47" s="3014"/>
      <c r="M47" s="3014"/>
      <c r="N47" s="3014"/>
      <c r="O47" s="3014"/>
      <c r="P47" s="3018"/>
      <c r="Q47" s="3018"/>
      <c r="R47" s="3018"/>
      <c r="S47" s="3018"/>
      <c r="V47" s="2141"/>
    </row>
    <row r="48" spans="1:22" s="395" customFormat="1" ht="16.05" customHeight="1" x14ac:dyDescent="0.25">
      <c r="A48" s="576"/>
      <c r="B48" s="1754"/>
      <c r="C48" s="1754"/>
      <c r="D48" s="3014"/>
      <c r="E48" s="3014"/>
      <c r="F48" s="3014"/>
      <c r="G48" s="3014"/>
      <c r="H48" s="3014"/>
      <c r="I48" s="3014"/>
      <c r="J48" s="3014"/>
      <c r="K48" s="3014"/>
      <c r="L48" s="3014"/>
      <c r="M48" s="3014"/>
      <c r="N48" s="3014"/>
      <c r="O48" s="3014"/>
      <c r="P48" s="3018"/>
      <c r="Q48" s="3018"/>
      <c r="R48" s="3018"/>
      <c r="S48" s="3018"/>
      <c r="V48" s="2141"/>
    </row>
    <row r="49" spans="1:22" s="395" customFormat="1" x14ac:dyDescent="0.25">
      <c r="A49" s="373" t="s">
        <v>1038</v>
      </c>
      <c r="V49" s="2140"/>
    </row>
    <row r="50" spans="1:22" s="395" customFormat="1" ht="16.05" hidden="1" customHeight="1" x14ac:dyDescent="0.25">
      <c r="A50" s="576"/>
      <c r="B50" s="1754"/>
      <c r="C50" s="1754"/>
      <c r="D50" s="1632"/>
      <c r="E50" s="1632"/>
      <c r="F50" s="1632"/>
      <c r="G50" s="1632"/>
      <c r="H50" s="1632"/>
      <c r="I50" s="1632"/>
      <c r="J50" s="1632"/>
      <c r="K50" s="1632"/>
      <c r="L50" s="1632"/>
      <c r="M50" s="1632"/>
      <c r="N50" s="1632"/>
      <c r="O50" s="1632"/>
      <c r="P50" s="1633"/>
      <c r="Q50" s="1633"/>
      <c r="R50" s="1633"/>
      <c r="S50" s="1633"/>
      <c r="V50" s="2141"/>
    </row>
    <row r="51" spans="1:22" s="395" customFormat="1" ht="16.05" hidden="1" customHeight="1" x14ac:dyDescent="0.25">
      <c r="A51" s="576"/>
      <c r="B51" s="1754"/>
      <c r="C51" s="1754"/>
      <c r="D51" s="1632"/>
      <c r="E51" s="1632"/>
      <c r="F51" s="1632"/>
      <c r="G51" s="1632"/>
      <c r="H51" s="1632"/>
      <c r="I51" s="1632"/>
      <c r="J51" s="1632"/>
      <c r="K51" s="1632"/>
      <c r="L51" s="1632"/>
      <c r="M51" s="1632"/>
      <c r="N51" s="1632"/>
      <c r="O51" s="1632"/>
      <c r="P51" s="1633"/>
      <c r="Q51" s="1633"/>
      <c r="R51" s="1633"/>
      <c r="S51" s="1633"/>
      <c r="V51" s="2141"/>
    </row>
    <row r="52" spans="1:22" s="395" customFormat="1" ht="16.05" hidden="1" customHeight="1" x14ac:dyDescent="0.25">
      <c r="A52" s="576"/>
      <c r="B52" s="1754"/>
      <c r="C52" s="1754"/>
      <c r="D52" s="1632"/>
      <c r="E52" s="1632"/>
      <c r="F52" s="1632"/>
      <c r="G52" s="1632"/>
      <c r="H52" s="1632"/>
      <c r="I52" s="1632"/>
      <c r="J52" s="1632"/>
      <c r="K52" s="1632"/>
      <c r="L52" s="1632"/>
      <c r="M52" s="1632"/>
      <c r="N52" s="1632"/>
      <c r="O52" s="1632"/>
      <c r="P52" s="1633"/>
      <c r="Q52" s="1633"/>
      <c r="R52" s="1633"/>
      <c r="S52" s="1633"/>
      <c r="V52" s="2141"/>
    </row>
    <row r="53" spans="1:22" s="395" customFormat="1" ht="16.05" hidden="1" customHeight="1" x14ac:dyDescent="0.25">
      <c r="A53" s="576"/>
      <c r="B53" s="1754"/>
      <c r="C53" s="1754"/>
      <c r="D53" s="1632"/>
      <c r="E53" s="1632"/>
      <c r="F53" s="1632"/>
      <c r="G53" s="1632"/>
      <c r="H53" s="1632"/>
      <c r="I53" s="1632"/>
      <c r="J53" s="1632"/>
      <c r="K53" s="1632"/>
      <c r="L53" s="1632"/>
      <c r="M53" s="1632"/>
      <c r="N53" s="1632"/>
      <c r="O53" s="1632"/>
      <c r="P53" s="1633"/>
      <c r="Q53" s="1633"/>
      <c r="R53" s="1633"/>
      <c r="S53" s="1633"/>
      <c r="V53" s="2141"/>
    </row>
    <row r="54" spans="1:22" s="395" customFormat="1" ht="16.05" hidden="1" customHeight="1" x14ac:dyDescent="0.25">
      <c r="A54" s="576"/>
      <c r="B54" s="1754"/>
      <c r="C54" s="1754"/>
      <c r="D54" s="1632"/>
      <c r="E54" s="1632"/>
      <c r="F54" s="1632"/>
      <c r="G54" s="1632"/>
      <c r="H54" s="1632"/>
      <c r="I54" s="1632"/>
      <c r="J54" s="1632"/>
      <c r="K54" s="1632"/>
      <c r="L54" s="1632"/>
      <c r="M54" s="1632"/>
      <c r="N54" s="1632"/>
      <c r="O54" s="1632"/>
      <c r="P54" s="1633"/>
      <c r="Q54" s="1633"/>
      <c r="R54" s="1633"/>
      <c r="S54" s="1633"/>
      <c r="V54" s="2141"/>
    </row>
    <row r="55" spans="1:22" s="395" customFormat="1" ht="16.05" hidden="1" customHeight="1" x14ac:dyDescent="0.25">
      <c r="A55" s="576"/>
      <c r="B55" s="1754"/>
      <c r="C55" s="1754"/>
      <c r="D55" s="1632"/>
      <c r="E55" s="1632"/>
      <c r="F55" s="1632"/>
      <c r="G55" s="1632"/>
      <c r="H55" s="1632"/>
      <c r="I55" s="1632"/>
      <c r="J55" s="1632"/>
      <c r="K55" s="1632"/>
      <c r="L55" s="1632"/>
      <c r="M55" s="1632"/>
      <c r="N55" s="1632"/>
      <c r="O55" s="1632"/>
      <c r="P55" s="1633"/>
      <c r="Q55" s="1633"/>
      <c r="R55" s="1633"/>
      <c r="S55" s="1633"/>
      <c r="V55" s="2141"/>
    </row>
    <row r="56" spans="1:22" s="395" customFormat="1" ht="16.05" hidden="1" customHeight="1" x14ac:dyDescent="0.25">
      <c r="A56" s="576"/>
      <c r="B56" s="1754"/>
      <c r="C56" s="1754"/>
      <c r="D56" s="1632"/>
      <c r="E56" s="1632"/>
      <c r="F56" s="1632"/>
      <c r="G56" s="1632"/>
      <c r="H56" s="1632"/>
      <c r="I56" s="1632"/>
      <c r="J56" s="1632"/>
      <c r="K56" s="1632"/>
      <c r="L56" s="1632"/>
      <c r="M56" s="1632"/>
      <c r="N56" s="1632"/>
      <c r="O56" s="1632"/>
      <c r="P56" s="1633"/>
      <c r="Q56" s="1633"/>
      <c r="R56" s="1633"/>
      <c r="S56" s="1633"/>
      <c r="V56" s="2141"/>
    </row>
    <row r="57" spans="1:22" s="395" customFormat="1" ht="16.05" hidden="1" customHeight="1" x14ac:dyDescent="0.25">
      <c r="A57" s="576"/>
      <c r="B57" s="1754"/>
      <c r="C57" s="1754"/>
      <c r="D57" s="1632"/>
      <c r="E57" s="1632"/>
      <c r="F57" s="1632"/>
      <c r="G57" s="1632"/>
      <c r="H57" s="1632"/>
      <c r="I57" s="1632"/>
      <c r="J57" s="1632"/>
      <c r="K57" s="1632"/>
      <c r="L57" s="1632"/>
      <c r="M57" s="1632"/>
      <c r="N57" s="1632"/>
      <c r="O57" s="1632"/>
      <c r="P57" s="1633"/>
      <c r="Q57" s="1633"/>
      <c r="R57" s="1633"/>
      <c r="S57" s="1633"/>
      <c r="V57" s="2141"/>
    </row>
    <row r="58" spans="1:22" s="395" customFormat="1" ht="16.05" hidden="1" customHeight="1" x14ac:dyDescent="0.25">
      <c r="A58" s="576"/>
      <c r="B58" s="1754"/>
      <c r="C58" s="1754"/>
      <c r="D58" s="1632"/>
      <c r="E58" s="1632"/>
      <c r="F58" s="1632"/>
      <c r="G58" s="1632"/>
      <c r="H58" s="1632"/>
      <c r="I58" s="1632"/>
      <c r="J58" s="1632"/>
      <c r="K58" s="1632"/>
      <c r="L58" s="1632"/>
      <c r="M58" s="1632"/>
      <c r="N58" s="1632"/>
      <c r="O58" s="1632"/>
      <c r="P58" s="1633"/>
      <c r="Q58" s="1633"/>
      <c r="R58" s="1633"/>
      <c r="S58" s="1633"/>
      <c r="V58" s="2141"/>
    </row>
    <row r="59" spans="1:22" s="395" customFormat="1" ht="16.05" hidden="1" customHeight="1" x14ac:dyDescent="0.25">
      <c r="A59" s="576"/>
      <c r="B59" s="1754"/>
      <c r="C59" s="1754"/>
      <c r="D59" s="1632"/>
      <c r="E59" s="1632"/>
      <c r="F59" s="1632"/>
      <c r="G59" s="1632"/>
      <c r="H59" s="1632"/>
      <c r="I59" s="1632"/>
      <c r="J59" s="1632"/>
      <c r="K59" s="1632"/>
      <c r="L59" s="1632"/>
      <c r="M59" s="1632"/>
      <c r="N59" s="1632"/>
      <c r="O59" s="1632"/>
      <c r="P59" s="1633"/>
      <c r="Q59" s="1633"/>
      <c r="R59" s="1633"/>
      <c r="S59" s="1633"/>
      <c r="V59" s="2141"/>
    </row>
    <row r="60" spans="1:22" s="395" customFormat="1" ht="16.05" hidden="1" customHeight="1" x14ac:dyDescent="0.25">
      <c r="A60" s="576"/>
      <c r="B60" s="1754"/>
      <c r="C60" s="1754"/>
      <c r="D60" s="1632"/>
      <c r="E60" s="1632"/>
      <c r="F60" s="1632"/>
      <c r="G60" s="1632"/>
      <c r="H60" s="1632"/>
      <c r="I60" s="1632"/>
      <c r="J60" s="1632"/>
      <c r="K60" s="1632"/>
      <c r="L60" s="1632"/>
      <c r="M60" s="1632"/>
      <c r="N60" s="1632"/>
      <c r="O60" s="1632"/>
      <c r="P60" s="1633"/>
      <c r="Q60" s="1633"/>
      <c r="R60" s="1633"/>
      <c r="S60" s="1633"/>
      <c r="V60" s="2141"/>
    </row>
    <row r="61" spans="1:22" s="395" customFormat="1" ht="16.05" hidden="1" customHeight="1" x14ac:dyDescent="0.25">
      <c r="A61" s="576"/>
      <c r="B61" s="1754"/>
      <c r="C61" s="1754"/>
      <c r="D61" s="1632"/>
      <c r="E61" s="1632"/>
      <c r="F61" s="1632"/>
      <c r="G61" s="1632"/>
      <c r="H61" s="1632"/>
      <c r="I61" s="1632"/>
      <c r="J61" s="1632"/>
      <c r="K61" s="1632"/>
      <c r="L61" s="1632"/>
      <c r="M61" s="1632"/>
      <c r="N61" s="1632"/>
      <c r="O61" s="1632"/>
      <c r="P61" s="1633"/>
      <c r="Q61" s="1633"/>
      <c r="R61" s="1633"/>
      <c r="S61" s="1633"/>
      <c r="V61" s="2141"/>
    </row>
    <row r="62" spans="1:22" s="395" customFormat="1" ht="16.05" hidden="1" customHeight="1" x14ac:dyDescent="0.25">
      <c r="A62" s="576"/>
      <c r="B62" s="1754"/>
      <c r="C62" s="1754"/>
      <c r="D62" s="1632"/>
      <c r="E62" s="1632"/>
      <c r="F62" s="1632"/>
      <c r="G62" s="1632"/>
      <c r="H62" s="1632"/>
      <c r="I62" s="1632"/>
      <c r="J62" s="1632"/>
      <c r="K62" s="1632"/>
      <c r="L62" s="1632"/>
      <c r="M62" s="1632"/>
      <c r="N62" s="1632"/>
      <c r="O62" s="1632"/>
      <c r="P62" s="1633"/>
      <c r="Q62" s="1633"/>
      <c r="R62" s="1633"/>
      <c r="S62" s="1633"/>
      <c r="V62" s="2141"/>
    </row>
    <row r="63" spans="1:22" s="395" customFormat="1" ht="16.05" hidden="1" customHeight="1" x14ac:dyDescent="0.25">
      <c r="A63" s="576"/>
      <c r="B63" s="1754"/>
      <c r="C63" s="1754"/>
      <c r="D63" s="1632"/>
      <c r="E63" s="1632"/>
      <c r="F63" s="1632"/>
      <c r="G63" s="1632"/>
      <c r="H63" s="1632"/>
      <c r="I63" s="1632"/>
      <c r="J63" s="1632"/>
      <c r="K63" s="1632"/>
      <c r="L63" s="1632"/>
      <c r="M63" s="1632"/>
      <c r="N63" s="1632"/>
      <c r="O63" s="1632"/>
      <c r="P63" s="1633"/>
      <c r="Q63" s="1633"/>
      <c r="R63" s="1633"/>
      <c r="S63" s="1633"/>
      <c r="V63" s="2141"/>
    </row>
    <row r="64" spans="1:22" s="395" customFormat="1" ht="16.05" hidden="1" customHeight="1" x14ac:dyDescent="0.25">
      <c r="A64" s="576"/>
      <c r="B64" s="1754"/>
      <c r="C64" s="1754"/>
      <c r="D64" s="1632"/>
      <c r="E64" s="1632"/>
      <c r="F64" s="1632"/>
      <c r="G64" s="1632"/>
      <c r="H64" s="1632"/>
      <c r="I64" s="1632"/>
      <c r="J64" s="1632"/>
      <c r="K64" s="1632"/>
      <c r="L64" s="1632"/>
      <c r="M64" s="1632"/>
      <c r="N64" s="1632"/>
      <c r="O64" s="1632"/>
      <c r="P64" s="1633"/>
      <c r="Q64" s="1633"/>
      <c r="R64" s="1633"/>
      <c r="S64" s="1633"/>
      <c r="V64" s="2141"/>
    </row>
    <row r="65" spans="1:22" s="395" customFormat="1" ht="16.05" hidden="1" customHeight="1" x14ac:dyDescent="0.25">
      <c r="A65" s="576"/>
      <c r="B65" s="1754"/>
      <c r="C65" s="1754"/>
      <c r="D65" s="1632"/>
      <c r="E65" s="1632"/>
      <c r="F65" s="1632"/>
      <c r="G65" s="1632"/>
      <c r="H65" s="1632"/>
      <c r="I65" s="1632"/>
      <c r="J65" s="1632"/>
      <c r="K65" s="1632"/>
      <c r="L65" s="1632"/>
      <c r="M65" s="1632"/>
      <c r="N65" s="1632"/>
      <c r="O65" s="1632"/>
      <c r="P65" s="1633"/>
      <c r="Q65" s="1633"/>
      <c r="R65" s="1633"/>
      <c r="S65" s="1633"/>
      <c r="V65" s="2141"/>
    </row>
    <row r="66" spans="1:22" s="395" customFormat="1" ht="16.05" hidden="1" customHeight="1" x14ac:dyDescent="0.25">
      <c r="A66" s="576"/>
      <c r="B66" s="1754"/>
      <c r="C66" s="1754"/>
      <c r="D66" s="1632"/>
      <c r="E66" s="1632"/>
      <c r="F66" s="1632"/>
      <c r="G66" s="1632"/>
      <c r="H66" s="1632"/>
      <c r="I66" s="1632"/>
      <c r="J66" s="1632"/>
      <c r="K66" s="1632"/>
      <c r="L66" s="1632"/>
      <c r="M66" s="1632"/>
      <c r="N66" s="1632"/>
      <c r="O66" s="1632"/>
      <c r="P66" s="1633"/>
      <c r="Q66" s="1633"/>
      <c r="R66" s="1633"/>
      <c r="S66" s="1633"/>
      <c r="V66" s="2141"/>
    </row>
    <row r="67" spans="1:22" s="395" customFormat="1" ht="16.05" hidden="1" customHeight="1" x14ac:dyDescent="0.25">
      <c r="A67" s="576"/>
      <c r="B67" s="1754"/>
      <c r="C67" s="1754"/>
      <c r="D67" s="1632"/>
      <c r="E67" s="1632"/>
      <c r="F67" s="1632"/>
      <c r="G67" s="1632"/>
      <c r="H67" s="1632"/>
      <c r="I67" s="1632"/>
      <c r="J67" s="1632"/>
      <c r="K67" s="1632"/>
      <c r="L67" s="1632"/>
      <c r="M67" s="1632"/>
      <c r="N67" s="1632"/>
      <c r="O67" s="1632"/>
      <c r="P67" s="1633"/>
      <c r="Q67" s="1633"/>
      <c r="R67" s="1633"/>
      <c r="S67" s="1633"/>
      <c r="V67" s="2141"/>
    </row>
    <row r="68" spans="1:22" s="395" customFormat="1" ht="16.05" hidden="1" customHeight="1" x14ac:dyDescent="0.25">
      <c r="A68" s="576"/>
      <c r="B68" s="1754"/>
      <c r="C68" s="1754"/>
      <c r="D68" s="1632"/>
      <c r="E68" s="1632"/>
      <c r="F68" s="1632"/>
      <c r="G68" s="1632"/>
      <c r="H68" s="1632"/>
      <c r="I68" s="1632"/>
      <c r="J68" s="1632"/>
      <c r="K68" s="1632"/>
      <c r="L68" s="1632"/>
      <c r="M68" s="1632"/>
      <c r="N68" s="1632"/>
      <c r="O68" s="1632"/>
      <c r="P68" s="1633"/>
      <c r="Q68" s="1633"/>
      <c r="R68" s="1633"/>
      <c r="S68" s="1633"/>
      <c r="V68" s="2141"/>
    </row>
    <row r="69" spans="1:22" s="395" customFormat="1" ht="16.05" hidden="1" customHeight="1" x14ac:dyDescent="0.25">
      <c r="A69" s="576"/>
      <c r="B69" s="1754"/>
      <c r="C69" s="1754"/>
      <c r="D69" s="1632"/>
      <c r="E69" s="1632"/>
      <c r="F69" s="1632"/>
      <c r="G69" s="1632"/>
      <c r="H69" s="1632"/>
      <c r="I69" s="1632"/>
      <c r="J69" s="1632"/>
      <c r="K69" s="1632"/>
      <c r="L69" s="1632"/>
      <c r="M69" s="1632"/>
      <c r="N69" s="1632"/>
      <c r="O69" s="1632"/>
      <c r="P69" s="1633"/>
      <c r="Q69" s="1633"/>
      <c r="R69" s="1633"/>
      <c r="S69" s="1633"/>
      <c r="V69" s="2141"/>
    </row>
    <row r="70" spans="1:22" s="395" customFormat="1" ht="16.05" hidden="1" customHeight="1" x14ac:dyDescent="0.25">
      <c r="A70" s="576"/>
      <c r="B70" s="1754"/>
      <c r="C70" s="1754"/>
      <c r="D70" s="1632"/>
      <c r="E70" s="1632"/>
      <c r="F70" s="1632"/>
      <c r="G70" s="1632"/>
      <c r="H70" s="1632"/>
      <c r="I70" s="1632"/>
      <c r="J70" s="1632"/>
      <c r="K70" s="1632"/>
      <c r="L70" s="1632"/>
      <c r="M70" s="1632"/>
      <c r="N70" s="1632"/>
      <c r="O70" s="1632"/>
      <c r="P70" s="1633"/>
      <c r="Q70" s="1633"/>
      <c r="R70" s="1633"/>
      <c r="S70" s="1633"/>
      <c r="V70" s="2141"/>
    </row>
    <row r="71" spans="1:22" s="395" customFormat="1" ht="16.05" hidden="1" customHeight="1" x14ac:dyDescent="0.25">
      <c r="A71" s="576"/>
      <c r="B71" s="1754"/>
      <c r="C71" s="1754"/>
      <c r="D71" s="1632"/>
      <c r="E71" s="1632"/>
      <c r="F71" s="1632"/>
      <c r="G71" s="1632"/>
      <c r="H71" s="1632"/>
      <c r="I71" s="1632"/>
      <c r="J71" s="1632"/>
      <c r="K71" s="1632"/>
      <c r="L71" s="1632"/>
      <c r="M71" s="1632"/>
      <c r="N71" s="1632"/>
      <c r="O71" s="1632"/>
      <c r="P71" s="1633"/>
      <c r="Q71" s="1633"/>
      <c r="R71" s="1633"/>
      <c r="S71" s="1633"/>
      <c r="V71" s="2141"/>
    </row>
    <row r="72" spans="1:22" s="395" customFormat="1" ht="16.05" hidden="1" customHeight="1" x14ac:dyDescent="0.25">
      <c r="A72" s="576"/>
      <c r="B72" s="1754"/>
      <c r="C72" s="1754"/>
      <c r="D72" s="1632"/>
      <c r="E72" s="1632"/>
      <c r="F72" s="1632"/>
      <c r="G72" s="1632"/>
      <c r="H72" s="1632"/>
      <c r="I72" s="1632"/>
      <c r="J72" s="1632"/>
      <c r="K72" s="1632"/>
      <c r="L72" s="1632"/>
      <c r="M72" s="1632"/>
      <c r="N72" s="1632"/>
      <c r="O72" s="1632"/>
      <c r="P72" s="1633"/>
      <c r="Q72" s="1633"/>
      <c r="R72" s="1633"/>
      <c r="S72" s="1633"/>
      <c r="V72" s="2141"/>
    </row>
    <row r="73" spans="1:22" s="395" customFormat="1" ht="16.05" hidden="1" customHeight="1" x14ac:dyDescent="0.25">
      <c r="A73" s="576"/>
      <c r="B73" s="1754"/>
      <c r="C73" s="1754"/>
      <c r="D73" s="1632"/>
      <c r="E73" s="1632"/>
      <c r="F73" s="1632"/>
      <c r="G73" s="1632"/>
      <c r="H73" s="1632"/>
      <c r="I73" s="1632"/>
      <c r="J73" s="1632"/>
      <c r="K73" s="1632"/>
      <c r="L73" s="1632"/>
      <c r="M73" s="1632"/>
      <c r="N73" s="1632"/>
      <c r="O73" s="1632"/>
      <c r="P73" s="1633"/>
      <c r="Q73" s="1633"/>
      <c r="R73" s="1633"/>
      <c r="S73" s="1633"/>
      <c r="V73" s="2141"/>
    </row>
    <row r="74" spans="1:22" s="395" customFormat="1" ht="16.05" hidden="1" customHeight="1" x14ac:dyDescent="0.25">
      <c r="A74" s="576"/>
      <c r="B74" s="1754"/>
      <c r="C74" s="1754"/>
      <c r="D74" s="1632"/>
      <c r="E74" s="1632"/>
      <c r="F74" s="1632"/>
      <c r="G74" s="1632"/>
      <c r="H74" s="1632"/>
      <c r="I74" s="1632"/>
      <c r="J74" s="1632"/>
      <c r="K74" s="1632"/>
      <c r="L74" s="1632"/>
      <c r="M74" s="1632"/>
      <c r="N74" s="1632"/>
      <c r="O74" s="1632"/>
      <c r="P74" s="1633"/>
      <c r="Q74" s="1633"/>
      <c r="R74" s="1633"/>
      <c r="S74" s="1633"/>
      <c r="V74" s="2141"/>
    </row>
    <row r="75" spans="1:22" s="395" customFormat="1" ht="16.05" hidden="1" customHeight="1" x14ac:dyDescent="0.25">
      <c r="A75" s="576"/>
      <c r="B75" s="1754"/>
      <c r="C75" s="1754"/>
      <c r="D75" s="1632"/>
      <c r="E75" s="1632"/>
      <c r="F75" s="1632"/>
      <c r="G75" s="1632"/>
      <c r="H75" s="1632"/>
      <c r="I75" s="1632"/>
      <c r="J75" s="1632"/>
      <c r="K75" s="1632"/>
      <c r="L75" s="1632"/>
      <c r="M75" s="1632"/>
      <c r="N75" s="1632"/>
      <c r="O75" s="1632"/>
      <c r="P75" s="1633"/>
      <c r="Q75" s="1633"/>
      <c r="R75" s="1633"/>
      <c r="S75" s="1633"/>
      <c r="V75" s="2141"/>
    </row>
    <row r="76" spans="1:22" s="395" customFormat="1" ht="16.05" hidden="1" customHeight="1" x14ac:dyDescent="0.25">
      <c r="A76" s="576"/>
      <c r="B76" s="1754"/>
      <c r="C76" s="1754"/>
      <c r="D76" s="1632"/>
      <c r="E76" s="1632"/>
      <c r="F76" s="1632"/>
      <c r="G76" s="1632"/>
      <c r="H76" s="1632"/>
      <c r="I76" s="1632"/>
      <c r="J76" s="1632"/>
      <c r="K76" s="1632"/>
      <c r="L76" s="1632"/>
      <c r="M76" s="1632"/>
      <c r="N76" s="1632"/>
      <c r="O76" s="1632"/>
      <c r="P76" s="1633"/>
      <c r="Q76" s="1633"/>
      <c r="R76" s="1633"/>
      <c r="S76" s="1633"/>
      <c r="V76" s="2141"/>
    </row>
    <row r="77" spans="1:22" s="395" customFormat="1" ht="16.05" hidden="1" customHeight="1" x14ac:dyDescent="0.25">
      <c r="A77" s="576"/>
      <c r="B77" s="1754"/>
      <c r="C77" s="1754"/>
      <c r="D77" s="1632"/>
      <c r="E77" s="1632"/>
      <c r="F77" s="1632"/>
      <c r="G77" s="1632"/>
      <c r="H77" s="1632"/>
      <c r="I77" s="1632"/>
      <c r="J77" s="1632"/>
      <c r="K77" s="1632"/>
      <c r="L77" s="1632"/>
      <c r="M77" s="1632"/>
      <c r="N77" s="1632"/>
      <c r="O77" s="1632"/>
      <c r="P77" s="1633"/>
      <c r="Q77" s="1633"/>
      <c r="R77" s="1633"/>
      <c r="S77" s="1633"/>
      <c r="V77" s="2141"/>
    </row>
    <row r="78" spans="1:22" s="395" customFormat="1" ht="16.05" hidden="1" customHeight="1" x14ac:dyDescent="0.25">
      <c r="A78" s="576"/>
      <c r="B78" s="1754"/>
      <c r="C78" s="1754"/>
      <c r="D78" s="1632"/>
      <c r="E78" s="1632"/>
      <c r="F78" s="1632"/>
      <c r="G78" s="1632"/>
      <c r="H78" s="1632"/>
      <c r="I78" s="1632"/>
      <c r="J78" s="1632"/>
      <c r="K78" s="1632"/>
      <c r="L78" s="1632"/>
      <c r="M78" s="1632"/>
      <c r="N78" s="1632"/>
      <c r="O78" s="1632"/>
      <c r="P78" s="1633"/>
      <c r="Q78" s="1633"/>
      <c r="R78" s="1633"/>
      <c r="S78" s="1633"/>
      <c r="V78" s="2141"/>
    </row>
    <row r="79" spans="1:22" s="395" customFormat="1" ht="16.05" hidden="1" customHeight="1" x14ac:dyDescent="0.25">
      <c r="A79" s="576"/>
      <c r="B79" s="1754"/>
      <c r="C79" s="1754"/>
      <c r="D79" s="1632"/>
      <c r="E79" s="1632"/>
      <c r="F79" s="1632"/>
      <c r="G79" s="1632"/>
      <c r="H79" s="1632"/>
      <c r="I79" s="1632"/>
      <c r="J79" s="1632"/>
      <c r="K79" s="1632"/>
      <c r="L79" s="1632"/>
      <c r="M79" s="1632"/>
      <c r="N79" s="1632"/>
      <c r="O79" s="1632"/>
      <c r="P79" s="1633"/>
      <c r="Q79" s="1633"/>
      <c r="R79" s="1633"/>
      <c r="S79" s="1633"/>
      <c r="V79" s="2141"/>
    </row>
    <row r="80" spans="1:22" s="395" customFormat="1" ht="16.05" hidden="1" customHeight="1" x14ac:dyDescent="0.25">
      <c r="A80" s="576"/>
      <c r="B80" s="1754"/>
      <c r="C80" s="1754"/>
      <c r="D80" s="1632"/>
      <c r="E80" s="1632"/>
      <c r="F80" s="1632"/>
      <c r="G80" s="1632"/>
      <c r="H80" s="1632"/>
      <c r="I80" s="1632"/>
      <c r="J80" s="1632"/>
      <c r="K80" s="1632"/>
      <c r="L80" s="1632"/>
      <c r="M80" s="1632"/>
      <c r="N80" s="1632"/>
      <c r="O80" s="1632"/>
      <c r="P80" s="1633"/>
      <c r="Q80" s="1633"/>
      <c r="R80" s="1633"/>
      <c r="S80" s="1633"/>
      <c r="V80" s="2141"/>
    </row>
    <row r="81" spans="1:22" s="395" customFormat="1" ht="16.05" hidden="1" customHeight="1" x14ac:dyDescent="0.25">
      <c r="A81" s="576"/>
      <c r="B81" s="1754"/>
      <c r="C81" s="1754"/>
      <c r="D81" s="1632"/>
      <c r="E81" s="1632"/>
      <c r="F81" s="1632"/>
      <c r="G81" s="1632"/>
      <c r="H81" s="1632"/>
      <c r="I81" s="1632"/>
      <c r="J81" s="1632"/>
      <c r="K81" s="1632"/>
      <c r="L81" s="1632"/>
      <c r="M81" s="1632"/>
      <c r="N81" s="1632"/>
      <c r="O81" s="1632"/>
      <c r="P81" s="1633"/>
      <c r="Q81" s="1633"/>
      <c r="R81" s="1633"/>
      <c r="S81" s="1633"/>
      <c r="V81" s="2141"/>
    </row>
    <row r="82" spans="1:22" s="395" customFormat="1" ht="16.05" hidden="1" customHeight="1" x14ac:dyDescent="0.25">
      <c r="A82" s="576"/>
      <c r="B82" s="1754"/>
      <c r="C82" s="1754"/>
      <c r="D82" s="1632"/>
      <c r="E82" s="1632"/>
      <c r="F82" s="1632"/>
      <c r="G82" s="1632"/>
      <c r="H82" s="1632"/>
      <c r="I82" s="1632"/>
      <c r="J82" s="1632"/>
      <c r="K82" s="1632"/>
      <c r="L82" s="1632"/>
      <c r="M82" s="1632"/>
      <c r="N82" s="1632"/>
      <c r="O82" s="1632"/>
      <c r="P82" s="1633"/>
      <c r="Q82" s="1633"/>
      <c r="R82" s="1633"/>
      <c r="S82" s="1633"/>
      <c r="V82" s="2141"/>
    </row>
    <row r="83" spans="1:22" s="395" customFormat="1" ht="16.05" hidden="1" customHeight="1" x14ac:dyDescent="0.25">
      <c r="A83" s="576"/>
      <c r="B83" s="1754"/>
      <c r="C83" s="1754"/>
      <c r="D83" s="1632"/>
      <c r="E83" s="1632"/>
      <c r="F83" s="1632"/>
      <c r="G83" s="1632"/>
      <c r="H83" s="1632"/>
      <c r="I83" s="1632"/>
      <c r="J83" s="1632"/>
      <c r="K83" s="1632"/>
      <c r="L83" s="1632"/>
      <c r="M83" s="1632"/>
      <c r="N83" s="1632"/>
      <c r="O83" s="1632"/>
      <c r="P83" s="1633"/>
      <c r="Q83" s="1633"/>
      <c r="R83" s="1633"/>
      <c r="S83" s="1633"/>
      <c r="V83" s="2141"/>
    </row>
    <row r="84" spans="1:22" s="395" customFormat="1" ht="16.05" hidden="1" customHeight="1" x14ac:dyDescent="0.25">
      <c r="A84" s="576"/>
      <c r="B84" s="1754"/>
      <c r="C84" s="1754"/>
      <c r="D84" s="1632"/>
      <c r="E84" s="1632"/>
      <c r="F84" s="1632"/>
      <c r="G84" s="1632"/>
      <c r="H84" s="1632"/>
      <c r="I84" s="1632"/>
      <c r="J84" s="1632"/>
      <c r="K84" s="1632"/>
      <c r="L84" s="1632"/>
      <c r="M84" s="1632"/>
      <c r="N84" s="1632"/>
      <c r="O84" s="1632"/>
      <c r="P84" s="1633"/>
      <c r="Q84" s="1633"/>
      <c r="R84" s="1633"/>
      <c r="S84" s="1633"/>
      <c r="V84" s="2141"/>
    </row>
    <row r="85" spans="1:22" s="395" customFormat="1" ht="16.05" hidden="1" customHeight="1" x14ac:dyDescent="0.25">
      <c r="A85" s="576"/>
      <c r="B85" s="1754"/>
      <c r="C85" s="1754"/>
      <c r="D85" s="1632"/>
      <c r="E85" s="1632"/>
      <c r="F85" s="1632"/>
      <c r="G85" s="1632"/>
      <c r="H85" s="1632"/>
      <c r="I85" s="1632"/>
      <c r="J85" s="1632"/>
      <c r="K85" s="1632"/>
      <c r="L85" s="1632"/>
      <c r="M85" s="1632"/>
      <c r="N85" s="1632"/>
      <c r="O85" s="1632"/>
      <c r="P85" s="1633"/>
      <c r="Q85" s="1633"/>
      <c r="R85" s="1633"/>
      <c r="S85" s="1633"/>
      <c r="V85" s="2141"/>
    </row>
    <row r="86" spans="1:22" s="395" customFormat="1" ht="16.05" hidden="1" customHeight="1" x14ac:dyDescent="0.25">
      <c r="A86" s="576"/>
      <c r="B86" s="1754"/>
      <c r="C86" s="1754"/>
      <c r="D86" s="1632"/>
      <c r="E86" s="1632"/>
      <c r="F86" s="1632"/>
      <c r="G86" s="1632"/>
      <c r="H86" s="1632"/>
      <c r="I86" s="1632"/>
      <c r="J86" s="1632"/>
      <c r="K86" s="1632"/>
      <c r="L86" s="1632"/>
      <c r="M86" s="1632"/>
      <c r="N86" s="1632"/>
      <c r="O86" s="1632"/>
      <c r="P86" s="1633"/>
      <c r="Q86" s="1633"/>
      <c r="R86" s="1633"/>
      <c r="S86" s="1633"/>
      <c r="V86" s="2141"/>
    </row>
    <row r="87" spans="1:22" s="395" customFormat="1" ht="16.05" hidden="1" customHeight="1" x14ac:dyDescent="0.25">
      <c r="A87" s="576"/>
      <c r="B87" s="1754"/>
      <c r="C87" s="1754"/>
      <c r="D87" s="1632"/>
      <c r="E87" s="1632"/>
      <c r="F87" s="1632"/>
      <c r="G87" s="1632"/>
      <c r="H87" s="1632"/>
      <c r="I87" s="1632"/>
      <c r="J87" s="1632"/>
      <c r="K87" s="1632"/>
      <c r="L87" s="1632"/>
      <c r="M87" s="1632"/>
      <c r="N87" s="1632"/>
      <c r="O87" s="1632"/>
      <c r="P87" s="1633"/>
      <c r="Q87" s="1633"/>
      <c r="R87" s="1633"/>
      <c r="S87" s="1633"/>
      <c r="V87" s="2141"/>
    </row>
    <row r="88" spans="1:22" s="395" customFormat="1" ht="16.05" hidden="1" customHeight="1" x14ac:dyDescent="0.25">
      <c r="A88" s="576"/>
      <c r="B88" s="1754"/>
      <c r="C88" s="1754"/>
      <c r="D88" s="1632"/>
      <c r="E88" s="1632"/>
      <c r="F88" s="1632"/>
      <c r="G88" s="1632"/>
      <c r="H88" s="1632"/>
      <c r="I88" s="1632"/>
      <c r="J88" s="1632"/>
      <c r="K88" s="1632"/>
      <c r="L88" s="1632"/>
      <c r="M88" s="1632"/>
      <c r="N88" s="1632"/>
      <c r="O88" s="1632"/>
      <c r="P88" s="1633"/>
      <c r="Q88" s="1633"/>
      <c r="R88" s="1633"/>
      <c r="S88" s="1633"/>
      <c r="V88" s="2141"/>
    </row>
    <row r="89" spans="1:22" s="395" customFormat="1" ht="16.05" hidden="1" customHeight="1" x14ac:dyDescent="0.25">
      <c r="A89" s="576"/>
      <c r="B89" s="1754"/>
      <c r="C89" s="1754"/>
      <c r="D89" s="1632"/>
      <c r="E89" s="1632"/>
      <c r="F89" s="1632"/>
      <c r="G89" s="1632"/>
      <c r="H89" s="1632"/>
      <c r="I89" s="1632"/>
      <c r="J89" s="1632"/>
      <c r="K89" s="1632"/>
      <c r="L89" s="1632"/>
      <c r="M89" s="1632"/>
      <c r="N89" s="1632"/>
      <c r="O89" s="1632"/>
      <c r="P89" s="1633"/>
      <c r="Q89" s="1633"/>
      <c r="R89" s="1633"/>
      <c r="S89" s="1633"/>
      <c r="V89" s="2141"/>
    </row>
    <row r="90" spans="1:22" s="395" customFormat="1" ht="16.05" hidden="1" customHeight="1" x14ac:dyDescent="0.25">
      <c r="A90" s="576"/>
      <c r="B90" s="1754"/>
      <c r="C90" s="1754"/>
      <c r="D90" s="1632"/>
      <c r="E90" s="1632"/>
      <c r="F90" s="1632"/>
      <c r="G90" s="1632"/>
      <c r="H90" s="1632"/>
      <c r="I90" s="1632"/>
      <c r="J90" s="1632"/>
      <c r="K90" s="1632"/>
      <c r="L90" s="1632"/>
      <c r="M90" s="1632"/>
      <c r="N90" s="1632"/>
      <c r="O90" s="1632"/>
      <c r="P90" s="1633"/>
      <c r="Q90" s="1633"/>
      <c r="R90" s="1633"/>
      <c r="S90" s="1633"/>
      <c r="V90" s="2141"/>
    </row>
    <row r="91" spans="1:22" s="395" customFormat="1" ht="16.05" hidden="1" customHeight="1" x14ac:dyDescent="0.25">
      <c r="A91" s="576"/>
      <c r="B91" s="1754"/>
      <c r="C91" s="1754"/>
      <c r="D91" s="1632"/>
      <c r="E91" s="1632"/>
      <c r="F91" s="1632"/>
      <c r="G91" s="1632"/>
      <c r="H91" s="1632"/>
      <c r="I91" s="1632"/>
      <c r="J91" s="1632"/>
      <c r="K91" s="1632"/>
      <c r="L91" s="1632"/>
      <c r="M91" s="1632"/>
      <c r="N91" s="1632"/>
      <c r="O91" s="1632"/>
      <c r="P91" s="1633"/>
      <c r="Q91" s="1633"/>
      <c r="R91" s="1633"/>
      <c r="S91" s="1633"/>
      <c r="V91" s="2141"/>
    </row>
    <row r="92" spans="1:22" s="395" customFormat="1" ht="16.05" hidden="1" customHeight="1" x14ac:dyDescent="0.25">
      <c r="A92" s="576"/>
      <c r="B92" s="1754"/>
      <c r="C92" s="1754"/>
      <c r="D92" s="1632"/>
      <c r="E92" s="1632"/>
      <c r="F92" s="1632"/>
      <c r="G92" s="1632"/>
      <c r="H92" s="1632"/>
      <c r="I92" s="1632"/>
      <c r="J92" s="1632"/>
      <c r="K92" s="1632"/>
      <c r="L92" s="1632"/>
      <c r="M92" s="1632"/>
      <c r="N92" s="1632"/>
      <c r="O92" s="1632"/>
      <c r="P92" s="1633"/>
      <c r="Q92" s="1633"/>
      <c r="R92" s="1633"/>
      <c r="S92" s="1633"/>
      <c r="V92" s="2141"/>
    </row>
    <row r="93" spans="1:22" s="395" customFormat="1" ht="16.05" hidden="1" customHeight="1" x14ac:dyDescent="0.25">
      <c r="A93" s="576"/>
      <c r="B93" s="1754"/>
      <c r="C93" s="1754"/>
      <c r="D93" s="1632"/>
      <c r="E93" s="1632"/>
      <c r="F93" s="1632"/>
      <c r="G93" s="1632"/>
      <c r="H93" s="1632"/>
      <c r="I93" s="1632"/>
      <c r="J93" s="1632"/>
      <c r="K93" s="1632"/>
      <c r="L93" s="1632"/>
      <c r="M93" s="1632"/>
      <c r="N93" s="1632"/>
      <c r="O93" s="1632"/>
      <c r="P93" s="1633"/>
      <c r="Q93" s="1633"/>
      <c r="R93" s="1633"/>
      <c r="S93" s="1633"/>
      <c r="V93" s="2141"/>
    </row>
    <row r="94" spans="1:22" s="395" customFormat="1" ht="16.05" hidden="1" customHeight="1" x14ac:dyDescent="0.25">
      <c r="A94" s="576"/>
      <c r="B94" s="1754"/>
      <c r="C94" s="1754"/>
      <c r="D94" s="1632"/>
      <c r="E94" s="1632"/>
      <c r="F94" s="1632"/>
      <c r="G94" s="1632"/>
      <c r="H94" s="1632"/>
      <c r="I94" s="1632"/>
      <c r="J94" s="1632"/>
      <c r="K94" s="1632"/>
      <c r="L94" s="1632"/>
      <c r="M94" s="1632"/>
      <c r="N94" s="1632"/>
      <c r="O94" s="1632"/>
      <c r="P94" s="1633"/>
      <c r="Q94" s="1633"/>
      <c r="R94" s="1633"/>
      <c r="S94" s="1633"/>
      <c r="V94" s="2141"/>
    </row>
    <row r="95" spans="1:22" s="395" customFormat="1" ht="16.05" hidden="1" customHeight="1" x14ac:dyDescent="0.25">
      <c r="A95" s="576"/>
      <c r="B95" s="1754"/>
      <c r="C95" s="1754"/>
      <c r="D95" s="1632"/>
      <c r="E95" s="1632"/>
      <c r="F95" s="1632"/>
      <c r="G95" s="1632"/>
      <c r="H95" s="1632"/>
      <c r="I95" s="1632"/>
      <c r="J95" s="1632"/>
      <c r="K95" s="1632"/>
      <c r="L95" s="1632"/>
      <c r="M95" s="1632"/>
      <c r="N95" s="1632"/>
      <c r="O95" s="1632"/>
      <c r="P95" s="1633"/>
      <c r="Q95" s="1633"/>
      <c r="R95" s="1633"/>
      <c r="S95" s="1633"/>
      <c r="V95" s="2141"/>
    </row>
    <row r="96" spans="1:22" s="395" customFormat="1" ht="16.05" hidden="1" customHeight="1" x14ac:dyDescent="0.25">
      <c r="A96" s="576"/>
      <c r="B96" s="1754"/>
      <c r="C96" s="1754"/>
      <c r="D96" s="1632"/>
      <c r="E96" s="1632"/>
      <c r="F96" s="1632"/>
      <c r="G96" s="1632"/>
      <c r="H96" s="1632"/>
      <c r="I96" s="1632"/>
      <c r="J96" s="1632"/>
      <c r="K96" s="1632"/>
      <c r="L96" s="1632"/>
      <c r="M96" s="1632"/>
      <c r="N96" s="1632"/>
      <c r="O96" s="1632"/>
      <c r="P96" s="1633"/>
      <c r="Q96" s="1633"/>
      <c r="R96" s="1633"/>
      <c r="S96" s="1633"/>
      <c r="V96" s="2141"/>
    </row>
    <row r="97" spans="1:22" s="395" customFormat="1" ht="16.05" hidden="1" customHeight="1" x14ac:dyDescent="0.25">
      <c r="A97" s="576"/>
      <c r="B97" s="1754"/>
      <c r="C97" s="1754"/>
      <c r="D97" s="1632"/>
      <c r="E97" s="1632"/>
      <c r="F97" s="1632"/>
      <c r="G97" s="1632"/>
      <c r="H97" s="1632"/>
      <c r="I97" s="1632"/>
      <c r="J97" s="1632"/>
      <c r="K97" s="1632"/>
      <c r="L97" s="1632"/>
      <c r="M97" s="1632"/>
      <c r="N97" s="1632"/>
      <c r="O97" s="1632"/>
      <c r="P97" s="1633"/>
      <c r="Q97" s="1633"/>
      <c r="R97" s="1633"/>
      <c r="S97" s="1633"/>
      <c r="V97" s="2141"/>
    </row>
    <row r="98" spans="1:22" s="395" customFormat="1" ht="16.05" hidden="1" customHeight="1" x14ac:dyDescent="0.25">
      <c r="A98" s="576"/>
      <c r="B98" s="1754"/>
      <c r="C98" s="1754"/>
      <c r="D98" s="1632"/>
      <c r="E98" s="1632"/>
      <c r="F98" s="1632"/>
      <c r="G98" s="1632"/>
      <c r="H98" s="1632"/>
      <c r="I98" s="1632"/>
      <c r="J98" s="1632"/>
      <c r="K98" s="1632"/>
      <c r="L98" s="1632"/>
      <c r="M98" s="1632"/>
      <c r="N98" s="1632"/>
      <c r="O98" s="1632"/>
      <c r="P98" s="1633"/>
      <c r="Q98" s="1633"/>
      <c r="R98" s="1633"/>
      <c r="S98" s="1633"/>
      <c r="V98" s="2141"/>
    </row>
    <row r="99" spans="1:22" s="395" customFormat="1" ht="16.05" hidden="1" customHeight="1" x14ac:dyDescent="0.25">
      <c r="A99" s="576"/>
      <c r="B99" s="1754"/>
      <c r="C99" s="1754"/>
      <c r="D99" s="1632"/>
      <c r="E99" s="1632"/>
      <c r="F99" s="1632"/>
      <c r="G99" s="1632"/>
      <c r="H99" s="1632"/>
      <c r="I99" s="1632"/>
      <c r="J99" s="1632"/>
      <c r="K99" s="1632"/>
      <c r="L99" s="1632"/>
      <c r="M99" s="1632"/>
      <c r="N99" s="1632"/>
      <c r="O99" s="1632"/>
      <c r="P99" s="1633"/>
      <c r="Q99" s="1633"/>
      <c r="R99" s="1633"/>
      <c r="S99" s="1633"/>
      <c r="V99" s="2141"/>
    </row>
    <row r="100" spans="1:22" s="395" customFormat="1" ht="16.05" hidden="1" customHeight="1" x14ac:dyDescent="0.25">
      <c r="A100" s="576"/>
      <c r="B100" s="1754"/>
      <c r="C100" s="1754"/>
      <c r="D100" s="1632"/>
      <c r="E100" s="1632"/>
      <c r="F100" s="1632"/>
      <c r="G100" s="1632"/>
      <c r="H100" s="1632"/>
      <c r="I100" s="1632"/>
      <c r="J100" s="1632"/>
      <c r="K100" s="1632"/>
      <c r="L100" s="1632"/>
      <c r="M100" s="1632"/>
      <c r="N100" s="1632"/>
      <c r="O100" s="1632"/>
      <c r="P100" s="1633"/>
      <c r="Q100" s="1633"/>
      <c r="R100" s="1633"/>
      <c r="S100" s="1633"/>
      <c r="V100" s="2141"/>
    </row>
    <row r="101" spans="1:22" s="395" customFormat="1" ht="16.05" hidden="1" customHeight="1" x14ac:dyDescent="0.25">
      <c r="A101" s="576"/>
      <c r="B101" s="1754"/>
      <c r="C101" s="1754"/>
      <c r="D101" s="1632"/>
      <c r="E101" s="1632"/>
      <c r="F101" s="1632"/>
      <c r="G101" s="1632"/>
      <c r="H101" s="1632"/>
      <c r="I101" s="1632"/>
      <c r="J101" s="1632"/>
      <c r="K101" s="1632"/>
      <c r="L101" s="1632"/>
      <c r="M101" s="1632"/>
      <c r="N101" s="1632"/>
      <c r="O101" s="1632"/>
      <c r="P101" s="1633"/>
      <c r="Q101" s="1633"/>
      <c r="R101" s="1633"/>
      <c r="S101" s="1633"/>
      <c r="V101" s="2141"/>
    </row>
    <row r="102" spans="1:22" s="395" customFormat="1" ht="16.05" hidden="1" customHeight="1" x14ac:dyDescent="0.25">
      <c r="A102" s="576"/>
      <c r="B102" s="1754"/>
      <c r="C102" s="1754"/>
      <c r="D102" s="1632"/>
      <c r="E102" s="1632"/>
      <c r="F102" s="1632"/>
      <c r="G102" s="1632"/>
      <c r="H102" s="1632"/>
      <c r="I102" s="1632"/>
      <c r="J102" s="1632"/>
      <c r="K102" s="1632"/>
      <c r="L102" s="1632"/>
      <c r="M102" s="1632"/>
      <c r="N102" s="1632"/>
      <c r="O102" s="1632"/>
      <c r="P102" s="1633"/>
      <c r="Q102" s="1633"/>
      <c r="R102" s="1633"/>
      <c r="S102" s="1633"/>
      <c r="V102" s="2141"/>
    </row>
    <row r="103" spans="1:22" s="395" customFormat="1" ht="16.05" hidden="1" customHeight="1" x14ac:dyDescent="0.25">
      <c r="A103" s="576"/>
      <c r="B103" s="1754"/>
      <c r="C103" s="1754"/>
      <c r="D103" s="1632"/>
      <c r="E103" s="1632"/>
      <c r="F103" s="1632"/>
      <c r="G103" s="1632"/>
      <c r="H103" s="1632"/>
      <c r="I103" s="1632"/>
      <c r="J103" s="1632"/>
      <c r="K103" s="1632"/>
      <c r="L103" s="1632"/>
      <c r="M103" s="1632"/>
      <c r="N103" s="1632"/>
      <c r="O103" s="1632"/>
      <c r="P103" s="1633"/>
      <c r="Q103" s="1633"/>
      <c r="R103" s="1633"/>
      <c r="S103" s="1633"/>
      <c r="V103" s="2141"/>
    </row>
    <row r="104" spans="1:22" s="395" customFormat="1" ht="16.05" hidden="1" customHeight="1" x14ac:dyDescent="0.25">
      <c r="A104" s="576"/>
      <c r="B104" s="1754"/>
      <c r="C104" s="1754"/>
      <c r="D104" s="1632"/>
      <c r="E104" s="1632"/>
      <c r="F104" s="1632"/>
      <c r="G104" s="1632"/>
      <c r="H104" s="1632"/>
      <c r="I104" s="1632"/>
      <c r="J104" s="1632"/>
      <c r="K104" s="1632"/>
      <c r="L104" s="1632"/>
      <c r="M104" s="1632"/>
      <c r="N104" s="1632"/>
      <c r="O104" s="1632"/>
      <c r="P104" s="1633"/>
      <c r="Q104" s="1633"/>
      <c r="R104" s="1633"/>
      <c r="S104" s="1633"/>
      <c r="V104" s="2141"/>
    </row>
    <row r="105" spans="1:22" s="395" customFormat="1" ht="16.05" hidden="1" customHeight="1" x14ac:dyDescent="0.25">
      <c r="A105" s="576"/>
      <c r="B105" s="1754"/>
      <c r="C105" s="1754"/>
      <c r="D105" s="1632"/>
      <c r="E105" s="1632"/>
      <c r="F105" s="1632"/>
      <c r="G105" s="1632"/>
      <c r="H105" s="1632"/>
      <c r="I105" s="1632"/>
      <c r="J105" s="1632"/>
      <c r="K105" s="1632"/>
      <c r="L105" s="1632"/>
      <c r="M105" s="1632"/>
      <c r="N105" s="1632"/>
      <c r="O105" s="1632"/>
      <c r="P105" s="1633"/>
      <c r="Q105" s="1633"/>
      <c r="R105" s="1633"/>
      <c r="S105" s="1633"/>
      <c r="V105" s="2141"/>
    </row>
    <row r="106" spans="1:22" s="395" customFormat="1" ht="16.05" hidden="1" customHeight="1" x14ac:dyDescent="0.25">
      <c r="A106" s="576"/>
      <c r="B106" s="1754"/>
      <c r="C106" s="1754"/>
      <c r="D106" s="1632"/>
      <c r="E106" s="1632"/>
      <c r="F106" s="1632"/>
      <c r="G106" s="1632"/>
      <c r="H106" s="1632"/>
      <c r="I106" s="1632"/>
      <c r="J106" s="1632"/>
      <c r="K106" s="1632"/>
      <c r="L106" s="1632"/>
      <c r="M106" s="1632"/>
      <c r="N106" s="1632"/>
      <c r="O106" s="1632"/>
      <c r="P106" s="1633"/>
      <c r="Q106" s="1633"/>
      <c r="R106" s="1633"/>
      <c r="S106" s="1633"/>
      <c r="V106" s="2141"/>
    </row>
    <row r="107" spans="1:22" s="395" customFormat="1" ht="16.05" hidden="1" customHeight="1" x14ac:dyDescent="0.25">
      <c r="A107" s="576"/>
      <c r="B107" s="1754"/>
      <c r="C107" s="1754"/>
      <c r="D107" s="1632"/>
      <c r="E107" s="1632"/>
      <c r="F107" s="1632"/>
      <c r="G107" s="1632"/>
      <c r="H107" s="1632"/>
      <c r="I107" s="1632"/>
      <c r="J107" s="1632"/>
      <c r="K107" s="1632"/>
      <c r="L107" s="1632"/>
      <c r="M107" s="1632"/>
      <c r="N107" s="1632"/>
      <c r="O107" s="1632"/>
      <c r="P107" s="1633"/>
      <c r="Q107" s="1633"/>
      <c r="R107" s="1633"/>
      <c r="S107" s="1633"/>
      <c r="V107" s="2141"/>
    </row>
    <row r="108" spans="1:22" s="395" customFormat="1" ht="16.05" hidden="1" customHeight="1" x14ac:dyDescent="0.25">
      <c r="A108" s="576"/>
      <c r="B108" s="1754"/>
      <c r="C108" s="1754"/>
      <c r="D108" s="1632"/>
      <c r="E108" s="1632"/>
      <c r="F108" s="1632"/>
      <c r="G108" s="1632"/>
      <c r="H108" s="1632"/>
      <c r="I108" s="1632"/>
      <c r="J108" s="1632"/>
      <c r="K108" s="1632"/>
      <c r="L108" s="1632"/>
      <c r="M108" s="1632"/>
      <c r="N108" s="1632"/>
      <c r="O108" s="1632"/>
      <c r="P108" s="1633"/>
      <c r="Q108" s="1633"/>
      <c r="R108" s="1633"/>
      <c r="S108" s="1633"/>
      <c r="V108" s="2141"/>
    </row>
    <row r="109" spans="1:22" s="395" customFormat="1" ht="16.05" hidden="1" customHeight="1" x14ac:dyDescent="0.25">
      <c r="A109" s="576"/>
      <c r="B109" s="1754"/>
      <c r="C109" s="1754"/>
      <c r="D109" s="1632"/>
      <c r="E109" s="1632"/>
      <c r="F109" s="1632"/>
      <c r="G109" s="1632"/>
      <c r="H109" s="1632"/>
      <c r="I109" s="1632"/>
      <c r="J109" s="1632"/>
      <c r="K109" s="1632"/>
      <c r="L109" s="1632"/>
      <c r="M109" s="1632"/>
      <c r="N109" s="1632"/>
      <c r="O109" s="1632"/>
      <c r="P109" s="1633"/>
      <c r="Q109" s="1633"/>
      <c r="R109" s="1633"/>
      <c r="S109" s="1633"/>
      <c r="V109" s="2141"/>
    </row>
    <row r="110" spans="1:22" s="395" customFormat="1" ht="16.05" hidden="1" customHeight="1" x14ac:dyDescent="0.25">
      <c r="A110" s="576"/>
      <c r="B110" s="1754"/>
      <c r="C110" s="1754"/>
      <c r="D110" s="1632"/>
      <c r="E110" s="1632"/>
      <c r="F110" s="1632"/>
      <c r="G110" s="1632"/>
      <c r="H110" s="1632"/>
      <c r="I110" s="1632"/>
      <c r="J110" s="1632"/>
      <c r="K110" s="1632"/>
      <c r="L110" s="1632"/>
      <c r="M110" s="1632"/>
      <c r="N110" s="1632"/>
      <c r="O110" s="1632"/>
      <c r="P110" s="1633"/>
      <c r="Q110" s="1633"/>
      <c r="R110" s="1633"/>
      <c r="S110" s="1633"/>
      <c r="V110" s="2141"/>
    </row>
    <row r="111" spans="1:22" s="395" customFormat="1" ht="16.05" hidden="1" customHeight="1" x14ac:dyDescent="0.25">
      <c r="A111" s="576"/>
      <c r="B111" s="1754"/>
      <c r="C111" s="1754"/>
      <c r="D111" s="1632"/>
      <c r="E111" s="1632"/>
      <c r="F111" s="1632"/>
      <c r="G111" s="1632"/>
      <c r="H111" s="1632"/>
      <c r="I111" s="1632"/>
      <c r="J111" s="1632"/>
      <c r="K111" s="1632"/>
      <c r="L111" s="1632"/>
      <c r="M111" s="1632"/>
      <c r="N111" s="1632"/>
      <c r="O111" s="1632"/>
      <c r="P111" s="1633"/>
      <c r="Q111" s="1633"/>
      <c r="R111" s="1633"/>
      <c r="S111" s="1633"/>
      <c r="V111" s="2141"/>
    </row>
    <row r="112" spans="1:22" s="395" customFormat="1" ht="16.05" hidden="1" customHeight="1" x14ac:dyDescent="0.25">
      <c r="A112" s="576"/>
      <c r="B112" s="1754"/>
      <c r="C112" s="1754"/>
      <c r="D112" s="1632"/>
      <c r="E112" s="1632"/>
      <c r="F112" s="1632"/>
      <c r="G112" s="1632"/>
      <c r="H112" s="1632"/>
      <c r="I112" s="1632"/>
      <c r="J112" s="1632"/>
      <c r="K112" s="1632"/>
      <c r="L112" s="1632"/>
      <c r="M112" s="1632"/>
      <c r="N112" s="1632"/>
      <c r="O112" s="1632"/>
      <c r="P112" s="1633"/>
      <c r="Q112" s="1633"/>
      <c r="R112" s="1633"/>
      <c r="S112" s="1633"/>
      <c r="V112" s="2141"/>
    </row>
    <row r="113" spans="1:22" s="395" customFormat="1" ht="16.05" hidden="1" customHeight="1" x14ac:dyDescent="0.25">
      <c r="A113" s="576"/>
      <c r="B113" s="1754"/>
      <c r="C113" s="1754"/>
      <c r="D113" s="1632"/>
      <c r="E113" s="1632"/>
      <c r="F113" s="1632"/>
      <c r="G113" s="1632"/>
      <c r="H113" s="1632"/>
      <c r="I113" s="1632"/>
      <c r="J113" s="1632"/>
      <c r="K113" s="1632"/>
      <c r="L113" s="1632"/>
      <c r="M113" s="1632"/>
      <c r="N113" s="1632"/>
      <c r="O113" s="1632"/>
      <c r="P113" s="1633"/>
      <c r="Q113" s="1633"/>
      <c r="R113" s="1633"/>
      <c r="S113" s="1633"/>
      <c r="V113" s="2141"/>
    </row>
    <row r="114" spans="1:22" s="395" customFormat="1" ht="16.05" hidden="1" customHeight="1" x14ac:dyDescent="0.25">
      <c r="A114" s="576"/>
      <c r="B114" s="1754"/>
      <c r="C114" s="1754"/>
      <c r="D114" s="1632"/>
      <c r="E114" s="1632"/>
      <c r="F114" s="1632"/>
      <c r="G114" s="1632"/>
      <c r="H114" s="1632"/>
      <c r="I114" s="1632"/>
      <c r="J114" s="1632"/>
      <c r="K114" s="1632"/>
      <c r="L114" s="1632"/>
      <c r="M114" s="1632"/>
      <c r="N114" s="1632"/>
      <c r="O114" s="1632"/>
      <c r="P114" s="1633"/>
      <c r="Q114" s="1633"/>
      <c r="R114" s="1633"/>
      <c r="S114" s="1633"/>
      <c r="V114" s="2141"/>
    </row>
    <row r="115" spans="1:22" s="395" customFormat="1" ht="16.05" hidden="1" customHeight="1" x14ac:dyDescent="0.25">
      <c r="A115" s="576"/>
      <c r="B115" s="1754"/>
      <c r="C115" s="1754"/>
      <c r="D115" s="1632"/>
      <c r="E115" s="1632"/>
      <c r="F115" s="1632"/>
      <c r="G115" s="1632"/>
      <c r="H115" s="1632"/>
      <c r="I115" s="1632"/>
      <c r="J115" s="1632"/>
      <c r="K115" s="1632"/>
      <c r="L115" s="1632"/>
      <c r="M115" s="1632"/>
      <c r="N115" s="1632"/>
      <c r="O115" s="1632"/>
      <c r="P115" s="1633"/>
      <c r="Q115" s="1633"/>
      <c r="R115" s="1633"/>
      <c r="S115" s="1633"/>
      <c r="V115" s="2141"/>
    </row>
    <row r="116" spans="1:22" s="395" customFormat="1" ht="16.05" hidden="1" customHeight="1" x14ac:dyDescent="0.25">
      <c r="A116" s="576"/>
      <c r="B116" s="1754"/>
      <c r="C116" s="1754"/>
      <c r="D116" s="1632"/>
      <c r="E116" s="1632"/>
      <c r="F116" s="1632"/>
      <c r="G116" s="1632"/>
      <c r="H116" s="1632"/>
      <c r="I116" s="1632"/>
      <c r="J116" s="1632"/>
      <c r="K116" s="1632"/>
      <c r="L116" s="1632"/>
      <c r="M116" s="1632"/>
      <c r="N116" s="1632"/>
      <c r="O116" s="1632"/>
      <c r="P116" s="1633"/>
      <c r="Q116" s="1633"/>
      <c r="R116" s="1633"/>
      <c r="S116" s="1633"/>
      <c r="V116" s="2141"/>
    </row>
    <row r="117" spans="1:22" s="395" customFormat="1" ht="16.05" hidden="1" customHeight="1" x14ac:dyDescent="0.25">
      <c r="A117" s="576"/>
      <c r="B117" s="1754"/>
      <c r="C117" s="1754"/>
      <c r="D117" s="1632"/>
      <c r="E117" s="1632"/>
      <c r="F117" s="1632"/>
      <c r="G117" s="1632"/>
      <c r="H117" s="1632"/>
      <c r="I117" s="1632"/>
      <c r="J117" s="1632"/>
      <c r="K117" s="1632"/>
      <c r="L117" s="1632"/>
      <c r="M117" s="1632"/>
      <c r="N117" s="1632"/>
      <c r="O117" s="1632"/>
      <c r="P117" s="1633"/>
      <c r="Q117" s="1633"/>
      <c r="R117" s="1633"/>
      <c r="S117" s="1633"/>
      <c r="V117" s="2141"/>
    </row>
    <row r="118" spans="1:22" s="395" customFormat="1" ht="16.05" hidden="1" customHeight="1" x14ac:dyDescent="0.25">
      <c r="A118" s="576"/>
      <c r="B118" s="1754"/>
      <c r="C118" s="1754"/>
      <c r="D118" s="1632"/>
      <c r="E118" s="1632"/>
      <c r="F118" s="1632"/>
      <c r="G118" s="1632"/>
      <c r="H118" s="1632"/>
      <c r="I118" s="1632"/>
      <c r="J118" s="1632"/>
      <c r="K118" s="1632"/>
      <c r="L118" s="1632"/>
      <c r="M118" s="1632"/>
      <c r="N118" s="1632"/>
      <c r="O118" s="1632"/>
      <c r="P118" s="1633"/>
      <c r="Q118" s="1633"/>
      <c r="R118" s="1633"/>
      <c r="S118" s="1633"/>
      <c r="V118" s="2141"/>
    </row>
    <row r="119" spans="1:22" s="395" customFormat="1" x14ac:dyDescent="0.25">
      <c r="A119" s="373" t="s">
        <v>1038</v>
      </c>
      <c r="V119" s="2140"/>
    </row>
    <row r="120" spans="1:22" s="395" customFormat="1" x14ac:dyDescent="0.25">
      <c r="A120" s="373" t="s">
        <v>1038</v>
      </c>
      <c r="V120" s="2140"/>
    </row>
    <row r="121" spans="1:22" s="395" customFormat="1" x14ac:dyDescent="0.25">
      <c r="A121" s="373" t="s">
        <v>1038</v>
      </c>
      <c r="V121" s="2140"/>
    </row>
    <row r="122" spans="1:22" s="395" customFormat="1" x14ac:dyDescent="0.25">
      <c r="A122" s="373" t="s">
        <v>1038</v>
      </c>
      <c r="V122" s="2140"/>
    </row>
    <row r="123" spans="1:22" s="395" customFormat="1" x14ac:dyDescent="0.25">
      <c r="A123" s="373" t="s">
        <v>1038</v>
      </c>
      <c r="V123" s="2140"/>
    </row>
    <row r="124" spans="1:22" s="395" customFormat="1" x14ac:dyDescent="0.25">
      <c r="A124" s="373" t="s">
        <v>1038</v>
      </c>
      <c r="V124" s="2140"/>
    </row>
    <row r="125" spans="1:22" x14ac:dyDescent="0.25">
      <c r="A125" s="373" t="s">
        <v>1038</v>
      </c>
    </row>
    <row r="126" spans="1:22" x14ac:dyDescent="0.25">
      <c r="A126" s="373" t="s">
        <v>1038</v>
      </c>
    </row>
    <row r="127" spans="1:22" x14ac:dyDescent="0.25">
      <c r="A127" s="373" t="s">
        <v>1038</v>
      </c>
    </row>
    <row r="128" spans="1:22" x14ac:dyDescent="0.25">
      <c r="A128" s="373" t="s">
        <v>1038</v>
      </c>
    </row>
    <row r="129" spans="1:1" x14ac:dyDescent="0.25">
      <c r="A129" s="373" t="s">
        <v>1038</v>
      </c>
    </row>
    <row r="130" spans="1:1" x14ac:dyDescent="0.25">
      <c r="A130" s="373" t="s">
        <v>1038</v>
      </c>
    </row>
    <row r="131" spans="1:1" x14ac:dyDescent="0.25">
      <c r="A131" s="373" t="s">
        <v>1038</v>
      </c>
    </row>
    <row r="132" spans="1:1" x14ac:dyDescent="0.25">
      <c r="A132" s="373" t="s">
        <v>1038</v>
      </c>
    </row>
    <row r="133" spans="1:1" x14ac:dyDescent="0.25">
      <c r="A133" s="373" t="s">
        <v>1038</v>
      </c>
    </row>
    <row r="134" spans="1:1" x14ac:dyDescent="0.25">
      <c r="A134" s="373" t="s">
        <v>1038</v>
      </c>
    </row>
    <row r="135" spans="1:1" x14ac:dyDescent="0.25">
      <c r="A135" s="373" t="s">
        <v>1038</v>
      </c>
    </row>
    <row r="136" spans="1:1" x14ac:dyDescent="0.25">
      <c r="A136" s="373" t="s">
        <v>1038</v>
      </c>
    </row>
    <row r="137" spans="1:1" x14ac:dyDescent="0.25">
      <c r="A137" s="373" t="s">
        <v>1038</v>
      </c>
    </row>
    <row r="138" spans="1:1" x14ac:dyDescent="0.25">
      <c r="A138" s="373" t="s">
        <v>1038</v>
      </c>
    </row>
    <row r="139" spans="1:1" x14ac:dyDescent="0.25">
      <c r="A139" s="373" t="s">
        <v>1038</v>
      </c>
    </row>
    <row r="140" spans="1:1" x14ac:dyDescent="0.25">
      <c r="A140" s="373" t="s">
        <v>1038</v>
      </c>
    </row>
    <row r="141" spans="1:1" x14ac:dyDescent="0.25">
      <c r="A141" s="373" t="s">
        <v>1038</v>
      </c>
    </row>
    <row r="142" spans="1:1" x14ac:dyDescent="0.25">
      <c r="A142" s="373" t="s">
        <v>1038</v>
      </c>
    </row>
    <row r="143" spans="1:1" x14ac:dyDescent="0.25">
      <c r="A143" s="373" t="s">
        <v>1038</v>
      </c>
    </row>
    <row r="144" spans="1:1" x14ac:dyDescent="0.25">
      <c r="A144" s="373" t="s">
        <v>1038</v>
      </c>
    </row>
    <row r="145" spans="1:1" x14ac:dyDescent="0.25">
      <c r="A145" s="373" t="s">
        <v>1038</v>
      </c>
    </row>
    <row r="146" spans="1:1" x14ac:dyDescent="0.25">
      <c r="A146" s="373" t="s">
        <v>1038</v>
      </c>
    </row>
    <row r="147" spans="1:1" x14ac:dyDescent="0.25">
      <c r="A147" s="373" t="s">
        <v>1038</v>
      </c>
    </row>
    <row r="148" spans="1:1" x14ac:dyDescent="0.25">
      <c r="A148" s="373" t="s">
        <v>1038</v>
      </c>
    </row>
    <row r="149" spans="1:1" x14ac:dyDescent="0.25">
      <c r="A149" s="373" t="s">
        <v>1038</v>
      </c>
    </row>
    <row r="150" spans="1:1" x14ac:dyDescent="0.25">
      <c r="A150" s="373" t="s">
        <v>1038</v>
      </c>
    </row>
    <row r="151" spans="1:1" x14ac:dyDescent="0.25">
      <c r="A151" s="373" t="s">
        <v>1038</v>
      </c>
    </row>
    <row r="152" spans="1:1" x14ac:dyDescent="0.25">
      <c r="A152" s="373" t="s">
        <v>1038</v>
      </c>
    </row>
    <row r="153" spans="1:1" x14ac:dyDescent="0.25">
      <c r="A153" s="373" t="s">
        <v>1038</v>
      </c>
    </row>
    <row r="154" spans="1:1" x14ac:dyDescent="0.25">
      <c r="A154" s="373" t="s">
        <v>1038</v>
      </c>
    </row>
    <row r="155" spans="1:1" x14ac:dyDescent="0.25">
      <c r="A155" s="373" t="s">
        <v>1038</v>
      </c>
    </row>
    <row r="156" spans="1:1" x14ac:dyDescent="0.25">
      <c r="A156" s="373" t="s">
        <v>1038</v>
      </c>
    </row>
    <row r="157" spans="1:1" x14ac:dyDescent="0.25">
      <c r="A157" s="373" t="s">
        <v>1038</v>
      </c>
    </row>
    <row r="158" spans="1:1" x14ac:dyDescent="0.25">
      <c r="A158" s="373" t="s">
        <v>1038</v>
      </c>
    </row>
    <row r="159" spans="1:1" x14ac:dyDescent="0.25">
      <c r="A159" s="373" t="s">
        <v>1038</v>
      </c>
    </row>
    <row r="160" spans="1:1" x14ac:dyDescent="0.25">
      <c r="A160" s="373" t="s">
        <v>1038</v>
      </c>
    </row>
    <row r="161" spans="1:1" x14ac:dyDescent="0.25">
      <c r="A161" s="373" t="s">
        <v>1038</v>
      </c>
    </row>
    <row r="162" spans="1:1" x14ac:dyDescent="0.25">
      <c r="A162" s="373" t="s">
        <v>1038</v>
      </c>
    </row>
    <row r="163" spans="1:1" x14ac:dyDescent="0.25">
      <c r="A163" s="373" t="s">
        <v>1038</v>
      </c>
    </row>
    <row r="164" spans="1:1" x14ac:dyDescent="0.25">
      <c r="A164" s="373" t="s">
        <v>1038</v>
      </c>
    </row>
    <row r="165" spans="1:1" x14ac:dyDescent="0.25">
      <c r="A165" s="373" t="s">
        <v>1038</v>
      </c>
    </row>
    <row r="166" spans="1:1" x14ac:dyDescent="0.25">
      <c r="A166" s="373" t="s">
        <v>1038</v>
      </c>
    </row>
    <row r="167" spans="1:1" x14ac:dyDescent="0.25">
      <c r="A167" s="373" t="s">
        <v>1038</v>
      </c>
    </row>
    <row r="168" spans="1:1" x14ac:dyDescent="0.25">
      <c r="A168" s="373" t="s">
        <v>1038</v>
      </c>
    </row>
    <row r="169" spans="1:1" x14ac:dyDescent="0.25">
      <c r="A169" s="373" t="s">
        <v>1038</v>
      </c>
    </row>
    <row r="170" spans="1:1" x14ac:dyDescent="0.25">
      <c r="A170" s="373" t="s">
        <v>1038</v>
      </c>
    </row>
    <row r="171" spans="1:1" x14ac:dyDescent="0.25">
      <c r="A171" s="373" t="s">
        <v>1038</v>
      </c>
    </row>
    <row r="172" spans="1:1" x14ac:dyDescent="0.25">
      <c r="A172" s="373" t="s">
        <v>1038</v>
      </c>
    </row>
    <row r="173" spans="1:1" x14ac:dyDescent="0.25">
      <c r="A173" s="373" t="s">
        <v>1038</v>
      </c>
    </row>
    <row r="174" spans="1:1" x14ac:dyDescent="0.25">
      <c r="A174" s="373" t="s">
        <v>1038</v>
      </c>
    </row>
    <row r="175" spans="1:1" x14ac:dyDescent="0.25">
      <c r="A175" s="373" t="s">
        <v>1038</v>
      </c>
    </row>
    <row r="176" spans="1:1" x14ac:dyDescent="0.25">
      <c r="A176" s="373" t="s">
        <v>1038</v>
      </c>
    </row>
    <row r="177" spans="1:1" x14ac:dyDescent="0.25">
      <c r="A177" s="373" t="s">
        <v>1038</v>
      </c>
    </row>
    <row r="178" spans="1:1" x14ac:dyDescent="0.25">
      <c r="A178" s="373" t="s">
        <v>1038</v>
      </c>
    </row>
    <row r="179" spans="1:1" x14ac:dyDescent="0.25">
      <c r="A179" s="373" t="s">
        <v>1038</v>
      </c>
    </row>
    <row r="180" spans="1:1" x14ac:dyDescent="0.25">
      <c r="A180" s="373" t="s">
        <v>1038</v>
      </c>
    </row>
    <row r="181" spans="1:1" x14ac:dyDescent="0.25">
      <c r="A181" s="373" t="s">
        <v>1038</v>
      </c>
    </row>
    <row r="182" spans="1:1" x14ac:dyDescent="0.25">
      <c r="A182" s="373" t="s">
        <v>1038</v>
      </c>
    </row>
    <row r="183" spans="1:1" x14ac:dyDescent="0.25">
      <c r="A183" s="373" t="s">
        <v>1038</v>
      </c>
    </row>
    <row r="184" spans="1:1" x14ac:dyDescent="0.25">
      <c r="A184" s="373" t="s">
        <v>1038</v>
      </c>
    </row>
    <row r="185" spans="1:1" x14ac:dyDescent="0.25">
      <c r="A185" s="373" t="s">
        <v>1038</v>
      </c>
    </row>
    <row r="186" spans="1:1" x14ac:dyDescent="0.25">
      <c r="A186" s="373" t="s">
        <v>1038</v>
      </c>
    </row>
    <row r="187" spans="1:1" x14ac:dyDescent="0.25">
      <c r="A187" s="373" t="s">
        <v>1038</v>
      </c>
    </row>
    <row r="188" spans="1:1" x14ac:dyDescent="0.25">
      <c r="A188" s="373" t="s">
        <v>1038</v>
      </c>
    </row>
    <row r="189" spans="1:1" x14ac:dyDescent="0.25">
      <c r="A189" s="373" t="s">
        <v>1038</v>
      </c>
    </row>
    <row r="190" spans="1:1" x14ac:dyDescent="0.25">
      <c r="A190" s="373" t="s">
        <v>1038</v>
      </c>
    </row>
    <row r="191" spans="1:1" x14ac:dyDescent="0.25">
      <c r="A191" s="373" t="s">
        <v>1038</v>
      </c>
    </row>
    <row r="192" spans="1:1" x14ac:dyDescent="0.25">
      <c r="A192" s="373" t="s">
        <v>1038</v>
      </c>
    </row>
    <row r="193" spans="1:1" x14ac:dyDescent="0.25">
      <c r="A193" s="373" t="s">
        <v>1038</v>
      </c>
    </row>
    <row r="194" spans="1:1" x14ac:dyDescent="0.25">
      <c r="A194" s="373" t="s">
        <v>1038</v>
      </c>
    </row>
    <row r="195" spans="1:1" x14ac:dyDescent="0.25">
      <c r="A195" s="373" t="s">
        <v>1038</v>
      </c>
    </row>
    <row r="196" spans="1:1" x14ac:dyDescent="0.25">
      <c r="A196" s="373" t="s">
        <v>1038</v>
      </c>
    </row>
    <row r="197" spans="1:1" x14ac:dyDescent="0.25">
      <c r="A197" s="373" t="s">
        <v>1038</v>
      </c>
    </row>
    <row r="198" spans="1:1" x14ac:dyDescent="0.25">
      <c r="A198" s="373" t="s">
        <v>1038</v>
      </c>
    </row>
    <row r="199" spans="1:1" x14ac:dyDescent="0.25">
      <c r="A199" s="373" t="s">
        <v>1038</v>
      </c>
    </row>
    <row r="200" spans="1:1" x14ac:dyDescent="0.25">
      <c r="A200" s="373" t="s">
        <v>1038</v>
      </c>
    </row>
    <row r="201" spans="1:1" x14ac:dyDescent="0.25">
      <c r="A201" s="373" t="s">
        <v>1038</v>
      </c>
    </row>
    <row r="202" spans="1:1" x14ac:dyDescent="0.25">
      <c r="A202" s="373" t="s">
        <v>1038</v>
      </c>
    </row>
    <row r="203" spans="1:1" x14ac:dyDescent="0.25">
      <c r="A203" s="373" t="s">
        <v>1038</v>
      </c>
    </row>
  </sheetData>
  <sheetProtection algorithmName="SHA-512" hashValue="zRzGKUw3JL0bAsZJ3NHwrGDHCbIU6C2gXSQK2Ziujp6q0qW/hhvjjUz0oKiUTJgF5YbMGJiCzi00D3xbTLiwuA==" saltValue="2CCeMYtoC6PGk4k0vT1Vtw==" spinCount="100000" sheet="1" objects="1" scenarios="1"/>
  <dataConsolidate/>
  <customSheetViews>
    <customSheetView guid="{75D6F8CE-A4F4-4FDD-BA92-7996F9E19FA9}">
      <selection activeCell="A16" sqref="A16:A17"/>
      <pageMargins left="0.7" right="0.7" top="0.75" bottom="0.75" header="0.3" footer="0.3"/>
      <pageSetup orientation="portrait" r:id="rId1"/>
    </customSheetView>
  </customSheetViews>
  <mergeCells count="23">
    <mergeCell ref="V8:V10"/>
    <mergeCell ref="L9:L10"/>
    <mergeCell ref="B5:S5"/>
    <mergeCell ref="B6:S6"/>
    <mergeCell ref="B8:B10"/>
    <mergeCell ref="C8:C10"/>
    <mergeCell ref="D8:N8"/>
    <mergeCell ref="O8:O10"/>
    <mergeCell ref="P8:Q8"/>
    <mergeCell ref="R8:S8"/>
    <mergeCell ref="D9:D10"/>
    <mergeCell ref="E9:E10"/>
    <mergeCell ref="G9:G10"/>
    <mergeCell ref="H9:H10"/>
    <mergeCell ref="I9:I10"/>
    <mergeCell ref="J9:J10"/>
    <mergeCell ref="F9:F10"/>
    <mergeCell ref="S9:S10"/>
    <mergeCell ref="K9:K10"/>
    <mergeCell ref="M9:N9"/>
    <mergeCell ref="P9:P10"/>
    <mergeCell ref="Q9:Q10"/>
    <mergeCell ref="R9:R10"/>
  </mergeCells>
  <dataValidations count="7">
    <dataValidation allowBlank="1" sqref="D84:O118 P50:S118 P15:S16 H12:N12 P12:S13 D15:N16 D12:D13 E12:F12 G12:G13 L13 O13" xr:uid="{00000000-0002-0000-0600-000000000000}"/>
    <dataValidation allowBlank="1" showInputMessage="1" prompt="Enter hours per year the area is occupied, and HVAC system functions in the “Occupied” Mode" sqref="O8:O12 O15:O16" xr:uid="{00000000-0002-0000-0600-000001000000}"/>
    <dataValidation type="list" allowBlank="1" showInputMessage="1" showErrorMessage="1" sqref="B50:B118 B16:B48" xr:uid="{00000000-0002-0000-0600-000002000000}">
      <formula1>BuildingIDLookup</formula1>
    </dataValidation>
    <dataValidation type="decimal" allowBlank="1" showInputMessage="1" showErrorMessage="1" sqref="M10:N10" xr:uid="{00000000-0002-0000-0600-000003000000}">
      <formula1>0</formula1>
      <formula2>100000</formula2>
    </dataValidation>
    <dataValidation type="whole" allowBlank="1" showErrorMessage="1" error="Maximum of 8,760 hours allowed!" sqref="D50:O83" xr:uid="{00000000-0002-0000-0600-000004000000}">
      <formula1>0</formula1>
      <formula2>8760</formula2>
    </dataValidation>
    <dataValidation type="whole" allowBlank="1" showInputMessage="1" showErrorMessage="1" error="Maximum of 8,760 hours." sqref="D17:N48 D14:S14 E13:F13 M13:N13 H13:K13" xr:uid="{00000000-0002-0000-0600-000005000000}">
      <formula1>0</formula1>
      <formula2>8760</formula2>
    </dataValidation>
    <dataValidation allowBlank="1" showInputMessage="1" showErrorMessage="1" error="Maximum of 8,760 hours." sqref="O17:S48" xr:uid="{00000000-0002-0000-0600-000006000000}"/>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6263" r:id="rId5" name="Button 7">
              <controlPr defaultSize="0" print="0" autoFill="0" autoPict="0" macro="[0]!addA">
                <anchor moveWithCells="1">
                  <from>
                    <xdr:col>1</xdr:col>
                    <xdr:colOff>0</xdr:colOff>
                    <xdr:row>119</xdr:row>
                    <xdr:rowOff>0</xdr:rowOff>
                  </from>
                  <to>
                    <xdr:col>1</xdr:col>
                    <xdr:colOff>1386840</xdr:colOff>
                    <xdr:row>120</xdr:row>
                    <xdr:rowOff>91440</xdr:rowOff>
                  </to>
                </anchor>
              </controlPr>
            </control>
          </mc:Choice>
        </mc:AlternateContent>
        <mc:AlternateContent xmlns:mc="http://schemas.openxmlformats.org/markup-compatibility/2006">
          <mc:Choice Requires="x14">
            <control shapeId="96265" r:id="rId6" name="Button 9">
              <controlPr defaultSize="0" print="0" autoFill="0" autoPict="0" macro="[0]!DeleteSome">
                <anchor moveWithCells="1">
                  <from>
                    <xdr:col>2</xdr:col>
                    <xdr:colOff>403860</xdr:colOff>
                    <xdr:row>119</xdr:row>
                    <xdr:rowOff>0</xdr:rowOff>
                  </from>
                  <to>
                    <xdr:col>2</xdr:col>
                    <xdr:colOff>1737360</xdr:colOff>
                    <xdr:row>120</xdr:row>
                    <xdr:rowOff>91440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theme="6" tint="0.39997558519241921"/>
  </sheetPr>
  <dimension ref="A1:AE536"/>
  <sheetViews>
    <sheetView showGridLines="0" zoomScale="90" zoomScaleNormal="90" workbookViewId="0">
      <selection activeCell="C8" sqref="C8"/>
    </sheetView>
  </sheetViews>
  <sheetFormatPr defaultColWidth="9" defaultRowHeight="13.8" x14ac:dyDescent="0.25"/>
  <cols>
    <col min="1" max="1" width="1.796875" style="354" customWidth="1"/>
    <col min="2" max="2" width="32.69921875" style="354" customWidth="1"/>
    <col min="3" max="26" width="7.69921875" style="354" customWidth="1"/>
    <col min="27" max="28" width="9.69921875" style="354" customWidth="1"/>
    <col min="29" max="30" width="2.69921875" style="354" customWidth="1"/>
    <col min="31" max="31" width="50.69921875" style="2139" customWidth="1"/>
    <col min="32" max="16384" width="9" style="354"/>
  </cols>
  <sheetData>
    <row r="1" spans="1:31" x14ac:dyDescent="0.25">
      <c r="A1" s="331"/>
      <c r="B1" s="359"/>
      <c r="C1" s="359"/>
      <c r="D1" s="359"/>
      <c r="E1" s="359"/>
      <c r="F1" s="360"/>
      <c r="G1" s="360"/>
      <c r="H1" s="359"/>
      <c r="I1" s="359"/>
      <c r="J1" s="359"/>
      <c r="K1" s="359"/>
      <c r="L1" s="359"/>
      <c r="M1" s="359"/>
      <c r="N1" s="359"/>
      <c r="O1" s="359"/>
      <c r="P1" s="359"/>
      <c r="Q1" s="359"/>
      <c r="R1" s="360"/>
      <c r="S1" s="359"/>
      <c r="T1" s="359"/>
      <c r="U1" s="359"/>
      <c r="V1" s="359"/>
      <c r="W1" s="359"/>
      <c r="X1" s="359"/>
      <c r="Y1" s="359"/>
      <c r="Z1" s="359"/>
      <c r="AA1" s="359"/>
      <c r="AB1" s="660"/>
    </row>
    <row r="2" spans="1:31" ht="27" customHeight="1" x14ac:dyDescent="0.25">
      <c r="A2" s="331"/>
      <c r="B2" s="15" t="s">
        <v>1561</v>
      </c>
      <c r="C2" s="15"/>
      <c r="D2" s="15"/>
      <c r="E2" s="15"/>
      <c r="F2" s="15"/>
      <c r="G2" s="15"/>
      <c r="H2" s="15"/>
      <c r="I2" s="15"/>
      <c r="J2" s="15"/>
      <c r="K2" s="15"/>
      <c r="L2" s="15"/>
      <c r="M2" s="15"/>
      <c r="N2" s="15"/>
      <c r="O2" s="15"/>
      <c r="P2" s="15"/>
      <c r="Q2" s="15"/>
      <c r="R2" s="15"/>
      <c r="S2" s="15"/>
      <c r="T2" s="15"/>
      <c r="U2" s="15"/>
      <c r="V2" s="15"/>
      <c r="W2" s="15"/>
      <c r="X2" s="15"/>
      <c r="Y2" s="15"/>
      <c r="Z2" s="15"/>
      <c r="AA2" s="15"/>
      <c r="AB2" s="660"/>
    </row>
    <row r="3" spans="1:31" x14ac:dyDescent="0.25">
      <c r="A3" s="331"/>
      <c r="B3" s="359"/>
      <c r="C3" s="359"/>
      <c r="D3" s="359"/>
      <c r="E3" s="359"/>
      <c r="F3" s="360"/>
      <c r="G3" s="360"/>
      <c r="H3" s="359"/>
      <c r="I3" s="359"/>
      <c r="J3" s="359"/>
      <c r="K3" s="359"/>
      <c r="L3" s="359"/>
      <c r="M3" s="359"/>
      <c r="N3" s="359"/>
      <c r="O3" s="359"/>
      <c r="P3" s="359"/>
      <c r="Q3" s="359"/>
      <c r="R3" s="360"/>
      <c r="S3" s="359"/>
      <c r="T3" s="359"/>
      <c r="U3" s="359"/>
      <c r="V3" s="359"/>
      <c r="W3" s="359"/>
      <c r="X3" s="359"/>
      <c r="Y3" s="359"/>
      <c r="Z3" s="359"/>
      <c r="AA3" s="359"/>
      <c r="AB3" s="660"/>
    </row>
    <row r="4" spans="1:31" s="395" customFormat="1" x14ac:dyDescent="0.25">
      <c r="AE4" s="2140"/>
    </row>
    <row r="5" spans="1:31" s="395" customFormat="1" ht="36.75" customHeight="1" x14ac:dyDescent="0.25">
      <c r="B5" s="3364" t="str">
        <f>CONCATENATE("THIS CALCULATOR IS OPTIONAL FOR USE DETERMIING THE EQUIVALENT FULL LOAD HOUR INFORMATION FOR THE SCHEDULES TAB. THE CALCULATOR IS NOT REQUIRED TO BE COMPLETED OR SUBMITTED.
", IF(proj_RatingSystem="Homes","Default schedules required for LEED-Homes Midrise are shown below for reference. ",IF(ResDwellingUnitsExist="Yes","Default schedules for residential dwelling units are shown below for reference.","")), " Some of the sample schedules from the ASHRAE 90.1-2013 User's Manual are shown below for reference.")</f>
        <v>THIS CALCULATOR IS OPTIONAL FOR USE DETERMIING THE EQUIVALENT FULL LOAD HOUR INFORMATION FOR THE SCHEDULES TAB. THE CALCULATOR IS NOT REQUIRED TO BE COMPLETED OR SUBMITTED.
Default schedules for residential dwelling units are shown below for reference. Some of the sample schedules from the ASHRAE 90.1-2013 User's Manual are shown below for reference.</v>
      </c>
      <c r="C5" s="3365"/>
      <c r="D5" s="3365"/>
      <c r="E5" s="3365"/>
      <c r="F5" s="3365"/>
      <c r="G5" s="3365"/>
      <c r="H5" s="3365"/>
      <c r="I5" s="3365"/>
      <c r="J5" s="3365"/>
      <c r="K5" s="3365"/>
      <c r="L5" s="3365"/>
      <c r="M5" s="3365"/>
      <c r="N5" s="3365"/>
      <c r="O5" s="3365"/>
      <c r="P5" s="3365"/>
      <c r="Q5" s="3365"/>
      <c r="R5" s="3365"/>
      <c r="S5" s="3365"/>
      <c r="T5" s="3365"/>
      <c r="U5" s="3365"/>
      <c r="V5" s="3365"/>
      <c r="W5" s="3365"/>
      <c r="X5" s="3365"/>
      <c r="Y5" s="3365"/>
      <c r="Z5" s="3365"/>
      <c r="AA5" s="661"/>
      <c r="AB5" s="661"/>
      <c r="AE5" s="2140"/>
    </row>
    <row r="6" spans="1:31" s="395" customFormat="1" x14ac:dyDescent="0.25">
      <c r="B6" s="3346"/>
      <c r="C6" s="3366"/>
      <c r="D6" s="3366"/>
      <c r="E6" s="3366"/>
      <c r="F6" s="3366"/>
      <c r="G6" s="3366"/>
      <c r="H6" s="3366"/>
      <c r="I6" s="3366"/>
      <c r="J6" s="3366"/>
      <c r="K6" s="3366"/>
      <c r="L6" s="3366"/>
      <c r="M6" s="3366"/>
      <c r="N6" s="3366"/>
      <c r="O6" s="3366"/>
      <c r="P6" s="3366"/>
      <c r="Q6" s="3366"/>
      <c r="R6" s="3366"/>
      <c r="S6" s="3366"/>
      <c r="T6" s="3366"/>
      <c r="U6" s="3366"/>
      <c r="V6" s="3366"/>
      <c r="W6" s="3366"/>
      <c r="X6" s="3366"/>
      <c r="Y6" s="3366"/>
      <c r="Z6" s="3366"/>
      <c r="AA6" s="3366"/>
      <c r="AB6" s="3366"/>
      <c r="AE6" s="2140"/>
    </row>
    <row r="7" spans="1:31" s="395" customFormat="1" ht="33" customHeight="1" x14ac:dyDescent="0.25">
      <c r="B7" s="1490"/>
      <c r="C7" s="1355" t="s">
        <v>1143</v>
      </c>
      <c r="D7" s="661"/>
      <c r="E7" s="661"/>
      <c r="F7" s="661"/>
      <c r="G7" s="661"/>
      <c r="H7" s="661"/>
      <c r="I7" s="661"/>
      <c r="J7" s="661"/>
      <c r="K7" s="661"/>
      <c r="L7" s="661"/>
      <c r="M7" s="661"/>
      <c r="N7" s="661"/>
      <c r="O7" s="661"/>
      <c r="P7" s="661"/>
      <c r="Q7" s="661"/>
      <c r="R7" s="661"/>
      <c r="S7" s="661"/>
      <c r="T7" s="661"/>
      <c r="U7" s="661"/>
      <c r="V7" s="661"/>
      <c r="W7" s="661"/>
      <c r="X7" s="661"/>
      <c r="Y7" s="661"/>
      <c r="Z7" s="661"/>
      <c r="AA7" s="661"/>
      <c r="AB7" s="661"/>
      <c r="AE7" s="2140"/>
    </row>
    <row r="8" spans="1:31" s="395" customFormat="1" ht="15" customHeight="1" x14ac:dyDescent="0.25">
      <c r="B8" s="1261" t="s">
        <v>1588</v>
      </c>
      <c r="C8" s="1262">
        <v>11</v>
      </c>
      <c r="D8" s="662"/>
      <c r="E8" s="662"/>
      <c r="F8" s="662"/>
      <c r="G8" s="662"/>
      <c r="H8" s="662"/>
      <c r="I8" s="662"/>
      <c r="J8" s="662"/>
      <c r="K8" s="662"/>
      <c r="L8" s="662"/>
      <c r="M8" s="662"/>
      <c r="N8" s="662"/>
      <c r="O8" s="662"/>
      <c r="P8" s="662"/>
      <c r="Q8" s="662"/>
      <c r="R8" s="662"/>
      <c r="S8" s="662"/>
      <c r="T8" s="662"/>
      <c r="U8" s="662"/>
      <c r="V8" s="662"/>
      <c r="W8" s="662"/>
      <c r="X8" s="662"/>
      <c r="Y8" s="662"/>
      <c r="Z8" s="662"/>
      <c r="AA8" s="663"/>
      <c r="AB8" s="664"/>
      <c r="AE8" s="2140"/>
    </row>
    <row r="9" spans="1:31" s="395" customFormat="1" ht="15" customHeight="1" x14ac:dyDescent="0.25">
      <c r="B9" s="1261" t="s">
        <v>1144</v>
      </c>
      <c r="C9" s="2047">
        <v>50</v>
      </c>
      <c r="D9" s="661"/>
      <c r="E9" s="661"/>
      <c r="F9" s="661"/>
      <c r="G9" s="661"/>
      <c r="H9" s="661"/>
      <c r="I9" s="661"/>
      <c r="J9" s="661"/>
      <c r="K9" s="661"/>
      <c r="L9" s="661"/>
      <c r="M9" s="661"/>
      <c r="N9" s="661"/>
      <c r="O9" s="661"/>
      <c r="P9" s="661"/>
      <c r="Q9" s="661"/>
      <c r="R9" s="661"/>
      <c r="S9" s="661"/>
      <c r="T9" s="661"/>
      <c r="U9" s="661"/>
      <c r="V9" s="661"/>
      <c r="W9" s="661"/>
      <c r="X9" s="661"/>
      <c r="Y9" s="661"/>
      <c r="Z9" s="661"/>
      <c r="AA9" s="663"/>
      <c r="AB9" s="664"/>
      <c r="AE9" s="2140"/>
    </row>
    <row r="10" spans="1:31" s="395" customFormat="1" ht="15" customHeight="1" x14ac:dyDescent="0.25">
      <c r="B10" s="1261" t="s">
        <v>1145</v>
      </c>
      <c r="C10" s="2047">
        <v>50</v>
      </c>
      <c r="D10" s="661"/>
      <c r="E10" s="661"/>
      <c r="F10" s="661"/>
      <c r="G10" s="661"/>
      <c r="H10" s="661"/>
      <c r="I10" s="661"/>
      <c r="J10" s="661"/>
      <c r="K10" s="661"/>
      <c r="L10" s="661"/>
      <c r="M10" s="661"/>
      <c r="N10" s="661"/>
      <c r="O10" s="661"/>
      <c r="P10" s="661"/>
      <c r="Q10" s="661"/>
      <c r="R10" s="661"/>
      <c r="S10" s="661"/>
      <c r="T10" s="661"/>
      <c r="U10" s="661"/>
      <c r="V10" s="661"/>
      <c r="W10" s="661"/>
      <c r="X10" s="661"/>
      <c r="Y10" s="661"/>
      <c r="Z10" s="661"/>
      <c r="AA10" s="663"/>
      <c r="AB10" s="664"/>
      <c r="AE10" s="2140"/>
    </row>
    <row r="11" spans="1:31" s="395" customFormat="1" ht="15" customHeight="1" x14ac:dyDescent="0.25">
      <c r="B11" s="1261" t="s">
        <v>1146</v>
      </c>
      <c r="C11" s="2047">
        <v>50</v>
      </c>
      <c r="D11" s="661"/>
      <c r="E11" s="661"/>
      <c r="F11" s="661"/>
      <c r="G11" s="661"/>
      <c r="H11" s="661"/>
      <c r="I11" s="661"/>
      <c r="J11" s="661"/>
      <c r="K11" s="661"/>
      <c r="L11" s="661"/>
      <c r="M11" s="661"/>
      <c r="N11" s="661"/>
      <c r="O11" s="661"/>
      <c r="P11" s="661"/>
      <c r="Q11" s="661"/>
      <c r="R11" s="661"/>
      <c r="S11" s="661"/>
      <c r="T11" s="661"/>
      <c r="U11" s="661"/>
      <c r="V11" s="661"/>
      <c r="W11" s="661"/>
      <c r="X11" s="661"/>
      <c r="Y11" s="661"/>
      <c r="Z11" s="661"/>
      <c r="AA11" s="663"/>
      <c r="AB11" s="664"/>
      <c r="AE11" s="2140"/>
    </row>
    <row r="12" spans="1:31" s="395" customFormat="1" ht="15" customHeight="1" x14ac:dyDescent="0.25">
      <c r="B12" s="1261" t="s">
        <v>1147</v>
      </c>
      <c r="C12" s="2047">
        <v>50</v>
      </c>
      <c r="D12" s="661"/>
      <c r="E12" s="661"/>
      <c r="F12" s="661"/>
      <c r="G12" s="661"/>
      <c r="H12" s="661"/>
      <c r="I12" s="661"/>
      <c r="J12" s="661"/>
      <c r="K12" s="661"/>
      <c r="L12" s="661"/>
      <c r="M12" s="661"/>
      <c r="N12" s="661"/>
      <c r="O12" s="661"/>
      <c r="P12" s="661"/>
      <c r="Q12" s="661"/>
      <c r="R12" s="661"/>
      <c r="S12" s="661"/>
      <c r="T12" s="661"/>
      <c r="U12" s="661"/>
      <c r="V12" s="661"/>
      <c r="W12" s="661"/>
      <c r="X12" s="661"/>
      <c r="Y12" s="661"/>
      <c r="Z12" s="661"/>
      <c r="AA12" s="663"/>
      <c r="AB12" s="664"/>
      <c r="AE12" s="2140"/>
    </row>
    <row r="13" spans="1:31" s="395" customFormat="1" ht="15" customHeight="1" x14ac:dyDescent="0.25">
      <c r="B13" s="1261" t="s">
        <v>1148</v>
      </c>
      <c r="C13" s="2047">
        <v>50</v>
      </c>
      <c r="D13" s="661"/>
      <c r="E13" s="661"/>
      <c r="F13" s="661"/>
      <c r="G13" s="661"/>
      <c r="H13" s="661"/>
      <c r="I13" s="661"/>
      <c r="J13" s="661"/>
      <c r="K13" s="661"/>
      <c r="L13" s="661"/>
      <c r="M13" s="661"/>
      <c r="N13" s="661"/>
      <c r="O13" s="661"/>
      <c r="P13" s="661"/>
      <c r="Q13" s="661"/>
      <c r="R13" s="661"/>
      <c r="S13" s="661"/>
      <c r="T13" s="661"/>
      <c r="U13" s="661"/>
      <c r="V13" s="661"/>
      <c r="W13" s="661"/>
      <c r="X13" s="661"/>
      <c r="Y13" s="661"/>
      <c r="Z13" s="661"/>
      <c r="AA13" s="663"/>
      <c r="AB13" s="664"/>
      <c r="AE13" s="2140"/>
    </row>
    <row r="14" spans="1:31" s="395" customFormat="1" ht="15" customHeight="1" x14ac:dyDescent="0.25">
      <c r="B14" s="1261" t="s">
        <v>1149</v>
      </c>
      <c r="C14" s="2047">
        <v>52</v>
      </c>
      <c r="D14" s="661"/>
      <c r="E14" s="661"/>
      <c r="F14" s="661"/>
      <c r="G14" s="661"/>
      <c r="H14" s="661"/>
      <c r="I14" s="661"/>
      <c r="J14" s="661"/>
      <c r="K14" s="661"/>
      <c r="L14" s="661"/>
      <c r="M14" s="661"/>
      <c r="N14" s="661"/>
      <c r="O14" s="661"/>
      <c r="P14" s="661"/>
      <c r="Q14" s="661"/>
      <c r="R14" s="661"/>
      <c r="S14" s="661"/>
      <c r="T14" s="661"/>
      <c r="U14" s="661"/>
      <c r="V14" s="661"/>
      <c r="W14" s="661"/>
      <c r="X14" s="661"/>
      <c r="Y14" s="661"/>
      <c r="Z14" s="661"/>
      <c r="AA14" s="663"/>
      <c r="AB14" s="664"/>
      <c r="AE14" s="2140"/>
    </row>
    <row r="15" spans="1:31" s="395" customFormat="1" ht="15" customHeight="1" x14ac:dyDescent="0.25">
      <c r="B15" s="1261" t="s">
        <v>1150</v>
      </c>
      <c r="C15" s="2047">
        <v>52</v>
      </c>
      <c r="D15" s="661"/>
      <c r="E15" s="661"/>
      <c r="F15" s="661"/>
      <c r="G15" s="661"/>
      <c r="H15" s="661"/>
      <c r="I15" s="661"/>
      <c r="J15" s="661"/>
      <c r="K15" s="661"/>
      <c r="L15" s="661"/>
      <c r="M15" s="661"/>
      <c r="N15" s="661"/>
      <c r="O15" s="661"/>
      <c r="P15" s="661"/>
      <c r="Q15" s="661"/>
      <c r="R15" s="661"/>
      <c r="S15" s="661"/>
      <c r="T15" s="661"/>
      <c r="U15" s="661"/>
      <c r="V15" s="661"/>
      <c r="W15" s="661"/>
      <c r="X15" s="661"/>
      <c r="Y15" s="661"/>
      <c r="Z15" s="661"/>
      <c r="AA15" s="663"/>
      <c r="AB15" s="664"/>
      <c r="AE15" s="2140"/>
    </row>
    <row r="16" spans="1:31" s="395" customFormat="1" ht="21" customHeight="1" x14ac:dyDescent="0.25">
      <c r="B16" s="1488" t="s">
        <v>1589</v>
      </c>
      <c r="C16" s="665">
        <f>SUM(C8:C15)</f>
        <v>365</v>
      </c>
      <c r="D16" s="661"/>
      <c r="E16" s="661"/>
      <c r="F16" s="661"/>
      <c r="G16" s="661"/>
      <c r="H16" s="661"/>
      <c r="I16" s="661"/>
      <c r="J16" s="661"/>
      <c r="K16" s="661"/>
      <c r="L16" s="661"/>
      <c r="M16" s="661"/>
      <c r="N16" s="661"/>
      <c r="O16" s="661"/>
      <c r="P16" s="661"/>
      <c r="Q16" s="661"/>
      <c r="R16" s="661"/>
      <c r="S16" s="661"/>
      <c r="T16" s="661"/>
      <c r="U16" s="661"/>
      <c r="V16" s="661"/>
      <c r="W16" s="661"/>
      <c r="X16" s="661"/>
      <c r="Y16" s="661"/>
      <c r="Z16" s="661"/>
      <c r="AA16" s="663"/>
      <c r="AB16" s="664"/>
      <c r="AE16" s="2140"/>
    </row>
    <row r="17" spans="2:31" s="395" customFormat="1" x14ac:dyDescent="0.25">
      <c r="B17" s="661"/>
      <c r="C17" s="666"/>
      <c r="D17" s="661"/>
      <c r="E17" s="661"/>
      <c r="F17" s="661"/>
      <c r="G17" s="661"/>
      <c r="H17" s="661"/>
      <c r="I17" s="661"/>
      <c r="J17" s="661"/>
      <c r="K17" s="661"/>
      <c r="L17" s="661"/>
      <c r="M17" s="661"/>
      <c r="N17" s="661"/>
      <c r="O17" s="661"/>
      <c r="P17" s="661"/>
      <c r="Q17" s="661"/>
      <c r="R17" s="661"/>
      <c r="S17" s="661"/>
      <c r="T17" s="661"/>
      <c r="U17" s="661"/>
      <c r="V17" s="661"/>
      <c r="W17" s="661"/>
      <c r="X17" s="661"/>
      <c r="Y17" s="661"/>
      <c r="Z17" s="661"/>
      <c r="AA17" s="663"/>
      <c r="AB17" s="664"/>
      <c r="AE17" s="2140"/>
    </row>
    <row r="18" spans="2:31" s="395" customFormat="1" ht="15.6" x14ac:dyDescent="0.25">
      <c r="B18" s="668" t="s">
        <v>1584</v>
      </c>
      <c r="C18" s="666"/>
      <c r="D18" s="661"/>
      <c r="E18" s="661"/>
      <c r="F18" s="661"/>
      <c r="G18" s="661"/>
      <c r="H18" s="661"/>
      <c r="I18" s="661"/>
      <c r="J18" s="661"/>
      <c r="K18" s="661"/>
      <c r="L18" s="661"/>
      <c r="M18" s="661"/>
      <c r="N18" s="661"/>
      <c r="O18" s="661"/>
      <c r="P18" s="661"/>
      <c r="Q18" s="661"/>
      <c r="R18" s="661"/>
      <c r="S18" s="661"/>
      <c r="T18" s="661"/>
      <c r="U18" s="661"/>
      <c r="V18" s="661"/>
      <c r="W18" s="661"/>
      <c r="X18" s="661"/>
      <c r="Y18" s="661"/>
      <c r="Z18" s="661"/>
      <c r="AA18" s="663"/>
      <c r="AB18" s="664"/>
      <c r="AE18" s="2140"/>
    </row>
    <row r="19" spans="2:31" s="395" customFormat="1" x14ac:dyDescent="0.25">
      <c r="B19" s="661" t="s">
        <v>1151</v>
      </c>
      <c r="C19" s="661"/>
      <c r="D19" s="661"/>
      <c r="E19" s="661"/>
      <c r="F19" s="661"/>
      <c r="G19" s="661"/>
      <c r="H19" s="661"/>
      <c r="I19" s="661"/>
      <c r="J19" s="661"/>
      <c r="K19" s="661"/>
      <c r="L19" s="661"/>
      <c r="M19" s="661"/>
      <c r="N19" s="661"/>
      <c r="O19" s="661"/>
      <c r="P19" s="661"/>
      <c r="Q19" s="661"/>
      <c r="R19" s="661"/>
      <c r="S19" s="661"/>
      <c r="T19" s="661"/>
      <c r="U19" s="661"/>
      <c r="V19" s="661"/>
      <c r="W19" s="661"/>
      <c r="X19" s="661"/>
      <c r="Y19" s="661"/>
      <c r="Z19" s="661"/>
      <c r="AA19" s="661"/>
      <c r="AB19" s="661"/>
      <c r="AE19" s="2140"/>
    </row>
    <row r="20" spans="2:31" s="395" customFormat="1" x14ac:dyDescent="0.25">
      <c r="B20" s="661"/>
      <c r="C20" s="661"/>
      <c r="D20" s="661"/>
      <c r="E20" s="661"/>
      <c r="F20" s="661"/>
      <c r="G20" s="661"/>
      <c r="H20" s="661"/>
      <c r="I20" s="661"/>
      <c r="J20" s="661"/>
      <c r="K20" s="661"/>
      <c r="L20" s="661"/>
      <c r="M20" s="661"/>
      <c r="N20" s="661"/>
      <c r="O20" s="661"/>
      <c r="P20" s="661"/>
      <c r="Q20" s="661"/>
      <c r="R20" s="661"/>
      <c r="S20" s="661"/>
      <c r="T20" s="661"/>
      <c r="U20" s="661"/>
      <c r="V20" s="661"/>
      <c r="W20" s="661"/>
      <c r="X20" s="661"/>
      <c r="Y20" s="661"/>
      <c r="Z20" s="661"/>
      <c r="AA20" s="661"/>
      <c r="AB20" s="661"/>
      <c r="AE20" s="2140"/>
    </row>
    <row r="21" spans="2:31" s="395" customFormat="1" ht="15" customHeight="1" x14ac:dyDescent="0.25">
      <c r="B21" s="661" t="s">
        <v>1152</v>
      </c>
      <c r="C21" s="3362"/>
      <c r="D21" s="3362"/>
      <c r="E21" s="3362"/>
      <c r="F21" s="3362"/>
      <c r="G21" s="3362"/>
      <c r="H21" s="3362"/>
      <c r="I21" s="3362"/>
      <c r="J21" s="3362"/>
      <c r="K21" s="3362"/>
      <c r="L21" s="3362"/>
      <c r="M21" s="3362"/>
      <c r="N21" s="3362"/>
      <c r="O21" s="3362"/>
      <c r="P21" s="669"/>
      <c r="Q21" s="670"/>
      <c r="R21" s="670"/>
      <c r="S21" s="670"/>
      <c r="T21" s="670"/>
      <c r="U21" s="670"/>
      <c r="V21" s="670"/>
      <c r="W21" s="670"/>
      <c r="X21" s="670"/>
      <c r="Y21" s="670"/>
      <c r="Z21" s="670"/>
      <c r="AA21" s="670"/>
      <c r="AB21" s="670"/>
      <c r="AE21" s="2140"/>
    </row>
    <row r="22" spans="2:31" s="395" customFormat="1" x14ac:dyDescent="0.25">
      <c r="B22" s="661"/>
      <c r="C22" s="661"/>
      <c r="D22" s="661"/>
      <c r="E22" s="661"/>
      <c r="F22" s="661"/>
      <c r="G22" s="661"/>
      <c r="H22" s="661"/>
      <c r="I22" s="661"/>
      <c r="J22" s="661"/>
      <c r="K22" s="661"/>
      <c r="L22" s="661"/>
      <c r="M22" s="661"/>
      <c r="N22" s="661"/>
      <c r="O22" s="661"/>
      <c r="P22" s="661"/>
      <c r="Q22" s="661"/>
      <c r="R22" s="661"/>
      <c r="S22" s="661"/>
      <c r="T22" s="661"/>
      <c r="U22" s="661"/>
      <c r="V22" s="661"/>
      <c r="W22" s="661"/>
      <c r="X22" s="661"/>
      <c r="Y22" s="661"/>
      <c r="Z22" s="661"/>
      <c r="AA22" s="661"/>
      <c r="AB22" s="661"/>
      <c r="AE22" s="2140"/>
    </row>
    <row r="23" spans="2:31" s="1608" customFormat="1" ht="21" customHeight="1" x14ac:dyDescent="0.25">
      <c r="B23" s="1356"/>
      <c r="C23" s="1357" t="s">
        <v>1153</v>
      </c>
      <c r="D23" s="1356" t="s">
        <v>1154</v>
      </c>
      <c r="E23" s="1356" t="s">
        <v>1155</v>
      </c>
      <c r="F23" s="1356" t="s">
        <v>1156</v>
      </c>
      <c r="G23" s="1356" t="s">
        <v>1157</v>
      </c>
      <c r="H23" s="1356" t="s">
        <v>1158</v>
      </c>
      <c r="I23" s="1356" t="s">
        <v>1159</v>
      </c>
      <c r="J23" s="1356" t="s">
        <v>1160</v>
      </c>
      <c r="K23" s="1356" t="s">
        <v>1161</v>
      </c>
      <c r="L23" s="1356" t="s">
        <v>1162</v>
      </c>
      <c r="M23" s="1356" t="s">
        <v>1163</v>
      </c>
      <c r="N23" s="1356" t="s">
        <v>1164</v>
      </c>
      <c r="O23" s="1356" t="s">
        <v>1165</v>
      </c>
      <c r="P23" s="1356" t="s">
        <v>1166</v>
      </c>
      <c r="Q23" s="1356" t="s">
        <v>1167</v>
      </c>
      <c r="R23" s="1356" t="s">
        <v>1168</v>
      </c>
      <c r="S23" s="1356" t="s">
        <v>1169</v>
      </c>
      <c r="T23" s="1356" t="s">
        <v>1170</v>
      </c>
      <c r="U23" s="1356" t="s">
        <v>1171</v>
      </c>
      <c r="V23" s="1356" t="s">
        <v>1172</v>
      </c>
      <c r="W23" s="1356" t="s">
        <v>1173</v>
      </c>
      <c r="X23" s="1356" t="s">
        <v>1174</v>
      </c>
      <c r="Y23" s="1356" t="s">
        <v>1175</v>
      </c>
      <c r="Z23" s="1356" t="s">
        <v>1176</v>
      </c>
      <c r="AA23" s="1356" t="s">
        <v>1177</v>
      </c>
      <c r="AB23" s="1356" t="s">
        <v>1178</v>
      </c>
      <c r="AE23" s="1769" t="s">
        <v>1635</v>
      </c>
    </row>
    <row r="24" spans="2:31" s="395" customFormat="1" ht="15" customHeight="1" x14ac:dyDescent="0.25">
      <c r="B24" s="1261" t="s">
        <v>1179</v>
      </c>
      <c r="C24" s="1262"/>
      <c r="D24" s="1262"/>
      <c r="E24" s="1262"/>
      <c r="F24" s="1262"/>
      <c r="G24" s="1262"/>
      <c r="H24" s="1262"/>
      <c r="I24" s="1262"/>
      <c r="J24" s="1262"/>
      <c r="K24" s="1262"/>
      <c r="L24" s="1262"/>
      <c r="M24" s="1262"/>
      <c r="N24" s="1262"/>
      <c r="O24" s="1262"/>
      <c r="P24" s="1262"/>
      <c r="Q24" s="1262"/>
      <c r="R24" s="1262"/>
      <c r="S24" s="1262"/>
      <c r="T24" s="1262"/>
      <c r="U24" s="1262"/>
      <c r="V24" s="1262"/>
      <c r="W24" s="1262"/>
      <c r="X24" s="1262"/>
      <c r="Y24" s="1262"/>
      <c r="Z24" s="1262"/>
      <c r="AA24" s="1263">
        <f>SUM(C24:Z24)</f>
        <v>0</v>
      </c>
      <c r="AB24" s="1264">
        <f>AA24*SUM($C$9:$C$13)</f>
        <v>0</v>
      </c>
      <c r="AE24" s="2142"/>
    </row>
    <row r="25" spans="2:31" s="395" customFormat="1" ht="15" customHeight="1" x14ac:dyDescent="0.25">
      <c r="B25" s="1261" t="s">
        <v>1180</v>
      </c>
      <c r="C25" s="1262"/>
      <c r="D25" s="1262"/>
      <c r="E25" s="1262"/>
      <c r="F25" s="1262"/>
      <c r="G25" s="1262"/>
      <c r="H25" s="1262"/>
      <c r="I25" s="1262"/>
      <c r="J25" s="1262"/>
      <c r="K25" s="1262"/>
      <c r="L25" s="1262"/>
      <c r="M25" s="1262"/>
      <c r="N25" s="1262"/>
      <c r="O25" s="1262"/>
      <c r="P25" s="1262"/>
      <c r="Q25" s="1262"/>
      <c r="R25" s="1262"/>
      <c r="S25" s="1262"/>
      <c r="T25" s="1262"/>
      <c r="U25" s="1262"/>
      <c r="V25" s="1262"/>
      <c r="W25" s="1262"/>
      <c r="X25" s="1262"/>
      <c r="Y25" s="1262"/>
      <c r="Z25" s="1262"/>
      <c r="AA25" s="1263">
        <f>SUM(C25:Z25)</f>
        <v>0</v>
      </c>
      <c r="AB25" s="1264">
        <f>AA25*SUM($C$14:$C$15)</f>
        <v>0</v>
      </c>
      <c r="AE25" s="2142"/>
    </row>
    <row r="26" spans="2:31" s="395" customFormat="1" ht="15" customHeight="1" x14ac:dyDescent="0.25">
      <c r="B26" s="1261" t="s">
        <v>1181</v>
      </c>
      <c r="C26" s="1262"/>
      <c r="D26" s="1262"/>
      <c r="E26" s="1262"/>
      <c r="F26" s="1262"/>
      <c r="G26" s="1262"/>
      <c r="H26" s="1262"/>
      <c r="I26" s="1262"/>
      <c r="J26" s="1262"/>
      <c r="K26" s="1262"/>
      <c r="L26" s="1262"/>
      <c r="M26" s="1262"/>
      <c r="N26" s="1262"/>
      <c r="O26" s="1262"/>
      <c r="P26" s="1262"/>
      <c r="Q26" s="1262"/>
      <c r="R26" s="1262"/>
      <c r="S26" s="1262"/>
      <c r="T26" s="1262"/>
      <c r="U26" s="1262"/>
      <c r="V26" s="1262"/>
      <c r="W26" s="1262"/>
      <c r="X26" s="1262"/>
      <c r="Y26" s="1262"/>
      <c r="Z26" s="1262"/>
      <c r="AA26" s="1263">
        <f>SUM(C26:Z26)</f>
        <v>0</v>
      </c>
      <c r="AB26" s="1264">
        <f>AA26*$C$8</f>
        <v>0</v>
      </c>
      <c r="AE26" s="2142"/>
    </row>
    <row r="27" spans="2:31" s="395" customFormat="1" ht="21" customHeight="1" x14ac:dyDescent="0.25">
      <c r="B27" s="3363" t="s">
        <v>1182</v>
      </c>
      <c r="C27" s="3363"/>
      <c r="D27" s="3363"/>
      <c r="E27" s="3363"/>
      <c r="F27" s="3363"/>
      <c r="G27" s="3363"/>
      <c r="H27" s="3363"/>
      <c r="I27" s="3363"/>
      <c r="J27" s="3363"/>
      <c r="K27" s="3363"/>
      <c r="L27" s="3363"/>
      <c r="M27" s="3363"/>
      <c r="N27" s="3363"/>
      <c r="O27" s="3363"/>
      <c r="P27" s="3363"/>
      <c r="Q27" s="3363"/>
      <c r="R27" s="3363"/>
      <c r="S27" s="3363"/>
      <c r="T27" s="3363"/>
      <c r="U27" s="3363"/>
      <c r="V27" s="3363"/>
      <c r="W27" s="3363"/>
      <c r="X27" s="3363"/>
      <c r="Y27" s="3363"/>
      <c r="Z27" s="3363"/>
      <c r="AA27" s="3363"/>
      <c r="AB27" s="1264">
        <f>SUM(AB24:AB26)</f>
        <v>0</v>
      </c>
      <c r="AE27" s="2142"/>
    </row>
    <row r="28" spans="2:31" s="395" customFormat="1" x14ac:dyDescent="0.25">
      <c r="B28" s="661"/>
      <c r="C28" s="661"/>
      <c r="D28" s="661"/>
      <c r="E28" s="661"/>
      <c r="F28" s="661"/>
      <c r="G28" s="661"/>
      <c r="H28" s="661"/>
      <c r="I28" s="661"/>
      <c r="J28" s="661"/>
      <c r="K28" s="661"/>
      <c r="L28" s="661"/>
      <c r="M28" s="661"/>
      <c r="N28" s="661"/>
      <c r="O28" s="661"/>
      <c r="P28" s="661"/>
      <c r="Q28" s="661"/>
      <c r="R28" s="661"/>
      <c r="S28" s="661"/>
      <c r="T28" s="661"/>
      <c r="U28" s="661"/>
      <c r="V28" s="661"/>
      <c r="W28" s="661"/>
      <c r="X28" s="661"/>
      <c r="Y28" s="661"/>
      <c r="Z28" s="661"/>
      <c r="AA28" s="661"/>
      <c r="AB28" s="661"/>
      <c r="AE28" s="2140"/>
    </row>
    <row r="29" spans="2:31" s="395" customFormat="1" ht="32.25" customHeight="1" x14ac:dyDescent="0.25">
      <c r="B29" s="661"/>
      <c r="C29" s="661"/>
      <c r="D29" s="661"/>
      <c r="E29" s="661"/>
      <c r="F29" s="661"/>
      <c r="G29" s="661"/>
      <c r="H29" s="661"/>
      <c r="I29" s="661"/>
      <c r="J29" s="661"/>
      <c r="K29" s="661"/>
      <c r="L29" s="661"/>
      <c r="M29" s="661"/>
      <c r="N29" s="661"/>
      <c r="O29" s="661"/>
      <c r="P29" s="661"/>
      <c r="Q29" s="661"/>
      <c r="R29" s="661"/>
      <c r="S29" s="661"/>
      <c r="T29" s="661"/>
      <c r="U29" s="661"/>
      <c r="V29" s="661"/>
      <c r="W29" s="661"/>
      <c r="X29" s="661"/>
      <c r="Y29" s="661"/>
      <c r="Z29" s="661"/>
      <c r="AA29" s="661"/>
      <c r="AB29" s="661"/>
      <c r="AE29" s="2140"/>
    </row>
    <row r="30" spans="2:31" s="395" customFormat="1" x14ac:dyDescent="0.25">
      <c r="B30" s="661"/>
      <c r="C30" s="661"/>
      <c r="D30" s="661"/>
      <c r="E30" s="661"/>
      <c r="F30" s="661"/>
      <c r="G30" s="661"/>
      <c r="H30" s="661"/>
      <c r="I30" s="661"/>
      <c r="J30" s="661"/>
      <c r="K30" s="661"/>
      <c r="L30" s="661"/>
      <c r="M30" s="661"/>
      <c r="N30" s="661"/>
      <c r="O30" s="661"/>
      <c r="P30" s="661"/>
      <c r="Q30" s="661"/>
      <c r="R30" s="661"/>
      <c r="S30" s="661"/>
      <c r="T30" s="661"/>
      <c r="U30" s="661"/>
      <c r="V30" s="661"/>
      <c r="W30" s="661"/>
      <c r="X30" s="661"/>
      <c r="Y30" s="661"/>
      <c r="Z30" s="661"/>
      <c r="AA30" s="661"/>
      <c r="AB30" s="661"/>
      <c r="AE30" s="2140"/>
    </row>
    <row r="31" spans="2:31" s="395" customFormat="1" ht="15" customHeight="1" x14ac:dyDescent="0.25">
      <c r="B31" s="661" t="s">
        <v>1152</v>
      </c>
      <c r="C31" s="3362"/>
      <c r="D31" s="3362"/>
      <c r="E31" s="3362"/>
      <c r="F31" s="3362"/>
      <c r="G31" s="3362"/>
      <c r="H31" s="3362"/>
      <c r="I31" s="3362"/>
      <c r="J31" s="3362"/>
      <c r="K31" s="3362"/>
      <c r="L31" s="3362"/>
      <c r="M31" s="3362"/>
      <c r="N31" s="3362"/>
      <c r="O31" s="3362"/>
      <c r="P31" s="669"/>
      <c r="Q31" s="670"/>
      <c r="R31" s="670"/>
      <c r="S31" s="670"/>
      <c r="T31" s="670"/>
      <c r="U31" s="670"/>
      <c r="V31" s="670"/>
      <c r="W31" s="670"/>
      <c r="X31" s="670"/>
      <c r="Y31" s="670"/>
      <c r="Z31" s="670"/>
      <c r="AA31" s="670"/>
      <c r="AB31" s="670"/>
      <c r="AE31" s="2140"/>
    </row>
    <row r="32" spans="2:31" s="395" customFormat="1" x14ac:dyDescent="0.25">
      <c r="B32" s="661"/>
      <c r="C32" s="661"/>
      <c r="D32" s="661"/>
      <c r="E32" s="661"/>
      <c r="F32" s="661"/>
      <c r="G32" s="661"/>
      <c r="H32" s="661"/>
      <c r="I32" s="661"/>
      <c r="J32" s="661"/>
      <c r="K32" s="661"/>
      <c r="L32" s="661"/>
      <c r="M32" s="661"/>
      <c r="N32" s="661"/>
      <c r="O32" s="661"/>
      <c r="P32" s="661"/>
      <c r="Q32" s="661"/>
      <c r="R32" s="661"/>
      <c r="S32" s="661"/>
      <c r="T32" s="661"/>
      <c r="U32" s="661"/>
      <c r="V32" s="661"/>
      <c r="W32" s="661"/>
      <c r="X32" s="661"/>
      <c r="Y32" s="661"/>
      <c r="Z32" s="661"/>
      <c r="AA32" s="661"/>
      <c r="AB32" s="661"/>
      <c r="AE32" s="2140"/>
    </row>
    <row r="33" spans="2:31" s="1608" customFormat="1" ht="21" customHeight="1" x14ac:dyDescent="0.25">
      <c r="B33" s="1356"/>
      <c r="C33" s="1357" t="s">
        <v>1153</v>
      </c>
      <c r="D33" s="1356" t="s">
        <v>1154</v>
      </c>
      <c r="E33" s="1356" t="s">
        <v>1155</v>
      </c>
      <c r="F33" s="1356" t="s">
        <v>1156</v>
      </c>
      <c r="G33" s="1356" t="s">
        <v>1157</v>
      </c>
      <c r="H33" s="1356" t="s">
        <v>1158</v>
      </c>
      <c r="I33" s="1356" t="s">
        <v>1159</v>
      </c>
      <c r="J33" s="1356" t="s">
        <v>1160</v>
      </c>
      <c r="K33" s="1356" t="s">
        <v>1161</v>
      </c>
      <c r="L33" s="1356" t="s">
        <v>1162</v>
      </c>
      <c r="M33" s="1356" t="s">
        <v>1163</v>
      </c>
      <c r="N33" s="1356" t="s">
        <v>1164</v>
      </c>
      <c r="O33" s="1356" t="s">
        <v>1165</v>
      </c>
      <c r="P33" s="1356" t="s">
        <v>1166</v>
      </c>
      <c r="Q33" s="1356" t="s">
        <v>1167</v>
      </c>
      <c r="R33" s="1356" t="s">
        <v>1168</v>
      </c>
      <c r="S33" s="1356" t="s">
        <v>1169</v>
      </c>
      <c r="T33" s="1356" t="s">
        <v>1170</v>
      </c>
      <c r="U33" s="1356" t="s">
        <v>1171</v>
      </c>
      <c r="V33" s="1356" t="s">
        <v>1172</v>
      </c>
      <c r="W33" s="1356" t="s">
        <v>1173</v>
      </c>
      <c r="X33" s="1356" t="s">
        <v>1174</v>
      </c>
      <c r="Y33" s="1356" t="s">
        <v>1175</v>
      </c>
      <c r="Z33" s="1356" t="s">
        <v>1176</v>
      </c>
      <c r="AA33" s="1356" t="s">
        <v>1177</v>
      </c>
      <c r="AB33" s="1356" t="s">
        <v>1178</v>
      </c>
      <c r="AE33" s="2140"/>
    </row>
    <row r="34" spans="2:31" s="395" customFormat="1" ht="15" customHeight="1" x14ac:dyDescent="0.25">
      <c r="B34" s="1261" t="s">
        <v>1179</v>
      </c>
      <c r="C34" s="1262"/>
      <c r="D34" s="1262"/>
      <c r="E34" s="1262"/>
      <c r="F34" s="1262"/>
      <c r="G34" s="1262"/>
      <c r="H34" s="1262"/>
      <c r="I34" s="1262"/>
      <c r="J34" s="1262"/>
      <c r="K34" s="1262"/>
      <c r="L34" s="1262"/>
      <c r="M34" s="1262"/>
      <c r="N34" s="1262"/>
      <c r="O34" s="1262"/>
      <c r="P34" s="1262"/>
      <c r="Q34" s="1262"/>
      <c r="R34" s="1262"/>
      <c r="S34" s="1262"/>
      <c r="T34" s="1262"/>
      <c r="U34" s="1262"/>
      <c r="V34" s="1262"/>
      <c r="W34" s="1262"/>
      <c r="X34" s="1262"/>
      <c r="Y34" s="1262"/>
      <c r="Z34" s="1262"/>
      <c r="AA34" s="1263">
        <f>SUM(C34:Z34)</f>
        <v>0</v>
      </c>
      <c r="AB34" s="1264">
        <f>AA34*SUM($C$9:$C$13)</f>
        <v>0</v>
      </c>
      <c r="AE34" s="2142"/>
    </row>
    <row r="35" spans="2:31" s="395" customFormat="1" ht="15" customHeight="1" x14ac:dyDescent="0.25">
      <c r="B35" s="1261" t="s">
        <v>1180</v>
      </c>
      <c r="C35" s="1262"/>
      <c r="D35" s="1262"/>
      <c r="E35" s="1262"/>
      <c r="F35" s="1262"/>
      <c r="G35" s="1262"/>
      <c r="H35" s="1262"/>
      <c r="I35" s="1262"/>
      <c r="J35" s="1262"/>
      <c r="K35" s="1262"/>
      <c r="L35" s="1262"/>
      <c r="M35" s="1262"/>
      <c r="N35" s="1262"/>
      <c r="O35" s="1262"/>
      <c r="P35" s="1262"/>
      <c r="Q35" s="1262"/>
      <c r="R35" s="1262"/>
      <c r="S35" s="1262"/>
      <c r="T35" s="1262"/>
      <c r="U35" s="1262"/>
      <c r="V35" s="1262"/>
      <c r="W35" s="1262"/>
      <c r="X35" s="1262"/>
      <c r="Y35" s="1262"/>
      <c r="Z35" s="1262"/>
      <c r="AA35" s="1263">
        <f>SUM(C35:Z35)</f>
        <v>0</v>
      </c>
      <c r="AB35" s="1264">
        <f>AA35*SUM($C$14:$C$15)</f>
        <v>0</v>
      </c>
      <c r="AE35" s="2142"/>
    </row>
    <row r="36" spans="2:31" s="395" customFormat="1" ht="15" customHeight="1" x14ac:dyDescent="0.25">
      <c r="B36" s="1261" t="s">
        <v>1181</v>
      </c>
      <c r="C36" s="1262"/>
      <c r="D36" s="1262"/>
      <c r="E36" s="1262"/>
      <c r="F36" s="1262"/>
      <c r="G36" s="1262"/>
      <c r="H36" s="1262"/>
      <c r="I36" s="1262"/>
      <c r="J36" s="1262"/>
      <c r="K36" s="1262"/>
      <c r="L36" s="1262"/>
      <c r="M36" s="1262"/>
      <c r="N36" s="1262"/>
      <c r="O36" s="1262"/>
      <c r="P36" s="1262"/>
      <c r="Q36" s="1262"/>
      <c r="R36" s="1262"/>
      <c r="S36" s="1262"/>
      <c r="T36" s="1262"/>
      <c r="U36" s="1262"/>
      <c r="V36" s="1262"/>
      <c r="W36" s="1262"/>
      <c r="X36" s="1262"/>
      <c r="Y36" s="1262"/>
      <c r="Z36" s="1262"/>
      <c r="AA36" s="1263">
        <f>SUM(C36:Z36)</f>
        <v>0</v>
      </c>
      <c r="AB36" s="1264">
        <f>AA36*$C$8</f>
        <v>0</v>
      </c>
      <c r="AE36" s="2142"/>
    </row>
    <row r="37" spans="2:31" s="395" customFormat="1" ht="21" customHeight="1" x14ac:dyDescent="0.25">
      <c r="B37" s="3363" t="s">
        <v>1182</v>
      </c>
      <c r="C37" s="3363"/>
      <c r="D37" s="3363"/>
      <c r="E37" s="3363"/>
      <c r="F37" s="3363"/>
      <c r="G37" s="3363"/>
      <c r="H37" s="3363"/>
      <c r="I37" s="3363"/>
      <c r="J37" s="3363"/>
      <c r="K37" s="3363"/>
      <c r="L37" s="3363"/>
      <c r="M37" s="3363"/>
      <c r="N37" s="3363"/>
      <c r="O37" s="3363"/>
      <c r="P37" s="3363"/>
      <c r="Q37" s="3363"/>
      <c r="R37" s="3363"/>
      <c r="S37" s="3363"/>
      <c r="T37" s="3363"/>
      <c r="U37" s="3363"/>
      <c r="V37" s="3363"/>
      <c r="W37" s="3363"/>
      <c r="X37" s="3363"/>
      <c r="Y37" s="3363"/>
      <c r="Z37" s="3363"/>
      <c r="AA37" s="3363"/>
      <c r="AB37" s="1264">
        <f>SUM(AB34:AB36)</f>
        <v>0</v>
      </c>
      <c r="AE37" s="2142"/>
    </row>
    <row r="38" spans="2:31" s="395" customFormat="1" x14ac:dyDescent="0.25">
      <c r="B38" s="661"/>
      <c r="C38" s="661"/>
      <c r="D38" s="661"/>
      <c r="E38" s="661"/>
      <c r="F38" s="661"/>
      <c r="G38" s="661"/>
      <c r="H38" s="661"/>
      <c r="I38" s="661"/>
      <c r="J38" s="661"/>
      <c r="K38" s="661"/>
      <c r="L38" s="661"/>
      <c r="M38" s="661"/>
      <c r="N38" s="661"/>
      <c r="O38" s="661"/>
      <c r="P38" s="661"/>
      <c r="Q38" s="661"/>
      <c r="R38" s="661"/>
      <c r="S38" s="661"/>
      <c r="T38" s="661"/>
      <c r="U38" s="661"/>
      <c r="V38" s="661"/>
      <c r="W38" s="661"/>
      <c r="X38" s="661"/>
      <c r="Y38" s="661"/>
      <c r="Z38" s="661"/>
      <c r="AA38" s="661"/>
      <c r="AB38" s="661"/>
      <c r="AE38" s="2140"/>
    </row>
    <row r="39" spans="2:31" s="395" customFormat="1" x14ac:dyDescent="0.25">
      <c r="B39" s="661"/>
      <c r="C39" s="661"/>
      <c r="D39" s="661"/>
      <c r="E39" s="661"/>
      <c r="F39" s="661"/>
      <c r="G39" s="661"/>
      <c r="H39" s="661"/>
      <c r="I39" s="661"/>
      <c r="J39" s="661"/>
      <c r="K39" s="661"/>
      <c r="L39" s="661"/>
      <c r="M39" s="661"/>
      <c r="N39" s="661"/>
      <c r="O39" s="661"/>
      <c r="P39" s="661"/>
      <c r="Q39" s="661"/>
      <c r="R39" s="661"/>
      <c r="S39" s="661"/>
      <c r="T39" s="661"/>
      <c r="U39" s="661"/>
      <c r="V39" s="661"/>
      <c r="W39" s="661"/>
      <c r="X39" s="661"/>
      <c r="Y39" s="661"/>
      <c r="Z39" s="661"/>
      <c r="AA39" s="661"/>
      <c r="AB39" s="661"/>
      <c r="AE39" s="2140"/>
    </row>
    <row r="40" spans="2:31" s="395" customFormat="1" x14ac:dyDescent="0.25">
      <c r="B40" s="661"/>
      <c r="C40" s="661"/>
      <c r="D40" s="661"/>
      <c r="E40" s="661"/>
      <c r="F40" s="661"/>
      <c r="G40" s="661"/>
      <c r="H40" s="661"/>
      <c r="I40" s="661"/>
      <c r="J40" s="661"/>
      <c r="K40" s="661"/>
      <c r="L40" s="661"/>
      <c r="M40" s="661"/>
      <c r="N40" s="661"/>
      <c r="O40" s="661"/>
      <c r="P40" s="661"/>
      <c r="Q40" s="661"/>
      <c r="R40" s="661"/>
      <c r="S40" s="661"/>
      <c r="T40" s="661"/>
      <c r="U40" s="661"/>
      <c r="V40" s="661"/>
      <c r="W40" s="661"/>
      <c r="X40" s="661"/>
      <c r="Y40" s="661"/>
      <c r="Z40" s="661"/>
      <c r="AA40" s="661"/>
      <c r="AB40" s="661"/>
      <c r="AE40" s="2140"/>
    </row>
    <row r="41" spans="2:31" s="395" customFormat="1" ht="15" customHeight="1" x14ac:dyDescent="0.25">
      <c r="B41" s="661" t="s">
        <v>1152</v>
      </c>
      <c r="C41" s="3362"/>
      <c r="D41" s="3362"/>
      <c r="E41" s="3362"/>
      <c r="F41" s="3362"/>
      <c r="G41" s="3362"/>
      <c r="H41" s="3362"/>
      <c r="I41" s="3362"/>
      <c r="J41" s="3362"/>
      <c r="K41" s="3362"/>
      <c r="L41" s="3362"/>
      <c r="M41" s="3362"/>
      <c r="N41" s="3362"/>
      <c r="O41" s="3362"/>
      <c r="P41" s="669"/>
      <c r="Q41" s="670"/>
      <c r="R41" s="670"/>
      <c r="S41" s="670"/>
      <c r="T41" s="670"/>
      <c r="U41" s="670"/>
      <c r="V41" s="670"/>
      <c r="W41" s="670"/>
      <c r="X41" s="670"/>
      <c r="Y41" s="670"/>
      <c r="Z41" s="670"/>
      <c r="AA41" s="670"/>
      <c r="AB41" s="670"/>
      <c r="AE41" s="2140"/>
    </row>
    <row r="42" spans="2:31" s="395" customFormat="1" x14ac:dyDescent="0.25">
      <c r="B42" s="661"/>
      <c r="C42" s="661"/>
      <c r="D42" s="661"/>
      <c r="E42" s="661"/>
      <c r="F42" s="661"/>
      <c r="G42" s="661"/>
      <c r="H42" s="661"/>
      <c r="I42" s="661"/>
      <c r="J42" s="661"/>
      <c r="K42" s="661"/>
      <c r="L42" s="661"/>
      <c r="M42" s="661"/>
      <c r="N42" s="661"/>
      <c r="O42" s="661"/>
      <c r="P42" s="661"/>
      <c r="Q42" s="661"/>
      <c r="R42" s="661"/>
      <c r="S42" s="661"/>
      <c r="T42" s="661"/>
      <c r="U42" s="661"/>
      <c r="V42" s="661"/>
      <c r="W42" s="661"/>
      <c r="X42" s="661"/>
      <c r="Y42" s="661"/>
      <c r="Z42" s="661"/>
      <c r="AA42" s="661"/>
      <c r="AB42" s="661"/>
      <c r="AE42" s="2140"/>
    </row>
    <row r="43" spans="2:31" s="1608" customFormat="1" ht="21" customHeight="1" x14ac:dyDescent="0.25">
      <c r="B43" s="1356"/>
      <c r="C43" s="1357" t="s">
        <v>1153</v>
      </c>
      <c r="D43" s="1356" t="s">
        <v>1154</v>
      </c>
      <c r="E43" s="1356" t="s">
        <v>1155</v>
      </c>
      <c r="F43" s="1356" t="s">
        <v>1156</v>
      </c>
      <c r="G43" s="1356" t="s">
        <v>1157</v>
      </c>
      <c r="H43" s="1356" t="s">
        <v>1158</v>
      </c>
      <c r="I43" s="1356" t="s">
        <v>1159</v>
      </c>
      <c r="J43" s="1356" t="s">
        <v>1160</v>
      </c>
      <c r="K43" s="1356" t="s">
        <v>1161</v>
      </c>
      <c r="L43" s="1356" t="s">
        <v>1162</v>
      </c>
      <c r="M43" s="1356" t="s">
        <v>1163</v>
      </c>
      <c r="N43" s="1356" t="s">
        <v>1164</v>
      </c>
      <c r="O43" s="1356" t="s">
        <v>1165</v>
      </c>
      <c r="P43" s="1356" t="s">
        <v>1166</v>
      </c>
      <c r="Q43" s="1356" t="s">
        <v>1167</v>
      </c>
      <c r="R43" s="1356" t="s">
        <v>1168</v>
      </c>
      <c r="S43" s="1356" t="s">
        <v>1169</v>
      </c>
      <c r="T43" s="1356" t="s">
        <v>1170</v>
      </c>
      <c r="U43" s="1356" t="s">
        <v>1171</v>
      </c>
      <c r="V43" s="1356" t="s">
        <v>1172</v>
      </c>
      <c r="W43" s="1356" t="s">
        <v>1173</v>
      </c>
      <c r="X43" s="1356" t="s">
        <v>1174</v>
      </c>
      <c r="Y43" s="1356" t="s">
        <v>1175</v>
      </c>
      <c r="Z43" s="1356" t="s">
        <v>1176</v>
      </c>
      <c r="AA43" s="1356" t="s">
        <v>1177</v>
      </c>
      <c r="AB43" s="1356" t="s">
        <v>1178</v>
      </c>
      <c r="AE43" s="2140"/>
    </row>
    <row r="44" spans="2:31" s="395" customFormat="1" ht="15" customHeight="1" x14ac:dyDescent="0.25">
      <c r="B44" s="1261" t="s">
        <v>1181</v>
      </c>
      <c r="C44" s="1265"/>
      <c r="D44" s="1265"/>
      <c r="E44" s="1265"/>
      <c r="F44" s="1265"/>
      <c r="G44" s="1265"/>
      <c r="H44" s="1265"/>
      <c r="I44" s="1265"/>
      <c r="J44" s="1265"/>
      <c r="K44" s="1265"/>
      <c r="L44" s="1265"/>
      <c r="M44" s="1265"/>
      <c r="N44" s="1265"/>
      <c r="O44" s="1265"/>
      <c r="P44" s="1265"/>
      <c r="Q44" s="1265"/>
      <c r="R44" s="1265"/>
      <c r="S44" s="1265"/>
      <c r="T44" s="1265"/>
      <c r="U44" s="1265"/>
      <c r="V44" s="1265"/>
      <c r="W44" s="1265"/>
      <c r="X44" s="1265"/>
      <c r="Y44" s="1265"/>
      <c r="Z44" s="1265"/>
      <c r="AA44" s="1263">
        <f t="shared" ref="AA44:AA51" si="0">SUM(C44:Z44)</f>
        <v>0</v>
      </c>
      <c r="AB44" s="1264">
        <f>AA44*$C$8</f>
        <v>0</v>
      </c>
      <c r="AE44" s="2142"/>
    </row>
    <row r="45" spans="2:31" s="395" customFormat="1" ht="15" customHeight="1" x14ac:dyDescent="0.25">
      <c r="B45" s="1261" t="s">
        <v>1144</v>
      </c>
      <c r="C45" s="1509"/>
      <c r="D45" s="1509"/>
      <c r="E45" s="1509"/>
      <c r="F45" s="1509"/>
      <c r="G45" s="1509"/>
      <c r="H45" s="1509"/>
      <c r="I45" s="1509"/>
      <c r="J45" s="1509"/>
      <c r="K45" s="1509"/>
      <c r="L45" s="1509"/>
      <c r="M45" s="1509"/>
      <c r="N45" s="1509"/>
      <c r="O45" s="1509"/>
      <c r="P45" s="1509"/>
      <c r="Q45" s="1509"/>
      <c r="R45" s="1509"/>
      <c r="S45" s="1509"/>
      <c r="T45" s="1509"/>
      <c r="U45" s="1509"/>
      <c r="V45" s="1509"/>
      <c r="W45" s="1509"/>
      <c r="X45" s="1509"/>
      <c r="Y45" s="1509"/>
      <c r="Z45" s="1509"/>
      <c r="AA45" s="1263">
        <f t="shared" si="0"/>
        <v>0</v>
      </c>
      <c r="AB45" s="1264">
        <f>AA45*$C$9</f>
        <v>0</v>
      </c>
      <c r="AE45" s="2142"/>
    </row>
    <row r="46" spans="2:31" s="395" customFormat="1" ht="15" customHeight="1" x14ac:dyDescent="0.25">
      <c r="B46" s="1261" t="s">
        <v>1145</v>
      </c>
      <c r="C46" s="1509"/>
      <c r="D46" s="1509"/>
      <c r="E46" s="1509"/>
      <c r="F46" s="1509"/>
      <c r="G46" s="1509"/>
      <c r="H46" s="1509"/>
      <c r="I46" s="1509"/>
      <c r="J46" s="1509"/>
      <c r="K46" s="1509"/>
      <c r="L46" s="1509"/>
      <c r="M46" s="1509"/>
      <c r="N46" s="1509"/>
      <c r="O46" s="1509"/>
      <c r="P46" s="1509"/>
      <c r="Q46" s="1509"/>
      <c r="R46" s="1509"/>
      <c r="S46" s="1509"/>
      <c r="T46" s="1509"/>
      <c r="U46" s="1509"/>
      <c r="V46" s="1509"/>
      <c r="W46" s="1509"/>
      <c r="X46" s="1509"/>
      <c r="Y46" s="1509"/>
      <c r="Z46" s="1509"/>
      <c r="AA46" s="1263">
        <f t="shared" si="0"/>
        <v>0</v>
      </c>
      <c r="AB46" s="1264">
        <f>AA46*$C$10</f>
        <v>0</v>
      </c>
      <c r="AE46" s="2142"/>
    </row>
    <row r="47" spans="2:31" s="395" customFormat="1" ht="15" customHeight="1" x14ac:dyDescent="0.25">
      <c r="B47" s="1261" t="s">
        <v>1146</v>
      </c>
      <c r="C47" s="1509"/>
      <c r="D47" s="1509"/>
      <c r="E47" s="1509"/>
      <c r="F47" s="1509"/>
      <c r="G47" s="1509"/>
      <c r="H47" s="1509"/>
      <c r="I47" s="1509"/>
      <c r="J47" s="1509"/>
      <c r="K47" s="1509"/>
      <c r="L47" s="1509"/>
      <c r="M47" s="1509"/>
      <c r="N47" s="1509"/>
      <c r="O47" s="1509"/>
      <c r="P47" s="1509"/>
      <c r="Q47" s="1509"/>
      <c r="R47" s="1509"/>
      <c r="S47" s="1509"/>
      <c r="T47" s="1509"/>
      <c r="U47" s="1509"/>
      <c r="V47" s="1509"/>
      <c r="W47" s="1509"/>
      <c r="X47" s="1509"/>
      <c r="Y47" s="1509"/>
      <c r="Z47" s="1509"/>
      <c r="AA47" s="1263">
        <f t="shared" si="0"/>
        <v>0</v>
      </c>
      <c r="AB47" s="1264">
        <f>AA47*$C$11</f>
        <v>0</v>
      </c>
      <c r="AE47" s="2142"/>
    </row>
    <row r="48" spans="2:31" s="395" customFormat="1" ht="15" customHeight="1" x14ac:dyDescent="0.25">
      <c r="B48" s="1261" t="s">
        <v>1147</v>
      </c>
      <c r="C48" s="1509"/>
      <c r="D48" s="1509"/>
      <c r="E48" s="1509"/>
      <c r="F48" s="1509"/>
      <c r="G48" s="1509"/>
      <c r="H48" s="1509"/>
      <c r="I48" s="1509"/>
      <c r="J48" s="1509"/>
      <c r="K48" s="1509"/>
      <c r="L48" s="1509"/>
      <c r="M48" s="1509"/>
      <c r="N48" s="1509"/>
      <c r="O48" s="1509"/>
      <c r="P48" s="1509"/>
      <c r="Q48" s="1509"/>
      <c r="R48" s="1509"/>
      <c r="S48" s="1509"/>
      <c r="T48" s="1509"/>
      <c r="U48" s="1509"/>
      <c r="V48" s="1509"/>
      <c r="W48" s="1509"/>
      <c r="X48" s="1509"/>
      <c r="Y48" s="1509"/>
      <c r="Z48" s="1509"/>
      <c r="AA48" s="1263">
        <f t="shared" si="0"/>
        <v>0</v>
      </c>
      <c r="AB48" s="1264">
        <f>AA48*$C$12</f>
        <v>0</v>
      </c>
      <c r="AE48" s="2142"/>
    </row>
    <row r="49" spans="2:31" s="395" customFormat="1" ht="15" customHeight="1" x14ac:dyDescent="0.25">
      <c r="B49" s="1261" t="s">
        <v>1148</v>
      </c>
      <c r="C49" s="1509"/>
      <c r="D49" s="1509"/>
      <c r="E49" s="1509"/>
      <c r="F49" s="1509"/>
      <c r="G49" s="1509"/>
      <c r="H49" s="1509"/>
      <c r="I49" s="1509"/>
      <c r="J49" s="1509"/>
      <c r="K49" s="1509"/>
      <c r="L49" s="1509"/>
      <c r="M49" s="1509"/>
      <c r="N49" s="1509"/>
      <c r="O49" s="1509"/>
      <c r="P49" s="1509"/>
      <c r="Q49" s="1509"/>
      <c r="R49" s="1509"/>
      <c r="S49" s="1509"/>
      <c r="T49" s="1509"/>
      <c r="U49" s="1509"/>
      <c r="V49" s="1509"/>
      <c r="W49" s="1509"/>
      <c r="X49" s="1509"/>
      <c r="Y49" s="1509"/>
      <c r="Z49" s="1509"/>
      <c r="AA49" s="1263">
        <f t="shared" si="0"/>
        <v>0</v>
      </c>
      <c r="AB49" s="1264">
        <f>AA49*$C$13</f>
        <v>0</v>
      </c>
      <c r="AE49" s="2142"/>
    </row>
    <row r="50" spans="2:31" s="395" customFormat="1" ht="15" customHeight="1" x14ac:dyDescent="0.25">
      <c r="B50" s="1261" t="s">
        <v>1149</v>
      </c>
      <c r="C50" s="1509"/>
      <c r="D50" s="1509"/>
      <c r="E50" s="1509"/>
      <c r="F50" s="1509"/>
      <c r="G50" s="1509"/>
      <c r="H50" s="1509"/>
      <c r="I50" s="1509"/>
      <c r="J50" s="1509"/>
      <c r="K50" s="1509"/>
      <c r="L50" s="1509"/>
      <c r="M50" s="1509"/>
      <c r="N50" s="1509"/>
      <c r="O50" s="1509"/>
      <c r="P50" s="1509"/>
      <c r="Q50" s="1509"/>
      <c r="R50" s="1509"/>
      <c r="S50" s="1509"/>
      <c r="T50" s="1509"/>
      <c r="U50" s="1509"/>
      <c r="V50" s="1509"/>
      <c r="W50" s="1509"/>
      <c r="X50" s="1509"/>
      <c r="Y50" s="1509"/>
      <c r="Z50" s="1509"/>
      <c r="AA50" s="1263">
        <f t="shared" si="0"/>
        <v>0</v>
      </c>
      <c r="AB50" s="1264">
        <f>AA50*$C$14</f>
        <v>0</v>
      </c>
      <c r="AE50" s="2142"/>
    </row>
    <row r="51" spans="2:31" s="395" customFormat="1" ht="15" customHeight="1" x14ac:dyDescent="0.25">
      <c r="B51" s="1261" t="s">
        <v>1150</v>
      </c>
      <c r="C51" s="1509"/>
      <c r="D51" s="1509"/>
      <c r="E51" s="1509"/>
      <c r="F51" s="1509"/>
      <c r="G51" s="1509"/>
      <c r="H51" s="1509"/>
      <c r="I51" s="1509"/>
      <c r="J51" s="1509"/>
      <c r="K51" s="1509"/>
      <c r="L51" s="1509"/>
      <c r="M51" s="1509"/>
      <c r="N51" s="1509"/>
      <c r="O51" s="1509"/>
      <c r="P51" s="1509"/>
      <c r="Q51" s="1509"/>
      <c r="R51" s="1509"/>
      <c r="S51" s="1509"/>
      <c r="T51" s="1509"/>
      <c r="U51" s="1509"/>
      <c r="V51" s="1509"/>
      <c r="W51" s="1509"/>
      <c r="X51" s="1509"/>
      <c r="Y51" s="1509"/>
      <c r="Z51" s="1509"/>
      <c r="AA51" s="1263">
        <f t="shared" si="0"/>
        <v>0</v>
      </c>
      <c r="AB51" s="1264">
        <f>AA51*$C$15</f>
        <v>0</v>
      </c>
      <c r="AE51" s="2142"/>
    </row>
    <row r="52" spans="2:31" s="395" customFormat="1" ht="21" customHeight="1" x14ac:dyDescent="0.25">
      <c r="B52" s="3363" t="s">
        <v>1182</v>
      </c>
      <c r="C52" s="3363"/>
      <c r="D52" s="3363"/>
      <c r="E52" s="3363"/>
      <c r="F52" s="3363"/>
      <c r="G52" s="3363"/>
      <c r="H52" s="3363"/>
      <c r="I52" s="3363"/>
      <c r="J52" s="3363"/>
      <c r="K52" s="3363"/>
      <c r="L52" s="3363"/>
      <c r="M52" s="3363"/>
      <c r="N52" s="3363"/>
      <c r="O52" s="3363"/>
      <c r="P52" s="3363"/>
      <c r="Q52" s="3363"/>
      <c r="R52" s="3363"/>
      <c r="S52" s="3363"/>
      <c r="T52" s="3363"/>
      <c r="U52" s="3363"/>
      <c r="V52" s="3363"/>
      <c r="W52" s="3363"/>
      <c r="X52" s="3363"/>
      <c r="Y52" s="3363"/>
      <c r="Z52" s="3363"/>
      <c r="AA52" s="3363"/>
      <c r="AB52" s="1264">
        <f>SUM(AB44:AB51)</f>
        <v>0</v>
      </c>
      <c r="AE52" s="2142"/>
    </row>
    <row r="53" spans="2:31" s="395" customFormat="1" x14ac:dyDescent="0.25">
      <c r="B53" s="661"/>
      <c r="C53" s="661"/>
      <c r="D53" s="661"/>
      <c r="E53" s="661"/>
      <c r="F53" s="661"/>
      <c r="G53" s="661"/>
      <c r="H53" s="661"/>
      <c r="I53" s="661"/>
      <c r="J53" s="661"/>
      <c r="K53" s="661"/>
      <c r="L53" s="661"/>
      <c r="M53" s="661"/>
      <c r="N53" s="661"/>
      <c r="O53" s="661"/>
      <c r="P53" s="661"/>
      <c r="Q53" s="661"/>
      <c r="R53" s="661"/>
      <c r="S53" s="661"/>
      <c r="T53" s="661"/>
      <c r="U53" s="661"/>
      <c r="V53" s="661"/>
      <c r="W53" s="661"/>
      <c r="X53" s="661"/>
      <c r="Y53" s="661"/>
      <c r="Z53" s="661"/>
      <c r="AA53" s="661"/>
      <c r="AB53" s="661"/>
      <c r="AE53" s="2140"/>
    </row>
    <row r="54" spans="2:31" s="395" customFormat="1" ht="29.25" customHeight="1" x14ac:dyDescent="0.25">
      <c r="B54" s="661"/>
      <c r="C54" s="661"/>
      <c r="D54" s="661"/>
      <c r="E54" s="661"/>
      <c r="F54" s="661"/>
      <c r="G54" s="661"/>
      <c r="H54" s="661"/>
      <c r="I54" s="661"/>
      <c r="J54" s="661"/>
      <c r="K54" s="661"/>
      <c r="L54" s="661"/>
      <c r="M54" s="661"/>
      <c r="N54" s="661"/>
      <c r="O54" s="661"/>
      <c r="P54" s="661"/>
      <c r="Q54" s="661"/>
      <c r="R54" s="661"/>
      <c r="S54" s="661"/>
      <c r="T54" s="661"/>
      <c r="U54" s="661"/>
      <c r="V54" s="661"/>
      <c r="W54" s="661"/>
      <c r="X54" s="661"/>
      <c r="Y54" s="661"/>
      <c r="Z54" s="661"/>
      <c r="AA54" s="661"/>
      <c r="AB54" s="661"/>
      <c r="AE54" s="2140"/>
    </row>
    <row r="55" spans="2:31" s="395" customFormat="1" x14ac:dyDescent="0.25">
      <c r="B55" s="661"/>
      <c r="C55" s="661"/>
      <c r="D55" s="661"/>
      <c r="E55" s="661"/>
      <c r="F55" s="661"/>
      <c r="G55" s="661"/>
      <c r="H55" s="661"/>
      <c r="I55" s="661"/>
      <c r="J55" s="661"/>
      <c r="K55" s="661"/>
      <c r="L55" s="661"/>
      <c r="M55" s="661"/>
      <c r="N55" s="661"/>
      <c r="O55" s="661"/>
      <c r="P55" s="661"/>
      <c r="Q55" s="661"/>
      <c r="R55" s="661"/>
      <c r="S55" s="661"/>
      <c r="T55" s="661"/>
      <c r="U55" s="661"/>
      <c r="V55" s="661"/>
      <c r="W55" s="661"/>
      <c r="X55" s="661"/>
      <c r="Y55" s="661"/>
      <c r="Z55" s="661"/>
      <c r="AA55" s="661"/>
      <c r="AB55" s="661"/>
      <c r="AE55" s="2140"/>
    </row>
    <row r="56" spans="2:31" s="395" customFormat="1" x14ac:dyDescent="0.25">
      <c r="B56" s="661"/>
      <c r="C56" s="661"/>
      <c r="D56" s="661"/>
      <c r="E56" s="661"/>
      <c r="F56" s="661"/>
      <c r="G56" s="661"/>
      <c r="H56" s="661"/>
      <c r="I56" s="661"/>
      <c r="J56" s="661"/>
      <c r="K56" s="661"/>
      <c r="L56" s="661"/>
      <c r="M56" s="661"/>
      <c r="N56" s="661"/>
      <c r="O56" s="661"/>
      <c r="P56" s="661"/>
      <c r="Q56" s="661"/>
      <c r="R56" s="661"/>
      <c r="S56" s="661"/>
      <c r="T56" s="661"/>
      <c r="U56" s="661"/>
      <c r="V56" s="661"/>
      <c r="W56" s="661"/>
      <c r="X56" s="661"/>
      <c r="Y56" s="661"/>
      <c r="Z56" s="661"/>
      <c r="AA56" s="661"/>
      <c r="AB56" s="661"/>
      <c r="AE56" s="2140"/>
    </row>
    <row r="57" spans="2:31" s="395" customFormat="1" ht="15.6" x14ac:dyDescent="0.25">
      <c r="B57" s="668" t="s">
        <v>1586</v>
      </c>
      <c r="C57" s="666"/>
      <c r="D57" s="661"/>
      <c r="E57" s="661"/>
      <c r="F57" s="661"/>
      <c r="G57" s="661"/>
      <c r="H57" s="661"/>
      <c r="I57" s="661"/>
      <c r="J57" s="661"/>
      <c r="K57" s="661"/>
      <c r="L57" s="661"/>
      <c r="M57" s="661"/>
      <c r="N57" s="661"/>
      <c r="O57" s="661"/>
      <c r="P57" s="661"/>
      <c r="Q57" s="661"/>
      <c r="R57" s="661"/>
      <c r="S57" s="661"/>
      <c r="T57" s="661"/>
      <c r="U57" s="661"/>
      <c r="V57" s="661"/>
      <c r="W57" s="661"/>
      <c r="X57" s="661"/>
      <c r="Y57" s="661"/>
      <c r="Z57" s="661"/>
      <c r="AA57" s="663"/>
      <c r="AB57" s="664"/>
      <c r="AE57" s="2140"/>
    </row>
    <row r="58" spans="2:31" s="395" customFormat="1" x14ac:dyDescent="0.25">
      <c r="B58" s="661" t="s">
        <v>1183</v>
      </c>
      <c r="C58" s="661"/>
      <c r="D58" s="661"/>
      <c r="E58" s="661"/>
      <c r="F58" s="661"/>
      <c r="G58" s="661"/>
      <c r="H58" s="661"/>
      <c r="I58" s="661"/>
      <c r="J58" s="661"/>
      <c r="K58" s="661"/>
      <c r="L58" s="661"/>
      <c r="M58" s="661"/>
      <c r="N58" s="661"/>
      <c r="O58" s="661"/>
      <c r="P58" s="661"/>
      <c r="Q58" s="661"/>
      <c r="R58" s="661"/>
      <c r="S58" s="661"/>
      <c r="T58" s="661"/>
      <c r="U58" s="661"/>
      <c r="V58" s="661"/>
      <c r="W58" s="661"/>
      <c r="X58" s="661"/>
      <c r="Y58" s="661"/>
      <c r="Z58" s="661"/>
      <c r="AA58" s="661"/>
      <c r="AB58" s="661"/>
      <c r="AE58" s="2140"/>
    </row>
    <row r="59" spans="2:31" s="395" customFormat="1" x14ac:dyDescent="0.25">
      <c r="B59" s="661"/>
      <c r="C59" s="661"/>
      <c r="D59" s="661"/>
      <c r="E59" s="661"/>
      <c r="F59" s="661"/>
      <c r="G59" s="661"/>
      <c r="H59" s="661"/>
      <c r="I59" s="661"/>
      <c r="J59" s="661"/>
      <c r="K59" s="661"/>
      <c r="L59" s="661"/>
      <c r="M59" s="661"/>
      <c r="N59" s="661"/>
      <c r="O59" s="661"/>
      <c r="P59" s="661"/>
      <c r="Q59" s="661"/>
      <c r="R59" s="661"/>
      <c r="S59" s="661"/>
      <c r="T59" s="661"/>
      <c r="U59" s="661"/>
      <c r="V59" s="661"/>
      <c r="W59" s="661"/>
      <c r="X59" s="661"/>
      <c r="Y59" s="661"/>
      <c r="Z59" s="661"/>
      <c r="AA59" s="661"/>
      <c r="AB59" s="661"/>
      <c r="AE59" s="2140"/>
    </row>
    <row r="60" spans="2:31" s="395" customFormat="1" ht="15" customHeight="1" x14ac:dyDescent="0.25">
      <c r="B60" s="661" t="s">
        <v>1152</v>
      </c>
      <c r="C60" s="3362"/>
      <c r="D60" s="3362"/>
      <c r="E60" s="3362"/>
      <c r="F60" s="3362"/>
      <c r="G60" s="3362"/>
      <c r="H60" s="3362"/>
      <c r="I60" s="3362"/>
      <c r="J60" s="3362"/>
      <c r="K60" s="3362"/>
      <c r="L60" s="3362"/>
      <c r="M60" s="3362"/>
      <c r="N60" s="3362"/>
      <c r="O60" s="3362"/>
      <c r="P60" s="669"/>
      <c r="Q60" s="670"/>
      <c r="R60" s="670"/>
      <c r="S60" s="670"/>
      <c r="T60" s="670"/>
      <c r="U60" s="670"/>
      <c r="V60" s="670"/>
      <c r="W60" s="670"/>
      <c r="X60" s="670"/>
      <c r="Y60" s="670"/>
      <c r="Z60" s="670"/>
      <c r="AA60" s="670"/>
      <c r="AB60" s="670"/>
      <c r="AE60" s="2140"/>
    </row>
    <row r="61" spans="2:31" s="395" customFormat="1" x14ac:dyDescent="0.25">
      <c r="B61" s="661"/>
      <c r="C61" s="661"/>
      <c r="D61" s="661"/>
      <c r="E61" s="661"/>
      <c r="F61" s="661"/>
      <c r="G61" s="661"/>
      <c r="H61" s="661"/>
      <c r="I61" s="661"/>
      <c r="J61" s="661"/>
      <c r="K61" s="661"/>
      <c r="L61" s="661"/>
      <c r="M61" s="661"/>
      <c r="N61" s="661"/>
      <c r="O61" s="661"/>
      <c r="P61" s="661"/>
      <c r="Q61" s="661"/>
      <c r="R61" s="661"/>
      <c r="S61" s="661"/>
      <c r="T61" s="661"/>
      <c r="U61" s="661"/>
      <c r="V61" s="661"/>
      <c r="W61" s="661"/>
      <c r="X61" s="661"/>
      <c r="Y61" s="661"/>
      <c r="Z61" s="661"/>
      <c r="AA61" s="661"/>
      <c r="AB61" s="661"/>
      <c r="AE61" s="2140"/>
    </row>
    <row r="62" spans="2:31" s="1608" customFormat="1" ht="21" customHeight="1" x14ac:dyDescent="0.25">
      <c r="B62" s="1356"/>
      <c r="C62" s="1357" t="s">
        <v>1153</v>
      </c>
      <c r="D62" s="1356" t="s">
        <v>1154</v>
      </c>
      <c r="E62" s="1356" t="s">
        <v>1155</v>
      </c>
      <c r="F62" s="1356" t="s">
        <v>1156</v>
      </c>
      <c r="G62" s="1356" t="s">
        <v>1157</v>
      </c>
      <c r="H62" s="1356" t="s">
        <v>1158</v>
      </c>
      <c r="I62" s="1356" t="s">
        <v>1159</v>
      </c>
      <c r="J62" s="1356" t="s">
        <v>1160</v>
      </c>
      <c r="K62" s="1356" t="s">
        <v>1161</v>
      </c>
      <c r="L62" s="1356" t="s">
        <v>1162</v>
      </c>
      <c r="M62" s="1356" t="s">
        <v>1163</v>
      </c>
      <c r="N62" s="1356" t="s">
        <v>1164</v>
      </c>
      <c r="O62" s="1356" t="s">
        <v>1165</v>
      </c>
      <c r="P62" s="1356" t="s">
        <v>1166</v>
      </c>
      <c r="Q62" s="1356" t="s">
        <v>1167</v>
      </c>
      <c r="R62" s="1356" t="s">
        <v>1168</v>
      </c>
      <c r="S62" s="1356" t="s">
        <v>1169</v>
      </c>
      <c r="T62" s="1356" t="s">
        <v>1170</v>
      </c>
      <c r="U62" s="1356" t="s">
        <v>1171</v>
      </c>
      <c r="V62" s="1356" t="s">
        <v>1172</v>
      </c>
      <c r="W62" s="1356" t="s">
        <v>1173</v>
      </c>
      <c r="X62" s="1356" t="s">
        <v>1174</v>
      </c>
      <c r="Y62" s="1356" t="s">
        <v>1175</v>
      </c>
      <c r="Z62" s="1356" t="s">
        <v>1176</v>
      </c>
      <c r="AA62" s="1356" t="s">
        <v>1184</v>
      </c>
      <c r="AB62" s="1356" t="s">
        <v>1185</v>
      </c>
      <c r="AE62" s="2140"/>
    </row>
    <row r="63" spans="2:31" s="395" customFormat="1" x14ac:dyDescent="0.25">
      <c r="B63" s="1489" t="s">
        <v>1179</v>
      </c>
      <c r="C63" s="1266">
        <v>0</v>
      </c>
      <c r="D63" s="1266">
        <v>0</v>
      </c>
      <c r="E63" s="1266">
        <v>0</v>
      </c>
      <c r="F63" s="1266">
        <v>0</v>
      </c>
      <c r="G63" s="1266">
        <v>0</v>
      </c>
      <c r="H63" s="1266">
        <v>0.1</v>
      </c>
      <c r="I63" s="1266">
        <v>0.3</v>
      </c>
      <c r="J63" s="1266">
        <v>0.3</v>
      </c>
      <c r="K63" s="1266">
        <v>0</v>
      </c>
      <c r="L63" s="1266">
        <v>0</v>
      </c>
      <c r="M63" s="1266">
        <v>0</v>
      </c>
      <c r="N63" s="1266">
        <v>0</v>
      </c>
      <c r="O63" s="1266">
        <v>0</v>
      </c>
      <c r="P63" s="1266">
        <v>0</v>
      </c>
      <c r="Q63" s="1266">
        <v>0</v>
      </c>
      <c r="R63" s="1266">
        <v>0</v>
      </c>
      <c r="S63" s="1266">
        <v>0</v>
      </c>
      <c r="T63" s="1266">
        <v>0</v>
      </c>
      <c r="U63" s="1266">
        <v>0.5</v>
      </c>
      <c r="V63" s="1266">
        <v>0.5</v>
      </c>
      <c r="W63" s="1266">
        <v>0.5</v>
      </c>
      <c r="X63" s="1266">
        <v>0.1</v>
      </c>
      <c r="Y63" s="1266">
        <v>0.04</v>
      </c>
      <c r="Z63" s="1266">
        <v>0</v>
      </c>
      <c r="AA63" s="1263">
        <f>SUM(C63:Z63)</f>
        <v>2.3400000000000003</v>
      </c>
      <c r="AB63" s="1264">
        <f>AA63*SUM($C$9:$C$13)</f>
        <v>585.00000000000011</v>
      </c>
      <c r="AE63" s="2142"/>
    </row>
    <row r="64" spans="2:31" s="395" customFormat="1" x14ac:dyDescent="0.25">
      <c r="B64" s="1489" t="s">
        <v>1180</v>
      </c>
      <c r="C64" s="1266">
        <v>0</v>
      </c>
      <c r="D64" s="1266">
        <v>0</v>
      </c>
      <c r="E64" s="1266">
        <v>0</v>
      </c>
      <c r="F64" s="1266">
        <v>0</v>
      </c>
      <c r="G64" s="1266">
        <v>0</v>
      </c>
      <c r="H64" s="1266">
        <v>0.1</v>
      </c>
      <c r="I64" s="1266">
        <v>0.3</v>
      </c>
      <c r="J64" s="1266">
        <v>0.3</v>
      </c>
      <c r="K64" s="1266">
        <v>0</v>
      </c>
      <c r="L64" s="1266">
        <v>0</v>
      </c>
      <c r="M64" s="1266">
        <v>0</v>
      </c>
      <c r="N64" s="1266">
        <v>0</v>
      </c>
      <c r="O64" s="1266">
        <v>0</v>
      </c>
      <c r="P64" s="1266">
        <v>0</v>
      </c>
      <c r="Q64" s="1266">
        <v>0</v>
      </c>
      <c r="R64" s="1266">
        <v>0</v>
      </c>
      <c r="S64" s="1266">
        <v>0</v>
      </c>
      <c r="T64" s="1266">
        <v>0</v>
      </c>
      <c r="U64" s="1266">
        <v>0.5</v>
      </c>
      <c r="V64" s="1266">
        <v>0.5</v>
      </c>
      <c r="W64" s="1266">
        <v>0.5</v>
      </c>
      <c r="X64" s="1266">
        <v>0.1</v>
      </c>
      <c r="Y64" s="1266">
        <v>0.04</v>
      </c>
      <c r="Z64" s="1266">
        <v>0</v>
      </c>
      <c r="AA64" s="1263">
        <f>SUM(C64:Z64)</f>
        <v>2.3400000000000003</v>
      </c>
      <c r="AB64" s="1264">
        <f>AA64*SUM($C$14:$C$15)</f>
        <v>243.36000000000004</v>
      </c>
      <c r="AE64" s="2142"/>
    </row>
    <row r="65" spans="2:31" s="395" customFormat="1" x14ac:dyDescent="0.25">
      <c r="B65" s="1489" t="s">
        <v>1181</v>
      </c>
      <c r="C65" s="1266">
        <v>0</v>
      </c>
      <c r="D65" s="1266">
        <v>0</v>
      </c>
      <c r="E65" s="1266">
        <v>0</v>
      </c>
      <c r="F65" s="1266">
        <v>0</v>
      </c>
      <c r="G65" s="1266">
        <v>0</v>
      </c>
      <c r="H65" s="1266">
        <v>0.1</v>
      </c>
      <c r="I65" s="1266">
        <v>0.3</v>
      </c>
      <c r="J65" s="1266">
        <v>0.3</v>
      </c>
      <c r="K65" s="1266">
        <v>0</v>
      </c>
      <c r="L65" s="1266">
        <v>0</v>
      </c>
      <c r="M65" s="1266">
        <v>0</v>
      </c>
      <c r="N65" s="1266">
        <v>0</v>
      </c>
      <c r="O65" s="1266">
        <v>0</v>
      </c>
      <c r="P65" s="1266">
        <v>0</v>
      </c>
      <c r="Q65" s="1266">
        <v>0</v>
      </c>
      <c r="R65" s="1266">
        <v>0</v>
      </c>
      <c r="S65" s="1266">
        <v>0</v>
      </c>
      <c r="T65" s="1266">
        <v>0</v>
      </c>
      <c r="U65" s="1266">
        <v>0.5</v>
      </c>
      <c r="V65" s="1266">
        <v>0.5</v>
      </c>
      <c r="W65" s="1266">
        <v>0.5</v>
      </c>
      <c r="X65" s="1266">
        <v>0.1</v>
      </c>
      <c r="Y65" s="1266">
        <v>0.04</v>
      </c>
      <c r="Z65" s="1266">
        <v>0</v>
      </c>
      <c r="AA65" s="1263">
        <f>SUM(C65:Z65)</f>
        <v>2.3400000000000003</v>
      </c>
      <c r="AB65" s="1264">
        <f>AA65*$C$8</f>
        <v>25.740000000000002</v>
      </c>
      <c r="AE65" s="2142"/>
    </row>
    <row r="66" spans="2:31" s="395" customFormat="1" x14ac:dyDescent="0.25">
      <c r="B66" s="3368" t="s">
        <v>1186</v>
      </c>
      <c r="C66" s="3368"/>
      <c r="D66" s="3368"/>
      <c r="E66" s="3368"/>
      <c r="F66" s="3368"/>
      <c r="G66" s="3368"/>
      <c r="H66" s="3368"/>
      <c r="I66" s="3368"/>
      <c r="J66" s="3368"/>
      <c r="K66" s="3368"/>
      <c r="L66" s="3368"/>
      <c r="M66" s="3368"/>
      <c r="N66" s="3368"/>
      <c r="O66" s="3368"/>
      <c r="P66" s="3368"/>
      <c r="Q66" s="3368"/>
      <c r="R66" s="3368"/>
      <c r="S66" s="3368"/>
      <c r="T66" s="3368"/>
      <c r="U66" s="3368"/>
      <c r="V66" s="3368"/>
      <c r="W66" s="3368"/>
      <c r="X66" s="3368"/>
      <c r="Y66" s="3368"/>
      <c r="Z66" s="3368"/>
      <c r="AA66" s="3368"/>
      <c r="AB66" s="1264">
        <f>SUM(AB63:AB65)</f>
        <v>854.10000000000014</v>
      </c>
      <c r="AE66" s="2142"/>
    </row>
    <row r="67" spans="2:31" s="395" customFormat="1" x14ac:dyDescent="0.25">
      <c r="B67" s="661"/>
      <c r="C67" s="661"/>
      <c r="D67" s="661"/>
      <c r="E67" s="661"/>
      <c r="F67" s="661"/>
      <c r="G67" s="661"/>
      <c r="H67" s="661"/>
      <c r="I67" s="661"/>
      <c r="J67" s="661"/>
      <c r="K67" s="661"/>
      <c r="L67" s="661"/>
      <c r="M67" s="661"/>
      <c r="N67" s="661"/>
      <c r="O67" s="661"/>
      <c r="P67" s="661"/>
      <c r="Q67" s="661"/>
      <c r="R67" s="661"/>
      <c r="S67" s="661"/>
      <c r="T67" s="661"/>
      <c r="U67" s="661"/>
      <c r="V67" s="661"/>
      <c r="W67" s="661"/>
      <c r="X67" s="661"/>
      <c r="Y67" s="661"/>
      <c r="Z67" s="661"/>
      <c r="AA67" s="661"/>
      <c r="AB67" s="661"/>
      <c r="AE67" s="2140"/>
    </row>
    <row r="68" spans="2:31" s="395" customFormat="1" ht="27" customHeight="1" x14ac:dyDescent="0.25">
      <c r="B68" s="661"/>
      <c r="C68" s="661"/>
      <c r="D68" s="661"/>
      <c r="E68" s="661"/>
      <c r="F68" s="661"/>
      <c r="G68" s="661"/>
      <c r="H68" s="661"/>
      <c r="I68" s="661"/>
      <c r="J68" s="661"/>
      <c r="K68" s="661"/>
      <c r="L68" s="661"/>
      <c r="M68" s="661"/>
      <c r="N68" s="661"/>
      <c r="O68" s="661"/>
      <c r="P68" s="661"/>
      <c r="Q68" s="661"/>
      <c r="R68" s="661"/>
      <c r="S68" s="661"/>
      <c r="T68" s="661"/>
      <c r="U68" s="661"/>
      <c r="V68" s="661"/>
      <c r="W68" s="661"/>
      <c r="X68" s="661"/>
      <c r="Y68" s="661"/>
      <c r="Z68" s="661"/>
      <c r="AA68" s="661"/>
      <c r="AB68" s="661"/>
      <c r="AE68" s="2140"/>
    </row>
    <row r="69" spans="2:31" s="395" customFormat="1" x14ac:dyDescent="0.25">
      <c r="B69" s="661"/>
      <c r="C69" s="661"/>
      <c r="D69" s="661"/>
      <c r="E69" s="661"/>
      <c r="F69" s="661"/>
      <c r="G69" s="661"/>
      <c r="H69" s="661"/>
      <c r="I69" s="661"/>
      <c r="J69" s="661"/>
      <c r="K69" s="661"/>
      <c r="L69" s="661"/>
      <c r="M69" s="661"/>
      <c r="N69" s="661"/>
      <c r="O69" s="661"/>
      <c r="P69" s="661"/>
      <c r="Q69" s="661"/>
      <c r="R69" s="661"/>
      <c r="S69" s="661"/>
      <c r="T69" s="661"/>
      <c r="U69" s="661"/>
      <c r="V69" s="661"/>
      <c r="W69" s="661"/>
      <c r="X69" s="661"/>
      <c r="Y69" s="661"/>
      <c r="Z69" s="661"/>
      <c r="AA69" s="661"/>
      <c r="AB69" s="661"/>
      <c r="AE69" s="2140"/>
    </row>
    <row r="70" spans="2:31" s="395" customFormat="1" ht="15" customHeight="1" x14ac:dyDescent="0.25">
      <c r="B70" s="661" t="s">
        <v>1152</v>
      </c>
      <c r="C70" s="3362"/>
      <c r="D70" s="3362"/>
      <c r="E70" s="3362"/>
      <c r="F70" s="3362"/>
      <c r="G70" s="3362"/>
      <c r="H70" s="3362"/>
      <c r="I70" s="3362"/>
      <c r="J70" s="3362"/>
      <c r="K70" s="3362"/>
      <c r="L70" s="3362"/>
      <c r="M70" s="3362"/>
      <c r="N70" s="3362"/>
      <c r="O70" s="3362"/>
      <c r="P70" s="669"/>
      <c r="Q70" s="670"/>
      <c r="R70" s="670"/>
      <c r="S70" s="670"/>
      <c r="T70" s="670"/>
      <c r="U70" s="670"/>
      <c r="V70" s="670"/>
      <c r="W70" s="670"/>
      <c r="X70" s="670"/>
      <c r="Y70" s="670"/>
      <c r="Z70" s="670"/>
      <c r="AA70" s="670"/>
      <c r="AB70" s="670"/>
      <c r="AE70" s="2140"/>
    </row>
    <row r="71" spans="2:31" s="395" customFormat="1" x14ac:dyDescent="0.25">
      <c r="B71" s="661"/>
      <c r="C71" s="661"/>
      <c r="D71" s="661"/>
      <c r="E71" s="661"/>
      <c r="F71" s="661"/>
      <c r="G71" s="661"/>
      <c r="H71" s="661"/>
      <c r="I71" s="661"/>
      <c r="J71" s="661"/>
      <c r="K71" s="661"/>
      <c r="L71" s="661"/>
      <c r="M71" s="661"/>
      <c r="N71" s="661"/>
      <c r="O71" s="661"/>
      <c r="P71" s="661"/>
      <c r="Q71" s="661"/>
      <c r="R71" s="661"/>
      <c r="S71" s="661"/>
      <c r="T71" s="661"/>
      <c r="U71" s="661"/>
      <c r="V71" s="661"/>
      <c r="W71" s="661"/>
      <c r="X71" s="661"/>
      <c r="Y71" s="661"/>
      <c r="Z71" s="661"/>
      <c r="AA71" s="661"/>
      <c r="AB71" s="661"/>
      <c r="AE71" s="2140"/>
    </row>
    <row r="72" spans="2:31" s="1608" customFormat="1" ht="21" customHeight="1" x14ac:dyDescent="0.25">
      <c r="B72" s="1356"/>
      <c r="C72" s="1357" t="s">
        <v>1153</v>
      </c>
      <c r="D72" s="1356" t="s">
        <v>1154</v>
      </c>
      <c r="E72" s="1356" t="s">
        <v>1155</v>
      </c>
      <c r="F72" s="1356" t="s">
        <v>1156</v>
      </c>
      <c r="G72" s="1356" t="s">
        <v>1157</v>
      </c>
      <c r="H72" s="1356" t="s">
        <v>1158</v>
      </c>
      <c r="I72" s="1356" t="s">
        <v>1159</v>
      </c>
      <c r="J72" s="1356" t="s">
        <v>1160</v>
      </c>
      <c r="K72" s="1356" t="s">
        <v>1161</v>
      </c>
      <c r="L72" s="1356" t="s">
        <v>1162</v>
      </c>
      <c r="M72" s="1356" t="s">
        <v>1163</v>
      </c>
      <c r="N72" s="1356" t="s">
        <v>1164</v>
      </c>
      <c r="O72" s="1356" t="s">
        <v>1165</v>
      </c>
      <c r="P72" s="1356" t="s">
        <v>1166</v>
      </c>
      <c r="Q72" s="1356" t="s">
        <v>1167</v>
      </c>
      <c r="R72" s="1356" t="s">
        <v>1168</v>
      </c>
      <c r="S72" s="1356" t="s">
        <v>1169</v>
      </c>
      <c r="T72" s="1356" t="s">
        <v>1170</v>
      </c>
      <c r="U72" s="1356" t="s">
        <v>1171</v>
      </c>
      <c r="V72" s="1356" t="s">
        <v>1172</v>
      </c>
      <c r="W72" s="1356" t="s">
        <v>1173</v>
      </c>
      <c r="X72" s="1356" t="s">
        <v>1174</v>
      </c>
      <c r="Y72" s="1356" t="s">
        <v>1175</v>
      </c>
      <c r="Z72" s="1356" t="s">
        <v>1176</v>
      </c>
      <c r="AA72" s="1356" t="s">
        <v>1184</v>
      </c>
      <c r="AB72" s="1356" t="s">
        <v>1185</v>
      </c>
      <c r="AE72" s="2140"/>
    </row>
    <row r="73" spans="2:31" s="395" customFormat="1" x14ac:dyDescent="0.25">
      <c r="B73" s="1489" t="s">
        <v>1179</v>
      </c>
      <c r="C73" s="1266">
        <v>0.12</v>
      </c>
      <c r="D73" s="1266">
        <v>0.12</v>
      </c>
      <c r="E73" s="1266">
        <v>0.12</v>
      </c>
      <c r="F73" s="1266">
        <v>0.12</v>
      </c>
      <c r="G73" s="1266">
        <v>0.12</v>
      </c>
      <c r="H73" s="1266">
        <v>0.12</v>
      </c>
      <c r="I73" s="1266">
        <v>0.36</v>
      </c>
      <c r="J73" s="1266">
        <v>0.36</v>
      </c>
      <c r="K73" s="1266">
        <v>0.36</v>
      </c>
      <c r="L73" s="1266">
        <v>0.36</v>
      </c>
      <c r="M73" s="1266">
        <v>0.24</v>
      </c>
      <c r="N73" s="1266">
        <v>0.24</v>
      </c>
      <c r="O73" s="1266">
        <v>0.24</v>
      </c>
      <c r="P73" s="1266">
        <v>0.24</v>
      </c>
      <c r="Q73" s="1266">
        <v>0.24</v>
      </c>
      <c r="R73" s="1266">
        <v>0.24</v>
      </c>
      <c r="S73" s="1266">
        <v>0.24</v>
      </c>
      <c r="T73" s="1266">
        <v>0.24</v>
      </c>
      <c r="U73" s="1266">
        <v>0.36</v>
      </c>
      <c r="V73" s="1266">
        <v>0.36</v>
      </c>
      <c r="W73" s="1266">
        <v>0.36</v>
      </c>
      <c r="X73" s="1266">
        <v>0.36</v>
      </c>
      <c r="Y73" s="1266">
        <v>0.12</v>
      </c>
      <c r="Z73" s="1266">
        <v>0.12</v>
      </c>
      <c r="AA73" s="1263">
        <f>SUM(C73:Z73)</f>
        <v>5.7600000000000025</v>
      </c>
      <c r="AB73" s="1264">
        <f>AA73*SUM($C$9:$C$13)</f>
        <v>1440.0000000000007</v>
      </c>
      <c r="AE73" s="2142"/>
    </row>
    <row r="74" spans="2:31" s="395" customFormat="1" x14ac:dyDescent="0.25">
      <c r="B74" s="1489" t="s">
        <v>1180</v>
      </c>
      <c r="C74" s="1266">
        <v>0.12</v>
      </c>
      <c r="D74" s="1266">
        <v>0.12</v>
      </c>
      <c r="E74" s="1266">
        <v>0.12</v>
      </c>
      <c r="F74" s="1266">
        <v>0.12</v>
      </c>
      <c r="G74" s="1266">
        <v>0.12</v>
      </c>
      <c r="H74" s="1266">
        <v>0.12</v>
      </c>
      <c r="I74" s="1266">
        <v>0.36</v>
      </c>
      <c r="J74" s="1266">
        <v>0.36</v>
      </c>
      <c r="K74" s="1266">
        <v>0.36</v>
      </c>
      <c r="L74" s="1266">
        <v>0.36</v>
      </c>
      <c r="M74" s="1266">
        <v>0.24</v>
      </c>
      <c r="N74" s="1266">
        <v>0.24</v>
      </c>
      <c r="O74" s="1266">
        <v>0.24</v>
      </c>
      <c r="P74" s="1266">
        <v>0.24</v>
      </c>
      <c r="Q74" s="1266">
        <v>0.24</v>
      </c>
      <c r="R74" s="1266">
        <v>0.24</v>
      </c>
      <c r="S74" s="1266">
        <v>0.24</v>
      </c>
      <c r="T74" s="1266">
        <v>0.24</v>
      </c>
      <c r="U74" s="1266">
        <v>0.36</v>
      </c>
      <c r="V74" s="1266">
        <v>0.36</v>
      </c>
      <c r="W74" s="1266">
        <v>0.36</v>
      </c>
      <c r="X74" s="1266">
        <v>0.36</v>
      </c>
      <c r="Y74" s="1266">
        <v>0.12</v>
      </c>
      <c r="Z74" s="1266">
        <v>0.12</v>
      </c>
      <c r="AA74" s="1263">
        <f>SUM(C74:Z74)</f>
        <v>5.7600000000000025</v>
      </c>
      <c r="AB74" s="1264">
        <f>AA74*SUM($C$14:$C$15)</f>
        <v>599.0400000000003</v>
      </c>
      <c r="AE74" s="2142"/>
    </row>
    <row r="75" spans="2:31" s="395" customFormat="1" x14ac:dyDescent="0.25">
      <c r="B75" s="1489" t="s">
        <v>1181</v>
      </c>
      <c r="C75" s="1266">
        <v>0.12</v>
      </c>
      <c r="D75" s="1266">
        <v>0.12</v>
      </c>
      <c r="E75" s="1266">
        <v>0.12</v>
      </c>
      <c r="F75" s="1266">
        <v>0.12</v>
      </c>
      <c r="G75" s="1266">
        <v>0.12</v>
      </c>
      <c r="H75" s="1266">
        <v>0.12</v>
      </c>
      <c r="I75" s="1266">
        <v>0.36</v>
      </c>
      <c r="J75" s="1266">
        <v>0.36</v>
      </c>
      <c r="K75" s="1266">
        <v>0.36</v>
      </c>
      <c r="L75" s="1266">
        <v>0.36</v>
      </c>
      <c r="M75" s="1266">
        <v>0.24</v>
      </c>
      <c r="N75" s="1266">
        <v>0.24</v>
      </c>
      <c r="O75" s="1266">
        <v>0.24</v>
      </c>
      <c r="P75" s="1266">
        <v>0.24</v>
      </c>
      <c r="Q75" s="1266">
        <v>0.24</v>
      </c>
      <c r="R75" s="1266">
        <v>0.24</v>
      </c>
      <c r="S75" s="1266">
        <v>0.24</v>
      </c>
      <c r="T75" s="1266">
        <v>0.24</v>
      </c>
      <c r="U75" s="1266">
        <v>0.36</v>
      </c>
      <c r="V75" s="1266">
        <v>0.36</v>
      </c>
      <c r="W75" s="1266">
        <v>0.36</v>
      </c>
      <c r="X75" s="1266">
        <v>0.36</v>
      </c>
      <c r="Y75" s="1266">
        <v>0.12</v>
      </c>
      <c r="Z75" s="1266">
        <v>0.12</v>
      </c>
      <c r="AA75" s="1263">
        <f>SUM(C75:Z75)</f>
        <v>5.7600000000000025</v>
      </c>
      <c r="AB75" s="1264">
        <f>AA75*$C$8</f>
        <v>63.360000000000028</v>
      </c>
      <c r="AE75" s="2142"/>
    </row>
    <row r="76" spans="2:31" s="395" customFormat="1" x14ac:dyDescent="0.25">
      <c r="B76" s="3368" t="s">
        <v>1186</v>
      </c>
      <c r="C76" s="3368"/>
      <c r="D76" s="3368"/>
      <c r="E76" s="3368"/>
      <c r="F76" s="3368"/>
      <c r="G76" s="3368"/>
      <c r="H76" s="3368"/>
      <c r="I76" s="3368"/>
      <c r="J76" s="3368"/>
      <c r="K76" s="3368"/>
      <c r="L76" s="3368"/>
      <c r="M76" s="3368"/>
      <c r="N76" s="3368"/>
      <c r="O76" s="3368"/>
      <c r="P76" s="3368"/>
      <c r="Q76" s="3368"/>
      <c r="R76" s="3368"/>
      <c r="S76" s="3368"/>
      <c r="T76" s="3368"/>
      <c r="U76" s="3368"/>
      <c r="V76" s="3368"/>
      <c r="W76" s="3368"/>
      <c r="X76" s="3368"/>
      <c r="Y76" s="3368"/>
      <c r="Z76" s="3368"/>
      <c r="AA76" s="3368"/>
      <c r="AB76" s="1264">
        <f>SUM(AB73:AB75)</f>
        <v>2102.400000000001</v>
      </c>
      <c r="AE76" s="2142"/>
    </row>
    <row r="77" spans="2:31" s="395" customFormat="1" x14ac:dyDescent="0.25">
      <c r="B77" s="661"/>
      <c r="C77" s="661"/>
      <c r="D77" s="661"/>
      <c r="E77" s="661"/>
      <c r="F77" s="661"/>
      <c r="G77" s="661"/>
      <c r="H77" s="661"/>
      <c r="I77" s="661"/>
      <c r="J77" s="661"/>
      <c r="K77" s="661"/>
      <c r="L77" s="661"/>
      <c r="M77" s="661"/>
      <c r="N77" s="661"/>
      <c r="O77" s="661"/>
      <c r="P77" s="661"/>
      <c r="Q77" s="661"/>
      <c r="R77" s="661"/>
      <c r="S77" s="661"/>
      <c r="T77" s="661"/>
      <c r="U77" s="661"/>
      <c r="V77" s="661"/>
      <c r="W77" s="661"/>
      <c r="X77" s="661"/>
      <c r="Y77" s="661"/>
      <c r="Z77" s="661"/>
      <c r="AA77" s="661"/>
      <c r="AB77" s="661"/>
      <c r="AE77" s="2140"/>
    </row>
    <row r="78" spans="2:31" s="395" customFormat="1" x14ac:dyDescent="0.25">
      <c r="B78" s="661"/>
      <c r="C78" s="661"/>
      <c r="D78" s="661"/>
      <c r="E78" s="661"/>
      <c r="F78" s="661"/>
      <c r="G78" s="661"/>
      <c r="H78" s="661"/>
      <c r="I78" s="661"/>
      <c r="J78" s="661"/>
      <c r="K78" s="661"/>
      <c r="L78" s="661"/>
      <c r="M78" s="661"/>
      <c r="N78" s="661"/>
      <c r="O78" s="661"/>
      <c r="P78" s="661"/>
      <c r="Q78" s="661"/>
      <c r="R78" s="661"/>
      <c r="S78" s="661"/>
      <c r="T78" s="661"/>
      <c r="U78" s="661"/>
      <c r="V78" s="661"/>
      <c r="W78" s="661"/>
      <c r="X78" s="661"/>
      <c r="Y78" s="661"/>
      <c r="Z78" s="661"/>
      <c r="AA78" s="661"/>
      <c r="AB78" s="661"/>
      <c r="AE78" s="2140"/>
    </row>
    <row r="79" spans="2:31" s="395" customFormat="1" ht="15" customHeight="1" x14ac:dyDescent="0.25">
      <c r="B79" s="661" t="s">
        <v>1152</v>
      </c>
      <c r="C79" s="3362"/>
      <c r="D79" s="3362"/>
      <c r="E79" s="3362"/>
      <c r="F79" s="3362"/>
      <c r="G79" s="3362"/>
      <c r="H79" s="3362"/>
      <c r="I79" s="3362"/>
      <c r="J79" s="3362"/>
      <c r="K79" s="3362"/>
      <c r="L79" s="3362"/>
      <c r="M79" s="3362"/>
      <c r="N79" s="3362"/>
      <c r="O79" s="3362"/>
      <c r="P79" s="669"/>
      <c r="Q79" s="670"/>
      <c r="R79" s="670"/>
      <c r="S79" s="670"/>
      <c r="T79" s="670"/>
      <c r="U79" s="670"/>
      <c r="V79" s="670"/>
      <c r="W79" s="670"/>
      <c r="X79" s="670"/>
      <c r="Y79" s="670"/>
      <c r="Z79" s="670"/>
      <c r="AA79" s="670"/>
      <c r="AB79" s="670"/>
      <c r="AE79" s="2140"/>
    </row>
    <row r="80" spans="2:31" s="395" customFormat="1" x14ac:dyDescent="0.25">
      <c r="B80" s="661"/>
      <c r="C80" s="661"/>
      <c r="D80" s="661"/>
      <c r="E80" s="661"/>
      <c r="F80" s="661"/>
      <c r="G80" s="661"/>
      <c r="H80" s="661"/>
      <c r="I80" s="661"/>
      <c r="J80" s="661"/>
      <c r="K80" s="661"/>
      <c r="L80" s="661"/>
      <c r="M80" s="661"/>
      <c r="N80" s="661"/>
      <c r="O80" s="661"/>
      <c r="P80" s="661"/>
      <c r="Q80" s="661"/>
      <c r="R80" s="661"/>
      <c r="S80" s="661"/>
      <c r="T80" s="661"/>
      <c r="U80" s="661"/>
      <c r="V80" s="661"/>
      <c r="W80" s="661"/>
      <c r="X80" s="661"/>
      <c r="Y80" s="661"/>
      <c r="Z80" s="661"/>
      <c r="AA80" s="661"/>
      <c r="AB80" s="661"/>
      <c r="AE80" s="2140"/>
    </row>
    <row r="81" spans="2:31" s="1608" customFormat="1" ht="21" customHeight="1" x14ac:dyDescent="0.25">
      <c r="B81" s="1356"/>
      <c r="C81" s="1357" t="s">
        <v>1153</v>
      </c>
      <c r="D81" s="1356" t="s">
        <v>1154</v>
      </c>
      <c r="E81" s="1356" t="s">
        <v>1155</v>
      </c>
      <c r="F81" s="1356" t="s">
        <v>1156</v>
      </c>
      <c r="G81" s="1356" t="s">
        <v>1157</v>
      </c>
      <c r="H81" s="1356" t="s">
        <v>1158</v>
      </c>
      <c r="I81" s="1356" t="s">
        <v>1159</v>
      </c>
      <c r="J81" s="1356" t="s">
        <v>1160</v>
      </c>
      <c r="K81" s="1356" t="s">
        <v>1161</v>
      </c>
      <c r="L81" s="1356" t="s">
        <v>1162</v>
      </c>
      <c r="M81" s="1356" t="s">
        <v>1163</v>
      </c>
      <c r="N81" s="1356" t="s">
        <v>1164</v>
      </c>
      <c r="O81" s="1356" t="s">
        <v>1165</v>
      </c>
      <c r="P81" s="1356" t="s">
        <v>1166</v>
      </c>
      <c r="Q81" s="1356" t="s">
        <v>1167</v>
      </c>
      <c r="R81" s="1356" t="s">
        <v>1168</v>
      </c>
      <c r="S81" s="1356" t="s">
        <v>1169</v>
      </c>
      <c r="T81" s="1356" t="s">
        <v>1170</v>
      </c>
      <c r="U81" s="1356" t="s">
        <v>1171</v>
      </c>
      <c r="V81" s="1356" t="s">
        <v>1172</v>
      </c>
      <c r="W81" s="1356" t="s">
        <v>1173</v>
      </c>
      <c r="X81" s="1356" t="s">
        <v>1174</v>
      </c>
      <c r="Y81" s="1356" t="s">
        <v>1175</v>
      </c>
      <c r="Z81" s="1356" t="s">
        <v>1176</v>
      </c>
      <c r="AA81" s="1356" t="s">
        <v>1184</v>
      </c>
      <c r="AB81" s="1356" t="s">
        <v>1185</v>
      </c>
      <c r="AE81" s="2140"/>
    </row>
    <row r="82" spans="2:31" s="395" customFormat="1" x14ac:dyDescent="0.25">
      <c r="B82" s="1489" t="s">
        <v>1179</v>
      </c>
      <c r="C82" s="1266">
        <v>0.2</v>
      </c>
      <c r="D82" s="1266">
        <v>0.2</v>
      </c>
      <c r="E82" s="1266">
        <v>0.2</v>
      </c>
      <c r="F82" s="1266">
        <v>0.2</v>
      </c>
      <c r="G82" s="1266">
        <v>0.2</v>
      </c>
      <c r="H82" s="1266">
        <v>0.2</v>
      </c>
      <c r="I82" s="1266">
        <v>0.6</v>
      </c>
      <c r="J82" s="1266">
        <v>0.6</v>
      </c>
      <c r="K82" s="1266">
        <v>0.6</v>
      </c>
      <c r="L82" s="1266">
        <v>0.6</v>
      </c>
      <c r="M82" s="1266">
        <v>0.4</v>
      </c>
      <c r="N82" s="1266">
        <v>0.4</v>
      </c>
      <c r="O82" s="1266">
        <v>0.4</v>
      </c>
      <c r="P82" s="1266">
        <v>0.4</v>
      </c>
      <c r="Q82" s="1266">
        <v>0.4</v>
      </c>
      <c r="R82" s="1266">
        <v>0.4</v>
      </c>
      <c r="S82" s="1266">
        <v>0.4</v>
      </c>
      <c r="T82" s="1266">
        <v>0.4</v>
      </c>
      <c r="U82" s="1266">
        <v>0.6</v>
      </c>
      <c r="V82" s="1266">
        <v>0.6</v>
      </c>
      <c r="W82" s="1266">
        <v>0.6</v>
      </c>
      <c r="X82" s="1266">
        <v>0.6</v>
      </c>
      <c r="Y82" s="1266">
        <v>0.2</v>
      </c>
      <c r="Z82" s="1266">
        <v>0.2</v>
      </c>
      <c r="AA82" s="1263">
        <f>SUM(C82:Z82)</f>
        <v>9.6</v>
      </c>
      <c r="AB82" s="1264">
        <f>AA82*SUM($C$9:$C$13)</f>
        <v>2400</v>
      </c>
      <c r="AE82" s="2142"/>
    </row>
    <row r="83" spans="2:31" s="395" customFormat="1" x14ac:dyDescent="0.25">
      <c r="B83" s="1489" t="s">
        <v>1180</v>
      </c>
      <c r="C83" s="1266">
        <v>0.2</v>
      </c>
      <c r="D83" s="1266">
        <v>0.2</v>
      </c>
      <c r="E83" s="1266">
        <v>0.2</v>
      </c>
      <c r="F83" s="1266">
        <v>0.2</v>
      </c>
      <c r="G83" s="1266">
        <v>0.2</v>
      </c>
      <c r="H83" s="1266">
        <v>0.2</v>
      </c>
      <c r="I83" s="1266">
        <v>0.6</v>
      </c>
      <c r="J83" s="1266">
        <v>0.6</v>
      </c>
      <c r="K83" s="1266">
        <v>0.6</v>
      </c>
      <c r="L83" s="1266">
        <v>0.6</v>
      </c>
      <c r="M83" s="1266">
        <v>0.4</v>
      </c>
      <c r="N83" s="1266">
        <v>0.4</v>
      </c>
      <c r="O83" s="1266">
        <v>0.4</v>
      </c>
      <c r="P83" s="1266">
        <v>0.4</v>
      </c>
      <c r="Q83" s="1266">
        <v>0.4</v>
      </c>
      <c r="R83" s="1266">
        <v>0.4</v>
      </c>
      <c r="S83" s="1266">
        <v>0.4</v>
      </c>
      <c r="T83" s="1266">
        <v>0.4</v>
      </c>
      <c r="U83" s="1266">
        <v>0.6</v>
      </c>
      <c r="V83" s="1266">
        <v>0.6</v>
      </c>
      <c r="W83" s="1266">
        <v>0.6</v>
      </c>
      <c r="X83" s="1266">
        <v>0.6</v>
      </c>
      <c r="Y83" s="1266">
        <v>0.2</v>
      </c>
      <c r="Z83" s="1266">
        <v>0.2</v>
      </c>
      <c r="AA83" s="1263">
        <f>SUM(C83:Z83)</f>
        <v>9.6</v>
      </c>
      <c r="AB83" s="1264">
        <f>AA83*SUM($C$14:$C$15)</f>
        <v>998.4</v>
      </c>
      <c r="AE83" s="2142"/>
    </row>
    <row r="84" spans="2:31" s="395" customFormat="1" x14ac:dyDescent="0.25">
      <c r="B84" s="1489" t="s">
        <v>1181</v>
      </c>
      <c r="C84" s="1266">
        <v>0.2</v>
      </c>
      <c r="D84" s="1266">
        <v>0.2</v>
      </c>
      <c r="E84" s="1266">
        <v>0.2</v>
      </c>
      <c r="F84" s="1266">
        <v>0.2</v>
      </c>
      <c r="G84" s="1266">
        <v>0.2</v>
      </c>
      <c r="H84" s="1266">
        <v>0.2</v>
      </c>
      <c r="I84" s="1266">
        <v>0.6</v>
      </c>
      <c r="J84" s="1266">
        <v>0.6</v>
      </c>
      <c r="K84" s="1266">
        <v>0.6</v>
      </c>
      <c r="L84" s="1266">
        <v>0.6</v>
      </c>
      <c r="M84" s="1266">
        <v>0.4</v>
      </c>
      <c r="N84" s="1266">
        <v>0.4</v>
      </c>
      <c r="O84" s="1266">
        <v>0.4</v>
      </c>
      <c r="P84" s="1266">
        <v>0.4</v>
      </c>
      <c r="Q84" s="1266">
        <v>0.4</v>
      </c>
      <c r="R84" s="1266">
        <v>0.4</v>
      </c>
      <c r="S84" s="1266">
        <v>0.4</v>
      </c>
      <c r="T84" s="1266">
        <v>0.4</v>
      </c>
      <c r="U84" s="1266">
        <v>0.6</v>
      </c>
      <c r="V84" s="1266">
        <v>0.6</v>
      </c>
      <c r="W84" s="1266">
        <v>0.6</v>
      </c>
      <c r="X84" s="1266">
        <v>0.6</v>
      </c>
      <c r="Y84" s="1266">
        <v>0.2</v>
      </c>
      <c r="Z84" s="1266">
        <v>0.2</v>
      </c>
      <c r="AA84" s="1263">
        <f>SUM(C84:Z84)</f>
        <v>9.6</v>
      </c>
      <c r="AB84" s="1264">
        <f>AA84*$C$8</f>
        <v>105.6</v>
      </c>
      <c r="AE84" s="2142"/>
    </row>
    <row r="85" spans="2:31" s="395" customFormat="1" x14ac:dyDescent="0.25">
      <c r="B85" s="3368" t="s">
        <v>1186</v>
      </c>
      <c r="C85" s="3368"/>
      <c r="D85" s="3368"/>
      <c r="E85" s="3368"/>
      <c r="F85" s="3368"/>
      <c r="G85" s="3368"/>
      <c r="H85" s="3368"/>
      <c r="I85" s="3368"/>
      <c r="J85" s="3368"/>
      <c r="K85" s="3368"/>
      <c r="L85" s="3368"/>
      <c r="M85" s="3368"/>
      <c r="N85" s="3368"/>
      <c r="O85" s="3368"/>
      <c r="P85" s="3368"/>
      <c r="Q85" s="3368"/>
      <c r="R85" s="3368"/>
      <c r="S85" s="3368"/>
      <c r="T85" s="3368"/>
      <c r="U85" s="3368"/>
      <c r="V85" s="3368"/>
      <c r="W85" s="3368"/>
      <c r="X85" s="3368"/>
      <c r="Y85" s="3368"/>
      <c r="Z85" s="3368"/>
      <c r="AA85" s="3368"/>
      <c r="AB85" s="1264">
        <f>SUM(AB82:AB84)</f>
        <v>3504</v>
      </c>
      <c r="AE85" s="2142"/>
    </row>
    <row r="86" spans="2:31" s="395" customFormat="1" x14ac:dyDescent="0.25">
      <c r="B86" s="661"/>
      <c r="C86" s="661"/>
      <c r="D86" s="661"/>
      <c r="E86" s="661"/>
      <c r="F86" s="661"/>
      <c r="G86" s="661"/>
      <c r="H86" s="661"/>
      <c r="I86" s="661"/>
      <c r="J86" s="661"/>
      <c r="K86" s="661"/>
      <c r="L86" s="661"/>
      <c r="M86" s="661"/>
      <c r="N86" s="661"/>
      <c r="O86" s="661"/>
      <c r="P86" s="661"/>
      <c r="Q86" s="661"/>
      <c r="R86" s="661"/>
      <c r="S86" s="661"/>
      <c r="T86" s="661"/>
      <c r="U86" s="661"/>
      <c r="V86" s="661"/>
      <c r="W86" s="661"/>
      <c r="X86" s="661"/>
      <c r="Y86" s="661"/>
      <c r="Z86" s="661"/>
      <c r="AA86" s="661"/>
      <c r="AB86" s="661"/>
      <c r="AE86" s="2140"/>
    </row>
    <row r="87" spans="2:31" s="395" customFormat="1" x14ac:dyDescent="0.25">
      <c r="B87" s="661"/>
      <c r="C87" s="661"/>
      <c r="D87" s="661"/>
      <c r="E87" s="661"/>
      <c r="F87" s="661"/>
      <c r="G87" s="661"/>
      <c r="H87" s="661"/>
      <c r="I87" s="661"/>
      <c r="J87" s="661"/>
      <c r="K87" s="661"/>
      <c r="L87" s="661"/>
      <c r="M87" s="661"/>
      <c r="N87" s="661"/>
      <c r="O87" s="661"/>
      <c r="P87" s="661"/>
      <c r="Q87" s="661"/>
      <c r="R87" s="661"/>
      <c r="S87" s="661"/>
      <c r="T87" s="661"/>
      <c r="U87" s="661"/>
      <c r="V87" s="661"/>
      <c r="W87" s="661"/>
      <c r="X87" s="661"/>
      <c r="Y87" s="661"/>
      <c r="Z87" s="661"/>
      <c r="AA87" s="661"/>
      <c r="AB87" s="661"/>
      <c r="AE87" s="2140"/>
    </row>
    <row r="88" spans="2:31" s="395" customFormat="1" ht="15" customHeight="1" x14ac:dyDescent="0.25">
      <c r="B88" s="661" t="s">
        <v>1152</v>
      </c>
      <c r="C88" s="3362"/>
      <c r="D88" s="3362"/>
      <c r="E88" s="3362"/>
      <c r="F88" s="3362"/>
      <c r="G88" s="3362"/>
      <c r="H88" s="3362"/>
      <c r="I88" s="3362"/>
      <c r="J88" s="3362"/>
      <c r="K88" s="3362"/>
      <c r="L88" s="3362"/>
      <c r="M88" s="3362"/>
      <c r="N88" s="3362"/>
      <c r="O88" s="3362"/>
      <c r="P88" s="669"/>
      <c r="Q88" s="670"/>
      <c r="R88" s="670"/>
      <c r="S88" s="670"/>
      <c r="T88" s="670"/>
      <c r="U88" s="670"/>
      <c r="V88" s="670"/>
      <c r="W88" s="670"/>
      <c r="X88" s="670"/>
      <c r="Y88" s="670"/>
      <c r="Z88" s="670"/>
      <c r="AA88" s="670"/>
      <c r="AB88" s="670"/>
      <c r="AE88" s="2140"/>
    </row>
    <row r="89" spans="2:31" s="395" customFormat="1" x14ac:dyDescent="0.25">
      <c r="B89" s="661"/>
      <c r="C89" s="661"/>
      <c r="D89" s="661"/>
      <c r="E89" s="661"/>
      <c r="F89" s="661"/>
      <c r="G89" s="661"/>
      <c r="H89" s="661"/>
      <c r="I89" s="661"/>
      <c r="J89" s="661"/>
      <c r="K89" s="661"/>
      <c r="L89" s="661"/>
      <c r="M89" s="661"/>
      <c r="N89" s="661"/>
      <c r="O89" s="661"/>
      <c r="P89" s="661"/>
      <c r="Q89" s="661"/>
      <c r="R89" s="661"/>
      <c r="S89" s="661"/>
      <c r="T89" s="661"/>
      <c r="U89" s="661"/>
      <c r="V89" s="661"/>
      <c r="W89" s="661"/>
      <c r="X89" s="661"/>
      <c r="Y89" s="661"/>
      <c r="Z89" s="661"/>
      <c r="AA89" s="661"/>
      <c r="AB89" s="661"/>
      <c r="AE89" s="2140"/>
    </row>
    <row r="90" spans="2:31" s="1608" customFormat="1" ht="21" customHeight="1" x14ac:dyDescent="0.25">
      <c r="B90" s="1356"/>
      <c r="C90" s="1357" t="s">
        <v>1153</v>
      </c>
      <c r="D90" s="1356" t="s">
        <v>1154</v>
      </c>
      <c r="E90" s="1356" t="s">
        <v>1155</v>
      </c>
      <c r="F90" s="1356" t="s">
        <v>1156</v>
      </c>
      <c r="G90" s="1356" t="s">
        <v>1157</v>
      </c>
      <c r="H90" s="1356" t="s">
        <v>1158</v>
      </c>
      <c r="I90" s="1356" t="s">
        <v>1159</v>
      </c>
      <c r="J90" s="1356" t="s">
        <v>1160</v>
      </c>
      <c r="K90" s="1356" t="s">
        <v>1161</v>
      </c>
      <c r="L90" s="1356" t="s">
        <v>1162</v>
      </c>
      <c r="M90" s="1356" t="s">
        <v>1163</v>
      </c>
      <c r="N90" s="1356" t="s">
        <v>1164</v>
      </c>
      <c r="O90" s="1356" t="s">
        <v>1165</v>
      </c>
      <c r="P90" s="1356" t="s">
        <v>1166</v>
      </c>
      <c r="Q90" s="1356" t="s">
        <v>1167</v>
      </c>
      <c r="R90" s="1356" t="s">
        <v>1168</v>
      </c>
      <c r="S90" s="1356" t="s">
        <v>1169</v>
      </c>
      <c r="T90" s="1356" t="s">
        <v>1170</v>
      </c>
      <c r="U90" s="1356" t="s">
        <v>1171</v>
      </c>
      <c r="V90" s="1356" t="s">
        <v>1172</v>
      </c>
      <c r="W90" s="1356" t="s">
        <v>1173</v>
      </c>
      <c r="X90" s="1356" t="s">
        <v>1174</v>
      </c>
      <c r="Y90" s="1356" t="s">
        <v>1175</v>
      </c>
      <c r="Z90" s="1356" t="s">
        <v>1176</v>
      </c>
      <c r="AA90" s="1356" t="s">
        <v>1184</v>
      </c>
      <c r="AB90" s="1356" t="s">
        <v>1185</v>
      </c>
      <c r="AE90" s="2140"/>
    </row>
    <row r="91" spans="2:31" s="395" customFormat="1" x14ac:dyDescent="0.25">
      <c r="B91" s="1489" t="s">
        <v>1179</v>
      </c>
      <c r="C91" s="1266">
        <v>0.05</v>
      </c>
      <c r="D91" s="1266">
        <v>0.05</v>
      </c>
      <c r="E91" s="1266">
        <v>0.05</v>
      </c>
      <c r="F91" s="1266">
        <v>0.05</v>
      </c>
      <c r="G91" s="1266">
        <v>0.05</v>
      </c>
      <c r="H91" s="1266">
        <v>0.05</v>
      </c>
      <c r="I91" s="1266">
        <v>0.29649999999999999</v>
      </c>
      <c r="J91" s="1266">
        <v>0.78900000000000003</v>
      </c>
      <c r="K91" s="1266">
        <v>0.9</v>
      </c>
      <c r="L91" s="1266">
        <v>0.9</v>
      </c>
      <c r="M91" s="1266">
        <v>0.9</v>
      </c>
      <c r="N91" s="1266">
        <v>0.9</v>
      </c>
      <c r="O91" s="1266">
        <v>0.9</v>
      </c>
      <c r="P91" s="1266">
        <v>0.9</v>
      </c>
      <c r="Q91" s="1266">
        <v>0.9</v>
      </c>
      <c r="R91" s="1266">
        <v>0.9</v>
      </c>
      <c r="S91" s="1266">
        <v>0.78900000000000003</v>
      </c>
      <c r="T91" s="1266">
        <v>0.50049999999999994</v>
      </c>
      <c r="U91" s="1266">
        <v>0.29649999999999999</v>
      </c>
      <c r="V91" s="1266">
        <v>0.29649999999999999</v>
      </c>
      <c r="W91" s="1266">
        <v>0.10100000000000001</v>
      </c>
      <c r="X91" s="1266">
        <v>0.10100000000000001</v>
      </c>
      <c r="Y91" s="1266">
        <v>0.05</v>
      </c>
      <c r="Z91" s="1266">
        <v>0.05</v>
      </c>
      <c r="AA91" s="1263">
        <f>SUM(C91:Z91)</f>
        <v>10.770000000000005</v>
      </c>
      <c r="AB91" s="1264">
        <f>AA91*SUM($C$9:$C$13)</f>
        <v>2692.5000000000014</v>
      </c>
      <c r="AE91" s="2142"/>
    </row>
    <row r="92" spans="2:31" s="395" customFormat="1" x14ac:dyDescent="0.25">
      <c r="B92" s="1489" t="s">
        <v>1180</v>
      </c>
      <c r="C92" s="1266">
        <v>1.4999999999999999E-2</v>
      </c>
      <c r="D92" s="1266">
        <v>1.4999999999999999E-2</v>
      </c>
      <c r="E92" s="1266">
        <v>1.4999999999999999E-2</v>
      </c>
      <c r="F92" s="1266">
        <v>1.4999999999999999E-2</v>
      </c>
      <c r="G92" s="1266">
        <v>1.4999999999999999E-2</v>
      </c>
      <c r="H92" s="1266">
        <v>1.4999999999999999E-2</v>
      </c>
      <c r="I92" s="1266">
        <v>1.4999999999999999E-2</v>
      </c>
      <c r="J92" s="1266">
        <v>1.4999999999999999E-2</v>
      </c>
      <c r="K92" s="1266">
        <v>1.4999999999999999E-2</v>
      </c>
      <c r="L92" s="1266">
        <v>1.4999999999999999E-2</v>
      </c>
      <c r="M92" s="1266">
        <v>1.4999999999999999E-2</v>
      </c>
      <c r="N92" s="1266">
        <v>1.4999999999999999E-2</v>
      </c>
      <c r="O92" s="1266">
        <v>1.4999999999999999E-2</v>
      </c>
      <c r="P92" s="1266">
        <v>1.4999999999999999E-2</v>
      </c>
      <c r="Q92" s="1266">
        <v>1.4999999999999999E-2</v>
      </c>
      <c r="R92" s="1266">
        <v>1.4999999999999999E-2</v>
      </c>
      <c r="S92" s="1266">
        <v>1.4999999999999999E-2</v>
      </c>
      <c r="T92" s="1266">
        <v>1.4999999999999999E-2</v>
      </c>
      <c r="U92" s="1266">
        <v>1.4999999999999999E-2</v>
      </c>
      <c r="V92" s="1266">
        <v>1.4999999999999999E-2</v>
      </c>
      <c r="W92" s="1266">
        <v>1.4999999999999999E-2</v>
      </c>
      <c r="X92" s="1266">
        <v>1.4999999999999999E-2</v>
      </c>
      <c r="Y92" s="1266">
        <v>1.4999999999999999E-2</v>
      </c>
      <c r="Z92" s="1266">
        <v>1.4999999999999999E-2</v>
      </c>
      <c r="AA92" s="1263">
        <f>SUM(C92:Z92)</f>
        <v>0.36000000000000021</v>
      </c>
      <c r="AB92" s="1264">
        <f>AA92*SUM($C$14:$C$15)</f>
        <v>37.440000000000019</v>
      </c>
      <c r="AE92" s="2142"/>
    </row>
    <row r="93" spans="2:31" s="395" customFormat="1" x14ac:dyDescent="0.25">
      <c r="B93" s="1489" t="s">
        <v>1181</v>
      </c>
      <c r="C93" s="1266">
        <v>1.4999999999999999E-2</v>
      </c>
      <c r="D93" s="1266">
        <v>1.4999999999999999E-2</v>
      </c>
      <c r="E93" s="1266">
        <v>1.4999999999999999E-2</v>
      </c>
      <c r="F93" s="1266">
        <v>1.4999999999999999E-2</v>
      </c>
      <c r="G93" s="1266">
        <v>1.4999999999999999E-2</v>
      </c>
      <c r="H93" s="1266">
        <v>1.4999999999999999E-2</v>
      </c>
      <c r="I93" s="1266">
        <v>1.4999999999999999E-2</v>
      </c>
      <c r="J93" s="1266">
        <v>1.4999999999999999E-2</v>
      </c>
      <c r="K93" s="1266">
        <v>1.4999999999999999E-2</v>
      </c>
      <c r="L93" s="1266">
        <v>1.4999999999999999E-2</v>
      </c>
      <c r="M93" s="1266">
        <v>1.4999999999999999E-2</v>
      </c>
      <c r="N93" s="1266">
        <v>1.4999999999999999E-2</v>
      </c>
      <c r="O93" s="1266">
        <v>1.4999999999999999E-2</v>
      </c>
      <c r="P93" s="1266">
        <v>1.4999999999999999E-2</v>
      </c>
      <c r="Q93" s="1266">
        <v>1.4999999999999999E-2</v>
      </c>
      <c r="R93" s="1266">
        <v>1.4999999999999999E-2</v>
      </c>
      <c r="S93" s="1266">
        <v>1.4999999999999999E-2</v>
      </c>
      <c r="T93" s="1266">
        <v>1.4999999999999999E-2</v>
      </c>
      <c r="U93" s="1266">
        <v>1.4999999999999999E-2</v>
      </c>
      <c r="V93" s="1266">
        <v>1.4999999999999999E-2</v>
      </c>
      <c r="W93" s="1266">
        <v>1.4999999999999999E-2</v>
      </c>
      <c r="X93" s="1266">
        <v>1.4999999999999999E-2</v>
      </c>
      <c r="Y93" s="1266">
        <v>1.4999999999999999E-2</v>
      </c>
      <c r="Z93" s="1266">
        <v>1.4999999999999999E-2</v>
      </c>
      <c r="AA93" s="1263">
        <f>SUM(C93:Z93)</f>
        <v>0.36000000000000021</v>
      </c>
      <c r="AB93" s="1264">
        <f>AA93*$C$8</f>
        <v>3.9600000000000022</v>
      </c>
      <c r="AE93" s="2142"/>
    </row>
    <row r="94" spans="2:31" s="395" customFormat="1" x14ac:dyDescent="0.25">
      <c r="B94" s="3368" t="s">
        <v>1186</v>
      </c>
      <c r="C94" s="3368"/>
      <c r="D94" s="3368"/>
      <c r="E94" s="3368"/>
      <c r="F94" s="3368"/>
      <c r="G94" s="3368"/>
      <c r="H94" s="3368"/>
      <c r="I94" s="3368"/>
      <c r="J94" s="3368"/>
      <c r="K94" s="3368"/>
      <c r="L94" s="3368"/>
      <c r="M94" s="3368"/>
      <c r="N94" s="3368"/>
      <c r="O94" s="3368"/>
      <c r="P94" s="3368"/>
      <c r="Q94" s="3368"/>
      <c r="R94" s="3368"/>
      <c r="S94" s="3368"/>
      <c r="T94" s="3368"/>
      <c r="U94" s="3368"/>
      <c r="V94" s="3368"/>
      <c r="W94" s="3368"/>
      <c r="X94" s="3368"/>
      <c r="Y94" s="3368"/>
      <c r="Z94" s="3368"/>
      <c r="AA94" s="3368"/>
      <c r="AB94" s="1264">
        <f>SUM(AB91:AB93)</f>
        <v>2733.9000000000015</v>
      </c>
      <c r="AE94" s="2142"/>
    </row>
    <row r="95" spans="2:31" s="395" customFormat="1" x14ac:dyDescent="0.25">
      <c r="B95" s="661"/>
      <c r="C95" s="661"/>
      <c r="D95" s="661"/>
      <c r="E95" s="661"/>
      <c r="F95" s="661"/>
      <c r="G95" s="661"/>
      <c r="H95" s="661"/>
      <c r="I95" s="661"/>
      <c r="J95" s="661"/>
      <c r="K95" s="661"/>
      <c r="L95" s="661"/>
      <c r="M95" s="661"/>
      <c r="N95" s="661"/>
      <c r="O95" s="661"/>
      <c r="P95" s="661"/>
      <c r="Q95" s="661"/>
      <c r="R95" s="661"/>
      <c r="S95" s="661"/>
      <c r="T95" s="661"/>
      <c r="U95" s="661"/>
      <c r="V95" s="661"/>
      <c r="W95" s="661"/>
      <c r="X95" s="661"/>
      <c r="Y95" s="661"/>
      <c r="Z95" s="661"/>
      <c r="AA95" s="661"/>
      <c r="AB95" s="661"/>
      <c r="AE95" s="2140"/>
    </row>
    <row r="96" spans="2:31" s="395" customFormat="1" x14ac:dyDescent="0.25">
      <c r="B96" s="661"/>
      <c r="C96" s="661"/>
      <c r="D96" s="661"/>
      <c r="E96" s="661"/>
      <c r="F96" s="661"/>
      <c r="G96" s="661"/>
      <c r="H96" s="661"/>
      <c r="I96" s="661"/>
      <c r="J96" s="661"/>
      <c r="K96" s="661"/>
      <c r="L96" s="661"/>
      <c r="M96" s="661"/>
      <c r="N96" s="661"/>
      <c r="O96" s="661"/>
      <c r="P96" s="661"/>
      <c r="Q96" s="661"/>
      <c r="R96" s="661"/>
      <c r="S96" s="661"/>
      <c r="T96" s="661"/>
      <c r="U96" s="661"/>
      <c r="V96" s="661"/>
      <c r="W96" s="661"/>
      <c r="X96" s="661"/>
      <c r="Y96" s="661"/>
      <c r="Z96" s="661"/>
      <c r="AA96" s="661"/>
      <c r="AB96" s="661"/>
      <c r="AE96" s="2140"/>
    </row>
    <row r="97" spans="2:31" s="395" customFormat="1" x14ac:dyDescent="0.25">
      <c r="B97" s="661"/>
      <c r="C97" s="661"/>
      <c r="D97" s="661"/>
      <c r="E97" s="661"/>
      <c r="F97" s="661"/>
      <c r="G97" s="661"/>
      <c r="H97" s="661"/>
      <c r="I97" s="661"/>
      <c r="J97" s="661"/>
      <c r="K97" s="661"/>
      <c r="L97" s="661"/>
      <c r="M97" s="661"/>
      <c r="N97" s="661"/>
      <c r="O97" s="661"/>
      <c r="P97" s="661"/>
      <c r="Q97" s="661"/>
      <c r="R97" s="661"/>
      <c r="S97" s="661"/>
      <c r="T97" s="661"/>
      <c r="U97" s="661"/>
      <c r="V97" s="661"/>
      <c r="W97" s="661"/>
      <c r="X97" s="661"/>
      <c r="Y97" s="661"/>
      <c r="Z97" s="661"/>
      <c r="AA97" s="661"/>
      <c r="AB97" s="661"/>
      <c r="AE97" s="2140"/>
    </row>
    <row r="98" spans="2:31" s="395" customFormat="1" ht="15" customHeight="1" x14ac:dyDescent="0.25">
      <c r="B98" s="661" t="s">
        <v>1152</v>
      </c>
      <c r="C98" s="3362"/>
      <c r="D98" s="3362"/>
      <c r="E98" s="3362"/>
      <c r="F98" s="3362"/>
      <c r="G98" s="3362"/>
      <c r="H98" s="3362"/>
      <c r="I98" s="3362"/>
      <c r="J98" s="3362"/>
      <c r="K98" s="3362"/>
      <c r="L98" s="3362"/>
      <c r="M98" s="3362"/>
      <c r="N98" s="3362"/>
      <c r="O98" s="3362"/>
      <c r="P98" s="669"/>
      <c r="Q98" s="670"/>
      <c r="R98" s="670"/>
      <c r="S98" s="670"/>
      <c r="T98" s="670"/>
      <c r="U98" s="670"/>
      <c r="V98" s="670"/>
      <c r="W98" s="670"/>
      <c r="X98" s="670"/>
      <c r="Y98" s="670"/>
      <c r="Z98" s="670"/>
      <c r="AA98" s="670"/>
      <c r="AB98" s="670"/>
      <c r="AE98" s="2140"/>
    </row>
    <row r="99" spans="2:31" s="395" customFormat="1" x14ac:dyDescent="0.25">
      <c r="B99" s="661"/>
      <c r="C99" s="661"/>
      <c r="D99" s="661"/>
      <c r="E99" s="661"/>
      <c r="F99" s="661"/>
      <c r="G99" s="661"/>
      <c r="H99" s="661"/>
      <c r="I99" s="661"/>
      <c r="J99" s="661"/>
      <c r="K99" s="661"/>
      <c r="L99" s="661"/>
      <c r="M99" s="661"/>
      <c r="N99" s="661"/>
      <c r="O99" s="661"/>
      <c r="P99" s="661"/>
      <c r="Q99" s="661"/>
      <c r="R99" s="661"/>
      <c r="S99" s="661"/>
      <c r="T99" s="661"/>
      <c r="U99" s="661"/>
      <c r="V99" s="661"/>
      <c r="W99" s="661"/>
      <c r="X99" s="661"/>
      <c r="Y99" s="661"/>
      <c r="Z99" s="661"/>
      <c r="AA99" s="661"/>
      <c r="AB99" s="661"/>
      <c r="AE99" s="2140"/>
    </row>
    <row r="100" spans="2:31" s="1608" customFormat="1" ht="21" customHeight="1" x14ac:dyDescent="0.25">
      <c r="B100" s="1356"/>
      <c r="C100" s="1357" t="s">
        <v>1153</v>
      </c>
      <c r="D100" s="1356" t="s">
        <v>1154</v>
      </c>
      <c r="E100" s="1356" t="s">
        <v>1155</v>
      </c>
      <c r="F100" s="1356" t="s">
        <v>1156</v>
      </c>
      <c r="G100" s="1356" t="s">
        <v>1157</v>
      </c>
      <c r="H100" s="1356" t="s">
        <v>1158</v>
      </c>
      <c r="I100" s="1356" t="s">
        <v>1159</v>
      </c>
      <c r="J100" s="1356" t="s">
        <v>1160</v>
      </c>
      <c r="K100" s="1356" t="s">
        <v>1161</v>
      </c>
      <c r="L100" s="1356" t="s">
        <v>1162</v>
      </c>
      <c r="M100" s="1356" t="s">
        <v>1163</v>
      </c>
      <c r="N100" s="1356" t="s">
        <v>1164</v>
      </c>
      <c r="O100" s="1356" t="s">
        <v>1165</v>
      </c>
      <c r="P100" s="1356" t="s">
        <v>1166</v>
      </c>
      <c r="Q100" s="1356" t="s">
        <v>1167</v>
      </c>
      <c r="R100" s="1356" t="s">
        <v>1168</v>
      </c>
      <c r="S100" s="1356" t="s">
        <v>1169</v>
      </c>
      <c r="T100" s="1356" t="s">
        <v>1170</v>
      </c>
      <c r="U100" s="1356" t="s">
        <v>1171</v>
      </c>
      <c r="V100" s="1356" t="s">
        <v>1172</v>
      </c>
      <c r="W100" s="1356" t="s">
        <v>1173</v>
      </c>
      <c r="X100" s="1356" t="s">
        <v>1174</v>
      </c>
      <c r="Y100" s="1356" t="s">
        <v>1175</v>
      </c>
      <c r="Z100" s="1356" t="s">
        <v>1176</v>
      </c>
      <c r="AA100" s="1356" t="s">
        <v>1184</v>
      </c>
      <c r="AB100" s="1356" t="s">
        <v>1184</v>
      </c>
      <c r="AE100" s="2140"/>
    </row>
    <row r="101" spans="2:31" s="395" customFormat="1" x14ac:dyDescent="0.25">
      <c r="B101" s="1489" t="s">
        <v>1181</v>
      </c>
      <c r="C101" s="1266"/>
      <c r="D101" s="1266"/>
      <c r="E101" s="1266"/>
      <c r="F101" s="1266"/>
      <c r="G101" s="1266"/>
      <c r="H101" s="1266"/>
      <c r="I101" s="1266"/>
      <c r="J101" s="1266"/>
      <c r="K101" s="1266"/>
      <c r="L101" s="1266"/>
      <c r="M101" s="1266"/>
      <c r="N101" s="1266"/>
      <c r="O101" s="1266"/>
      <c r="P101" s="1266"/>
      <c r="Q101" s="1266"/>
      <c r="R101" s="1266"/>
      <c r="S101" s="1266"/>
      <c r="T101" s="1266"/>
      <c r="U101" s="1266"/>
      <c r="V101" s="1266"/>
      <c r="W101" s="1266"/>
      <c r="X101" s="1266"/>
      <c r="Y101" s="1266"/>
      <c r="Z101" s="1266"/>
      <c r="AA101" s="1263">
        <f t="shared" ref="AA101:AA108" si="1">SUM(C101:Z101)</f>
        <v>0</v>
      </c>
      <c r="AB101" s="1264">
        <f>AA101*$C$8</f>
        <v>0</v>
      </c>
      <c r="AE101" s="2142"/>
    </row>
    <row r="102" spans="2:31" s="395" customFormat="1" x14ac:dyDescent="0.25">
      <c r="B102" s="1489" t="s">
        <v>1144</v>
      </c>
      <c r="C102" s="1266"/>
      <c r="D102" s="1266"/>
      <c r="E102" s="1266"/>
      <c r="F102" s="1266"/>
      <c r="G102" s="1266"/>
      <c r="H102" s="1266"/>
      <c r="I102" s="1266"/>
      <c r="J102" s="1266"/>
      <c r="K102" s="1266"/>
      <c r="L102" s="1266"/>
      <c r="M102" s="1266"/>
      <c r="N102" s="1266"/>
      <c r="O102" s="1266"/>
      <c r="P102" s="1266"/>
      <c r="Q102" s="1266"/>
      <c r="R102" s="1266"/>
      <c r="S102" s="1266"/>
      <c r="T102" s="1266"/>
      <c r="U102" s="1266"/>
      <c r="V102" s="1266"/>
      <c r="W102" s="1266"/>
      <c r="X102" s="1266"/>
      <c r="Y102" s="1266"/>
      <c r="Z102" s="1266"/>
      <c r="AA102" s="1263">
        <f t="shared" si="1"/>
        <v>0</v>
      </c>
      <c r="AB102" s="1264">
        <f>AA102*$C$9</f>
        <v>0</v>
      </c>
      <c r="AE102" s="2142"/>
    </row>
    <row r="103" spans="2:31" s="395" customFormat="1" x14ac:dyDescent="0.25">
      <c r="B103" s="1489" t="s">
        <v>1145</v>
      </c>
      <c r="C103" s="1266"/>
      <c r="D103" s="1266"/>
      <c r="E103" s="1266"/>
      <c r="F103" s="1266"/>
      <c r="G103" s="1266"/>
      <c r="H103" s="1266"/>
      <c r="I103" s="1266"/>
      <c r="J103" s="1266"/>
      <c r="K103" s="1266"/>
      <c r="L103" s="1266"/>
      <c r="M103" s="1266"/>
      <c r="N103" s="1266"/>
      <c r="O103" s="1266"/>
      <c r="P103" s="1266"/>
      <c r="Q103" s="1266"/>
      <c r="R103" s="1266"/>
      <c r="S103" s="1266"/>
      <c r="T103" s="1266"/>
      <c r="U103" s="1266"/>
      <c r="V103" s="1266"/>
      <c r="W103" s="1266"/>
      <c r="X103" s="1266"/>
      <c r="Y103" s="1266"/>
      <c r="Z103" s="1266"/>
      <c r="AA103" s="1263">
        <f t="shared" si="1"/>
        <v>0</v>
      </c>
      <c r="AB103" s="1264">
        <f>AA103*$C$10</f>
        <v>0</v>
      </c>
      <c r="AE103" s="2142"/>
    </row>
    <row r="104" spans="2:31" s="395" customFormat="1" x14ac:dyDescent="0.25">
      <c r="B104" s="1489" t="s">
        <v>1146</v>
      </c>
      <c r="C104" s="1266"/>
      <c r="D104" s="1266"/>
      <c r="E104" s="1266"/>
      <c r="F104" s="1266"/>
      <c r="G104" s="1266"/>
      <c r="H104" s="1266"/>
      <c r="I104" s="1266"/>
      <c r="J104" s="1266"/>
      <c r="K104" s="1266"/>
      <c r="L104" s="1266"/>
      <c r="M104" s="1266"/>
      <c r="N104" s="1266"/>
      <c r="O104" s="1266"/>
      <c r="P104" s="1266"/>
      <c r="Q104" s="1266"/>
      <c r="R104" s="1266"/>
      <c r="S104" s="1266"/>
      <c r="T104" s="1266"/>
      <c r="U104" s="1266"/>
      <c r="V104" s="1266"/>
      <c r="W104" s="1266"/>
      <c r="X104" s="1266"/>
      <c r="Y104" s="1266"/>
      <c r="Z104" s="1266"/>
      <c r="AA104" s="1263">
        <f t="shared" si="1"/>
        <v>0</v>
      </c>
      <c r="AB104" s="1264">
        <f>AA104*$C$11</f>
        <v>0</v>
      </c>
      <c r="AE104" s="2142"/>
    </row>
    <row r="105" spans="2:31" s="395" customFormat="1" x14ac:dyDescent="0.25">
      <c r="B105" s="1489" t="s">
        <v>1147</v>
      </c>
      <c r="C105" s="1266"/>
      <c r="D105" s="1266"/>
      <c r="E105" s="1266"/>
      <c r="F105" s="1266"/>
      <c r="G105" s="1266"/>
      <c r="H105" s="1266"/>
      <c r="I105" s="1266"/>
      <c r="J105" s="1266"/>
      <c r="K105" s="1266"/>
      <c r="L105" s="1266"/>
      <c r="M105" s="1266"/>
      <c r="N105" s="1266"/>
      <c r="O105" s="1266"/>
      <c r="P105" s="1266"/>
      <c r="Q105" s="1266"/>
      <c r="R105" s="1266"/>
      <c r="S105" s="1266"/>
      <c r="T105" s="1266"/>
      <c r="U105" s="1266"/>
      <c r="V105" s="1266"/>
      <c r="W105" s="1266"/>
      <c r="X105" s="1266"/>
      <c r="Y105" s="1266"/>
      <c r="Z105" s="1266"/>
      <c r="AA105" s="1263">
        <f t="shared" si="1"/>
        <v>0</v>
      </c>
      <c r="AB105" s="1264">
        <f>AA105*$C$12</f>
        <v>0</v>
      </c>
      <c r="AE105" s="2142"/>
    </row>
    <row r="106" spans="2:31" s="395" customFormat="1" x14ac:dyDescent="0.25">
      <c r="B106" s="1489" t="s">
        <v>1148</v>
      </c>
      <c r="C106" s="1266"/>
      <c r="D106" s="1266"/>
      <c r="E106" s="1266"/>
      <c r="F106" s="1266"/>
      <c r="G106" s="1266"/>
      <c r="H106" s="1266"/>
      <c r="I106" s="1266"/>
      <c r="J106" s="1266"/>
      <c r="K106" s="1266"/>
      <c r="L106" s="1266"/>
      <c r="M106" s="1266"/>
      <c r="N106" s="1266"/>
      <c r="O106" s="1266"/>
      <c r="P106" s="1266"/>
      <c r="Q106" s="1266"/>
      <c r="R106" s="1266"/>
      <c r="S106" s="1266"/>
      <c r="T106" s="1266"/>
      <c r="U106" s="1266"/>
      <c r="V106" s="1266"/>
      <c r="W106" s="1266"/>
      <c r="X106" s="1266"/>
      <c r="Y106" s="1266"/>
      <c r="Z106" s="1266"/>
      <c r="AA106" s="1263">
        <f t="shared" si="1"/>
        <v>0</v>
      </c>
      <c r="AB106" s="1264">
        <f>AA106*$C$13</f>
        <v>0</v>
      </c>
      <c r="AE106" s="2142"/>
    </row>
    <row r="107" spans="2:31" s="395" customFormat="1" x14ac:dyDescent="0.25">
      <c r="B107" s="1489" t="s">
        <v>1149</v>
      </c>
      <c r="C107" s="1266"/>
      <c r="D107" s="1266"/>
      <c r="E107" s="1266"/>
      <c r="F107" s="1266"/>
      <c r="G107" s="1266"/>
      <c r="H107" s="1266"/>
      <c r="I107" s="1266"/>
      <c r="J107" s="1266"/>
      <c r="K107" s="1266"/>
      <c r="L107" s="1266"/>
      <c r="M107" s="1266"/>
      <c r="N107" s="1266"/>
      <c r="O107" s="1266"/>
      <c r="P107" s="1266"/>
      <c r="Q107" s="1266"/>
      <c r="R107" s="1266"/>
      <c r="S107" s="1266"/>
      <c r="T107" s="1266"/>
      <c r="U107" s="1266"/>
      <c r="V107" s="1266"/>
      <c r="W107" s="1266"/>
      <c r="X107" s="1266"/>
      <c r="Y107" s="1266"/>
      <c r="Z107" s="1266"/>
      <c r="AA107" s="1263">
        <f t="shared" si="1"/>
        <v>0</v>
      </c>
      <c r="AB107" s="1264">
        <f>AA107*$C$14</f>
        <v>0</v>
      </c>
      <c r="AE107" s="2142"/>
    </row>
    <row r="108" spans="2:31" s="395" customFormat="1" x14ac:dyDescent="0.25">
      <c r="B108" s="1489" t="s">
        <v>1150</v>
      </c>
      <c r="C108" s="1266"/>
      <c r="D108" s="1266"/>
      <c r="E108" s="1266"/>
      <c r="F108" s="1266"/>
      <c r="G108" s="1266"/>
      <c r="H108" s="1266"/>
      <c r="I108" s="1266"/>
      <c r="J108" s="1266"/>
      <c r="K108" s="1266"/>
      <c r="L108" s="1266"/>
      <c r="M108" s="1266"/>
      <c r="N108" s="1266"/>
      <c r="O108" s="1266"/>
      <c r="P108" s="1266"/>
      <c r="Q108" s="1266"/>
      <c r="R108" s="1266"/>
      <c r="S108" s="1266"/>
      <c r="T108" s="1266"/>
      <c r="U108" s="1266"/>
      <c r="V108" s="1266"/>
      <c r="W108" s="1266"/>
      <c r="X108" s="1266"/>
      <c r="Y108" s="1266"/>
      <c r="Z108" s="1266"/>
      <c r="AA108" s="1263">
        <f t="shared" si="1"/>
        <v>0</v>
      </c>
      <c r="AB108" s="1264">
        <f>AA108*$C$15</f>
        <v>0</v>
      </c>
      <c r="AE108" s="2142"/>
    </row>
    <row r="109" spans="2:31" s="395" customFormat="1" x14ac:dyDescent="0.25">
      <c r="B109" s="3368" t="s">
        <v>1186</v>
      </c>
      <c r="C109" s="3368"/>
      <c r="D109" s="3368"/>
      <c r="E109" s="3368"/>
      <c r="F109" s="3368"/>
      <c r="G109" s="3368"/>
      <c r="H109" s="3368"/>
      <c r="I109" s="3368"/>
      <c r="J109" s="3368"/>
      <c r="K109" s="3368"/>
      <c r="L109" s="3368"/>
      <c r="M109" s="3368"/>
      <c r="N109" s="3368"/>
      <c r="O109" s="3368"/>
      <c r="P109" s="3368"/>
      <c r="Q109" s="3368"/>
      <c r="R109" s="3368"/>
      <c r="S109" s="3368"/>
      <c r="T109" s="3368"/>
      <c r="U109" s="3368"/>
      <c r="V109" s="3368"/>
      <c r="W109" s="3368"/>
      <c r="X109" s="3368"/>
      <c r="Y109" s="3368"/>
      <c r="Z109" s="3368"/>
      <c r="AA109" s="3368"/>
      <c r="AB109" s="1264">
        <f>SUM(AB101:AB108)</f>
        <v>0</v>
      </c>
      <c r="AE109" s="2142"/>
    </row>
    <row r="110" spans="2:31" s="395" customFormat="1" x14ac:dyDescent="0.25">
      <c r="B110" s="661"/>
      <c r="C110" s="661"/>
      <c r="D110" s="661"/>
      <c r="E110" s="661"/>
      <c r="F110" s="661"/>
      <c r="G110" s="661"/>
      <c r="H110" s="661"/>
      <c r="I110" s="661"/>
      <c r="J110" s="661"/>
      <c r="K110" s="661"/>
      <c r="L110" s="661"/>
      <c r="M110" s="661"/>
      <c r="N110" s="661"/>
      <c r="O110" s="661"/>
      <c r="P110" s="661"/>
      <c r="Q110" s="661"/>
      <c r="R110" s="661"/>
      <c r="S110" s="661"/>
      <c r="T110" s="661"/>
      <c r="U110" s="661"/>
      <c r="V110" s="661"/>
      <c r="W110" s="661"/>
      <c r="X110" s="661"/>
      <c r="Y110" s="661"/>
      <c r="Z110" s="661"/>
      <c r="AA110" s="661"/>
      <c r="AB110" s="661"/>
      <c r="AE110" s="2140"/>
    </row>
    <row r="111" spans="2:31" s="395" customFormat="1" ht="27" customHeight="1" x14ac:dyDescent="0.25">
      <c r="B111" s="661"/>
      <c r="C111" s="661"/>
      <c r="D111" s="661"/>
      <c r="E111" s="661"/>
      <c r="F111" s="661"/>
      <c r="G111" s="661"/>
      <c r="H111" s="661"/>
      <c r="I111" s="661"/>
      <c r="J111" s="661"/>
      <c r="K111" s="661"/>
      <c r="L111" s="661"/>
      <c r="M111" s="661"/>
      <c r="N111" s="661"/>
      <c r="O111" s="661"/>
      <c r="P111" s="661"/>
      <c r="Q111" s="661"/>
      <c r="R111" s="661"/>
      <c r="S111" s="661"/>
      <c r="T111" s="661"/>
      <c r="U111" s="661"/>
      <c r="V111" s="661"/>
      <c r="W111" s="661"/>
      <c r="X111" s="661"/>
      <c r="Y111" s="661"/>
      <c r="Z111" s="661"/>
      <c r="AA111" s="661"/>
      <c r="AB111" s="661"/>
      <c r="AE111" s="2140"/>
    </row>
    <row r="112" spans="2:31" s="395" customFormat="1" x14ac:dyDescent="0.25">
      <c r="B112" s="661"/>
      <c r="C112" s="661"/>
      <c r="D112" s="661"/>
      <c r="E112" s="661"/>
      <c r="F112" s="661"/>
      <c r="G112" s="661"/>
      <c r="H112" s="661"/>
      <c r="I112" s="661"/>
      <c r="J112" s="661"/>
      <c r="K112" s="661"/>
      <c r="L112" s="661"/>
      <c r="M112" s="661"/>
      <c r="N112" s="661"/>
      <c r="O112" s="661"/>
      <c r="P112" s="661"/>
      <c r="Q112" s="661"/>
      <c r="R112" s="661"/>
      <c r="S112" s="661"/>
      <c r="T112" s="661"/>
      <c r="U112" s="661"/>
      <c r="V112" s="661"/>
      <c r="W112" s="661"/>
      <c r="X112" s="661"/>
      <c r="Y112" s="661"/>
      <c r="Z112" s="661"/>
      <c r="AA112" s="661"/>
      <c r="AB112" s="661"/>
      <c r="AE112" s="2140"/>
    </row>
    <row r="113" spans="2:31" s="395" customFormat="1" x14ac:dyDescent="0.25">
      <c r="B113" s="661"/>
      <c r="C113" s="661"/>
      <c r="D113" s="661"/>
      <c r="E113" s="661"/>
      <c r="F113" s="661"/>
      <c r="G113" s="661"/>
      <c r="H113" s="661"/>
      <c r="I113" s="661"/>
      <c r="J113" s="661"/>
      <c r="K113" s="661"/>
      <c r="L113" s="661"/>
      <c r="M113" s="661"/>
      <c r="N113" s="661"/>
      <c r="O113" s="661"/>
      <c r="P113" s="661"/>
      <c r="Q113" s="661"/>
      <c r="R113" s="661"/>
      <c r="S113" s="661"/>
      <c r="T113" s="661"/>
      <c r="U113" s="661"/>
      <c r="V113" s="661"/>
      <c r="W113" s="661"/>
      <c r="X113" s="661"/>
      <c r="Y113" s="661"/>
      <c r="Z113" s="661"/>
      <c r="AA113" s="661"/>
      <c r="AB113" s="661"/>
      <c r="AE113" s="2140"/>
    </row>
    <row r="114" spans="2:31" s="395" customFormat="1" ht="15.6" x14ac:dyDescent="0.25">
      <c r="B114" s="668" t="s">
        <v>1585</v>
      </c>
      <c r="C114" s="666"/>
      <c r="D114" s="661"/>
      <c r="E114" s="661"/>
      <c r="F114" s="661"/>
      <c r="G114" s="661"/>
      <c r="H114" s="661"/>
      <c r="I114" s="661"/>
      <c r="J114" s="661"/>
      <c r="K114" s="661"/>
      <c r="L114" s="661"/>
      <c r="M114" s="661"/>
      <c r="N114" s="661"/>
      <c r="O114" s="661"/>
      <c r="P114" s="661"/>
      <c r="Q114" s="661"/>
      <c r="R114" s="661"/>
      <c r="S114" s="661"/>
      <c r="T114" s="661"/>
      <c r="U114" s="661"/>
      <c r="V114" s="661"/>
      <c r="W114" s="661"/>
      <c r="X114" s="661"/>
      <c r="Y114" s="661"/>
      <c r="Z114" s="661"/>
      <c r="AA114" s="663"/>
      <c r="AB114" s="664"/>
      <c r="AE114" s="2140"/>
    </row>
    <row r="115" spans="2:31" s="395" customFormat="1" x14ac:dyDescent="0.25">
      <c r="B115" s="667"/>
      <c r="C115" s="666"/>
      <c r="D115" s="661"/>
      <c r="E115" s="661"/>
      <c r="F115" s="661"/>
      <c r="G115" s="661"/>
      <c r="H115" s="661"/>
      <c r="I115" s="661"/>
      <c r="J115" s="661"/>
      <c r="K115" s="661"/>
      <c r="L115" s="661"/>
      <c r="M115" s="661"/>
      <c r="N115" s="661"/>
      <c r="O115" s="661"/>
      <c r="P115" s="661"/>
      <c r="Q115" s="661"/>
      <c r="R115" s="661"/>
      <c r="S115" s="661"/>
      <c r="T115" s="661"/>
      <c r="U115" s="661"/>
      <c r="V115" s="661"/>
      <c r="W115" s="661"/>
      <c r="X115" s="661"/>
      <c r="Y115" s="661"/>
      <c r="Z115" s="661"/>
      <c r="AA115" s="663"/>
      <c r="AB115" s="664"/>
      <c r="AE115" s="2140"/>
    </row>
    <row r="116" spans="2:31" s="395" customFormat="1" x14ac:dyDescent="0.25">
      <c r="B116" s="667" t="s">
        <v>1587</v>
      </c>
      <c r="C116" s="666"/>
      <c r="D116" s="661"/>
      <c r="E116" s="661"/>
      <c r="F116" s="661"/>
      <c r="G116" s="661"/>
      <c r="H116" s="661"/>
      <c r="I116" s="661"/>
      <c r="J116" s="661"/>
      <c r="K116" s="661"/>
      <c r="L116" s="661"/>
      <c r="M116" s="661"/>
      <c r="N116" s="661"/>
      <c r="O116" s="661"/>
      <c r="P116" s="661"/>
      <c r="Q116" s="661"/>
      <c r="R116" s="661"/>
      <c r="S116" s="661"/>
      <c r="T116" s="661"/>
      <c r="U116" s="661"/>
      <c r="V116" s="661"/>
      <c r="W116" s="661"/>
      <c r="X116" s="661"/>
      <c r="Y116" s="661"/>
      <c r="Z116" s="661"/>
      <c r="AA116" s="663"/>
      <c r="AB116" s="664"/>
      <c r="AE116" s="2140"/>
    </row>
    <row r="117" spans="2:31" s="395" customFormat="1" x14ac:dyDescent="0.25">
      <c r="B117" s="661"/>
      <c r="C117" s="661"/>
      <c r="D117" s="661"/>
      <c r="E117" s="661"/>
      <c r="F117" s="661"/>
      <c r="G117" s="661"/>
      <c r="H117" s="661"/>
      <c r="I117" s="661"/>
      <c r="J117" s="661"/>
      <c r="K117" s="661"/>
      <c r="L117" s="661"/>
      <c r="M117" s="661"/>
      <c r="N117" s="661"/>
      <c r="O117" s="661"/>
      <c r="P117" s="661"/>
      <c r="Q117" s="661"/>
      <c r="R117" s="661"/>
      <c r="S117" s="661"/>
      <c r="T117" s="661"/>
      <c r="U117" s="661"/>
      <c r="V117" s="661"/>
      <c r="W117" s="661"/>
      <c r="X117" s="661"/>
      <c r="Y117" s="661"/>
      <c r="Z117" s="661"/>
      <c r="AA117" s="661"/>
      <c r="AB117" s="661"/>
      <c r="AE117" s="2140"/>
    </row>
    <row r="118" spans="2:31" s="395" customFormat="1" ht="15" customHeight="1" x14ac:dyDescent="0.25">
      <c r="B118" s="661" t="s">
        <v>1152</v>
      </c>
      <c r="C118" s="3367" t="s">
        <v>1317</v>
      </c>
      <c r="D118" s="3369"/>
      <c r="E118" s="3369"/>
      <c r="F118" s="3369"/>
      <c r="G118" s="3369"/>
      <c r="H118" s="3369"/>
      <c r="I118" s="3369"/>
      <c r="J118" s="3369"/>
      <c r="K118" s="3369"/>
      <c r="L118" s="3369"/>
      <c r="M118" s="3369"/>
      <c r="N118" s="3369"/>
      <c r="O118" s="3369"/>
      <c r="P118" s="3369"/>
      <c r="Q118" s="3369"/>
      <c r="R118" s="3369"/>
      <c r="S118" s="3369"/>
      <c r="T118" s="3369"/>
      <c r="U118" s="3369"/>
      <c r="V118" s="3369"/>
      <c r="W118" s="3369"/>
      <c r="X118" s="3369"/>
      <c r="Y118" s="3369"/>
      <c r="Z118" s="3369"/>
      <c r="AA118" s="3369"/>
      <c r="AB118" s="3369"/>
      <c r="AE118" s="2140"/>
    </row>
    <row r="119" spans="2:31" s="395" customFormat="1" x14ac:dyDescent="0.25">
      <c r="B119" s="661"/>
      <c r="C119" s="661"/>
      <c r="D119" s="661"/>
      <c r="E119" s="661"/>
      <c r="F119" s="661"/>
      <c r="G119" s="661"/>
      <c r="H119" s="661"/>
      <c r="I119" s="661"/>
      <c r="J119" s="661"/>
      <c r="K119" s="661"/>
      <c r="L119" s="661"/>
      <c r="M119" s="661"/>
      <c r="N119" s="661"/>
      <c r="O119" s="661"/>
      <c r="P119" s="661"/>
      <c r="Q119" s="661"/>
      <c r="R119" s="661"/>
      <c r="S119" s="661"/>
      <c r="T119" s="661"/>
      <c r="U119" s="661"/>
      <c r="V119" s="661"/>
      <c r="W119" s="661"/>
      <c r="X119" s="661"/>
      <c r="Y119" s="661"/>
      <c r="Z119" s="661"/>
      <c r="AA119" s="661"/>
      <c r="AB119" s="661"/>
      <c r="AE119" s="2140"/>
    </row>
    <row r="120" spans="2:31" s="1608" customFormat="1" ht="21" customHeight="1" x14ac:dyDescent="0.25">
      <c r="B120" s="1356"/>
      <c r="C120" s="1357" t="s">
        <v>1153</v>
      </c>
      <c r="D120" s="1356" t="s">
        <v>1154</v>
      </c>
      <c r="E120" s="1356" t="s">
        <v>1155</v>
      </c>
      <c r="F120" s="1356" t="s">
        <v>1156</v>
      </c>
      <c r="G120" s="1356" t="s">
        <v>1157</v>
      </c>
      <c r="H120" s="1356" t="s">
        <v>1158</v>
      </c>
      <c r="I120" s="1356" t="s">
        <v>1159</v>
      </c>
      <c r="J120" s="1356" t="s">
        <v>1160</v>
      </c>
      <c r="K120" s="1356" t="s">
        <v>1161</v>
      </c>
      <c r="L120" s="1356" t="s">
        <v>1162</v>
      </c>
      <c r="M120" s="1356" t="s">
        <v>1163</v>
      </c>
      <c r="N120" s="1356" t="s">
        <v>1164</v>
      </c>
      <c r="O120" s="1356" t="s">
        <v>1165</v>
      </c>
      <c r="P120" s="1356" t="s">
        <v>1166</v>
      </c>
      <c r="Q120" s="1356" t="s">
        <v>1167</v>
      </c>
      <c r="R120" s="1356" t="s">
        <v>1168</v>
      </c>
      <c r="S120" s="1356" t="s">
        <v>1169</v>
      </c>
      <c r="T120" s="1356" t="s">
        <v>1170</v>
      </c>
      <c r="U120" s="1356" t="s">
        <v>1171</v>
      </c>
      <c r="V120" s="1356" t="s">
        <v>1172</v>
      </c>
      <c r="W120" s="1356" t="s">
        <v>1173</v>
      </c>
      <c r="X120" s="1356" t="s">
        <v>1174</v>
      </c>
      <c r="Y120" s="1356" t="s">
        <v>1175</v>
      </c>
      <c r="Z120" s="1356" t="s">
        <v>1176</v>
      </c>
      <c r="AA120" s="1356" t="s">
        <v>1177</v>
      </c>
      <c r="AB120" s="1356" t="s">
        <v>1178</v>
      </c>
      <c r="AE120" s="2140"/>
    </row>
    <row r="121" spans="2:31" s="395" customFormat="1" x14ac:dyDescent="0.25">
      <c r="B121" s="1490" t="s">
        <v>1187</v>
      </c>
      <c r="C121" s="1267">
        <f t="shared" ref="C121:H121" si="2">IF(SI_IP_Units="IP",70,CONVERT(70,"F","C"))</f>
        <v>70</v>
      </c>
      <c r="D121" s="1267">
        <f t="shared" si="2"/>
        <v>70</v>
      </c>
      <c r="E121" s="1267">
        <f t="shared" si="2"/>
        <v>70</v>
      </c>
      <c r="F121" s="1267">
        <f t="shared" si="2"/>
        <v>70</v>
      </c>
      <c r="G121" s="1267">
        <f t="shared" si="2"/>
        <v>70</v>
      </c>
      <c r="H121" s="1267">
        <f t="shared" si="2"/>
        <v>70</v>
      </c>
      <c r="I121" s="1267">
        <f t="shared" ref="I121:Y121" si="3">IF(SI_IP_Units="IP",72,CONVERT(72,"F","C"))</f>
        <v>72</v>
      </c>
      <c r="J121" s="1267">
        <f t="shared" si="3"/>
        <v>72</v>
      </c>
      <c r="K121" s="1267">
        <f t="shared" si="3"/>
        <v>72</v>
      </c>
      <c r="L121" s="1267">
        <f t="shared" si="3"/>
        <v>72</v>
      </c>
      <c r="M121" s="1267">
        <f t="shared" si="3"/>
        <v>72</v>
      </c>
      <c r="N121" s="1267">
        <f t="shared" si="3"/>
        <v>72</v>
      </c>
      <c r="O121" s="1267">
        <f t="shared" si="3"/>
        <v>72</v>
      </c>
      <c r="P121" s="1267">
        <f t="shared" si="3"/>
        <v>72</v>
      </c>
      <c r="Q121" s="1267">
        <f t="shared" si="3"/>
        <v>72</v>
      </c>
      <c r="R121" s="1267">
        <f t="shared" si="3"/>
        <v>72</v>
      </c>
      <c r="S121" s="1267">
        <f t="shared" si="3"/>
        <v>72</v>
      </c>
      <c r="T121" s="1267">
        <f t="shared" si="3"/>
        <v>72</v>
      </c>
      <c r="U121" s="1267">
        <f t="shared" si="3"/>
        <v>72</v>
      </c>
      <c r="V121" s="1267">
        <f t="shared" si="3"/>
        <v>72</v>
      </c>
      <c r="W121" s="1267">
        <f t="shared" si="3"/>
        <v>72</v>
      </c>
      <c r="X121" s="1267">
        <f t="shared" si="3"/>
        <v>72</v>
      </c>
      <c r="Y121" s="1267">
        <f t="shared" si="3"/>
        <v>72</v>
      </c>
      <c r="Z121" s="1267">
        <f>IF(SI_IP_Units="IP",70,CONVERT(70,"F","C"))</f>
        <v>70</v>
      </c>
      <c r="AA121" s="1263">
        <v>24</v>
      </c>
      <c r="AB121" s="1264">
        <v>8760</v>
      </c>
      <c r="AE121" s="2140"/>
    </row>
    <row r="122" spans="2:31" s="395" customFormat="1" x14ac:dyDescent="0.25">
      <c r="B122" s="1490" t="s">
        <v>1188</v>
      </c>
      <c r="C122" s="1267">
        <f t="shared" ref="C122:K122" si="4">IF(SI_IP_Units="IP",78,CONVERT(78,"F","C"))</f>
        <v>78</v>
      </c>
      <c r="D122" s="1267">
        <f t="shared" si="4"/>
        <v>78</v>
      </c>
      <c r="E122" s="1267">
        <f t="shared" si="4"/>
        <v>78</v>
      </c>
      <c r="F122" s="1267">
        <f t="shared" si="4"/>
        <v>78</v>
      </c>
      <c r="G122" s="1267">
        <f t="shared" si="4"/>
        <v>78</v>
      </c>
      <c r="H122" s="1267">
        <f t="shared" si="4"/>
        <v>78</v>
      </c>
      <c r="I122" s="1267">
        <f t="shared" si="4"/>
        <v>78</v>
      </c>
      <c r="J122" s="1267">
        <f t="shared" si="4"/>
        <v>78</v>
      </c>
      <c r="K122" s="1267">
        <f t="shared" si="4"/>
        <v>78</v>
      </c>
      <c r="L122" s="1267">
        <f t="shared" ref="L122:Q122" si="5">IF(SI_IP_Units="IP",80,CONVERT(80,"F","C"))</f>
        <v>80</v>
      </c>
      <c r="M122" s="1267">
        <f t="shared" si="5"/>
        <v>80</v>
      </c>
      <c r="N122" s="1267">
        <f t="shared" si="5"/>
        <v>80</v>
      </c>
      <c r="O122" s="1267">
        <f t="shared" si="5"/>
        <v>80</v>
      </c>
      <c r="P122" s="1267">
        <f t="shared" si="5"/>
        <v>80</v>
      </c>
      <c r="Q122" s="1267">
        <f t="shared" si="5"/>
        <v>80</v>
      </c>
      <c r="R122" s="1267">
        <f t="shared" ref="R122:Z122" si="6">IF(SI_IP_Units="IP",78,CONVERT(78,"F","C"))</f>
        <v>78</v>
      </c>
      <c r="S122" s="1267">
        <f t="shared" si="6"/>
        <v>78</v>
      </c>
      <c r="T122" s="1267">
        <f t="shared" si="6"/>
        <v>78</v>
      </c>
      <c r="U122" s="1267">
        <f t="shared" si="6"/>
        <v>78</v>
      </c>
      <c r="V122" s="1267">
        <f t="shared" si="6"/>
        <v>78</v>
      </c>
      <c r="W122" s="1267">
        <f t="shared" si="6"/>
        <v>78</v>
      </c>
      <c r="X122" s="1267">
        <f t="shared" si="6"/>
        <v>78</v>
      </c>
      <c r="Y122" s="1267">
        <f t="shared" si="6"/>
        <v>78</v>
      </c>
      <c r="Z122" s="1267">
        <f t="shared" si="6"/>
        <v>78</v>
      </c>
      <c r="AA122" s="1263">
        <v>24</v>
      </c>
      <c r="AB122" s="1264">
        <v>8760</v>
      </c>
      <c r="AE122" s="2140"/>
    </row>
    <row r="123" spans="2:31" s="395" customFormat="1" x14ac:dyDescent="0.25">
      <c r="B123" s="661"/>
      <c r="C123" s="661"/>
      <c r="D123" s="661"/>
      <c r="E123" s="661"/>
      <c r="F123" s="661"/>
      <c r="G123" s="661"/>
      <c r="H123" s="661"/>
      <c r="I123" s="661"/>
      <c r="J123" s="661"/>
      <c r="K123" s="661"/>
      <c r="L123" s="661"/>
      <c r="M123" s="661"/>
      <c r="N123" s="661"/>
      <c r="O123" s="661"/>
      <c r="P123" s="661"/>
      <c r="Q123" s="661"/>
      <c r="R123" s="661"/>
      <c r="S123" s="661"/>
      <c r="T123" s="661"/>
      <c r="U123" s="661"/>
      <c r="V123" s="661"/>
      <c r="W123" s="661"/>
      <c r="X123" s="661"/>
      <c r="Y123" s="661"/>
      <c r="Z123" s="661"/>
      <c r="AA123" s="661"/>
      <c r="AB123" s="661"/>
      <c r="AE123" s="2140"/>
    </row>
    <row r="124" spans="2:31" s="395" customFormat="1" ht="15" customHeight="1" x14ac:dyDescent="0.25">
      <c r="B124" s="661" t="s">
        <v>1152</v>
      </c>
      <c r="C124" s="3367" t="s">
        <v>1318</v>
      </c>
      <c r="D124" s="3367"/>
      <c r="E124" s="3367"/>
      <c r="F124" s="3367"/>
      <c r="G124" s="3367"/>
      <c r="H124" s="3367"/>
      <c r="I124" s="3367"/>
      <c r="J124" s="3367"/>
      <c r="K124" s="3367"/>
      <c r="L124" s="3367"/>
      <c r="M124" s="3367"/>
      <c r="N124" s="3367"/>
      <c r="O124" s="3367"/>
      <c r="P124" s="3367"/>
      <c r="Q124" s="3367"/>
      <c r="R124" s="3367"/>
      <c r="S124" s="3367"/>
      <c r="T124" s="3367"/>
      <c r="U124" s="3367"/>
      <c r="V124" s="3367"/>
      <c r="W124" s="3367"/>
      <c r="X124" s="3367"/>
      <c r="Y124" s="3367"/>
      <c r="Z124" s="3367"/>
      <c r="AA124" s="3367"/>
      <c r="AB124" s="3367"/>
      <c r="AE124" s="2140"/>
    </row>
    <row r="125" spans="2:31" s="395" customFormat="1" x14ac:dyDescent="0.25">
      <c r="B125" s="661"/>
      <c r="C125" s="661"/>
      <c r="D125" s="661"/>
      <c r="E125" s="661"/>
      <c r="F125" s="661"/>
      <c r="G125" s="661"/>
      <c r="H125" s="661"/>
      <c r="I125" s="661"/>
      <c r="J125" s="661"/>
      <c r="K125" s="661"/>
      <c r="L125" s="661"/>
      <c r="M125" s="661"/>
      <c r="N125" s="661"/>
      <c r="O125" s="661"/>
      <c r="P125" s="661"/>
      <c r="Q125" s="661"/>
      <c r="R125" s="661"/>
      <c r="S125" s="661"/>
      <c r="T125" s="661"/>
      <c r="U125" s="661"/>
      <c r="V125" s="661"/>
      <c r="W125" s="661"/>
      <c r="X125" s="661"/>
      <c r="Y125" s="661"/>
      <c r="Z125" s="661"/>
      <c r="AA125" s="661"/>
      <c r="AB125" s="661"/>
      <c r="AE125" s="2140"/>
    </row>
    <row r="126" spans="2:31" s="1608" customFormat="1" ht="21" customHeight="1" x14ac:dyDescent="0.25">
      <c r="B126" s="1356"/>
      <c r="C126" s="1357" t="s">
        <v>1153</v>
      </c>
      <c r="D126" s="1356" t="s">
        <v>1154</v>
      </c>
      <c r="E126" s="1356" t="s">
        <v>1155</v>
      </c>
      <c r="F126" s="1356" t="s">
        <v>1156</v>
      </c>
      <c r="G126" s="1356" t="s">
        <v>1157</v>
      </c>
      <c r="H126" s="1356" t="s">
        <v>1158</v>
      </c>
      <c r="I126" s="1356" t="s">
        <v>1159</v>
      </c>
      <c r="J126" s="1356" t="s">
        <v>1160</v>
      </c>
      <c r="K126" s="1356" t="s">
        <v>1161</v>
      </c>
      <c r="L126" s="1356" t="s">
        <v>1162</v>
      </c>
      <c r="M126" s="1356" t="s">
        <v>1163</v>
      </c>
      <c r="N126" s="1356" t="s">
        <v>1164</v>
      </c>
      <c r="O126" s="1356" t="s">
        <v>1165</v>
      </c>
      <c r="P126" s="1356" t="s">
        <v>1166</v>
      </c>
      <c r="Q126" s="1356" t="s">
        <v>1167</v>
      </c>
      <c r="R126" s="1356" t="s">
        <v>1168</v>
      </c>
      <c r="S126" s="1356" t="s">
        <v>1169</v>
      </c>
      <c r="T126" s="1356" t="s">
        <v>1170</v>
      </c>
      <c r="U126" s="1356" t="s">
        <v>1171</v>
      </c>
      <c r="V126" s="1356" t="s">
        <v>1172</v>
      </c>
      <c r="W126" s="1356" t="s">
        <v>1173</v>
      </c>
      <c r="X126" s="1356" t="s">
        <v>1174</v>
      </c>
      <c r="Y126" s="1356" t="s">
        <v>1175</v>
      </c>
      <c r="Z126" s="1356" t="s">
        <v>1176</v>
      </c>
      <c r="AA126" s="1356" t="s">
        <v>1184</v>
      </c>
      <c r="AB126" s="1356" t="s">
        <v>1185</v>
      </c>
      <c r="AE126" s="2140"/>
    </row>
    <row r="127" spans="2:31" s="395" customFormat="1" x14ac:dyDescent="0.25">
      <c r="B127" s="1490" t="s">
        <v>1179</v>
      </c>
      <c r="C127" s="1268">
        <v>1.6E-2</v>
      </c>
      <c r="D127" s="1268">
        <v>1.6E-2</v>
      </c>
      <c r="E127" s="1268">
        <v>1.6E-2</v>
      </c>
      <c r="F127" s="1268">
        <v>1.6E-2</v>
      </c>
      <c r="G127" s="1268">
        <v>1.6E-2</v>
      </c>
      <c r="H127" s="1268">
        <v>1.6E-2</v>
      </c>
      <c r="I127" s="1268">
        <v>7.6999999999999999E-2</v>
      </c>
      <c r="J127" s="1268">
        <v>0.14000000000000001</v>
      </c>
      <c r="K127" s="1268">
        <v>0.14000000000000001</v>
      </c>
      <c r="L127" s="1268">
        <v>0.108</v>
      </c>
      <c r="M127" s="1268">
        <v>0.108</v>
      </c>
      <c r="N127" s="1268">
        <v>0.108</v>
      </c>
      <c r="O127" s="1268">
        <v>7.6999999999999999E-2</v>
      </c>
      <c r="P127" s="1268">
        <v>7.6999999999999999E-2</v>
      </c>
      <c r="Q127" s="1268">
        <v>7.6999999999999999E-2</v>
      </c>
      <c r="R127" s="1268">
        <v>7.6999999999999999E-2</v>
      </c>
      <c r="S127" s="1268">
        <v>7.6999999999999999E-2</v>
      </c>
      <c r="T127" s="1268">
        <v>0.108</v>
      </c>
      <c r="U127" s="1268">
        <v>0.217</v>
      </c>
      <c r="V127" s="1268">
        <v>0.217</v>
      </c>
      <c r="W127" s="1268">
        <v>0.217</v>
      </c>
      <c r="X127" s="1268">
        <v>0.217</v>
      </c>
      <c r="Y127" s="1268">
        <v>0.186</v>
      </c>
      <c r="Z127" s="1268">
        <v>1.6E-2</v>
      </c>
      <c r="AA127" s="1263">
        <f>SUM(C127:Z127)</f>
        <v>2.3400000000000003</v>
      </c>
      <c r="AB127" s="1264">
        <f>AA127*SUM($C$9:$C$13)</f>
        <v>585.00000000000011</v>
      </c>
      <c r="AE127" s="2140"/>
    </row>
    <row r="128" spans="2:31" s="395" customFormat="1" x14ac:dyDescent="0.25">
      <c r="B128" s="1490" t="s">
        <v>1180</v>
      </c>
      <c r="C128" s="1268">
        <v>1.6E-2</v>
      </c>
      <c r="D128" s="1268">
        <v>1.6E-2</v>
      </c>
      <c r="E128" s="1268">
        <v>1.6E-2</v>
      </c>
      <c r="F128" s="1268">
        <v>1.6E-2</v>
      </c>
      <c r="G128" s="1268">
        <v>1.6E-2</v>
      </c>
      <c r="H128" s="1268">
        <v>1.6E-2</v>
      </c>
      <c r="I128" s="1268">
        <v>7.6999999999999999E-2</v>
      </c>
      <c r="J128" s="1268">
        <v>0.14000000000000001</v>
      </c>
      <c r="K128" s="1268">
        <v>0.14000000000000001</v>
      </c>
      <c r="L128" s="1268">
        <v>0.108</v>
      </c>
      <c r="M128" s="1268">
        <v>0.108</v>
      </c>
      <c r="N128" s="1268">
        <v>0.108</v>
      </c>
      <c r="O128" s="1268">
        <v>7.6999999999999999E-2</v>
      </c>
      <c r="P128" s="1268">
        <v>7.6999999999999999E-2</v>
      </c>
      <c r="Q128" s="1268">
        <v>7.6999999999999999E-2</v>
      </c>
      <c r="R128" s="1268">
        <v>7.6999999999999999E-2</v>
      </c>
      <c r="S128" s="1268">
        <v>7.6999999999999999E-2</v>
      </c>
      <c r="T128" s="1268">
        <v>0.108</v>
      </c>
      <c r="U128" s="1268">
        <v>0.217</v>
      </c>
      <c r="V128" s="1268">
        <v>0.217</v>
      </c>
      <c r="W128" s="1268">
        <v>0.217</v>
      </c>
      <c r="X128" s="1268">
        <v>0.217</v>
      </c>
      <c r="Y128" s="1268">
        <v>0.186</v>
      </c>
      <c r="Z128" s="1268">
        <v>1.6E-2</v>
      </c>
      <c r="AA128" s="1263">
        <f>SUM(C128:Z128)</f>
        <v>2.3400000000000003</v>
      </c>
      <c r="AB128" s="1264">
        <f>AA128*SUM($C$14:$C$15)</f>
        <v>243.36000000000004</v>
      </c>
      <c r="AE128" s="2140"/>
    </row>
    <row r="129" spans="2:31" s="395" customFormat="1" x14ac:dyDescent="0.25">
      <c r="B129" s="1490" t="s">
        <v>1181</v>
      </c>
      <c r="C129" s="1268">
        <v>1.6E-2</v>
      </c>
      <c r="D129" s="1268">
        <v>1.6E-2</v>
      </c>
      <c r="E129" s="1268">
        <v>1.6E-2</v>
      </c>
      <c r="F129" s="1268">
        <v>1.6E-2</v>
      </c>
      <c r="G129" s="1268">
        <v>1.6E-2</v>
      </c>
      <c r="H129" s="1268">
        <v>1.6E-2</v>
      </c>
      <c r="I129" s="1268">
        <v>7.6999999999999999E-2</v>
      </c>
      <c r="J129" s="1268">
        <v>0.14000000000000001</v>
      </c>
      <c r="K129" s="1268">
        <v>0.14000000000000001</v>
      </c>
      <c r="L129" s="1268">
        <v>0.108</v>
      </c>
      <c r="M129" s="1268">
        <v>0.108</v>
      </c>
      <c r="N129" s="1268">
        <v>0.108</v>
      </c>
      <c r="O129" s="1268">
        <v>7.6999999999999999E-2</v>
      </c>
      <c r="P129" s="1268">
        <v>7.6999999999999999E-2</v>
      </c>
      <c r="Q129" s="1268">
        <v>7.6999999999999999E-2</v>
      </c>
      <c r="R129" s="1268">
        <v>7.6999999999999999E-2</v>
      </c>
      <c r="S129" s="1268">
        <v>7.6999999999999999E-2</v>
      </c>
      <c r="T129" s="1268">
        <v>0.108</v>
      </c>
      <c r="U129" s="1268">
        <v>0.217</v>
      </c>
      <c r="V129" s="1268">
        <v>0.217</v>
      </c>
      <c r="W129" s="1268">
        <v>0.217</v>
      </c>
      <c r="X129" s="1268">
        <v>0.217</v>
      </c>
      <c r="Y129" s="1268">
        <v>0.186</v>
      </c>
      <c r="Z129" s="1268">
        <v>1.6E-2</v>
      </c>
      <c r="AA129" s="1263">
        <f>SUM(C129:Z129)</f>
        <v>2.3400000000000003</v>
      </c>
      <c r="AB129" s="1264">
        <f>AA129*$C$8</f>
        <v>25.740000000000002</v>
      </c>
      <c r="AE129" s="2140"/>
    </row>
    <row r="130" spans="2:31" s="395" customFormat="1" x14ac:dyDescent="0.25">
      <c r="B130" s="3368" t="s">
        <v>1186</v>
      </c>
      <c r="C130" s="3368"/>
      <c r="D130" s="3368"/>
      <c r="E130" s="3368"/>
      <c r="F130" s="3368"/>
      <c r="G130" s="3368"/>
      <c r="H130" s="3368"/>
      <c r="I130" s="3368"/>
      <c r="J130" s="3368"/>
      <c r="K130" s="3368"/>
      <c r="L130" s="3368"/>
      <c r="M130" s="3368"/>
      <c r="N130" s="3368"/>
      <c r="O130" s="3368"/>
      <c r="P130" s="3368"/>
      <c r="Q130" s="3368"/>
      <c r="R130" s="3368"/>
      <c r="S130" s="3368"/>
      <c r="T130" s="3368"/>
      <c r="U130" s="3368"/>
      <c r="V130" s="3368"/>
      <c r="W130" s="3368"/>
      <c r="X130" s="3368"/>
      <c r="Y130" s="3368"/>
      <c r="Z130" s="3368"/>
      <c r="AA130" s="3368"/>
      <c r="AB130" s="1264">
        <f>SUM(AB127:AB129)</f>
        <v>854.10000000000014</v>
      </c>
      <c r="AE130" s="2140"/>
    </row>
    <row r="131" spans="2:31" s="395" customFormat="1" x14ac:dyDescent="0.25">
      <c r="B131" s="661"/>
      <c r="C131" s="661"/>
      <c r="D131" s="661"/>
      <c r="E131" s="661"/>
      <c r="F131" s="661"/>
      <c r="G131" s="661"/>
      <c r="H131" s="661"/>
      <c r="I131" s="661"/>
      <c r="J131" s="661"/>
      <c r="K131" s="661"/>
      <c r="L131" s="661"/>
      <c r="M131" s="661"/>
      <c r="N131" s="661"/>
      <c r="O131" s="661"/>
      <c r="P131" s="661"/>
      <c r="Q131" s="661"/>
      <c r="R131" s="661"/>
      <c r="S131" s="661"/>
      <c r="T131" s="661"/>
      <c r="U131" s="661"/>
      <c r="V131" s="661"/>
      <c r="W131" s="661"/>
      <c r="X131" s="661"/>
      <c r="Y131" s="661"/>
      <c r="Z131" s="661"/>
      <c r="AA131" s="661"/>
      <c r="AB131" s="661"/>
      <c r="AE131" s="2140"/>
    </row>
    <row r="132" spans="2:31" s="395" customFormat="1" ht="15" customHeight="1" x14ac:dyDescent="0.25">
      <c r="B132" s="661" t="s">
        <v>1152</v>
      </c>
      <c r="C132" s="3367" t="s">
        <v>1319</v>
      </c>
      <c r="D132" s="3367"/>
      <c r="E132" s="3367"/>
      <c r="F132" s="3367"/>
      <c r="G132" s="3367"/>
      <c r="H132" s="3367"/>
      <c r="I132" s="3367"/>
      <c r="J132" s="3367"/>
      <c r="K132" s="3367"/>
      <c r="L132" s="3367"/>
      <c r="M132" s="3367"/>
      <c r="N132" s="3367"/>
      <c r="O132" s="3367"/>
      <c r="P132" s="3367"/>
      <c r="Q132" s="3367"/>
      <c r="R132" s="3367"/>
      <c r="S132" s="3367"/>
      <c r="T132" s="3367"/>
      <c r="U132" s="3367"/>
      <c r="V132" s="3367"/>
      <c r="W132" s="3367"/>
      <c r="X132" s="3367"/>
      <c r="Y132" s="3367"/>
      <c r="Z132" s="3367"/>
      <c r="AA132" s="3367"/>
      <c r="AB132" s="3367"/>
      <c r="AE132" s="2140"/>
    </row>
    <row r="133" spans="2:31" s="395" customFormat="1" x14ac:dyDescent="0.25">
      <c r="B133" s="661"/>
      <c r="C133" s="661"/>
      <c r="D133" s="661"/>
      <c r="E133" s="661"/>
      <c r="F133" s="661"/>
      <c r="G133" s="661"/>
      <c r="H133" s="661"/>
      <c r="I133" s="661"/>
      <c r="J133" s="661"/>
      <c r="K133" s="661"/>
      <c r="L133" s="661"/>
      <c r="M133" s="661"/>
      <c r="N133" s="661"/>
      <c r="O133" s="661"/>
      <c r="P133" s="661"/>
      <c r="Q133" s="661"/>
      <c r="R133" s="661"/>
      <c r="S133" s="661"/>
      <c r="T133" s="661"/>
      <c r="U133" s="661"/>
      <c r="V133" s="661"/>
      <c r="W133" s="661"/>
      <c r="X133" s="661"/>
      <c r="Y133" s="661"/>
      <c r="Z133" s="661"/>
      <c r="AA133" s="661"/>
      <c r="AB133" s="661"/>
      <c r="AE133" s="2140"/>
    </row>
    <row r="134" spans="2:31" s="1608" customFormat="1" ht="21" customHeight="1" x14ac:dyDescent="0.25">
      <c r="B134" s="1356"/>
      <c r="C134" s="1357" t="s">
        <v>1153</v>
      </c>
      <c r="D134" s="1356" t="s">
        <v>1154</v>
      </c>
      <c r="E134" s="1356" t="s">
        <v>1155</v>
      </c>
      <c r="F134" s="1356" t="s">
        <v>1156</v>
      </c>
      <c r="G134" s="1356" t="s">
        <v>1157</v>
      </c>
      <c r="H134" s="1356" t="s">
        <v>1158</v>
      </c>
      <c r="I134" s="1356" t="s">
        <v>1159</v>
      </c>
      <c r="J134" s="1356" t="s">
        <v>1160</v>
      </c>
      <c r="K134" s="1356" t="s">
        <v>1161</v>
      </c>
      <c r="L134" s="1356" t="s">
        <v>1162</v>
      </c>
      <c r="M134" s="1356" t="s">
        <v>1163</v>
      </c>
      <c r="N134" s="1356" t="s">
        <v>1164</v>
      </c>
      <c r="O134" s="1356" t="s">
        <v>1165</v>
      </c>
      <c r="P134" s="1356" t="s">
        <v>1166</v>
      </c>
      <c r="Q134" s="1356" t="s">
        <v>1167</v>
      </c>
      <c r="R134" s="1356" t="s">
        <v>1168</v>
      </c>
      <c r="S134" s="1356" t="s">
        <v>1169</v>
      </c>
      <c r="T134" s="1356" t="s">
        <v>1170</v>
      </c>
      <c r="U134" s="1356" t="s">
        <v>1171</v>
      </c>
      <c r="V134" s="1356" t="s">
        <v>1172</v>
      </c>
      <c r="W134" s="1356" t="s">
        <v>1173</v>
      </c>
      <c r="X134" s="1356" t="s">
        <v>1174</v>
      </c>
      <c r="Y134" s="1356" t="s">
        <v>1175</v>
      </c>
      <c r="Z134" s="1356" t="s">
        <v>1176</v>
      </c>
      <c r="AA134" s="1356" t="s">
        <v>1184</v>
      </c>
      <c r="AB134" s="1356" t="s">
        <v>1185</v>
      </c>
      <c r="AE134" s="2140"/>
    </row>
    <row r="135" spans="2:31" s="395" customFormat="1" x14ac:dyDescent="0.25">
      <c r="B135" s="1490" t="s">
        <v>1179</v>
      </c>
      <c r="C135" s="1269">
        <v>0.05</v>
      </c>
      <c r="D135" s="1269">
        <v>0.05</v>
      </c>
      <c r="E135" s="1269">
        <v>0.05</v>
      </c>
      <c r="F135" s="1269">
        <v>0.05</v>
      </c>
      <c r="G135" s="1269">
        <v>0.05</v>
      </c>
      <c r="H135" s="1269">
        <v>0.05</v>
      </c>
      <c r="I135" s="1269">
        <v>0.05</v>
      </c>
      <c r="J135" s="1269">
        <v>0.05</v>
      </c>
      <c r="K135" s="1269">
        <v>0.5</v>
      </c>
      <c r="L135" s="1269">
        <v>0.5</v>
      </c>
      <c r="M135" s="1269">
        <v>0.5</v>
      </c>
      <c r="N135" s="1269">
        <v>0.5</v>
      </c>
      <c r="O135" s="1269">
        <v>0.3</v>
      </c>
      <c r="P135" s="1269">
        <v>0.5</v>
      </c>
      <c r="Q135" s="1269">
        <v>0.5</v>
      </c>
      <c r="R135" s="1269">
        <v>0.5</v>
      </c>
      <c r="S135" s="1269">
        <v>0.5</v>
      </c>
      <c r="T135" s="1269">
        <v>0.5</v>
      </c>
      <c r="U135" s="1269">
        <v>0.35</v>
      </c>
      <c r="V135" s="1269">
        <v>0.05</v>
      </c>
      <c r="W135" s="1269">
        <v>0.05</v>
      </c>
      <c r="X135" s="1269">
        <v>0.05</v>
      </c>
      <c r="Y135" s="1269">
        <v>0.05</v>
      </c>
      <c r="Z135" s="1269">
        <v>0.05</v>
      </c>
      <c r="AA135" s="1263">
        <f>SUM(C135:Z135)</f>
        <v>5.799999999999998</v>
      </c>
      <c r="AB135" s="1264">
        <f>AA135*SUM($C$9:$C$13)</f>
        <v>1449.9999999999995</v>
      </c>
      <c r="AE135" s="2140"/>
    </row>
    <row r="136" spans="2:31" s="395" customFormat="1" x14ac:dyDescent="0.25">
      <c r="B136" s="1490" t="s">
        <v>1180</v>
      </c>
      <c r="C136" s="1269">
        <v>0.05</v>
      </c>
      <c r="D136" s="1269">
        <v>0.05</v>
      </c>
      <c r="E136" s="1269">
        <v>0.05</v>
      </c>
      <c r="F136" s="1269">
        <v>0.05</v>
      </c>
      <c r="G136" s="1269">
        <v>0.05</v>
      </c>
      <c r="H136" s="1269">
        <v>0.05</v>
      </c>
      <c r="I136" s="1269">
        <v>0.05</v>
      </c>
      <c r="J136" s="1269">
        <v>0.05</v>
      </c>
      <c r="K136" s="1269">
        <v>0.5</v>
      </c>
      <c r="L136" s="1269">
        <v>0.5</v>
      </c>
      <c r="M136" s="1269">
        <v>0.5</v>
      </c>
      <c r="N136" s="1269">
        <v>0.5</v>
      </c>
      <c r="O136" s="1269">
        <v>0.3</v>
      </c>
      <c r="P136" s="1269">
        <v>0.5</v>
      </c>
      <c r="Q136" s="1269">
        <v>0.5</v>
      </c>
      <c r="R136" s="1269">
        <v>0.5</v>
      </c>
      <c r="S136" s="1269">
        <v>0.5</v>
      </c>
      <c r="T136" s="1269">
        <v>0.5</v>
      </c>
      <c r="U136" s="1269">
        <v>0.35</v>
      </c>
      <c r="V136" s="1269">
        <v>0.05</v>
      </c>
      <c r="W136" s="1269">
        <v>0.05</v>
      </c>
      <c r="X136" s="1269">
        <v>0.05</v>
      </c>
      <c r="Y136" s="1269">
        <v>0.05</v>
      </c>
      <c r="Z136" s="1269">
        <v>0.05</v>
      </c>
      <c r="AA136" s="1263">
        <f>SUM(C136:Z136)</f>
        <v>5.799999999999998</v>
      </c>
      <c r="AB136" s="1264">
        <f>AA136*SUM($C$14:$C$15)</f>
        <v>603.19999999999982</v>
      </c>
      <c r="AE136" s="2140"/>
    </row>
    <row r="137" spans="2:31" s="395" customFormat="1" x14ac:dyDescent="0.25">
      <c r="B137" s="1490" t="s">
        <v>1181</v>
      </c>
      <c r="C137" s="1269">
        <v>0.05</v>
      </c>
      <c r="D137" s="1269">
        <v>0.05</v>
      </c>
      <c r="E137" s="1269">
        <v>0.05</v>
      </c>
      <c r="F137" s="1269">
        <v>0.05</v>
      </c>
      <c r="G137" s="1269">
        <v>0.05</v>
      </c>
      <c r="H137" s="1269">
        <v>0.05</v>
      </c>
      <c r="I137" s="1269">
        <v>0.05</v>
      </c>
      <c r="J137" s="1269">
        <v>0.05</v>
      </c>
      <c r="K137" s="1269">
        <v>0.5</v>
      </c>
      <c r="L137" s="1269">
        <v>0.5</v>
      </c>
      <c r="M137" s="1269">
        <v>0.5</v>
      </c>
      <c r="N137" s="1269">
        <v>0.5</v>
      </c>
      <c r="O137" s="1269">
        <v>0.3</v>
      </c>
      <c r="P137" s="1269">
        <v>0.5</v>
      </c>
      <c r="Q137" s="1269">
        <v>0.5</v>
      </c>
      <c r="R137" s="1269">
        <v>0.5</v>
      </c>
      <c r="S137" s="1269">
        <v>0.5</v>
      </c>
      <c r="T137" s="1269">
        <v>0.5</v>
      </c>
      <c r="U137" s="1269">
        <v>0.35</v>
      </c>
      <c r="V137" s="1269">
        <v>0.05</v>
      </c>
      <c r="W137" s="1269">
        <v>0.05</v>
      </c>
      <c r="X137" s="1269">
        <v>0.05</v>
      </c>
      <c r="Y137" s="1269">
        <v>0.05</v>
      </c>
      <c r="Z137" s="1269">
        <v>0.05</v>
      </c>
      <c r="AA137" s="1263">
        <f>SUM(C137:Z137)</f>
        <v>5.799999999999998</v>
      </c>
      <c r="AB137" s="1264">
        <f>AA137*$C$8</f>
        <v>63.799999999999976</v>
      </c>
      <c r="AE137" s="2140"/>
    </row>
    <row r="138" spans="2:31" s="395" customFormat="1" x14ac:dyDescent="0.25">
      <c r="B138" s="3368" t="s">
        <v>1186</v>
      </c>
      <c r="C138" s="3368"/>
      <c r="D138" s="3368"/>
      <c r="E138" s="3368"/>
      <c r="F138" s="3368"/>
      <c r="G138" s="3368"/>
      <c r="H138" s="3368"/>
      <c r="I138" s="3368"/>
      <c r="J138" s="3368"/>
      <c r="K138" s="3368"/>
      <c r="L138" s="3368"/>
      <c r="M138" s="3368"/>
      <c r="N138" s="3368"/>
      <c r="O138" s="3368"/>
      <c r="P138" s="3368"/>
      <c r="Q138" s="3368"/>
      <c r="R138" s="3368"/>
      <c r="S138" s="3368"/>
      <c r="T138" s="3368"/>
      <c r="U138" s="3368"/>
      <c r="V138" s="3368"/>
      <c r="W138" s="3368"/>
      <c r="X138" s="3368"/>
      <c r="Y138" s="3368"/>
      <c r="Z138" s="3368"/>
      <c r="AA138" s="3368"/>
      <c r="AB138" s="1264">
        <f>SUM(AB135:AB137)</f>
        <v>2116.9999999999995</v>
      </c>
      <c r="AE138" s="2140"/>
    </row>
    <row r="139" spans="2:31" s="395" customFormat="1" x14ac:dyDescent="0.25">
      <c r="B139" s="661"/>
      <c r="C139" s="661"/>
      <c r="D139" s="661"/>
      <c r="E139" s="661"/>
      <c r="F139" s="661"/>
      <c r="G139" s="661"/>
      <c r="H139" s="661"/>
      <c r="I139" s="661"/>
      <c r="J139" s="661"/>
      <c r="K139" s="661"/>
      <c r="L139" s="661"/>
      <c r="M139" s="661"/>
      <c r="N139" s="661"/>
      <c r="O139" s="661"/>
      <c r="P139" s="661"/>
      <c r="Q139" s="661"/>
      <c r="R139" s="661"/>
      <c r="S139" s="661"/>
      <c r="T139" s="661"/>
      <c r="U139" s="661"/>
      <c r="V139" s="661"/>
      <c r="W139" s="661"/>
      <c r="X139" s="661"/>
      <c r="Y139" s="661"/>
      <c r="Z139" s="661"/>
      <c r="AA139" s="661"/>
      <c r="AB139" s="661"/>
      <c r="AE139" s="2140"/>
    </row>
    <row r="140" spans="2:31" s="395" customFormat="1" ht="15" customHeight="1" x14ac:dyDescent="0.25">
      <c r="B140" s="661" t="s">
        <v>1152</v>
      </c>
      <c r="C140" s="3367" t="s">
        <v>1320</v>
      </c>
      <c r="D140" s="3367"/>
      <c r="E140" s="3367"/>
      <c r="F140" s="3367"/>
      <c r="G140" s="3367"/>
      <c r="H140" s="3367"/>
      <c r="I140" s="3367"/>
      <c r="J140" s="3367"/>
      <c r="K140" s="3367"/>
      <c r="L140" s="3367"/>
      <c r="M140" s="3367"/>
      <c r="N140" s="3367"/>
      <c r="O140" s="3367"/>
      <c r="P140" s="3367"/>
      <c r="Q140" s="3367"/>
      <c r="R140" s="3367"/>
      <c r="S140" s="3367"/>
      <c r="T140" s="3367"/>
      <c r="U140" s="3367"/>
      <c r="V140" s="3367"/>
      <c r="W140" s="3367"/>
      <c r="X140" s="3367"/>
      <c r="Y140" s="3367"/>
      <c r="Z140" s="3367"/>
      <c r="AA140" s="3367"/>
      <c r="AB140" s="3367"/>
      <c r="AE140" s="2140"/>
    </row>
    <row r="141" spans="2:31" s="395" customFormat="1" x14ac:dyDescent="0.25">
      <c r="B141" s="661"/>
      <c r="C141" s="661"/>
      <c r="D141" s="661"/>
      <c r="E141" s="661"/>
      <c r="F141" s="661"/>
      <c r="G141" s="661"/>
      <c r="H141" s="661"/>
      <c r="I141" s="661"/>
      <c r="J141" s="661"/>
      <c r="K141" s="661"/>
      <c r="L141" s="661"/>
      <c r="M141" s="661"/>
      <c r="N141" s="661"/>
      <c r="O141" s="661"/>
      <c r="P141" s="661"/>
      <c r="Q141" s="661"/>
      <c r="R141" s="661"/>
      <c r="S141" s="661"/>
      <c r="T141" s="661"/>
      <c r="U141" s="661"/>
      <c r="V141" s="661"/>
      <c r="W141" s="661"/>
      <c r="X141" s="661"/>
      <c r="Y141" s="661"/>
      <c r="Z141" s="661"/>
      <c r="AA141" s="661"/>
      <c r="AB141" s="661"/>
      <c r="AE141" s="2140"/>
    </row>
    <row r="142" spans="2:31" s="1608" customFormat="1" ht="21" customHeight="1" x14ac:dyDescent="0.25">
      <c r="B142" s="1356"/>
      <c r="C142" s="1357" t="s">
        <v>1153</v>
      </c>
      <c r="D142" s="1356" t="s">
        <v>1154</v>
      </c>
      <c r="E142" s="1356" t="s">
        <v>1155</v>
      </c>
      <c r="F142" s="1356" t="s">
        <v>1156</v>
      </c>
      <c r="G142" s="1356" t="s">
        <v>1157</v>
      </c>
      <c r="H142" s="1356" t="s">
        <v>1158</v>
      </c>
      <c r="I142" s="1356" t="s">
        <v>1159</v>
      </c>
      <c r="J142" s="1356" t="s">
        <v>1160</v>
      </c>
      <c r="K142" s="1356" t="s">
        <v>1161</v>
      </c>
      <c r="L142" s="1356" t="s">
        <v>1162</v>
      </c>
      <c r="M142" s="1356" t="s">
        <v>1163</v>
      </c>
      <c r="N142" s="1356" t="s">
        <v>1164</v>
      </c>
      <c r="O142" s="1356" t="s">
        <v>1165</v>
      </c>
      <c r="P142" s="1356" t="s">
        <v>1166</v>
      </c>
      <c r="Q142" s="1356" t="s">
        <v>1167</v>
      </c>
      <c r="R142" s="1356" t="s">
        <v>1168</v>
      </c>
      <c r="S142" s="1356" t="s">
        <v>1169</v>
      </c>
      <c r="T142" s="1356" t="s">
        <v>1170</v>
      </c>
      <c r="U142" s="1356" t="s">
        <v>1171</v>
      </c>
      <c r="V142" s="1356" t="s">
        <v>1172</v>
      </c>
      <c r="W142" s="1356" t="s">
        <v>1173</v>
      </c>
      <c r="X142" s="1356" t="s">
        <v>1174</v>
      </c>
      <c r="Y142" s="1356" t="s">
        <v>1175</v>
      </c>
      <c r="Z142" s="1356" t="s">
        <v>1176</v>
      </c>
      <c r="AA142" s="1356" t="s">
        <v>1184</v>
      </c>
      <c r="AB142" s="1356" t="s">
        <v>1185</v>
      </c>
      <c r="AE142" s="2140"/>
    </row>
    <row r="143" spans="2:31" s="395" customFormat="1" x14ac:dyDescent="0.25">
      <c r="B143" s="1490" t="s">
        <v>1179</v>
      </c>
      <c r="C143" s="1269">
        <v>0.1</v>
      </c>
      <c r="D143" s="1269">
        <v>0.1</v>
      </c>
      <c r="E143" s="1269">
        <v>0.1</v>
      </c>
      <c r="F143" s="1269">
        <v>0.1</v>
      </c>
      <c r="G143" s="1269">
        <v>0.1</v>
      </c>
      <c r="H143" s="1269">
        <v>0.3</v>
      </c>
      <c r="I143" s="1269">
        <v>0.45</v>
      </c>
      <c r="J143" s="1269">
        <v>0.45</v>
      </c>
      <c r="K143" s="1269">
        <v>0.45</v>
      </c>
      <c r="L143" s="1269">
        <v>0.45</v>
      </c>
      <c r="M143" s="1269">
        <v>0.3</v>
      </c>
      <c r="N143" s="1269">
        <v>0.3</v>
      </c>
      <c r="O143" s="1269">
        <v>0.3</v>
      </c>
      <c r="P143" s="1269">
        <v>0.3</v>
      </c>
      <c r="Q143" s="1269">
        <v>0.3</v>
      </c>
      <c r="R143" s="1269">
        <v>0.3</v>
      </c>
      <c r="S143" s="1269">
        <v>0.3</v>
      </c>
      <c r="T143" s="1269">
        <v>0.3</v>
      </c>
      <c r="U143" s="1269">
        <v>0.6</v>
      </c>
      <c r="V143" s="1269">
        <v>0.8</v>
      </c>
      <c r="W143" s="1269">
        <v>0.9</v>
      </c>
      <c r="X143" s="1269">
        <v>0.8</v>
      </c>
      <c r="Y143" s="1269">
        <v>0.6</v>
      </c>
      <c r="Z143" s="1269">
        <v>0.3</v>
      </c>
      <c r="AA143" s="1263">
        <f>SUM(C143:Z143)</f>
        <v>9</v>
      </c>
      <c r="AB143" s="1264">
        <f>AA143*SUM($C$9:$C$13)</f>
        <v>2250</v>
      </c>
      <c r="AE143" s="2140"/>
    </row>
    <row r="144" spans="2:31" s="395" customFormat="1" x14ac:dyDescent="0.25">
      <c r="B144" s="1490" t="s">
        <v>1180</v>
      </c>
      <c r="C144" s="1269">
        <v>0.1</v>
      </c>
      <c r="D144" s="1269">
        <v>0.1</v>
      </c>
      <c r="E144" s="1269">
        <v>0.1</v>
      </c>
      <c r="F144" s="1269">
        <v>0.1</v>
      </c>
      <c r="G144" s="1269">
        <v>0.1</v>
      </c>
      <c r="H144" s="1269">
        <v>0.3</v>
      </c>
      <c r="I144" s="1269">
        <v>0.45</v>
      </c>
      <c r="J144" s="1269">
        <v>0.45</v>
      </c>
      <c r="K144" s="1269">
        <v>0.45</v>
      </c>
      <c r="L144" s="1269">
        <v>0.45</v>
      </c>
      <c r="M144" s="1269">
        <v>0.3</v>
      </c>
      <c r="N144" s="1269">
        <v>0.3</v>
      </c>
      <c r="O144" s="1269">
        <v>0.3</v>
      </c>
      <c r="P144" s="1269">
        <v>0.3</v>
      </c>
      <c r="Q144" s="1269">
        <v>0.3</v>
      </c>
      <c r="R144" s="1269">
        <v>0.3</v>
      </c>
      <c r="S144" s="1269">
        <v>0.3</v>
      </c>
      <c r="T144" s="1269">
        <v>0.3</v>
      </c>
      <c r="U144" s="1269">
        <v>0.6</v>
      </c>
      <c r="V144" s="1269">
        <v>0.8</v>
      </c>
      <c r="W144" s="1269">
        <v>0.9</v>
      </c>
      <c r="X144" s="1269">
        <v>0.8</v>
      </c>
      <c r="Y144" s="1269">
        <v>0.6</v>
      </c>
      <c r="Z144" s="1269">
        <v>0.3</v>
      </c>
      <c r="AA144" s="1263">
        <f>SUM(C144:Z144)</f>
        <v>9</v>
      </c>
      <c r="AB144" s="1264">
        <f>AA144*SUM($C$14:$C$15)</f>
        <v>936</v>
      </c>
      <c r="AE144" s="2140"/>
    </row>
    <row r="145" spans="2:31" s="395" customFormat="1" x14ac:dyDescent="0.25">
      <c r="B145" s="1490" t="s">
        <v>1181</v>
      </c>
      <c r="C145" s="1269">
        <v>0.1</v>
      </c>
      <c r="D145" s="1269">
        <v>0.1</v>
      </c>
      <c r="E145" s="1269">
        <v>0.1</v>
      </c>
      <c r="F145" s="1269">
        <v>0.1</v>
      </c>
      <c r="G145" s="1269">
        <v>0.1</v>
      </c>
      <c r="H145" s="1269">
        <v>0.3</v>
      </c>
      <c r="I145" s="1269">
        <v>0.45</v>
      </c>
      <c r="J145" s="1269">
        <v>0.45</v>
      </c>
      <c r="K145" s="1269">
        <v>0.45</v>
      </c>
      <c r="L145" s="1269">
        <v>0.45</v>
      </c>
      <c r="M145" s="1269">
        <v>0.3</v>
      </c>
      <c r="N145" s="1269">
        <v>0.3</v>
      </c>
      <c r="O145" s="1269">
        <v>0.3</v>
      </c>
      <c r="P145" s="1269">
        <v>0.3</v>
      </c>
      <c r="Q145" s="1269">
        <v>0.3</v>
      </c>
      <c r="R145" s="1269">
        <v>0.3</v>
      </c>
      <c r="S145" s="1269">
        <v>0.3</v>
      </c>
      <c r="T145" s="1269">
        <v>0.3</v>
      </c>
      <c r="U145" s="1269">
        <v>0.6</v>
      </c>
      <c r="V145" s="1269">
        <v>0.8</v>
      </c>
      <c r="W145" s="1269">
        <v>0.9</v>
      </c>
      <c r="X145" s="1269">
        <v>0.8</v>
      </c>
      <c r="Y145" s="1269">
        <v>0.6</v>
      </c>
      <c r="Z145" s="1269">
        <v>0.3</v>
      </c>
      <c r="AA145" s="1263">
        <f>SUM(C145:Z145)</f>
        <v>9</v>
      </c>
      <c r="AB145" s="1264">
        <f>AA145*$C$8</f>
        <v>99</v>
      </c>
      <c r="AE145" s="2140"/>
    </row>
    <row r="146" spans="2:31" s="395" customFormat="1" x14ac:dyDescent="0.25">
      <c r="B146" s="3368" t="s">
        <v>1186</v>
      </c>
      <c r="C146" s="3368"/>
      <c r="D146" s="3368"/>
      <c r="E146" s="3368"/>
      <c r="F146" s="3368"/>
      <c r="G146" s="3368"/>
      <c r="H146" s="3368"/>
      <c r="I146" s="3368"/>
      <c r="J146" s="3368"/>
      <c r="K146" s="3368"/>
      <c r="L146" s="3368"/>
      <c r="M146" s="3368"/>
      <c r="N146" s="3368"/>
      <c r="O146" s="3368"/>
      <c r="P146" s="3368"/>
      <c r="Q146" s="3368"/>
      <c r="R146" s="3368"/>
      <c r="S146" s="3368"/>
      <c r="T146" s="3368"/>
      <c r="U146" s="3368"/>
      <c r="V146" s="3368"/>
      <c r="W146" s="3368"/>
      <c r="X146" s="3368"/>
      <c r="Y146" s="3368"/>
      <c r="Z146" s="3368"/>
      <c r="AA146" s="3368"/>
      <c r="AB146" s="1264">
        <f>SUM(AB143:AB145)</f>
        <v>3285</v>
      </c>
      <c r="AE146" s="2140"/>
    </row>
    <row r="147" spans="2:31" s="395" customFormat="1" x14ac:dyDescent="0.25">
      <c r="B147" s="661"/>
      <c r="C147" s="661"/>
      <c r="D147" s="661"/>
      <c r="E147" s="661"/>
      <c r="F147" s="661"/>
      <c r="G147" s="661"/>
      <c r="H147" s="661"/>
      <c r="I147" s="661"/>
      <c r="J147" s="661"/>
      <c r="K147" s="661"/>
      <c r="L147" s="661"/>
      <c r="M147" s="661"/>
      <c r="N147" s="661"/>
      <c r="O147" s="661"/>
      <c r="P147" s="661"/>
      <c r="Q147" s="661"/>
      <c r="R147" s="661"/>
      <c r="S147" s="661"/>
      <c r="T147" s="661"/>
      <c r="U147" s="661"/>
      <c r="V147" s="661"/>
      <c r="W147" s="661"/>
      <c r="X147" s="661"/>
      <c r="Y147" s="661"/>
      <c r="Z147" s="661"/>
      <c r="AA147" s="661"/>
      <c r="AB147" s="661"/>
      <c r="AE147" s="2140"/>
    </row>
    <row r="148" spans="2:31" s="395" customFormat="1" ht="15" customHeight="1" x14ac:dyDescent="0.25">
      <c r="B148" s="661" t="s">
        <v>1152</v>
      </c>
      <c r="C148" s="3367" t="s">
        <v>1321</v>
      </c>
      <c r="D148" s="3367"/>
      <c r="E148" s="3367"/>
      <c r="F148" s="3367"/>
      <c r="G148" s="3367"/>
      <c r="H148" s="3367"/>
      <c r="I148" s="3367"/>
      <c r="J148" s="3367"/>
      <c r="K148" s="3367"/>
      <c r="L148" s="3367"/>
      <c r="M148" s="3367"/>
      <c r="N148" s="3367"/>
      <c r="O148" s="3367"/>
      <c r="P148" s="3367"/>
      <c r="Q148" s="3367"/>
      <c r="R148" s="3367"/>
      <c r="S148" s="3367"/>
      <c r="T148" s="3367"/>
      <c r="U148" s="3367"/>
      <c r="V148" s="3367"/>
      <c r="W148" s="3367"/>
      <c r="X148" s="3367"/>
      <c r="Y148" s="3367"/>
      <c r="Z148" s="3367"/>
      <c r="AA148" s="3367"/>
      <c r="AB148" s="3367"/>
      <c r="AE148" s="2140"/>
    </row>
    <row r="149" spans="2:31" s="395" customFormat="1" x14ac:dyDescent="0.25">
      <c r="B149" s="661"/>
      <c r="C149" s="661"/>
      <c r="D149" s="661"/>
      <c r="E149" s="661"/>
      <c r="F149" s="661"/>
      <c r="G149" s="661"/>
      <c r="H149" s="661"/>
      <c r="I149" s="661"/>
      <c r="J149" s="661"/>
      <c r="K149" s="661"/>
      <c r="L149" s="661"/>
      <c r="M149" s="661"/>
      <c r="N149" s="661"/>
      <c r="O149" s="661"/>
      <c r="P149" s="661"/>
      <c r="Q149" s="661"/>
      <c r="R149" s="661"/>
      <c r="S149" s="661"/>
      <c r="T149" s="661"/>
      <c r="U149" s="661"/>
      <c r="V149" s="661"/>
      <c r="W149" s="661"/>
      <c r="X149" s="661"/>
      <c r="Y149" s="661"/>
      <c r="Z149" s="661"/>
      <c r="AA149" s="661"/>
      <c r="AB149" s="661"/>
      <c r="AE149" s="2140"/>
    </row>
    <row r="150" spans="2:31" s="1608" customFormat="1" ht="21" customHeight="1" x14ac:dyDescent="0.25">
      <c r="B150" s="1356"/>
      <c r="C150" s="1357" t="s">
        <v>1153</v>
      </c>
      <c r="D150" s="1356" t="s">
        <v>1154</v>
      </c>
      <c r="E150" s="1356" t="s">
        <v>1155</v>
      </c>
      <c r="F150" s="1356" t="s">
        <v>1156</v>
      </c>
      <c r="G150" s="1356" t="s">
        <v>1157</v>
      </c>
      <c r="H150" s="1356" t="s">
        <v>1158</v>
      </c>
      <c r="I150" s="1356" t="s">
        <v>1159</v>
      </c>
      <c r="J150" s="1356" t="s">
        <v>1160</v>
      </c>
      <c r="K150" s="1356" t="s">
        <v>1161</v>
      </c>
      <c r="L150" s="1356" t="s">
        <v>1162</v>
      </c>
      <c r="M150" s="1356" t="s">
        <v>1163</v>
      </c>
      <c r="N150" s="1356" t="s">
        <v>1164</v>
      </c>
      <c r="O150" s="1356" t="s">
        <v>1165</v>
      </c>
      <c r="P150" s="1356" t="s">
        <v>1166</v>
      </c>
      <c r="Q150" s="1356" t="s">
        <v>1167</v>
      </c>
      <c r="R150" s="1356" t="s">
        <v>1168</v>
      </c>
      <c r="S150" s="1356" t="s">
        <v>1169</v>
      </c>
      <c r="T150" s="1356" t="s">
        <v>1170</v>
      </c>
      <c r="U150" s="1356" t="s">
        <v>1171</v>
      </c>
      <c r="V150" s="1356" t="s">
        <v>1172</v>
      </c>
      <c r="W150" s="1356" t="s">
        <v>1173</v>
      </c>
      <c r="X150" s="1356" t="s">
        <v>1174</v>
      </c>
      <c r="Y150" s="1356" t="s">
        <v>1175</v>
      </c>
      <c r="Z150" s="1356" t="s">
        <v>1176</v>
      </c>
      <c r="AA150" s="1356" t="s">
        <v>1184</v>
      </c>
      <c r="AB150" s="1356" t="s">
        <v>1185</v>
      </c>
      <c r="AE150" s="2140"/>
    </row>
    <row r="151" spans="2:31" s="395" customFormat="1" x14ac:dyDescent="0.25">
      <c r="B151" s="1490" t="s">
        <v>1179</v>
      </c>
      <c r="C151" s="1269">
        <v>0.05</v>
      </c>
      <c r="D151" s="1269">
        <v>0.05</v>
      </c>
      <c r="E151" s="1269">
        <v>0.05</v>
      </c>
      <c r="F151" s="1269">
        <v>0.05</v>
      </c>
      <c r="G151" s="1269">
        <v>0.05</v>
      </c>
      <c r="H151" s="1269">
        <v>0.05</v>
      </c>
      <c r="I151" s="1269">
        <v>0.3</v>
      </c>
      <c r="J151" s="1269">
        <v>0.5</v>
      </c>
      <c r="K151" s="1269">
        <v>0.4</v>
      </c>
      <c r="L151" s="1269">
        <v>0.3</v>
      </c>
      <c r="M151" s="1269">
        <v>0.3</v>
      </c>
      <c r="N151" s="1269">
        <v>0.35</v>
      </c>
      <c r="O151" s="1269">
        <v>0.4</v>
      </c>
      <c r="P151" s="1269">
        <v>0.35</v>
      </c>
      <c r="Q151" s="1269">
        <v>0.35</v>
      </c>
      <c r="R151" s="1269">
        <v>0.3</v>
      </c>
      <c r="S151" s="1269">
        <v>0.3</v>
      </c>
      <c r="T151" s="1269">
        <v>0.5</v>
      </c>
      <c r="U151" s="1269">
        <v>0.5</v>
      </c>
      <c r="V151" s="1269">
        <v>0.4</v>
      </c>
      <c r="W151" s="1269">
        <v>0.35</v>
      </c>
      <c r="X151" s="1269">
        <v>0.45</v>
      </c>
      <c r="Y151" s="1269">
        <v>0.3</v>
      </c>
      <c r="Z151" s="1269">
        <v>0.05</v>
      </c>
      <c r="AA151" s="1263">
        <f>SUM(C151:Z151)</f>
        <v>6.7</v>
      </c>
      <c r="AB151" s="1264">
        <f>AA151*SUM($C$9:$C$13)</f>
        <v>1675</v>
      </c>
      <c r="AE151" s="2140"/>
    </row>
    <row r="152" spans="2:31" s="395" customFormat="1" x14ac:dyDescent="0.25">
      <c r="B152" s="1490" t="s">
        <v>1180</v>
      </c>
      <c r="C152" s="1269">
        <v>0.05</v>
      </c>
      <c r="D152" s="1269">
        <v>0.05</v>
      </c>
      <c r="E152" s="1269">
        <v>0.05</v>
      </c>
      <c r="F152" s="1269">
        <v>0.05</v>
      </c>
      <c r="G152" s="1269">
        <v>0.05</v>
      </c>
      <c r="H152" s="1269">
        <v>0.05</v>
      </c>
      <c r="I152" s="1269">
        <v>0.3</v>
      </c>
      <c r="J152" s="1269">
        <v>0.5</v>
      </c>
      <c r="K152" s="1269">
        <v>0.4</v>
      </c>
      <c r="L152" s="1269">
        <v>0.3</v>
      </c>
      <c r="M152" s="1269">
        <v>0.3</v>
      </c>
      <c r="N152" s="1269">
        <v>0.35</v>
      </c>
      <c r="O152" s="1269">
        <v>0.4</v>
      </c>
      <c r="P152" s="1269">
        <v>0.35</v>
      </c>
      <c r="Q152" s="1269">
        <v>0.35</v>
      </c>
      <c r="R152" s="1269">
        <v>0.3</v>
      </c>
      <c r="S152" s="1269">
        <v>0.3</v>
      </c>
      <c r="T152" s="1269">
        <v>0.5</v>
      </c>
      <c r="U152" s="1269">
        <v>0.5</v>
      </c>
      <c r="V152" s="1269">
        <v>0.4</v>
      </c>
      <c r="W152" s="1269">
        <v>0.35</v>
      </c>
      <c r="X152" s="1269">
        <v>0.45</v>
      </c>
      <c r="Y152" s="1269">
        <v>0.3</v>
      </c>
      <c r="Z152" s="1269">
        <v>0.05</v>
      </c>
      <c r="AA152" s="1263">
        <f>SUM(C152:Z152)</f>
        <v>6.7</v>
      </c>
      <c r="AB152" s="1264">
        <f>AA152*SUM($C$14:$C$15)</f>
        <v>696.80000000000007</v>
      </c>
      <c r="AE152" s="2140"/>
    </row>
    <row r="153" spans="2:31" s="395" customFormat="1" x14ac:dyDescent="0.25">
      <c r="B153" s="1490" t="s">
        <v>1181</v>
      </c>
      <c r="C153" s="1269">
        <v>0.05</v>
      </c>
      <c r="D153" s="1269">
        <v>0.05</v>
      </c>
      <c r="E153" s="1269">
        <v>0.05</v>
      </c>
      <c r="F153" s="1269">
        <v>0.05</v>
      </c>
      <c r="G153" s="1269">
        <v>0.05</v>
      </c>
      <c r="H153" s="1269">
        <v>0.05</v>
      </c>
      <c r="I153" s="1269">
        <v>0.3</v>
      </c>
      <c r="J153" s="1269">
        <v>0.5</v>
      </c>
      <c r="K153" s="1269">
        <v>0.4</v>
      </c>
      <c r="L153" s="1269">
        <v>0.3</v>
      </c>
      <c r="M153" s="1269">
        <v>0.3</v>
      </c>
      <c r="N153" s="1269">
        <v>0.35</v>
      </c>
      <c r="O153" s="1269">
        <v>0.4</v>
      </c>
      <c r="P153" s="1269">
        <v>0.35</v>
      </c>
      <c r="Q153" s="1269">
        <v>0.35</v>
      </c>
      <c r="R153" s="1269">
        <v>0.3</v>
      </c>
      <c r="S153" s="1269">
        <v>0.3</v>
      </c>
      <c r="T153" s="1269">
        <v>0.5</v>
      </c>
      <c r="U153" s="1269">
        <v>0.5</v>
      </c>
      <c r="V153" s="1269">
        <v>0.4</v>
      </c>
      <c r="W153" s="1269">
        <v>0.35</v>
      </c>
      <c r="X153" s="1269">
        <v>0.45</v>
      </c>
      <c r="Y153" s="1269">
        <v>0.3</v>
      </c>
      <c r="Z153" s="1269">
        <v>0.05</v>
      </c>
      <c r="AA153" s="1263">
        <f>SUM(C153:Z153)</f>
        <v>6.7</v>
      </c>
      <c r="AB153" s="1264">
        <f>AA153*$C$8</f>
        <v>73.7</v>
      </c>
      <c r="AE153" s="2140"/>
    </row>
    <row r="154" spans="2:31" s="395" customFormat="1" x14ac:dyDescent="0.25">
      <c r="B154" s="3368" t="s">
        <v>1186</v>
      </c>
      <c r="C154" s="3368"/>
      <c r="D154" s="3368"/>
      <c r="E154" s="3368"/>
      <c r="F154" s="3368"/>
      <c r="G154" s="3368"/>
      <c r="H154" s="3368"/>
      <c r="I154" s="3368"/>
      <c r="J154" s="3368"/>
      <c r="K154" s="3368"/>
      <c r="L154" s="3368"/>
      <c r="M154" s="3368"/>
      <c r="N154" s="3368"/>
      <c r="O154" s="3368"/>
      <c r="P154" s="3368"/>
      <c r="Q154" s="3368"/>
      <c r="R154" s="3368"/>
      <c r="S154" s="3368"/>
      <c r="T154" s="3368"/>
      <c r="U154" s="3368"/>
      <c r="V154" s="3368"/>
      <c r="W154" s="3368"/>
      <c r="X154" s="3368"/>
      <c r="Y154" s="3368"/>
      <c r="Z154" s="3368"/>
      <c r="AA154" s="3368"/>
      <c r="AB154" s="1264">
        <f>SUM(AB151:AB153)</f>
        <v>2445.5</v>
      </c>
      <c r="AE154" s="2140"/>
    </row>
    <row r="155" spans="2:31" s="395" customFormat="1" x14ac:dyDescent="0.25">
      <c r="B155" s="661"/>
      <c r="C155" s="661"/>
      <c r="D155" s="661"/>
      <c r="E155" s="661"/>
      <c r="F155" s="661"/>
      <c r="G155" s="661"/>
      <c r="H155" s="661"/>
      <c r="I155" s="661"/>
      <c r="J155" s="661"/>
      <c r="K155" s="661"/>
      <c r="L155" s="661"/>
      <c r="M155" s="661"/>
      <c r="N155" s="661"/>
      <c r="O155" s="661"/>
      <c r="P155" s="661"/>
      <c r="Q155" s="661"/>
      <c r="R155" s="661"/>
      <c r="S155" s="661"/>
      <c r="T155" s="661"/>
      <c r="U155" s="661"/>
      <c r="V155" s="661"/>
      <c r="W155" s="661"/>
      <c r="X155" s="661"/>
      <c r="Y155" s="661"/>
      <c r="Z155" s="661"/>
      <c r="AA155" s="661"/>
      <c r="AB155" s="661"/>
      <c r="AE155" s="2140"/>
    </row>
    <row r="156" spans="2:31" s="395" customFormat="1" x14ac:dyDescent="0.25">
      <c r="B156" s="661"/>
      <c r="C156" s="661"/>
      <c r="D156" s="661"/>
      <c r="E156" s="661"/>
      <c r="F156" s="661"/>
      <c r="G156" s="661"/>
      <c r="H156" s="661"/>
      <c r="I156" s="661"/>
      <c r="J156" s="661"/>
      <c r="K156" s="661"/>
      <c r="L156" s="661"/>
      <c r="M156" s="661"/>
      <c r="N156" s="661"/>
      <c r="O156" s="661"/>
      <c r="P156" s="661"/>
      <c r="Q156" s="661"/>
      <c r="R156" s="661"/>
      <c r="S156" s="661"/>
      <c r="T156" s="661"/>
      <c r="U156" s="661"/>
      <c r="V156" s="661"/>
      <c r="W156" s="661"/>
      <c r="X156" s="661"/>
      <c r="Y156" s="661"/>
      <c r="Z156" s="661"/>
      <c r="AA156" s="661"/>
      <c r="AB156" s="661"/>
      <c r="AE156" s="2140"/>
    </row>
    <row r="157" spans="2:31" s="395" customFormat="1" ht="15.6" x14ac:dyDescent="0.25">
      <c r="B157" s="668" t="s">
        <v>1859</v>
      </c>
      <c r="C157" s="666"/>
      <c r="D157" s="661"/>
      <c r="E157" s="661"/>
      <c r="F157" s="661"/>
      <c r="G157" s="661"/>
      <c r="H157" s="661"/>
      <c r="I157" s="661"/>
      <c r="J157" s="661"/>
      <c r="K157" s="661"/>
      <c r="L157" s="661"/>
      <c r="M157" s="661"/>
      <c r="N157" s="661"/>
      <c r="O157" s="661"/>
      <c r="P157" s="661"/>
      <c r="Q157" s="661"/>
      <c r="R157" s="661"/>
      <c r="S157" s="661"/>
      <c r="T157" s="661"/>
      <c r="U157" s="661"/>
      <c r="V157" s="661"/>
      <c r="W157" s="661"/>
      <c r="X157" s="661"/>
      <c r="Y157" s="661"/>
      <c r="Z157" s="661"/>
      <c r="AA157" s="663"/>
      <c r="AB157" s="664"/>
      <c r="AE157" s="2140"/>
    </row>
    <row r="158" spans="2:31" s="395" customFormat="1" ht="45" customHeight="1" x14ac:dyDescent="0.25">
      <c r="B158" s="3370" t="s">
        <v>1322</v>
      </c>
      <c r="C158" s="3370"/>
      <c r="D158" s="3370"/>
      <c r="E158" s="3370"/>
      <c r="F158" s="3370"/>
      <c r="G158" s="3370"/>
      <c r="H158" s="3370"/>
      <c r="I158" s="3370"/>
      <c r="J158" s="3370"/>
      <c r="K158" s="3370"/>
      <c r="L158" s="3370"/>
      <c r="M158" s="3370"/>
      <c r="N158" s="3370"/>
      <c r="O158" s="3370"/>
      <c r="P158" s="351"/>
      <c r="Q158" s="351"/>
      <c r="R158" s="351"/>
      <c r="S158" s="351"/>
      <c r="T158" s="351"/>
      <c r="U158" s="351"/>
      <c r="V158" s="351"/>
      <c r="W158" s="351"/>
      <c r="X158" s="351"/>
      <c r="Y158" s="351"/>
      <c r="Z158" s="351"/>
      <c r="AA158" s="351"/>
      <c r="AB158" s="351"/>
      <c r="AE158" s="2140"/>
    </row>
    <row r="159" spans="2:31" s="395" customFormat="1" x14ac:dyDescent="0.25">
      <c r="B159" s="661"/>
      <c r="C159" s="661"/>
      <c r="D159" s="661"/>
      <c r="E159" s="661"/>
      <c r="F159" s="661"/>
      <c r="G159" s="661"/>
      <c r="H159" s="661"/>
      <c r="I159" s="661"/>
      <c r="J159" s="661"/>
      <c r="K159" s="661"/>
      <c r="L159" s="661"/>
      <c r="M159" s="661"/>
      <c r="N159" s="661"/>
      <c r="O159" s="661"/>
      <c r="P159" s="661"/>
      <c r="Q159" s="661"/>
      <c r="R159" s="661"/>
      <c r="S159" s="661"/>
      <c r="T159" s="661"/>
      <c r="U159" s="661"/>
      <c r="V159" s="661"/>
      <c r="W159" s="661"/>
      <c r="X159" s="661"/>
      <c r="Y159" s="661"/>
      <c r="Z159" s="661"/>
      <c r="AA159" s="661"/>
      <c r="AB159" s="661"/>
      <c r="AE159" s="2140"/>
    </row>
    <row r="160" spans="2:31" s="395" customFormat="1" x14ac:dyDescent="0.25">
      <c r="B160" s="667" t="s">
        <v>1323</v>
      </c>
      <c r="C160" s="661"/>
      <c r="D160" s="661"/>
      <c r="E160" s="661"/>
      <c r="F160" s="661"/>
      <c r="G160" s="661"/>
      <c r="H160" s="661"/>
      <c r="I160" s="661"/>
      <c r="J160" s="661"/>
      <c r="K160" s="661"/>
      <c r="L160" s="661"/>
      <c r="M160" s="661"/>
      <c r="N160" s="661"/>
      <c r="O160" s="661"/>
      <c r="P160" s="661"/>
      <c r="Q160" s="661"/>
      <c r="R160" s="661"/>
      <c r="S160" s="661"/>
      <c r="T160" s="661"/>
      <c r="U160" s="661"/>
      <c r="V160" s="661"/>
      <c r="W160" s="661"/>
      <c r="X160" s="661"/>
      <c r="Y160" s="661"/>
      <c r="Z160" s="661"/>
      <c r="AA160" s="661"/>
      <c r="AB160" s="661"/>
      <c r="AE160" s="2140"/>
    </row>
    <row r="161" spans="2:31" s="395" customFormat="1" x14ac:dyDescent="0.25">
      <c r="B161" s="661"/>
      <c r="C161" s="661"/>
      <c r="D161" s="661"/>
      <c r="E161" s="661"/>
      <c r="F161" s="661"/>
      <c r="G161" s="661"/>
      <c r="H161" s="661"/>
      <c r="I161" s="661"/>
      <c r="J161" s="661"/>
      <c r="K161" s="661"/>
      <c r="L161" s="661"/>
      <c r="M161" s="661"/>
      <c r="N161" s="661"/>
      <c r="O161" s="661"/>
      <c r="P161" s="661"/>
      <c r="Q161" s="661"/>
      <c r="R161" s="661"/>
      <c r="S161" s="661"/>
      <c r="T161" s="661"/>
      <c r="U161" s="661"/>
      <c r="V161" s="661"/>
      <c r="W161" s="661"/>
      <c r="X161" s="661"/>
      <c r="Y161" s="661"/>
      <c r="Z161" s="661"/>
      <c r="AA161" s="661"/>
      <c r="AB161" s="661"/>
      <c r="AE161" s="2140"/>
    </row>
    <row r="162" spans="2:31" s="395" customFormat="1" ht="15" customHeight="1" x14ac:dyDescent="0.25">
      <c r="B162" s="661" t="s">
        <v>1152</v>
      </c>
      <c r="C162" s="3367" t="s">
        <v>1324</v>
      </c>
      <c r="D162" s="3367"/>
      <c r="E162" s="3367"/>
      <c r="F162" s="3367"/>
      <c r="G162" s="3367"/>
      <c r="H162" s="3367"/>
      <c r="I162" s="3367"/>
      <c r="J162" s="3367"/>
      <c r="K162" s="3367"/>
      <c r="L162" s="3367"/>
      <c r="M162" s="3367"/>
      <c r="N162" s="3367"/>
      <c r="O162" s="3367"/>
      <c r="P162" s="3367"/>
      <c r="Q162" s="3367"/>
      <c r="R162" s="3367"/>
      <c r="S162" s="3367"/>
      <c r="T162" s="3367"/>
      <c r="U162" s="3367"/>
      <c r="V162" s="3367"/>
      <c r="W162" s="3367"/>
      <c r="X162" s="3367"/>
      <c r="Y162" s="3367"/>
      <c r="Z162" s="3367"/>
      <c r="AA162" s="3367"/>
      <c r="AB162" s="3367"/>
      <c r="AE162" s="2140"/>
    </row>
    <row r="163" spans="2:31" s="395" customFormat="1" x14ac:dyDescent="0.25">
      <c r="B163" s="661"/>
      <c r="C163" s="661"/>
      <c r="D163" s="661"/>
      <c r="E163" s="661"/>
      <c r="F163" s="661"/>
      <c r="G163" s="661"/>
      <c r="H163" s="661"/>
      <c r="I163" s="661"/>
      <c r="J163" s="661"/>
      <c r="K163" s="661"/>
      <c r="L163" s="661"/>
      <c r="M163" s="661"/>
      <c r="N163" s="661"/>
      <c r="O163" s="661"/>
      <c r="P163" s="661"/>
      <c r="Q163" s="661"/>
      <c r="R163" s="661"/>
      <c r="S163" s="661"/>
      <c r="T163" s="661"/>
      <c r="U163" s="661"/>
      <c r="V163" s="661"/>
      <c r="W163" s="661"/>
      <c r="X163" s="661"/>
      <c r="Y163" s="661"/>
      <c r="Z163" s="661"/>
      <c r="AA163" s="661"/>
      <c r="AB163" s="661"/>
      <c r="AE163" s="2140"/>
    </row>
    <row r="164" spans="2:31" s="1608" customFormat="1" ht="21" customHeight="1" x14ac:dyDescent="0.25">
      <c r="B164" s="1356"/>
      <c r="C164" s="1357" t="s">
        <v>1153</v>
      </c>
      <c r="D164" s="1356" t="s">
        <v>1154</v>
      </c>
      <c r="E164" s="1356" t="s">
        <v>1155</v>
      </c>
      <c r="F164" s="1356" t="s">
        <v>1156</v>
      </c>
      <c r="G164" s="1356" t="s">
        <v>1157</v>
      </c>
      <c r="H164" s="1356" t="s">
        <v>1158</v>
      </c>
      <c r="I164" s="1356" t="s">
        <v>1159</v>
      </c>
      <c r="J164" s="1356" t="s">
        <v>1160</v>
      </c>
      <c r="K164" s="1356" t="s">
        <v>1161</v>
      </c>
      <c r="L164" s="1356" t="s">
        <v>1162</v>
      </c>
      <c r="M164" s="1356" t="s">
        <v>1163</v>
      </c>
      <c r="N164" s="1356" t="s">
        <v>1164</v>
      </c>
      <c r="O164" s="1356" t="s">
        <v>1165</v>
      </c>
      <c r="P164" s="1356" t="s">
        <v>1166</v>
      </c>
      <c r="Q164" s="1356" t="s">
        <v>1167</v>
      </c>
      <c r="R164" s="1356" t="s">
        <v>1168</v>
      </c>
      <c r="S164" s="1356" t="s">
        <v>1169</v>
      </c>
      <c r="T164" s="1356" t="s">
        <v>1170</v>
      </c>
      <c r="U164" s="1356" t="s">
        <v>1171</v>
      </c>
      <c r="V164" s="1356" t="s">
        <v>1172</v>
      </c>
      <c r="W164" s="1356" t="s">
        <v>1173</v>
      </c>
      <c r="X164" s="1356" t="s">
        <v>1174</v>
      </c>
      <c r="Y164" s="1356" t="s">
        <v>1175</v>
      </c>
      <c r="Z164" s="1356" t="s">
        <v>1176</v>
      </c>
      <c r="AA164" s="1356" t="s">
        <v>1177</v>
      </c>
      <c r="AB164" s="1356" t="s">
        <v>1178</v>
      </c>
      <c r="AE164" s="2140"/>
    </row>
    <row r="165" spans="2:31" s="395" customFormat="1" x14ac:dyDescent="0.25">
      <c r="B165" s="1490" t="s">
        <v>1179</v>
      </c>
      <c r="C165" s="1270">
        <v>0</v>
      </c>
      <c r="D165" s="1270">
        <v>0</v>
      </c>
      <c r="E165" s="1270">
        <v>0</v>
      </c>
      <c r="F165" s="1270">
        <v>0</v>
      </c>
      <c r="G165" s="1270">
        <v>0</v>
      </c>
      <c r="H165" s="1270">
        <v>0</v>
      </c>
      <c r="I165" s="1270">
        <v>1</v>
      </c>
      <c r="J165" s="1270">
        <v>1</v>
      </c>
      <c r="K165" s="1270">
        <v>1</v>
      </c>
      <c r="L165" s="1270">
        <v>1</v>
      </c>
      <c r="M165" s="1270">
        <v>1</v>
      </c>
      <c r="N165" s="1270">
        <v>1</v>
      </c>
      <c r="O165" s="1270">
        <v>1</v>
      </c>
      <c r="P165" s="1270">
        <v>1</v>
      </c>
      <c r="Q165" s="1270">
        <v>1</v>
      </c>
      <c r="R165" s="1270">
        <v>1</v>
      </c>
      <c r="S165" s="1270">
        <v>1</v>
      </c>
      <c r="T165" s="1270">
        <v>1</v>
      </c>
      <c r="U165" s="1270">
        <v>1</v>
      </c>
      <c r="V165" s="1270">
        <v>1</v>
      </c>
      <c r="W165" s="1270">
        <v>1</v>
      </c>
      <c r="X165" s="1270">
        <v>1</v>
      </c>
      <c r="Y165" s="1270">
        <v>0</v>
      </c>
      <c r="Z165" s="1270">
        <v>0</v>
      </c>
      <c r="AA165" s="1263">
        <f>SUM(C165:Z165)</f>
        <v>16</v>
      </c>
      <c r="AB165" s="1264">
        <f>AA165*SUM($C$9:$C$13)</f>
        <v>4000</v>
      </c>
      <c r="AE165" s="2140"/>
    </row>
    <row r="166" spans="2:31" s="395" customFormat="1" x14ac:dyDescent="0.25">
      <c r="B166" s="1490" t="s">
        <v>1149</v>
      </c>
      <c r="C166" s="1270">
        <v>0</v>
      </c>
      <c r="D166" s="1270">
        <v>0</v>
      </c>
      <c r="E166" s="1270">
        <v>0</v>
      </c>
      <c r="F166" s="1270">
        <v>0</v>
      </c>
      <c r="G166" s="1270">
        <v>0</v>
      </c>
      <c r="H166" s="1270">
        <v>0</v>
      </c>
      <c r="I166" s="1270">
        <v>1</v>
      </c>
      <c r="J166" s="1270">
        <v>1</v>
      </c>
      <c r="K166" s="1270">
        <v>1</v>
      </c>
      <c r="L166" s="1270">
        <v>1</v>
      </c>
      <c r="M166" s="1270">
        <v>1</v>
      </c>
      <c r="N166" s="1270">
        <v>1</v>
      </c>
      <c r="O166" s="1270">
        <v>1</v>
      </c>
      <c r="P166" s="1270">
        <v>1</v>
      </c>
      <c r="Q166" s="1270">
        <v>1</v>
      </c>
      <c r="R166" s="1270">
        <v>1</v>
      </c>
      <c r="S166" s="1270">
        <v>1</v>
      </c>
      <c r="T166" s="1270">
        <v>1</v>
      </c>
      <c r="U166" s="1270">
        <v>0</v>
      </c>
      <c r="V166" s="1270">
        <v>0</v>
      </c>
      <c r="W166" s="1270">
        <v>0</v>
      </c>
      <c r="X166" s="1270">
        <v>0</v>
      </c>
      <c r="Y166" s="1270">
        <v>0</v>
      </c>
      <c r="Z166" s="1270">
        <v>0</v>
      </c>
      <c r="AA166" s="1263">
        <f>SUM(C166:Z166)</f>
        <v>12</v>
      </c>
      <c r="AB166" s="1264">
        <f>AA166*SUM($C$14)</f>
        <v>624</v>
      </c>
      <c r="AE166" s="2140"/>
    </row>
    <row r="167" spans="2:31" s="395" customFormat="1" x14ac:dyDescent="0.25">
      <c r="B167" s="1490" t="s">
        <v>1150</v>
      </c>
      <c r="C167" s="1270">
        <v>0</v>
      </c>
      <c r="D167" s="1270">
        <v>0</v>
      </c>
      <c r="E167" s="1270">
        <v>0</v>
      </c>
      <c r="F167" s="1270">
        <v>0</v>
      </c>
      <c r="G167" s="1270">
        <v>0</v>
      </c>
      <c r="H167" s="1270">
        <v>0</v>
      </c>
      <c r="I167" s="1270">
        <v>0</v>
      </c>
      <c r="J167" s="1270">
        <v>0</v>
      </c>
      <c r="K167" s="1270">
        <v>0</v>
      </c>
      <c r="L167" s="1270">
        <v>0</v>
      </c>
      <c r="M167" s="1270">
        <v>0</v>
      </c>
      <c r="N167" s="1270">
        <v>0</v>
      </c>
      <c r="O167" s="1270">
        <v>0</v>
      </c>
      <c r="P167" s="1270">
        <v>0</v>
      </c>
      <c r="Q167" s="1270">
        <v>0</v>
      </c>
      <c r="R167" s="1270">
        <v>0</v>
      </c>
      <c r="S167" s="1270">
        <v>0</v>
      </c>
      <c r="T167" s="1270">
        <v>0</v>
      </c>
      <c r="U167" s="1270">
        <v>0</v>
      </c>
      <c r="V167" s="1270">
        <v>0</v>
      </c>
      <c r="W167" s="1270">
        <v>0</v>
      </c>
      <c r="X167" s="1270">
        <v>0</v>
      </c>
      <c r="Y167" s="1270">
        <v>0</v>
      </c>
      <c r="Z167" s="1270">
        <v>0</v>
      </c>
      <c r="AA167" s="1263">
        <f>SUM(C167:Z167)</f>
        <v>0</v>
      </c>
      <c r="AB167" s="1264">
        <f>AA167*$C$15</f>
        <v>0</v>
      </c>
      <c r="AE167" s="2140"/>
    </row>
    <row r="168" spans="2:31" s="395" customFormat="1" x14ac:dyDescent="0.25">
      <c r="B168" s="1490" t="s">
        <v>1181</v>
      </c>
      <c r="C168" s="1270">
        <v>0</v>
      </c>
      <c r="D168" s="1270">
        <v>0</v>
      </c>
      <c r="E168" s="1270">
        <v>0</v>
      </c>
      <c r="F168" s="1270">
        <v>0</v>
      </c>
      <c r="G168" s="1270">
        <v>0</v>
      </c>
      <c r="H168" s="1270">
        <v>0</v>
      </c>
      <c r="I168" s="1270">
        <v>0</v>
      </c>
      <c r="J168" s="1270">
        <v>0</v>
      </c>
      <c r="K168" s="1270">
        <v>0</v>
      </c>
      <c r="L168" s="1270">
        <v>0</v>
      </c>
      <c r="M168" s="1270">
        <v>0</v>
      </c>
      <c r="N168" s="1270">
        <v>0</v>
      </c>
      <c r="O168" s="1270">
        <v>0</v>
      </c>
      <c r="P168" s="1270">
        <v>0</v>
      </c>
      <c r="Q168" s="1270">
        <v>0</v>
      </c>
      <c r="R168" s="1270">
        <v>0</v>
      </c>
      <c r="S168" s="1270">
        <v>0</v>
      </c>
      <c r="T168" s="1270">
        <v>0</v>
      </c>
      <c r="U168" s="1270">
        <v>0</v>
      </c>
      <c r="V168" s="1270">
        <v>0</v>
      </c>
      <c r="W168" s="1270">
        <v>0</v>
      </c>
      <c r="X168" s="1270">
        <v>0</v>
      </c>
      <c r="Y168" s="1270">
        <v>0</v>
      </c>
      <c r="Z168" s="1270">
        <v>0</v>
      </c>
      <c r="AA168" s="1263">
        <f>SUM(C168:Z168)</f>
        <v>0</v>
      </c>
      <c r="AB168" s="1264">
        <f>AA168*SUM($C$8)</f>
        <v>0</v>
      </c>
      <c r="AE168" s="2140"/>
    </row>
    <row r="169" spans="2:31" s="395" customFormat="1" x14ac:dyDescent="0.25">
      <c r="B169" s="3368" t="s">
        <v>1182</v>
      </c>
      <c r="C169" s="3368"/>
      <c r="D169" s="3368"/>
      <c r="E169" s="3368"/>
      <c r="F169" s="3368"/>
      <c r="G169" s="3368"/>
      <c r="H169" s="3368"/>
      <c r="I169" s="3368"/>
      <c r="J169" s="3368"/>
      <c r="K169" s="3368"/>
      <c r="L169" s="3368"/>
      <c r="M169" s="3368"/>
      <c r="N169" s="3368"/>
      <c r="O169" s="3368"/>
      <c r="P169" s="3368"/>
      <c r="Q169" s="3368"/>
      <c r="R169" s="3368"/>
      <c r="S169" s="3368"/>
      <c r="T169" s="3368"/>
      <c r="U169" s="3368"/>
      <c r="V169" s="3368"/>
      <c r="W169" s="3368"/>
      <c r="X169" s="3368"/>
      <c r="Y169" s="3368"/>
      <c r="Z169" s="3368"/>
      <c r="AA169" s="3368"/>
      <c r="AB169" s="1264">
        <f>SUM(AB165:AB168)</f>
        <v>4624</v>
      </c>
      <c r="AE169" s="2140"/>
    </row>
    <row r="170" spans="2:31" s="395" customFormat="1" x14ac:dyDescent="0.25">
      <c r="B170" s="661"/>
      <c r="C170" s="661"/>
      <c r="D170" s="661"/>
      <c r="E170" s="661"/>
      <c r="F170" s="661"/>
      <c r="G170" s="661"/>
      <c r="H170" s="661"/>
      <c r="I170" s="661"/>
      <c r="J170" s="661"/>
      <c r="K170" s="661"/>
      <c r="L170" s="661"/>
      <c r="M170" s="661"/>
      <c r="N170" s="661"/>
      <c r="O170" s="661"/>
      <c r="P170" s="661"/>
      <c r="Q170" s="661"/>
      <c r="R170" s="661"/>
      <c r="S170" s="661"/>
      <c r="T170" s="661"/>
      <c r="U170" s="661"/>
      <c r="V170" s="661"/>
      <c r="W170" s="661"/>
      <c r="X170" s="661"/>
      <c r="Y170" s="661"/>
      <c r="Z170" s="661"/>
      <c r="AA170" s="661"/>
      <c r="AB170" s="661"/>
      <c r="AE170" s="2140"/>
    </row>
    <row r="171" spans="2:31" s="395" customFormat="1" ht="15" customHeight="1" x14ac:dyDescent="0.25">
      <c r="B171" s="661" t="s">
        <v>1152</v>
      </c>
      <c r="C171" s="3367" t="s">
        <v>1325</v>
      </c>
      <c r="D171" s="3367"/>
      <c r="E171" s="3367"/>
      <c r="F171" s="3367"/>
      <c r="G171" s="3367"/>
      <c r="H171" s="3367"/>
      <c r="I171" s="3367"/>
      <c r="J171" s="3367"/>
      <c r="K171" s="3367"/>
      <c r="L171" s="3367"/>
      <c r="M171" s="3367"/>
      <c r="N171" s="3367"/>
      <c r="O171" s="3367"/>
      <c r="P171" s="3367"/>
      <c r="Q171" s="3367"/>
      <c r="R171" s="3367"/>
      <c r="S171" s="3367"/>
      <c r="T171" s="3367"/>
      <c r="U171" s="3367"/>
      <c r="V171" s="3367"/>
      <c r="W171" s="3367"/>
      <c r="X171" s="3367"/>
      <c r="Y171" s="3367"/>
      <c r="Z171" s="3367"/>
      <c r="AA171" s="3367"/>
      <c r="AB171" s="3367"/>
      <c r="AE171" s="2140"/>
    </row>
    <row r="172" spans="2:31" s="395" customFormat="1" x14ac:dyDescent="0.25">
      <c r="B172" s="661"/>
      <c r="C172" s="661"/>
      <c r="D172" s="661"/>
      <c r="E172" s="661"/>
      <c r="F172" s="661"/>
      <c r="G172" s="661"/>
      <c r="H172" s="661"/>
      <c r="I172" s="661"/>
      <c r="J172" s="661"/>
      <c r="K172" s="661"/>
      <c r="L172" s="661"/>
      <c r="M172" s="661"/>
      <c r="N172" s="661"/>
      <c r="O172" s="661"/>
      <c r="P172" s="661"/>
      <c r="Q172" s="661"/>
      <c r="R172" s="661"/>
      <c r="S172" s="661"/>
      <c r="T172" s="661"/>
      <c r="U172" s="661"/>
      <c r="V172" s="661"/>
      <c r="W172" s="661"/>
      <c r="X172" s="661"/>
      <c r="Y172" s="661"/>
      <c r="Z172" s="661"/>
      <c r="AA172" s="661"/>
      <c r="AB172" s="661"/>
      <c r="AE172" s="2140"/>
    </row>
    <row r="173" spans="2:31" s="1608" customFormat="1" ht="21" customHeight="1" x14ac:dyDescent="0.25">
      <c r="B173" s="1356"/>
      <c r="C173" s="1357" t="s">
        <v>1153</v>
      </c>
      <c r="D173" s="1356" t="s">
        <v>1154</v>
      </c>
      <c r="E173" s="1356" t="s">
        <v>1155</v>
      </c>
      <c r="F173" s="1356" t="s">
        <v>1156</v>
      </c>
      <c r="G173" s="1356" t="s">
        <v>1157</v>
      </c>
      <c r="H173" s="1356" t="s">
        <v>1158</v>
      </c>
      <c r="I173" s="1356" t="s">
        <v>1159</v>
      </c>
      <c r="J173" s="1356" t="s">
        <v>1160</v>
      </c>
      <c r="K173" s="1356" t="s">
        <v>1161</v>
      </c>
      <c r="L173" s="1356" t="s">
        <v>1162</v>
      </c>
      <c r="M173" s="1356" t="s">
        <v>1163</v>
      </c>
      <c r="N173" s="1356" t="s">
        <v>1164</v>
      </c>
      <c r="O173" s="1356" t="s">
        <v>1165</v>
      </c>
      <c r="P173" s="1356" t="s">
        <v>1166</v>
      </c>
      <c r="Q173" s="1356" t="s">
        <v>1167</v>
      </c>
      <c r="R173" s="1356" t="s">
        <v>1168</v>
      </c>
      <c r="S173" s="1356" t="s">
        <v>1169</v>
      </c>
      <c r="T173" s="1356" t="s">
        <v>1170</v>
      </c>
      <c r="U173" s="1356" t="s">
        <v>1171</v>
      </c>
      <c r="V173" s="1356" t="s">
        <v>1172</v>
      </c>
      <c r="W173" s="1356" t="s">
        <v>1173</v>
      </c>
      <c r="X173" s="1356" t="s">
        <v>1174</v>
      </c>
      <c r="Y173" s="1356" t="s">
        <v>1175</v>
      </c>
      <c r="Z173" s="1356" t="s">
        <v>1176</v>
      </c>
      <c r="AA173" s="1356" t="s">
        <v>1184</v>
      </c>
      <c r="AB173" s="1356" t="s">
        <v>1185</v>
      </c>
      <c r="AE173" s="2140"/>
    </row>
    <row r="174" spans="2:31" s="395" customFormat="1" x14ac:dyDescent="0.25">
      <c r="B174" s="1490" t="s">
        <v>1179</v>
      </c>
      <c r="C174" s="1269">
        <v>0</v>
      </c>
      <c r="D174" s="1269">
        <v>0</v>
      </c>
      <c r="E174" s="1269">
        <v>0</v>
      </c>
      <c r="F174" s="1269">
        <v>0</v>
      </c>
      <c r="G174" s="1269">
        <v>0</v>
      </c>
      <c r="H174" s="1269">
        <v>0</v>
      </c>
      <c r="I174" s="1269">
        <v>0.1</v>
      </c>
      <c r="J174" s="1269">
        <v>0.2</v>
      </c>
      <c r="K174" s="1269">
        <v>0.95</v>
      </c>
      <c r="L174" s="1269">
        <v>0.95</v>
      </c>
      <c r="M174" s="1269">
        <v>0.95</v>
      </c>
      <c r="N174" s="1269">
        <v>0.95</v>
      </c>
      <c r="O174" s="1269">
        <v>0.5</v>
      </c>
      <c r="P174" s="1269">
        <v>0.95</v>
      </c>
      <c r="Q174" s="1269">
        <v>0.95</v>
      </c>
      <c r="R174" s="1269">
        <v>0.95</v>
      </c>
      <c r="S174" s="1269">
        <v>0.95</v>
      </c>
      <c r="T174" s="1269">
        <v>0.3</v>
      </c>
      <c r="U174" s="1269">
        <v>0.1</v>
      </c>
      <c r="V174" s="1269">
        <v>0.1</v>
      </c>
      <c r="W174" s="1269">
        <v>0.1</v>
      </c>
      <c r="X174" s="1269">
        <v>0.1</v>
      </c>
      <c r="Y174" s="1269">
        <v>0.05</v>
      </c>
      <c r="Z174" s="1269">
        <v>0.05</v>
      </c>
      <c r="AA174" s="1263">
        <f>SUM(C174:Z174)</f>
        <v>9.2000000000000011</v>
      </c>
      <c r="AB174" s="1264">
        <f>AA174*SUM($C$9:$C$13)</f>
        <v>2300.0000000000005</v>
      </c>
      <c r="AE174" s="2140"/>
    </row>
    <row r="175" spans="2:31" s="395" customFormat="1" x14ac:dyDescent="0.25">
      <c r="B175" s="1490" t="s">
        <v>1149</v>
      </c>
      <c r="C175" s="1269">
        <v>0</v>
      </c>
      <c r="D175" s="1269">
        <v>0</v>
      </c>
      <c r="E175" s="1269">
        <v>0</v>
      </c>
      <c r="F175" s="1269">
        <v>0</v>
      </c>
      <c r="G175" s="1269">
        <v>0</v>
      </c>
      <c r="H175" s="1269">
        <v>0</v>
      </c>
      <c r="I175" s="1269">
        <v>0.1</v>
      </c>
      <c r="J175" s="1269">
        <v>0.1</v>
      </c>
      <c r="K175" s="1269">
        <v>0.3</v>
      </c>
      <c r="L175" s="1269">
        <v>0.3</v>
      </c>
      <c r="M175" s="1269">
        <v>0.3</v>
      </c>
      <c r="N175" s="1269">
        <v>0.3</v>
      </c>
      <c r="O175" s="1269">
        <v>0.1</v>
      </c>
      <c r="P175" s="1269">
        <v>0.1</v>
      </c>
      <c r="Q175" s="1269">
        <v>0.1</v>
      </c>
      <c r="R175" s="1269">
        <v>0.1</v>
      </c>
      <c r="S175" s="1269">
        <v>0.1</v>
      </c>
      <c r="T175" s="1269">
        <v>0.05</v>
      </c>
      <c r="U175" s="1269">
        <v>0.05</v>
      </c>
      <c r="V175" s="1269">
        <v>0</v>
      </c>
      <c r="W175" s="1269">
        <v>0</v>
      </c>
      <c r="X175" s="1269">
        <v>0</v>
      </c>
      <c r="Y175" s="1269">
        <v>0</v>
      </c>
      <c r="Z175" s="1269">
        <v>0</v>
      </c>
      <c r="AA175" s="1263">
        <f>SUM(C175:Z175)</f>
        <v>2.0000000000000004</v>
      </c>
      <c r="AB175" s="1264">
        <f>AA175*SUM($C$14)</f>
        <v>104.00000000000003</v>
      </c>
      <c r="AE175" s="2140"/>
    </row>
    <row r="176" spans="2:31" s="395" customFormat="1" x14ac:dyDescent="0.25">
      <c r="B176" s="1490" t="s">
        <v>1150</v>
      </c>
      <c r="C176" s="1269">
        <v>0</v>
      </c>
      <c r="D176" s="1269">
        <v>0</v>
      </c>
      <c r="E176" s="1269">
        <v>0</v>
      </c>
      <c r="F176" s="1269">
        <v>0</v>
      </c>
      <c r="G176" s="1269">
        <v>0</v>
      </c>
      <c r="H176" s="1269">
        <v>0</v>
      </c>
      <c r="I176" s="1269">
        <v>0.05</v>
      </c>
      <c r="J176" s="1269">
        <v>0.05</v>
      </c>
      <c r="K176" s="1269">
        <v>0.05</v>
      </c>
      <c r="L176" s="1269">
        <v>0.05</v>
      </c>
      <c r="M176" s="1269">
        <v>0.05</v>
      </c>
      <c r="N176" s="1269">
        <v>0.05</v>
      </c>
      <c r="O176" s="1269">
        <v>0.05</v>
      </c>
      <c r="P176" s="1269">
        <v>0.05</v>
      </c>
      <c r="Q176" s="1269">
        <v>0.05</v>
      </c>
      <c r="R176" s="1269">
        <v>0.05</v>
      </c>
      <c r="S176" s="1269">
        <v>0.05</v>
      </c>
      <c r="T176" s="1269">
        <v>0.05</v>
      </c>
      <c r="U176" s="1269">
        <v>0</v>
      </c>
      <c r="V176" s="1269">
        <v>0</v>
      </c>
      <c r="W176" s="1269">
        <v>0</v>
      </c>
      <c r="X176" s="1269">
        <v>0</v>
      </c>
      <c r="Y176" s="1269">
        <v>0</v>
      </c>
      <c r="Z176" s="1269">
        <v>0</v>
      </c>
      <c r="AA176" s="1263">
        <f>SUM(C176:Z176)</f>
        <v>0.6</v>
      </c>
      <c r="AB176" s="1264">
        <f>AA176*$C$15</f>
        <v>31.2</v>
      </c>
      <c r="AE176" s="2140"/>
    </row>
    <row r="177" spans="2:31" s="395" customFormat="1" x14ac:dyDescent="0.25">
      <c r="B177" s="1490" t="s">
        <v>1181</v>
      </c>
      <c r="C177" s="1269">
        <v>0</v>
      </c>
      <c r="D177" s="1269">
        <v>0</v>
      </c>
      <c r="E177" s="1269">
        <v>0</v>
      </c>
      <c r="F177" s="1269">
        <v>0</v>
      </c>
      <c r="G177" s="1269">
        <v>0</v>
      </c>
      <c r="H177" s="1269">
        <v>0</v>
      </c>
      <c r="I177" s="1269">
        <v>0.05</v>
      </c>
      <c r="J177" s="1269">
        <v>0.05</v>
      </c>
      <c r="K177" s="1269">
        <v>0.05</v>
      </c>
      <c r="L177" s="1269">
        <v>0.05</v>
      </c>
      <c r="M177" s="1269">
        <v>0.05</v>
      </c>
      <c r="N177" s="1269">
        <v>0.05</v>
      </c>
      <c r="O177" s="1269">
        <v>0.05</v>
      </c>
      <c r="P177" s="1269">
        <v>0.05</v>
      </c>
      <c r="Q177" s="1269">
        <v>0.05</v>
      </c>
      <c r="R177" s="1269">
        <v>0.05</v>
      </c>
      <c r="S177" s="1269">
        <v>0.05</v>
      </c>
      <c r="T177" s="1269">
        <v>0.05</v>
      </c>
      <c r="U177" s="1269">
        <v>0</v>
      </c>
      <c r="V177" s="1269">
        <v>0</v>
      </c>
      <c r="W177" s="1269">
        <v>0</v>
      </c>
      <c r="X177" s="1269">
        <v>0</v>
      </c>
      <c r="Y177" s="1269">
        <v>0</v>
      </c>
      <c r="Z177" s="1269">
        <v>0</v>
      </c>
      <c r="AA177" s="1263">
        <f>SUM(C177:Z177)</f>
        <v>0.6</v>
      </c>
      <c r="AB177" s="1264">
        <f>AA177*SUM($C$8)</f>
        <v>6.6</v>
      </c>
      <c r="AE177" s="2140"/>
    </row>
    <row r="178" spans="2:31" s="395" customFormat="1" x14ac:dyDescent="0.25">
      <c r="B178" s="3368" t="s">
        <v>1186</v>
      </c>
      <c r="C178" s="3368"/>
      <c r="D178" s="3368"/>
      <c r="E178" s="3368"/>
      <c r="F178" s="3368"/>
      <c r="G178" s="3368"/>
      <c r="H178" s="3368"/>
      <c r="I178" s="3368"/>
      <c r="J178" s="3368"/>
      <c r="K178" s="3368"/>
      <c r="L178" s="3368"/>
      <c r="M178" s="3368"/>
      <c r="N178" s="3368"/>
      <c r="O178" s="3368"/>
      <c r="P178" s="3368"/>
      <c r="Q178" s="3368"/>
      <c r="R178" s="3368"/>
      <c r="S178" s="3368"/>
      <c r="T178" s="3368"/>
      <c r="U178" s="3368"/>
      <c r="V178" s="3368"/>
      <c r="W178" s="3368"/>
      <c r="X178" s="3368"/>
      <c r="Y178" s="3368"/>
      <c r="Z178" s="3368"/>
      <c r="AA178" s="3368"/>
      <c r="AB178" s="1264">
        <f>SUM(AB174:AB177)</f>
        <v>2441.8000000000002</v>
      </c>
      <c r="AE178" s="2140"/>
    </row>
    <row r="179" spans="2:31" s="395" customFormat="1" x14ac:dyDescent="0.25">
      <c r="B179" s="661"/>
      <c r="C179" s="661"/>
      <c r="D179" s="661"/>
      <c r="E179" s="661"/>
      <c r="F179" s="661"/>
      <c r="G179" s="661"/>
      <c r="H179" s="661"/>
      <c r="I179" s="661"/>
      <c r="J179" s="661"/>
      <c r="K179" s="661"/>
      <c r="L179" s="661"/>
      <c r="M179" s="661"/>
      <c r="N179" s="661"/>
      <c r="O179" s="661"/>
      <c r="P179" s="661"/>
      <c r="Q179" s="661"/>
      <c r="R179" s="661"/>
      <c r="S179" s="661"/>
      <c r="T179" s="661"/>
      <c r="U179" s="661"/>
      <c r="V179" s="661"/>
      <c r="W179" s="661"/>
      <c r="X179" s="661"/>
      <c r="Y179" s="661"/>
      <c r="Z179" s="661"/>
      <c r="AA179" s="661"/>
      <c r="AB179" s="661"/>
      <c r="AE179" s="2140"/>
    </row>
    <row r="180" spans="2:31" s="395" customFormat="1" ht="15" customHeight="1" x14ac:dyDescent="0.25">
      <c r="B180" s="661" t="s">
        <v>1152</v>
      </c>
      <c r="C180" s="3367" t="s">
        <v>1326</v>
      </c>
      <c r="D180" s="3367"/>
      <c r="E180" s="3367"/>
      <c r="F180" s="3367"/>
      <c r="G180" s="3367"/>
      <c r="H180" s="3367"/>
      <c r="I180" s="3367"/>
      <c r="J180" s="3367"/>
      <c r="K180" s="3367"/>
      <c r="L180" s="3367"/>
      <c r="M180" s="3367"/>
      <c r="N180" s="3367"/>
      <c r="O180" s="3367"/>
      <c r="P180" s="3367"/>
      <c r="Q180" s="3367"/>
      <c r="R180" s="3367"/>
      <c r="S180" s="3367"/>
      <c r="T180" s="3367"/>
      <c r="U180" s="3367"/>
      <c r="V180" s="3367"/>
      <c r="W180" s="3367"/>
      <c r="X180" s="3367"/>
      <c r="Y180" s="3367"/>
      <c r="Z180" s="3367"/>
      <c r="AA180" s="3367"/>
      <c r="AB180" s="3367"/>
      <c r="AE180" s="2140"/>
    </row>
    <row r="181" spans="2:31" s="395" customFormat="1" x14ac:dyDescent="0.25">
      <c r="B181" s="661"/>
      <c r="C181" s="661"/>
      <c r="D181" s="661"/>
      <c r="E181" s="661"/>
      <c r="F181" s="661"/>
      <c r="G181" s="661"/>
      <c r="H181" s="661"/>
      <c r="I181" s="661"/>
      <c r="J181" s="661"/>
      <c r="K181" s="661"/>
      <c r="L181" s="661"/>
      <c r="M181" s="661"/>
      <c r="N181" s="661"/>
      <c r="O181" s="661"/>
      <c r="P181" s="661"/>
      <c r="Q181" s="661"/>
      <c r="R181" s="661"/>
      <c r="S181" s="661"/>
      <c r="T181" s="661"/>
      <c r="U181" s="661"/>
      <c r="V181" s="661"/>
      <c r="W181" s="661"/>
      <c r="X181" s="661"/>
      <c r="Y181" s="661"/>
      <c r="Z181" s="661"/>
      <c r="AA181" s="661"/>
      <c r="AB181" s="661"/>
      <c r="AE181" s="2140"/>
    </row>
    <row r="182" spans="2:31" s="1608" customFormat="1" ht="21" customHeight="1" x14ac:dyDescent="0.25">
      <c r="B182" s="1356"/>
      <c r="C182" s="1357" t="s">
        <v>1153</v>
      </c>
      <c r="D182" s="1356" t="s">
        <v>1154</v>
      </c>
      <c r="E182" s="1356" t="s">
        <v>1155</v>
      </c>
      <c r="F182" s="1356" t="s">
        <v>1156</v>
      </c>
      <c r="G182" s="1356" t="s">
        <v>1157</v>
      </c>
      <c r="H182" s="1356" t="s">
        <v>1158</v>
      </c>
      <c r="I182" s="1356" t="s">
        <v>1159</v>
      </c>
      <c r="J182" s="1356" t="s">
        <v>1160</v>
      </c>
      <c r="K182" s="1356" t="s">
        <v>1161</v>
      </c>
      <c r="L182" s="1356" t="s">
        <v>1162</v>
      </c>
      <c r="M182" s="1356" t="s">
        <v>1163</v>
      </c>
      <c r="N182" s="1356" t="s">
        <v>1164</v>
      </c>
      <c r="O182" s="1356" t="s">
        <v>1165</v>
      </c>
      <c r="P182" s="1356" t="s">
        <v>1166</v>
      </c>
      <c r="Q182" s="1356" t="s">
        <v>1167</v>
      </c>
      <c r="R182" s="1356" t="s">
        <v>1168</v>
      </c>
      <c r="S182" s="1356" t="s">
        <v>1169</v>
      </c>
      <c r="T182" s="1356" t="s">
        <v>1170</v>
      </c>
      <c r="U182" s="1356" t="s">
        <v>1171</v>
      </c>
      <c r="V182" s="1356" t="s">
        <v>1172</v>
      </c>
      <c r="W182" s="1356" t="s">
        <v>1173</v>
      </c>
      <c r="X182" s="1356" t="s">
        <v>1174</v>
      </c>
      <c r="Y182" s="1356" t="s">
        <v>1175</v>
      </c>
      <c r="Z182" s="1356" t="s">
        <v>1176</v>
      </c>
      <c r="AA182" s="1356" t="s">
        <v>1184</v>
      </c>
      <c r="AB182" s="1356" t="s">
        <v>1185</v>
      </c>
      <c r="AE182" s="2140"/>
    </row>
    <row r="183" spans="2:31" s="395" customFormat="1" x14ac:dyDescent="0.25">
      <c r="B183" s="1490" t="s">
        <v>1179</v>
      </c>
      <c r="C183" s="1269">
        <v>0.05</v>
      </c>
      <c r="D183" s="1269">
        <v>0.05</v>
      </c>
      <c r="E183" s="1269">
        <v>0.05</v>
      </c>
      <c r="F183" s="1269">
        <v>0.05</v>
      </c>
      <c r="G183" s="1269">
        <v>0.05</v>
      </c>
      <c r="H183" s="1269">
        <v>0.1</v>
      </c>
      <c r="I183" s="1269">
        <v>0.1</v>
      </c>
      <c r="J183" s="1269">
        <v>0.3</v>
      </c>
      <c r="K183" s="1269">
        <v>0.65</v>
      </c>
      <c r="L183" s="1269">
        <v>0.65</v>
      </c>
      <c r="M183" s="1269">
        <v>0.65</v>
      </c>
      <c r="N183" s="1269">
        <v>0.65</v>
      </c>
      <c r="O183" s="1269">
        <v>0.55000000000000004</v>
      </c>
      <c r="P183" s="1269">
        <v>0.65</v>
      </c>
      <c r="Q183" s="1269">
        <v>0.65</v>
      </c>
      <c r="R183" s="1269">
        <v>0.65</v>
      </c>
      <c r="S183" s="1269">
        <v>0.65</v>
      </c>
      <c r="T183" s="1269">
        <v>0.35</v>
      </c>
      <c r="U183" s="1269">
        <v>0.3</v>
      </c>
      <c r="V183" s="1269">
        <v>0.3</v>
      </c>
      <c r="W183" s="1269">
        <v>0.2</v>
      </c>
      <c r="X183" s="1269">
        <v>0.2</v>
      </c>
      <c r="Y183" s="1269">
        <v>0.1</v>
      </c>
      <c r="Z183" s="1269">
        <v>0.05</v>
      </c>
      <c r="AA183" s="1263">
        <f>SUM(C183:Z183)</f>
        <v>8</v>
      </c>
      <c r="AB183" s="1264">
        <f>AA183*SUM($C$9:$C$13)</f>
        <v>2000</v>
      </c>
      <c r="AE183" s="2140"/>
    </row>
    <row r="184" spans="2:31" s="395" customFormat="1" x14ac:dyDescent="0.25">
      <c r="B184" s="1490" t="s">
        <v>1149</v>
      </c>
      <c r="C184" s="1269">
        <v>0.05</v>
      </c>
      <c r="D184" s="1269">
        <v>0.05</v>
      </c>
      <c r="E184" s="1269">
        <v>0.05</v>
      </c>
      <c r="F184" s="1269">
        <v>0.05</v>
      </c>
      <c r="G184" s="1269">
        <v>0.05</v>
      </c>
      <c r="H184" s="1269">
        <v>0.05</v>
      </c>
      <c r="I184" s="1269">
        <v>0.1</v>
      </c>
      <c r="J184" s="1269">
        <v>0.1</v>
      </c>
      <c r="K184" s="1269">
        <v>0.3</v>
      </c>
      <c r="L184" s="1269">
        <v>0.3</v>
      </c>
      <c r="M184" s="1269">
        <v>0.3</v>
      </c>
      <c r="N184" s="1269">
        <v>0.3</v>
      </c>
      <c r="O184" s="1269">
        <v>0.15</v>
      </c>
      <c r="P184" s="1269">
        <v>0.15</v>
      </c>
      <c r="Q184" s="1269">
        <v>0.15</v>
      </c>
      <c r="R184" s="1269">
        <v>0.15</v>
      </c>
      <c r="S184" s="1269">
        <v>0.15</v>
      </c>
      <c r="T184" s="1269">
        <v>0.05</v>
      </c>
      <c r="U184" s="1269">
        <v>0.05</v>
      </c>
      <c r="V184" s="1269">
        <v>0.05</v>
      </c>
      <c r="W184" s="1269">
        <v>0.05</v>
      </c>
      <c r="X184" s="1269">
        <v>0.05</v>
      </c>
      <c r="Y184" s="1269">
        <v>0.05</v>
      </c>
      <c r="Z184" s="1269">
        <v>0.05</v>
      </c>
      <c r="AA184" s="1263">
        <f>SUM(C184:Z184)</f>
        <v>2.7999999999999985</v>
      </c>
      <c r="AB184" s="1264">
        <f>AA184*SUM($C$14)</f>
        <v>145.59999999999991</v>
      </c>
      <c r="AE184" s="2140"/>
    </row>
    <row r="185" spans="2:31" s="395" customFormat="1" x14ac:dyDescent="0.25">
      <c r="B185" s="1490" t="s">
        <v>1150</v>
      </c>
      <c r="C185" s="1269">
        <v>0.05</v>
      </c>
      <c r="D185" s="1269">
        <v>0.05</v>
      </c>
      <c r="E185" s="1269">
        <v>0.05</v>
      </c>
      <c r="F185" s="1269">
        <v>0.05</v>
      </c>
      <c r="G185" s="1269">
        <v>0.05</v>
      </c>
      <c r="H185" s="1269">
        <v>0.05</v>
      </c>
      <c r="I185" s="1269">
        <v>0.05</v>
      </c>
      <c r="J185" s="1269">
        <v>0.05</v>
      </c>
      <c r="K185" s="1269">
        <v>0.05</v>
      </c>
      <c r="L185" s="1269">
        <v>0.05</v>
      </c>
      <c r="M185" s="1269">
        <v>0.05</v>
      </c>
      <c r="N185" s="1269">
        <v>0.05</v>
      </c>
      <c r="O185" s="1269">
        <v>0.05</v>
      </c>
      <c r="P185" s="1269">
        <v>0.05</v>
      </c>
      <c r="Q185" s="1269">
        <v>0.05</v>
      </c>
      <c r="R185" s="1269">
        <v>0.05</v>
      </c>
      <c r="S185" s="1269">
        <v>0.05</v>
      </c>
      <c r="T185" s="1269">
        <v>0.05</v>
      </c>
      <c r="U185" s="1269">
        <v>0.05</v>
      </c>
      <c r="V185" s="1269">
        <v>0.05</v>
      </c>
      <c r="W185" s="1269">
        <v>0.05</v>
      </c>
      <c r="X185" s="1269">
        <v>0.05</v>
      </c>
      <c r="Y185" s="1269">
        <v>0.05</v>
      </c>
      <c r="Z185" s="1269">
        <v>0.05</v>
      </c>
      <c r="AA185" s="1263">
        <f>SUM(C185:Z185)</f>
        <v>1.2000000000000004</v>
      </c>
      <c r="AB185" s="1264">
        <f>AA185*$C$15</f>
        <v>62.40000000000002</v>
      </c>
      <c r="AE185" s="2140"/>
    </row>
    <row r="186" spans="2:31" s="395" customFormat="1" x14ac:dyDescent="0.25">
      <c r="B186" s="1490" t="s">
        <v>1181</v>
      </c>
      <c r="C186" s="1269">
        <v>0.05</v>
      </c>
      <c r="D186" s="1269">
        <v>0.05</v>
      </c>
      <c r="E186" s="1269">
        <v>0.05</v>
      </c>
      <c r="F186" s="1269">
        <v>0.05</v>
      </c>
      <c r="G186" s="1269">
        <v>0.05</v>
      </c>
      <c r="H186" s="1269">
        <v>0.05</v>
      </c>
      <c r="I186" s="1269">
        <v>0.05</v>
      </c>
      <c r="J186" s="1269">
        <v>0.05</v>
      </c>
      <c r="K186" s="1269">
        <v>0.05</v>
      </c>
      <c r="L186" s="1269">
        <v>0.05</v>
      </c>
      <c r="M186" s="1269">
        <v>0.05</v>
      </c>
      <c r="N186" s="1269">
        <v>0.05</v>
      </c>
      <c r="O186" s="1269">
        <v>0.05</v>
      </c>
      <c r="P186" s="1269">
        <v>0.05</v>
      </c>
      <c r="Q186" s="1269">
        <v>0.05</v>
      </c>
      <c r="R186" s="1269">
        <v>0.05</v>
      </c>
      <c r="S186" s="1269">
        <v>0.05</v>
      </c>
      <c r="T186" s="1269">
        <v>0.05</v>
      </c>
      <c r="U186" s="1269">
        <v>0.05</v>
      </c>
      <c r="V186" s="1269">
        <v>0.05</v>
      </c>
      <c r="W186" s="1269">
        <v>0.05</v>
      </c>
      <c r="X186" s="1269">
        <v>0.05</v>
      </c>
      <c r="Y186" s="1269">
        <v>0.05</v>
      </c>
      <c r="Z186" s="1269">
        <v>0.05</v>
      </c>
      <c r="AA186" s="1263">
        <f>SUM(C186:Z186)</f>
        <v>1.2000000000000004</v>
      </c>
      <c r="AB186" s="1264">
        <f>AA186*SUM($C$8)</f>
        <v>13.200000000000005</v>
      </c>
      <c r="AE186" s="2140"/>
    </row>
    <row r="187" spans="2:31" s="395" customFormat="1" x14ac:dyDescent="0.25">
      <c r="B187" s="3368" t="s">
        <v>1186</v>
      </c>
      <c r="C187" s="3368"/>
      <c r="D187" s="3368"/>
      <c r="E187" s="3368"/>
      <c r="F187" s="3368"/>
      <c r="G187" s="3368"/>
      <c r="H187" s="3368"/>
      <c r="I187" s="3368"/>
      <c r="J187" s="3368"/>
      <c r="K187" s="3368"/>
      <c r="L187" s="3368"/>
      <c r="M187" s="3368"/>
      <c r="N187" s="3368"/>
      <c r="O187" s="3368"/>
      <c r="P187" s="3368"/>
      <c r="Q187" s="3368"/>
      <c r="R187" s="3368"/>
      <c r="S187" s="3368"/>
      <c r="T187" s="3368"/>
      <c r="U187" s="3368"/>
      <c r="V187" s="3368"/>
      <c r="W187" s="3368"/>
      <c r="X187" s="3368"/>
      <c r="Y187" s="3368"/>
      <c r="Z187" s="3368"/>
      <c r="AA187" s="3368"/>
      <c r="AB187" s="1264">
        <f>SUM(AB183:AB186)</f>
        <v>2221.1999999999998</v>
      </c>
      <c r="AE187" s="2140"/>
    </row>
    <row r="188" spans="2:31" s="395" customFormat="1" x14ac:dyDescent="0.25">
      <c r="B188" s="661"/>
      <c r="C188" s="661"/>
      <c r="D188" s="661"/>
      <c r="E188" s="661"/>
      <c r="F188" s="661"/>
      <c r="G188" s="661"/>
      <c r="H188" s="661"/>
      <c r="I188" s="661"/>
      <c r="J188" s="661"/>
      <c r="K188" s="661"/>
      <c r="L188" s="661"/>
      <c r="M188" s="661"/>
      <c r="N188" s="661"/>
      <c r="O188" s="661"/>
      <c r="P188" s="661"/>
      <c r="Q188" s="661"/>
      <c r="R188" s="661"/>
      <c r="S188" s="661"/>
      <c r="T188" s="661"/>
      <c r="U188" s="661"/>
      <c r="V188" s="661"/>
      <c r="W188" s="661"/>
      <c r="X188" s="661"/>
      <c r="Y188" s="661"/>
      <c r="Z188" s="661"/>
      <c r="AA188" s="661"/>
      <c r="AB188" s="661"/>
      <c r="AE188" s="2140"/>
    </row>
    <row r="189" spans="2:31" s="395" customFormat="1" ht="15" customHeight="1" x14ac:dyDescent="0.25">
      <c r="B189" s="661" t="s">
        <v>1152</v>
      </c>
      <c r="C189" s="3367" t="s">
        <v>1327</v>
      </c>
      <c r="D189" s="3367"/>
      <c r="E189" s="3367"/>
      <c r="F189" s="3367"/>
      <c r="G189" s="3367"/>
      <c r="H189" s="3367"/>
      <c r="I189" s="3367"/>
      <c r="J189" s="3367"/>
      <c r="K189" s="3367"/>
      <c r="L189" s="3367"/>
      <c r="M189" s="3367"/>
      <c r="N189" s="3367"/>
      <c r="O189" s="3367"/>
      <c r="P189" s="3367"/>
      <c r="Q189" s="3367"/>
      <c r="R189" s="3367"/>
      <c r="S189" s="3367"/>
      <c r="T189" s="3367"/>
      <c r="U189" s="3367"/>
      <c r="V189" s="3367"/>
      <c r="W189" s="3367"/>
      <c r="X189" s="3367"/>
      <c r="Y189" s="3367"/>
      <c r="Z189" s="3367"/>
      <c r="AA189" s="3367"/>
      <c r="AB189" s="3367"/>
      <c r="AE189" s="2140"/>
    </row>
    <row r="190" spans="2:31" s="395" customFormat="1" x14ac:dyDescent="0.25">
      <c r="B190" s="661"/>
      <c r="C190" s="661"/>
      <c r="D190" s="661"/>
      <c r="E190" s="661"/>
      <c r="F190" s="661"/>
      <c r="G190" s="661"/>
      <c r="H190" s="661"/>
      <c r="I190" s="661"/>
      <c r="J190" s="661"/>
      <c r="K190" s="661"/>
      <c r="L190" s="661"/>
      <c r="M190" s="661"/>
      <c r="N190" s="661"/>
      <c r="O190" s="661"/>
      <c r="P190" s="661"/>
      <c r="Q190" s="661"/>
      <c r="R190" s="661"/>
      <c r="S190" s="661"/>
      <c r="T190" s="661"/>
      <c r="U190" s="661"/>
      <c r="V190" s="661"/>
      <c r="W190" s="661"/>
      <c r="X190" s="661"/>
      <c r="Y190" s="661"/>
      <c r="Z190" s="661"/>
      <c r="AA190" s="661"/>
      <c r="AB190" s="661"/>
      <c r="AE190" s="2140"/>
    </row>
    <row r="191" spans="2:31" s="1608" customFormat="1" ht="21" customHeight="1" x14ac:dyDescent="0.25">
      <c r="B191" s="1356"/>
      <c r="C191" s="1357" t="s">
        <v>1153</v>
      </c>
      <c r="D191" s="1356" t="s">
        <v>1154</v>
      </c>
      <c r="E191" s="1356" t="s">
        <v>1155</v>
      </c>
      <c r="F191" s="1356" t="s">
        <v>1156</v>
      </c>
      <c r="G191" s="1356" t="s">
        <v>1157</v>
      </c>
      <c r="H191" s="1356" t="s">
        <v>1158</v>
      </c>
      <c r="I191" s="1356" t="s">
        <v>1159</v>
      </c>
      <c r="J191" s="1356" t="s">
        <v>1160</v>
      </c>
      <c r="K191" s="1356" t="s">
        <v>1161</v>
      </c>
      <c r="L191" s="1356" t="s">
        <v>1162</v>
      </c>
      <c r="M191" s="1356" t="s">
        <v>1163</v>
      </c>
      <c r="N191" s="1356" t="s">
        <v>1164</v>
      </c>
      <c r="O191" s="1356" t="s">
        <v>1165</v>
      </c>
      <c r="P191" s="1356" t="s">
        <v>1166</v>
      </c>
      <c r="Q191" s="1356" t="s">
        <v>1167</v>
      </c>
      <c r="R191" s="1356" t="s">
        <v>1168</v>
      </c>
      <c r="S191" s="1356" t="s">
        <v>1169</v>
      </c>
      <c r="T191" s="1356" t="s">
        <v>1170</v>
      </c>
      <c r="U191" s="1356" t="s">
        <v>1171</v>
      </c>
      <c r="V191" s="1356" t="s">
        <v>1172</v>
      </c>
      <c r="W191" s="1356" t="s">
        <v>1173</v>
      </c>
      <c r="X191" s="1356" t="s">
        <v>1174</v>
      </c>
      <c r="Y191" s="1356" t="s">
        <v>1175</v>
      </c>
      <c r="Z191" s="1356" t="s">
        <v>1176</v>
      </c>
      <c r="AA191" s="1356" t="s">
        <v>1184</v>
      </c>
      <c r="AB191" s="1356" t="s">
        <v>1185</v>
      </c>
      <c r="AE191" s="2140"/>
    </row>
    <row r="192" spans="2:31" s="395" customFormat="1" x14ac:dyDescent="0.25">
      <c r="B192" s="1490" t="s">
        <v>1179</v>
      </c>
      <c r="C192" s="1269">
        <v>0.05</v>
      </c>
      <c r="D192" s="1269">
        <v>0.05</v>
      </c>
      <c r="E192" s="1269">
        <v>0.05</v>
      </c>
      <c r="F192" s="1269">
        <v>0.05</v>
      </c>
      <c r="G192" s="1269">
        <v>0.05</v>
      </c>
      <c r="H192" s="1269">
        <v>0.1</v>
      </c>
      <c r="I192" s="1269">
        <v>0.1</v>
      </c>
      <c r="J192" s="1269">
        <v>0.3</v>
      </c>
      <c r="K192" s="1269">
        <v>0.9</v>
      </c>
      <c r="L192" s="1269">
        <v>0.9</v>
      </c>
      <c r="M192" s="1269">
        <v>0.9</v>
      </c>
      <c r="N192" s="1269">
        <v>0.9</v>
      </c>
      <c r="O192" s="1269">
        <v>0.8</v>
      </c>
      <c r="P192" s="1269">
        <v>0.9</v>
      </c>
      <c r="Q192" s="1269">
        <v>0.9</v>
      </c>
      <c r="R192" s="1269">
        <v>0.9</v>
      </c>
      <c r="S192" s="1269">
        <v>0.9</v>
      </c>
      <c r="T192" s="1269">
        <v>0.5</v>
      </c>
      <c r="U192" s="1269">
        <v>0.3</v>
      </c>
      <c r="V192" s="1269">
        <v>0.3</v>
      </c>
      <c r="W192" s="1269">
        <v>0.2</v>
      </c>
      <c r="X192" s="1269">
        <v>0.2</v>
      </c>
      <c r="Y192" s="1269">
        <v>0.1</v>
      </c>
      <c r="Z192" s="1269">
        <v>0.05</v>
      </c>
      <c r="AA192" s="1263">
        <f>SUM(C192:Z192)</f>
        <v>10.4</v>
      </c>
      <c r="AB192" s="1264">
        <f>AA192*SUM($C$9:$C$13)</f>
        <v>2600</v>
      </c>
      <c r="AE192" s="2140"/>
    </row>
    <row r="193" spans="2:31" s="395" customFormat="1" x14ac:dyDescent="0.25">
      <c r="B193" s="1490" t="s">
        <v>1149</v>
      </c>
      <c r="C193" s="1269">
        <v>0.05</v>
      </c>
      <c r="D193" s="1269">
        <v>0.05</v>
      </c>
      <c r="E193" s="1269">
        <v>0.05</v>
      </c>
      <c r="F193" s="1269">
        <v>0.05</v>
      </c>
      <c r="G193" s="1269">
        <v>0.05</v>
      </c>
      <c r="H193" s="1269">
        <v>0.05</v>
      </c>
      <c r="I193" s="1269">
        <v>0.1</v>
      </c>
      <c r="J193" s="1269">
        <v>0.1</v>
      </c>
      <c r="K193" s="1269">
        <v>0.3</v>
      </c>
      <c r="L193" s="1269">
        <v>0.3</v>
      </c>
      <c r="M193" s="1269">
        <v>0.3</v>
      </c>
      <c r="N193" s="1269">
        <v>0.3</v>
      </c>
      <c r="O193" s="1269">
        <v>0.15</v>
      </c>
      <c r="P193" s="1269">
        <v>0.15</v>
      </c>
      <c r="Q193" s="1269">
        <v>0.15</v>
      </c>
      <c r="R193" s="1269">
        <v>0.15</v>
      </c>
      <c r="S193" s="1269">
        <v>0.15</v>
      </c>
      <c r="T193" s="1269">
        <v>0.05</v>
      </c>
      <c r="U193" s="1269">
        <v>0.05</v>
      </c>
      <c r="V193" s="1269">
        <v>0.05</v>
      </c>
      <c r="W193" s="1269">
        <v>0.05</v>
      </c>
      <c r="X193" s="1269">
        <v>0.05</v>
      </c>
      <c r="Y193" s="1269">
        <v>0.05</v>
      </c>
      <c r="Z193" s="1269">
        <v>0.05</v>
      </c>
      <c r="AA193" s="1263">
        <f>SUM(C193:Z193)</f>
        <v>2.7999999999999985</v>
      </c>
      <c r="AB193" s="1264">
        <f>AA193*SUM($C$14)</f>
        <v>145.59999999999991</v>
      </c>
      <c r="AE193" s="2140"/>
    </row>
    <row r="194" spans="2:31" s="395" customFormat="1" x14ac:dyDescent="0.25">
      <c r="B194" s="1490" t="s">
        <v>1150</v>
      </c>
      <c r="C194" s="1269">
        <v>0.05</v>
      </c>
      <c r="D194" s="1269">
        <v>0.05</v>
      </c>
      <c r="E194" s="1269">
        <v>0.05</v>
      </c>
      <c r="F194" s="1269">
        <v>0.05</v>
      </c>
      <c r="G194" s="1269">
        <v>0.05</v>
      </c>
      <c r="H194" s="1269">
        <v>0.05</v>
      </c>
      <c r="I194" s="1269">
        <v>0.05</v>
      </c>
      <c r="J194" s="1269">
        <v>0.05</v>
      </c>
      <c r="K194" s="1269">
        <v>0.05</v>
      </c>
      <c r="L194" s="1269">
        <v>0.05</v>
      </c>
      <c r="M194" s="1269">
        <v>0.05</v>
      </c>
      <c r="N194" s="1269">
        <v>0.05</v>
      </c>
      <c r="O194" s="1269">
        <v>0.05</v>
      </c>
      <c r="P194" s="1269">
        <v>0.05</v>
      </c>
      <c r="Q194" s="1269">
        <v>0.05</v>
      </c>
      <c r="R194" s="1269">
        <v>0.05</v>
      </c>
      <c r="S194" s="1269">
        <v>0.05</v>
      </c>
      <c r="T194" s="1269">
        <v>0.05</v>
      </c>
      <c r="U194" s="1269">
        <v>0.05</v>
      </c>
      <c r="V194" s="1269">
        <v>0.05</v>
      </c>
      <c r="W194" s="1269">
        <v>0.05</v>
      </c>
      <c r="X194" s="1269">
        <v>0.05</v>
      </c>
      <c r="Y194" s="1269">
        <v>0.05</v>
      </c>
      <c r="Z194" s="1269">
        <v>0.05</v>
      </c>
      <c r="AA194" s="1263">
        <f>SUM(C194:Z194)</f>
        <v>1.2000000000000004</v>
      </c>
      <c r="AB194" s="1264">
        <f>AA194*$C$15</f>
        <v>62.40000000000002</v>
      </c>
      <c r="AE194" s="2140"/>
    </row>
    <row r="195" spans="2:31" s="395" customFormat="1" x14ac:dyDescent="0.25">
      <c r="B195" s="1490" t="s">
        <v>1181</v>
      </c>
      <c r="C195" s="1269">
        <v>0.05</v>
      </c>
      <c r="D195" s="1269">
        <v>0.05</v>
      </c>
      <c r="E195" s="1269">
        <v>0.05</v>
      </c>
      <c r="F195" s="1269">
        <v>0.05</v>
      </c>
      <c r="G195" s="1269">
        <v>0.05</v>
      </c>
      <c r="H195" s="1269">
        <v>0.05</v>
      </c>
      <c r="I195" s="1269">
        <v>0.05</v>
      </c>
      <c r="J195" s="1269">
        <v>0.05</v>
      </c>
      <c r="K195" s="1269">
        <v>0.05</v>
      </c>
      <c r="L195" s="1269">
        <v>0.05</v>
      </c>
      <c r="M195" s="1269">
        <v>0.05</v>
      </c>
      <c r="N195" s="1269">
        <v>0.05</v>
      </c>
      <c r="O195" s="1269">
        <v>0.05</v>
      </c>
      <c r="P195" s="1269">
        <v>0.05</v>
      </c>
      <c r="Q195" s="1269">
        <v>0.05</v>
      </c>
      <c r="R195" s="1269">
        <v>0.05</v>
      </c>
      <c r="S195" s="1269">
        <v>0.05</v>
      </c>
      <c r="T195" s="1269">
        <v>0.05</v>
      </c>
      <c r="U195" s="1269">
        <v>0.05</v>
      </c>
      <c r="V195" s="1269">
        <v>0.05</v>
      </c>
      <c r="W195" s="1269">
        <v>0.05</v>
      </c>
      <c r="X195" s="1269">
        <v>0.05</v>
      </c>
      <c r="Y195" s="1269">
        <v>0.05</v>
      </c>
      <c r="Z195" s="1269">
        <v>0.05</v>
      </c>
      <c r="AA195" s="1263">
        <f>SUM(C195:Z195)</f>
        <v>1.2000000000000004</v>
      </c>
      <c r="AB195" s="1264">
        <f>AA195*SUM($C$8)</f>
        <v>13.200000000000005</v>
      </c>
      <c r="AE195" s="2140"/>
    </row>
    <row r="196" spans="2:31" s="395" customFormat="1" x14ac:dyDescent="0.25">
      <c r="B196" s="3368" t="s">
        <v>1186</v>
      </c>
      <c r="C196" s="3368"/>
      <c r="D196" s="3368"/>
      <c r="E196" s="3368"/>
      <c r="F196" s="3368"/>
      <c r="G196" s="3368"/>
      <c r="H196" s="3368"/>
      <c r="I196" s="3368"/>
      <c r="J196" s="3368"/>
      <c r="K196" s="3368"/>
      <c r="L196" s="3368"/>
      <c r="M196" s="3368"/>
      <c r="N196" s="3368"/>
      <c r="O196" s="3368"/>
      <c r="P196" s="3368"/>
      <c r="Q196" s="3368"/>
      <c r="R196" s="3368"/>
      <c r="S196" s="3368"/>
      <c r="T196" s="3368"/>
      <c r="U196" s="3368"/>
      <c r="V196" s="3368"/>
      <c r="W196" s="3368"/>
      <c r="X196" s="3368"/>
      <c r="Y196" s="3368"/>
      <c r="Z196" s="3368"/>
      <c r="AA196" s="3368"/>
      <c r="AB196" s="1264">
        <f>SUM(AB192:AB195)</f>
        <v>2821.2</v>
      </c>
      <c r="AE196" s="2140"/>
    </row>
    <row r="197" spans="2:31" s="395" customFormat="1" x14ac:dyDescent="0.25">
      <c r="B197" s="661"/>
      <c r="C197" s="661"/>
      <c r="D197" s="661"/>
      <c r="E197" s="661"/>
      <c r="F197" s="661"/>
      <c r="G197" s="661"/>
      <c r="H197" s="661"/>
      <c r="I197" s="661"/>
      <c r="J197" s="661"/>
      <c r="K197" s="661"/>
      <c r="L197" s="661"/>
      <c r="M197" s="661"/>
      <c r="N197" s="661"/>
      <c r="O197" s="661"/>
      <c r="P197" s="661"/>
      <c r="Q197" s="661"/>
      <c r="R197" s="661"/>
      <c r="S197" s="661"/>
      <c r="T197" s="661"/>
      <c r="U197" s="661"/>
      <c r="V197" s="661"/>
      <c r="W197" s="661"/>
      <c r="X197" s="661"/>
      <c r="Y197" s="661"/>
      <c r="Z197" s="661"/>
      <c r="AA197" s="661"/>
      <c r="AB197" s="661"/>
      <c r="AE197" s="2140"/>
    </row>
    <row r="198" spans="2:31" s="395" customFormat="1" ht="15" customHeight="1" x14ac:dyDescent="0.25">
      <c r="B198" s="661" t="s">
        <v>1152</v>
      </c>
      <c r="C198" s="3367" t="s">
        <v>1328</v>
      </c>
      <c r="D198" s="3367"/>
      <c r="E198" s="3367"/>
      <c r="F198" s="3367"/>
      <c r="G198" s="3367"/>
      <c r="H198" s="3367"/>
      <c r="I198" s="3367"/>
      <c r="J198" s="3367"/>
      <c r="K198" s="3367"/>
      <c r="L198" s="3367"/>
      <c r="M198" s="3367"/>
      <c r="N198" s="3367"/>
      <c r="O198" s="3367"/>
      <c r="P198" s="3367"/>
      <c r="Q198" s="3367"/>
      <c r="R198" s="3367"/>
      <c r="S198" s="3367"/>
      <c r="T198" s="3367"/>
      <c r="U198" s="3367"/>
      <c r="V198" s="3367"/>
      <c r="W198" s="3367"/>
      <c r="X198" s="3367"/>
      <c r="Y198" s="3367"/>
      <c r="Z198" s="3367"/>
      <c r="AA198" s="3367"/>
      <c r="AB198" s="3367"/>
      <c r="AE198" s="2140"/>
    </row>
    <row r="199" spans="2:31" s="395" customFormat="1" x14ac:dyDescent="0.25">
      <c r="B199" s="661"/>
      <c r="C199" s="661"/>
      <c r="D199" s="661"/>
      <c r="E199" s="661"/>
      <c r="F199" s="661"/>
      <c r="G199" s="661"/>
      <c r="H199" s="661"/>
      <c r="I199" s="661"/>
      <c r="J199" s="661"/>
      <c r="K199" s="661"/>
      <c r="L199" s="661"/>
      <c r="M199" s="661"/>
      <c r="N199" s="661"/>
      <c r="O199" s="661"/>
      <c r="P199" s="661"/>
      <c r="Q199" s="661"/>
      <c r="R199" s="661"/>
      <c r="S199" s="661"/>
      <c r="T199" s="661"/>
      <c r="U199" s="661"/>
      <c r="V199" s="661"/>
      <c r="W199" s="661"/>
      <c r="X199" s="661"/>
      <c r="Y199" s="661"/>
      <c r="Z199" s="661"/>
      <c r="AA199" s="661"/>
      <c r="AB199" s="661"/>
      <c r="AE199" s="2140"/>
    </row>
    <row r="200" spans="2:31" s="1608" customFormat="1" ht="21" customHeight="1" x14ac:dyDescent="0.25">
      <c r="B200" s="1356"/>
      <c r="C200" s="1357" t="s">
        <v>1153</v>
      </c>
      <c r="D200" s="1356" t="s">
        <v>1154</v>
      </c>
      <c r="E200" s="1356" t="s">
        <v>1155</v>
      </c>
      <c r="F200" s="1356" t="s">
        <v>1156</v>
      </c>
      <c r="G200" s="1356" t="s">
        <v>1157</v>
      </c>
      <c r="H200" s="1356" t="s">
        <v>1158</v>
      </c>
      <c r="I200" s="1356" t="s">
        <v>1159</v>
      </c>
      <c r="J200" s="1356" t="s">
        <v>1160</v>
      </c>
      <c r="K200" s="1356" t="s">
        <v>1161</v>
      </c>
      <c r="L200" s="1356" t="s">
        <v>1162</v>
      </c>
      <c r="M200" s="1356" t="s">
        <v>1163</v>
      </c>
      <c r="N200" s="1356" t="s">
        <v>1164</v>
      </c>
      <c r="O200" s="1356" t="s">
        <v>1165</v>
      </c>
      <c r="P200" s="1356" t="s">
        <v>1166</v>
      </c>
      <c r="Q200" s="1356" t="s">
        <v>1167</v>
      </c>
      <c r="R200" s="1356" t="s">
        <v>1168</v>
      </c>
      <c r="S200" s="1356" t="s">
        <v>1169</v>
      </c>
      <c r="T200" s="1356" t="s">
        <v>1170</v>
      </c>
      <c r="U200" s="1356" t="s">
        <v>1171</v>
      </c>
      <c r="V200" s="1356" t="s">
        <v>1172</v>
      </c>
      <c r="W200" s="1356" t="s">
        <v>1173</v>
      </c>
      <c r="X200" s="1356" t="s">
        <v>1174</v>
      </c>
      <c r="Y200" s="1356" t="s">
        <v>1175</v>
      </c>
      <c r="Z200" s="1356" t="s">
        <v>1176</v>
      </c>
      <c r="AA200" s="1356" t="s">
        <v>1184</v>
      </c>
      <c r="AB200" s="1356" t="s">
        <v>1185</v>
      </c>
      <c r="AE200" s="2140"/>
    </row>
    <row r="201" spans="2:31" s="395" customFormat="1" x14ac:dyDescent="0.25">
      <c r="B201" s="1490" t="s">
        <v>1179</v>
      </c>
      <c r="C201" s="1269">
        <v>0.05</v>
      </c>
      <c r="D201" s="1269">
        <v>0.05</v>
      </c>
      <c r="E201" s="1269">
        <v>0.05</v>
      </c>
      <c r="F201" s="1269">
        <v>0.05</v>
      </c>
      <c r="G201" s="1269">
        <v>0.05</v>
      </c>
      <c r="H201" s="1269">
        <v>0.08</v>
      </c>
      <c r="I201" s="1269">
        <v>7.0000000000000007E-2</v>
      </c>
      <c r="J201" s="1269">
        <v>0.19</v>
      </c>
      <c r="K201" s="1269">
        <v>0.35</v>
      </c>
      <c r="L201" s="1269">
        <v>0.38</v>
      </c>
      <c r="M201" s="1269">
        <v>0.39</v>
      </c>
      <c r="N201" s="1269">
        <v>0.47</v>
      </c>
      <c r="O201" s="1269">
        <v>0.56999999999999995</v>
      </c>
      <c r="P201" s="1269">
        <v>0.54</v>
      </c>
      <c r="Q201" s="1269">
        <v>0.34</v>
      </c>
      <c r="R201" s="1269">
        <v>0.33</v>
      </c>
      <c r="S201" s="1269">
        <v>0.44</v>
      </c>
      <c r="T201" s="1269">
        <v>0.26</v>
      </c>
      <c r="U201" s="1269">
        <v>0.21</v>
      </c>
      <c r="V201" s="1269">
        <v>0.15</v>
      </c>
      <c r="W201" s="1269">
        <v>0.17</v>
      </c>
      <c r="X201" s="1269">
        <v>0.08</v>
      </c>
      <c r="Y201" s="1269">
        <v>0.05</v>
      </c>
      <c r="Z201" s="1269">
        <v>0.05</v>
      </c>
      <c r="AA201" s="1263">
        <f>SUM(C201:Z201)</f>
        <v>5.3699999999999992</v>
      </c>
      <c r="AB201" s="1264">
        <f>AA201*SUM($C$9:$C$13)</f>
        <v>1342.4999999999998</v>
      </c>
      <c r="AE201" s="2140"/>
    </row>
    <row r="202" spans="2:31" s="395" customFormat="1" x14ac:dyDescent="0.25">
      <c r="B202" s="1490" t="s">
        <v>1149</v>
      </c>
      <c r="C202" s="1269">
        <v>0.05</v>
      </c>
      <c r="D202" s="1269">
        <v>0.05</v>
      </c>
      <c r="E202" s="1269">
        <v>0.05</v>
      </c>
      <c r="F202" s="1269">
        <v>0.05</v>
      </c>
      <c r="G202" s="1269">
        <v>0.05</v>
      </c>
      <c r="H202" s="1269">
        <v>0.08</v>
      </c>
      <c r="I202" s="1269">
        <v>7.0000000000000007E-2</v>
      </c>
      <c r="J202" s="1269">
        <v>0.11</v>
      </c>
      <c r="K202" s="1269">
        <v>0.15</v>
      </c>
      <c r="L202" s="1269">
        <v>0.21</v>
      </c>
      <c r="M202" s="1269">
        <v>0.19</v>
      </c>
      <c r="N202" s="1269">
        <v>0.23</v>
      </c>
      <c r="O202" s="1269">
        <v>0.2</v>
      </c>
      <c r="P202" s="1269">
        <v>0.19</v>
      </c>
      <c r="Q202" s="1269">
        <v>0.15</v>
      </c>
      <c r="R202" s="1269">
        <v>0.12</v>
      </c>
      <c r="S202" s="1269">
        <v>0.14000000000000001</v>
      </c>
      <c r="T202" s="1269">
        <v>7.0000000000000007E-2</v>
      </c>
      <c r="U202" s="1269">
        <v>7.0000000000000007E-2</v>
      </c>
      <c r="V202" s="1269">
        <v>7.0000000000000007E-2</v>
      </c>
      <c r="W202" s="1269">
        <v>7.0000000000000007E-2</v>
      </c>
      <c r="X202" s="1269">
        <v>0.09</v>
      </c>
      <c r="Y202" s="1269">
        <v>0.05</v>
      </c>
      <c r="Z202" s="1269">
        <v>0.05</v>
      </c>
      <c r="AA202" s="1263">
        <f>SUM(C202:Z202)</f>
        <v>2.5599999999999987</v>
      </c>
      <c r="AB202" s="1264">
        <f>AA202*SUM($C$14)</f>
        <v>133.11999999999995</v>
      </c>
      <c r="AE202" s="2140"/>
    </row>
    <row r="203" spans="2:31" s="395" customFormat="1" x14ac:dyDescent="0.25">
      <c r="B203" s="1490" t="s">
        <v>1150</v>
      </c>
      <c r="C203" s="1269">
        <v>0.04</v>
      </c>
      <c r="D203" s="1269">
        <v>0.04</v>
      </c>
      <c r="E203" s="1269">
        <v>0.04</v>
      </c>
      <c r="F203" s="1269">
        <v>0.04</v>
      </c>
      <c r="G203" s="1269">
        <v>0.04</v>
      </c>
      <c r="H203" s="1269">
        <v>7.0000000000000007E-2</v>
      </c>
      <c r="I203" s="1269">
        <v>0.04</v>
      </c>
      <c r="J203" s="1269">
        <v>0.04</v>
      </c>
      <c r="K203" s="1269">
        <v>0.04</v>
      </c>
      <c r="L203" s="1269">
        <v>0.04</v>
      </c>
      <c r="M203" s="1269">
        <v>0.04</v>
      </c>
      <c r="N203" s="1269">
        <v>0.06</v>
      </c>
      <c r="O203" s="1269">
        <v>0.06</v>
      </c>
      <c r="P203" s="1269">
        <v>0.09</v>
      </c>
      <c r="Q203" s="1269">
        <v>0.06</v>
      </c>
      <c r="R203" s="1269">
        <v>0.04</v>
      </c>
      <c r="S203" s="1269">
        <v>0.04</v>
      </c>
      <c r="T203" s="1269">
        <v>0.04</v>
      </c>
      <c r="U203" s="1269">
        <v>0.04</v>
      </c>
      <c r="V203" s="1269">
        <v>0.04</v>
      </c>
      <c r="W203" s="1269">
        <v>0.04</v>
      </c>
      <c r="X203" s="1269">
        <v>7.0000000000000007E-2</v>
      </c>
      <c r="Y203" s="1269">
        <v>0.04</v>
      </c>
      <c r="Z203" s="1269">
        <v>0.04</v>
      </c>
      <c r="AA203" s="1263">
        <f>SUM(C203:Z203)</f>
        <v>1.1300000000000001</v>
      </c>
      <c r="AB203" s="1264">
        <f>AA203*$C$15</f>
        <v>58.760000000000005</v>
      </c>
      <c r="AE203" s="2140"/>
    </row>
    <row r="204" spans="2:31" s="395" customFormat="1" x14ac:dyDescent="0.25">
      <c r="B204" s="1490" t="s">
        <v>1181</v>
      </c>
      <c r="C204" s="1269">
        <v>0.04</v>
      </c>
      <c r="D204" s="1269">
        <v>0.04</v>
      </c>
      <c r="E204" s="1269">
        <v>0.04</v>
      </c>
      <c r="F204" s="1269">
        <v>0.04</v>
      </c>
      <c r="G204" s="1269">
        <v>0.04</v>
      </c>
      <c r="H204" s="1269">
        <v>7.0000000000000007E-2</v>
      </c>
      <c r="I204" s="1269">
        <v>0.04</v>
      </c>
      <c r="J204" s="1269">
        <v>0.04</v>
      </c>
      <c r="K204" s="1269">
        <v>0.04</v>
      </c>
      <c r="L204" s="1269">
        <v>0.04</v>
      </c>
      <c r="M204" s="1269">
        <v>0.04</v>
      </c>
      <c r="N204" s="1269">
        <v>0.06</v>
      </c>
      <c r="O204" s="1269">
        <v>0.06</v>
      </c>
      <c r="P204" s="1269">
        <v>0.09</v>
      </c>
      <c r="Q204" s="1269">
        <v>0.06</v>
      </c>
      <c r="R204" s="1269">
        <v>0.04</v>
      </c>
      <c r="S204" s="1269">
        <v>0.04</v>
      </c>
      <c r="T204" s="1269">
        <v>0.04</v>
      </c>
      <c r="U204" s="1269">
        <v>0.04</v>
      </c>
      <c r="V204" s="1269">
        <v>0.04</v>
      </c>
      <c r="W204" s="1269">
        <v>0.04</v>
      </c>
      <c r="X204" s="1269">
        <v>7.0000000000000007E-2</v>
      </c>
      <c r="Y204" s="1269">
        <v>0.04</v>
      </c>
      <c r="Z204" s="1269">
        <v>0.04</v>
      </c>
      <c r="AA204" s="1263">
        <f>SUM(C204:Z204)</f>
        <v>1.1300000000000001</v>
      </c>
      <c r="AB204" s="1264">
        <f>AA204*SUM($C$8)</f>
        <v>12.430000000000001</v>
      </c>
      <c r="AE204" s="2140"/>
    </row>
    <row r="205" spans="2:31" s="395" customFormat="1" x14ac:dyDescent="0.25">
      <c r="B205" s="3368" t="s">
        <v>1186</v>
      </c>
      <c r="C205" s="3368"/>
      <c r="D205" s="3368"/>
      <c r="E205" s="3368"/>
      <c r="F205" s="3368"/>
      <c r="G205" s="3368"/>
      <c r="H205" s="3368"/>
      <c r="I205" s="3368"/>
      <c r="J205" s="3368"/>
      <c r="K205" s="3368"/>
      <c r="L205" s="3368"/>
      <c r="M205" s="3368"/>
      <c r="N205" s="3368"/>
      <c r="O205" s="3368"/>
      <c r="P205" s="3368"/>
      <c r="Q205" s="3368"/>
      <c r="R205" s="3368"/>
      <c r="S205" s="3368"/>
      <c r="T205" s="3368"/>
      <c r="U205" s="3368"/>
      <c r="V205" s="3368"/>
      <c r="W205" s="3368"/>
      <c r="X205" s="3368"/>
      <c r="Y205" s="3368"/>
      <c r="Z205" s="3368"/>
      <c r="AA205" s="3368"/>
      <c r="AB205" s="1264">
        <f>SUM(AB201:AB204)</f>
        <v>1546.8099999999997</v>
      </c>
      <c r="AE205" s="2140"/>
    </row>
    <row r="206" spans="2:31" s="395" customFormat="1" x14ac:dyDescent="0.25">
      <c r="B206" s="661"/>
      <c r="C206" s="661"/>
      <c r="D206" s="661"/>
      <c r="E206" s="661"/>
      <c r="F206" s="661"/>
      <c r="G206" s="661"/>
      <c r="H206" s="661"/>
      <c r="I206" s="661"/>
      <c r="J206" s="661"/>
      <c r="K206" s="661"/>
      <c r="L206" s="661"/>
      <c r="M206" s="661"/>
      <c r="N206" s="661"/>
      <c r="O206" s="661"/>
      <c r="P206" s="661"/>
      <c r="Q206" s="661"/>
      <c r="R206" s="661"/>
      <c r="S206" s="661"/>
      <c r="T206" s="661"/>
      <c r="U206" s="661"/>
      <c r="V206" s="661"/>
      <c r="W206" s="661"/>
      <c r="X206" s="661"/>
      <c r="Y206" s="661"/>
      <c r="Z206" s="661"/>
      <c r="AA206" s="661"/>
      <c r="AB206" s="661"/>
      <c r="AE206" s="2140"/>
    </row>
    <row r="207" spans="2:31" s="395" customFormat="1" ht="15" customHeight="1" x14ac:dyDescent="0.25">
      <c r="B207" s="661" t="s">
        <v>1152</v>
      </c>
      <c r="C207" s="3367" t="s">
        <v>1329</v>
      </c>
      <c r="D207" s="3367"/>
      <c r="E207" s="3367"/>
      <c r="F207" s="3367"/>
      <c r="G207" s="3367"/>
      <c r="H207" s="3367"/>
      <c r="I207" s="3367"/>
      <c r="J207" s="3367"/>
      <c r="K207" s="3367"/>
      <c r="L207" s="3367"/>
      <c r="M207" s="3367"/>
      <c r="N207" s="3367"/>
      <c r="O207" s="3367"/>
      <c r="P207" s="3367"/>
      <c r="Q207" s="3367"/>
      <c r="R207" s="3367"/>
      <c r="S207" s="3367"/>
      <c r="T207" s="3367"/>
      <c r="U207" s="3367"/>
      <c r="V207" s="3367"/>
      <c r="W207" s="3367"/>
      <c r="X207" s="3367"/>
      <c r="Y207" s="3367"/>
      <c r="Z207" s="3367"/>
      <c r="AA207" s="3367"/>
      <c r="AB207" s="3367"/>
      <c r="AE207" s="2140"/>
    </row>
    <row r="208" spans="2:31" s="395" customFormat="1" x14ac:dyDescent="0.25">
      <c r="B208" s="661"/>
      <c r="C208" s="661"/>
      <c r="D208" s="661"/>
      <c r="E208" s="661"/>
      <c r="F208" s="661"/>
      <c r="G208" s="661"/>
      <c r="H208" s="661"/>
      <c r="I208" s="661"/>
      <c r="J208" s="661"/>
      <c r="K208" s="661"/>
      <c r="L208" s="661"/>
      <c r="M208" s="661"/>
      <c r="N208" s="661"/>
      <c r="O208" s="661"/>
      <c r="P208" s="661"/>
      <c r="Q208" s="661"/>
      <c r="R208" s="661"/>
      <c r="S208" s="661"/>
      <c r="T208" s="661"/>
      <c r="U208" s="661"/>
      <c r="V208" s="661"/>
      <c r="W208" s="661"/>
      <c r="X208" s="661"/>
      <c r="Y208" s="661"/>
      <c r="Z208" s="661"/>
      <c r="AA208" s="661"/>
      <c r="AB208" s="661"/>
      <c r="AE208" s="2140"/>
    </row>
    <row r="209" spans="2:31" s="1608" customFormat="1" ht="21" customHeight="1" x14ac:dyDescent="0.25">
      <c r="B209" s="1356"/>
      <c r="C209" s="1357" t="s">
        <v>1153</v>
      </c>
      <c r="D209" s="1356" t="s">
        <v>1154</v>
      </c>
      <c r="E209" s="1356" t="s">
        <v>1155</v>
      </c>
      <c r="F209" s="1356" t="s">
        <v>1156</v>
      </c>
      <c r="G209" s="1356" t="s">
        <v>1157</v>
      </c>
      <c r="H209" s="1356" t="s">
        <v>1158</v>
      </c>
      <c r="I209" s="1356" t="s">
        <v>1159</v>
      </c>
      <c r="J209" s="1356" t="s">
        <v>1160</v>
      </c>
      <c r="K209" s="1356" t="s">
        <v>1161</v>
      </c>
      <c r="L209" s="1356" t="s">
        <v>1162</v>
      </c>
      <c r="M209" s="1356" t="s">
        <v>1163</v>
      </c>
      <c r="N209" s="1356" t="s">
        <v>1164</v>
      </c>
      <c r="O209" s="1356" t="s">
        <v>1165</v>
      </c>
      <c r="P209" s="1356" t="s">
        <v>1166</v>
      </c>
      <c r="Q209" s="1356" t="s">
        <v>1167</v>
      </c>
      <c r="R209" s="1356" t="s">
        <v>1168</v>
      </c>
      <c r="S209" s="1356" t="s">
        <v>1169</v>
      </c>
      <c r="T209" s="1356" t="s">
        <v>1170</v>
      </c>
      <c r="U209" s="1356" t="s">
        <v>1171</v>
      </c>
      <c r="V209" s="1356" t="s">
        <v>1172</v>
      </c>
      <c r="W209" s="1356" t="s">
        <v>1173</v>
      </c>
      <c r="X209" s="1356" t="s">
        <v>1174</v>
      </c>
      <c r="Y209" s="1356" t="s">
        <v>1175</v>
      </c>
      <c r="Z209" s="1356" t="s">
        <v>1176</v>
      </c>
      <c r="AA209" s="1356" t="s">
        <v>1184</v>
      </c>
      <c r="AB209" s="1356" t="s">
        <v>1185</v>
      </c>
      <c r="AE209" s="2140"/>
    </row>
    <row r="210" spans="2:31" s="395" customFormat="1" x14ac:dyDescent="0.25">
      <c r="B210" s="1490" t="s">
        <v>1179</v>
      </c>
      <c r="C210" s="1269">
        <v>0</v>
      </c>
      <c r="D210" s="1269">
        <v>0</v>
      </c>
      <c r="E210" s="1269">
        <v>0</v>
      </c>
      <c r="F210" s="1269">
        <v>0</v>
      </c>
      <c r="G210" s="1269">
        <v>0</v>
      </c>
      <c r="H210" s="1269">
        <v>0</v>
      </c>
      <c r="I210" s="1269">
        <v>0</v>
      </c>
      <c r="J210" s="1269">
        <v>0.35</v>
      </c>
      <c r="K210" s="1269">
        <v>0.69</v>
      </c>
      <c r="L210" s="1269">
        <v>0.43</v>
      </c>
      <c r="M210" s="1269">
        <v>0.37</v>
      </c>
      <c r="N210" s="1269">
        <v>0.43</v>
      </c>
      <c r="O210" s="1269">
        <v>0.57999999999999996</v>
      </c>
      <c r="P210" s="1269">
        <v>0.48</v>
      </c>
      <c r="Q210" s="1269">
        <v>0.37</v>
      </c>
      <c r="R210" s="1269">
        <v>0.37</v>
      </c>
      <c r="S210" s="1269">
        <v>0.46</v>
      </c>
      <c r="T210" s="1269">
        <v>0.62</v>
      </c>
      <c r="U210" s="1269">
        <v>0.2</v>
      </c>
      <c r="V210" s="1269">
        <v>0.12</v>
      </c>
      <c r="W210" s="1269">
        <v>0.04</v>
      </c>
      <c r="X210" s="1269">
        <v>0.04</v>
      </c>
      <c r="Y210" s="1269">
        <v>0</v>
      </c>
      <c r="Z210" s="1269">
        <v>0</v>
      </c>
      <c r="AA210" s="1263">
        <f>SUM(C210:Z210)</f>
        <v>5.5500000000000007</v>
      </c>
      <c r="AB210" s="1264">
        <f>AA210*SUM($C$9:$C$13)</f>
        <v>1387.5000000000002</v>
      </c>
      <c r="AE210" s="2140"/>
    </row>
    <row r="211" spans="2:31" s="395" customFormat="1" x14ac:dyDescent="0.25">
      <c r="B211" s="1490" t="s">
        <v>1149</v>
      </c>
      <c r="C211" s="1269">
        <v>0</v>
      </c>
      <c r="D211" s="1269">
        <v>0</v>
      </c>
      <c r="E211" s="1269">
        <v>0</v>
      </c>
      <c r="F211" s="1269">
        <v>0</v>
      </c>
      <c r="G211" s="1269">
        <v>0</v>
      </c>
      <c r="H211" s="1269">
        <v>0</v>
      </c>
      <c r="I211" s="1269">
        <v>0</v>
      </c>
      <c r="J211" s="1269">
        <v>0.16</v>
      </c>
      <c r="K211" s="1269">
        <v>0.14000000000000001</v>
      </c>
      <c r="L211" s="1269">
        <v>0.21</v>
      </c>
      <c r="M211" s="1269">
        <v>0.18</v>
      </c>
      <c r="N211" s="1269">
        <v>0.25</v>
      </c>
      <c r="O211" s="1269">
        <v>0.21</v>
      </c>
      <c r="P211" s="1269">
        <v>0.13</v>
      </c>
      <c r="Q211" s="1269">
        <v>0.08</v>
      </c>
      <c r="R211" s="1269">
        <v>0.04</v>
      </c>
      <c r="S211" s="1269">
        <v>0.05</v>
      </c>
      <c r="T211" s="1269">
        <v>0.06</v>
      </c>
      <c r="U211" s="1269">
        <v>0</v>
      </c>
      <c r="V211" s="1269">
        <v>0</v>
      </c>
      <c r="W211" s="1269">
        <v>0</v>
      </c>
      <c r="X211" s="1269">
        <v>0</v>
      </c>
      <c r="Y211" s="1269">
        <v>0</v>
      </c>
      <c r="Z211" s="1269">
        <v>0</v>
      </c>
      <c r="AA211" s="1263">
        <f>SUM(C211:Z211)</f>
        <v>1.51</v>
      </c>
      <c r="AB211" s="1264">
        <f>AA211*SUM($C$14)</f>
        <v>78.52</v>
      </c>
      <c r="AE211" s="2140"/>
    </row>
    <row r="212" spans="2:31" s="395" customFormat="1" x14ac:dyDescent="0.25">
      <c r="B212" s="1490" t="s">
        <v>1150</v>
      </c>
      <c r="C212" s="1269">
        <v>0</v>
      </c>
      <c r="D212" s="1269">
        <v>0</v>
      </c>
      <c r="E212" s="1269">
        <v>0</v>
      </c>
      <c r="F212" s="1269">
        <v>0</v>
      </c>
      <c r="G212" s="1269">
        <v>0</v>
      </c>
      <c r="H212" s="1269">
        <v>0</v>
      </c>
      <c r="I212" s="1269">
        <v>0</v>
      </c>
      <c r="J212" s="1269">
        <v>0</v>
      </c>
      <c r="K212" s="1269">
        <v>0</v>
      </c>
      <c r="L212" s="1269">
        <v>0</v>
      </c>
      <c r="M212" s="1269">
        <v>0</v>
      </c>
      <c r="N212" s="1269">
        <v>0</v>
      </c>
      <c r="O212" s="1269">
        <v>0</v>
      </c>
      <c r="P212" s="1269">
        <v>0</v>
      </c>
      <c r="Q212" s="1269">
        <v>0</v>
      </c>
      <c r="R212" s="1269">
        <v>0</v>
      </c>
      <c r="S212" s="1269">
        <v>0</v>
      </c>
      <c r="T212" s="1269">
        <v>0</v>
      </c>
      <c r="U212" s="1269">
        <v>0</v>
      </c>
      <c r="V212" s="1269">
        <v>0</v>
      </c>
      <c r="W212" s="1269">
        <v>0</v>
      </c>
      <c r="X212" s="1269">
        <v>0</v>
      </c>
      <c r="Y212" s="1269">
        <v>0</v>
      </c>
      <c r="Z212" s="1269">
        <v>0</v>
      </c>
      <c r="AA212" s="1263">
        <f>SUM(C212:Z212)</f>
        <v>0</v>
      </c>
      <c r="AB212" s="1264">
        <f>AA212*$C$15</f>
        <v>0</v>
      </c>
      <c r="AE212" s="2140"/>
    </row>
    <row r="213" spans="2:31" s="395" customFormat="1" x14ac:dyDescent="0.25">
      <c r="B213" s="1490" t="s">
        <v>1181</v>
      </c>
      <c r="C213" s="1269">
        <v>0</v>
      </c>
      <c r="D213" s="1269">
        <v>0</v>
      </c>
      <c r="E213" s="1269">
        <v>0</v>
      </c>
      <c r="F213" s="1269">
        <v>0</v>
      </c>
      <c r="G213" s="1269">
        <v>0</v>
      </c>
      <c r="H213" s="1269">
        <v>0</v>
      </c>
      <c r="I213" s="1269">
        <v>0</v>
      </c>
      <c r="J213" s="1269">
        <v>0</v>
      </c>
      <c r="K213" s="1269">
        <v>0</v>
      </c>
      <c r="L213" s="1269">
        <v>0</v>
      </c>
      <c r="M213" s="1269">
        <v>0</v>
      </c>
      <c r="N213" s="1269">
        <v>0</v>
      </c>
      <c r="O213" s="1269">
        <v>0</v>
      </c>
      <c r="P213" s="1269">
        <v>0</v>
      </c>
      <c r="Q213" s="1269">
        <v>0</v>
      </c>
      <c r="R213" s="1269">
        <v>0</v>
      </c>
      <c r="S213" s="1269">
        <v>0</v>
      </c>
      <c r="T213" s="1269">
        <v>0</v>
      </c>
      <c r="U213" s="1269">
        <v>0</v>
      </c>
      <c r="V213" s="1269">
        <v>0</v>
      </c>
      <c r="W213" s="1269">
        <v>0</v>
      </c>
      <c r="X213" s="1269">
        <v>0</v>
      </c>
      <c r="Y213" s="1269">
        <v>0</v>
      </c>
      <c r="Z213" s="1269">
        <v>0</v>
      </c>
      <c r="AA213" s="1263">
        <f>SUM(C213:Z213)</f>
        <v>0</v>
      </c>
      <c r="AB213" s="1264">
        <f>AA213*SUM($C$8)</f>
        <v>0</v>
      </c>
      <c r="AE213" s="2140"/>
    </row>
    <row r="214" spans="2:31" s="395" customFormat="1" x14ac:dyDescent="0.25">
      <c r="B214" s="3368" t="s">
        <v>1186</v>
      </c>
      <c r="C214" s="3368"/>
      <c r="D214" s="3368"/>
      <c r="E214" s="3368"/>
      <c r="F214" s="3368"/>
      <c r="G214" s="3368"/>
      <c r="H214" s="3368"/>
      <c r="I214" s="3368"/>
      <c r="J214" s="3368"/>
      <c r="K214" s="3368"/>
      <c r="L214" s="3368"/>
      <c r="M214" s="3368"/>
      <c r="N214" s="3368"/>
      <c r="O214" s="3368"/>
      <c r="P214" s="3368"/>
      <c r="Q214" s="3368"/>
      <c r="R214" s="3368"/>
      <c r="S214" s="3368"/>
      <c r="T214" s="3368"/>
      <c r="U214" s="3368"/>
      <c r="V214" s="3368"/>
      <c r="W214" s="3368"/>
      <c r="X214" s="3368"/>
      <c r="Y214" s="3368"/>
      <c r="Z214" s="3368"/>
      <c r="AA214" s="3368"/>
      <c r="AB214" s="1264">
        <f>SUM(AB210:AB213)</f>
        <v>1466.0200000000002</v>
      </c>
      <c r="AE214" s="2140"/>
    </row>
    <row r="215" spans="2:31" s="395" customFormat="1" x14ac:dyDescent="0.25">
      <c r="B215" s="661"/>
      <c r="C215" s="661"/>
      <c r="D215" s="661"/>
      <c r="E215" s="661"/>
      <c r="F215" s="661"/>
      <c r="G215" s="661"/>
      <c r="H215" s="661"/>
      <c r="I215" s="661"/>
      <c r="J215" s="661"/>
      <c r="K215" s="661"/>
      <c r="L215" s="661"/>
      <c r="M215" s="661"/>
      <c r="N215" s="661"/>
      <c r="O215" s="661"/>
      <c r="P215" s="661"/>
      <c r="Q215" s="661"/>
      <c r="R215" s="661"/>
      <c r="S215" s="661"/>
      <c r="T215" s="661"/>
      <c r="U215" s="661"/>
      <c r="V215" s="661"/>
      <c r="W215" s="661"/>
      <c r="X215" s="661"/>
      <c r="Y215" s="661"/>
      <c r="Z215" s="661"/>
      <c r="AA215" s="661"/>
      <c r="AB215" s="661"/>
      <c r="AE215" s="2140"/>
    </row>
    <row r="216" spans="2:31" s="395" customFormat="1" x14ac:dyDescent="0.25">
      <c r="B216" s="667" t="s">
        <v>1330</v>
      </c>
      <c r="C216" s="661"/>
      <c r="D216" s="661"/>
      <c r="E216" s="661"/>
      <c r="F216" s="661"/>
      <c r="G216" s="661"/>
      <c r="H216" s="661"/>
      <c r="I216" s="661"/>
      <c r="J216" s="661"/>
      <c r="K216" s="661"/>
      <c r="L216" s="661"/>
      <c r="M216" s="661"/>
      <c r="N216" s="661"/>
      <c r="O216" s="661"/>
      <c r="P216" s="661"/>
      <c r="Q216" s="661"/>
      <c r="R216" s="661"/>
      <c r="S216" s="661"/>
      <c r="T216" s="661"/>
      <c r="U216" s="661"/>
      <c r="V216" s="661"/>
      <c r="W216" s="661"/>
      <c r="X216" s="661"/>
      <c r="Y216" s="661"/>
      <c r="Z216" s="661"/>
      <c r="AA216" s="661"/>
      <c r="AB216" s="661"/>
      <c r="AE216" s="2140"/>
    </row>
    <row r="217" spans="2:31" s="395" customFormat="1" x14ac:dyDescent="0.25">
      <c r="B217" s="661"/>
      <c r="C217" s="661"/>
      <c r="D217" s="661"/>
      <c r="E217" s="661"/>
      <c r="F217" s="661"/>
      <c r="G217" s="661"/>
      <c r="H217" s="661"/>
      <c r="I217" s="661"/>
      <c r="J217" s="661"/>
      <c r="K217" s="661"/>
      <c r="L217" s="661"/>
      <c r="M217" s="661"/>
      <c r="N217" s="661"/>
      <c r="O217" s="661"/>
      <c r="P217" s="661"/>
      <c r="Q217" s="661"/>
      <c r="R217" s="661"/>
      <c r="S217" s="661"/>
      <c r="T217" s="661"/>
      <c r="U217" s="661"/>
      <c r="V217" s="661"/>
      <c r="W217" s="661"/>
      <c r="X217" s="661"/>
      <c r="Y217" s="661"/>
      <c r="Z217" s="661"/>
      <c r="AA217" s="661"/>
      <c r="AB217" s="661"/>
      <c r="AE217" s="2140"/>
    </row>
    <row r="218" spans="2:31" s="395" customFormat="1" ht="15" customHeight="1" x14ac:dyDescent="0.25">
      <c r="B218" s="661" t="s">
        <v>1152</v>
      </c>
      <c r="C218" s="3367" t="s">
        <v>1331</v>
      </c>
      <c r="D218" s="3367"/>
      <c r="E218" s="3367"/>
      <c r="F218" s="3367"/>
      <c r="G218" s="3367"/>
      <c r="H218" s="3367"/>
      <c r="I218" s="3367"/>
      <c r="J218" s="3367"/>
      <c r="K218" s="3367"/>
      <c r="L218" s="3367"/>
      <c r="M218" s="3367"/>
      <c r="N218" s="3367"/>
      <c r="O218" s="3367"/>
      <c r="P218" s="3367"/>
      <c r="Q218" s="3367"/>
      <c r="R218" s="3367"/>
      <c r="S218" s="3367"/>
      <c r="T218" s="3367"/>
      <c r="U218" s="3367"/>
      <c r="V218" s="3367"/>
      <c r="W218" s="3367"/>
      <c r="X218" s="3367"/>
      <c r="Y218" s="3367"/>
      <c r="Z218" s="3367"/>
      <c r="AA218" s="3367"/>
      <c r="AB218" s="3367"/>
      <c r="AE218" s="2140"/>
    </row>
    <row r="219" spans="2:31" s="395" customFormat="1" x14ac:dyDescent="0.25">
      <c r="B219" s="661"/>
      <c r="C219" s="661"/>
      <c r="D219" s="661"/>
      <c r="E219" s="661"/>
      <c r="F219" s="661"/>
      <c r="G219" s="661"/>
      <c r="H219" s="661"/>
      <c r="I219" s="661"/>
      <c r="J219" s="661"/>
      <c r="K219" s="661"/>
      <c r="L219" s="661"/>
      <c r="M219" s="661"/>
      <c r="N219" s="661"/>
      <c r="O219" s="661"/>
      <c r="P219" s="661"/>
      <c r="Q219" s="661"/>
      <c r="R219" s="661"/>
      <c r="S219" s="661"/>
      <c r="T219" s="661"/>
      <c r="U219" s="661"/>
      <c r="V219" s="661"/>
      <c r="W219" s="661"/>
      <c r="X219" s="661"/>
      <c r="Y219" s="661"/>
      <c r="Z219" s="661"/>
      <c r="AA219" s="661"/>
      <c r="AB219" s="661"/>
      <c r="AE219" s="2140"/>
    </row>
    <row r="220" spans="2:31" s="1608" customFormat="1" ht="21" customHeight="1" x14ac:dyDescent="0.25">
      <c r="B220" s="1356"/>
      <c r="C220" s="1357" t="s">
        <v>1153</v>
      </c>
      <c r="D220" s="1356" t="s">
        <v>1154</v>
      </c>
      <c r="E220" s="1356" t="s">
        <v>1155</v>
      </c>
      <c r="F220" s="1356" t="s">
        <v>1156</v>
      </c>
      <c r="G220" s="1356" t="s">
        <v>1157</v>
      </c>
      <c r="H220" s="1356" t="s">
        <v>1158</v>
      </c>
      <c r="I220" s="1356" t="s">
        <v>1159</v>
      </c>
      <c r="J220" s="1356" t="s">
        <v>1160</v>
      </c>
      <c r="K220" s="1356" t="s">
        <v>1161</v>
      </c>
      <c r="L220" s="1356" t="s">
        <v>1162</v>
      </c>
      <c r="M220" s="1356" t="s">
        <v>1163</v>
      </c>
      <c r="N220" s="1356" t="s">
        <v>1164</v>
      </c>
      <c r="O220" s="1356" t="s">
        <v>1165</v>
      </c>
      <c r="P220" s="1356" t="s">
        <v>1166</v>
      </c>
      <c r="Q220" s="1356" t="s">
        <v>1167</v>
      </c>
      <c r="R220" s="1356" t="s">
        <v>1168</v>
      </c>
      <c r="S220" s="1356" t="s">
        <v>1169</v>
      </c>
      <c r="T220" s="1356" t="s">
        <v>1170</v>
      </c>
      <c r="U220" s="1356" t="s">
        <v>1171</v>
      </c>
      <c r="V220" s="1356" t="s">
        <v>1172</v>
      </c>
      <c r="W220" s="1356" t="s">
        <v>1173</v>
      </c>
      <c r="X220" s="1356" t="s">
        <v>1174</v>
      </c>
      <c r="Y220" s="1356" t="s">
        <v>1175</v>
      </c>
      <c r="Z220" s="1356" t="s">
        <v>1176</v>
      </c>
      <c r="AA220" s="1356" t="s">
        <v>1177</v>
      </c>
      <c r="AB220" s="1356" t="s">
        <v>1178</v>
      </c>
      <c r="AE220" s="2140"/>
    </row>
    <row r="221" spans="2:31" s="395" customFormat="1" x14ac:dyDescent="0.25">
      <c r="B221" s="1490" t="s">
        <v>1179</v>
      </c>
      <c r="C221" s="1270">
        <v>0</v>
      </c>
      <c r="D221" s="1270">
        <v>0</v>
      </c>
      <c r="E221" s="1270">
        <v>0</v>
      </c>
      <c r="F221" s="1270">
        <v>0</v>
      </c>
      <c r="G221" s="1270">
        <v>0</v>
      </c>
      <c r="H221" s="1270">
        <v>0</v>
      </c>
      <c r="I221" s="1270">
        <v>0</v>
      </c>
      <c r="J221" s="1270">
        <v>1</v>
      </c>
      <c r="K221" s="1270">
        <v>1</v>
      </c>
      <c r="L221" s="1270">
        <v>1</v>
      </c>
      <c r="M221" s="1270">
        <v>1</v>
      </c>
      <c r="N221" s="1270">
        <v>1</v>
      </c>
      <c r="O221" s="1270">
        <v>1</v>
      </c>
      <c r="P221" s="1270">
        <v>1</v>
      </c>
      <c r="Q221" s="1270">
        <v>1</v>
      </c>
      <c r="R221" s="1270">
        <v>1</v>
      </c>
      <c r="S221" s="1270">
        <v>1</v>
      </c>
      <c r="T221" s="1270">
        <v>1</v>
      </c>
      <c r="U221" s="1270">
        <v>1</v>
      </c>
      <c r="V221" s="1270">
        <v>1</v>
      </c>
      <c r="W221" s="1270">
        <v>1</v>
      </c>
      <c r="X221" s="1270">
        <v>1</v>
      </c>
      <c r="Y221" s="1270">
        <v>0</v>
      </c>
      <c r="Z221" s="1270">
        <v>0</v>
      </c>
      <c r="AA221" s="1263">
        <f>SUM(C221:Z221)</f>
        <v>15</v>
      </c>
      <c r="AB221" s="1264">
        <f>AA221*SUM($C$9:$C$13)</f>
        <v>3750</v>
      </c>
      <c r="AE221" s="2140"/>
    </row>
    <row r="222" spans="2:31" s="395" customFormat="1" x14ac:dyDescent="0.25">
      <c r="B222" s="1490" t="s">
        <v>1149</v>
      </c>
      <c r="C222" s="1270">
        <v>0</v>
      </c>
      <c r="D222" s="1270">
        <v>0</v>
      </c>
      <c r="E222" s="1270">
        <v>0</v>
      </c>
      <c r="F222" s="1270">
        <v>0</v>
      </c>
      <c r="G222" s="1270">
        <v>0</v>
      </c>
      <c r="H222" s="1270">
        <v>0</v>
      </c>
      <c r="I222" s="1270">
        <v>0</v>
      </c>
      <c r="J222" s="1270">
        <v>0</v>
      </c>
      <c r="K222" s="1270">
        <v>1</v>
      </c>
      <c r="L222" s="1270">
        <v>1</v>
      </c>
      <c r="M222" s="1270">
        <v>1</v>
      </c>
      <c r="N222" s="1270">
        <v>1</v>
      </c>
      <c r="O222" s="1270">
        <v>1</v>
      </c>
      <c r="P222" s="1270">
        <v>0</v>
      </c>
      <c r="Q222" s="1270">
        <v>0</v>
      </c>
      <c r="R222" s="1270">
        <v>0</v>
      </c>
      <c r="S222" s="1270">
        <v>0</v>
      </c>
      <c r="T222" s="1270">
        <v>0</v>
      </c>
      <c r="U222" s="1270">
        <v>0</v>
      </c>
      <c r="V222" s="1270">
        <v>0</v>
      </c>
      <c r="W222" s="1270">
        <v>0</v>
      </c>
      <c r="X222" s="1270">
        <v>0</v>
      </c>
      <c r="Y222" s="1270">
        <v>0</v>
      </c>
      <c r="Z222" s="1270">
        <v>0</v>
      </c>
      <c r="AA222" s="1263">
        <f>SUM(C222:Z222)</f>
        <v>5</v>
      </c>
      <c r="AB222" s="1264">
        <f>AA222*SUM($C$14)</f>
        <v>260</v>
      </c>
      <c r="AE222" s="2140"/>
    </row>
    <row r="223" spans="2:31" s="395" customFormat="1" x14ac:dyDescent="0.25">
      <c r="B223" s="1490" t="s">
        <v>1150</v>
      </c>
      <c r="C223" s="1270">
        <v>0</v>
      </c>
      <c r="D223" s="1270">
        <v>0</v>
      </c>
      <c r="E223" s="1270">
        <v>0</v>
      </c>
      <c r="F223" s="1270">
        <v>0</v>
      </c>
      <c r="G223" s="1270">
        <v>0</v>
      </c>
      <c r="H223" s="1270">
        <v>0</v>
      </c>
      <c r="I223" s="1270">
        <v>0</v>
      </c>
      <c r="J223" s="1270">
        <v>0</v>
      </c>
      <c r="K223" s="1270">
        <v>0</v>
      </c>
      <c r="L223" s="1270">
        <v>0</v>
      </c>
      <c r="M223" s="1270">
        <v>0</v>
      </c>
      <c r="N223" s="1270">
        <v>0</v>
      </c>
      <c r="O223" s="1270">
        <v>0</v>
      </c>
      <c r="P223" s="1270">
        <v>0</v>
      </c>
      <c r="Q223" s="1270">
        <v>0</v>
      </c>
      <c r="R223" s="1270">
        <v>0</v>
      </c>
      <c r="S223" s="1270">
        <v>0</v>
      </c>
      <c r="T223" s="1270">
        <v>0</v>
      </c>
      <c r="U223" s="1270">
        <v>0</v>
      </c>
      <c r="V223" s="1270">
        <v>0</v>
      </c>
      <c r="W223" s="1270">
        <v>0</v>
      </c>
      <c r="X223" s="1270">
        <v>0</v>
      </c>
      <c r="Y223" s="1270">
        <v>0</v>
      </c>
      <c r="Z223" s="1270">
        <v>0</v>
      </c>
      <c r="AA223" s="1263">
        <f>SUM(C223:Z223)</f>
        <v>0</v>
      </c>
      <c r="AB223" s="1264">
        <f>AA223*$C$15</f>
        <v>0</v>
      </c>
      <c r="AE223" s="2140"/>
    </row>
    <row r="224" spans="2:31" s="395" customFormat="1" x14ac:dyDescent="0.25">
      <c r="B224" s="1490" t="s">
        <v>1181</v>
      </c>
      <c r="C224" s="1270">
        <v>0</v>
      </c>
      <c r="D224" s="1270">
        <v>0</v>
      </c>
      <c r="E224" s="1270">
        <v>0</v>
      </c>
      <c r="F224" s="1270">
        <v>0</v>
      </c>
      <c r="G224" s="1270">
        <v>0</v>
      </c>
      <c r="H224" s="1270">
        <v>0</v>
      </c>
      <c r="I224" s="1270">
        <v>0</v>
      </c>
      <c r="J224" s="1270">
        <v>0</v>
      </c>
      <c r="K224" s="1270">
        <v>0</v>
      </c>
      <c r="L224" s="1270">
        <v>0</v>
      </c>
      <c r="M224" s="1270">
        <v>0</v>
      </c>
      <c r="N224" s="1270">
        <v>0</v>
      </c>
      <c r="O224" s="1270">
        <v>0</v>
      </c>
      <c r="P224" s="1270">
        <v>0</v>
      </c>
      <c r="Q224" s="1270">
        <v>0</v>
      </c>
      <c r="R224" s="1270">
        <v>0</v>
      </c>
      <c r="S224" s="1270">
        <v>0</v>
      </c>
      <c r="T224" s="1270">
        <v>0</v>
      </c>
      <c r="U224" s="1270">
        <v>0</v>
      </c>
      <c r="V224" s="1270">
        <v>0</v>
      </c>
      <c r="W224" s="1270">
        <v>0</v>
      </c>
      <c r="X224" s="1270">
        <v>0</v>
      </c>
      <c r="Y224" s="1270">
        <v>0</v>
      </c>
      <c r="Z224" s="1270">
        <v>0</v>
      </c>
      <c r="AA224" s="1263">
        <f>SUM(C224:Z224)</f>
        <v>0</v>
      </c>
      <c r="AB224" s="1264">
        <f>AA224*SUM($C$8)</f>
        <v>0</v>
      </c>
      <c r="AE224" s="2140"/>
    </row>
    <row r="225" spans="2:31" s="395" customFormat="1" x14ac:dyDescent="0.25">
      <c r="B225" s="3368" t="s">
        <v>1182</v>
      </c>
      <c r="C225" s="3368"/>
      <c r="D225" s="3368"/>
      <c r="E225" s="3368"/>
      <c r="F225" s="3368"/>
      <c r="G225" s="3368"/>
      <c r="H225" s="3368"/>
      <c r="I225" s="3368"/>
      <c r="J225" s="3368"/>
      <c r="K225" s="3368"/>
      <c r="L225" s="3368"/>
      <c r="M225" s="3368"/>
      <c r="N225" s="3368"/>
      <c r="O225" s="3368"/>
      <c r="P225" s="3368"/>
      <c r="Q225" s="3368"/>
      <c r="R225" s="3368"/>
      <c r="S225" s="3368"/>
      <c r="T225" s="3368"/>
      <c r="U225" s="3368"/>
      <c r="V225" s="3368"/>
      <c r="W225" s="3368"/>
      <c r="X225" s="3368"/>
      <c r="Y225" s="3368"/>
      <c r="Z225" s="3368"/>
      <c r="AA225" s="3368"/>
      <c r="AB225" s="1264">
        <f>SUM(AB221:AB224)</f>
        <v>4010</v>
      </c>
      <c r="AE225" s="2140"/>
    </row>
    <row r="226" spans="2:31" s="395" customFormat="1" x14ac:dyDescent="0.25">
      <c r="B226" s="661"/>
      <c r="C226" s="661"/>
      <c r="D226" s="661"/>
      <c r="E226" s="661"/>
      <c r="F226" s="661"/>
      <c r="G226" s="661"/>
      <c r="H226" s="661"/>
      <c r="I226" s="661"/>
      <c r="J226" s="661"/>
      <c r="K226" s="661"/>
      <c r="L226" s="661"/>
      <c r="M226" s="661"/>
      <c r="N226" s="661"/>
      <c r="O226" s="661"/>
      <c r="P226" s="661"/>
      <c r="Q226" s="661"/>
      <c r="R226" s="661"/>
      <c r="S226" s="661"/>
      <c r="T226" s="661"/>
      <c r="U226" s="661"/>
      <c r="V226" s="661"/>
      <c r="W226" s="661"/>
      <c r="X226" s="661"/>
      <c r="Y226" s="661"/>
      <c r="Z226" s="661"/>
      <c r="AA226" s="661"/>
      <c r="AB226" s="661"/>
      <c r="AE226" s="2140"/>
    </row>
    <row r="227" spans="2:31" s="395" customFormat="1" ht="15" customHeight="1" x14ac:dyDescent="0.25">
      <c r="B227" s="661" t="s">
        <v>1152</v>
      </c>
      <c r="C227" s="3367" t="s">
        <v>1332</v>
      </c>
      <c r="D227" s="3367"/>
      <c r="E227" s="3367"/>
      <c r="F227" s="3367"/>
      <c r="G227" s="3367"/>
      <c r="H227" s="3367"/>
      <c r="I227" s="3367"/>
      <c r="J227" s="3367"/>
      <c r="K227" s="3367"/>
      <c r="L227" s="3367"/>
      <c r="M227" s="3367"/>
      <c r="N227" s="3367"/>
      <c r="O227" s="3367"/>
      <c r="P227" s="3367"/>
      <c r="Q227" s="3367"/>
      <c r="R227" s="3367"/>
      <c r="S227" s="3367"/>
      <c r="T227" s="3367"/>
      <c r="U227" s="3367"/>
      <c r="V227" s="3367"/>
      <c r="W227" s="3367"/>
      <c r="X227" s="3367"/>
      <c r="Y227" s="3367"/>
      <c r="Z227" s="3367"/>
      <c r="AA227" s="3367"/>
      <c r="AB227" s="3367"/>
      <c r="AE227" s="2140"/>
    </row>
    <row r="228" spans="2:31" s="395" customFormat="1" x14ac:dyDescent="0.25">
      <c r="B228" s="661"/>
      <c r="C228" s="661"/>
      <c r="D228" s="661"/>
      <c r="E228" s="661"/>
      <c r="F228" s="661"/>
      <c r="G228" s="661"/>
      <c r="H228" s="661"/>
      <c r="I228" s="661"/>
      <c r="J228" s="661"/>
      <c r="K228" s="661"/>
      <c r="L228" s="661"/>
      <c r="M228" s="661"/>
      <c r="N228" s="661"/>
      <c r="O228" s="661"/>
      <c r="P228" s="661"/>
      <c r="Q228" s="661"/>
      <c r="R228" s="661"/>
      <c r="S228" s="661"/>
      <c r="T228" s="661"/>
      <c r="U228" s="661"/>
      <c r="V228" s="661"/>
      <c r="W228" s="661"/>
      <c r="X228" s="661"/>
      <c r="Y228" s="661"/>
      <c r="Z228" s="661"/>
      <c r="AA228" s="661"/>
      <c r="AB228" s="661"/>
      <c r="AE228" s="2140"/>
    </row>
    <row r="229" spans="2:31" s="1608" customFormat="1" ht="21" customHeight="1" x14ac:dyDescent="0.25">
      <c r="B229" s="1356"/>
      <c r="C229" s="1357" t="s">
        <v>1153</v>
      </c>
      <c r="D229" s="1356" t="s">
        <v>1154</v>
      </c>
      <c r="E229" s="1356" t="s">
        <v>1155</v>
      </c>
      <c r="F229" s="1356" t="s">
        <v>1156</v>
      </c>
      <c r="G229" s="1356" t="s">
        <v>1157</v>
      </c>
      <c r="H229" s="1356" t="s">
        <v>1158</v>
      </c>
      <c r="I229" s="1356" t="s">
        <v>1159</v>
      </c>
      <c r="J229" s="1356" t="s">
        <v>1160</v>
      </c>
      <c r="K229" s="1356" t="s">
        <v>1161</v>
      </c>
      <c r="L229" s="1356" t="s">
        <v>1162</v>
      </c>
      <c r="M229" s="1356" t="s">
        <v>1163</v>
      </c>
      <c r="N229" s="1356" t="s">
        <v>1164</v>
      </c>
      <c r="O229" s="1356" t="s">
        <v>1165</v>
      </c>
      <c r="P229" s="1356" t="s">
        <v>1166</v>
      </c>
      <c r="Q229" s="1356" t="s">
        <v>1167</v>
      </c>
      <c r="R229" s="1356" t="s">
        <v>1168</v>
      </c>
      <c r="S229" s="1356" t="s">
        <v>1169</v>
      </c>
      <c r="T229" s="1356" t="s">
        <v>1170</v>
      </c>
      <c r="U229" s="1356" t="s">
        <v>1171</v>
      </c>
      <c r="V229" s="1356" t="s">
        <v>1172</v>
      </c>
      <c r="W229" s="1356" t="s">
        <v>1173</v>
      </c>
      <c r="X229" s="1356" t="s">
        <v>1174</v>
      </c>
      <c r="Y229" s="1356" t="s">
        <v>1175</v>
      </c>
      <c r="Z229" s="1356" t="s">
        <v>1176</v>
      </c>
      <c r="AA229" s="1356" t="s">
        <v>1184</v>
      </c>
      <c r="AB229" s="1356" t="s">
        <v>1185</v>
      </c>
      <c r="AE229" s="2140"/>
    </row>
    <row r="230" spans="2:31" s="395" customFormat="1" x14ac:dyDescent="0.25">
      <c r="B230" s="1490" t="s">
        <v>1179</v>
      </c>
      <c r="C230" s="1269">
        <v>0</v>
      </c>
      <c r="D230" s="1269">
        <v>0</v>
      </c>
      <c r="E230" s="1269">
        <v>0</v>
      </c>
      <c r="F230" s="1269">
        <v>0</v>
      </c>
      <c r="G230" s="1269">
        <v>0</v>
      </c>
      <c r="H230" s="1269">
        <v>0</v>
      </c>
      <c r="I230" s="1269">
        <v>0</v>
      </c>
      <c r="J230" s="1269">
        <v>0.05</v>
      </c>
      <c r="K230" s="1269">
        <v>0.75</v>
      </c>
      <c r="L230" s="1269">
        <v>0.9</v>
      </c>
      <c r="M230" s="1269">
        <v>0.9</v>
      </c>
      <c r="N230" s="1269">
        <v>0.8</v>
      </c>
      <c r="O230" s="1269">
        <v>0.8</v>
      </c>
      <c r="P230" s="1269">
        <v>0.8</v>
      </c>
      <c r="Q230" s="1269">
        <v>0.8</v>
      </c>
      <c r="R230" s="1269">
        <v>0.45</v>
      </c>
      <c r="S230" s="1269">
        <v>0.15</v>
      </c>
      <c r="T230" s="1269">
        <v>0.05</v>
      </c>
      <c r="U230" s="1269">
        <v>0.15</v>
      </c>
      <c r="V230" s="1269">
        <v>0.2</v>
      </c>
      <c r="W230" s="1269">
        <v>0.2</v>
      </c>
      <c r="X230" s="1269">
        <v>0.1</v>
      </c>
      <c r="Y230" s="1269">
        <v>0</v>
      </c>
      <c r="Z230" s="1269">
        <v>0</v>
      </c>
      <c r="AA230" s="1263">
        <f>SUM(C230:Z230)</f>
        <v>7.1000000000000005</v>
      </c>
      <c r="AB230" s="1264">
        <f>AA230*SUM($C$9:$C$13)</f>
        <v>1775.0000000000002</v>
      </c>
      <c r="AE230" s="2140"/>
    </row>
    <row r="231" spans="2:31" s="395" customFormat="1" x14ac:dyDescent="0.25">
      <c r="B231" s="1490" t="s">
        <v>1149</v>
      </c>
      <c r="C231" s="1269">
        <v>0</v>
      </c>
      <c r="D231" s="1269">
        <v>0</v>
      </c>
      <c r="E231" s="1269">
        <v>0</v>
      </c>
      <c r="F231" s="1269">
        <v>0</v>
      </c>
      <c r="G231" s="1269">
        <v>0</v>
      </c>
      <c r="H231" s="1269">
        <v>0</v>
      </c>
      <c r="I231" s="1269">
        <v>0</v>
      </c>
      <c r="J231" s="1269">
        <v>0</v>
      </c>
      <c r="K231" s="1269">
        <v>0.1</v>
      </c>
      <c r="L231" s="1269">
        <v>0.1</v>
      </c>
      <c r="M231" s="1269">
        <v>0.1</v>
      </c>
      <c r="N231" s="1269">
        <v>0.1</v>
      </c>
      <c r="O231" s="1269">
        <v>0.1</v>
      </c>
      <c r="P231" s="1269">
        <v>0</v>
      </c>
      <c r="Q231" s="1269">
        <v>0</v>
      </c>
      <c r="R231" s="1269">
        <v>0</v>
      </c>
      <c r="S231" s="1269">
        <v>0</v>
      </c>
      <c r="T231" s="1269">
        <v>0</v>
      </c>
      <c r="U231" s="1269">
        <v>0</v>
      </c>
      <c r="V231" s="1269">
        <v>0</v>
      </c>
      <c r="W231" s="1269">
        <v>0</v>
      </c>
      <c r="X231" s="1269">
        <v>0</v>
      </c>
      <c r="Y231" s="1269">
        <v>0</v>
      </c>
      <c r="Z231" s="1269">
        <v>0</v>
      </c>
      <c r="AA231" s="1263">
        <f>SUM(C231:Z231)</f>
        <v>0.5</v>
      </c>
      <c r="AB231" s="1264">
        <f>AA231*SUM($C$14)</f>
        <v>26</v>
      </c>
      <c r="AE231" s="2140"/>
    </row>
    <row r="232" spans="2:31" s="395" customFormat="1" x14ac:dyDescent="0.25">
      <c r="B232" s="1490" t="s">
        <v>1150</v>
      </c>
      <c r="C232" s="1269">
        <v>0</v>
      </c>
      <c r="D232" s="1269">
        <v>0</v>
      </c>
      <c r="E232" s="1269">
        <v>0</v>
      </c>
      <c r="F232" s="1269">
        <v>0</v>
      </c>
      <c r="G232" s="1269">
        <v>0</v>
      </c>
      <c r="H232" s="1269">
        <v>0</v>
      </c>
      <c r="I232" s="1269">
        <v>0</v>
      </c>
      <c r="J232" s="1269">
        <v>0</v>
      </c>
      <c r="K232" s="1269">
        <v>0</v>
      </c>
      <c r="L232" s="1269">
        <v>0</v>
      </c>
      <c r="M232" s="1269">
        <v>0</v>
      </c>
      <c r="N232" s="1269">
        <v>0</v>
      </c>
      <c r="O232" s="1269">
        <v>0</v>
      </c>
      <c r="P232" s="1269">
        <v>0</v>
      </c>
      <c r="Q232" s="1269">
        <v>0</v>
      </c>
      <c r="R232" s="1269">
        <v>0</v>
      </c>
      <c r="S232" s="1269">
        <v>0</v>
      </c>
      <c r="T232" s="1269">
        <v>0</v>
      </c>
      <c r="U232" s="1269">
        <v>0</v>
      </c>
      <c r="V232" s="1269">
        <v>0</v>
      </c>
      <c r="W232" s="1269">
        <v>0</v>
      </c>
      <c r="X232" s="1269">
        <v>0</v>
      </c>
      <c r="Y232" s="1269">
        <v>0</v>
      </c>
      <c r="Z232" s="1269">
        <v>0</v>
      </c>
      <c r="AA232" s="1263">
        <f>SUM(C232:Z232)</f>
        <v>0</v>
      </c>
      <c r="AB232" s="1264">
        <f>AA232*$C$15</f>
        <v>0</v>
      </c>
      <c r="AE232" s="2140"/>
    </row>
    <row r="233" spans="2:31" s="395" customFormat="1" x14ac:dyDescent="0.25">
      <c r="B233" s="1490" t="s">
        <v>1181</v>
      </c>
      <c r="C233" s="1269">
        <v>0</v>
      </c>
      <c r="D233" s="1269">
        <v>0</v>
      </c>
      <c r="E233" s="1269">
        <v>0</v>
      </c>
      <c r="F233" s="1269">
        <v>0</v>
      </c>
      <c r="G233" s="1269">
        <v>0</v>
      </c>
      <c r="H233" s="1269">
        <v>0</v>
      </c>
      <c r="I233" s="1269">
        <v>0</v>
      </c>
      <c r="J233" s="1269">
        <v>0</v>
      </c>
      <c r="K233" s="1269">
        <v>0</v>
      </c>
      <c r="L233" s="1269">
        <v>0</v>
      </c>
      <c r="M233" s="1269">
        <v>0</v>
      </c>
      <c r="N233" s="1269">
        <v>0</v>
      </c>
      <c r="O233" s="1269">
        <v>0</v>
      </c>
      <c r="P233" s="1269">
        <v>0</v>
      </c>
      <c r="Q233" s="1269">
        <v>0</v>
      </c>
      <c r="R233" s="1269">
        <v>0</v>
      </c>
      <c r="S233" s="1269">
        <v>0</v>
      </c>
      <c r="T233" s="1269">
        <v>0</v>
      </c>
      <c r="U233" s="1269">
        <v>0</v>
      </c>
      <c r="V233" s="1269">
        <v>0</v>
      </c>
      <c r="W233" s="1269">
        <v>0</v>
      </c>
      <c r="X233" s="1269">
        <v>0</v>
      </c>
      <c r="Y233" s="1269">
        <v>0</v>
      </c>
      <c r="Z233" s="1269">
        <v>0</v>
      </c>
      <c r="AA233" s="1263">
        <f>SUM(C233:Z233)</f>
        <v>0</v>
      </c>
      <c r="AB233" s="1264">
        <f>AA233*SUM($C$8)</f>
        <v>0</v>
      </c>
      <c r="AE233" s="2140"/>
    </row>
    <row r="234" spans="2:31" s="395" customFormat="1" x14ac:dyDescent="0.25">
      <c r="B234" s="3368" t="s">
        <v>1186</v>
      </c>
      <c r="C234" s="3368"/>
      <c r="D234" s="3368"/>
      <c r="E234" s="3368"/>
      <c r="F234" s="3368"/>
      <c r="G234" s="3368"/>
      <c r="H234" s="3368"/>
      <c r="I234" s="3368"/>
      <c r="J234" s="3368"/>
      <c r="K234" s="3368"/>
      <c r="L234" s="3368"/>
      <c r="M234" s="3368"/>
      <c r="N234" s="3368"/>
      <c r="O234" s="3368"/>
      <c r="P234" s="3368"/>
      <c r="Q234" s="3368"/>
      <c r="R234" s="3368"/>
      <c r="S234" s="3368"/>
      <c r="T234" s="3368"/>
      <c r="U234" s="3368"/>
      <c r="V234" s="3368"/>
      <c r="W234" s="3368"/>
      <c r="X234" s="3368"/>
      <c r="Y234" s="3368"/>
      <c r="Z234" s="3368"/>
      <c r="AA234" s="3368"/>
      <c r="AB234" s="1264">
        <f>SUM(AB230:AB233)</f>
        <v>1801.0000000000002</v>
      </c>
      <c r="AE234" s="2140"/>
    </row>
    <row r="235" spans="2:31" s="395" customFormat="1" x14ac:dyDescent="0.25">
      <c r="B235" s="661"/>
      <c r="C235" s="661"/>
      <c r="D235" s="661"/>
      <c r="E235" s="661"/>
      <c r="F235" s="661"/>
      <c r="G235" s="661"/>
      <c r="H235" s="661"/>
      <c r="I235" s="661"/>
      <c r="J235" s="661"/>
      <c r="K235" s="661"/>
      <c r="L235" s="661"/>
      <c r="M235" s="661"/>
      <c r="N235" s="661"/>
      <c r="O235" s="661"/>
      <c r="P235" s="661"/>
      <c r="Q235" s="661"/>
      <c r="R235" s="661"/>
      <c r="S235" s="661"/>
      <c r="T235" s="661"/>
      <c r="U235" s="661"/>
      <c r="V235" s="661"/>
      <c r="W235" s="661"/>
      <c r="X235" s="661"/>
      <c r="Y235" s="661"/>
      <c r="Z235" s="661"/>
      <c r="AA235" s="661"/>
      <c r="AB235" s="661"/>
      <c r="AE235" s="2140"/>
    </row>
    <row r="236" spans="2:31" s="395" customFormat="1" ht="15" customHeight="1" x14ac:dyDescent="0.25">
      <c r="B236" s="661" t="s">
        <v>1152</v>
      </c>
      <c r="C236" s="3367" t="s">
        <v>1333</v>
      </c>
      <c r="D236" s="3367"/>
      <c r="E236" s="3367"/>
      <c r="F236" s="3367"/>
      <c r="G236" s="3367"/>
      <c r="H236" s="3367"/>
      <c r="I236" s="3367"/>
      <c r="J236" s="3367"/>
      <c r="K236" s="3367"/>
      <c r="L236" s="3367"/>
      <c r="M236" s="3367"/>
      <c r="N236" s="3367"/>
      <c r="O236" s="3367"/>
      <c r="P236" s="3367"/>
      <c r="Q236" s="3367"/>
      <c r="R236" s="3367"/>
      <c r="S236" s="3367"/>
      <c r="T236" s="3367"/>
      <c r="U236" s="3367"/>
      <c r="V236" s="3367"/>
      <c r="W236" s="3367"/>
      <c r="X236" s="3367"/>
      <c r="Y236" s="3367"/>
      <c r="Z236" s="3367"/>
      <c r="AA236" s="3367"/>
      <c r="AB236" s="3367"/>
      <c r="AE236" s="2140"/>
    </row>
    <row r="237" spans="2:31" s="395" customFormat="1" x14ac:dyDescent="0.25">
      <c r="B237" s="661"/>
      <c r="C237" s="661"/>
      <c r="D237" s="661"/>
      <c r="E237" s="661"/>
      <c r="F237" s="661"/>
      <c r="G237" s="661"/>
      <c r="H237" s="661"/>
      <c r="I237" s="661"/>
      <c r="J237" s="661"/>
      <c r="K237" s="661"/>
      <c r="L237" s="661"/>
      <c r="M237" s="661"/>
      <c r="N237" s="661"/>
      <c r="O237" s="661"/>
      <c r="P237" s="661"/>
      <c r="Q237" s="661"/>
      <c r="R237" s="661"/>
      <c r="S237" s="661"/>
      <c r="T237" s="661"/>
      <c r="U237" s="661"/>
      <c r="V237" s="661"/>
      <c r="W237" s="661"/>
      <c r="X237" s="661"/>
      <c r="Y237" s="661"/>
      <c r="Z237" s="661"/>
      <c r="AA237" s="661"/>
      <c r="AB237" s="661"/>
      <c r="AE237" s="2140"/>
    </row>
    <row r="238" spans="2:31" s="1608" customFormat="1" ht="21" customHeight="1" x14ac:dyDescent="0.25">
      <c r="B238" s="1356"/>
      <c r="C238" s="1357" t="s">
        <v>1153</v>
      </c>
      <c r="D238" s="1356" t="s">
        <v>1154</v>
      </c>
      <c r="E238" s="1356" t="s">
        <v>1155</v>
      </c>
      <c r="F238" s="1356" t="s">
        <v>1156</v>
      </c>
      <c r="G238" s="1356" t="s">
        <v>1157</v>
      </c>
      <c r="H238" s="1356" t="s">
        <v>1158</v>
      </c>
      <c r="I238" s="1356" t="s">
        <v>1159</v>
      </c>
      <c r="J238" s="1356" t="s">
        <v>1160</v>
      </c>
      <c r="K238" s="1356" t="s">
        <v>1161</v>
      </c>
      <c r="L238" s="1356" t="s">
        <v>1162</v>
      </c>
      <c r="M238" s="1356" t="s">
        <v>1163</v>
      </c>
      <c r="N238" s="1356" t="s">
        <v>1164</v>
      </c>
      <c r="O238" s="1356" t="s">
        <v>1165</v>
      </c>
      <c r="P238" s="1356" t="s">
        <v>1166</v>
      </c>
      <c r="Q238" s="1356" t="s">
        <v>1167</v>
      </c>
      <c r="R238" s="1356" t="s">
        <v>1168</v>
      </c>
      <c r="S238" s="1356" t="s">
        <v>1169</v>
      </c>
      <c r="T238" s="1356" t="s">
        <v>1170</v>
      </c>
      <c r="U238" s="1356" t="s">
        <v>1171</v>
      </c>
      <c r="V238" s="1356" t="s">
        <v>1172</v>
      </c>
      <c r="W238" s="1356" t="s">
        <v>1173</v>
      </c>
      <c r="X238" s="1356" t="s">
        <v>1174</v>
      </c>
      <c r="Y238" s="1356" t="s">
        <v>1175</v>
      </c>
      <c r="Z238" s="1356" t="s">
        <v>1176</v>
      </c>
      <c r="AA238" s="1356" t="s">
        <v>1184</v>
      </c>
      <c r="AB238" s="1356" t="s">
        <v>1185</v>
      </c>
      <c r="AE238" s="2140"/>
    </row>
    <row r="239" spans="2:31" s="395" customFormat="1" x14ac:dyDescent="0.25">
      <c r="B239" s="1490" t="s">
        <v>1179</v>
      </c>
      <c r="C239" s="1269">
        <v>0.05</v>
      </c>
      <c r="D239" s="1269">
        <v>0.05</v>
      </c>
      <c r="E239" s="1269">
        <v>0.05</v>
      </c>
      <c r="F239" s="1269">
        <v>0.05</v>
      </c>
      <c r="G239" s="1269">
        <v>0.05</v>
      </c>
      <c r="H239" s="1269">
        <v>0.05</v>
      </c>
      <c r="I239" s="1269">
        <v>0.05</v>
      </c>
      <c r="J239" s="1269">
        <v>0.3</v>
      </c>
      <c r="K239" s="1269">
        <v>0.6</v>
      </c>
      <c r="L239" s="1269">
        <v>0.65</v>
      </c>
      <c r="M239" s="1269">
        <v>0.65</v>
      </c>
      <c r="N239" s="1269">
        <v>0.65</v>
      </c>
      <c r="O239" s="1269">
        <v>0.55000000000000004</v>
      </c>
      <c r="P239" s="1269">
        <v>0.55000000000000004</v>
      </c>
      <c r="Q239" s="1269">
        <v>0.55000000000000004</v>
      </c>
      <c r="R239" s="1269">
        <v>0.5</v>
      </c>
      <c r="S239" s="1269">
        <v>0.35</v>
      </c>
      <c r="T239" s="1269">
        <v>0.35</v>
      </c>
      <c r="U239" s="1269">
        <v>0.35</v>
      </c>
      <c r="V239" s="1269">
        <v>0.35</v>
      </c>
      <c r="W239" s="1269">
        <v>0.35</v>
      </c>
      <c r="X239" s="1269">
        <v>0.3</v>
      </c>
      <c r="Y239" s="1269">
        <v>0.05</v>
      </c>
      <c r="Z239" s="1269">
        <v>0.05</v>
      </c>
      <c r="AA239" s="1263">
        <f>SUM(C239:Z239)</f>
        <v>7.4999999999999973</v>
      </c>
      <c r="AB239" s="1264">
        <f>AA239*SUM($C$9:$C$13)</f>
        <v>1874.9999999999993</v>
      </c>
      <c r="AE239" s="2140"/>
    </row>
    <row r="240" spans="2:31" s="395" customFormat="1" x14ac:dyDescent="0.25">
      <c r="B240" s="1490" t="s">
        <v>1149</v>
      </c>
      <c r="C240" s="1269">
        <v>0.05</v>
      </c>
      <c r="D240" s="1269">
        <v>0.05</v>
      </c>
      <c r="E240" s="1269">
        <v>0.05</v>
      </c>
      <c r="F240" s="1269">
        <v>0.05</v>
      </c>
      <c r="G240" s="1269">
        <v>0.05</v>
      </c>
      <c r="H240" s="1269">
        <v>0.05</v>
      </c>
      <c r="I240" s="1269">
        <v>0.05</v>
      </c>
      <c r="J240" s="1269">
        <v>0.05</v>
      </c>
      <c r="K240" s="1269">
        <v>0.15</v>
      </c>
      <c r="L240" s="1269">
        <v>0.15</v>
      </c>
      <c r="M240" s="1269">
        <v>0.15</v>
      </c>
      <c r="N240" s="1269">
        <v>0.15</v>
      </c>
      <c r="O240" s="1269">
        <v>0.15</v>
      </c>
      <c r="P240" s="1269">
        <v>0.05</v>
      </c>
      <c r="Q240" s="1269">
        <v>0.05</v>
      </c>
      <c r="R240" s="1269">
        <v>0.05</v>
      </c>
      <c r="S240" s="1269">
        <v>0.05</v>
      </c>
      <c r="T240" s="1269">
        <v>0.05</v>
      </c>
      <c r="U240" s="1269">
        <v>0.05</v>
      </c>
      <c r="V240" s="1269">
        <v>0.05</v>
      </c>
      <c r="W240" s="1269">
        <v>0.05</v>
      </c>
      <c r="X240" s="1269">
        <v>0.05</v>
      </c>
      <c r="Y240" s="1269">
        <v>0.05</v>
      </c>
      <c r="Z240" s="1269">
        <v>0.05</v>
      </c>
      <c r="AA240" s="1263">
        <f>SUM(C240:Z240)</f>
        <v>1.7000000000000004</v>
      </c>
      <c r="AB240" s="1264">
        <f>AA240*SUM($C$14)</f>
        <v>88.40000000000002</v>
      </c>
      <c r="AE240" s="2140"/>
    </row>
    <row r="241" spans="2:31" s="395" customFormat="1" x14ac:dyDescent="0.25">
      <c r="B241" s="1490" t="s">
        <v>1150</v>
      </c>
      <c r="C241" s="1269">
        <v>0.05</v>
      </c>
      <c r="D241" s="1269">
        <v>0.05</v>
      </c>
      <c r="E241" s="1269">
        <v>0.05</v>
      </c>
      <c r="F241" s="1269">
        <v>0.05</v>
      </c>
      <c r="G241" s="1269">
        <v>0.05</v>
      </c>
      <c r="H241" s="1269">
        <v>0.05</v>
      </c>
      <c r="I241" s="1269">
        <v>0.05</v>
      </c>
      <c r="J241" s="1269">
        <v>0.05</v>
      </c>
      <c r="K241" s="1269">
        <v>0.05</v>
      </c>
      <c r="L241" s="1269">
        <v>0.05</v>
      </c>
      <c r="M241" s="1269">
        <v>0.05</v>
      </c>
      <c r="N241" s="1269">
        <v>0.05</v>
      </c>
      <c r="O241" s="1269">
        <v>0.05</v>
      </c>
      <c r="P241" s="1269">
        <v>0.05</v>
      </c>
      <c r="Q241" s="1269">
        <v>0.05</v>
      </c>
      <c r="R241" s="1269">
        <v>0.05</v>
      </c>
      <c r="S241" s="1269">
        <v>0.05</v>
      </c>
      <c r="T241" s="1269">
        <v>0.05</v>
      </c>
      <c r="U241" s="1269">
        <v>0.05</v>
      </c>
      <c r="V241" s="1269">
        <v>0.05</v>
      </c>
      <c r="W241" s="1269">
        <v>0.05</v>
      </c>
      <c r="X241" s="1269">
        <v>0.05</v>
      </c>
      <c r="Y241" s="1269">
        <v>0.05</v>
      </c>
      <c r="Z241" s="1269">
        <v>0.05</v>
      </c>
      <c r="AA241" s="1263">
        <f>SUM(C241:Z241)</f>
        <v>1.2000000000000004</v>
      </c>
      <c r="AB241" s="1264">
        <f>AA241*$C$15</f>
        <v>62.40000000000002</v>
      </c>
      <c r="AE241" s="2140"/>
    </row>
    <row r="242" spans="2:31" s="395" customFormat="1" x14ac:dyDescent="0.25">
      <c r="B242" s="1490" t="s">
        <v>1181</v>
      </c>
      <c r="C242" s="1269">
        <v>0.05</v>
      </c>
      <c r="D242" s="1269">
        <v>0.05</v>
      </c>
      <c r="E242" s="1269">
        <v>0.05</v>
      </c>
      <c r="F242" s="1269">
        <v>0.05</v>
      </c>
      <c r="G242" s="1269">
        <v>0.05</v>
      </c>
      <c r="H242" s="1269">
        <v>0.05</v>
      </c>
      <c r="I242" s="1269">
        <v>0.05</v>
      </c>
      <c r="J242" s="1269">
        <v>0.05</v>
      </c>
      <c r="K242" s="1269">
        <v>0.05</v>
      </c>
      <c r="L242" s="1269">
        <v>0.05</v>
      </c>
      <c r="M242" s="1269">
        <v>0.05</v>
      </c>
      <c r="N242" s="1269">
        <v>0.05</v>
      </c>
      <c r="O242" s="1269">
        <v>0.05</v>
      </c>
      <c r="P242" s="1269">
        <v>0.05</v>
      </c>
      <c r="Q242" s="1269">
        <v>0.05</v>
      </c>
      <c r="R242" s="1269">
        <v>0.05</v>
      </c>
      <c r="S242" s="1269">
        <v>0.05</v>
      </c>
      <c r="T242" s="1269">
        <v>0.05</v>
      </c>
      <c r="U242" s="1269">
        <v>0.05</v>
      </c>
      <c r="V242" s="1269">
        <v>0.05</v>
      </c>
      <c r="W242" s="1269">
        <v>0.05</v>
      </c>
      <c r="X242" s="1269">
        <v>0.05</v>
      </c>
      <c r="Y242" s="1269">
        <v>0.05</v>
      </c>
      <c r="Z242" s="1269">
        <v>0.05</v>
      </c>
      <c r="AA242" s="1263">
        <f>SUM(C242:Z242)</f>
        <v>1.2000000000000004</v>
      </c>
      <c r="AB242" s="1264">
        <f>AA242*SUM($C$8)</f>
        <v>13.200000000000005</v>
      </c>
      <c r="AE242" s="2140"/>
    </row>
    <row r="243" spans="2:31" s="395" customFormat="1" x14ac:dyDescent="0.25">
      <c r="B243" s="3368" t="s">
        <v>1186</v>
      </c>
      <c r="C243" s="3368"/>
      <c r="D243" s="3368"/>
      <c r="E243" s="3368"/>
      <c r="F243" s="3368"/>
      <c r="G243" s="3368"/>
      <c r="H243" s="3368"/>
      <c r="I243" s="3368"/>
      <c r="J243" s="3368"/>
      <c r="K243" s="3368"/>
      <c r="L243" s="3368"/>
      <c r="M243" s="3368"/>
      <c r="N243" s="3368"/>
      <c r="O243" s="3368"/>
      <c r="P243" s="3368"/>
      <c r="Q243" s="3368"/>
      <c r="R243" s="3368"/>
      <c r="S243" s="3368"/>
      <c r="T243" s="3368"/>
      <c r="U243" s="3368"/>
      <c r="V243" s="3368"/>
      <c r="W243" s="3368"/>
      <c r="X243" s="3368"/>
      <c r="Y243" s="3368"/>
      <c r="Z243" s="3368"/>
      <c r="AA243" s="3368"/>
      <c r="AB243" s="1264">
        <f>SUM(AB239:AB242)</f>
        <v>2038.9999999999995</v>
      </c>
      <c r="AE243" s="2140"/>
    </row>
    <row r="244" spans="2:31" s="395" customFormat="1" x14ac:dyDescent="0.25">
      <c r="B244" s="661"/>
      <c r="C244" s="661"/>
      <c r="D244" s="661"/>
      <c r="E244" s="661"/>
      <c r="F244" s="661"/>
      <c r="G244" s="661"/>
      <c r="H244" s="661"/>
      <c r="I244" s="661"/>
      <c r="J244" s="661"/>
      <c r="K244" s="661"/>
      <c r="L244" s="661"/>
      <c r="M244" s="661"/>
      <c r="N244" s="661"/>
      <c r="O244" s="661"/>
      <c r="P244" s="661"/>
      <c r="Q244" s="661"/>
      <c r="R244" s="661"/>
      <c r="S244" s="661"/>
      <c r="T244" s="661"/>
      <c r="U244" s="661"/>
      <c r="V244" s="661"/>
      <c r="W244" s="661"/>
      <c r="X244" s="661"/>
      <c r="Y244" s="661"/>
      <c r="Z244" s="661"/>
      <c r="AA244" s="661"/>
      <c r="AB244" s="661"/>
      <c r="AE244" s="2140"/>
    </row>
    <row r="245" spans="2:31" s="395" customFormat="1" ht="15" customHeight="1" x14ac:dyDescent="0.25">
      <c r="B245" s="661" t="s">
        <v>1152</v>
      </c>
      <c r="C245" s="3367" t="s">
        <v>1334</v>
      </c>
      <c r="D245" s="3367"/>
      <c r="E245" s="3367"/>
      <c r="F245" s="3367"/>
      <c r="G245" s="3367"/>
      <c r="H245" s="3367"/>
      <c r="I245" s="3367"/>
      <c r="J245" s="3367"/>
      <c r="K245" s="3367"/>
      <c r="L245" s="3367"/>
      <c r="M245" s="3367"/>
      <c r="N245" s="3367"/>
      <c r="O245" s="3367"/>
      <c r="P245" s="3367"/>
      <c r="Q245" s="3367"/>
      <c r="R245" s="3367"/>
      <c r="S245" s="3367"/>
      <c r="T245" s="3367"/>
      <c r="U245" s="3367"/>
      <c r="V245" s="3367"/>
      <c r="W245" s="3367"/>
      <c r="X245" s="3367"/>
      <c r="Y245" s="3367"/>
      <c r="Z245" s="3367"/>
      <c r="AA245" s="3367"/>
      <c r="AB245" s="3367"/>
      <c r="AE245" s="2140"/>
    </row>
    <row r="246" spans="2:31" s="395" customFormat="1" x14ac:dyDescent="0.25">
      <c r="B246" s="661"/>
      <c r="C246" s="661"/>
      <c r="D246" s="661"/>
      <c r="E246" s="661"/>
      <c r="F246" s="661"/>
      <c r="G246" s="661"/>
      <c r="H246" s="661"/>
      <c r="I246" s="661"/>
      <c r="J246" s="661"/>
      <c r="K246" s="661"/>
      <c r="L246" s="661"/>
      <c r="M246" s="661"/>
      <c r="N246" s="661"/>
      <c r="O246" s="661"/>
      <c r="P246" s="661"/>
      <c r="Q246" s="661"/>
      <c r="R246" s="661"/>
      <c r="S246" s="661"/>
      <c r="T246" s="661"/>
      <c r="U246" s="661"/>
      <c r="V246" s="661"/>
      <c r="W246" s="661"/>
      <c r="X246" s="661"/>
      <c r="Y246" s="661"/>
      <c r="Z246" s="661"/>
      <c r="AA246" s="661"/>
      <c r="AB246" s="661"/>
      <c r="AE246" s="2140"/>
    </row>
    <row r="247" spans="2:31" s="1608" customFormat="1" ht="21" customHeight="1" x14ac:dyDescent="0.25">
      <c r="B247" s="1356"/>
      <c r="C247" s="1357" t="s">
        <v>1153</v>
      </c>
      <c r="D247" s="1356" t="s">
        <v>1154</v>
      </c>
      <c r="E247" s="1356" t="s">
        <v>1155</v>
      </c>
      <c r="F247" s="1356" t="s">
        <v>1156</v>
      </c>
      <c r="G247" s="1356" t="s">
        <v>1157</v>
      </c>
      <c r="H247" s="1356" t="s">
        <v>1158</v>
      </c>
      <c r="I247" s="1356" t="s">
        <v>1159</v>
      </c>
      <c r="J247" s="1356" t="s">
        <v>1160</v>
      </c>
      <c r="K247" s="1356" t="s">
        <v>1161</v>
      </c>
      <c r="L247" s="1356" t="s">
        <v>1162</v>
      </c>
      <c r="M247" s="1356" t="s">
        <v>1163</v>
      </c>
      <c r="N247" s="1356" t="s">
        <v>1164</v>
      </c>
      <c r="O247" s="1356" t="s">
        <v>1165</v>
      </c>
      <c r="P247" s="1356" t="s">
        <v>1166</v>
      </c>
      <c r="Q247" s="1356" t="s">
        <v>1167</v>
      </c>
      <c r="R247" s="1356" t="s">
        <v>1168</v>
      </c>
      <c r="S247" s="1356" t="s">
        <v>1169</v>
      </c>
      <c r="T247" s="1356" t="s">
        <v>1170</v>
      </c>
      <c r="U247" s="1356" t="s">
        <v>1171</v>
      </c>
      <c r="V247" s="1356" t="s">
        <v>1172</v>
      </c>
      <c r="W247" s="1356" t="s">
        <v>1173</v>
      </c>
      <c r="X247" s="1356" t="s">
        <v>1174</v>
      </c>
      <c r="Y247" s="1356" t="s">
        <v>1175</v>
      </c>
      <c r="Z247" s="1356" t="s">
        <v>1176</v>
      </c>
      <c r="AA247" s="1356" t="s">
        <v>1184</v>
      </c>
      <c r="AB247" s="1356" t="s">
        <v>1185</v>
      </c>
      <c r="AE247" s="2140"/>
    </row>
    <row r="248" spans="2:31" s="395" customFormat="1" x14ac:dyDescent="0.25">
      <c r="B248" s="1490" t="s">
        <v>1179</v>
      </c>
      <c r="C248" s="1269">
        <v>0.05</v>
      </c>
      <c r="D248" s="1269">
        <v>0.05</v>
      </c>
      <c r="E248" s="1269">
        <v>0.05</v>
      </c>
      <c r="F248" s="1269">
        <v>0.05</v>
      </c>
      <c r="G248" s="1269">
        <v>0.05</v>
      </c>
      <c r="H248" s="1269">
        <v>0.05</v>
      </c>
      <c r="I248" s="1269">
        <v>0.05</v>
      </c>
      <c r="J248" s="1269">
        <v>0.3</v>
      </c>
      <c r="K248" s="1269">
        <v>0.85</v>
      </c>
      <c r="L248" s="1269">
        <v>0.95</v>
      </c>
      <c r="M248" s="1269">
        <v>0.95</v>
      </c>
      <c r="N248" s="1269">
        <v>0.95</v>
      </c>
      <c r="O248" s="1269">
        <v>0.8</v>
      </c>
      <c r="P248" s="1269">
        <v>0.8</v>
      </c>
      <c r="Q248" s="1269">
        <v>0.8</v>
      </c>
      <c r="R248" s="1269">
        <v>0.7</v>
      </c>
      <c r="S248" s="1269">
        <v>0.5</v>
      </c>
      <c r="T248" s="1269">
        <v>0.5</v>
      </c>
      <c r="U248" s="1269">
        <v>0.35</v>
      </c>
      <c r="V248" s="1269">
        <v>0.35</v>
      </c>
      <c r="W248" s="1269">
        <v>0.35</v>
      </c>
      <c r="X248" s="1269">
        <v>0.3</v>
      </c>
      <c r="Y248" s="1269">
        <v>0.05</v>
      </c>
      <c r="Z248" s="1269">
        <v>0.05</v>
      </c>
      <c r="AA248" s="1263">
        <f>SUM(C248:Z248)</f>
        <v>9.9</v>
      </c>
      <c r="AB248" s="1264">
        <f>AA248*SUM($C$9:$C$13)</f>
        <v>2475</v>
      </c>
      <c r="AE248" s="2140"/>
    </row>
    <row r="249" spans="2:31" s="395" customFormat="1" x14ac:dyDescent="0.25">
      <c r="B249" s="1490" t="s">
        <v>1149</v>
      </c>
      <c r="C249" s="1269">
        <v>0.05</v>
      </c>
      <c r="D249" s="1269">
        <v>0.05</v>
      </c>
      <c r="E249" s="1269">
        <v>0.05</v>
      </c>
      <c r="F249" s="1269">
        <v>0.05</v>
      </c>
      <c r="G249" s="1269">
        <v>0.05</v>
      </c>
      <c r="H249" s="1269">
        <v>0.05</v>
      </c>
      <c r="I249" s="1269">
        <v>0.05</v>
      </c>
      <c r="J249" s="1269">
        <v>0.05</v>
      </c>
      <c r="K249" s="1269">
        <v>0.15</v>
      </c>
      <c r="L249" s="1269">
        <v>0.15</v>
      </c>
      <c r="M249" s="1269">
        <v>0.15</v>
      </c>
      <c r="N249" s="1269">
        <v>0.15</v>
      </c>
      <c r="O249" s="1269">
        <v>0.15</v>
      </c>
      <c r="P249" s="1269">
        <v>0.05</v>
      </c>
      <c r="Q249" s="1269">
        <v>0.05</v>
      </c>
      <c r="R249" s="1269">
        <v>0.05</v>
      </c>
      <c r="S249" s="1269">
        <v>0.05</v>
      </c>
      <c r="T249" s="1269">
        <v>0.05</v>
      </c>
      <c r="U249" s="1269">
        <v>0.05</v>
      </c>
      <c r="V249" s="1269">
        <v>0.05</v>
      </c>
      <c r="W249" s="1269">
        <v>0.05</v>
      </c>
      <c r="X249" s="1269">
        <v>0.05</v>
      </c>
      <c r="Y249" s="1269">
        <v>0.05</v>
      </c>
      <c r="Z249" s="1269">
        <v>0.05</v>
      </c>
      <c r="AA249" s="1263">
        <f>SUM(C249:Z249)</f>
        <v>1.7000000000000004</v>
      </c>
      <c r="AB249" s="1264">
        <f>AA249*SUM($C$14)</f>
        <v>88.40000000000002</v>
      </c>
      <c r="AE249" s="2140"/>
    </row>
    <row r="250" spans="2:31" s="395" customFormat="1" x14ac:dyDescent="0.25">
      <c r="B250" s="1490" t="s">
        <v>1150</v>
      </c>
      <c r="C250" s="1269">
        <v>0.05</v>
      </c>
      <c r="D250" s="1269">
        <v>0.05</v>
      </c>
      <c r="E250" s="1269">
        <v>0.05</v>
      </c>
      <c r="F250" s="1269">
        <v>0.05</v>
      </c>
      <c r="G250" s="1269">
        <v>0.05</v>
      </c>
      <c r="H250" s="1269">
        <v>0.05</v>
      </c>
      <c r="I250" s="1269">
        <v>0.05</v>
      </c>
      <c r="J250" s="1269">
        <v>0.05</v>
      </c>
      <c r="K250" s="1269">
        <v>0.05</v>
      </c>
      <c r="L250" s="1269">
        <v>0.05</v>
      </c>
      <c r="M250" s="1269">
        <v>0.05</v>
      </c>
      <c r="N250" s="1269">
        <v>0.05</v>
      </c>
      <c r="O250" s="1269">
        <v>0.05</v>
      </c>
      <c r="P250" s="1269">
        <v>0.05</v>
      </c>
      <c r="Q250" s="1269">
        <v>0.05</v>
      </c>
      <c r="R250" s="1269">
        <v>0.05</v>
      </c>
      <c r="S250" s="1269">
        <v>0.05</v>
      </c>
      <c r="T250" s="1269">
        <v>0.05</v>
      </c>
      <c r="U250" s="1269">
        <v>0.05</v>
      </c>
      <c r="V250" s="1269">
        <v>0.05</v>
      </c>
      <c r="W250" s="1269">
        <v>0.05</v>
      </c>
      <c r="X250" s="1269">
        <v>0.05</v>
      </c>
      <c r="Y250" s="1269">
        <v>0.05</v>
      </c>
      <c r="Z250" s="1269">
        <v>0.05</v>
      </c>
      <c r="AA250" s="1263">
        <f>SUM(C250:Z250)</f>
        <v>1.2000000000000004</v>
      </c>
      <c r="AB250" s="1264">
        <f>AA250*$C$15</f>
        <v>62.40000000000002</v>
      </c>
      <c r="AE250" s="2140"/>
    </row>
    <row r="251" spans="2:31" s="395" customFormat="1" x14ac:dyDescent="0.25">
      <c r="B251" s="1490" t="s">
        <v>1181</v>
      </c>
      <c r="C251" s="1269">
        <v>0.05</v>
      </c>
      <c r="D251" s="1269">
        <v>0.05</v>
      </c>
      <c r="E251" s="1269">
        <v>0.05</v>
      </c>
      <c r="F251" s="1269">
        <v>0.05</v>
      </c>
      <c r="G251" s="1269">
        <v>0.05</v>
      </c>
      <c r="H251" s="1269">
        <v>0.05</v>
      </c>
      <c r="I251" s="1269">
        <v>0.05</v>
      </c>
      <c r="J251" s="1269">
        <v>0.05</v>
      </c>
      <c r="K251" s="1269">
        <v>0.05</v>
      </c>
      <c r="L251" s="1269">
        <v>0.05</v>
      </c>
      <c r="M251" s="1269">
        <v>0.05</v>
      </c>
      <c r="N251" s="1269">
        <v>0.05</v>
      </c>
      <c r="O251" s="1269">
        <v>0.05</v>
      </c>
      <c r="P251" s="1269">
        <v>0.05</v>
      </c>
      <c r="Q251" s="1269">
        <v>0.05</v>
      </c>
      <c r="R251" s="1269">
        <v>0.05</v>
      </c>
      <c r="S251" s="1269">
        <v>0.05</v>
      </c>
      <c r="T251" s="1269">
        <v>0.05</v>
      </c>
      <c r="U251" s="1269">
        <v>0.05</v>
      </c>
      <c r="V251" s="1269">
        <v>0.05</v>
      </c>
      <c r="W251" s="1269">
        <v>0.05</v>
      </c>
      <c r="X251" s="1269">
        <v>0.05</v>
      </c>
      <c r="Y251" s="1269">
        <v>0.05</v>
      </c>
      <c r="Z251" s="1269">
        <v>0.05</v>
      </c>
      <c r="AA251" s="1263">
        <f>SUM(C251:Z251)</f>
        <v>1.2000000000000004</v>
      </c>
      <c r="AB251" s="1264">
        <f>AA251*SUM($C$8)</f>
        <v>13.200000000000005</v>
      </c>
      <c r="AE251" s="2140"/>
    </row>
    <row r="252" spans="2:31" s="395" customFormat="1" x14ac:dyDescent="0.25">
      <c r="B252" s="3368" t="s">
        <v>1186</v>
      </c>
      <c r="C252" s="3368"/>
      <c r="D252" s="3368"/>
      <c r="E252" s="3368"/>
      <c r="F252" s="3368"/>
      <c r="G252" s="3368"/>
      <c r="H252" s="3368"/>
      <c r="I252" s="3368"/>
      <c r="J252" s="3368"/>
      <c r="K252" s="3368"/>
      <c r="L252" s="3368"/>
      <c r="M252" s="3368"/>
      <c r="N252" s="3368"/>
      <c r="O252" s="3368"/>
      <c r="P252" s="3368"/>
      <c r="Q252" s="3368"/>
      <c r="R252" s="3368"/>
      <c r="S252" s="3368"/>
      <c r="T252" s="3368"/>
      <c r="U252" s="3368"/>
      <c r="V252" s="3368"/>
      <c r="W252" s="3368"/>
      <c r="X252" s="3368"/>
      <c r="Y252" s="3368"/>
      <c r="Z252" s="3368"/>
      <c r="AA252" s="3368"/>
      <c r="AB252" s="1264">
        <f>SUM(AB248:AB251)</f>
        <v>2639</v>
      </c>
      <c r="AE252" s="2140"/>
    </row>
    <row r="253" spans="2:31" s="395" customFormat="1" x14ac:dyDescent="0.25">
      <c r="B253" s="661"/>
      <c r="C253" s="661"/>
      <c r="D253" s="661"/>
      <c r="E253" s="661"/>
      <c r="F253" s="661"/>
      <c r="G253" s="661"/>
      <c r="H253" s="661"/>
      <c r="I253" s="661"/>
      <c r="J253" s="661"/>
      <c r="K253" s="661"/>
      <c r="L253" s="661"/>
      <c r="M253" s="661"/>
      <c r="N253" s="661"/>
      <c r="O253" s="661"/>
      <c r="P253" s="661"/>
      <c r="Q253" s="661"/>
      <c r="R253" s="661"/>
      <c r="S253" s="661"/>
      <c r="T253" s="661"/>
      <c r="U253" s="661"/>
      <c r="V253" s="661"/>
      <c r="W253" s="661"/>
      <c r="X253" s="661"/>
      <c r="Y253" s="661"/>
      <c r="Z253" s="661"/>
      <c r="AA253" s="661"/>
      <c r="AB253" s="661"/>
      <c r="AE253" s="2140"/>
    </row>
    <row r="254" spans="2:31" s="395" customFormat="1" ht="15" customHeight="1" x14ac:dyDescent="0.25">
      <c r="B254" s="661" t="s">
        <v>1152</v>
      </c>
      <c r="C254" s="3367" t="s">
        <v>1335</v>
      </c>
      <c r="D254" s="3367"/>
      <c r="E254" s="3367"/>
      <c r="F254" s="3367"/>
      <c r="G254" s="3367"/>
      <c r="H254" s="3367"/>
      <c r="I254" s="3367"/>
      <c r="J254" s="3367"/>
      <c r="K254" s="3367"/>
      <c r="L254" s="3367"/>
      <c r="M254" s="3367"/>
      <c r="N254" s="3367"/>
      <c r="O254" s="3367"/>
      <c r="P254" s="3367"/>
      <c r="Q254" s="3367"/>
      <c r="R254" s="3367"/>
      <c r="S254" s="3367"/>
      <c r="T254" s="3367"/>
      <c r="U254" s="3367"/>
      <c r="V254" s="3367"/>
      <c r="W254" s="3367"/>
      <c r="X254" s="3367"/>
      <c r="Y254" s="3367"/>
      <c r="Z254" s="3367"/>
      <c r="AA254" s="3367"/>
      <c r="AB254" s="3367"/>
      <c r="AE254" s="2140"/>
    </row>
    <row r="255" spans="2:31" s="395" customFormat="1" x14ac:dyDescent="0.25">
      <c r="B255" s="661"/>
      <c r="C255" s="661"/>
      <c r="D255" s="661"/>
      <c r="E255" s="661"/>
      <c r="F255" s="661"/>
      <c r="G255" s="661"/>
      <c r="H255" s="661"/>
      <c r="I255" s="661"/>
      <c r="J255" s="661"/>
      <c r="K255" s="661"/>
      <c r="L255" s="661"/>
      <c r="M255" s="661"/>
      <c r="N255" s="661"/>
      <c r="O255" s="661"/>
      <c r="P255" s="661"/>
      <c r="Q255" s="661"/>
      <c r="R255" s="661"/>
      <c r="S255" s="661"/>
      <c r="T255" s="661"/>
      <c r="U255" s="661"/>
      <c r="V255" s="661"/>
      <c r="W255" s="661"/>
      <c r="X255" s="661"/>
      <c r="Y255" s="661"/>
      <c r="Z255" s="661"/>
      <c r="AA255" s="661"/>
      <c r="AB255" s="661"/>
      <c r="AE255" s="2140"/>
    </row>
    <row r="256" spans="2:31" s="1608" customFormat="1" ht="21" customHeight="1" x14ac:dyDescent="0.25">
      <c r="B256" s="1356"/>
      <c r="C256" s="1357" t="s">
        <v>1153</v>
      </c>
      <c r="D256" s="1356" t="s">
        <v>1154</v>
      </c>
      <c r="E256" s="1356" t="s">
        <v>1155</v>
      </c>
      <c r="F256" s="1356" t="s">
        <v>1156</v>
      </c>
      <c r="G256" s="1356" t="s">
        <v>1157</v>
      </c>
      <c r="H256" s="1356" t="s">
        <v>1158</v>
      </c>
      <c r="I256" s="1356" t="s">
        <v>1159</v>
      </c>
      <c r="J256" s="1356" t="s">
        <v>1160</v>
      </c>
      <c r="K256" s="1356" t="s">
        <v>1161</v>
      </c>
      <c r="L256" s="1356" t="s">
        <v>1162</v>
      </c>
      <c r="M256" s="1356" t="s">
        <v>1163</v>
      </c>
      <c r="N256" s="1356" t="s">
        <v>1164</v>
      </c>
      <c r="O256" s="1356" t="s">
        <v>1165</v>
      </c>
      <c r="P256" s="1356" t="s">
        <v>1166</v>
      </c>
      <c r="Q256" s="1356" t="s">
        <v>1167</v>
      </c>
      <c r="R256" s="1356" t="s">
        <v>1168</v>
      </c>
      <c r="S256" s="1356" t="s">
        <v>1169</v>
      </c>
      <c r="T256" s="1356" t="s">
        <v>1170</v>
      </c>
      <c r="U256" s="1356" t="s">
        <v>1171</v>
      </c>
      <c r="V256" s="1356" t="s">
        <v>1172</v>
      </c>
      <c r="W256" s="1356" t="s">
        <v>1173</v>
      </c>
      <c r="X256" s="1356" t="s">
        <v>1174</v>
      </c>
      <c r="Y256" s="1356" t="s">
        <v>1175</v>
      </c>
      <c r="Z256" s="1356" t="s">
        <v>1176</v>
      </c>
      <c r="AA256" s="1356" t="s">
        <v>1184</v>
      </c>
      <c r="AB256" s="1356" t="s">
        <v>1185</v>
      </c>
      <c r="AE256" s="2140"/>
    </row>
    <row r="257" spans="2:31" s="395" customFormat="1" x14ac:dyDescent="0.25">
      <c r="B257" s="1490" t="s">
        <v>1179</v>
      </c>
      <c r="C257" s="1269">
        <v>0.05</v>
      </c>
      <c r="D257" s="1269">
        <v>0.05</v>
      </c>
      <c r="E257" s="1269">
        <v>0.05</v>
      </c>
      <c r="F257" s="1269">
        <v>0.05</v>
      </c>
      <c r="G257" s="1269">
        <v>0.05</v>
      </c>
      <c r="H257" s="1269">
        <v>0.05</v>
      </c>
      <c r="I257" s="1269">
        <v>0.05</v>
      </c>
      <c r="J257" s="1269">
        <v>0.1</v>
      </c>
      <c r="K257" s="1269">
        <v>0.34</v>
      </c>
      <c r="L257" s="1269">
        <v>0.6</v>
      </c>
      <c r="M257" s="1269">
        <v>0.63</v>
      </c>
      <c r="N257" s="1269">
        <v>0.72</v>
      </c>
      <c r="O257" s="1269">
        <v>0.79</v>
      </c>
      <c r="P257" s="1269">
        <v>0.83</v>
      </c>
      <c r="Q257" s="1269">
        <v>0.61</v>
      </c>
      <c r="R257" s="1269">
        <v>0.65</v>
      </c>
      <c r="S257" s="1269">
        <v>0.1</v>
      </c>
      <c r="T257" s="1269">
        <v>0.1</v>
      </c>
      <c r="U257" s="1269">
        <v>0.19</v>
      </c>
      <c r="V257" s="1269">
        <v>0.25</v>
      </c>
      <c r="W257" s="1269">
        <v>0.22</v>
      </c>
      <c r="X257" s="1269">
        <v>0.22</v>
      </c>
      <c r="Y257" s="1269">
        <v>0.12</v>
      </c>
      <c r="Z257" s="1269">
        <v>0.09</v>
      </c>
      <c r="AA257" s="1263">
        <f>SUM(C257:Z257)</f>
        <v>6.91</v>
      </c>
      <c r="AB257" s="1264">
        <f>AA257*SUM($C$9:$C$13)</f>
        <v>1727.5</v>
      </c>
      <c r="AE257" s="2140"/>
    </row>
    <row r="258" spans="2:31" s="395" customFormat="1" x14ac:dyDescent="0.25">
      <c r="B258" s="1490" t="s">
        <v>1149</v>
      </c>
      <c r="C258" s="1269">
        <v>0.03</v>
      </c>
      <c r="D258" s="1269">
        <v>0.03</v>
      </c>
      <c r="E258" s="1269">
        <v>0.03</v>
      </c>
      <c r="F258" s="1269">
        <v>0.03</v>
      </c>
      <c r="G258" s="1269">
        <v>0.03</v>
      </c>
      <c r="H258" s="1269">
        <v>0.03</v>
      </c>
      <c r="I258" s="1269">
        <v>0.03</v>
      </c>
      <c r="J258" s="1269">
        <v>0.03</v>
      </c>
      <c r="K258" s="1269">
        <v>0.03</v>
      </c>
      <c r="L258" s="1269">
        <v>0.05</v>
      </c>
      <c r="M258" s="1269">
        <v>0.05</v>
      </c>
      <c r="N258" s="1269">
        <v>0.05</v>
      </c>
      <c r="O258" s="1269">
        <v>0.05</v>
      </c>
      <c r="P258" s="1269">
        <v>0.03</v>
      </c>
      <c r="Q258" s="1269">
        <v>0.03</v>
      </c>
      <c r="R258" s="1269">
        <v>0.03</v>
      </c>
      <c r="S258" s="1269">
        <v>0.03</v>
      </c>
      <c r="T258" s="1269">
        <v>0.03</v>
      </c>
      <c r="U258" s="1269">
        <v>0.03</v>
      </c>
      <c r="V258" s="1269">
        <v>0.03</v>
      </c>
      <c r="W258" s="1269">
        <v>0.03</v>
      </c>
      <c r="X258" s="1269">
        <v>0.03</v>
      </c>
      <c r="Y258" s="1269">
        <v>0.03</v>
      </c>
      <c r="Z258" s="1269">
        <v>0.03</v>
      </c>
      <c r="AA258" s="1263">
        <f>SUM(C258:Z258)</f>
        <v>0.80000000000000027</v>
      </c>
      <c r="AB258" s="1264">
        <f>AA258*SUM($C$14)</f>
        <v>41.600000000000016</v>
      </c>
      <c r="AE258" s="2140"/>
    </row>
    <row r="259" spans="2:31" s="395" customFormat="1" x14ac:dyDescent="0.25">
      <c r="B259" s="1490" t="s">
        <v>1150</v>
      </c>
      <c r="C259" s="1269">
        <v>0.03</v>
      </c>
      <c r="D259" s="1269">
        <v>0.03</v>
      </c>
      <c r="E259" s="1269">
        <v>0.03</v>
      </c>
      <c r="F259" s="1269">
        <v>0.03</v>
      </c>
      <c r="G259" s="1269">
        <v>0.03</v>
      </c>
      <c r="H259" s="1269">
        <v>0.03</v>
      </c>
      <c r="I259" s="1269">
        <v>0.03</v>
      </c>
      <c r="J259" s="1269">
        <v>0.03</v>
      </c>
      <c r="K259" s="1269">
        <v>0.03</v>
      </c>
      <c r="L259" s="1269">
        <v>0.05</v>
      </c>
      <c r="M259" s="1269">
        <v>0.05</v>
      </c>
      <c r="N259" s="1269">
        <v>0.05</v>
      </c>
      <c r="O259" s="1269">
        <v>0.05</v>
      </c>
      <c r="P259" s="1269">
        <v>0.05</v>
      </c>
      <c r="Q259" s="1269">
        <v>0.05</v>
      </c>
      <c r="R259" s="1269">
        <v>0.03</v>
      </c>
      <c r="S259" s="1269">
        <v>0.03</v>
      </c>
      <c r="T259" s="1269">
        <v>0.03</v>
      </c>
      <c r="U259" s="1269">
        <v>0.03</v>
      </c>
      <c r="V259" s="1269">
        <v>0.03</v>
      </c>
      <c r="W259" s="1269">
        <v>0.03</v>
      </c>
      <c r="X259" s="1269">
        <v>0.03</v>
      </c>
      <c r="Y259" s="1269">
        <v>0.03</v>
      </c>
      <c r="Z259" s="1269">
        <v>0.03</v>
      </c>
      <c r="AA259" s="1263">
        <f>SUM(C259:Z259)</f>
        <v>0.8400000000000003</v>
      </c>
      <c r="AB259" s="1264">
        <f>AA259*$C$15</f>
        <v>43.680000000000014</v>
      </c>
      <c r="AE259" s="2140"/>
    </row>
    <row r="260" spans="2:31" s="395" customFormat="1" x14ac:dyDescent="0.25">
      <c r="B260" s="1490" t="s">
        <v>1181</v>
      </c>
      <c r="C260" s="1269">
        <v>0.03</v>
      </c>
      <c r="D260" s="1269">
        <v>0.03</v>
      </c>
      <c r="E260" s="1269">
        <v>0.03</v>
      </c>
      <c r="F260" s="1269">
        <v>0.03</v>
      </c>
      <c r="G260" s="1269">
        <v>0.03</v>
      </c>
      <c r="H260" s="1269">
        <v>0.03</v>
      </c>
      <c r="I260" s="1269">
        <v>0.03</v>
      </c>
      <c r="J260" s="1269">
        <v>0.03</v>
      </c>
      <c r="K260" s="1269">
        <v>0.03</v>
      </c>
      <c r="L260" s="1269">
        <v>0.05</v>
      </c>
      <c r="M260" s="1269">
        <v>0.05</v>
      </c>
      <c r="N260" s="1269">
        <v>0.05</v>
      </c>
      <c r="O260" s="1269">
        <v>0.05</v>
      </c>
      <c r="P260" s="1269">
        <v>0.05</v>
      </c>
      <c r="Q260" s="1269">
        <v>0.05</v>
      </c>
      <c r="R260" s="1269">
        <v>0.03</v>
      </c>
      <c r="S260" s="1269">
        <v>0.03</v>
      </c>
      <c r="T260" s="1269">
        <v>0.03</v>
      </c>
      <c r="U260" s="1269">
        <v>0.03</v>
      </c>
      <c r="V260" s="1269">
        <v>0.03</v>
      </c>
      <c r="W260" s="1269">
        <v>0.03</v>
      </c>
      <c r="X260" s="1269">
        <v>0.03</v>
      </c>
      <c r="Y260" s="1269">
        <v>0.03</v>
      </c>
      <c r="Z260" s="1269">
        <v>0.03</v>
      </c>
      <c r="AA260" s="1263">
        <f>SUM(C260:Z260)</f>
        <v>0.8400000000000003</v>
      </c>
      <c r="AB260" s="1264">
        <f>AA260*SUM($C$8)</f>
        <v>9.2400000000000038</v>
      </c>
      <c r="AE260" s="2140"/>
    </row>
    <row r="261" spans="2:31" s="395" customFormat="1" x14ac:dyDescent="0.25">
      <c r="B261" s="3368" t="s">
        <v>1186</v>
      </c>
      <c r="C261" s="3368"/>
      <c r="D261" s="3368"/>
      <c r="E261" s="3368"/>
      <c r="F261" s="3368"/>
      <c r="G261" s="3368"/>
      <c r="H261" s="3368"/>
      <c r="I261" s="3368"/>
      <c r="J261" s="3368"/>
      <c r="K261" s="3368"/>
      <c r="L261" s="3368"/>
      <c r="M261" s="3368"/>
      <c r="N261" s="3368"/>
      <c r="O261" s="3368"/>
      <c r="P261" s="3368"/>
      <c r="Q261" s="3368"/>
      <c r="R261" s="3368"/>
      <c r="S261" s="3368"/>
      <c r="T261" s="3368"/>
      <c r="U261" s="3368"/>
      <c r="V261" s="3368"/>
      <c r="W261" s="3368"/>
      <c r="X261" s="3368"/>
      <c r="Y261" s="3368"/>
      <c r="Z261" s="3368"/>
      <c r="AA261" s="3368"/>
      <c r="AB261" s="1264">
        <f>SUM(AB257:AB260)</f>
        <v>1822.02</v>
      </c>
      <c r="AE261" s="2140"/>
    </row>
    <row r="262" spans="2:31" s="395" customFormat="1" x14ac:dyDescent="0.25">
      <c r="B262" s="661"/>
      <c r="C262" s="661"/>
      <c r="D262" s="661"/>
      <c r="E262" s="661"/>
      <c r="F262" s="661"/>
      <c r="G262" s="661"/>
      <c r="H262" s="661"/>
      <c r="I262" s="661"/>
      <c r="J262" s="661"/>
      <c r="K262" s="661"/>
      <c r="L262" s="661"/>
      <c r="M262" s="661"/>
      <c r="N262" s="661"/>
      <c r="O262" s="661"/>
      <c r="P262" s="661"/>
      <c r="Q262" s="661"/>
      <c r="R262" s="661"/>
      <c r="S262" s="661"/>
      <c r="T262" s="661"/>
      <c r="U262" s="661"/>
      <c r="V262" s="661"/>
      <c r="W262" s="661"/>
      <c r="X262" s="661"/>
      <c r="Y262" s="661"/>
      <c r="Z262" s="661"/>
      <c r="AA262" s="661"/>
      <c r="AB262" s="661"/>
      <c r="AE262" s="2140"/>
    </row>
    <row r="263" spans="2:31" s="395" customFormat="1" ht="15" customHeight="1" x14ac:dyDescent="0.25">
      <c r="B263" s="661" t="s">
        <v>1152</v>
      </c>
      <c r="C263" s="3367" t="s">
        <v>1336</v>
      </c>
      <c r="D263" s="3367"/>
      <c r="E263" s="3367"/>
      <c r="F263" s="3367"/>
      <c r="G263" s="3367"/>
      <c r="H263" s="3367"/>
      <c r="I263" s="3367"/>
      <c r="J263" s="3367"/>
      <c r="K263" s="3367"/>
      <c r="L263" s="3367"/>
      <c r="M263" s="3367"/>
      <c r="N263" s="3367"/>
      <c r="O263" s="3367"/>
      <c r="P263" s="3367"/>
      <c r="Q263" s="3367"/>
      <c r="R263" s="3367"/>
      <c r="S263" s="3367"/>
      <c r="T263" s="3367"/>
      <c r="U263" s="3367"/>
      <c r="V263" s="3367"/>
      <c r="W263" s="3367"/>
      <c r="X263" s="3367"/>
      <c r="Y263" s="3367"/>
      <c r="Z263" s="3367"/>
      <c r="AA263" s="3367"/>
      <c r="AB263" s="3367"/>
      <c r="AE263" s="2140"/>
    </row>
    <row r="264" spans="2:31" s="395" customFormat="1" x14ac:dyDescent="0.25">
      <c r="B264" s="661"/>
      <c r="C264" s="661"/>
      <c r="D264" s="661"/>
      <c r="E264" s="661"/>
      <c r="F264" s="661"/>
      <c r="G264" s="661"/>
      <c r="H264" s="661"/>
      <c r="I264" s="661"/>
      <c r="J264" s="661"/>
      <c r="K264" s="661"/>
      <c r="L264" s="661"/>
      <c r="M264" s="661"/>
      <c r="N264" s="661"/>
      <c r="O264" s="661"/>
      <c r="P264" s="661"/>
      <c r="Q264" s="661"/>
      <c r="R264" s="661"/>
      <c r="S264" s="661"/>
      <c r="T264" s="661"/>
      <c r="U264" s="661"/>
      <c r="V264" s="661"/>
      <c r="W264" s="661"/>
      <c r="X264" s="661"/>
      <c r="Y264" s="661"/>
      <c r="Z264" s="661"/>
      <c r="AA264" s="661"/>
      <c r="AB264" s="661"/>
      <c r="AE264" s="2140"/>
    </row>
    <row r="265" spans="2:31" s="1608" customFormat="1" ht="21" customHeight="1" x14ac:dyDescent="0.25">
      <c r="B265" s="1356"/>
      <c r="C265" s="1357" t="s">
        <v>1153</v>
      </c>
      <c r="D265" s="1356" t="s">
        <v>1154</v>
      </c>
      <c r="E265" s="1356" t="s">
        <v>1155</v>
      </c>
      <c r="F265" s="1356" t="s">
        <v>1156</v>
      </c>
      <c r="G265" s="1356" t="s">
        <v>1157</v>
      </c>
      <c r="H265" s="1356" t="s">
        <v>1158</v>
      </c>
      <c r="I265" s="1356" t="s">
        <v>1159</v>
      </c>
      <c r="J265" s="1356" t="s">
        <v>1160</v>
      </c>
      <c r="K265" s="1356" t="s">
        <v>1161</v>
      </c>
      <c r="L265" s="1356" t="s">
        <v>1162</v>
      </c>
      <c r="M265" s="1356" t="s">
        <v>1163</v>
      </c>
      <c r="N265" s="1356" t="s">
        <v>1164</v>
      </c>
      <c r="O265" s="1356" t="s">
        <v>1165</v>
      </c>
      <c r="P265" s="1356" t="s">
        <v>1166</v>
      </c>
      <c r="Q265" s="1356" t="s">
        <v>1167</v>
      </c>
      <c r="R265" s="1356" t="s">
        <v>1168</v>
      </c>
      <c r="S265" s="1356" t="s">
        <v>1169</v>
      </c>
      <c r="T265" s="1356" t="s">
        <v>1170</v>
      </c>
      <c r="U265" s="1356" t="s">
        <v>1171</v>
      </c>
      <c r="V265" s="1356" t="s">
        <v>1172</v>
      </c>
      <c r="W265" s="1356" t="s">
        <v>1173</v>
      </c>
      <c r="X265" s="1356" t="s">
        <v>1174</v>
      </c>
      <c r="Y265" s="1356" t="s">
        <v>1175</v>
      </c>
      <c r="Z265" s="1356" t="s">
        <v>1176</v>
      </c>
      <c r="AA265" s="1356" t="s">
        <v>1184</v>
      </c>
      <c r="AB265" s="1356" t="s">
        <v>1185</v>
      </c>
      <c r="AE265" s="2140"/>
    </row>
    <row r="266" spans="2:31" s="395" customFormat="1" x14ac:dyDescent="0.25">
      <c r="B266" s="1490" t="s">
        <v>1179</v>
      </c>
      <c r="C266" s="1269">
        <v>0</v>
      </c>
      <c r="D266" s="1269">
        <v>0</v>
      </c>
      <c r="E266" s="1269">
        <v>0</v>
      </c>
      <c r="F266" s="1269">
        <v>0</v>
      </c>
      <c r="G266" s="1269">
        <v>0</v>
      </c>
      <c r="H266" s="1269">
        <v>0</v>
      </c>
      <c r="I266" s="1269">
        <v>0</v>
      </c>
      <c r="J266" s="1269">
        <v>0</v>
      </c>
      <c r="K266" s="1269">
        <v>0.3</v>
      </c>
      <c r="L266" s="1269">
        <v>0.3</v>
      </c>
      <c r="M266" s="1269">
        <v>0.3</v>
      </c>
      <c r="N266" s="1269">
        <v>0.3</v>
      </c>
      <c r="O266" s="1269">
        <v>0.3</v>
      </c>
      <c r="P266" s="1269">
        <v>0.3</v>
      </c>
      <c r="Q266" s="1269">
        <v>0.3</v>
      </c>
      <c r="R266" s="1269">
        <v>0.15</v>
      </c>
      <c r="S266" s="1269">
        <v>0</v>
      </c>
      <c r="T266" s="1269">
        <v>0</v>
      </c>
      <c r="U266" s="1269">
        <v>0</v>
      </c>
      <c r="V266" s="1269">
        <v>0</v>
      </c>
      <c r="W266" s="1269">
        <v>0</v>
      </c>
      <c r="X266" s="1269">
        <v>0</v>
      </c>
      <c r="Y266" s="1269">
        <v>0</v>
      </c>
      <c r="Z266" s="1269">
        <v>0</v>
      </c>
      <c r="AA266" s="1263">
        <f>SUM(C266:Z266)</f>
        <v>2.25</v>
      </c>
      <c r="AB266" s="1264">
        <f>AA266*SUM($C$9:$C$13)</f>
        <v>562.5</v>
      </c>
      <c r="AE266" s="2140"/>
    </row>
    <row r="267" spans="2:31" s="395" customFormat="1" x14ac:dyDescent="0.25">
      <c r="B267" s="1490" t="s">
        <v>1149</v>
      </c>
      <c r="C267" s="1269">
        <v>0</v>
      </c>
      <c r="D267" s="1269">
        <v>0</v>
      </c>
      <c r="E267" s="1269">
        <v>0</v>
      </c>
      <c r="F267" s="1269">
        <v>0</v>
      </c>
      <c r="G267" s="1269">
        <v>0</v>
      </c>
      <c r="H267" s="1269">
        <v>0</v>
      </c>
      <c r="I267" s="1269">
        <v>0</v>
      </c>
      <c r="J267" s="1269">
        <v>0</v>
      </c>
      <c r="K267" s="1269">
        <v>0</v>
      </c>
      <c r="L267" s="1269">
        <v>0</v>
      </c>
      <c r="M267" s="1269">
        <v>0</v>
      </c>
      <c r="N267" s="1269">
        <v>0</v>
      </c>
      <c r="O267" s="1269">
        <v>0</v>
      </c>
      <c r="P267" s="1269">
        <v>0</v>
      </c>
      <c r="Q267" s="1269">
        <v>0</v>
      </c>
      <c r="R267" s="1269">
        <v>0</v>
      </c>
      <c r="S267" s="1269">
        <v>0</v>
      </c>
      <c r="T267" s="1269">
        <v>0</v>
      </c>
      <c r="U267" s="1269">
        <v>0</v>
      </c>
      <c r="V267" s="1269">
        <v>0</v>
      </c>
      <c r="W267" s="1269">
        <v>0</v>
      </c>
      <c r="X267" s="1269">
        <v>0</v>
      </c>
      <c r="Y267" s="1269">
        <v>0</v>
      </c>
      <c r="Z267" s="1269">
        <v>0</v>
      </c>
      <c r="AA267" s="1263">
        <f>SUM(C267:Z267)</f>
        <v>0</v>
      </c>
      <c r="AB267" s="1264">
        <f>AA267*SUM($C$14)</f>
        <v>0</v>
      </c>
      <c r="AE267" s="2140"/>
    </row>
    <row r="268" spans="2:31" s="395" customFormat="1" x14ac:dyDescent="0.25">
      <c r="B268" s="1490" t="s">
        <v>1150</v>
      </c>
      <c r="C268" s="1269">
        <v>0</v>
      </c>
      <c r="D268" s="1269">
        <v>0</v>
      </c>
      <c r="E268" s="1269">
        <v>0</v>
      </c>
      <c r="F268" s="1269">
        <v>0</v>
      </c>
      <c r="G268" s="1269">
        <v>0</v>
      </c>
      <c r="H268" s="1269">
        <v>0</v>
      </c>
      <c r="I268" s="1269">
        <v>0</v>
      </c>
      <c r="J268" s="1269">
        <v>0</v>
      </c>
      <c r="K268" s="1269">
        <v>0</v>
      </c>
      <c r="L268" s="1269">
        <v>0</v>
      </c>
      <c r="M268" s="1269">
        <v>0</v>
      </c>
      <c r="N268" s="1269">
        <v>0</v>
      </c>
      <c r="O268" s="1269">
        <v>0</v>
      </c>
      <c r="P268" s="1269">
        <v>0</v>
      </c>
      <c r="Q268" s="1269">
        <v>0</v>
      </c>
      <c r="R268" s="1269">
        <v>0</v>
      </c>
      <c r="S268" s="1269">
        <v>0</v>
      </c>
      <c r="T268" s="1269">
        <v>0</v>
      </c>
      <c r="U268" s="1269">
        <v>0</v>
      </c>
      <c r="V268" s="1269">
        <v>0</v>
      </c>
      <c r="W268" s="1269">
        <v>0</v>
      </c>
      <c r="X268" s="1269">
        <v>0</v>
      </c>
      <c r="Y268" s="1269">
        <v>0</v>
      </c>
      <c r="Z268" s="1269">
        <v>0</v>
      </c>
      <c r="AA268" s="1263">
        <f>SUM(C268:Z268)</f>
        <v>0</v>
      </c>
      <c r="AB268" s="1264">
        <f>AA268*$C$15</f>
        <v>0</v>
      </c>
      <c r="AE268" s="2140"/>
    </row>
    <row r="269" spans="2:31" s="395" customFormat="1" x14ac:dyDescent="0.25">
      <c r="B269" s="1490" t="s">
        <v>1181</v>
      </c>
      <c r="C269" s="1269">
        <v>0</v>
      </c>
      <c r="D269" s="1269">
        <v>0</v>
      </c>
      <c r="E269" s="1269">
        <v>0</v>
      </c>
      <c r="F269" s="1269">
        <v>0</v>
      </c>
      <c r="G269" s="1269">
        <v>0</v>
      </c>
      <c r="H269" s="1269">
        <v>0</v>
      </c>
      <c r="I269" s="1269">
        <v>0</v>
      </c>
      <c r="J269" s="1269">
        <v>0</v>
      </c>
      <c r="K269" s="1269">
        <v>0</v>
      </c>
      <c r="L269" s="1269">
        <v>0</v>
      </c>
      <c r="M269" s="1269">
        <v>0</v>
      </c>
      <c r="N269" s="1269">
        <v>0</v>
      </c>
      <c r="O269" s="1269">
        <v>0</v>
      </c>
      <c r="P269" s="1269">
        <v>0</v>
      </c>
      <c r="Q269" s="1269">
        <v>0</v>
      </c>
      <c r="R269" s="1269">
        <v>0</v>
      </c>
      <c r="S269" s="1269">
        <v>0</v>
      </c>
      <c r="T269" s="1269">
        <v>0</v>
      </c>
      <c r="U269" s="1269">
        <v>0</v>
      </c>
      <c r="V269" s="1269">
        <v>0</v>
      </c>
      <c r="W269" s="1269">
        <v>0</v>
      </c>
      <c r="X269" s="1269">
        <v>0</v>
      </c>
      <c r="Y269" s="1269">
        <v>0</v>
      </c>
      <c r="Z269" s="1269">
        <v>0</v>
      </c>
      <c r="AA269" s="1263">
        <f>SUM(C269:Z269)</f>
        <v>0</v>
      </c>
      <c r="AB269" s="1264">
        <f>AA269*SUM($C$8)</f>
        <v>0</v>
      </c>
      <c r="AE269" s="2140"/>
    </row>
    <row r="270" spans="2:31" s="395" customFormat="1" x14ac:dyDescent="0.25">
      <c r="B270" s="3368" t="s">
        <v>1186</v>
      </c>
      <c r="C270" s="3368"/>
      <c r="D270" s="3368"/>
      <c r="E270" s="3368"/>
      <c r="F270" s="3368"/>
      <c r="G270" s="3368"/>
      <c r="H270" s="3368"/>
      <c r="I270" s="3368"/>
      <c r="J270" s="3368"/>
      <c r="K270" s="3368"/>
      <c r="L270" s="3368"/>
      <c r="M270" s="3368"/>
      <c r="N270" s="3368"/>
      <c r="O270" s="3368"/>
      <c r="P270" s="3368"/>
      <c r="Q270" s="3368"/>
      <c r="R270" s="3368"/>
      <c r="S270" s="3368"/>
      <c r="T270" s="3368"/>
      <c r="U270" s="3368"/>
      <c r="V270" s="3368"/>
      <c r="W270" s="3368"/>
      <c r="X270" s="3368"/>
      <c r="Y270" s="3368"/>
      <c r="Z270" s="3368"/>
      <c r="AA270" s="3368"/>
      <c r="AB270" s="1264">
        <f>SUM(AB266:AB269)</f>
        <v>562.5</v>
      </c>
      <c r="AE270" s="2140"/>
    </row>
    <row r="271" spans="2:31" s="395" customFormat="1" x14ac:dyDescent="0.25">
      <c r="B271" s="661"/>
      <c r="C271" s="661"/>
      <c r="D271" s="661"/>
      <c r="E271" s="661"/>
      <c r="F271" s="661"/>
      <c r="G271" s="661"/>
      <c r="H271" s="661"/>
      <c r="I271" s="661"/>
      <c r="J271" s="661"/>
      <c r="K271" s="661"/>
      <c r="L271" s="661"/>
      <c r="M271" s="661"/>
      <c r="N271" s="661"/>
      <c r="O271" s="661"/>
      <c r="P271" s="661"/>
      <c r="Q271" s="661"/>
      <c r="R271" s="661"/>
      <c r="S271" s="661"/>
      <c r="T271" s="661"/>
      <c r="U271" s="661"/>
      <c r="V271" s="661"/>
      <c r="W271" s="661"/>
      <c r="X271" s="661"/>
      <c r="Y271" s="661"/>
      <c r="Z271" s="661"/>
      <c r="AA271" s="661"/>
      <c r="AB271" s="661"/>
      <c r="AE271" s="2140"/>
    </row>
    <row r="272" spans="2:31" s="395" customFormat="1" x14ac:dyDescent="0.25">
      <c r="B272" s="667" t="s">
        <v>1337</v>
      </c>
      <c r="C272" s="661"/>
      <c r="D272" s="661"/>
      <c r="E272" s="661"/>
      <c r="F272" s="661"/>
      <c r="G272" s="661"/>
      <c r="H272" s="661"/>
      <c r="I272" s="661"/>
      <c r="J272" s="661"/>
      <c r="K272" s="661"/>
      <c r="L272" s="661"/>
      <c r="M272" s="661"/>
      <c r="N272" s="661"/>
      <c r="O272" s="661"/>
      <c r="P272" s="661"/>
      <c r="Q272" s="661"/>
      <c r="R272" s="661"/>
      <c r="S272" s="661"/>
      <c r="T272" s="661"/>
      <c r="U272" s="661"/>
      <c r="V272" s="661"/>
      <c r="W272" s="661"/>
      <c r="X272" s="661"/>
      <c r="Y272" s="661"/>
      <c r="Z272" s="661"/>
      <c r="AA272" s="661"/>
      <c r="AB272" s="661"/>
      <c r="AE272" s="2140"/>
    </row>
    <row r="273" spans="2:31" s="395" customFormat="1" x14ac:dyDescent="0.25">
      <c r="B273" s="661"/>
      <c r="C273" s="661"/>
      <c r="D273" s="661"/>
      <c r="E273" s="661"/>
      <c r="F273" s="661"/>
      <c r="G273" s="661"/>
      <c r="H273" s="661"/>
      <c r="I273" s="661"/>
      <c r="J273" s="661"/>
      <c r="K273" s="661"/>
      <c r="L273" s="661"/>
      <c r="M273" s="661"/>
      <c r="N273" s="661"/>
      <c r="O273" s="661"/>
      <c r="P273" s="661"/>
      <c r="Q273" s="661"/>
      <c r="R273" s="661"/>
      <c r="S273" s="661"/>
      <c r="T273" s="661"/>
      <c r="U273" s="661"/>
      <c r="V273" s="661"/>
      <c r="W273" s="661"/>
      <c r="X273" s="661"/>
      <c r="Y273" s="661"/>
      <c r="Z273" s="661"/>
      <c r="AA273" s="661"/>
      <c r="AB273" s="661"/>
      <c r="AE273" s="2140"/>
    </row>
    <row r="274" spans="2:31" s="395" customFormat="1" ht="15" customHeight="1" x14ac:dyDescent="0.25">
      <c r="B274" s="661" t="s">
        <v>1152</v>
      </c>
      <c r="C274" s="3367" t="s">
        <v>1338</v>
      </c>
      <c r="D274" s="3367"/>
      <c r="E274" s="3367"/>
      <c r="F274" s="3367"/>
      <c r="G274" s="3367"/>
      <c r="H274" s="3367"/>
      <c r="I274" s="3367"/>
      <c r="J274" s="3367"/>
      <c r="K274" s="3367"/>
      <c r="L274" s="3367"/>
      <c r="M274" s="3367"/>
      <c r="N274" s="3367"/>
      <c r="O274" s="3367"/>
      <c r="P274" s="3367"/>
      <c r="Q274" s="3367"/>
      <c r="R274" s="3367"/>
      <c r="S274" s="3367"/>
      <c r="T274" s="3367"/>
      <c r="U274" s="3367"/>
      <c r="V274" s="3367"/>
      <c r="W274" s="3367"/>
      <c r="X274" s="3367"/>
      <c r="Y274" s="3367"/>
      <c r="Z274" s="3367"/>
      <c r="AA274" s="3367"/>
      <c r="AB274" s="3367"/>
      <c r="AE274" s="2140"/>
    </row>
    <row r="275" spans="2:31" s="395" customFormat="1" x14ac:dyDescent="0.25">
      <c r="B275" s="661"/>
      <c r="C275" s="661"/>
      <c r="D275" s="661"/>
      <c r="E275" s="661"/>
      <c r="F275" s="661"/>
      <c r="G275" s="661"/>
      <c r="H275" s="661"/>
      <c r="I275" s="661"/>
      <c r="J275" s="661"/>
      <c r="K275" s="661"/>
      <c r="L275" s="661"/>
      <c r="M275" s="661"/>
      <c r="N275" s="661"/>
      <c r="O275" s="661"/>
      <c r="P275" s="661"/>
      <c r="Q275" s="661"/>
      <c r="R275" s="661"/>
      <c r="S275" s="661"/>
      <c r="T275" s="661"/>
      <c r="U275" s="661"/>
      <c r="V275" s="661"/>
      <c r="W275" s="661"/>
      <c r="X275" s="661"/>
      <c r="Y275" s="661"/>
      <c r="Z275" s="661"/>
      <c r="AA275" s="661"/>
      <c r="AB275" s="661"/>
      <c r="AE275" s="2140"/>
    </row>
    <row r="276" spans="2:31" s="1608" customFormat="1" ht="21" customHeight="1" x14ac:dyDescent="0.25">
      <c r="B276" s="1356"/>
      <c r="C276" s="1357" t="s">
        <v>1153</v>
      </c>
      <c r="D276" s="1356" t="s">
        <v>1154</v>
      </c>
      <c r="E276" s="1356" t="s">
        <v>1155</v>
      </c>
      <c r="F276" s="1356" t="s">
        <v>1156</v>
      </c>
      <c r="G276" s="1356" t="s">
        <v>1157</v>
      </c>
      <c r="H276" s="1356" t="s">
        <v>1158</v>
      </c>
      <c r="I276" s="1356" t="s">
        <v>1159</v>
      </c>
      <c r="J276" s="1356" t="s">
        <v>1160</v>
      </c>
      <c r="K276" s="1356" t="s">
        <v>1161</v>
      </c>
      <c r="L276" s="1356" t="s">
        <v>1162</v>
      </c>
      <c r="M276" s="1356" t="s">
        <v>1163</v>
      </c>
      <c r="N276" s="1356" t="s">
        <v>1164</v>
      </c>
      <c r="O276" s="1356" t="s">
        <v>1165</v>
      </c>
      <c r="P276" s="1356" t="s">
        <v>1166</v>
      </c>
      <c r="Q276" s="1356" t="s">
        <v>1167</v>
      </c>
      <c r="R276" s="1356" t="s">
        <v>1168</v>
      </c>
      <c r="S276" s="1356" t="s">
        <v>1169</v>
      </c>
      <c r="T276" s="1356" t="s">
        <v>1170</v>
      </c>
      <c r="U276" s="1356" t="s">
        <v>1171</v>
      </c>
      <c r="V276" s="1356" t="s">
        <v>1172</v>
      </c>
      <c r="W276" s="1356" t="s">
        <v>1173</v>
      </c>
      <c r="X276" s="1356" t="s">
        <v>1174</v>
      </c>
      <c r="Y276" s="1356" t="s">
        <v>1175</v>
      </c>
      <c r="Z276" s="1356" t="s">
        <v>1176</v>
      </c>
      <c r="AA276" s="1356" t="s">
        <v>1177</v>
      </c>
      <c r="AB276" s="1356" t="s">
        <v>1178</v>
      </c>
      <c r="AE276" s="2140"/>
    </row>
    <row r="277" spans="2:31" s="395" customFormat="1" x14ac:dyDescent="0.25">
      <c r="B277" s="1490" t="s">
        <v>1179</v>
      </c>
      <c r="C277" s="1270">
        <v>1</v>
      </c>
      <c r="D277" s="1270">
        <v>1</v>
      </c>
      <c r="E277" s="1270">
        <v>1</v>
      </c>
      <c r="F277" s="1270">
        <v>1</v>
      </c>
      <c r="G277" s="1270">
        <v>1</v>
      </c>
      <c r="H277" s="1270">
        <v>1</v>
      </c>
      <c r="I277" s="1270">
        <v>1</v>
      </c>
      <c r="J277" s="1270">
        <v>1</v>
      </c>
      <c r="K277" s="1270">
        <v>1</v>
      </c>
      <c r="L277" s="1270">
        <v>1</v>
      </c>
      <c r="M277" s="1270">
        <v>1</v>
      </c>
      <c r="N277" s="1270">
        <v>1</v>
      </c>
      <c r="O277" s="1270">
        <v>1</v>
      </c>
      <c r="P277" s="1270">
        <v>1</v>
      </c>
      <c r="Q277" s="1270">
        <v>1</v>
      </c>
      <c r="R277" s="1270">
        <v>1</v>
      </c>
      <c r="S277" s="1270">
        <v>1</v>
      </c>
      <c r="T277" s="1270">
        <v>1</v>
      </c>
      <c r="U277" s="1270">
        <v>1</v>
      </c>
      <c r="V277" s="1270">
        <v>1</v>
      </c>
      <c r="W277" s="1270">
        <v>1</v>
      </c>
      <c r="X277" s="1270">
        <v>1</v>
      </c>
      <c r="Y277" s="1270">
        <v>1</v>
      </c>
      <c r="Z277" s="1270">
        <v>1</v>
      </c>
      <c r="AA277" s="1263">
        <f>SUM(C277:Z277)</f>
        <v>24</v>
      </c>
      <c r="AB277" s="1264">
        <f>AA277*SUM($C$9:$C$13)</f>
        <v>6000</v>
      </c>
      <c r="AE277" s="2140"/>
    </row>
    <row r="278" spans="2:31" s="395" customFormat="1" x14ac:dyDescent="0.25">
      <c r="B278" s="1490" t="s">
        <v>1149</v>
      </c>
      <c r="C278" s="1270">
        <v>1</v>
      </c>
      <c r="D278" s="1270">
        <v>1</v>
      </c>
      <c r="E278" s="1270">
        <v>1</v>
      </c>
      <c r="F278" s="1270">
        <v>1</v>
      </c>
      <c r="G278" s="1270">
        <v>1</v>
      </c>
      <c r="H278" s="1270">
        <v>1</v>
      </c>
      <c r="I278" s="1270">
        <v>1</v>
      </c>
      <c r="J278" s="1270">
        <v>1</v>
      </c>
      <c r="K278" s="1270">
        <v>1</v>
      </c>
      <c r="L278" s="1270">
        <v>1</v>
      </c>
      <c r="M278" s="1270">
        <v>1</v>
      </c>
      <c r="N278" s="1270">
        <v>1</v>
      </c>
      <c r="O278" s="1270">
        <v>1</v>
      </c>
      <c r="P278" s="1270">
        <v>1</v>
      </c>
      <c r="Q278" s="1270">
        <v>1</v>
      </c>
      <c r="R278" s="1270">
        <v>1</v>
      </c>
      <c r="S278" s="1270">
        <v>1</v>
      </c>
      <c r="T278" s="1270">
        <v>1</v>
      </c>
      <c r="U278" s="1270">
        <v>1</v>
      </c>
      <c r="V278" s="1270">
        <v>1</v>
      </c>
      <c r="W278" s="1270">
        <v>1</v>
      </c>
      <c r="X278" s="1270">
        <v>1</v>
      </c>
      <c r="Y278" s="1270">
        <v>1</v>
      </c>
      <c r="Z278" s="1270">
        <v>1</v>
      </c>
      <c r="AA278" s="1263">
        <f>SUM(C278:Z278)</f>
        <v>24</v>
      </c>
      <c r="AB278" s="1264">
        <f>AA278*SUM($C$14)</f>
        <v>1248</v>
      </c>
      <c r="AE278" s="2140"/>
    </row>
    <row r="279" spans="2:31" s="395" customFormat="1" x14ac:dyDescent="0.25">
      <c r="B279" s="1490" t="s">
        <v>1150</v>
      </c>
      <c r="C279" s="1270">
        <v>1</v>
      </c>
      <c r="D279" s="1270">
        <v>1</v>
      </c>
      <c r="E279" s="1270">
        <v>1</v>
      </c>
      <c r="F279" s="1270">
        <v>1</v>
      </c>
      <c r="G279" s="1270">
        <v>1</v>
      </c>
      <c r="H279" s="1270">
        <v>1</v>
      </c>
      <c r="I279" s="1270">
        <v>1</v>
      </c>
      <c r="J279" s="1270">
        <v>1</v>
      </c>
      <c r="K279" s="1270">
        <v>1</v>
      </c>
      <c r="L279" s="1270">
        <v>1</v>
      </c>
      <c r="M279" s="1270">
        <v>1</v>
      </c>
      <c r="N279" s="1270">
        <v>1</v>
      </c>
      <c r="O279" s="1270">
        <v>1</v>
      </c>
      <c r="P279" s="1270">
        <v>1</v>
      </c>
      <c r="Q279" s="1270">
        <v>1</v>
      </c>
      <c r="R279" s="1270">
        <v>1</v>
      </c>
      <c r="S279" s="1270">
        <v>1</v>
      </c>
      <c r="T279" s="1270">
        <v>1</v>
      </c>
      <c r="U279" s="1270">
        <v>1</v>
      </c>
      <c r="V279" s="1270">
        <v>1</v>
      </c>
      <c r="W279" s="1270">
        <v>1</v>
      </c>
      <c r="X279" s="1270">
        <v>1</v>
      </c>
      <c r="Y279" s="1270">
        <v>1</v>
      </c>
      <c r="Z279" s="1270">
        <v>1</v>
      </c>
      <c r="AA279" s="1263">
        <f>SUM(C279:Z279)</f>
        <v>24</v>
      </c>
      <c r="AB279" s="1264">
        <f>AA279*$C$15</f>
        <v>1248</v>
      </c>
      <c r="AE279" s="2140"/>
    </row>
    <row r="280" spans="2:31" s="395" customFormat="1" x14ac:dyDescent="0.25">
      <c r="B280" s="1490" t="s">
        <v>1181</v>
      </c>
      <c r="C280" s="1270">
        <v>1</v>
      </c>
      <c r="D280" s="1270">
        <v>1</v>
      </c>
      <c r="E280" s="1270">
        <v>1</v>
      </c>
      <c r="F280" s="1270">
        <v>1</v>
      </c>
      <c r="G280" s="1270">
        <v>1</v>
      </c>
      <c r="H280" s="1270">
        <v>1</v>
      </c>
      <c r="I280" s="1270">
        <v>1</v>
      </c>
      <c r="J280" s="1270">
        <v>1</v>
      </c>
      <c r="K280" s="1270">
        <v>1</v>
      </c>
      <c r="L280" s="1270">
        <v>1</v>
      </c>
      <c r="M280" s="1270">
        <v>1</v>
      </c>
      <c r="N280" s="1270">
        <v>1</v>
      </c>
      <c r="O280" s="1270">
        <v>1</v>
      </c>
      <c r="P280" s="1270">
        <v>1</v>
      </c>
      <c r="Q280" s="1270">
        <v>1</v>
      </c>
      <c r="R280" s="1270">
        <v>1</v>
      </c>
      <c r="S280" s="1270">
        <v>1</v>
      </c>
      <c r="T280" s="1270">
        <v>1</v>
      </c>
      <c r="U280" s="1270">
        <v>1</v>
      </c>
      <c r="V280" s="1270">
        <v>1</v>
      </c>
      <c r="W280" s="1270">
        <v>1</v>
      </c>
      <c r="X280" s="1270">
        <v>1</v>
      </c>
      <c r="Y280" s="1270">
        <v>1</v>
      </c>
      <c r="Z280" s="1270">
        <v>1</v>
      </c>
      <c r="AA280" s="1263">
        <f>SUM(C280:Z280)</f>
        <v>24</v>
      </c>
      <c r="AB280" s="1264">
        <f>AA280*SUM($C$8)</f>
        <v>264</v>
      </c>
      <c r="AE280" s="2140"/>
    </row>
    <row r="281" spans="2:31" s="395" customFormat="1" x14ac:dyDescent="0.25">
      <c r="B281" s="3368" t="s">
        <v>1182</v>
      </c>
      <c r="C281" s="3368"/>
      <c r="D281" s="3368"/>
      <c r="E281" s="3368"/>
      <c r="F281" s="3368"/>
      <c r="G281" s="3368"/>
      <c r="H281" s="3368"/>
      <c r="I281" s="3368"/>
      <c r="J281" s="3368"/>
      <c r="K281" s="3368"/>
      <c r="L281" s="3368"/>
      <c r="M281" s="3368"/>
      <c r="N281" s="3368"/>
      <c r="O281" s="3368"/>
      <c r="P281" s="3368"/>
      <c r="Q281" s="3368"/>
      <c r="R281" s="3368"/>
      <c r="S281" s="3368"/>
      <c r="T281" s="3368"/>
      <c r="U281" s="3368"/>
      <c r="V281" s="3368"/>
      <c r="W281" s="3368"/>
      <c r="X281" s="3368"/>
      <c r="Y281" s="3368"/>
      <c r="Z281" s="3368"/>
      <c r="AA281" s="3368"/>
      <c r="AB281" s="1264">
        <f>SUM(AB277:AB280)</f>
        <v>8760</v>
      </c>
      <c r="AE281" s="2140"/>
    </row>
    <row r="282" spans="2:31" s="395" customFormat="1" x14ac:dyDescent="0.25">
      <c r="B282" s="661"/>
      <c r="C282" s="661"/>
      <c r="D282" s="661"/>
      <c r="E282" s="661"/>
      <c r="F282" s="661"/>
      <c r="G282" s="661"/>
      <c r="H282" s="661"/>
      <c r="I282" s="661"/>
      <c r="J282" s="661"/>
      <c r="K282" s="661"/>
      <c r="L282" s="661"/>
      <c r="M282" s="661"/>
      <c r="N282" s="661"/>
      <c r="O282" s="661"/>
      <c r="P282" s="661"/>
      <c r="Q282" s="661"/>
      <c r="R282" s="661"/>
      <c r="S282" s="661"/>
      <c r="T282" s="661"/>
      <c r="U282" s="661"/>
      <c r="V282" s="661"/>
      <c r="W282" s="661"/>
      <c r="X282" s="661"/>
      <c r="Y282" s="661"/>
      <c r="Z282" s="661"/>
      <c r="AA282" s="661"/>
      <c r="AB282" s="661"/>
      <c r="AE282" s="2140"/>
    </row>
    <row r="283" spans="2:31" s="395" customFormat="1" ht="15" customHeight="1" x14ac:dyDescent="0.25">
      <c r="B283" s="661" t="s">
        <v>1152</v>
      </c>
      <c r="C283" s="3367" t="s">
        <v>1339</v>
      </c>
      <c r="D283" s="3367"/>
      <c r="E283" s="3367"/>
      <c r="F283" s="3367"/>
      <c r="G283" s="3367"/>
      <c r="H283" s="3367"/>
      <c r="I283" s="3367"/>
      <c r="J283" s="3367"/>
      <c r="K283" s="3367"/>
      <c r="L283" s="3367"/>
      <c r="M283" s="3367"/>
      <c r="N283" s="3367"/>
      <c r="O283" s="3367"/>
      <c r="P283" s="3367"/>
      <c r="Q283" s="3367"/>
      <c r="R283" s="3367"/>
      <c r="S283" s="3367"/>
      <c r="T283" s="3367"/>
      <c r="U283" s="3367"/>
      <c r="V283" s="3367"/>
      <c r="W283" s="3367"/>
      <c r="X283" s="3367"/>
      <c r="Y283" s="3367"/>
      <c r="Z283" s="3367"/>
      <c r="AA283" s="3367"/>
      <c r="AB283" s="3367"/>
      <c r="AE283" s="2140"/>
    </row>
    <row r="284" spans="2:31" s="395" customFormat="1" x14ac:dyDescent="0.25">
      <c r="B284" s="661"/>
      <c r="C284" s="661"/>
      <c r="D284" s="661"/>
      <c r="E284" s="661"/>
      <c r="F284" s="661"/>
      <c r="G284" s="661"/>
      <c r="H284" s="661"/>
      <c r="I284" s="661"/>
      <c r="J284" s="661"/>
      <c r="K284" s="661"/>
      <c r="L284" s="661"/>
      <c r="M284" s="661"/>
      <c r="N284" s="661"/>
      <c r="O284" s="661"/>
      <c r="P284" s="661"/>
      <c r="Q284" s="661"/>
      <c r="R284" s="661"/>
      <c r="S284" s="661"/>
      <c r="T284" s="661"/>
      <c r="U284" s="661"/>
      <c r="V284" s="661"/>
      <c r="W284" s="661"/>
      <c r="X284" s="661"/>
      <c r="Y284" s="661"/>
      <c r="Z284" s="661"/>
      <c r="AA284" s="661"/>
      <c r="AB284" s="661"/>
      <c r="AE284" s="2140"/>
    </row>
    <row r="285" spans="2:31" s="1608" customFormat="1" ht="21" customHeight="1" x14ac:dyDescent="0.25">
      <c r="B285" s="1356"/>
      <c r="C285" s="1357" t="s">
        <v>1153</v>
      </c>
      <c r="D285" s="1356" t="s">
        <v>1154</v>
      </c>
      <c r="E285" s="1356" t="s">
        <v>1155</v>
      </c>
      <c r="F285" s="1356" t="s">
        <v>1156</v>
      </c>
      <c r="G285" s="1356" t="s">
        <v>1157</v>
      </c>
      <c r="H285" s="1356" t="s">
        <v>1158</v>
      </c>
      <c r="I285" s="1356" t="s">
        <v>1159</v>
      </c>
      <c r="J285" s="1356" t="s">
        <v>1160</v>
      </c>
      <c r="K285" s="1356" t="s">
        <v>1161</v>
      </c>
      <c r="L285" s="1356" t="s">
        <v>1162</v>
      </c>
      <c r="M285" s="1356" t="s">
        <v>1163</v>
      </c>
      <c r="N285" s="1356" t="s">
        <v>1164</v>
      </c>
      <c r="O285" s="1356" t="s">
        <v>1165</v>
      </c>
      <c r="P285" s="1356" t="s">
        <v>1166</v>
      </c>
      <c r="Q285" s="1356" t="s">
        <v>1167</v>
      </c>
      <c r="R285" s="1356" t="s">
        <v>1168</v>
      </c>
      <c r="S285" s="1356" t="s">
        <v>1169</v>
      </c>
      <c r="T285" s="1356" t="s">
        <v>1170</v>
      </c>
      <c r="U285" s="1356" t="s">
        <v>1171</v>
      </c>
      <c r="V285" s="1356" t="s">
        <v>1172</v>
      </c>
      <c r="W285" s="1356" t="s">
        <v>1173</v>
      </c>
      <c r="X285" s="1356" t="s">
        <v>1174</v>
      </c>
      <c r="Y285" s="1356" t="s">
        <v>1175</v>
      </c>
      <c r="Z285" s="1356" t="s">
        <v>1176</v>
      </c>
      <c r="AA285" s="1356" t="s">
        <v>1184</v>
      </c>
      <c r="AB285" s="1356" t="s">
        <v>1185</v>
      </c>
      <c r="AE285" s="2140"/>
    </row>
    <row r="286" spans="2:31" s="395" customFormat="1" x14ac:dyDescent="0.25">
      <c r="B286" s="1490" t="s">
        <v>1179</v>
      </c>
      <c r="C286" s="1269">
        <v>0</v>
      </c>
      <c r="D286" s="1269">
        <v>0</v>
      </c>
      <c r="E286" s="1269">
        <v>0</v>
      </c>
      <c r="F286" s="1269">
        <v>0</v>
      </c>
      <c r="G286" s="1269">
        <v>0</v>
      </c>
      <c r="H286" s="1269">
        <v>0</v>
      </c>
      <c r="I286" s="1269">
        <v>0</v>
      </c>
      <c r="J286" s="1269">
        <v>0.1</v>
      </c>
      <c r="K286" s="1269">
        <v>0.5</v>
      </c>
      <c r="L286" s="1269">
        <v>0.8</v>
      </c>
      <c r="M286" s="1269">
        <v>0.8</v>
      </c>
      <c r="N286" s="1269">
        <v>0.8</v>
      </c>
      <c r="O286" s="1269">
        <v>0.8</v>
      </c>
      <c r="P286" s="1269">
        <v>0.8</v>
      </c>
      <c r="Q286" s="1269">
        <v>0.8</v>
      </c>
      <c r="R286" s="1269">
        <v>0.8</v>
      </c>
      <c r="S286" s="1269">
        <v>0.8</v>
      </c>
      <c r="T286" s="1269">
        <v>0.5</v>
      </c>
      <c r="U286" s="1269">
        <v>0.3</v>
      </c>
      <c r="V286" s="1269">
        <v>0.3</v>
      </c>
      <c r="W286" s="1269">
        <v>0.2</v>
      </c>
      <c r="X286" s="1269">
        <v>0.2</v>
      </c>
      <c r="Y286" s="1269">
        <v>0</v>
      </c>
      <c r="Z286" s="1269">
        <v>0</v>
      </c>
      <c r="AA286" s="1263">
        <f>SUM(C286:Z286)</f>
        <v>8.4999999999999982</v>
      </c>
      <c r="AB286" s="1264">
        <f>AA286*SUM($C$9:$C$13)</f>
        <v>2124.9999999999995</v>
      </c>
      <c r="AE286" s="2140"/>
    </row>
    <row r="287" spans="2:31" s="395" customFormat="1" x14ac:dyDescent="0.25">
      <c r="B287" s="1490" t="s">
        <v>1149</v>
      </c>
      <c r="C287" s="1269">
        <v>0</v>
      </c>
      <c r="D287" s="1269">
        <v>0</v>
      </c>
      <c r="E287" s="1269">
        <v>0</v>
      </c>
      <c r="F287" s="1269">
        <v>0</v>
      </c>
      <c r="G287" s="1269">
        <v>0</v>
      </c>
      <c r="H287" s="1269">
        <v>0</v>
      </c>
      <c r="I287" s="1269">
        <v>0</v>
      </c>
      <c r="J287" s="1269">
        <v>0.1</v>
      </c>
      <c r="K287" s="1269">
        <v>0.3</v>
      </c>
      <c r="L287" s="1269">
        <v>0.4</v>
      </c>
      <c r="M287" s="1269">
        <v>0.4</v>
      </c>
      <c r="N287" s="1269">
        <v>0.4</v>
      </c>
      <c r="O287" s="1269">
        <v>0.4</v>
      </c>
      <c r="P287" s="1269">
        <v>0.4</v>
      </c>
      <c r="Q287" s="1269">
        <v>0.4</v>
      </c>
      <c r="R287" s="1269">
        <v>0.4</v>
      </c>
      <c r="S287" s="1269">
        <v>0.4</v>
      </c>
      <c r="T287" s="1269">
        <v>0.1</v>
      </c>
      <c r="U287" s="1269">
        <v>0.1</v>
      </c>
      <c r="V287" s="1269">
        <v>0</v>
      </c>
      <c r="W287" s="1269">
        <v>0</v>
      </c>
      <c r="X287" s="1269">
        <v>0</v>
      </c>
      <c r="Y287" s="1269">
        <v>0</v>
      </c>
      <c r="Z287" s="1269">
        <v>0</v>
      </c>
      <c r="AA287" s="1263">
        <f>SUM(C287:Z287)</f>
        <v>3.8</v>
      </c>
      <c r="AB287" s="1264">
        <f>AA287*SUM($C$14)</f>
        <v>197.6</v>
      </c>
      <c r="AE287" s="2140"/>
    </row>
    <row r="288" spans="2:31" s="395" customFormat="1" x14ac:dyDescent="0.25">
      <c r="B288" s="1490" t="s">
        <v>1150</v>
      </c>
      <c r="C288" s="1269">
        <v>0</v>
      </c>
      <c r="D288" s="1269">
        <v>0</v>
      </c>
      <c r="E288" s="1269">
        <v>0</v>
      </c>
      <c r="F288" s="1269">
        <v>0</v>
      </c>
      <c r="G288" s="1269">
        <v>0</v>
      </c>
      <c r="H288" s="1269">
        <v>0</v>
      </c>
      <c r="I288" s="1269">
        <v>0</v>
      </c>
      <c r="J288" s="1269">
        <v>0</v>
      </c>
      <c r="K288" s="1269">
        <v>0.05</v>
      </c>
      <c r="L288" s="1269">
        <v>0.05</v>
      </c>
      <c r="M288" s="1269">
        <v>0.05</v>
      </c>
      <c r="N288" s="1269">
        <v>0.05</v>
      </c>
      <c r="O288" s="1269">
        <v>0.05</v>
      </c>
      <c r="P288" s="1269">
        <v>0.05</v>
      </c>
      <c r="Q288" s="1269">
        <v>0.05</v>
      </c>
      <c r="R288" s="1269">
        <v>0.05</v>
      </c>
      <c r="S288" s="1269">
        <v>0</v>
      </c>
      <c r="T288" s="1269">
        <v>0</v>
      </c>
      <c r="U288" s="1269">
        <v>0</v>
      </c>
      <c r="V288" s="1269">
        <v>0</v>
      </c>
      <c r="W288" s="1269">
        <v>0</v>
      </c>
      <c r="X288" s="1269">
        <v>0</v>
      </c>
      <c r="Y288" s="1269">
        <v>0</v>
      </c>
      <c r="Z288" s="1269">
        <v>0</v>
      </c>
      <c r="AA288" s="1263">
        <f>SUM(C288:Z288)</f>
        <v>0.39999999999999997</v>
      </c>
      <c r="AB288" s="1264">
        <f>AA288*$C$15</f>
        <v>20.799999999999997</v>
      </c>
      <c r="AE288" s="2140"/>
    </row>
    <row r="289" spans="2:31" s="395" customFormat="1" x14ac:dyDescent="0.25">
      <c r="B289" s="1490" t="s">
        <v>1181</v>
      </c>
      <c r="C289" s="1269">
        <v>0</v>
      </c>
      <c r="D289" s="1269">
        <v>0</v>
      </c>
      <c r="E289" s="1269">
        <v>0</v>
      </c>
      <c r="F289" s="1269">
        <v>0</v>
      </c>
      <c r="G289" s="1269">
        <v>0</v>
      </c>
      <c r="H289" s="1269">
        <v>0</v>
      </c>
      <c r="I289" s="1269">
        <v>0</v>
      </c>
      <c r="J289" s="1269">
        <v>0</v>
      </c>
      <c r="K289" s="1269">
        <v>0.05</v>
      </c>
      <c r="L289" s="1269">
        <v>0.05</v>
      </c>
      <c r="M289" s="1269">
        <v>0.05</v>
      </c>
      <c r="N289" s="1269">
        <v>0.05</v>
      </c>
      <c r="O289" s="1269">
        <v>0.05</v>
      </c>
      <c r="P289" s="1269">
        <v>0.05</v>
      </c>
      <c r="Q289" s="1269">
        <v>0.05</v>
      </c>
      <c r="R289" s="1269">
        <v>0.05</v>
      </c>
      <c r="S289" s="1269">
        <v>0</v>
      </c>
      <c r="T289" s="1269">
        <v>0</v>
      </c>
      <c r="U289" s="1269">
        <v>0</v>
      </c>
      <c r="V289" s="1269">
        <v>0</v>
      </c>
      <c r="W289" s="1269">
        <v>0</v>
      </c>
      <c r="X289" s="1269">
        <v>0</v>
      </c>
      <c r="Y289" s="1269">
        <v>0</v>
      </c>
      <c r="Z289" s="1269">
        <v>0</v>
      </c>
      <c r="AA289" s="1263">
        <f>SUM(C289:Z289)</f>
        <v>0.39999999999999997</v>
      </c>
      <c r="AB289" s="1264">
        <f>AA289*SUM($C$8)</f>
        <v>4.3999999999999995</v>
      </c>
      <c r="AE289" s="2140"/>
    </row>
    <row r="290" spans="2:31" s="395" customFormat="1" x14ac:dyDescent="0.25">
      <c r="B290" s="3368" t="s">
        <v>1186</v>
      </c>
      <c r="C290" s="3368"/>
      <c r="D290" s="3368"/>
      <c r="E290" s="3368"/>
      <c r="F290" s="3368"/>
      <c r="G290" s="3368"/>
      <c r="H290" s="3368"/>
      <c r="I290" s="3368"/>
      <c r="J290" s="3368"/>
      <c r="K290" s="3368"/>
      <c r="L290" s="3368"/>
      <c r="M290" s="3368"/>
      <c r="N290" s="3368"/>
      <c r="O290" s="3368"/>
      <c r="P290" s="3368"/>
      <c r="Q290" s="3368"/>
      <c r="R290" s="3368"/>
      <c r="S290" s="3368"/>
      <c r="T290" s="3368"/>
      <c r="U290" s="3368"/>
      <c r="V290" s="3368"/>
      <c r="W290" s="3368"/>
      <c r="X290" s="3368"/>
      <c r="Y290" s="3368"/>
      <c r="Z290" s="3368"/>
      <c r="AA290" s="3368"/>
      <c r="AB290" s="1264">
        <f>SUM(AB286:AB289)</f>
        <v>2347.7999999999997</v>
      </c>
      <c r="AE290" s="2140"/>
    </row>
    <row r="291" spans="2:31" s="395" customFormat="1" x14ac:dyDescent="0.25">
      <c r="B291" s="661"/>
      <c r="C291" s="661"/>
      <c r="D291" s="661"/>
      <c r="E291" s="661"/>
      <c r="F291" s="661"/>
      <c r="G291" s="661"/>
      <c r="H291" s="661"/>
      <c r="I291" s="661"/>
      <c r="J291" s="661"/>
      <c r="K291" s="661"/>
      <c r="L291" s="661"/>
      <c r="M291" s="661"/>
      <c r="N291" s="661"/>
      <c r="O291" s="661"/>
      <c r="P291" s="661"/>
      <c r="Q291" s="661"/>
      <c r="R291" s="661"/>
      <c r="S291" s="661"/>
      <c r="T291" s="661"/>
      <c r="U291" s="661"/>
      <c r="V291" s="661"/>
      <c r="W291" s="661"/>
      <c r="X291" s="661"/>
      <c r="Y291" s="661"/>
      <c r="Z291" s="661"/>
      <c r="AA291" s="661"/>
      <c r="AB291" s="661"/>
      <c r="AE291" s="2140"/>
    </row>
    <row r="292" spans="2:31" s="395" customFormat="1" ht="15" customHeight="1" x14ac:dyDescent="0.25">
      <c r="B292" s="661" t="s">
        <v>1152</v>
      </c>
      <c r="C292" s="3367" t="s">
        <v>1340</v>
      </c>
      <c r="D292" s="3367"/>
      <c r="E292" s="3367"/>
      <c r="F292" s="3367"/>
      <c r="G292" s="3367"/>
      <c r="H292" s="3367"/>
      <c r="I292" s="3367"/>
      <c r="J292" s="3367"/>
      <c r="K292" s="3367"/>
      <c r="L292" s="3367"/>
      <c r="M292" s="3367"/>
      <c r="N292" s="3367"/>
      <c r="O292" s="3367"/>
      <c r="P292" s="3367"/>
      <c r="Q292" s="3367"/>
      <c r="R292" s="3367"/>
      <c r="S292" s="3367"/>
      <c r="T292" s="3367"/>
      <c r="U292" s="3367"/>
      <c r="V292" s="3367"/>
      <c r="W292" s="3367"/>
      <c r="X292" s="3367"/>
      <c r="Y292" s="3367"/>
      <c r="Z292" s="3367"/>
      <c r="AA292" s="3367"/>
      <c r="AB292" s="3367"/>
      <c r="AE292" s="2140"/>
    </row>
    <row r="293" spans="2:31" s="395" customFormat="1" x14ac:dyDescent="0.25">
      <c r="B293" s="661"/>
      <c r="C293" s="661"/>
      <c r="D293" s="661"/>
      <c r="E293" s="661"/>
      <c r="F293" s="661"/>
      <c r="G293" s="661"/>
      <c r="H293" s="661"/>
      <c r="I293" s="661"/>
      <c r="J293" s="661"/>
      <c r="K293" s="661"/>
      <c r="L293" s="661"/>
      <c r="M293" s="661"/>
      <c r="N293" s="661"/>
      <c r="O293" s="661"/>
      <c r="P293" s="661"/>
      <c r="Q293" s="661"/>
      <c r="R293" s="661"/>
      <c r="S293" s="661"/>
      <c r="T293" s="661"/>
      <c r="U293" s="661"/>
      <c r="V293" s="661"/>
      <c r="W293" s="661"/>
      <c r="X293" s="661"/>
      <c r="Y293" s="661"/>
      <c r="Z293" s="661"/>
      <c r="AA293" s="661"/>
      <c r="AB293" s="661"/>
      <c r="AE293" s="2140"/>
    </row>
    <row r="294" spans="2:31" s="1608" customFormat="1" ht="21" customHeight="1" x14ac:dyDescent="0.25">
      <c r="B294" s="1356"/>
      <c r="C294" s="1357" t="s">
        <v>1153</v>
      </c>
      <c r="D294" s="1356" t="s">
        <v>1154</v>
      </c>
      <c r="E294" s="1356" t="s">
        <v>1155</v>
      </c>
      <c r="F294" s="1356" t="s">
        <v>1156</v>
      </c>
      <c r="G294" s="1356" t="s">
        <v>1157</v>
      </c>
      <c r="H294" s="1356" t="s">
        <v>1158</v>
      </c>
      <c r="I294" s="1356" t="s">
        <v>1159</v>
      </c>
      <c r="J294" s="1356" t="s">
        <v>1160</v>
      </c>
      <c r="K294" s="1356" t="s">
        <v>1161</v>
      </c>
      <c r="L294" s="1356" t="s">
        <v>1162</v>
      </c>
      <c r="M294" s="1356" t="s">
        <v>1163</v>
      </c>
      <c r="N294" s="1356" t="s">
        <v>1164</v>
      </c>
      <c r="O294" s="1356" t="s">
        <v>1165</v>
      </c>
      <c r="P294" s="1356" t="s">
        <v>1166</v>
      </c>
      <c r="Q294" s="1356" t="s">
        <v>1167</v>
      </c>
      <c r="R294" s="1356" t="s">
        <v>1168</v>
      </c>
      <c r="S294" s="1356" t="s">
        <v>1169</v>
      </c>
      <c r="T294" s="1356" t="s">
        <v>1170</v>
      </c>
      <c r="U294" s="1356" t="s">
        <v>1171</v>
      </c>
      <c r="V294" s="1356" t="s">
        <v>1172</v>
      </c>
      <c r="W294" s="1356" t="s">
        <v>1173</v>
      </c>
      <c r="X294" s="1356" t="s">
        <v>1174</v>
      </c>
      <c r="Y294" s="1356" t="s">
        <v>1175</v>
      </c>
      <c r="Z294" s="1356" t="s">
        <v>1176</v>
      </c>
      <c r="AA294" s="1356" t="s">
        <v>1184</v>
      </c>
      <c r="AB294" s="1356" t="s">
        <v>1185</v>
      </c>
      <c r="AE294" s="2140"/>
    </row>
    <row r="295" spans="2:31" s="395" customFormat="1" x14ac:dyDescent="0.25">
      <c r="B295" s="1490" t="s">
        <v>1179</v>
      </c>
      <c r="C295" s="1269">
        <v>0.1</v>
      </c>
      <c r="D295" s="1269">
        <v>0.1</v>
      </c>
      <c r="E295" s="1269">
        <v>0.1</v>
      </c>
      <c r="F295" s="1269">
        <v>0.1</v>
      </c>
      <c r="G295" s="1269">
        <v>0.1</v>
      </c>
      <c r="H295" s="1269">
        <v>0.1</v>
      </c>
      <c r="I295" s="1269">
        <v>0.1</v>
      </c>
      <c r="J295" s="1269">
        <v>0.45</v>
      </c>
      <c r="K295" s="1269">
        <v>0.8</v>
      </c>
      <c r="L295" s="1269">
        <v>0.8</v>
      </c>
      <c r="M295" s="1269">
        <v>0.8</v>
      </c>
      <c r="N295" s="1269">
        <v>0.8</v>
      </c>
      <c r="O295" s="1269">
        <v>0.8</v>
      </c>
      <c r="P295" s="1269">
        <v>0.8</v>
      </c>
      <c r="Q295" s="1269">
        <v>0.8</v>
      </c>
      <c r="R295" s="1269">
        <v>0.8</v>
      </c>
      <c r="S295" s="1269">
        <v>0.3</v>
      </c>
      <c r="T295" s="1269">
        <v>0.3</v>
      </c>
      <c r="U295" s="1269">
        <v>0.3</v>
      </c>
      <c r="V295" s="1269">
        <v>0.3</v>
      </c>
      <c r="W295" s="1269">
        <v>0.3</v>
      </c>
      <c r="X295" s="1269">
        <v>0.3</v>
      </c>
      <c r="Y295" s="1269">
        <v>0.3</v>
      </c>
      <c r="Z295" s="1269">
        <v>0.1</v>
      </c>
      <c r="AA295" s="1263">
        <f>SUM(C295:Z295)</f>
        <v>9.7500000000000018</v>
      </c>
      <c r="AB295" s="1264">
        <f>AA295*SUM($C$9:$C$13)</f>
        <v>2437.5000000000005</v>
      </c>
      <c r="AE295" s="2140"/>
    </row>
    <row r="296" spans="2:31" s="395" customFormat="1" x14ac:dyDescent="0.25">
      <c r="B296" s="1490" t="s">
        <v>1149</v>
      </c>
      <c r="C296" s="1269">
        <v>0.1</v>
      </c>
      <c r="D296" s="1269">
        <v>0.1</v>
      </c>
      <c r="E296" s="1269">
        <v>0.1</v>
      </c>
      <c r="F296" s="1269">
        <v>0.1</v>
      </c>
      <c r="G296" s="1269">
        <v>0.1</v>
      </c>
      <c r="H296" s="1269">
        <v>0.1</v>
      </c>
      <c r="I296" s="1269">
        <v>0.1</v>
      </c>
      <c r="J296" s="1269">
        <v>0.2</v>
      </c>
      <c r="K296" s="1269">
        <v>0.35</v>
      </c>
      <c r="L296" s="1269">
        <v>0.35</v>
      </c>
      <c r="M296" s="1269">
        <v>0.35</v>
      </c>
      <c r="N296" s="1269">
        <v>0.35</v>
      </c>
      <c r="O296" s="1269">
        <v>0.35</v>
      </c>
      <c r="P296" s="1269">
        <v>0.35</v>
      </c>
      <c r="Q296" s="1269">
        <v>0.35</v>
      </c>
      <c r="R296" s="1269">
        <v>0.35</v>
      </c>
      <c r="S296" s="1269">
        <v>0.35</v>
      </c>
      <c r="T296" s="1269">
        <v>0.35</v>
      </c>
      <c r="U296" s="1269">
        <v>0.1</v>
      </c>
      <c r="V296" s="1269">
        <v>0.1</v>
      </c>
      <c r="W296" s="1269">
        <v>0.1</v>
      </c>
      <c r="X296" s="1269">
        <v>0.1</v>
      </c>
      <c r="Y296" s="1269">
        <v>0.1</v>
      </c>
      <c r="Z296" s="1269">
        <v>0.1</v>
      </c>
      <c r="AA296" s="1263">
        <f>SUM(C296:Z296)</f>
        <v>4.9999999999999982</v>
      </c>
      <c r="AB296" s="1264">
        <f>AA296*SUM($C$14)</f>
        <v>259.99999999999989</v>
      </c>
      <c r="AE296" s="2140"/>
    </row>
    <row r="297" spans="2:31" s="395" customFormat="1" x14ac:dyDescent="0.25">
      <c r="B297" s="1490" t="s">
        <v>1150</v>
      </c>
      <c r="C297" s="1269">
        <v>0.05</v>
      </c>
      <c r="D297" s="1269">
        <v>0.05</v>
      </c>
      <c r="E297" s="1269">
        <v>0.05</v>
      </c>
      <c r="F297" s="1269">
        <v>0.05</v>
      </c>
      <c r="G297" s="1269">
        <v>0.05</v>
      </c>
      <c r="H297" s="1269">
        <v>0.05</v>
      </c>
      <c r="I297" s="1269">
        <v>0.05</v>
      </c>
      <c r="J297" s="1269">
        <v>0.05</v>
      </c>
      <c r="K297" s="1269">
        <v>0.1</v>
      </c>
      <c r="L297" s="1269">
        <v>0.1</v>
      </c>
      <c r="M297" s="1269">
        <v>0.1</v>
      </c>
      <c r="N297" s="1269">
        <v>0.1</v>
      </c>
      <c r="O297" s="1269">
        <v>0.1</v>
      </c>
      <c r="P297" s="1269">
        <v>0.1</v>
      </c>
      <c r="Q297" s="1269">
        <v>0.1</v>
      </c>
      <c r="R297" s="1269">
        <v>0.1</v>
      </c>
      <c r="S297" s="1269">
        <v>0.05</v>
      </c>
      <c r="T297" s="1269">
        <v>0.05</v>
      </c>
      <c r="U297" s="1269">
        <v>0.05</v>
      </c>
      <c r="V297" s="1269">
        <v>0.05</v>
      </c>
      <c r="W297" s="1269">
        <v>0.05</v>
      </c>
      <c r="X297" s="1269">
        <v>0.05</v>
      </c>
      <c r="Y297" s="1269">
        <v>0.05</v>
      </c>
      <c r="Z297" s="1269">
        <v>0.05</v>
      </c>
      <c r="AA297" s="1263">
        <f>SUM(C297:Z297)</f>
        <v>1.6000000000000003</v>
      </c>
      <c r="AB297" s="1264">
        <f>AA297*$C$15</f>
        <v>83.200000000000017</v>
      </c>
      <c r="AE297" s="2140"/>
    </row>
    <row r="298" spans="2:31" s="395" customFormat="1" x14ac:dyDescent="0.25">
      <c r="B298" s="1490" t="s">
        <v>1181</v>
      </c>
      <c r="C298" s="1269">
        <v>0.05</v>
      </c>
      <c r="D298" s="1269">
        <v>0.05</v>
      </c>
      <c r="E298" s="1269">
        <v>0.05</v>
      </c>
      <c r="F298" s="1269">
        <v>0.05</v>
      </c>
      <c r="G298" s="1269">
        <v>0.05</v>
      </c>
      <c r="H298" s="1269">
        <v>0.05</v>
      </c>
      <c r="I298" s="1269">
        <v>0.05</v>
      </c>
      <c r="J298" s="1269">
        <v>0.05</v>
      </c>
      <c r="K298" s="1269">
        <v>0.1</v>
      </c>
      <c r="L298" s="1269">
        <v>0.1</v>
      </c>
      <c r="M298" s="1269">
        <v>0.1</v>
      </c>
      <c r="N298" s="1269">
        <v>0.1</v>
      </c>
      <c r="O298" s="1269">
        <v>0.1</v>
      </c>
      <c r="P298" s="1269">
        <v>0.1</v>
      </c>
      <c r="Q298" s="1269">
        <v>0.1</v>
      </c>
      <c r="R298" s="1269">
        <v>0.1</v>
      </c>
      <c r="S298" s="1269">
        <v>0.05</v>
      </c>
      <c r="T298" s="1269">
        <v>0.05</v>
      </c>
      <c r="U298" s="1269">
        <v>0.05</v>
      </c>
      <c r="V298" s="1269">
        <v>0.05</v>
      </c>
      <c r="W298" s="1269">
        <v>0.05</v>
      </c>
      <c r="X298" s="1269">
        <v>0.05</v>
      </c>
      <c r="Y298" s="1269">
        <v>0.05</v>
      </c>
      <c r="Z298" s="1269">
        <v>0.05</v>
      </c>
      <c r="AA298" s="1263">
        <f>SUM(C298:Z298)</f>
        <v>1.6000000000000003</v>
      </c>
      <c r="AB298" s="1264">
        <f>AA298*SUM($C$8)</f>
        <v>17.600000000000005</v>
      </c>
      <c r="AE298" s="2140"/>
    </row>
    <row r="299" spans="2:31" s="395" customFormat="1" x14ac:dyDescent="0.25">
      <c r="B299" s="3368" t="s">
        <v>1186</v>
      </c>
      <c r="C299" s="3368"/>
      <c r="D299" s="3368"/>
      <c r="E299" s="3368"/>
      <c r="F299" s="3368"/>
      <c r="G299" s="3368"/>
      <c r="H299" s="3368"/>
      <c r="I299" s="3368"/>
      <c r="J299" s="3368"/>
      <c r="K299" s="3368"/>
      <c r="L299" s="3368"/>
      <c r="M299" s="3368"/>
      <c r="N299" s="3368"/>
      <c r="O299" s="3368"/>
      <c r="P299" s="3368"/>
      <c r="Q299" s="3368"/>
      <c r="R299" s="3368"/>
      <c r="S299" s="3368"/>
      <c r="T299" s="3368"/>
      <c r="U299" s="3368"/>
      <c r="V299" s="3368"/>
      <c r="W299" s="3368"/>
      <c r="X299" s="3368"/>
      <c r="Y299" s="3368"/>
      <c r="Z299" s="3368"/>
      <c r="AA299" s="3368"/>
      <c r="AB299" s="1264">
        <f>SUM(AB295:AB298)</f>
        <v>2798.3</v>
      </c>
      <c r="AE299" s="2140"/>
    </row>
    <row r="300" spans="2:31" s="395" customFormat="1" x14ac:dyDescent="0.25">
      <c r="B300" s="661"/>
      <c r="C300" s="661"/>
      <c r="D300" s="661"/>
      <c r="E300" s="661"/>
      <c r="F300" s="661"/>
      <c r="G300" s="661"/>
      <c r="H300" s="661"/>
      <c r="I300" s="661"/>
      <c r="J300" s="661"/>
      <c r="K300" s="661"/>
      <c r="L300" s="661"/>
      <c r="M300" s="661"/>
      <c r="N300" s="661"/>
      <c r="O300" s="661"/>
      <c r="P300" s="661"/>
      <c r="Q300" s="661"/>
      <c r="R300" s="661"/>
      <c r="S300" s="661"/>
      <c r="T300" s="661"/>
      <c r="U300" s="661"/>
      <c r="V300" s="661"/>
      <c r="W300" s="661"/>
      <c r="X300" s="661"/>
      <c r="Y300" s="661"/>
      <c r="Z300" s="661"/>
      <c r="AA300" s="661"/>
      <c r="AB300" s="661"/>
      <c r="AE300" s="2140"/>
    </row>
    <row r="301" spans="2:31" s="395" customFormat="1" ht="15" customHeight="1" x14ac:dyDescent="0.25">
      <c r="B301" s="661" t="s">
        <v>1152</v>
      </c>
      <c r="C301" s="3367" t="s">
        <v>1341</v>
      </c>
      <c r="D301" s="3367"/>
      <c r="E301" s="3367"/>
      <c r="F301" s="3367"/>
      <c r="G301" s="3367"/>
      <c r="H301" s="3367"/>
      <c r="I301" s="3367"/>
      <c r="J301" s="3367"/>
      <c r="K301" s="3367"/>
      <c r="L301" s="3367"/>
      <c r="M301" s="3367"/>
      <c r="N301" s="3367"/>
      <c r="O301" s="3367"/>
      <c r="P301" s="3367"/>
      <c r="Q301" s="3367"/>
      <c r="R301" s="3367"/>
      <c r="S301" s="3367"/>
      <c r="T301" s="3367"/>
      <c r="U301" s="3367"/>
      <c r="V301" s="3367"/>
      <c r="W301" s="3367"/>
      <c r="X301" s="3367"/>
      <c r="Y301" s="3367"/>
      <c r="Z301" s="3367"/>
      <c r="AA301" s="3367"/>
      <c r="AB301" s="3367"/>
      <c r="AE301" s="2140"/>
    </row>
    <row r="302" spans="2:31" s="395" customFormat="1" x14ac:dyDescent="0.25">
      <c r="B302" s="661"/>
      <c r="C302" s="661"/>
      <c r="D302" s="661"/>
      <c r="E302" s="661"/>
      <c r="F302" s="661"/>
      <c r="G302" s="661"/>
      <c r="H302" s="661"/>
      <c r="I302" s="661"/>
      <c r="J302" s="661"/>
      <c r="K302" s="661"/>
      <c r="L302" s="661"/>
      <c r="M302" s="661"/>
      <c r="N302" s="661"/>
      <c r="O302" s="661"/>
      <c r="P302" s="661"/>
      <c r="Q302" s="661"/>
      <c r="R302" s="661"/>
      <c r="S302" s="661"/>
      <c r="T302" s="661"/>
      <c r="U302" s="661"/>
      <c r="V302" s="661"/>
      <c r="W302" s="661"/>
      <c r="X302" s="661"/>
      <c r="Y302" s="661"/>
      <c r="Z302" s="661"/>
      <c r="AA302" s="661"/>
      <c r="AB302" s="661"/>
      <c r="AE302" s="2140"/>
    </row>
    <row r="303" spans="2:31" s="1608" customFormat="1" ht="21" customHeight="1" x14ac:dyDescent="0.25">
      <c r="B303" s="1356"/>
      <c r="C303" s="1357" t="s">
        <v>1153</v>
      </c>
      <c r="D303" s="1356" t="s">
        <v>1154</v>
      </c>
      <c r="E303" s="1356" t="s">
        <v>1155</v>
      </c>
      <c r="F303" s="1356" t="s">
        <v>1156</v>
      </c>
      <c r="G303" s="1356" t="s">
        <v>1157</v>
      </c>
      <c r="H303" s="1356" t="s">
        <v>1158</v>
      </c>
      <c r="I303" s="1356" t="s">
        <v>1159</v>
      </c>
      <c r="J303" s="1356" t="s">
        <v>1160</v>
      </c>
      <c r="K303" s="1356" t="s">
        <v>1161</v>
      </c>
      <c r="L303" s="1356" t="s">
        <v>1162</v>
      </c>
      <c r="M303" s="1356" t="s">
        <v>1163</v>
      </c>
      <c r="N303" s="1356" t="s">
        <v>1164</v>
      </c>
      <c r="O303" s="1356" t="s">
        <v>1165</v>
      </c>
      <c r="P303" s="1356" t="s">
        <v>1166</v>
      </c>
      <c r="Q303" s="1356" t="s">
        <v>1167</v>
      </c>
      <c r="R303" s="1356" t="s">
        <v>1168</v>
      </c>
      <c r="S303" s="1356" t="s">
        <v>1169</v>
      </c>
      <c r="T303" s="1356" t="s">
        <v>1170</v>
      </c>
      <c r="U303" s="1356" t="s">
        <v>1171</v>
      </c>
      <c r="V303" s="1356" t="s">
        <v>1172</v>
      </c>
      <c r="W303" s="1356" t="s">
        <v>1173</v>
      </c>
      <c r="X303" s="1356" t="s">
        <v>1174</v>
      </c>
      <c r="Y303" s="1356" t="s">
        <v>1175</v>
      </c>
      <c r="Z303" s="1356" t="s">
        <v>1176</v>
      </c>
      <c r="AA303" s="1356" t="s">
        <v>1184</v>
      </c>
      <c r="AB303" s="1356" t="s">
        <v>1185</v>
      </c>
      <c r="AE303" s="2140"/>
    </row>
    <row r="304" spans="2:31" s="395" customFormat="1" x14ac:dyDescent="0.25">
      <c r="B304" s="1490" t="s">
        <v>1179</v>
      </c>
      <c r="C304" s="1269">
        <v>0.1</v>
      </c>
      <c r="D304" s="1269">
        <v>0.1</v>
      </c>
      <c r="E304" s="1269">
        <v>0.1</v>
      </c>
      <c r="F304" s="1269">
        <v>0.1</v>
      </c>
      <c r="G304" s="1269">
        <v>0.1</v>
      </c>
      <c r="H304" s="1269">
        <v>0.1</v>
      </c>
      <c r="I304" s="1269">
        <v>0.1</v>
      </c>
      <c r="J304" s="1269">
        <v>0.5</v>
      </c>
      <c r="K304" s="1269">
        <v>0.9</v>
      </c>
      <c r="L304" s="1269">
        <v>0.9</v>
      </c>
      <c r="M304" s="1269">
        <v>0.9</v>
      </c>
      <c r="N304" s="1269">
        <v>0.9</v>
      </c>
      <c r="O304" s="1269">
        <v>0.9</v>
      </c>
      <c r="P304" s="1269">
        <v>0.9</v>
      </c>
      <c r="Q304" s="1269">
        <v>0.9</v>
      </c>
      <c r="R304" s="1269">
        <v>0.9</v>
      </c>
      <c r="S304" s="1269">
        <v>0.3</v>
      </c>
      <c r="T304" s="1269">
        <v>0.3</v>
      </c>
      <c r="U304" s="1269">
        <v>0.3</v>
      </c>
      <c r="V304" s="1269">
        <v>0.3</v>
      </c>
      <c r="W304" s="1269">
        <v>0.3</v>
      </c>
      <c r="X304" s="1269">
        <v>0.3</v>
      </c>
      <c r="Y304" s="1269">
        <v>0.3</v>
      </c>
      <c r="Z304" s="1269">
        <v>0.1</v>
      </c>
      <c r="AA304" s="1263">
        <f>SUM(C304:Z304)</f>
        <v>10.600000000000005</v>
      </c>
      <c r="AB304" s="1264">
        <f>AA304*SUM($C$9:$C$13)</f>
        <v>2650.0000000000014</v>
      </c>
      <c r="AE304" s="2140"/>
    </row>
    <row r="305" spans="2:31" s="395" customFormat="1" x14ac:dyDescent="0.25">
      <c r="B305" s="1490" t="s">
        <v>1149</v>
      </c>
      <c r="C305" s="1269">
        <v>0.1</v>
      </c>
      <c r="D305" s="1269">
        <v>0.1</v>
      </c>
      <c r="E305" s="1269">
        <v>0.1</v>
      </c>
      <c r="F305" s="1269">
        <v>0.1</v>
      </c>
      <c r="G305" s="1269">
        <v>0.1</v>
      </c>
      <c r="H305" s="1269">
        <v>0.1</v>
      </c>
      <c r="I305" s="1269">
        <v>0.1</v>
      </c>
      <c r="J305" s="1269">
        <v>0.2</v>
      </c>
      <c r="K305" s="1269">
        <v>0.4</v>
      </c>
      <c r="L305" s="1269">
        <v>0.4</v>
      </c>
      <c r="M305" s="1269">
        <v>0.4</v>
      </c>
      <c r="N305" s="1269">
        <v>0.4</v>
      </c>
      <c r="O305" s="1269">
        <v>0.4</v>
      </c>
      <c r="P305" s="1269">
        <v>0.4</v>
      </c>
      <c r="Q305" s="1269">
        <v>0.4</v>
      </c>
      <c r="R305" s="1269">
        <v>0.4</v>
      </c>
      <c r="S305" s="1269">
        <v>0.4</v>
      </c>
      <c r="T305" s="1269">
        <v>0.4</v>
      </c>
      <c r="U305" s="1269">
        <v>0.1</v>
      </c>
      <c r="V305" s="1269">
        <v>0.1</v>
      </c>
      <c r="W305" s="1269">
        <v>0.1</v>
      </c>
      <c r="X305" s="1269">
        <v>0.1</v>
      </c>
      <c r="Y305" s="1269">
        <v>0.1</v>
      </c>
      <c r="Z305" s="1269">
        <v>0.1</v>
      </c>
      <c r="AA305" s="1263">
        <f>SUM(C305:Z305)</f>
        <v>5.4999999999999982</v>
      </c>
      <c r="AB305" s="1264">
        <f>AA305*SUM($C$14)</f>
        <v>285.99999999999989</v>
      </c>
      <c r="AE305" s="2140"/>
    </row>
    <row r="306" spans="2:31" s="395" customFormat="1" x14ac:dyDescent="0.25">
      <c r="B306" s="1490" t="s">
        <v>1150</v>
      </c>
      <c r="C306" s="1269">
        <v>0.05</v>
      </c>
      <c r="D306" s="1269">
        <v>0.05</v>
      </c>
      <c r="E306" s="1269">
        <v>0.05</v>
      </c>
      <c r="F306" s="1269">
        <v>0.05</v>
      </c>
      <c r="G306" s="1269">
        <v>0.05</v>
      </c>
      <c r="H306" s="1269">
        <v>0.05</v>
      </c>
      <c r="I306" s="1269">
        <v>0.05</v>
      </c>
      <c r="J306" s="1269">
        <v>0.05</v>
      </c>
      <c r="K306" s="1269">
        <v>0.1</v>
      </c>
      <c r="L306" s="1269">
        <v>0.1</v>
      </c>
      <c r="M306" s="1269">
        <v>0.1</v>
      </c>
      <c r="N306" s="1269">
        <v>0.1</v>
      </c>
      <c r="O306" s="1269">
        <v>0.1</v>
      </c>
      <c r="P306" s="1269">
        <v>0.1</v>
      </c>
      <c r="Q306" s="1269">
        <v>0.1</v>
      </c>
      <c r="R306" s="1269">
        <v>0.1</v>
      </c>
      <c r="S306" s="1269">
        <v>0.05</v>
      </c>
      <c r="T306" s="1269">
        <v>0.05</v>
      </c>
      <c r="U306" s="1269">
        <v>0.05</v>
      </c>
      <c r="V306" s="1269">
        <v>0.05</v>
      </c>
      <c r="W306" s="1269">
        <v>0.05</v>
      </c>
      <c r="X306" s="1269">
        <v>0.05</v>
      </c>
      <c r="Y306" s="1269">
        <v>0.05</v>
      </c>
      <c r="Z306" s="1269">
        <v>0.05</v>
      </c>
      <c r="AA306" s="1263">
        <f>SUM(C306:Z306)</f>
        <v>1.6000000000000003</v>
      </c>
      <c r="AB306" s="1264">
        <f>AA306*$C$15</f>
        <v>83.200000000000017</v>
      </c>
      <c r="AE306" s="2140"/>
    </row>
    <row r="307" spans="2:31" s="395" customFormat="1" x14ac:dyDescent="0.25">
      <c r="B307" s="1490" t="s">
        <v>1181</v>
      </c>
      <c r="C307" s="1269">
        <v>0.05</v>
      </c>
      <c r="D307" s="1269">
        <v>0.05</v>
      </c>
      <c r="E307" s="1269">
        <v>0.05</v>
      </c>
      <c r="F307" s="1269">
        <v>0.05</v>
      </c>
      <c r="G307" s="1269">
        <v>0.05</v>
      </c>
      <c r="H307" s="1269">
        <v>0.05</v>
      </c>
      <c r="I307" s="1269">
        <v>0.05</v>
      </c>
      <c r="J307" s="1269">
        <v>0.05</v>
      </c>
      <c r="K307" s="1269">
        <v>0.1</v>
      </c>
      <c r="L307" s="1269">
        <v>0.1</v>
      </c>
      <c r="M307" s="1269">
        <v>0.1</v>
      </c>
      <c r="N307" s="1269">
        <v>0.1</v>
      </c>
      <c r="O307" s="1269">
        <v>0.1</v>
      </c>
      <c r="P307" s="1269">
        <v>0.1</v>
      </c>
      <c r="Q307" s="1269">
        <v>0.1</v>
      </c>
      <c r="R307" s="1269">
        <v>0.1</v>
      </c>
      <c r="S307" s="1269">
        <v>0.05</v>
      </c>
      <c r="T307" s="1269">
        <v>0.05</v>
      </c>
      <c r="U307" s="1269">
        <v>0.05</v>
      </c>
      <c r="V307" s="1269">
        <v>0.05</v>
      </c>
      <c r="W307" s="1269">
        <v>0.05</v>
      </c>
      <c r="X307" s="1269">
        <v>0.05</v>
      </c>
      <c r="Y307" s="1269">
        <v>0.05</v>
      </c>
      <c r="Z307" s="1269">
        <v>0.05</v>
      </c>
      <c r="AA307" s="1263">
        <f>SUM(C307:Z307)</f>
        <v>1.6000000000000003</v>
      </c>
      <c r="AB307" s="1264">
        <f>AA307*SUM($C$8)</f>
        <v>17.600000000000005</v>
      </c>
      <c r="AE307" s="2140"/>
    </row>
    <row r="308" spans="2:31" s="395" customFormat="1" x14ac:dyDescent="0.25">
      <c r="B308" s="3368" t="s">
        <v>1186</v>
      </c>
      <c r="C308" s="3368"/>
      <c r="D308" s="3368"/>
      <c r="E308" s="3368"/>
      <c r="F308" s="3368"/>
      <c r="G308" s="3368"/>
      <c r="H308" s="3368"/>
      <c r="I308" s="3368"/>
      <c r="J308" s="3368"/>
      <c r="K308" s="3368"/>
      <c r="L308" s="3368"/>
      <c r="M308" s="3368"/>
      <c r="N308" s="3368"/>
      <c r="O308" s="3368"/>
      <c r="P308" s="3368"/>
      <c r="Q308" s="3368"/>
      <c r="R308" s="3368"/>
      <c r="S308" s="3368"/>
      <c r="T308" s="3368"/>
      <c r="U308" s="3368"/>
      <c r="V308" s="3368"/>
      <c r="W308" s="3368"/>
      <c r="X308" s="3368"/>
      <c r="Y308" s="3368"/>
      <c r="Z308" s="3368"/>
      <c r="AA308" s="3368"/>
      <c r="AB308" s="1264">
        <f>SUM(AB304:AB307)</f>
        <v>3036.8000000000011</v>
      </c>
      <c r="AE308" s="2140"/>
    </row>
    <row r="309" spans="2:31" s="395" customFormat="1" x14ac:dyDescent="0.25">
      <c r="B309" s="661"/>
      <c r="C309" s="661"/>
      <c r="D309" s="661"/>
      <c r="E309" s="661"/>
      <c r="F309" s="661"/>
      <c r="G309" s="661"/>
      <c r="H309" s="661"/>
      <c r="I309" s="661"/>
      <c r="J309" s="661"/>
      <c r="K309" s="661"/>
      <c r="L309" s="661"/>
      <c r="M309" s="661"/>
      <c r="N309" s="661"/>
      <c r="O309" s="661"/>
      <c r="P309" s="661"/>
      <c r="Q309" s="661"/>
      <c r="R309" s="661"/>
      <c r="S309" s="661"/>
      <c r="T309" s="661"/>
      <c r="U309" s="661"/>
      <c r="V309" s="661"/>
      <c r="W309" s="661"/>
      <c r="X309" s="661"/>
      <c r="Y309" s="661"/>
      <c r="Z309" s="661"/>
      <c r="AA309" s="661"/>
      <c r="AB309" s="661"/>
      <c r="AE309" s="2140"/>
    </row>
    <row r="310" spans="2:31" s="395" customFormat="1" ht="15" customHeight="1" x14ac:dyDescent="0.25">
      <c r="B310" s="661" t="s">
        <v>1152</v>
      </c>
      <c r="C310" s="3367" t="s">
        <v>1342</v>
      </c>
      <c r="D310" s="3367"/>
      <c r="E310" s="3367"/>
      <c r="F310" s="3367"/>
      <c r="G310" s="3367"/>
      <c r="H310" s="3367"/>
      <c r="I310" s="3367"/>
      <c r="J310" s="3367"/>
      <c r="K310" s="3367"/>
      <c r="L310" s="3367"/>
      <c r="M310" s="3367"/>
      <c r="N310" s="3367"/>
      <c r="O310" s="3367"/>
      <c r="P310" s="3367"/>
      <c r="Q310" s="3367"/>
      <c r="R310" s="3367"/>
      <c r="S310" s="3367"/>
      <c r="T310" s="3367"/>
      <c r="U310" s="3367"/>
      <c r="V310" s="3367"/>
      <c r="W310" s="3367"/>
      <c r="X310" s="3367"/>
      <c r="Y310" s="3367"/>
      <c r="Z310" s="3367"/>
      <c r="AA310" s="3367"/>
      <c r="AB310" s="3367"/>
      <c r="AE310" s="2140"/>
    </row>
    <row r="311" spans="2:31" s="395" customFormat="1" x14ac:dyDescent="0.25">
      <c r="B311" s="661"/>
      <c r="C311" s="661"/>
      <c r="D311" s="661"/>
      <c r="E311" s="661"/>
      <c r="F311" s="661"/>
      <c r="G311" s="661"/>
      <c r="H311" s="661"/>
      <c r="I311" s="661"/>
      <c r="J311" s="661"/>
      <c r="K311" s="661"/>
      <c r="L311" s="661"/>
      <c r="M311" s="661"/>
      <c r="N311" s="661"/>
      <c r="O311" s="661"/>
      <c r="P311" s="661"/>
      <c r="Q311" s="661"/>
      <c r="R311" s="661"/>
      <c r="S311" s="661"/>
      <c r="T311" s="661"/>
      <c r="U311" s="661"/>
      <c r="V311" s="661"/>
      <c r="W311" s="661"/>
      <c r="X311" s="661"/>
      <c r="Y311" s="661"/>
      <c r="Z311" s="661"/>
      <c r="AA311" s="661"/>
      <c r="AB311" s="661"/>
      <c r="AE311" s="2140"/>
    </row>
    <row r="312" spans="2:31" s="1608" customFormat="1" ht="21" customHeight="1" x14ac:dyDescent="0.25">
      <c r="B312" s="1356"/>
      <c r="C312" s="1357" t="s">
        <v>1153</v>
      </c>
      <c r="D312" s="1356" t="s">
        <v>1154</v>
      </c>
      <c r="E312" s="1356" t="s">
        <v>1155</v>
      </c>
      <c r="F312" s="1356" t="s">
        <v>1156</v>
      </c>
      <c r="G312" s="1356" t="s">
        <v>1157</v>
      </c>
      <c r="H312" s="1356" t="s">
        <v>1158</v>
      </c>
      <c r="I312" s="1356" t="s">
        <v>1159</v>
      </c>
      <c r="J312" s="1356" t="s">
        <v>1160</v>
      </c>
      <c r="K312" s="1356" t="s">
        <v>1161</v>
      </c>
      <c r="L312" s="1356" t="s">
        <v>1162</v>
      </c>
      <c r="M312" s="1356" t="s">
        <v>1163</v>
      </c>
      <c r="N312" s="1356" t="s">
        <v>1164</v>
      </c>
      <c r="O312" s="1356" t="s">
        <v>1165</v>
      </c>
      <c r="P312" s="1356" t="s">
        <v>1166</v>
      </c>
      <c r="Q312" s="1356" t="s">
        <v>1167</v>
      </c>
      <c r="R312" s="1356" t="s">
        <v>1168</v>
      </c>
      <c r="S312" s="1356" t="s">
        <v>1169</v>
      </c>
      <c r="T312" s="1356" t="s">
        <v>1170</v>
      </c>
      <c r="U312" s="1356" t="s">
        <v>1171</v>
      </c>
      <c r="V312" s="1356" t="s">
        <v>1172</v>
      </c>
      <c r="W312" s="1356" t="s">
        <v>1173</v>
      </c>
      <c r="X312" s="1356" t="s">
        <v>1174</v>
      </c>
      <c r="Y312" s="1356" t="s">
        <v>1175</v>
      </c>
      <c r="Z312" s="1356" t="s">
        <v>1176</v>
      </c>
      <c r="AA312" s="1356" t="s">
        <v>1184</v>
      </c>
      <c r="AB312" s="1356" t="s">
        <v>1185</v>
      </c>
      <c r="AE312" s="2140"/>
    </row>
    <row r="313" spans="2:31" s="395" customFormat="1" x14ac:dyDescent="0.25">
      <c r="B313" s="1490" t="s">
        <v>1179</v>
      </c>
      <c r="C313" s="1269">
        <v>0.01</v>
      </c>
      <c r="D313" s="1269">
        <v>0.01</v>
      </c>
      <c r="E313" s="1269">
        <v>0.01</v>
      </c>
      <c r="F313" s="1269">
        <v>0.01</v>
      </c>
      <c r="G313" s="1269">
        <v>0.01</v>
      </c>
      <c r="H313" s="1269">
        <v>0.01</v>
      </c>
      <c r="I313" s="1269">
        <v>0.01</v>
      </c>
      <c r="J313" s="1269">
        <v>0.17</v>
      </c>
      <c r="K313" s="1269">
        <v>0.57999999999999996</v>
      </c>
      <c r="L313" s="1269">
        <v>0.66</v>
      </c>
      <c r="M313" s="1269">
        <v>0.78</v>
      </c>
      <c r="N313" s="1269">
        <v>0.82</v>
      </c>
      <c r="O313" s="1269">
        <v>0.71</v>
      </c>
      <c r="P313" s="1269">
        <v>0.82</v>
      </c>
      <c r="Q313" s="1269">
        <v>0.78</v>
      </c>
      <c r="R313" s="1269">
        <v>0.74</v>
      </c>
      <c r="S313" s="1269">
        <v>0.63</v>
      </c>
      <c r="T313" s="1269">
        <v>0.41</v>
      </c>
      <c r="U313" s="1269">
        <v>0.18</v>
      </c>
      <c r="V313" s="1269">
        <v>0.18</v>
      </c>
      <c r="W313" s="1269">
        <v>0.18</v>
      </c>
      <c r="X313" s="1269">
        <v>0.1</v>
      </c>
      <c r="Y313" s="1269">
        <v>0.01</v>
      </c>
      <c r="Z313" s="1269">
        <v>0.01</v>
      </c>
      <c r="AA313" s="1263">
        <f>SUM(C313:Z313)</f>
        <v>7.8299999999999983</v>
      </c>
      <c r="AB313" s="1264">
        <f>AA313*SUM($C$9:$C$13)</f>
        <v>1957.4999999999995</v>
      </c>
      <c r="AE313" s="2140"/>
    </row>
    <row r="314" spans="2:31" s="395" customFormat="1" x14ac:dyDescent="0.25">
      <c r="B314" s="1490" t="s">
        <v>1149</v>
      </c>
      <c r="C314" s="1269">
        <v>0.01</v>
      </c>
      <c r="D314" s="1269">
        <v>0.01</v>
      </c>
      <c r="E314" s="1269">
        <v>0.01</v>
      </c>
      <c r="F314" s="1269">
        <v>0.01</v>
      </c>
      <c r="G314" s="1269">
        <v>0.01</v>
      </c>
      <c r="H314" s="1269">
        <v>0.01</v>
      </c>
      <c r="I314" s="1269">
        <v>0.01</v>
      </c>
      <c r="J314" s="1269">
        <v>0.01</v>
      </c>
      <c r="K314" s="1269">
        <v>0.2</v>
      </c>
      <c r="L314" s="1269">
        <v>0.28000000000000003</v>
      </c>
      <c r="M314" s="1269">
        <v>0.3</v>
      </c>
      <c r="N314" s="1269">
        <v>0.3</v>
      </c>
      <c r="O314" s="1269">
        <v>0.24</v>
      </c>
      <c r="P314" s="1269">
        <v>0.24</v>
      </c>
      <c r="Q314" s="1269">
        <v>0.23</v>
      </c>
      <c r="R314" s="1269">
        <v>0.23</v>
      </c>
      <c r="S314" s="1269">
        <v>0.23</v>
      </c>
      <c r="T314" s="1269">
        <v>0.1</v>
      </c>
      <c r="U314" s="1269">
        <v>0.01</v>
      </c>
      <c r="V314" s="1269">
        <v>0.01</v>
      </c>
      <c r="W314" s="1269">
        <v>0.01</v>
      </c>
      <c r="X314" s="1269">
        <v>0.01</v>
      </c>
      <c r="Y314" s="1269">
        <v>0.01</v>
      </c>
      <c r="Z314" s="1269">
        <v>0.01</v>
      </c>
      <c r="AA314" s="1263">
        <f>SUM(C314:Z314)</f>
        <v>2.4899999999999989</v>
      </c>
      <c r="AB314" s="1264">
        <f>AA314*SUM($C$14)</f>
        <v>129.47999999999993</v>
      </c>
      <c r="AE314" s="2140"/>
    </row>
    <row r="315" spans="2:31" s="395" customFormat="1" x14ac:dyDescent="0.25">
      <c r="B315" s="1490" t="s">
        <v>1150</v>
      </c>
      <c r="C315" s="1269">
        <v>0.01</v>
      </c>
      <c r="D315" s="1269">
        <v>0.01</v>
      </c>
      <c r="E315" s="1269">
        <v>0.01</v>
      </c>
      <c r="F315" s="1269">
        <v>0.01</v>
      </c>
      <c r="G315" s="1269">
        <v>0.01</v>
      </c>
      <c r="H315" s="1269">
        <v>0.01</v>
      </c>
      <c r="I315" s="1269">
        <v>0.01</v>
      </c>
      <c r="J315" s="1269">
        <v>0.01</v>
      </c>
      <c r="K315" s="1269">
        <v>0.01</v>
      </c>
      <c r="L315" s="1269">
        <v>0.01</v>
      </c>
      <c r="M315" s="1269">
        <v>0.01</v>
      </c>
      <c r="N315" s="1269">
        <v>0.01</v>
      </c>
      <c r="O315" s="1269">
        <v>0.01</v>
      </c>
      <c r="P315" s="1269">
        <v>0.01</v>
      </c>
      <c r="Q315" s="1269">
        <v>0.01</v>
      </c>
      <c r="R315" s="1269">
        <v>0.01</v>
      </c>
      <c r="S315" s="1269">
        <v>0.01</v>
      </c>
      <c r="T315" s="1269">
        <v>0.01</v>
      </c>
      <c r="U315" s="1269">
        <v>0.01</v>
      </c>
      <c r="V315" s="1269">
        <v>0.01</v>
      </c>
      <c r="W315" s="1269">
        <v>0.01</v>
      </c>
      <c r="X315" s="1269">
        <v>0.01</v>
      </c>
      <c r="Y315" s="1269">
        <v>0.01</v>
      </c>
      <c r="Z315" s="1269">
        <v>0.01</v>
      </c>
      <c r="AA315" s="1263">
        <f>SUM(C315:Z315)</f>
        <v>0.24000000000000007</v>
      </c>
      <c r="AB315" s="1264">
        <f>AA315*$C$15</f>
        <v>12.480000000000004</v>
      </c>
      <c r="AE315" s="2140"/>
    </row>
    <row r="316" spans="2:31" s="395" customFormat="1" x14ac:dyDescent="0.25">
      <c r="B316" s="1490" t="s">
        <v>1181</v>
      </c>
      <c r="C316" s="1269">
        <v>0.01</v>
      </c>
      <c r="D316" s="1269">
        <v>0.01</v>
      </c>
      <c r="E316" s="1269">
        <v>0.01</v>
      </c>
      <c r="F316" s="1269">
        <v>0.01</v>
      </c>
      <c r="G316" s="1269">
        <v>0.01</v>
      </c>
      <c r="H316" s="1269">
        <v>0.01</v>
      </c>
      <c r="I316" s="1269">
        <v>0.01</v>
      </c>
      <c r="J316" s="1269">
        <v>0.01</v>
      </c>
      <c r="K316" s="1269">
        <v>0.01</v>
      </c>
      <c r="L316" s="1269">
        <v>0.01</v>
      </c>
      <c r="M316" s="1269">
        <v>0.01</v>
      </c>
      <c r="N316" s="1269">
        <v>0.01</v>
      </c>
      <c r="O316" s="1269">
        <v>0.01</v>
      </c>
      <c r="P316" s="1269">
        <v>0.01</v>
      </c>
      <c r="Q316" s="1269">
        <v>0.01</v>
      </c>
      <c r="R316" s="1269">
        <v>0.01</v>
      </c>
      <c r="S316" s="1269">
        <v>0.01</v>
      </c>
      <c r="T316" s="1269">
        <v>0.01</v>
      </c>
      <c r="U316" s="1269">
        <v>0.01</v>
      </c>
      <c r="V316" s="1269">
        <v>0.01</v>
      </c>
      <c r="W316" s="1269">
        <v>0.01</v>
      </c>
      <c r="X316" s="1269">
        <v>0.01</v>
      </c>
      <c r="Y316" s="1269">
        <v>0.01</v>
      </c>
      <c r="Z316" s="1269">
        <v>0.01</v>
      </c>
      <c r="AA316" s="1263">
        <f>SUM(C316:Z316)</f>
        <v>0.24000000000000007</v>
      </c>
      <c r="AB316" s="1264">
        <f>AA316*SUM($C$8)</f>
        <v>2.640000000000001</v>
      </c>
      <c r="AE316" s="2140"/>
    </row>
    <row r="317" spans="2:31" s="395" customFormat="1" x14ac:dyDescent="0.25">
      <c r="B317" s="3368" t="s">
        <v>1186</v>
      </c>
      <c r="C317" s="3368"/>
      <c r="D317" s="3368"/>
      <c r="E317" s="3368"/>
      <c r="F317" s="3368"/>
      <c r="G317" s="3368"/>
      <c r="H317" s="3368"/>
      <c r="I317" s="3368"/>
      <c r="J317" s="3368"/>
      <c r="K317" s="3368"/>
      <c r="L317" s="3368"/>
      <c r="M317" s="3368"/>
      <c r="N317" s="3368"/>
      <c r="O317" s="3368"/>
      <c r="P317" s="3368"/>
      <c r="Q317" s="3368"/>
      <c r="R317" s="3368"/>
      <c r="S317" s="3368"/>
      <c r="T317" s="3368"/>
      <c r="U317" s="3368"/>
      <c r="V317" s="3368"/>
      <c r="W317" s="3368"/>
      <c r="X317" s="3368"/>
      <c r="Y317" s="3368"/>
      <c r="Z317" s="3368"/>
      <c r="AA317" s="3368"/>
      <c r="AB317" s="1264">
        <f>SUM(AB313:AB316)</f>
        <v>2102.0999999999995</v>
      </c>
      <c r="AE317" s="2140"/>
    </row>
    <row r="318" spans="2:31" s="395" customFormat="1" x14ac:dyDescent="0.25">
      <c r="B318" s="661"/>
      <c r="C318" s="661"/>
      <c r="D318" s="661"/>
      <c r="E318" s="661"/>
      <c r="F318" s="661"/>
      <c r="G318" s="661"/>
      <c r="H318" s="661"/>
      <c r="I318" s="661"/>
      <c r="J318" s="661"/>
      <c r="K318" s="661"/>
      <c r="L318" s="661"/>
      <c r="M318" s="661"/>
      <c r="N318" s="661"/>
      <c r="O318" s="661"/>
      <c r="P318" s="661"/>
      <c r="Q318" s="661"/>
      <c r="R318" s="661"/>
      <c r="S318" s="661"/>
      <c r="T318" s="661"/>
      <c r="U318" s="661"/>
      <c r="V318" s="661"/>
      <c r="W318" s="661"/>
      <c r="X318" s="661"/>
      <c r="Y318" s="661"/>
      <c r="Z318" s="661"/>
      <c r="AA318" s="661"/>
      <c r="AB318" s="661"/>
      <c r="AE318" s="2140"/>
    </row>
    <row r="319" spans="2:31" s="395" customFormat="1" ht="15" customHeight="1" x14ac:dyDescent="0.25">
      <c r="B319" s="661" t="s">
        <v>1152</v>
      </c>
      <c r="C319" s="3367" t="s">
        <v>1343</v>
      </c>
      <c r="D319" s="3367"/>
      <c r="E319" s="3367"/>
      <c r="F319" s="3367"/>
      <c r="G319" s="3367"/>
      <c r="H319" s="3367"/>
      <c r="I319" s="3367"/>
      <c r="J319" s="3367"/>
      <c r="K319" s="3367"/>
      <c r="L319" s="3367"/>
      <c r="M319" s="3367"/>
      <c r="N319" s="3367"/>
      <c r="O319" s="3367"/>
      <c r="P319" s="3367"/>
      <c r="Q319" s="3367"/>
      <c r="R319" s="3367"/>
      <c r="S319" s="3367"/>
      <c r="T319" s="3367"/>
      <c r="U319" s="3367"/>
      <c r="V319" s="3367"/>
      <c r="W319" s="3367"/>
      <c r="X319" s="3367"/>
      <c r="Y319" s="3367"/>
      <c r="Z319" s="3367"/>
      <c r="AA319" s="3367"/>
      <c r="AB319" s="3367"/>
      <c r="AE319" s="2140"/>
    </row>
    <row r="320" spans="2:31" s="395" customFormat="1" x14ac:dyDescent="0.25">
      <c r="B320" s="661"/>
      <c r="C320" s="661"/>
      <c r="D320" s="661"/>
      <c r="E320" s="661"/>
      <c r="F320" s="661"/>
      <c r="G320" s="661"/>
      <c r="H320" s="661"/>
      <c r="I320" s="661"/>
      <c r="J320" s="661"/>
      <c r="K320" s="661"/>
      <c r="L320" s="661"/>
      <c r="M320" s="661"/>
      <c r="N320" s="661"/>
      <c r="O320" s="661"/>
      <c r="P320" s="661"/>
      <c r="Q320" s="661"/>
      <c r="R320" s="661"/>
      <c r="S320" s="661"/>
      <c r="T320" s="661"/>
      <c r="U320" s="661"/>
      <c r="V320" s="661"/>
      <c r="W320" s="661"/>
      <c r="X320" s="661"/>
      <c r="Y320" s="661"/>
      <c r="Z320" s="661"/>
      <c r="AA320" s="661"/>
      <c r="AB320" s="661"/>
      <c r="AE320" s="2140"/>
    </row>
    <row r="321" spans="2:31" s="1608" customFormat="1" ht="21" customHeight="1" x14ac:dyDescent="0.25">
      <c r="B321" s="1356"/>
      <c r="C321" s="1357" t="s">
        <v>1153</v>
      </c>
      <c r="D321" s="1356" t="s">
        <v>1154</v>
      </c>
      <c r="E321" s="1356" t="s">
        <v>1155</v>
      </c>
      <c r="F321" s="1356" t="s">
        <v>1156</v>
      </c>
      <c r="G321" s="1356" t="s">
        <v>1157</v>
      </c>
      <c r="H321" s="1356" t="s">
        <v>1158</v>
      </c>
      <c r="I321" s="1356" t="s">
        <v>1159</v>
      </c>
      <c r="J321" s="1356" t="s">
        <v>1160</v>
      </c>
      <c r="K321" s="1356" t="s">
        <v>1161</v>
      </c>
      <c r="L321" s="1356" t="s">
        <v>1162</v>
      </c>
      <c r="M321" s="1356" t="s">
        <v>1163</v>
      </c>
      <c r="N321" s="1356" t="s">
        <v>1164</v>
      </c>
      <c r="O321" s="1356" t="s">
        <v>1165</v>
      </c>
      <c r="P321" s="1356" t="s">
        <v>1166</v>
      </c>
      <c r="Q321" s="1356" t="s">
        <v>1167</v>
      </c>
      <c r="R321" s="1356" t="s">
        <v>1168</v>
      </c>
      <c r="S321" s="1356" t="s">
        <v>1169</v>
      </c>
      <c r="T321" s="1356" t="s">
        <v>1170</v>
      </c>
      <c r="U321" s="1356" t="s">
        <v>1171</v>
      </c>
      <c r="V321" s="1356" t="s">
        <v>1172</v>
      </c>
      <c r="W321" s="1356" t="s">
        <v>1173</v>
      </c>
      <c r="X321" s="1356" t="s">
        <v>1174</v>
      </c>
      <c r="Y321" s="1356" t="s">
        <v>1175</v>
      </c>
      <c r="Z321" s="1356" t="s">
        <v>1176</v>
      </c>
      <c r="AA321" s="1356" t="s">
        <v>1184</v>
      </c>
      <c r="AB321" s="1356" t="s">
        <v>1185</v>
      </c>
      <c r="AE321" s="2140"/>
    </row>
    <row r="322" spans="2:31" s="395" customFormat="1" x14ac:dyDescent="0.25">
      <c r="B322" s="1490" t="s">
        <v>1179</v>
      </c>
      <c r="C322" s="1269">
        <v>0</v>
      </c>
      <c r="D322" s="1269">
        <v>0</v>
      </c>
      <c r="E322" s="1269">
        <v>0</v>
      </c>
      <c r="F322" s="1269">
        <v>0</v>
      </c>
      <c r="G322" s="1269">
        <v>0</v>
      </c>
      <c r="H322" s="1269">
        <v>0</v>
      </c>
      <c r="I322" s="1269">
        <v>0</v>
      </c>
      <c r="J322" s="1269">
        <v>0.02</v>
      </c>
      <c r="K322" s="1269">
        <v>0.75</v>
      </c>
      <c r="L322" s="1269">
        <v>1</v>
      </c>
      <c r="M322" s="1269">
        <v>1</v>
      </c>
      <c r="N322" s="1269">
        <v>1</v>
      </c>
      <c r="O322" s="1269">
        <v>0.75</v>
      </c>
      <c r="P322" s="1269">
        <v>1</v>
      </c>
      <c r="Q322" s="1269">
        <v>1</v>
      </c>
      <c r="R322" s="1269">
        <v>1</v>
      </c>
      <c r="S322" s="1269">
        <v>1</v>
      </c>
      <c r="T322" s="1269">
        <v>1</v>
      </c>
      <c r="U322" s="1269">
        <v>0.52</v>
      </c>
      <c r="V322" s="1269">
        <v>0.52</v>
      </c>
      <c r="W322" s="1269">
        <v>0.52</v>
      </c>
      <c r="X322" s="1269">
        <v>0.28000000000000003</v>
      </c>
      <c r="Y322" s="1269">
        <v>0</v>
      </c>
      <c r="Z322" s="1269">
        <v>0</v>
      </c>
      <c r="AA322" s="1263">
        <f>SUM(C322:Z322)</f>
        <v>11.359999999999998</v>
      </c>
      <c r="AB322" s="1264">
        <f>AA322*SUM($C$9:$C$13)</f>
        <v>2839.9999999999995</v>
      </c>
      <c r="AE322" s="2140"/>
    </row>
    <row r="323" spans="2:31" s="395" customFormat="1" x14ac:dyDescent="0.25">
      <c r="B323" s="1490" t="s">
        <v>1149</v>
      </c>
      <c r="C323" s="1269">
        <v>0</v>
      </c>
      <c r="D323" s="1269">
        <v>0</v>
      </c>
      <c r="E323" s="1269">
        <v>0</v>
      </c>
      <c r="F323" s="1269">
        <v>0</v>
      </c>
      <c r="G323" s="1269">
        <v>0</v>
      </c>
      <c r="H323" s="1269">
        <v>0</v>
      </c>
      <c r="I323" s="1269">
        <v>0</v>
      </c>
      <c r="J323" s="1269">
        <v>0.02</v>
      </c>
      <c r="K323" s="1269">
        <v>0.46</v>
      </c>
      <c r="L323" s="1269">
        <v>0.7</v>
      </c>
      <c r="M323" s="1269">
        <v>0.7</v>
      </c>
      <c r="N323" s="1269">
        <v>0.7</v>
      </c>
      <c r="O323" s="1269">
        <v>0.51</v>
      </c>
      <c r="P323" s="1269">
        <v>0.51</v>
      </c>
      <c r="Q323" s="1269">
        <v>0.51</v>
      </c>
      <c r="R323" s="1269">
        <v>0.51</v>
      </c>
      <c r="S323" s="1269">
        <v>0.51</v>
      </c>
      <c r="T323" s="1269">
        <v>0.25</v>
      </c>
      <c r="U323" s="1269">
        <v>0.02</v>
      </c>
      <c r="V323" s="1269">
        <v>0</v>
      </c>
      <c r="W323" s="1269">
        <v>0</v>
      </c>
      <c r="X323" s="1269">
        <v>0</v>
      </c>
      <c r="Y323" s="1269">
        <v>0</v>
      </c>
      <c r="Z323" s="1269">
        <v>0</v>
      </c>
      <c r="AA323" s="1263">
        <f>SUM(C323:Z323)</f>
        <v>5.3999999999999986</v>
      </c>
      <c r="AB323" s="1264">
        <f>AA323*SUM($C$14)</f>
        <v>280.79999999999995</v>
      </c>
      <c r="AE323" s="2140"/>
    </row>
    <row r="324" spans="2:31" s="395" customFormat="1" x14ac:dyDescent="0.25">
      <c r="B324" s="1490" t="s">
        <v>1150</v>
      </c>
      <c r="C324" s="1269">
        <v>0</v>
      </c>
      <c r="D324" s="1269">
        <v>0</v>
      </c>
      <c r="E324" s="1269">
        <v>0</v>
      </c>
      <c r="F324" s="1269">
        <v>0</v>
      </c>
      <c r="G324" s="1269">
        <v>0</v>
      </c>
      <c r="H324" s="1269">
        <v>0</v>
      </c>
      <c r="I324" s="1269">
        <v>0</v>
      </c>
      <c r="J324" s="1269">
        <v>0</v>
      </c>
      <c r="K324" s="1269">
        <v>0.02</v>
      </c>
      <c r="L324" s="1269">
        <v>0.02</v>
      </c>
      <c r="M324" s="1269">
        <v>0.02</v>
      </c>
      <c r="N324" s="1269">
        <v>0.02</v>
      </c>
      <c r="O324" s="1269">
        <v>0.02</v>
      </c>
      <c r="P324" s="1269">
        <v>0.02</v>
      </c>
      <c r="Q324" s="1269">
        <v>0.02</v>
      </c>
      <c r="R324" s="1269">
        <v>0.02</v>
      </c>
      <c r="S324" s="1269">
        <v>0</v>
      </c>
      <c r="T324" s="1269">
        <v>0</v>
      </c>
      <c r="U324" s="1269">
        <v>0</v>
      </c>
      <c r="V324" s="1269">
        <v>0</v>
      </c>
      <c r="W324" s="1269">
        <v>0</v>
      </c>
      <c r="X324" s="1269">
        <v>0</v>
      </c>
      <c r="Y324" s="1269">
        <v>0</v>
      </c>
      <c r="Z324" s="1269">
        <v>0</v>
      </c>
      <c r="AA324" s="1263">
        <f>SUM(C324:Z324)</f>
        <v>0.16</v>
      </c>
      <c r="AB324" s="1264">
        <f>AA324*$C$15</f>
        <v>8.32</v>
      </c>
      <c r="AE324" s="2140"/>
    </row>
    <row r="325" spans="2:31" s="395" customFormat="1" x14ac:dyDescent="0.25">
      <c r="B325" s="1490" t="s">
        <v>1181</v>
      </c>
      <c r="C325" s="1269">
        <v>0</v>
      </c>
      <c r="D325" s="1269">
        <v>0</v>
      </c>
      <c r="E325" s="1269">
        <v>0</v>
      </c>
      <c r="F325" s="1269">
        <v>0</v>
      </c>
      <c r="G325" s="1269">
        <v>0</v>
      </c>
      <c r="H325" s="1269">
        <v>0</v>
      </c>
      <c r="I325" s="1269">
        <v>0</v>
      </c>
      <c r="J325" s="1269">
        <v>0</v>
      </c>
      <c r="K325" s="1269">
        <v>0.02</v>
      </c>
      <c r="L325" s="1269">
        <v>0.02</v>
      </c>
      <c r="M325" s="1269">
        <v>0.02</v>
      </c>
      <c r="N325" s="1269">
        <v>0.02</v>
      </c>
      <c r="O325" s="1269">
        <v>0.02</v>
      </c>
      <c r="P325" s="1269">
        <v>0.02</v>
      </c>
      <c r="Q325" s="1269">
        <v>0.02</v>
      </c>
      <c r="R325" s="1269">
        <v>0.02</v>
      </c>
      <c r="S325" s="1269">
        <v>0</v>
      </c>
      <c r="T325" s="1269">
        <v>0</v>
      </c>
      <c r="U325" s="1269">
        <v>0</v>
      </c>
      <c r="V325" s="1269">
        <v>0</v>
      </c>
      <c r="W325" s="1269">
        <v>0</v>
      </c>
      <c r="X325" s="1269">
        <v>0</v>
      </c>
      <c r="Y325" s="1269">
        <v>0</v>
      </c>
      <c r="Z325" s="1269">
        <v>0</v>
      </c>
      <c r="AA325" s="1263">
        <f>SUM(C325:Z325)</f>
        <v>0.16</v>
      </c>
      <c r="AB325" s="1264">
        <f>AA325*SUM($C$8)</f>
        <v>1.76</v>
      </c>
      <c r="AE325" s="2140"/>
    </row>
    <row r="326" spans="2:31" s="395" customFormat="1" x14ac:dyDescent="0.25">
      <c r="B326" s="3368" t="s">
        <v>1186</v>
      </c>
      <c r="C326" s="3368"/>
      <c r="D326" s="3368"/>
      <c r="E326" s="3368"/>
      <c r="F326" s="3368"/>
      <c r="G326" s="3368"/>
      <c r="H326" s="3368"/>
      <c r="I326" s="3368"/>
      <c r="J326" s="3368"/>
      <c r="K326" s="3368"/>
      <c r="L326" s="3368"/>
      <c r="M326" s="3368"/>
      <c r="N326" s="3368"/>
      <c r="O326" s="3368"/>
      <c r="P326" s="3368"/>
      <c r="Q326" s="3368"/>
      <c r="R326" s="3368"/>
      <c r="S326" s="3368"/>
      <c r="T326" s="3368"/>
      <c r="U326" s="3368"/>
      <c r="V326" s="3368"/>
      <c r="W326" s="3368"/>
      <c r="X326" s="3368"/>
      <c r="Y326" s="3368"/>
      <c r="Z326" s="3368"/>
      <c r="AA326" s="3368"/>
      <c r="AB326" s="1264">
        <f>SUM(AB322:AB325)</f>
        <v>3130.8799999999997</v>
      </c>
      <c r="AE326" s="2140"/>
    </row>
    <row r="327" spans="2:31" s="395" customFormat="1" x14ac:dyDescent="0.25">
      <c r="B327" s="661"/>
      <c r="C327" s="661"/>
      <c r="D327" s="661"/>
      <c r="E327" s="661"/>
      <c r="F327" s="661"/>
      <c r="G327" s="661"/>
      <c r="H327" s="661"/>
      <c r="I327" s="661"/>
      <c r="J327" s="661"/>
      <c r="K327" s="661"/>
      <c r="L327" s="661"/>
      <c r="M327" s="661"/>
      <c r="N327" s="661"/>
      <c r="O327" s="661"/>
      <c r="P327" s="661"/>
      <c r="Q327" s="661"/>
      <c r="R327" s="661"/>
      <c r="S327" s="661"/>
      <c r="T327" s="661"/>
      <c r="U327" s="661"/>
      <c r="V327" s="661"/>
      <c r="W327" s="661"/>
      <c r="X327" s="661"/>
      <c r="Y327" s="661"/>
      <c r="Z327" s="661"/>
      <c r="AA327" s="661"/>
      <c r="AB327" s="661"/>
      <c r="AE327" s="2140"/>
    </row>
    <row r="328" spans="2:31" s="395" customFormat="1" x14ac:dyDescent="0.25">
      <c r="B328" s="667" t="s">
        <v>1344</v>
      </c>
      <c r="C328" s="661"/>
      <c r="D328" s="661"/>
      <c r="E328" s="661"/>
      <c r="F328" s="661"/>
      <c r="G328" s="661"/>
      <c r="H328" s="661"/>
      <c r="I328" s="661"/>
      <c r="J328" s="661"/>
      <c r="K328" s="661"/>
      <c r="L328" s="661"/>
      <c r="M328" s="661"/>
      <c r="N328" s="661"/>
      <c r="O328" s="661"/>
      <c r="P328" s="661"/>
      <c r="Q328" s="661"/>
      <c r="R328" s="661"/>
      <c r="S328" s="661"/>
      <c r="T328" s="661"/>
      <c r="U328" s="661"/>
      <c r="V328" s="661"/>
      <c r="W328" s="661"/>
      <c r="X328" s="661"/>
      <c r="Y328" s="661"/>
      <c r="Z328" s="661"/>
      <c r="AA328" s="661"/>
      <c r="AB328" s="661"/>
      <c r="AE328" s="2140"/>
    </row>
    <row r="329" spans="2:31" s="395" customFormat="1" x14ac:dyDescent="0.25">
      <c r="B329" s="661"/>
      <c r="C329" s="661"/>
      <c r="D329" s="661"/>
      <c r="E329" s="661"/>
      <c r="F329" s="661"/>
      <c r="G329" s="661"/>
      <c r="H329" s="661"/>
      <c r="I329" s="661"/>
      <c r="J329" s="661"/>
      <c r="K329" s="661"/>
      <c r="L329" s="661"/>
      <c r="M329" s="661"/>
      <c r="N329" s="661"/>
      <c r="O329" s="661"/>
      <c r="P329" s="661"/>
      <c r="Q329" s="661"/>
      <c r="R329" s="661"/>
      <c r="S329" s="661"/>
      <c r="T329" s="661"/>
      <c r="U329" s="661"/>
      <c r="V329" s="661"/>
      <c r="W329" s="661"/>
      <c r="X329" s="661"/>
      <c r="Y329" s="661"/>
      <c r="Z329" s="661"/>
      <c r="AA329" s="661"/>
      <c r="AB329" s="661"/>
      <c r="AE329" s="2140"/>
    </row>
    <row r="330" spans="2:31" s="395" customFormat="1" ht="15" customHeight="1" x14ac:dyDescent="0.25">
      <c r="B330" s="661" t="s">
        <v>1152</v>
      </c>
      <c r="C330" s="3367" t="s">
        <v>1345</v>
      </c>
      <c r="D330" s="3367"/>
      <c r="E330" s="3367"/>
      <c r="F330" s="3367"/>
      <c r="G330" s="3367"/>
      <c r="H330" s="3367"/>
      <c r="I330" s="3367"/>
      <c r="J330" s="3367"/>
      <c r="K330" s="3367"/>
      <c r="L330" s="3367"/>
      <c r="M330" s="3367"/>
      <c r="N330" s="3367"/>
      <c r="O330" s="3367"/>
      <c r="P330" s="3367"/>
      <c r="Q330" s="3367"/>
      <c r="R330" s="3367"/>
      <c r="S330" s="3367"/>
      <c r="T330" s="3367"/>
      <c r="U330" s="3367"/>
      <c r="V330" s="3367"/>
      <c r="W330" s="3367"/>
      <c r="X330" s="3367"/>
      <c r="Y330" s="3367"/>
      <c r="Z330" s="3367"/>
      <c r="AA330" s="3367"/>
      <c r="AB330" s="3367"/>
      <c r="AE330" s="2140"/>
    </row>
    <row r="331" spans="2:31" s="395" customFormat="1" x14ac:dyDescent="0.25">
      <c r="B331" s="661"/>
      <c r="C331" s="661"/>
      <c r="D331" s="661"/>
      <c r="E331" s="661"/>
      <c r="F331" s="661"/>
      <c r="G331" s="661"/>
      <c r="H331" s="661"/>
      <c r="I331" s="661"/>
      <c r="J331" s="661"/>
      <c r="K331" s="661"/>
      <c r="L331" s="661"/>
      <c r="M331" s="661"/>
      <c r="N331" s="661"/>
      <c r="O331" s="661"/>
      <c r="P331" s="661"/>
      <c r="Q331" s="661"/>
      <c r="R331" s="661"/>
      <c r="S331" s="661"/>
      <c r="T331" s="661"/>
      <c r="U331" s="661"/>
      <c r="V331" s="661"/>
      <c r="W331" s="661"/>
      <c r="X331" s="661"/>
      <c r="Y331" s="661"/>
      <c r="Z331" s="661"/>
      <c r="AA331" s="661"/>
      <c r="AB331" s="661"/>
      <c r="AE331" s="2140"/>
    </row>
    <row r="332" spans="2:31" s="1608" customFormat="1" ht="21" customHeight="1" x14ac:dyDescent="0.25">
      <c r="B332" s="1356"/>
      <c r="C332" s="1357" t="s">
        <v>1153</v>
      </c>
      <c r="D332" s="1356" t="s">
        <v>1154</v>
      </c>
      <c r="E332" s="1356" t="s">
        <v>1155</v>
      </c>
      <c r="F332" s="1356" t="s">
        <v>1156</v>
      </c>
      <c r="G332" s="1356" t="s">
        <v>1157</v>
      </c>
      <c r="H332" s="1356" t="s">
        <v>1158</v>
      </c>
      <c r="I332" s="1356" t="s">
        <v>1159</v>
      </c>
      <c r="J332" s="1356" t="s">
        <v>1160</v>
      </c>
      <c r="K332" s="1356" t="s">
        <v>1161</v>
      </c>
      <c r="L332" s="1356" t="s">
        <v>1162</v>
      </c>
      <c r="M332" s="1356" t="s">
        <v>1163</v>
      </c>
      <c r="N332" s="1356" t="s">
        <v>1164</v>
      </c>
      <c r="O332" s="1356" t="s">
        <v>1165</v>
      </c>
      <c r="P332" s="1356" t="s">
        <v>1166</v>
      </c>
      <c r="Q332" s="1356" t="s">
        <v>1167</v>
      </c>
      <c r="R332" s="1356" t="s">
        <v>1168</v>
      </c>
      <c r="S332" s="1356" t="s">
        <v>1169</v>
      </c>
      <c r="T332" s="1356" t="s">
        <v>1170</v>
      </c>
      <c r="U332" s="1356" t="s">
        <v>1171</v>
      </c>
      <c r="V332" s="1356" t="s">
        <v>1172</v>
      </c>
      <c r="W332" s="1356" t="s">
        <v>1173</v>
      </c>
      <c r="X332" s="1356" t="s">
        <v>1174</v>
      </c>
      <c r="Y332" s="1356" t="s">
        <v>1175</v>
      </c>
      <c r="Z332" s="1356" t="s">
        <v>1176</v>
      </c>
      <c r="AA332" s="1356" t="s">
        <v>1177</v>
      </c>
      <c r="AB332" s="1356" t="s">
        <v>1178</v>
      </c>
      <c r="AE332" s="2140"/>
    </row>
    <row r="333" spans="2:31" s="395" customFormat="1" x14ac:dyDescent="0.25">
      <c r="B333" s="1490" t="s">
        <v>1179</v>
      </c>
      <c r="C333" s="1270">
        <v>0</v>
      </c>
      <c r="D333" s="1270">
        <v>0</v>
      </c>
      <c r="E333" s="1270">
        <v>0</v>
      </c>
      <c r="F333" s="1270">
        <v>0</v>
      </c>
      <c r="G333" s="1270">
        <v>0</v>
      </c>
      <c r="H333" s="1270">
        <v>0</v>
      </c>
      <c r="I333" s="1270">
        <v>1</v>
      </c>
      <c r="J333" s="1270">
        <v>1</v>
      </c>
      <c r="K333" s="1270">
        <v>1</v>
      </c>
      <c r="L333" s="1270">
        <v>1</v>
      </c>
      <c r="M333" s="1270">
        <v>1</v>
      </c>
      <c r="N333" s="1270">
        <v>1</v>
      </c>
      <c r="O333" s="1270">
        <v>1</v>
      </c>
      <c r="P333" s="1270">
        <v>1</v>
      </c>
      <c r="Q333" s="1270">
        <v>1</v>
      </c>
      <c r="R333" s="1270">
        <v>1</v>
      </c>
      <c r="S333" s="1270">
        <v>1</v>
      </c>
      <c r="T333" s="1270">
        <v>1</v>
      </c>
      <c r="U333" s="1270">
        <v>1</v>
      </c>
      <c r="V333" s="1270">
        <v>1</v>
      </c>
      <c r="W333" s="1270">
        <v>1</v>
      </c>
      <c r="X333" s="1270">
        <v>0</v>
      </c>
      <c r="Y333" s="1270">
        <v>0</v>
      </c>
      <c r="Z333" s="1270">
        <v>0</v>
      </c>
      <c r="AA333" s="1263">
        <f>SUM(C333:Z333)</f>
        <v>15</v>
      </c>
      <c r="AB333" s="1264">
        <f>AA333*SUM($C$9:$C$13)</f>
        <v>3750</v>
      </c>
      <c r="AE333" s="2140"/>
    </row>
    <row r="334" spans="2:31" s="395" customFormat="1" x14ac:dyDescent="0.25">
      <c r="B334" s="1490" t="s">
        <v>1149</v>
      </c>
      <c r="C334" s="1270">
        <v>0</v>
      </c>
      <c r="D334" s="1270">
        <v>0</v>
      </c>
      <c r="E334" s="1270">
        <v>0</v>
      </c>
      <c r="F334" s="1270">
        <v>0</v>
      </c>
      <c r="G334" s="1270">
        <v>0</v>
      </c>
      <c r="H334" s="1270">
        <v>0</v>
      </c>
      <c r="I334" s="1270">
        <v>1</v>
      </c>
      <c r="J334" s="1270">
        <v>1</v>
      </c>
      <c r="K334" s="1270">
        <v>1</v>
      </c>
      <c r="L334" s="1270">
        <v>1</v>
      </c>
      <c r="M334" s="1270">
        <v>1</v>
      </c>
      <c r="N334" s="1270">
        <v>1</v>
      </c>
      <c r="O334" s="1270">
        <v>1</v>
      </c>
      <c r="P334" s="1270">
        <v>1</v>
      </c>
      <c r="Q334" s="1270">
        <v>1</v>
      </c>
      <c r="R334" s="1270">
        <v>1</v>
      </c>
      <c r="S334" s="1270">
        <v>1</v>
      </c>
      <c r="T334" s="1270">
        <v>1</v>
      </c>
      <c r="U334" s="1270">
        <v>1</v>
      </c>
      <c r="V334" s="1270">
        <v>1</v>
      </c>
      <c r="W334" s="1270">
        <v>1</v>
      </c>
      <c r="X334" s="1270">
        <v>1</v>
      </c>
      <c r="Y334" s="1270">
        <v>0</v>
      </c>
      <c r="Z334" s="1270">
        <v>0</v>
      </c>
      <c r="AA334" s="1263">
        <f>SUM(C334:Z334)</f>
        <v>16</v>
      </c>
      <c r="AB334" s="1264">
        <f>AA334*SUM($C$14)</f>
        <v>832</v>
      </c>
      <c r="AE334" s="2140"/>
    </row>
    <row r="335" spans="2:31" s="395" customFormat="1" x14ac:dyDescent="0.25">
      <c r="B335" s="1490" t="s">
        <v>1150</v>
      </c>
      <c r="C335" s="1270">
        <v>0</v>
      </c>
      <c r="D335" s="1270">
        <v>0</v>
      </c>
      <c r="E335" s="1270">
        <v>0</v>
      </c>
      <c r="F335" s="1270">
        <v>0</v>
      </c>
      <c r="G335" s="1270">
        <v>0</v>
      </c>
      <c r="H335" s="1270">
        <v>0</v>
      </c>
      <c r="I335" s="1270">
        <v>0</v>
      </c>
      <c r="J335" s="1270">
        <v>0</v>
      </c>
      <c r="K335" s="1270">
        <v>1</v>
      </c>
      <c r="L335" s="1270">
        <v>1</v>
      </c>
      <c r="M335" s="1270">
        <v>1</v>
      </c>
      <c r="N335" s="1270">
        <v>1</v>
      </c>
      <c r="O335" s="1270">
        <v>1</v>
      </c>
      <c r="P335" s="1270">
        <v>1</v>
      </c>
      <c r="Q335" s="1270">
        <v>1</v>
      </c>
      <c r="R335" s="1270">
        <v>1</v>
      </c>
      <c r="S335" s="1270">
        <v>1</v>
      </c>
      <c r="T335" s="1270">
        <v>0</v>
      </c>
      <c r="U335" s="1270">
        <v>0</v>
      </c>
      <c r="V335" s="1270">
        <v>0</v>
      </c>
      <c r="W335" s="1270">
        <v>0</v>
      </c>
      <c r="X335" s="1270">
        <v>0</v>
      </c>
      <c r="Y335" s="1270">
        <v>0</v>
      </c>
      <c r="Z335" s="1270">
        <v>0</v>
      </c>
      <c r="AA335" s="1263">
        <f>SUM(C335:Z335)</f>
        <v>9</v>
      </c>
      <c r="AB335" s="1264">
        <f>AA335*$C$15</f>
        <v>468</v>
      </c>
      <c r="AE335" s="2140"/>
    </row>
    <row r="336" spans="2:31" s="395" customFormat="1" x14ac:dyDescent="0.25">
      <c r="B336" s="1490" t="s">
        <v>1181</v>
      </c>
      <c r="C336" s="1270">
        <v>0</v>
      </c>
      <c r="D336" s="1270">
        <v>0</v>
      </c>
      <c r="E336" s="1270">
        <v>0</v>
      </c>
      <c r="F336" s="1270">
        <v>0</v>
      </c>
      <c r="G336" s="1270">
        <v>0</v>
      </c>
      <c r="H336" s="1270">
        <v>0</v>
      </c>
      <c r="I336" s="1270">
        <v>0</v>
      </c>
      <c r="J336" s="1270">
        <v>0</v>
      </c>
      <c r="K336" s="1270">
        <v>1</v>
      </c>
      <c r="L336" s="1270">
        <v>1</v>
      </c>
      <c r="M336" s="1270">
        <v>1</v>
      </c>
      <c r="N336" s="1270">
        <v>1</v>
      </c>
      <c r="O336" s="1270">
        <v>1</v>
      </c>
      <c r="P336" s="1270">
        <v>1</v>
      </c>
      <c r="Q336" s="1270">
        <v>1</v>
      </c>
      <c r="R336" s="1270">
        <v>1</v>
      </c>
      <c r="S336" s="1270">
        <v>1</v>
      </c>
      <c r="T336" s="1270">
        <v>0</v>
      </c>
      <c r="U336" s="1270">
        <v>0</v>
      </c>
      <c r="V336" s="1270">
        <v>0</v>
      </c>
      <c r="W336" s="1270">
        <v>0</v>
      </c>
      <c r="X336" s="1270">
        <v>0</v>
      </c>
      <c r="Y336" s="1270">
        <v>0</v>
      </c>
      <c r="Z336" s="1270">
        <v>0</v>
      </c>
      <c r="AA336" s="1263">
        <f>SUM(C336:Z336)</f>
        <v>9</v>
      </c>
      <c r="AB336" s="1264">
        <f>AA336*SUM($C$8)</f>
        <v>99</v>
      </c>
      <c r="AE336" s="2140"/>
    </row>
    <row r="337" spans="2:31" s="395" customFormat="1" x14ac:dyDescent="0.25">
      <c r="B337" s="3368" t="s">
        <v>1182</v>
      </c>
      <c r="C337" s="3368"/>
      <c r="D337" s="3368"/>
      <c r="E337" s="3368"/>
      <c r="F337" s="3368"/>
      <c r="G337" s="3368"/>
      <c r="H337" s="3368"/>
      <c r="I337" s="3368"/>
      <c r="J337" s="3368"/>
      <c r="K337" s="3368"/>
      <c r="L337" s="3368"/>
      <c r="M337" s="3368"/>
      <c r="N337" s="3368"/>
      <c r="O337" s="3368"/>
      <c r="P337" s="3368"/>
      <c r="Q337" s="3368"/>
      <c r="R337" s="3368"/>
      <c r="S337" s="3368"/>
      <c r="T337" s="3368"/>
      <c r="U337" s="3368"/>
      <c r="V337" s="3368"/>
      <c r="W337" s="3368"/>
      <c r="X337" s="3368"/>
      <c r="Y337" s="3368"/>
      <c r="Z337" s="3368"/>
      <c r="AA337" s="3368"/>
      <c r="AB337" s="1264">
        <f>SUM(AB333:AB336)</f>
        <v>5149</v>
      </c>
      <c r="AE337" s="2140"/>
    </row>
    <row r="338" spans="2:31" s="395" customFormat="1" x14ac:dyDescent="0.25">
      <c r="B338" s="661"/>
      <c r="C338" s="661"/>
      <c r="D338" s="661"/>
      <c r="E338" s="661"/>
      <c r="F338" s="661"/>
      <c r="G338" s="661"/>
      <c r="H338" s="661"/>
      <c r="I338" s="661"/>
      <c r="J338" s="661"/>
      <c r="K338" s="661"/>
      <c r="L338" s="661"/>
      <c r="M338" s="661"/>
      <c r="N338" s="661"/>
      <c r="O338" s="661"/>
      <c r="P338" s="661"/>
      <c r="Q338" s="661"/>
      <c r="R338" s="661"/>
      <c r="S338" s="661"/>
      <c r="T338" s="661"/>
      <c r="U338" s="661"/>
      <c r="V338" s="661"/>
      <c r="W338" s="661"/>
      <c r="X338" s="661"/>
      <c r="Y338" s="661"/>
      <c r="Z338" s="661"/>
      <c r="AA338" s="661"/>
      <c r="AB338" s="661"/>
      <c r="AE338" s="2140"/>
    </row>
    <row r="339" spans="2:31" s="395" customFormat="1" ht="15" customHeight="1" x14ac:dyDescent="0.25">
      <c r="B339" s="661" t="s">
        <v>1152</v>
      </c>
      <c r="C339" s="3367" t="s">
        <v>1346</v>
      </c>
      <c r="D339" s="3367"/>
      <c r="E339" s="3367"/>
      <c r="F339" s="3367"/>
      <c r="G339" s="3367"/>
      <c r="H339" s="3367"/>
      <c r="I339" s="3367"/>
      <c r="J339" s="3367"/>
      <c r="K339" s="3367"/>
      <c r="L339" s="3367"/>
      <c r="M339" s="3367"/>
      <c r="N339" s="3367"/>
      <c r="O339" s="3367"/>
      <c r="P339" s="3367"/>
      <c r="Q339" s="3367"/>
      <c r="R339" s="3367"/>
      <c r="S339" s="3367"/>
      <c r="T339" s="3367"/>
      <c r="U339" s="3367"/>
      <c r="V339" s="3367"/>
      <c r="W339" s="3367"/>
      <c r="X339" s="3367"/>
      <c r="Y339" s="3367"/>
      <c r="Z339" s="3367"/>
      <c r="AA339" s="3367"/>
      <c r="AB339" s="3367"/>
      <c r="AE339" s="2140"/>
    </row>
    <row r="340" spans="2:31" s="395" customFormat="1" x14ac:dyDescent="0.25">
      <c r="B340" s="661"/>
      <c r="C340" s="661"/>
      <c r="D340" s="661"/>
      <c r="E340" s="661"/>
      <c r="F340" s="661"/>
      <c r="G340" s="661"/>
      <c r="H340" s="661"/>
      <c r="I340" s="661"/>
      <c r="J340" s="661"/>
      <c r="K340" s="661"/>
      <c r="L340" s="661"/>
      <c r="M340" s="661"/>
      <c r="N340" s="661"/>
      <c r="O340" s="661"/>
      <c r="P340" s="661"/>
      <c r="Q340" s="661"/>
      <c r="R340" s="661"/>
      <c r="S340" s="661"/>
      <c r="T340" s="661"/>
      <c r="U340" s="661"/>
      <c r="V340" s="661"/>
      <c r="W340" s="661"/>
      <c r="X340" s="661"/>
      <c r="Y340" s="661"/>
      <c r="Z340" s="661"/>
      <c r="AA340" s="661"/>
      <c r="AB340" s="661"/>
      <c r="AE340" s="2140"/>
    </row>
    <row r="341" spans="2:31" s="1608" customFormat="1" ht="21" customHeight="1" x14ac:dyDescent="0.25">
      <c r="B341" s="1356"/>
      <c r="C341" s="1357" t="s">
        <v>1153</v>
      </c>
      <c r="D341" s="1356" t="s">
        <v>1154</v>
      </c>
      <c r="E341" s="1356" t="s">
        <v>1155</v>
      </c>
      <c r="F341" s="1356" t="s">
        <v>1156</v>
      </c>
      <c r="G341" s="1356" t="s">
        <v>1157</v>
      </c>
      <c r="H341" s="1356" t="s">
        <v>1158</v>
      </c>
      <c r="I341" s="1356" t="s">
        <v>1159</v>
      </c>
      <c r="J341" s="1356" t="s">
        <v>1160</v>
      </c>
      <c r="K341" s="1356" t="s">
        <v>1161</v>
      </c>
      <c r="L341" s="1356" t="s">
        <v>1162</v>
      </c>
      <c r="M341" s="1356" t="s">
        <v>1163</v>
      </c>
      <c r="N341" s="1356" t="s">
        <v>1164</v>
      </c>
      <c r="O341" s="1356" t="s">
        <v>1165</v>
      </c>
      <c r="P341" s="1356" t="s">
        <v>1166</v>
      </c>
      <c r="Q341" s="1356" t="s">
        <v>1167</v>
      </c>
      <c r="R341" s="1356" t="s">
        <v>1168</v>
      </c>
      <c r="S341" s="1356" t="s">
        <v>1169</v>
      </c>
      <c r="T341" s="1356" t="s">
        <v>1170</v>
      </c>
      <c r="U341" s="1356" t="s">
        <v>1171</v>
      </c>
      <c r="V341" s="1356" t="s">
        <v>1172</v>
      </c>
      <c r="W341" s="1356" t="s">
        <v>1173</v>
      </c>
      <c r="X341" s="1356" t="s">
        <v>1174</v>
      </c>
      <c r="Y341" s="1356" t="s">
        <v>1175</v>
      </c>
      <c r="Z341" s="1356" t="s">
        <v>1176</v>
      </c>
      <c r="AA341" s="1356" t="s">
        <v>1184</v>
      </c>
      <c r="AB341" s="1356" t="s">
        <v>1185</v>
      </c>
      <c r="AE341" s="2140"/>
    </row>
    <row r="342" spans="2:31" s="395" customFormat="1" x14ac:dyDescent="0.25">
      <c r="B342" s="1490" t="s">
        <v>1179</v>
      </c>
      <c r="C342" s="1269">
        <v>0</v>
      </c>
      <c r="D342" s="1269">
        <v>0</v>
      </c>
      <c r="E342" s="1269">
        <v>0</v>
      </c>
      <c r="F342" s="1269">
        <v>0</v>
      </c>
      <c r="G342" s="1269">
        <v>0</v>
      </c>
      <c r="H342" s="1269">
        <v>0</v>
      </c>
      <c r="I342" s="1269">
        <v>0</v>
      </c>
      <c r="J342" s="1269">
        <v>0.1</v>
      </c>
      <c r="K342" s="1269">
        <v>0.2</v>
      </c>
      <c r="L342" s="1269">
        <v>0.5</v>
      </c>
      <c r="M342" s="1269">
        <v>0.5</v>
      </c>
      <c r="N342" s="1269">
        <v>0.7</v>
      </c>
      <c r="O342" s="1269">
        <v>0.7</v>
      </c>
      <c r="P342" s="1269">
        <v>0.7</v>
      </c>
      <c r="Q342" s="1269">
        <v>0.7</v>
      </c>
      <c r="R342" s="1269">
        <v>0.8</v>
      </c>
      <c r="S342" s="1269">
        <v>0.7</v>
      </c>
      <c r="T342" s="1269">
        <v>0.5</v>
      </c>
      <c r="U342" s="1269">
        <v>0.5</v>
      </c>
      <c r="V342" s="1269">
        <v>0.3</v>
      </c>
      <c r="W342" s="1269">
        <v>0.3</v>
      </c>
      <c r="X342" s="1269">
        <v>0</v>
      </c>
      <c r="Y342" s="1269">
        <v>0</v>
      </c>
      <c r="Z342" s="1269">
        <v>0</v>
      </c>
      <c r="AA342" s="1263">
        <f>SUM(C342:Z342)</f>
        <v>7.2</v>
      </c>
      <c r="AB342" s="1264">
        <f>AA342*SUM($C$9:$C$13)</f>
        <v>1800</v>
      </c>
      <c r="AE342" s="2140"/>
    </row>
    <row r="343" spans="2:31" s="395" customFormat="1" x14ac:dyDescent="0.25">
      <c r="B343" s="1490" t="s">
        <v>1149</v>
      </c>
      <c r="C343" s="1269">
        <v>0</v>
      </c>
      <c r="D343" s="1269">
        <v>0</v>
      </c>
      <c r="E343" s="1269">
        <v>0</v>
      </c>
      <c r="F343" s="1269">
        <v>0</v>
      </c>
      <c r="G343" s="1269">
        <v>0</v>
      </c>
      <c r="H343" s="1269">
        <v>0</v>
      </c>
      <c r="I343" s="1269">
        <v>0</v>
      </c>
      <c r="J343" s="1269">
        <v>0.1</v>
      </c>
      <c r="K343" s="1269">
        <v>0.2</v>
      </c>
      <c r="L343" s="1269">
        <v>0.5</v>
      </c>
      <c r="M343" s="1269">
        <v>0.6</v>
      </c>
      <c r="N343" s="1269">
        <v>0.8</v>
      </c>
      <c r="O343" s="1269">
        <v>0.8</v>
      </c>
      <c r="P343" s="1269">
        <v>0.8</v>
      </c>
      <c r="Q343" s="1269">
        <v>0.8</v>
      </c>
      <c r="R343" s="1269">
        <v>0.8</v>
      </c>
      <c r="S343" s="1269">
        <v>0.8</v>
      </c>
      <c r="T343" s="1269">
        <v>0.6</v>
      </c>
      <c r="U343" s="1269">
        <v>0.2</v>
      </c>
      <c r="V343" s="1269">
        <v>0.2</v>
      </c>
      <c r="W343" s="1269">
        <v>0.2</v>
      </c>
      <c r="X343" s="1269">
        <v>0.1</v>
      </c>
      <c r="Y343" s="1269">
        <v>0</v>
      </c>
      <c r="Z343" s="1269">
        <v>0</v>
      </c>
      <c r="AA343" s="1263">
        <f>SUM(C343:Z343)</f>
        <v>7.4999999999999991</v>
      </c>
      <c r="AB343" s="1264">
        <f>AA343*SUM($C$14)</f>
        <v>389.99999999999994</v>
      </c>
      <c r="AE343" s="2140"/>
    </row>
    <row r="344" spans="2:31" s="395" customFormat="1" x14ac:dyDescent="0.25">
      <c r="B344" s="1490" t="s">
        <v>1150</v>
      </c>
      <c r="C344" s="1269">
        <v>0</v>
      </c>
      <c r="D344" s="1269">
        <v>0</v>
      </c>
      <c r="E344" s="1269">
        <v>0</v>
      </c>
      <c r="F344" s="1269">
        <v>0</v>
      </c>
      <c r="G344" s="1269">
        <v>0</v>
      </c>
      <c r="H344" s="1269">
        <v>0</v>
      </c>
      <c r="I344" s="1269">
        <v>0</v>
      </c>
      <c r="J344" s="1269">
        <v>0</v>
      </c>
      <c r="K344" s="1269">
        <v>0</v>
      </c>
      <c r="L344" s="1269">
        <v>0.1</v>
      </c>
      <c r="M344" s="1269">
        <v>0.2</v>
      </c>
      <c r="N344" s="1269">
        <v>0.2</v>
      </c>
      <c r="O344" s="1269">
        <v>0.4</v>
      </c>
      <c r="P344" s="1269">
        <v>0.4</v>
      </c>
      <c r="Q344" s="1269">
        <v>0.4</v>
      </c>
      <c r="R344" s="1269">
        <v>0.4</v>
      </c>
      <c r="S344" s="1269">
        <v>0.4</v>
      </c>
      <c r="T344" s="1269">
        <v>0.2</v>
      </c>
      <c r="U344" s="1269">
        <v>0.1</v>
      </c>
      <c r="V344" s="1269">
        <v>0</v>
      </c>
      <c r="W344" s="1269">
        <v>0</v>
      </c>
      <c r="X344" s="1269">
        <v>0</v>
      </c>
      <c r="Y344" s="1269">
        <v>0</v>
      </c>
      <c r="Z344" s="1269">
        <v>0</v>
      </c>
      <c r="AA344" s="1263">
        <f>SUM(C344:Z344)</f>
        <v>2.8000000000000003</v>
      </c>
      <c r="AB344" s="1264">
        <f>AA344*$C$15</f>
        <v>145.60000000000002</v>
      </c>
      <c r="AE344" s="2140"/>
    </row>
    <row r="345" spans="2:31" s="395" customFormat="1" x14ac:dyDescent="0.25">
      <c r="B345" s="1490" t="s">
        <v>1181</v>
      </c>
      <c r="C345" s="1269">
        <v>0</v>
      </c>
      <c r="D345" s="1269">
        <v>0</v>
      </c>
      <c r="E345" s="1269">
        <v>0</v>
      </c>
      <c r="F345" s="1269">
        <v>0</v>
      </c>
      <c r="G345" s="1269">
        <v>0</v>
      </c>
      <c r="H345" s="1269">
        <v>0</v>
      </c>
      <c r="I345" s="1269">
        <v>0</v>
      </c>
      <c r="J345" s="1269">
        <v>0</v>
      </c>
      <c r="K345" s="1269">
        <v>0</v>
      </c>
      <c r="L345" s="1269">
        <v>0.1</v>
      </c>
      <c r="M345" s="1269">
        <v>0.2</v>
      </c>
      <c r="N345" s="1269">
        <v>0.2</v>
      </c>
      <c r="O345" s="1269">
        <v>0.4</v>
      </c>
      <c r="P345" s="1269">
        <v>0.4</v>
      </c>
      <c r="Q345" s="1269">
        <v>0.4</v>
      </c>
      <c r="R345" s="1269">
        <v>0.4</v>
      </c>
      <c r="S345" s="1269">
        <v>0.4</v>
      </c>
      <c r="T345" s="1269">
        <v>0.2</v>
      </c>
      <c r="U345" s="1269">
        <v>0.1</v>
      </c>
      <c r="V345" s="1269">
        <v>0</v>
      </c>
      <c r="W345" s="1269">
        <v>0</v>
      </c>
      <c r="X345" s="1269">
        <v>0</v>
      </c>
      <c r="Y345" s="1269">
        <v>0</v>
      </c>
      <c r="Z345" s="1269">
        <v>0</v>
      </c>
      <c r="AA345" s="1263">
        <f>SUM(C345:Z345)</f>
        <v>2.8000000000000003</v>
      </c>
      <c r="AB345" s="1264">
        <f>AA345*SUM($C$8)</f>
        <v>30.800000000000004</v>
      </c>
      <c r="AE345" s="2140"/>
    </row>
    <row r="346" spans="2:31" s="395" customFormat="1" x14ac:dyDescent="0.25">
      <c r="B346" s="3368" t="s">
        <v>1186</v>
      </c>
      <c r="C346" s="3368"/>
      <c r="D346" s="3368"/>
      <c r="E346" s="3368"/>
      <c r="F346" s="3368"/>
      <c r="G346" s="3368"/>
      <c r="H346" s="3368"/>
      <c r="I346" s="3368"/>
      <c r="J346" s="3368"/>
      <c r="K346" s="3368"/>
      <c r="L346" s="3368"/>
      <c r="M346" s="3368"/>
      <c r="N346" s="3368"/>
      <c r="O346" s="3368"/>
      <c r="P346" s="3368"/>
      <c r="Q346" s="3368"/>
      <c r="R346" s="3368"/>
      <c r="S346" s="3368"/>
      <c r="T346" s="3368"/>
      <c r="U346" s="3368"/>
      <c r="V346" s="3368"/>
      <c r="W346" s="3368"/>
      <c r="X346" s="3368"/>
      <c r="Y346" s="3368"/>
      <c r="Z346" s="3368"/>
      <c r="AA346" s="3368"/>
      <c r="AB346" s="1264">
        <f>SUM(AB342:AB345)</f>
        <v>2366.4</v>
      </c>
      <c r="AE346" s="2140"/>
    </row>
    <row r="347" spans="2:31" s="395" customFormat="1" x14ac:dyDescent="0.25">
      <c r="B347" s="661"/>
      <c r="C347" s="661"/>
      <c r="D347" s="661"/>
      <c r="E347" s="661"/>
      <c r="F347" s="661"/>
      <c r="G347" s="661"/>
      <c r="H347" s="661"/>
      <c r="I347" s="661"/>
      <c r="J347" s="661"/>
      <c r="K347" s="661"/>
      <c r="L347" s="661"/>
      <c r="M347" s="661"/>
      <c r="N347" s="661"/>
      <c r="O347" s="661"/>
      <c r="P347" s="661"/>
      <c r="Q347" s="661"/>
      <c r="R347" s="661"/>
      <c r="S347" s="661"/>
      <c r="T347" s="661"/>
      <c r="U347" s="661"/>
      <c r="V347" s="661"/>
      <c r="W347" s="661"/>
      <c r="X347" s="661"/>
      <c r="Y347" s="661"/>
      <c r="Z347" s="661"/>
      <c r="AA347" s="661"/>
      <c r="AB347" s="661"/>
      <c r="AE347" s="2140"/>
    </row>
    <row r="348" spans="2:31" s="395" customFormat="1" ht="15" customHeight="1" x14ac:dyDescent="0.25">
      <c r="B348" s="661" t="s">
        <v>1152</v>
      </c>
      <c r="C348" s="3367" t="s">
        <v>1347</v>
      </c>
      <c r="D348" s="3367"/>
      <c r="E348" s="3367"/>
      <c r="F348" s="3367"/>
      <c r="G348" s="3367"/>
      <c r="H348" s="3367"/>
      <c r="I348" s="3367"/>
      <c r="J348" s="3367"/>
      <c r="K348" s="3367"/>
      <c r="L348" s="3367"/>
      <c r="M348" s="3367"/>
      <c r="N348" s="3367"/>
      <c r="O348" s="3367"/>
      <c r="P348" s="3367"/>
      <c r="Q348" s="3367"/>
      <c r="R348" s="3367"/>
      <c r="S348" s="3367"/>
      <c r="T348" s="3367"/>
      <c r="U348" s="3367"/>
      <c r="V348" s="3367"/>
      <c r="W348" s="3367"/>
      <c r="X348" s="3367"/>
      <c r="Y348" s="3367"/>
      <c r="Z348" s="3367"/>
      <c r="AA348" s="3367"/>
      <c r="AB348" s="3367"/>
      <c r="AE348" s="2140"/>
    </row>
    <row r="349" spans="2:31" s="395" customFormat="1" x14ac:dyDescent="0.25">
      <c r="B349" s="661"/>
      <c r="C349" s="661"/>
      <c r="D349" s="661"/>
      <c r="E349" s="661"/>
      <c r="F349" s="661"/>
      <c r="G349" s="661"/>
      <c r="H349" s="661"/>
      <c r="I349" s="661"/>
      <c r="J349" s="661"/>
      <c r="K349" s="661"/>
      <c r="L349" s="661"/>
      <c r="M349" s="661"/>
      <c r="N349" s="661"/>
      <c r="O349" s="661"/>
      <c r="P349" s="661"/>
      <c r="Q349" s="661"/>
      <c r="R349" s="661"/>
      <c r="S349" s="661"/>
      <c r="T349" s="661"/>
      <c r="U349" s="661"/>
      <c r="V349" s="661"/>
      <c r="W349" s="661"/>
      <c r="X349" s="661"/>
      <c r="Y349" s="661"/>
      <c r="Z349" s="661"/>
      <c r="AA349" s="661"/>
      <c r="AB349" s="661"/>
      <c r="AE349" s="2140"/>
    </row>
    <row r="350" spans="2:31" s="1608" customFormat="1" ht="21" customHeight="1" x14ac:dyDescent="0.25">
      <c r="B350" s="1356"/>
      <c r="C350" s="1357" t="s">
        <v>1153</v>
      </c>
      <c r="D350" s="1356" t="s">
        <v>1154</v>
      </c>
      <c r="E350" s="1356" t="s">
        <v>1155</v>
      </c>
      <c r="F350" s="1356" t="s">
        <v>1156</v>
      </c>
      <c r="G350" s="1356" t="s">
        <v>1157</v>
      </c>
      <c r="H350" s="1356" t="s">
        <v>1158</v>
      </c>
      <c r="I350" s="1356" t="s">
        <v>1159</v>
      </c>
      <c r="J350" s="1356" t="s">
        <v>1160</v>
      </c>
      <c r="K350" s="1356" t="s">
        <v>1161</v>
      </c>
      <c r="L350" s="1356" t="s">
        <v>1162</v>
      </c>
      <c r="M350" s="1356" t="s">
        <v>1163</v>
      </c>
      <c r="N350" s="1356" t="s">
        <v>1164</v>
      </c>
      <c r="O350" s="1356" t="s">
        <v>1165</v>
      </c>
      <c r="P350" s="1356" t="s">
        <v>1166</v>
      </c>
      <c r="Q350" s="1356" t="s">
        <v>1167</v>
      </c>
      <c r="R350" s="1356" t="s">
        <v>1168</v>
      </c>
      <c r="S350" s="1356" t="s">
        <v>1169</v>
      </c>
      <c r="T350" s="1356" t="s">
        <v>1170</v>
      </c>
      <c r="U350" s="1356" t="s">
        <v>1171</v>
      </c>
      <c r="V350" s="1356" t="s">
        <v>1172</v>
      </c>
      <c r="W350" s="1356" t="s">
        <v>1173</v>
      </c>
      <c r="X350" s="1356" t="s">
        <v>1174</v>
      </c>
      <c r="Y350" s="1356" t="s">
        <v>1175</v>
      </c>
      <c r="Z350" s="1356" t="s">
        <v>1176</v>
      </c>
      <c r="AA350" s="1356" t="s">
        <v>1184</v>
      </c>
      <c r="AB350" s="1356" t="s">
        <v>1185</v>
      </c>
      <c r="AE350" s="2140"/>
    </row>
    <row r="351" spans="2:31" s="395" customFormat="1" x14ac:dyDescent="0.25">
      <c r="B351" s="1490" t="s">
        <v>1179</v>
      </c>
      <c r="C351" s="1269">
        <v>0.05</v>
      </c>
      <c r="D351" s="1269">
        <v>0.05</v>
      </c>
      <c r="E351" s="1269">
        <v>0.05</v>
      </c>
      <c r="F351" s="1269">
        <v>0.05</v>
      </c>
      <c r="G351" s="1269">
        <v>0.05</v>
      </c>
      <c r="H351" s="1269">
        <v>0.05</v>
      </c>
      <c r="I351" s="1269">
        <v>0.05</v>
      </c>
      <c r="J351" s="1269">
        <v>0.2</v>
      </c>
      <c r="K351" s="1269">
        <v>0.5</v>
      </c>
      <c r="L351" s="1269">
        <v>0.85</v>
      </c>
      <c r="M351" s="1269">
        <v>0.85</v>
      </c>
      <c r="N351" s="1269">
        <v>0.85</v>
      </c>
      <c r="O351" s="1269">
        <v>0.85</v>
      </c>
      <c r="P351" s="1269">
        <v>0.85</v>
      </c>
      <c r="Q351" s="1269">
        <v>0.85</v>
      </c>
      <c r="R351" s="1269">
        <v>0.85</v>
      </c>
      <c r="S351" s="1269">
        <v>0.85</v>
      </c>
      <c r="T351" s="1269">
        <v>0.85</v>
      </c>
      <c r="U351" s="1269">
        <v>0.55000000000000004</v>
      </c>
      <c r="V351" s="1269">
        <v>0.55000000000000004</v>
      </c>
      <c r="W351" s="1269">
        <v>0.5</v>
      </c>
      <c r="X351" s="1269">
        <v>0.2</v>
      </c>
      <c r="Y351" s="1269">
        <v>0.05</v>
      </c>
      <c r="Z351" s="1269">
        <v>0.05</v>
      </c>
      <c r="AA351" s="1263">
        <f>SUM(C351:Z351)</f>
        <v>10.600000000000001</v>
      </c>
      <c r="AB351" s="1264">
        <f>AA351*SUM($C$9:$C$13)</f>
        <v>2650.0000000000005</v>
      </c>
      <c r="AE351" s="2140"/>
    </row>
    <row r="352" spans="2:31" s="395" customFormat="1" x14ac:dyDescent="0.25">
      <c r="B352" s="1490" t="s">
        <v>1149</v>
      </c>
      <c r="C352" s="1269">
        <v>0.05</v>
      </c>
      <c r="D352" s="1269">
        <v>0.05</v>
      </c>
      <c r="E352" s="1269">
        <v>0.05</v>
      </c>
      <c r="F352" s="1269">
        <v>0.05</v>
      </c>
      <c r="G352" s="1269">
        <v>0.05</v>
      </c>
      <c r="H352" s="1269">
        <v>0.05</v>
      </c>
      <c r="I352" s="1269">
        <v>0.05</v>
      </c>
      <c r="J352" s="1269">
        <v>0.1</v>
      </c>
      <c r="K352" s="1269">
        <v>0.3</v>
      </c>
      <c r="L352" s="1269">
        <v>0.55000000000000004</v>
      </c>
      <c r="M352" s="1269">
        <v>0.85</v>
      </c>
      <c r="N352" s="1269">
        <v>0.85</v>
      </c>
      <c r="O352" s="1269">
        <v>0.85</v>
      </c>
      <c r="P352" s="1269">
        <v>0.85</v>
      </c>
      <c r="Q352" s="1269">
        <v>0.85</v>
      </c>
      <c r="R352" s="1269">
        <v>0.85</v>
      </c>
      <c r="S352" s="1269">
        <v>0.85</v>
      </c>
      <c r="T352" s="1269">
        <v>0.85</v>
      </c>
      <c r="U352" s="1269">
        <v>0.5</v>
      </c>
      <c r="V352" s="1269">
        <v>0.3</v>
      </c>
      <c r="W352" s="1269">
        <v>0.3</v>
      </c>
      <c r="X352" s="1269">
        <v>0.1</v>
      </c>
      <c r="Y352" s="1269">
        <v>0.05</v>
      </c>
      <c r="Z352" s="1269">
        <v>0.05</v>
      </c>
      <c r="AA352" s="1263">
        <f>SUM(C352:Z352)</f>
        <v>9.4000000000000021</v>
      </c>
      <c r="AB352" s="1264">
        <f>AA352*SUM($C$14)</f>
        <v>488.80000000000013</v>
      </c>
      <c r="AE352" s="2140"/>
    </row>
    <row r="353" spans="2:31" s="395" customFormat="1" x14ac:dyDescent="0.25">
      <c r="B353" s="1490" t="s">
        <v>1150</v>
      </c>
      <c r="C353" s="1269">
        <v>0.05</v>
      </c>
      <c r="D353" s="1269">
        <v>0.05</v>
      </c>
      <c r="E353" s="1269">
        <v>0.05</v>
      </c>
      <c r="F353" s="1269">
        <v>0.05</v>
      </c>
      <c r="G353" s="1269">
        <v>0.05</v>
      </c>
      <c r="H353" s="1269">
        <v>0.05</v>
      </c>
      <c r="I353" s="1269">
        <v>0.05</v>
      </c>
      <c r="J353" s="1269">
        <v>0.05</v>
      </c>
      <c r="K353" s="1269">
        <v>0.1</v>
      </c>
      <c r="L353" s="1269">
        <v>0.1</v>
      </c>
      <c r="M353" s="1269">
        <v>0.4</v>
      </c>
      <c r="N353" s="1269">
        <v>0.4</v>
      </c>
      <c r="O353" s="1269">
        <v>0.55000000000000004</v>
      </c>
      <c r="P353" s="1269">
        <v>0.55000000000000004</v>
      </c>
      <c r="Q353" s="1269">
        <v>0.55000000000000004</v>
      </c>
      <c r="R353" s="1269">
        <v>0.55000000000000004</v>
      </c>
      <c r="S353" s="1269">
        <v>0.55000000000000004</v>
      </c>
      <c r="T353" s="1269">
        <v>0.4</v>
      </c>
      <c r="U353" s="1269">
        <v>0.2</v>
      </c>
      <c r="V353" s="1269">
        <v>0.05</v>
      </c>
      <c r="W353" s="1269">
        <v>0.05</v>
      </c>
      <c r="X353" s="1269">
        <v>0.05</v>
      </c>
      <c r="Y353" s="1269">
        <v>0.05</v>
      </c>
      <c r="Z353" s="1269">
        <v>0.05</v>
      </c>
      <c r="AA353" s="1263">
        <f>SUM(C353:Z353)</f>
        <v>4.9999999999999991</v>
      </c>
      <c r="AB353" s="1264">
        <f>AA353*$C$15</f>
        <v>259.99999999999994</v>
      </c>
      <c r="AE353" s="2140"/>
    </row>
    <row r="354" spans="2:31" s="395" customFormat="1" x14ac:dyDescent="0.25">
      <c r="B354" s="1490" t="s">
        <v>1181</v>
      </c>
      <c r="C354" s="1269">
        <v>0.05</v>
      </c>
      <c r="D354" s="1269">
        <v>0.05</v>
      </c>
      <c r="E354" s="1269">
        <v>0.05</v>
      </c>
      <c r="F354" s="1269">
        <v>0.05</v>
      </c>
      <c r="G354" s="1269">
        <v>0.05</v>
      </c>
      <c r="H354" s="1269">
        <v>0.05</v>
      </c>
      <c r="I354" s="1269">
        <v>0.05</v>
      </c>
      <c r="J354" s="1269">
        <v>0.05</v>
      </c>
      <c r="K354" s="1269">
        <v>0.1</v>
      </c>
      <c r="L354" s="1269">
        <v>0.1</v>
      </c>
      <c r="M354" s="1269">
        <v>0.4</v>
      </c>
      <c r="N354" s="1269">
        <v>0.4</v>
      </c>
      <c r="O354" s="1269">
        <v>0.55000000000000004</v>
      </c>
      <c r="P354" s="1269">
        <v>0.55000000000000004</v>
      </c>
      <c r="Q354" s="1269">
        <v>0.55000000000000004</v>
      </c>
      <c r="R354" s="1269">
        <v>0.55000000000000004</v>
      </c>
      <c r="S354" s="1269">
        <v>0.55000000000000004</v>
      </c>
      <c r="T354" s="1269">
        <v>0.4</v>
      </c>
      <c r="U354" s="1269">
        <v>0.2</v>
      </c>
      <c r="V354" s="1269">
        <v>0.05</v>
      </c>
      <c r="W354" s="1269">
        <v>0.05</v>
      </c>
      <c r="X354" s="1269">
        <v>0.05</v>
      </c>
      <c r="Y354" s="1269">
        <v>0.05</v>
      </c>
      <c r="Z354" s="1269">
        <v>0.05</v>
      </c>
      <c r="AA354" s="1263">
        <f>SUM(C354:Z354)</f>
        <v>4.9999999999999991</v>
      </c>
      <c r="AB354" s="1264">
        <f>AA354*SUM($C$8)</f>
        <v>54.999999999999993</v>
      </c>
      <c r="AE354" s="2140"/>
    </row>
    <row r="355" spans="2:31" s="395" customFormat="1" x14ac:dyDescent="0.25">
      <c r="B355" s="3368" t="s">
        <v>1186</v>
      </c>
      <c r="C355" s="3368"/>
      <c r="D355" s="3368"/>
      <c r="E355" s="3368"/>
      <c r="F355" s="3368"/>
      <c r="G355" s="3368"/>
      <c r="H355" s="3368"/>
      <c r="I355" s="3368"/>
      <c r="J355" s="3368"/>
      <c r="K355" s="3368"/>
      <c r="L355" s="3368"/>
      <c r="M355" s="3368"/>
      <c r="N355" s="3368"/>
      <c r="O355" s="3368"/>
      <c r="P355" s="3368"/>
      <c r="Q355" s="3368"/>
      <c r="R355" s="3368"/>
      <c r="S355" s="3368"/>
      <c r="T355" s="3368"/>
      <c r="U355" s="3368"/>
      <c r="V355" s="3368"/>
      <c r="W355" s="3368"/>
      <c r="X355" s="3368"/>
      <c r="Y355" s="3368"/>
      <c r="Z355" s="3368"/>
      <c r="AA355" s="3368"/>
      <c r="AB355" s="1264">
        <f>SUM(AB351:AB354)</f>
        <v>3453.8000000000006</v>
      </c>
      <c r="AE355" s="2140"/>
    </row>
    <row r="356" spans="2:31" s="395" customFormat="1" x14ac:dyDescent="0.25">
      <c r="B356" s="661"/>
      <c r="C356" s="661"/>
      <c r="D356" s="661"/>
      <c r="E356" s="661"/>
      <c r="F356" s="661"/>
      <c r="G356" s="661"/>
      <c r="H356" s="661"/>
      <c r="I356" s="661"/>
      <c r="J356" s="661"/>
      <c r="K356" s="661"/>
      <c r="L356" s="661"/>
      <c r="M356" s="661"/>
      <c r="N356" s="661"/>
      <c r="O356" s="661"/>
      <c r="P356" s="661"/>
      <c r="Q356" s="661"/>
      <c r="R356" s="661"/>
      <c r="S356" s="661"/>
      <c r="T356" s="661"/>
      <c r="U356" s="661"/>
      <c r="V356" s="661"/>
      <c r="W356" s="661"/>
      <c r="X356" s="661"/>
      <c r="Y356" s="661"/>
      <c r="Z356" s="661"/>
      <c r="AA356" s="661"/>
      <c r="AB356" s="661"/>
      <c r="AE356" s="2140"/>
    </row>
    <row r="357" spans="2:31" s="395" customFormat="1" ht="15" customHeight="1" x14ac:dyDescent="0.25">
      <c r="B357" s="661" t="s">
        <v>1152</v>
      </c>
      <c r="C357" s="3367" t="s">
        <v>1348</v>
      </c>
      <c r="D357" s="3367"/>
      <c r="E357" s="3367"/>
      <c r="F357" s="3367"/>
      <c r="G357" s="3367"/>
      <c r="H357" s="3367"/>
      <c r="I357" s="3367"/>
      <c r="J357" s="3367"/>
      <c r="K357" s="3367"/>
      <c r="L357" s="3367"/>
      <c r="M357" s="3367"/>
      <c r="N357" s="3367"/>
      <c r="O357" s="3367"/>
      <c r="P357" s="3367"/>
      <c r="Q357" s="3367"/>
      <c r="R357" s="3367"/>
      <c r="S357" s="3367"/>
      <c r="T357" s="3367"/>
      <c r="U357" s="3367"/>
      <c r="V357" s="3367"/>
      <c r="W357" s="3367"/>
      <c r="X357" s="3367"/>
      <c r="Y357" s="3367"/>
      <c r="Z357" s="3367"/>
      <c r="AA357" s="3367"/>
      <c r="AB357" s="3367"/>
      <c r="AE357" s="2140"/>
    </row>
    <row r="358" spans="2:31" s="395" customFormat="1" x14ac:dyDescent="0.25">
      <c r="B358" s="661"/>
      <c r="C358" s="661"/>
      <c r="D358" s="661"/>
      <c r="E358" s="661"/>
      <c r="F358" s="661"/>
      <c r="G358" s="661"/>
      <c r="H358" s="661"/>
      <c r="I358" s="661"/>
      <c r="J358" s="661"/>
      <c r="K358" s="661"/>
      <c r="L358" s="661"/>
      <c r="M358" s="661"/>
      <c r="N358" s="661"/>
      <c r="O358" s="661"/>
      <c r="P358" s="661"/>
      <c r="Q358" s="661"/>
      <c r="R358" s="661"/>
      <c r="S358" s="661"/>
      <c r="T358" s="661"/>
      <c r="U358" s="661"/>
      <c r="V358" s="661"/>
      <c r="W358" s="661"/>
      <c r="X358" s="661"/>
      <c r="Y358" s="661"/>
      <c r="Z358" s="661"/>
      <c r="AA358" s="661"/>
      <c r="AB358" s="661"/>
      <c r="AE358" s="2140"/>
    </row>
    <row r="359" spans="2:31" s="1608" customFormat="1" ht="21" customHeight="1" x14ac:dyDescent="0.25">
      <c r="B359" s="1356"/>
      <c r="C359" s="1357" t="s">
        <v>1153</v>
      </c>
      <c r="D359" s="1356" t="s">
        <v>1154</v>
      </c>
      <c r="E359" s="1356" t="s">
        <v>1155</v>
      </c>
      <c r="F359" s="1356" t="s">
        <v>1156</v>
      </c>
      <c r="G359" s="1356" t="s">
        <v>1157</v>
      </c>
      <c r="H359" s="1356" t="s">
        <v>1158</v>
      </c>
      <c r="I359" s="1356" t="s">
        <v>1159</v>
      </c>
      <c r="J359" s="1356" t="s">
        <v>1160</v>
      </c>
      <c r="K359" s="1356" t="s">
        <v>1161</v>
      </c>
      <c r="L359" s="1356" t="s">
        <v>1162</v>
      </c>
      <c r="M359" s="1356" t="s">
        <v>1163</v>
      </c>
      <c r="N359" s="1356" t="s">
        <v>1164</v>
      </c>
      <c r="O359" s="1356" t="s">
        <v>1165</v>
      </c>
      <c r="P359" s="1356" t="s">
        <v>1166</v>
      </c>
      <c r="Q359" s="1356" t="s">
        <v>1167</v>
      </c>
      <c r="R359" s="1356" t="s">
        <v>1168</v>
      </c>
      <c r="S359" s="1356" t="s">
        <v>1169</v>
      </c>
      <c r="T359" s="1356" t="s">
        <v>1170</v>
      </c>
      <c r="U359" s="1356" t="s">
        <v>1171</v>
      </c>
      <c r="V359" s="1356" t="s">
        <v>1172</v>
      </c>
      <c r="W359" s="1356" t="s">
        <v>1173</v>
      </c>
      <c r="X359" s="1356" t="s">
        <v>1174</v>
      </c>
      <c r="Y359" s="1356" t="s">
        <v>1175</v>
      </c>
      <c r="Z359" s="1356" t="s">
        <v>1176</v>
      </c>
      <c r="AA359" s="1356" t="s">
        <v>1184</v>
      </c>
      <c r="AB359" s="1356" t="s">
        <v>1185</v>
      </c>
      <c r="AE359" s="2140"/>
    </row>
    <row r="360" spans="2:31" s="395" customFormat="1" x14ac:dyDescent="0.25">
      <c r="B360" s="1490" t="s">
        <v>1179</v>
      </c>
      <c r="C360" s="1269">
        <v>0.05</v>
      </c>
      <c r="D360" s="1269">
        <v>0.05</v>
      </c>
      <c r="E360" s="1269">
        <v>0.05</v>
      </c>
      <c r="F360" s="1269">
        <v>0.05</v>
      </c>
      <c r="G360" s="1269">
        <v>0.05</v>
      </c>
      <c r="H360" s="1269">
        <v>0.05</v>
      </c>
      <c r="I360" s="1269">
        <v>0.05</v>
      </c>
      <c r="J360" s="1269">
        <v>0.2</v>
      </c>
      <c r="K360" s="1269">
        <v>0.5</v>
      </c>
      <c r="L360" s="1269">
        <v>0.9</v>
      </c>
      <c r="M360" s="1269">
        <v>0.9</v>
      </c>
      <c r="N360" s="1269">
        <v>0.9</v>
      </c>
      <c r="O360" s="1269">
        <v>0.9</v>
      </c>
      <c r="P360" s="1269">
        <v>0.9</v>
      </c>
      <c r="Q360" s="1269">
        <v>0.9</v>
      </c>
      <c r="R360" s="1269">
        <v>0.9</v>
      </c>
      <c r="S360" s="1269">
        <v>0.9</v>
      </c>
      <c r="T360" s="1269">
        <v>0.9</v>
      </c>
      <c r="U360" s="1269">
        <v>0.6</v>
      </c>
      <c r="V360" s="1269">
        <v>0.6</v>
      </c>
      <c r="W360" s="1269">
        <v>0.5</v>
      </c>
      <c r="X360" s="1269">
        <v>0.2</v>
      </c>
      <c r="Y360" s="1269">
        <v>0.05</v>
      </c>
      <c r="Z360" s="1269">
        <v>0.05</v>
      </c>
      <c r="AA360" s="1263">
        <f>SUM(C360:Z360)</f>
        <v>11.150000000000002</v>
      </c>
      <c r="AB360" s="1264">
        <f>AA360*SUM($C$9:$C$13)</f>
        <v>2787.5000000000005</v>
      </c>
      <c r="AE360" s="2140"/>
    </row>
    <row r="361" spans="2:31" s="395" customFormat="1" x14ac:dyDescent="0.25">
      <c r="B361" s="1490" t="s">
        <v>1149</v>
      </c>
      <c r="C361" s="1269">
        <v>0.05</v>
      </c>
      <c r="D361" s="1269">
        <v>0.05</v>
      </c>
      <c r="E361" s="1269">
        <v>0.05</v>
      </c>
      <c r="F361" s="1269">
        <v>0.05</v>
      </c>
      <c r="G361" s="1269">
        <v>0.05</v>
      </c>
      <c r="H361" s="1269">
        <v>0.05</v>
      </c>
      <c r="I361" s="1269">
        <v>0.05</v>
      </c>
      <c r="J361" s="1269">
        <v>0.1</v>
      </c>
      <c r="K361" s="1269">
        <v>0.3</v>
      </c>
      <c r="L361" s="1269">
        <v>0.6</v>
      </c>
      <c r="M361" s="1269">
        <v>0.9</v>
      </c>
      <c r="N361" s="1269">
        <v>0.9</v>
      </c>
      <c r="O361" s="1269">
        <v>0.9</v>
      </c>
      <c r="P361" s="1269">
        <v>0.9</v>
      </c>
      <c r="Q361" s="1269">
        <v>0.9</v>
      </c>
      <c r="R361" s="1269">
        <v>0.9</v>
      </c>
      <c r="S361" s="1269">
        <v>0.9</v>
      </c>
      <c r="T361" s="1269">
        <v>0.9</v>
      </c>
      <c r="U361" s="1269">
        <v>0.5</v>
      </c>
      <c r="V361" s="1269">
        <v>0.3</v>
      </c>
      <c r="W361" s="1269">
        <v>0.3</v>
      </c>
      <c r="X361" s="1269">
        <v>0.1</v>
      </c>
      <c r="Y361" s="1269">
        <v>0.05</v>
      </c>
      <c r="Z361" s="1269">
        <v>0.05</v>
      </c>
      <c r="AA361" s="1263">
        <f>SUM(C361:Z361)</f>
        <v>9.8500000000000032</v>
      </c>
      <c r="AB361" s="1264">
        <f>AA361*SUM($C$14)</f>
        <v>512.20000000000016</v>
      </c>
      <c r="AE361" s="2140"/>
    </row>
    <row r="362" spans="2:31" s="395" customFormat="1" x14ac:dyDescent="0.25">
      <c r="B362" s="1490" t="s">
        <v>1150</v>
      </c>
      <c r="C362" s="1269">
        <v>0.05</v>
      </c>
      <c r="D362" s="1269">
        <v>0.05</v>
      </c>
      <c r="E362" s="1269">
        <v>0.05</v>
      </c>
      <c r="F362" s="1269">
        <v>0.05</v>
      </c>
      <c r="G362" s="1269">
        <v>0.05</v>
      </c>
      <c r="H362" s="1269">
        <v>0.05</v>
      </c>
      <c r="I362" s="1269">
        <v>0.05</v>
      </c>
      <c r="J362" s="1269">
        <v>0.05</v>
      </c>
      <c r="K362" s="1269">
        <v>0.1</v>
      </c>
      <c r="L362" s="1269">
        <v>0.1</v>
      </c>
      <c r="M362" s="1269">
        <v>0.4</v>
      </c>
      <c r="N362" s="1269">
        <v>0.4</v>
      </c>
      <c r="O362" s="1269">
        <v>0.55000000000000004</v>
      </c>
      <c r="P362" s="1269">
        <v>0.55000000000000004</v>
      </c>
      <c r="Q362" s="1269">
        <v>0.55000000000000004</v>
      </c>
      <c r="R362" s="1269">
        <v>0.55000000000000004</v>
      </c>
      <c r="S362" s="1269">
        <v>0.55000000000000004</v>
      </c>
      <c r="T362" s="1269">
        <v>0.4</v>
      </c>
      <c r="U362" s="1269">
        <v>0.2</v>
      </c>
      <c r="V362" s="1269">
        <v>0.05</v>
      </c>
      <c r="W362" s="1269">
        <v>0.05</v>
      </c>
      <c r="X362" s="1269">
        <v>0.05</v>
      </c>
      <c r="Y362" s="1269">
        <v>0.05</v>
      </c>
      <c r="Z362" s="1269">
        <v>0.05</v>
      </c>
      <c r="AA362" s="1263">
        <f>SUM(C362:Z362)</f>
        <v>4.9999999999999991</v>
      </c>
      <c r="AB362" s="1264">
        <f>AA362*$C$15</f>
        <v>259.99999999999994</v>
      </c>
      <c r="AE362" s="2140"/>
    </row>
    <row r="363" spans="2:31" s="395" customFormat="1" x14ac:dyDescent="0.25">
      <c r="B363" s="1490" t="s">
        <v>1181</v>
      </c>
      <c r="C363" s="1269">
        <v>0.05</v>
      </c>
      <c r="D363" s="1269">
        <v>0.05</v>
      </c>
      <c r="E363" s="1269">
        <v>0.05</v>
      </c>
      <c r="F363" s="1269">
        <v>0.05</v>
      </c>
      <c r="G363" s="1269">
        <v>0.05</v>
      </c>
      <c r="H363" s="1269">
        <v>0.05</v>
      </c>
      <c r="I363" s="1269">
        <v>0.05</v>
      </c>
      <c r="J363" s="1269">
        <v>0.05</v>
      </c>
      <c r="K363" s="1269">
        <v>0.1</v>
      </c>
      <c r="L363" s="1269">
        <v>0.1</v>
      </c>
      <c r="M363" s="1269">
        <v>0.4</v>
      </c>
      <c r="N363" s="1269">
        <v>0.4</v>
      </c>
      <c r="O363" s="1269">
        <v>0.55000000000000004</v>
      </c>
      <c r="P363" s="1269">
        <v>0.55000000000000004</v>
      </c>
      <c r="Q363" s="1269">
        <v>0.55000000000000004</v>
      </c>
      <c r="R363" s="1269">
        <v>0.55000000000000004</v>
      </c>
      <c r="S363" s="1269">
        <v>0.55000000000000004</v>
      </c>
      <c r="T363" s="1269">
        <v>0.4</v>
      </c>
      <c r="U363" s="1269">
        <v>0.2</v>
      </c>
      <c r="V363" s="1269">
        <v>0.05</v>
      </c>
      <c r="W363" s="1269">
        <v>0.05</v>
      </c>
      <c r="X363" s="1269">
        <v>0.05</v>
      </c>
      <c r="Y363" s="1269">
        <v>0.05</v>
      </c>
      <c r="Z363" s="1269">
        <v>0.05</v>
      </c>
      <c r="AA363" s="1263">
        <f>SUM(C363:Z363)</f>
        <v>4.9999999999999991</v>
      </c>
      <c r="AB363" s="1264">
        <f>AA363*SUM($C$8)</f>
        <v>54.999999999999993</v>
      </c>
      <c r="AE363" s="2140"/>
    </row>
    <row r="364" spans="2:31" s="395" customFormat="1" x14ac:dyDescent="0.25">
      <c r="B364" s="3368" t="s">
        <v>1186</v>
      </c>
      <c r="C364" s="3368"/>
      <c r="D364" s="3368"/>
      <c r="E364" s="3368"/>
      <c r="F364" s="3368"/>
      <c r="G364" s="3368"/>
      <c r="H364" s="3368"/>
      <c r="I364" s="3368"/>
      <c r="J364" s="3368"/>
      <c r="K364" s="3368"/>
      <c r="L364" s="3368"/>
      <c r="M364" s="3368"/>
      <c r="N364" s="3368"/>
      <c r="O364" s="3368"/>
      <c r="P364" s="3368"/>
      <c r="Q364" s="3368"/>
      <c r="R364" s="3368"/>
      <c r="S364" s="3368"/>
      <c r="T364" s="3368"/>
      <c r="U364" s="3368"/>
      <c r="V364" s="3368"/>
      <c r="W364" s="3368"/>
      <c r="X364" s="3368"/>
      <c r="Y364" s="3368"/>
      <c r="Z364" s="3368"/>
      <c r="AA364" s="3368"/>
      <c r="AB364" s="1264">
        <f>SUM(AB360:AB363)</f>
        <v>3614.7000000000007</v>
      </c>
      <c r="AE364" s="2140"/>
    </row>
    <row r="365" spans="2:31" s="395" customFormat="1" x14ac:dyDescent="0.25">
      <c r="B365" s="661"/>
      <c r="C365" s="661"/>
      <c r="D365" s="661"/>
      <c r="E365" s="661"/>
      <c r="F365" s="661"/>
      <c r="G365" s="661"/>
      <c r="H365" s="661"/>
      <c r="I365" s="661"/>
      <c r="J365" s="661"/>
      <c r="K365" s="661"/>
      <c r="L365" s="661"/>
      <c r="M365" s="661"/>
      <c r="N365" s="661"/>
      <c r="O365" s="661"/>
      <c r="P365" s="661"/>
      <c r="Q365" s="661"/>
      <c r="R365" s="661"/>
      <c r="S365" s="661"/>
      <c r="T365" s="661"/>
      <c r="U365" s="661"/>
      <c r="V365" s="661"/>
      <c r="W365" s="661"/>
      <c r="X365" s="661"/>
      <c r="Y365" s="661"/>
      <c r="Z365" s="661"/>
      <c r="AA365" s="661"/>
      <c r="AB365" s="661"/>
      <c r="AE365" s="2140"/>
    </row>
    <row r="366" spans="2:31" s="395" customFormat="1" ht="15" customHeight="1" x14ac:dyDescent="0.25">
      <c r="B366" s="661" t="s">
        <v>1152</v>
      </c>
      <c r="C366" s="3367" t="s">
        <v>1349</v>
      </c>
      <c r="D366" s="3367"/>
      <c r="E366" s="3367"/>
      <c r="F366" s="3367"/>
      <c r="G366" s="3367"/>
      <c r="H366" s="3367"/>
      <c r="I366" s="3367"/>
      <c r="J366" s="3367"/>
      <c r="K366" s="3367"/>
      <c r="L366" s="3367"/>
      <c r="M366" s="3367"/>
      <c r="N366" s="3367"/>
      <c r="O366" s="3367"/>
      <c r="P366" s="3367"/>
      <c r="Q366" s="3367"/>
      <c r="R366" s="3367"/>
      <c r="S366" s="3367"/>
      <c r="T366" s="3367"/>
      <c r="U366" s="3367"/>
      <c r="V366" s="3367"/>
      <c r="W366" s="3367"/>
      <c r="X366" s="3367"/>
      <c r="Y366" s="3367"/>
      <c r="Z366" s="3367"/>
      <c r="AA366" s="3367"/>
      <c r="AB366" s="3367"/>
      <c r="AE366" s="2140"/>
    </row>
    <row r="367" spans="2:31" s="395" customFormat="1" x14ac:dyDescent="0.25">
      <c r="B367" s="661"/>
      <c r="C367" s="661"/>
      <c r="D367" s="661"/>
      <c r="E367" s="661"/>
      <c r="F367" s="661"/>
      <c r="G367" s="661"/>
      <c r="H367" s="661"/>
      <c r="I367" s="661"/>
      <c r="J367" s="661"/>
      <c r="K367" s="661"/>
      <c r="L367" s="661"/>
      <c r="M367" s="661"/>
      <c r="N367" s="661"/>
      <c r="O367" s="661"/>
      <c r="P367" s="661"/>
      <c r="Q367" s="661"/>
      <c r="R367" s="661"/>
      <c r="S367" s="661"/>
      <c r="T367" s="661"/>
      <c r="U367" s="661"/>
      <c r="V367" s="661"/>
      <c r="W367" s="661"/>
      <c r="X367" s="661"/>
      <c r="Y367" s="661"/>
      <c r="Z367" s="661"/>
      <c r="AA367" s="661"/>
      <c r="AB367" s="661"/>
      <c r="AE367" s="2140"/>
    </row>
    <row r="368" spans="2:31" s="1608" customFormat="1" ht="21" customHeight="1" x14ac:dyDescent="0.25">
      <c r="B368" s="1356"/>
      <c r="C368" s="1357" t="s">
        <v>1153</v>
      </c>
      <c r="D368" s="1356" t="s">
        <v>1154</v>
      </c>
      <c r="E368" s="1356" t="s">
        <v>1155</v>
      </c>
      <c r="F368" s="1356" t="s">
        <v>1156</v>
      </c>
      <c r="G368" s="1356" t="s">
        <v>1157</v>
      </c>
      <c r="H368" s="1356" t="s">
        <v>1158</v>
      </c>
      <c r="I368" s="1356" t="s">
        <v>1159</v>
      </c>
      <c r="J368" s="1356" t="s">
        <v>1160</v>
      </c>
      <c r="K368" s="1356" t="s">
        <v>1161</v>
      </c>
      <c r="L368" s="1356" t="s">
        <v>1162</v>
      </c>
      <c r="M368" s="1356" t="s">
        <v>1163</v>
      </c>
      <c r="N368" s="1356" t="s">
        <v>1164</v>
      </c>
      <c r="O368" s="1356" t="s">
        <v>1165</v>
      </c>
      <c r="P368" s="1356" t="s">
        <v>1166</v>
      </c>
      <c r="Q368" s="1356" t="s">
        <v>1167</v>
      </c>
      <c r="R368" s="1356" t="s">
        <v>1168</v>
      </c>
      <c r="S368" s="1356" t="s">
        <v>1169</v>
      </c>
      <c r="T368" s="1356" t="s">
        <v>1170</v>
      </c>
      <c r="U368" s="1356" t="s">
        <v>1171</v>
      </c>
      <c r="V368" s="1356" t="s">
        <v>1172</v>
      </c>
      <c r="W368" s="1356" t="s">
        <v>1173</v>
      </c>
      <c r="X368" s="1356" t="s">
        <v>1174</v>
      </c>
      <c r="Y368" s="1356" t="s">
        <v>1175</v>
      </c>
      <c r="Z368" s="1356" t="s">
        <v>1176</v>
      </c>
      <c r="AA368" s="1356" t="s">
        <v>1184</v>
      </c>
      <c r="AB368" s="1356" t="s">
        <v>1185</v>
      </c>
      <c r="AE368" s="2140"/>
    </row>
    <row r="369" spans="2:31" s="395" customFormat="1" x14ac:dyDescent="0.25">
      <c r="B369" s="1490" t="s">
        <v>1179</v>
      </c>
      <c r="C369" s="1269">
        <v>0.04</v>
      </c>
      <c r="D369" s="1269">
        <v>0.05</v>
      </c>
      <c r="E369" s="1269">
        <v>0.05</v>
      </c>
      <c r="F369" s="1269">
        <v>0.04</v>
      </c>
      <c r="G369" s="1269">
        <v>0.04</v>
      </c>
      <c r="H369" s="1269">
        <v>0.04</v>
      </c>
      <c r="I369" s="1269">
        <v>0.04</v>
      </c>
      <c r="J369" s="1269">
        <v>0.15</v>
      </c>
      <c r="K369" s="1269">
        <v>0.23</v>
      </c>
      <c r="L369" s="1269">
        <v>0.32</v>
      </c>
      <c r="M369" s="1269">
        <v>0.41</v>
      </c>
      <c r="N369" s="1269">
        <v>0.56999999999999995</v>
      </c>
      <c r="O369" s="1269">
        <v>0.62</v>
      </c>
      <c r="P369" s="1269">
        <v>0.61</v>
      </c>
      <c r="Q369" s="1269">
        <v>0.5</v>
      </c>
      <c r="R369" s="1269">
        <v>0.45</v>
      </c>
      <c r="S369" s="1269">
        <v>0.46</v>
      </c>
      <c r="T369" s="1269">
        <v>0.47</v>
      </c>
      <c r="U369" s="1269">
        <v>0.42</v>
      </c>
      <c r="V369" s="1269">
        <v>0.34</v>
      </c>
      <c r="W369" s="1269">
        <v>0.33</v>
      </c>
      <c r="X369" s="1269">
        <v>0.23</v>
      </c>
      <c r="Y369" s="1269">
        <v>0.13</v>
      </c>
      <c r="Z369" s="1269">
        <v>0.08</v>
      </c>
      <c r="AA369" s="1263">
        <f>SUM(C369:Z369)</f>
        <v>6.62</v>
      </c>
      <c r="AB369" s="1264">
        <f>AA369*SUM($C$9:$C$13)</f>
        <v>1655</v>
      </c>
      <c r="AE369" s="2140"/>
    </row>
    <row r="370" spans="2:31" s="395" customFormat="1" x14ac:dyDescent="0.25">
      <c r="B370" s="1490" t="s">
        <v>1149</v>
      </c>
      <c r="C370" s="1269">
        <v>0.11</v>
      </c>
      <c r="D370" s="1269">
        <v>0.1</v>
      </c>
      <c r="E370" s="1269">
        <v>0.08</v>
      </c>
      <c r="F370" s="1269">
        <v>0.06</v>
      </c>
      <c r="G370" s="1269">
        <v>0.06</v>
      </c>
      <c r="H370" s="1269">
        <v>0.06</v>
      </c>
      <c r="I370" s="1269">
        <v>7.0000000000000007E-2</v>
      </c>
      <c r="J370" s="1269">
        <v>0.2</v>
      </c>
      <c r="K370" s="1269">
        <v>0.24</v>
      </c>
      <c r="L370" s="1269">
        <v>0.27</v>
      </c>
      <c r="M370" s="1269">
        <v>0.42</v>
      </c>
      <c r="N370" s="1269">
        <v>0.54</v>
      </c>
      <c r="O370" s="1269">
        <v>0.59</v>
      </c>
      <c r="P370" s="1269">
        <v>0.6</v>
      </c>
      <c r="Q370" s="1269">
        <v>0.49</v>
      </c>
      <c r="R370" s="1269">
        <v>0.48</v>
      </c>
      <c r="S370" s="1269">
        <v>0.47</v>
      </c>
      <c r="T370" s="1269">
        <v>0.46</v>
      </c>
      <c r="U370" s="1269">
        <v>0.44</v>
      </c>
      <c r="V370" s="1269">
        <v>0.36</v>
      </c>
      <c r="W370" s="1269">
        <v>0.28999999999999998</v>
      </c>
      <c r="X370" s="1269">
        <v>0.22</v>
      </c>
      <c r="Y370" s="1269">
        <v>0.16</v>
      </c>
      <c r="Z370" s="1269">
        <v>0.13</v>
      </c>
      <c r="AA370" s="1263">
        <f>SUM(C370:Z370)</f>
        <v>6.8999999999999995</v>
      </c>
      <c r="AB370" s="1264">
        <f>AA370*SUM($C$14)</f>
        <v>358.79999999999995</v>
      </c>
      <c r="AE370" s="2140"/>
    </row>
    <row r="371" spans="2:31" s="395" customFormat="1" x14ac:dyDescent="0.25">
      <c r="B371" s="1490" t="s">
        <v>1150</v>
      </c>
      <c r="C371" s="1269">
        <v>7.0000000000000007E-2</v>
      </c>
      <c r="D371" s="1269">
        <v>7.0000000000000007E-2</v>
      </c>
      <c r="E371" s="1269">
        <v>7.0000000000000007E-2</v>
      </c>
      <c r="F371" s="1269">
        <v>0.06</v>
      </c>
      <c r="G371" s="1269">
        <v>0.06</v>
      </c>
      <c r="H371" s="1269">
        <v>0.06</v>
      </c>
      <c r="I371" s="1269">
        <v>7.0000000000000007E-2</v>
      </c>
      <c r="J371" s="1269">
        <v>0.1</v>
      </c>
      <c r="K371" s="1269">
        <v>0.12</v>
      </c>
      <c r="L371" s="1269">
        <v>0.14000000000000001</v>
      </c>
      <c r="M371" s="1269">
        <v>0.28999999999999998</v>
      </c>
      <c r="N371" s="1269">
        <v>0.31</v>
      </c>
      <c r="O371" s="1269">
        <v>0.36</v>
      </c>
      <c r="P371" s="1269">
        <v>0.36</v>
      </c>
      <c r="Q371" s="1269">
        <v>0.34</v>
      </c>
      <c r="R371" s="1269">
        <v>0.35</v>
      </c>
      <c r="S371" s="1269">
        <v>0.37</v>
      </c>
      <c r="T371" s="1269">
        <v>0.34</v>
      </c>
      <c r="U371" s="1269">
        <v>0.25</v>
      </c>
      <c r="V371" s="1269">
        <v>0.27</v>
      </c>
      <c r="W371" s="1269">
        <v>0.21</v>
      </c>
      <c r="X371" s="1269">
        <v>0.16</v>
      </c>
      <c r="Y371" s="1269">
        <v>0.1</v>
      </c>
      <c r="Z371" s="1269">
        <v>0.06</v>
      </c>
      <c r="AA371" s="1263">
        <f>SUM(C371:Z371)</f>
        <v>4.59</v>
      </c>
      <c r="AB371" s="1264">
        <f>AA371*$C$15</f>
        <v>238.68</v>
      </c>
      <c r="AE371" s="2140"/>
    </row>
    <row r="372" spans="2:31" s="395" customFormat="1" x14ac:dyDescent="0.25">
      <c r="B372" s="1490" t="s">
        <v>1181</v>
      </c>
      <c r="C372" s="1269">
        <v>7.0000000000000007E-2</v>
      </c>
      <c r="D372" s="1269">
        <v>7.0000000000000007E-2</v>
      </c>
      <c r="E372" s="1269">
        <v>7.0000000000000007E-2</v>
      </c>
      <c r="F372" s="1269">
        <v>0.06</v>
      </c>
      <c r="G372" s="1269">
        <v>0.06</v>
      </c>
      <c r="H372" s="1269">
        <v>0.06</v>
      </c>
      <c r="I372" s="1269">
        <v>7.0000000000000007E-2</v>
      </c>
      <c r="J372" s="1269">
        <v>0.1</v>
      </c>
      <c r="K372" s="1269">
        <v>0.12</v>
      </c>
      <c r="L372" s="1269">
        <v>0.14000000000000001</v>
      </c>
      <c r="M372" s="1269">
        <v>0.28999999999999998</v>
      </c>
      <c r="N372" s="1269">
        <v>0.31</v>
      </c>
      <c r="O372" s="1269">
        <v>0.36</v>
      </c>
      <c r="P372" s="1269">
        <v>0.36</v>
      </c>
      <c r="Q372" s="1269">
        <v>0.34</v>
      </c>
      <c r="R372" s="1269">
        <v>0.35</v>
      </c>
      <c r="S372" s="1269">
        <v>0.37</v>
      </c>
      <c r="T372" s="1269">
        <v>0.34</v>
      </c>
      <c r="U372" s="1269">
        <v>0.25</v>
      </c>
      <c r="V372" s="1269">
        <v>0.27</v>
      </c>
      <c r="W372" s="1269">
        <v>0.21</v>
      </c>
      <c r="X372" s="1269">
        <v>0.16</v>
      </c>
      <c r="Y372" s="1269">
        <v>0.1</v>
      </c>
      <c r="Z372" s="1269">
        <v>0.06</v>
      </c>
      <c r="AA372" s="1263">
        <f>SUM(C372:Z372)</f>
        <v>4.59</v>
      </c>
      <c r="AB372" s="1264">
        <f>AA372*SUM($C$8)</f>
        <v>50.489999999999995</v>
      </c>
      <c r="AE372" s="2140"/>
    </row>
    <row r="373" spans="2:31" s="395" customFormat="1" x14ac:dyDescent="0.25">
      <c r="B373" s="3368" t="s">
        <v>1186</v>
      </c>
      <c r="C373" s="3368"/>
      <c r="D373" s="3368"/>
      <c r="E373" s="3368"/>
      <c r="F373" s="3368"/>
      <c r="G373" s="3368"/>
      <c r="H373" s="3368"/>
      <c r="I373" s="3368"/>
      <c r="J373" s="3368"/>
      <c r="K373" s="3368"/>
      <c r="L373" s="3368"/>
      <c r="M373" s="3368"/>
      <c r="N373" s="3368"/>
      <c r="O373" s="3368"/>
      <c r="P373" s="3368"/>
      <c r="Q373" s="3368"/>
      <c r="R373" s="3368"/>
      <c r="S373" s="3368"/>
      <c r="T373" s="3368"/>
      <c r="U373" s="3368"/>
      <c r="V373" s="3368"/>
      <c r="W373" s="3368"/>
      <c r="X373" s="3368"/>
      <c r="Y373" s="3368"/>
      <c r="Z373" s="3368"/>
      <c r="AA373" s="3368"/>
      <c r="AB373" s="1264">
        <f>SUM(AB369:AB372)</f>
        <v>2302.9699999999998</v>
      </c>
      <c r="AE373" s="2140"/>
    </row>
    <row r="374" spans="2:31" s="395" customFormat="1" x14ac:dyDescent="0.25">
      <c r="B374" s="661"/>
      <c r="C374" s="661"/>
      <c r="D374" s="661"/>
      <c r="E374" s="661"/>
      <c r="F374" s="661"/>
      <c r="G374" s="661"/>
      <c r="H374" s="661"/>
      <c r="I374" s="661"/>
      <c r="J374" s="661"/>
      <c r="K374" s="661"/>
      <c r="L374" s="661"/>
      <c r="M374" s="661"/>
      <c r="N374" s="661"/>
      <c r="O374" s="661"/>
      <c r="P374" s="661"/>
      <c r="Q374" s="661"/>
      <c r="R374" s="661"/>
      <c r="S374" s="661"/>
      <c r="T374" s="661"/>
      <c r="U374" s="661"/>
      <c r="V374" s="661"/>
      <c r="W374" s="661"/>
      <c r="X374" s="661"/>
      <c r="Y374" s="661"/>
      <c r="Z374" s="661"/>
      <c r="AA374" s="661"/>
      <c r="AB374" s="661"/>
      <c r="AE374" s="2140"/>
    </row>
    <row r="375" spans="2:31" s="395" customFormat="1" ht="15" customHeight="1" x14ac:dyDescent="0.25">
      <c r="B375" s="661" t="s">
        <v>1152</v>
      </c>
      <c r="C375" s="3367" t="s">
        <v>1350</v>
      </c>
      <c r="D375" s="3367"/>
      <c r="E375" s="3367"/>
      <c r="F375" s="3367"/>
      <c r="G375" s="3367"/>
      <c r="H375" s="3367"/>
      <c r="I375" s="3367"/>
      <c r="J375" s="3367"/>
      <c r="K375" s="3367"/>
      <c r="L375" s="3367"/>
      <c r="M375" s="3367"/>
      <c r="N375" s="3367"/>
      <c r="O375" s="3367"/>
      <c r="P375" s="3367"/>
      <c r="Q375" s="3367"/>
      <c r="R375" s="3367"/>
      <c r="S375" s="3367"/>
      <c r="T375" s="3367"/>
      <c r="U375" s="3367"/>
      <c r="V375" s="3367"/>
      <c r="W375" s="3367"/>
      <c r="X375" s="3367"/>
      <c r="Y375" s="3367"/>
      <c r="Z375" s="3367"/>
      <c r="AA375" s="3367"/>
      <c r="AB375" s="3367"/>
      <c r="AE375" s="2140"/>
    </row>
    <row r="376" spans="2:31" s="395" customFormat="1" x14ac:dyDescent="0.25">
      <c r="B376" s="661"/>
      <c r="C376" s="661"/>
      <c r="D376" s="661"/>
      <c r="E376" s="661"/>
      <c r="F376" s="661"/>
      <c r="G376" s="661"/>
      <c r="H376" s="661"/>
      <c r="I376" s="661"/>
      <c r="J376" s="661"/>
      <c r="K376" s="661"/>
      <c r="L376" s="661"/>
      <c r="M376" s="661"/>
      <c r="N376" s="661"/>
      <c r="O376" s="661"/>
      <c r="P376" s="661"/>
      <c r="Q376" s="661"/>
      <c r="R376" s="661"/>
      <c r="S376" s="661"/>
      <c r="T376" s="661"/>
      <c r="U376" s="661"/>
      <c r="V376" s="661"/>
      <c r="W376" s="661"/>
      <c r="X376" s="661"/>
      <c r="Y376" s="661"/>
      <c r="Z376" s="661"/>
      <c r="AA376" s="661"/>
      <c r="AB376" s="661"/>
      <c r="AE376" s="2140"/>
    </row>
    <row r="377" spans="2:31" s="1608" customFormat="1" ht="21" customHeight="1" x14ac:dyDescent="0.25">
      <c r="B377" s="1356"/>
      <c r="C377" s="1357" t="s">
        <v>1153</v>
      </c>
      <c r="D377" s="1356" t="s">
        <v>1154</v>
      </c>
      <c r="E377" s="1356" t="s">
        <v>1155</v>
      </c>
      <c r="F377" s="1356" t="s">
        <v>1156</v>
      </c>
      <c r="G377" s="1356" t="s">
        <v>1157</v>
      </c>
      <c r="H377" s="1356" t="s">
        <v>1158</v>
      </c>
      <c r="I377" s="1356" t="s">
        <v>1159</v>
      </c>
      <c r="J377" s="1356" t="s">
        <v>1160</v>
      </c>
      <c r="K377" s="1356" t="s">
        <v>1161</v>
      </c>
      <c r="L377" s="1356" t="s">
        <v>1162</v>
      </c>
      <c r="M377" s="1356" t="s">
        <v>1163</v>
      </c>
      <c r="N377" s="1356" t="s">
        <v>1164</v>
      </c>
      <c r="O377" s="1356" t="s">
        <v>1165</v>
      </c>
      <c r="P377" s="1356" t="s">
        <v>1166</v>
      </c>
      <c r="Q377" s="1356" t="s">
        <v>1167</v>
      </c>
      <c r="R377" s="1356" t="s">
        <v>1168</v>
      </c>
      <c r="S377" s="1356" t="s">
        <v>1169</v>
      </c>
      <c r="T377" s="1356" t="s">
        <v>1170</v>
      </c>
      <c r="U377" s="1356" t="s">
        <v>1171</v>
      </c>
      <c r="V377" s="1356" t="s">
        <v>1172</v>
      </c>
      <c r="W377" s="1356" t="s">
        <v>1173</v>
      </c>
      <c r="X377" s="1356" t="s">
        <v>1174</v>
      </c>
      <c r="Y377" s="1356" t="s">
        <v>1175</v>
      </c>
      <c r="Z377" s="1356" t="s">
        <v>1176</v>
      </c>
      <c r="AA377" s="1356" t="s">
        <v>1184</v>
      </c>
      <c r="AB377" s="1356" t="s">
        <v>1185</v>
      </c>
      <c r="AE377" s="2140"/>
    </row>
    <row r="378" spans="2:31" s="395" customFormat="1" x14ac:dyDescent="0.25">
      <c r="B378" s="1490" t="s">
        <v>1179</v>
      </c>
      <c r="C378" s="1269">
        <v>0</v>
      </c>
      <c r="D378" s="1269">
        <v>0</v>
      </c>
      <c r="E378" s="1269">
        <v>0</v>
      </c>
      <c r="F378" s="1269">
        <v>0</v>
      </c>
      <c r="G378" s="1269">
        <v>0</v>
      </c>
      <c r="H378" s="1269">
        <v>0</v>
      </c>
      <c r="I378" s="1269">
        <v>0</v>
      </c>
      <c r="J378" s="1269">
        <v>0.12</v>
      </c>
      <c r="K378" s="1269">
        <v>0.22</v>
      </c>
      <c r="L378" s="1269">
        <v>0.64</v>
      </c>
      <c r="M378" s="1269">
        <v>0.74</v>
      </c>
      <c r="N378" s="1269">
        <v>0.68</v>
      </c>
      <c r="O378" s="1269">
        <v>0.68</v>
      </c>
      <c r="P378" s="1269">
        <v>0.71</v>
      </c>
      <c r="Q378" s="1269">
        <v>0.72</v>
      </c>
      <c r="R378" s="1269">
        <v>0.72</v>
      </c>
      <c r="S378" s="1269">
        <v>0.73</v>
      </c>
      <c r="T378" s="1269">
        <v>0.68</v>
      </c>
      <c r="U378" s="1269">
        <v>0.68</v>
      </c>
      <c r="V378" s="1269">
        <v>0.57999999999999996</v>
      </c>
      <c r="W378" s="1269">
        <v>0.54</v>
      </c>
      <c r="X378" s="1269">
        <v>0</v>
      </c>
      <c r="Y378" s="1269">
        <v>0</v>
      </c>
      <c r="Z378" s="1269">
        <v>0</v>
      </c>
      <c r="AA378" s="1263">
        <f>SUM(C378:Z378)</f>
        <v>8.4399999999999977</v>
      </c>
      <c r="AB378" s="1264">
        <f>AA378*SUM($C$9:$C$13)</f>
        <v>2109.9999999999995</v>
      </c>
      <c r="AE378" s="2140"/>
    </row>
    <row r="379" spans="2:31" s="395" customFormat="1" x14ac:dyDescent="0.25">
      <c r="B379" s="1490" t="s">
        <v>1149</v>
      </c>
      <c r="C379" s="1269">
        <v>0</v>
      </c>
      <c r="D379" s="1269">
        <v>0</v>
      </c>
      <c r="E379" s="1269">
        <v>0</v>
      </c>
      <c r="F379" s="1269">
        <v>0</v>
      </c>
      <c r="G379" s="1269">
        <v>0</v>
      </c>
      <c r="H379" s="1269">
        <v>0</v>
      </c>
      <c r="I379" s="1269">
        <v>0</v>
      </c>
      <c r="J379" s="1269">
        <v>0.09</v>
      </c>
      <c r="K379" s="1269">
        <v>0.21</v>
      </c>
      <c r="L379" s="1269">
        <v>0.56000000000000005</v>
      </c>
      <c r="M379" s="1269">
        <v>0.66</v>
      </c>
      <c r="N379" s="1269">
        <v>0.68</v>
      </c>
      <c r="O379" s="1269">
        <v>0.68</v>
      </c>
      <c r="P379" s="1269">
        <v>0.69</v>
      </c>
      <c r="Q379" s="1269">
        <v>0.7</v>
      </c>
      <c r="R379" s="1269">
        <v>0.69</v>
      </c>
      <c r="S379" s="1269">
        <v>0.66</v>
      </c>
      <c r="T379" s="1269">
        <v>0.57999999999999996</v>
      </c>
      <c r="U379" s="1269">
        <v>0.47</v>
      </c>
      <c r="V379" s="1269">
        <v>0.43</v>
      </c>
      <c r="W379" s="1269">
        <v>0.43</v>
      </c>
      <c r="X379" s="1269">
        <v>0.08</v>
      </c>
      <c r="Y379" s="1269">
        <v>0</v>
      </c>
      <c r="Z379" s="1269">
        <v>0</v>
      </c>
      <c r="AA379" s="1263">
        <f>SUM(C379:Z379)</f>
        <v>7.61</v>
      </c>
      <c r="AB379" s="1264">
        <f>AA379*SUM($C$14)</f>
        <v>395.72</v>
      </c>
      <c r="AE379" s="2140"/>
    </row>
    <row r="380" spans="2:31" s="395" customFormat="1" x14ac:dyDescent="0.25">
      <c r="B380" s="1490" t="s">
        <v>1150</v>
      </c>
      <c r="C380" s="1269">
        <v>0</v>
      </c>
      <c r="D380" s="1269">
        <v>0</v>
      </c>
      <c r="E380" s="1269">
        <v>0</v>
      </c>
      <c r="F380" s="1269">
        <v>0</v>
      </c>
      <c r="G380" s="1269">
        <v>0</v>
      </c>
      <c r="H380" s="1269">
        <v>0</v>
      </c>
      <c r="I380" s="1269">
        <v>0</v>
      </c>
      <c r="J380" s="1269">
        <v>0</v>
      </c>
      <c r="K380" s="1269">
        <v>0</v>
      </c>
      <c r="L380" s="1269">
        <v>0.11</v>
      </c>
      <c r="M380" s="1269">
        <v>0.13</v>
      </c>
      <c r="N380" s="1269">
        <v>0.35</v>
      </c>
      <c r="O380" s="1269">
        <v>0.37</v>
      </c>
      <c r="P380" s="1269">
        <v>0.37</v>
      </c>
      <c r="Q380" s="1269">
        <v>0.39</v>
      </c>
      <c r="R380" s="1269">
        <v>0.41</v>
      </c>
      <c r="S380" s="1269">
        <v>0.38</v>
      </c>
      <c r="T380" s="1269">
        <v>0.34</v>
      </c>
      <c r="U380" s="1269">
        <v>0.03</v>
      </c>
      <c r="V380" s="1269">
        <v>0</v>
      </c>
      <c r="W380" s="1269">
        <v>0</v>
      </c>
      <c r="X380" s="1269">
        <v>0</v>
      </c>
      <c r="Y380" s="1269">
        <v>0</v>
      </c>
      <c r="Z380" s="1269">
        <v>0</v>
      </c>
      <c r="AA380" s="1263">
        <f>SUM(C380:Z380)</f>
        <v>2.88</v>
      </c>
      <c r="AB380" s="1264">
        <f>AA380*$C$15</f>
        <v>149.76</v>
      </c>
      <c r="AE380" s="2140"/>
    </row>
    <row r="381" spans="2:31" s="395" customFormat="1" x14ac:dyDescent="0.25">
      <c r="B381" s="1490" t="s">
        <v>1181</v>
      </c>
      <c r="C381" s="1269">
        <v>0</v>
      </c>
      <c r="D381" s="1269">
        <v>0</v>
      </c>
      <c r="E381" s="1269">
        <v>0</v>
      </c>
      <c r="F381" s="1269">
        <v>0</v>
      </c>
      <c r="G381" s="1269">
        <v>0</v>
      </c>
      <c r="H381" s="1269">
        <v>0</v>
      </c>
      <c r="I381" s="1269">
        <v>0</v>
      </c>
      <c r="J381" s="1269">
        <v>0</v>
      </c>
      <c r="K381" s="1269">
        <v>0</v>
      </c>
      <c r="L381" s="1269">
        <v>0.11</v>
      </c>
      <c r="M381" s="1269">
        <v>0.13</v>
      </c>
      <c r="N381" s="1269">
        <v>0.35</v>
      </c>
      <c r="O381" s="1269">
        <v>0.37</v>
      </c>
      <c r="P381" s="1269">
        <v>0.37</v>
      </c>
      <c r="Q381" s="1269">
        <v>0.39</v>
      </c>
      <c r="R381" s="1269">
        <v>0.41</v>
      </c>
      <c r="S381" s="1269">
        <v>0.38</v>
      </c>
      <c r="T381" s="1269">
        <v>0.34</v>
      </c>
      <c r="U381" s="1269">
        <v>0.03</v>
      </c>
      <c r="V381" s="1269">
        <v>0</v>
      </c>
      <c r="W381" s="1269">
        <v>0</v>
      </c>
      <c r="X381" s="1269">
        <v>0</v>
      </c>
      <c r="Y381" s="1269">
        <v>0</v>
      </c>
      <c r="Z381" s="1269">
        <v>0</v>
      </c>
      <c r="AA381" s="1263">
        <f>SUM(C381:Z381)</f>
        <v>2.88</v>
      </c>
      <c r="AB381" s="1264">
        <f>AA381*SUM($C$8)</f>
        <v>31.68</v>
      </c>
      <c r="AE381" s="2140"/>
    </row>
    <row r="382" spans="2:31" s="395" customFormat="1" x14ac:dyDescent="0.25">
      <c r="B382" s="3368" t="s">
        <v>1186</v>
      </c>
      <c r="C382" s="3368"/>
      <c r="D382" s="3368"/>
      <c r="E382" s="3368"/>
      <c r="F382" s="3368"/>
      <c r="G382" s="3368"/>
      <c r="H382" s="3368"/>
      <c r="I382" s="3368"/>
      <c r="J382" s="3368"/>
      <c r="K382" s="3368"/>
      <c r="L382" s="3368"/>
      <c r="M382" s="3368"/>
      <c r="N382" s="3368"/>
      <c r="O382" s="3368"/>
      <c r="P382" s="3368"/>
      <c r="Q382" s="3368"/>
      <c r="R382" s="3368"/>
      <c r="S382" s="3368"/>
      <c r="T382" s="3368"/>
      <c r="U382" s="3368"/>
      <c r="V382" s="3368"/>
      <c r="W382" s="3368"/>
      <c r="X382" s="3368"/>
      <c r="Y382" s="3368"/>
      <c r="Z382" s="3368"/>
      <c r="AA382" s="3368"/>
      <c r="AB382" s="1264">
        <f>SUM(AB378:AB381)</f>
        <v>2687.1599999999994</v>
      </c>
      <c r="AE382" s="2140"/>
    </row>
    <row r="383" spans="2:31" s="395" customFormat="1" x14ac:dyDescent="0.25">
      <c r="B383" s="661"/>
      <c r="C383" s="661"/>
      <c r="D383" s="661"/>
      <c r="E383" s="661"/>
      <c r="F383" s="661"/>
      <c r="G383" s="661"/>
      <c r="H383" s="661"/>
      <c r="I383" s="661"/>
      <c r="J383" s="661"/>
      <c r="K383" s="661"/>
      <c r="L383" s="661"/>
      <c r="M383" s="661"/>
      <c r="N383" s="661"/>
      <c r="O383" s="661"/>
      <c r="P383" s="661"/>
      <c r="Q383" s="661"/>
      <c r="R383" s="661"/>
      <c r="S383" s="661"/>
      <c r="T383" s="661"/>
      <c r="U383" s="661"/>
      <c r="V383" s="661"/>
      <c r="W383" s="661"/>
      <c r="X383" s="661"/>
      <c r="Y383" s="661"/>
      <c r="Z383" s="661"/>
      <c r="AA383" s="661"/>
      <c r="AB383" s="661"/>
      <c r="AE383" s="2140"/>
    </row>
    <row r="384" spans="2:31" s="395" customFormat="1" x14ac:dyDescent="0.25">
      <c r="B384" s="667" t="s">
        <v>1351</v>
      </c>
      <c r="C384" s="661"/>
      <c r="D384" s="661"/>
      <c r="E384" s="661"/>
      <c r="F384" s="661"/>
      <c r="G384" s="661"/>
      <c r="H384" s="661"/>
      <c r="I384" s="661"/>
      <c r="J384" s="661"/>
      <c r="K384" s="661"/>
      <c r="L384" s="661"/>
      <c r="M384" s="661"/>
      <c r="N384" s="661"/>
      <c r="O384" s="661"/>
      <c r="P384" s="661"/>
      <c r="Q384" s="661"/>
      <c r="R384" s="661"/>
      <c r="S384" s="661"/>
      <c r="T384" s="661"/>
      <c r="U384" s="661"/>
      <c r="V384" s="661"/>
      <c r="W384" s="661"/>
      <c r="X384" s="661"/>
      <c r="Y384" s="661"/>
      <c r="Z384" s="661"/>
      <c r="AA384" s="661"/>
      <c r="AB384" s="661"/>
      <c r="AE384" s="2140"/>
    </row>
    <row r="385" spans="2:31" s="395" customFormat="1" x14ac:dyDescent="0.25">
      <c r="B385" s="661"/>
      <c r="C385" s="661"/>
      <c r="D385" s="661"/>
      <c r="E385" s="661"/>
      <c r="F385" s="661"/>
      <c r="G385" s="661"/>
      <c r="H385" s="661"/>
      <c r="I385" s="661"/>
      <c r="J385" s="661"/>
      <c r="K385" s="661"/>
      <c r="L385" s="661"/>
      <c r="M385" s="661"/>
      <c r="N385" s="661"/>
      <c r="O385" s="661"/>
      <c r="P385" s="661"/>
      <c r="Q385" s="661"/>
      <c r="R385" s="661"/>
      <c r="S385" s="661"/>
      <c r="T385" s="661"/>
      <c r="U385" s="661"/>
      <c r="V385" s="661"/>
      <c r="W385" s="661"/>
      <c r="X385" s="661"/>
      <c r="Y385" s="661"/>
      <c r="Z385" s="661"/>
      <c r="AA385" s="661"/>
      <c r="AB385" s="661"/>
      <c r="AE385" s="2140"/>
    </row>
    <row r="386" spans="2:31" s="395" customFormat="1" ht="15" customHeight="1" x14ac:dyDescent="0.25">
      <c r="B386" s="661" t="s">
        <v>1152</v>
      </c>
      <c r="C386" s="3367" t="s">
        <v>1352</v>
      </c>
      <c r="D386" s="3367"/>
      <c r="E386" s="3367"/>
      <c r="F386" s="3367"/>
      <c r="G386" s="3367"/>
      <c r="H386" s="3367"/>
      <c r="I386" s="3367"/>
      <c r="J386" s="3367"/>
      <c r="K386" s="3367"/>
      <c r="L386" s="3367"/>
      <c r="M386" s="3367"/>
      <c r="N386" s="3367"/>
      <c r="O386" s="3367"/>
      <c r="P386" s="3367"/>
      <c r="Q386" s="3367"/>
      <c r="R386" s="3367"/>
      <c r="S386" s="3367"/>
      <c r="T386" s="3367"/>
      <c r="U386" s="3367"/>
      <c r="V386" s="3367"/>
      <c r="W386" s="3367"/>
      <c r="X386" s="3367"/>
      <c r="Y386" s="3367"/>
      <c r="Z386" s="3367"/>
      <c r="AA386" s="3367"/>
      <c r="AB386" s="3367"/>
      <c r="AE386" s="2140"/>
    </row>
    <row r="387" spans="2:31" s="395" customFormat="1" x14ac:dyDescent="0.25">
      <c r="B387" s="661"/>
      <c r="C387" s="661"/>
      <c r="D387" s="661"/>
      <c r="E387" s="661"/>
      <c r="F387" s="661"/>
      <c r="G387" s="661"/>
      <c r="H387" s="661"/>
      <c r="I387" s="661"/>
      <c r="J387" s="661"/>
      <c r="K387" s="661"/>
      <c r="L387" s="661"/>
      <c r="M387" s="661"/>
      <c r="N387" s="661"/>
      <c r="O387" s="661"/>
      <c r="P387" s="661"/>
      <c r="Q387" s="661"/>
      <c r="R387" s="661"/>
      <c r="S387" s="661"/>
      <c r="T387" s="661"/>
      <c r="U387" s="661"/>
      <c r="V387" s="661"/>
      <c r="W387" s="661"/>
      <c r="X387" s="661"/>
      <c r="Y387" s="661"/>
      <c r="Z387" s="661"/>
      <c r="AA387" s="661"/>
      <c r="AB387" s="661"/>
      <c r="AE387" s="2140"/>
    </row>
    <row r="388" spans="2:31" s="1608" customFormat="1" ht="21" customHeight="1" x14ac:dyDescent="0.25">
      <c r="B388" s="1356"/>
      <c r="C388" s="1357" t="s">
        <v>1153</v>
      </c>
      <c r="D388" s="1356" t="s">
        <v>1154</v>
      </c>
      <c r="E388" s="1356" t="s">
        <v>1155</v>
      </c>
      <c r="F388" s="1356" t="s">
        <v>1156</v>
      </c>
      <c r="G388" s="1356" t="s">
        <v>1157</v>
      </c>
      <c r="H388" s="1356" t="s">
        <v>1158</v>
      </c>
      <c r="I388" s="1356" t="s">
        <v>1159</v>
      </c>
      <c r="J388" s="1356" t="s">
        <v>1160</v>
      </c>
      <c r="K388" s="1356" t="s">
        <v>1161</v>
      </c>
      <c r="L388" s="1356" t="s">
        <v>1162</v>
      </c>
      <c r="M388" s="1356" t="s">
        <v>1163</v>
      </c>
      <c r="N388" s="1356" t="s">
        <v>1164</v>
      </c>
      <c r="O388" s="1356" t="s">
        <v>1165</v>
      </c>
      <c r="P388" s="1356" t="s">
        <v>1166</v>
      </c>
      <c r="Q388" s="1356" t="s">
        <v>1167</v>
      </c>
      <c r="R388" s="1356" t="s">
        <v>1168</v>
      </c>
      <c r="S388" s="1356" t="s">
        <v>1169</v>
      </c>
      <c r="T388" s="1356" t="s">
        <v>1170</v>
      </c>
      <c r="U388" s="1356" t="s">
        <v>1171</v>
      </c>
      <c r="V388" s="1356" t="s">
        <v>1172</v>
      </c>
      <c r="W388" s="1356" t="s">
        <v>1173</v>
      </c>
      <c r="X388" s="1356" t="s">
        <v>1174</v>
      </c>
      <c r="Y388" s="1356" t="s">
        <v>1175</v>
      </c>
      <c r="Z388" s="1356" t="s">
        <v>1176</v>
      </c>
      <c r="AA388" s="1356" t="s">
        <v>1177</v>
      </c>
      <c r="AB388" s="1356" t="s">
        <v>1178</v>
      </c>
      <c r="AE388" s="2140"/>
    </row>
    <row r="389" spans="2:31" s="395" customFormat="1" x14ac:dyDescent="0.25">
      <c r="B389" s="1490" t="s">
        <v>1179</v>
      </c>
      <c r="C389" s="1270">
        <v>1</v>
      </c>
      <c r="D389" s="1270">
        <v>1</v>
      </c>
      <c r="E389" s="1270">
        <v>1</v>
      </c>
      <c r="F389" s="1270">
        <v>0</v>
      </c>
      <c r="G389" s="1270">
        <v>0</v>
      </c>
      <c r="H389" s="1270">
        <v>0</v>
      </c>
      <c r="I389" s="1270">
        <v>0</v>
      </c>
      <c r="J389" s="1270">
        <v>1</v>
      </c>
      <c r="K389" s="1270">
        <v>1</v>
      </c>
      <c r="L389" s="1270">
        <v>1</v>
      </c>
      <c r="M389" s="1270">
        <v>1</v>
      </c>
      <c r="N389" s="1270">
        <v>1</v>
      </c>
      <c r="O389" s="1270">
        <v>1</v>
      </c>
      <c r="P389" s="1270">
        <v>1</v>
      </c>
      <c r="Q389" s="1270">
        <v>1</v>
      </c>
      <c r="R389" s="1270">
        <v>1</v>
      </c>
      <c r="S389" s="1270">
        <v>1</v>
      </c>
      <c r="T389" s="1270">
        <v>1</v>
      </c>
      <c r="U389" s="1270">
        <v>1</v>
      </c>
      <c r="V389" s="1270">
        <v>1</v>
      </c>
      <c r="W389" s="1270">
        <v>1</v>
      </c>
      <c r="X389" s="1270">
        <v>1</v>
      </c>
      <c r="Y389" s="1270">
        <v>1</v>
      </c>
      <c r="Z389" s="1270">
        <v>1</v>
      </c>
      <c r="AA389" s="1263">
        <f>SUM(C389:Z389)</f>
        <v>20</v>
      </c>
      <c r="AB389" s="1264">
        <f>AA389*SUM($C$9:$C$13)</f>
        <v>5000</v>
      </c>
      <c r="AE389" s="2140"/>
    </row>
    <row r="390" spans="2:31" s="395" customFormat="1" x14ac:dyDescent="0.25">
      <c r="B390" s="1490" t="s">
        <v>1149</v>
      </c>
      <c r="C390" s="1270">
        <v>1</v>
      </c>
      <c r="D390" s="1270">
        <v>1</v>
      </c>
      <c r="E390" s="1270">
        <v>1</v>
      </c>
      <c r="F390" s="1270">
        <v>0</v>
      </c>
      <c r="G390" s="1270">
        <v>0</v>
      </c>
      <c r="H390" s="1270">
        <v>0</v>
      </c>
      <c r="I390" s="1270">
        <v>0</v>
      </c>
      <c r="J390" s="1270">
        <v>0</v>
      </c>
      <c r="K390" s="1270">
        <v>0</v>
      </c>
      <c r="L390" s="1270">
        <v>1</v>
      </c>
      <c r="M390" s="1270">
        <v>1</v>
      </c>
      <c r="N390" s="1270">
        <v>1</v>
      </c>
      <c r="O390" s="1270">
        <v>1</v>
      </c>
      <c r="P390" s="1270">
        <v>1</v>
      </c>
      <c r="Q390" s="1270">
        <v>1</v>
      </c>
      <c r="R390" s="1270">
        <v>1</v>
      </c>
      <c r="S390" s="1270">
        <v>1</v>
      </c>
      <c r="T390" s="1270">
        <v>1</v>
      </c>
      <c r="U390" s="1270">
        <v>1</v>
      </c>
      <c r="V390" s="1270">
        <v>1</v>
      </c>
      <c r="W390" s="1270">
        <v>1</v>
      </c>
      <c r="X390" s="1270">
        <v>1</v>
      </c>
      <c r="Y390" s="1270">
        <v>1</v>
      </c>
      <c r="Z390" s="1270">
        <v>1</v>
      </c>
      <c r="AA390" s="1263">
        <f>SUM(C390:Z390)</f>
        <v>18</v>
      </c>
      <c r="AB390" s="1264">
        <f>AA390*SUM($C$14)</f>
        <v>936</v>
      </c>
      <c r="AE390" s="2140"/>
    </row>
    <row r="391" spans="2:31" s="395" customFormat="1" x14ac:dyDescent="0.25">
      <c r="B391" s="1490" t="s">
        <v>1150</v>
      </c>
      <c r="C391" s="1270">
        <v>1</v>
      </c>
      <c r="D391" s="1270">
        <v>1</v>
      </c>
      <c r="E391" s="1270">
        <v>1</v>
      </c>
      <c r="F391" s="1270">
        <v>0</v>
      </c>
      <c r="G391" s="1270">
        <v>0</v>
      </c>
      <c r="H391" s="1270">
        <v>0</v>
      </c>
      <c r="I391" s="1270">
        <v>0</v>
      </c>
      <c r="J391" s="1270">
        <v>0</v>
      </c>
      <c r="K391" s="1270">
        <v>0</v>
      </c>
      <c r="L391" s="1270">
        <v>0</v>
      </c>
      <c r="M391" s="1270">
        <v>1</v>
      </c>
      <c r="N391" s="1270">
        <v>1</v>
      </c>
      <c r="O391" s="1270">
        <v>1</v>
      </c>
      <c r="P391" s="1270">
        <v>1</v>
      </c>
      <c r="Q391" s="1270">
        <v>1</v>
      </c>
      <c r="R391" s="1270">
        <v>1</v>
      </c>
      <c r="S391" s="1270">
        <v>1</v>
      </c>
      <c r="T391" s="1270">
        <v>1</v>
      </c>
      <c r="U391" s="1270">
        <v>1</v>
      </c>
      <c r="V391" s="1270">
        <v>1</v>
      </c>
      <c r="W391" s="1270">
        <v>1</v>
      </c>
      <c r="X391" s="1270">
        <v>1</v>
      </c>
      <c r="Y391" s="1270">
        <v>1</v>
      </c>
      <c r="Z391" s="1270">
        <v>1</v>
      </c>
      <c r="AA391" s="1263">
        <f>SUM(C391:Z391)</f>
        <v>17</v>
      </c>
      <c r="AB391" s="1264">
        <f>AA391*$C$15</f>
        <v>884</v>
      </c>
      <c r="AE391" s="2140"/>
    </row>
    <row r="392" spans="2:31" s="395" customFormat="1" x14ac:dyDescent="0.25">
      <c r="B392" s="1490" t="s">
        <v>1181</v>
      </c>
      <c r="C392" s="1270">
        <v>1</v>
      </c>
      <c r="D392" s="1270">
        <v>1</v>
      </c>
      <c r="E392" s="1270">
        <v>1</v>
      </c>
      <c r="F392" s="1270">
        <v>0</v>
      </c>
      <c r="G392" s="1270">
        <v>0</v>
      </c>
      <c r="H392" s="1270">
        <v>0</v>
      </c>
      <c r="I392" s="1270">
        <v>0</v>
      </c>
      <c r="J392" s="1270">
        <v>0</v>
      </c>
      <c r="K392" s="1270">
        <v>0</v>
      </c>
      <c r="L392" s="1270">
        <v>0</v>
      </c>
      <c r="M392" s="1270">
        <v>1</v>
      </c>
      <c r="N392" s="1270">
        <v>1</v>
      </c>
      <c r="O392" s="1270">
        <v>1</v>
      </c>
      <c r="P392" s="1270">
        <v>1</v>
      </c>
      <c r="Q392" s="1270">
        <v>1</v>
      </c>
      <c r="R392" s="1270">
        <v>1</v>
      </c>
      <c r="S392" s="1270">
        <v>1</v>
      </c>
      <c r="T392" s="1270">
        <v>1</v>
      </c>
      <c r="U392" s="1270">
        <v>1</v>
      </c>
      <c r="V392" s="1270">
        <v>1</v>
      </c>
      <c r="W392" s="1270">
        <v>1</v>
      </c>
      <c r="X392" s="1270">
        <v>1</v>
      </c>
      <c r="Y392" s="1270">
        <v>1</v>
      </c>
      <c r="Z392" s="1270">
        <v>1</v>
      </c>
      <c r="AA392" s="1263">
        <f>SUM(C392:Z392)</f>
        <v>17</v>
      </c>
      <c r="AB392" s="1264">
        <f>AA392*SUM($C$8)</f>
        <v>187</v>
      </c>
      <c r="AE392" s="2140"/>
    </row>
    <row r="393" spans="2:31" s="395" customFormat="1" x14ac:dyDescent="0.25">
      <c r="B393" s="3368" t="s">
        <v>1182</v>
      </c>
      <c r="C393" s="3368"/>
      <c r="D393" s="3368"/>
      <c r="E393" s="3368"/>
      <c r="F393" s="3368"/>
      <c r="G393" s="3368"/>
      <c r="H393" s="3368"/>
      <c r="I393" s="3368"/>
      <c r="J393" s="3368"/>
      <c r="K393" s="3368"/>
      <c r="L393" s="3368"/>
      <c r="M393" s="3368"/>
      <c r="N393" s="3368"/>
      <c r="O393" s="3368"/>
      <c r="P393" s="3368"/>
      <c r="Q393" s="3368"/>
      <c r="R393" s="3368"/>
      <c r="S393" s="3368"/>
      <c r="T393" s="3368"/>
      <c r="U393" s="3368"/>
      <c r="V393" s="3368"/>
      <c r="W393" s="3368"/>
      <c r="X393" s="3368"/>
      <c r="Y393" s="3368"/>
      <c r="Z393" s="3368"/>
      <c r="AA393" s="3368"/>
      <c r="AB393" s="1264">
        <f>SUM(AB389:AB392)</f>
        <v>7007</v>
      </c>
      <c r="AE393" s="2140"/>
    </row>
    <row r="394" spans="2:31" s="395" customFormat="1" x14ac:dyDescent="0.25">
      <c r="B394" s="661"/>
      <c r="C394" s="661"/>
      <c r="D394" s="661"/>
      <c r="E394" s="661"/>
      <c r="F394" s="661"/>
      <c r="G394" s="661"/>
      <c r="H394" s="661"/>
      <c r="I394" s="661"/>
      <c r="J394" s="661"/>
      <c r="K394" s="661"/>
      <c r="L394" s="661"/>
      <c r="M394" s="661"/>
      <c r="N394" s="661"/>
      <c r="O394" s="661"/>
      <c r="P394" s="661"/>
      <c r="Q394" s="661"/>
      <c r="R394" s="661"/>
      <c r="S394" s="661"/>
      <c r="T394" s="661"/>
      <c r="U394" s="661"/>
      <c r="V394" s="661"/>
      <c r="W394" s="661"/>
      <c r="X394" s="661"/>
      <c r="Y394" s="661"/>
      <c r="Z394" s="661"/>
      <c r="AA394" s="661"/>
      <c r="AB394" s="661"/>
      <c r="AE394" s="2140"/>
    </row>
    <row r="395" spans="2:31" s="395" customFormat="1" ht="15" customHeight="1" x14ac:dyDescent="0.25">
      <c r="B395" s="661" t="s">
        <v>1152</v>
      </c>
      <c r="C395" s="3367" t="s">
        <v>1353</v>
      </c>
      <c r="D395" s="3367"/>
      <c r="E395" s="3367"/>
      <c r="F395" s="3367"/>
      <c r="G395" s="3367"/>
      <c r="H395" s="3367"/>
      <c r="I395" s="3367"/>
      <c r="J395" s="3367"/>
      <c r="K395" s="3367"/>
      <c r="L395" s="3367"/>
      <c r="M395" s="3367"/>
      <c r="N395" s="3367"/>
      <c r="O395" s="3367"/>
      <c r="P395" s="3367"/>
      <c r="Q395" s="3367"/>
      <c r="R395" s="3367"/>
      <c r="S395" s="3367"/>
      <c r="T395" s="3367"/>
      <c r="U395" s="3367"/>
      <c r="V395" s="3367"/>
      <c r="W395" s="3367"/>
      <c r="X395" s="3367"/>
      <c r="Y395" s="3367"/>
      <c r="Z395" s="3367"/>
      <c r="AA395" s="3367"/>
      <c r="AB395" s="3367"/>
      <c r="AE395" s="2140"/>
    </row>
    <row r="396" spans="2:31" s="395" customFormat="1" x14ac:dyDescent="0.25">
      <c r="B396" s="661"/>
      <c r="C396" s="661"/>
      <c r="D396" s="661"/>
      <c r="E396" s="661"/>
      <c r="F396" s="661"/>
      <c r="G396" s="661"/>
      <c r="H396" s="661"/>
      <c r="I396" s="661"/>
      <c r="J396" s="661"/>
      <c r="K396" s="661"/>
      <c r="L396" s="661"/>
      <c r="M396" s="661"/>
      <c r="N396" s="661"/>
      <c r="O396" s="661"/>
      <c r="P396" s="661"/>
      <c r="Q396" s="661"/>
      <c r="R396" s="661"/>
      <c r="S396" s="661"/>
      <c r="T396" s="661"/>
      <c r="U396" s="661"/>
      <c r="V396" s="661"/>
      <c r="W396" s="661"/>
      <c r="X396" s="661"/>
      <c r="Y396" s="661"/>
      <c r="Z396" s="661"/>
      <c r="AA396" s="661"/>
      <c r="AB396" s="661"/>
      <c r="AE396" s="2140"/>
    </row>
    <row r="397" spans="2:31" s="1608" customFormat="1" ht="21" customHeight="1" x14ac:dyDescent="0.25">
      <c r="B397" s="1356"/>
      <c r="C397" s="1357" t="s">
        <v>1153</v>
      </c>
      <c r="D397" s="1356" t="s">
        <v>1154</v>
      </c>
      <c r="E397" s="1356" t="s">
        <v>1155</v>
      </c>
      <c r="F397" s="1356" t="s">
        <v>1156</v>
      </c>
      <c r="G397" s="1356" t="s">
        <v>1157</v>
      </c>
      <c r="H397" s="1356" t="s">
        <v>1158</v>
      </c>
      <c r="I397" s="1356" t="s">
        <v>1159</v>
      </c>
      <c r="J397" s="1356" t="s">
        <v>1160</v>
      </c>
      <c r="K397" s="1356" t="s">
        <v>1161</v>
      </c>
      <c r="L397" s="1356" t="s">
        <v>1162</v>
      </c>
      <c r="M397" s="1356" t="s">
        <v>1163</v>
      </c>
      <c r="N397" s="1356" t="s">
        <v>1164</v>
      </c>
      <c r="O397" s="1356" t="s">
        <v>1165</v>
      </c>
      <c r="P397" s="1356" t="s">
        <v>1166</v>
      </c>
      <c r="Q397" s="1356" t="s">
        <v>1167</v>
      </c>
      <c r="R397" s="1356" t="s">
        <v>1168</v>
      </c>
      <c r="S397" s="1356" t="s">
        <v>1169</v>
      </c>
      <c r="T397" s="1356" t="s">
        <v>1170</v>
      </c>
      <c r="U397" s="1356" t="s">
        <v>1171</v>
      </c>
      <c r="V397" s="1356" t="s">
        <v>1172</v>
      </c>
      <c r="W397" s="1356" t="s">
        <v>1173</v>
      </c>
      <c r="X397" s="1356" t="s">
        <v>1174</v>
      </c>
      <c r="Y397" s="1356" t="s">
        <v>1175</v>
      </c>
      <c r="Z397" s="1356" t="s">
        <v>1176</v>
      </c>
      <c r="AA397" s="1356" t="s">
        <v>1184</v>
      </c>
      <c r="AB397" s="1356" t="s">
        <v>1185</v>
      </c>
      <c r="AE397" s="2140"/>
    </row>
    <row r="398" spans="2:31" s="395" customFormat="1" x14ac:dyDescent="0.25">
      <c r="B398" s="1490" t="s">
        <v>1179</v>
      </c>
      <c r="C398" s="1269">
        <v>0.15</v>
      </c>
      <c r="D398" s="1269">
        <v>0.15</v>
      </c>
      <c r="E398" s="1269">
        <v>0.05</v>
      </c>
      <c r="F398" s="1269">
        <v>0</v>
      </c>
      <c r="G398" s="1269">
        <v>0</v>
      </c>
      <c r="H398" s="1269">
        <v>0</v>
      </c>
      <c r="I398" s="1269">
        <v>0</v>
      </c>
      <c r="J398" s="1269">
        <v>0.05</v>
      </c>
      <c r="K398" s="1269">
        <v>0.05</v>
      </c>
      <c r="L398" s="1269">
        <v>0.05</v>
      </c>
      <c r="M398" s="1269">
        <v>0.2</v>
      </c>
      <c r="N398" s="1269">
        <v>0.5</v>
      </c>
      <c r="O398" s="1269">
        <v>0.8</v>
      </c>
      <c r="P398" s="1269">
        <v>0.7</v>
      </c>
      <c r="Q398" s="1269">
        <v>0.4</v>
      </c>
      <c r="R398" s="1269">
        <v>0.2</v>
      </c>
      <c r="S398" s="1269">
        <v>0.25</v>
      </c>
      <c r="T398" s="1269">
        <v>0.5</v>
      </c>
      <c r="U398" s="1269">
        <v>0.8</v>
      </c>
      <c r="V398" s="1269">
        <v>0.8</v>
      </c>
      <c r="W398" s="1269">
        <v>0.8</v>
      </c>
      <c r="X398" s="1269">
        <v>0.5</v>
      </c>
      <c r="Y398" s="1269">
        <v>0.35</v>
      </c>
      <c r="Z398" s="1269">
        <v>0.2</v>
      </c>
      <c r="AA398" s="1263">
        <f>SUM(C398:Z398)</f>
        <v>7.5</v>
      </c>
      <c r="AB398" s="1264">
        <f>AA398*SUM($C$9:$C$13)</f>
        <v>1875</v>
      </c>
      <c r="AE398" s="2140"/>
    </row>
    <row r="399" spans="2:31" s="395" customFormat="1" x14ac:dyDescent="0.25">
      <c r="B399" s="1490" t="s">
        <v>1149</v>
      </c>
      <c r="C399" s="1269">
        <v>0.3</v>
      </c>
      <c r="D399" s="1269">
        <v>0.25</v>
      </c>
      <c r="E399" s="1269">
        <v>0.05</v>
      </c>
      <c r="F399" s="1269">
        <v>0</v>
      </c>
      <c r="G399" s="1269">
        <v>0</v>
      </c>
      <c r="H399" s="1269">
        <v>0</v>
      </c>
      <c r="I399" s="1269">
        <v>0</v>
      </c>
      <c r="J399" s="1269">
        <v>0</v>
      </c>
      <c r="K399" s="1269">
        <v>0</v>
      </c>
      <c r="L399" s="1269">
        <v>0.05</v>
      </c>
      <c r="M399" s="1269">
        <v>0.2</v>
      </c>
      <c r="N399" s="1269">
        <v>0.45</v>
      </c>
      <c r="O399" s="1269">
        <v>0.5</v>
      </c>
      <c r="P399" s="1269">
        <v>0.5</v>
      </c>
      <c r="Q399" s="1269">
        <v>0.35</v>
      </c>
      <c r="R399" s="1269">
        <v>0.3</v>
      </c>
      <c r="S399" s="1269">
        <v>0.3</v>
      </c>
      <c r="T399" s="1269">
        <v>0.3</v>
      </c>
      <c r="U399" s="1269">
        <v>0.7</v>
      </c>
      <c r="V399" s="1269">
        <v>0.9</v>
      </c>
      <c r="W399" s="1269">
        <v>0.7</v>
      </c>
      <c r="X399" s="1269">
        <v>0.65</v>
      </c>
      <c r="Y399" s="1269">
        <v>0.55000000000000004</v>
      </c>
      <c r="Z399" s="1269">
        <v>0.35</v>
      </c>
      <c r="AA399" s="1263">
        <f>SUM(C399:Z399)</f>
        <v>7.3999999999999995</v>
      </c>
      <c r="AB399" s="1264">
        <f>AA399*SUM($C$14)</f>
        <v>384.79999999999995</v>
      </c>
      <c r="AE399" s="2140"/>
    </row>
    <row r="400" spans="2:31" s="395" customFormat="1" x14ac:dyDescent="0.25">
      <c r="B400" s="1490" t="s">
        <v>1150</v>
      </c>
      <c r="C400" s="1269">
        <v>0.2</v>
      </c>
      <c r="D400" s="1269">
        <v>0.2</v>
      </c>
      <c r="E400" s="1269">
        <v>0.05</v>
      </c>
      <c r="F400" s="1269">
        <v>0</v>
      </c>
      <c r="G400" s="1269">
        <v>0</v>
      </c>
      <c r="H400" s="1269">
        <v>0</v>
      </c>
      <c r="I400" s="1269">
        <v>0</v>
      </c>
      <c r="J400" s="1269">
        <v>0</v>
      </c>
      <c r="K400" s="1269">
        <v>0</v>
      </c>
      <c r="L400" s="1269">
        <v>0</v>
      </c>
      <c r="M400" s="1269">
        <v>0.1</v>
      </c>
      <c r="N400" s="1269">
        <v>0.2</v>
      </c>
      <c r="O400" s="1269">
        <v>0.25</v>
      </c>
      <c r="P400" s="1269">
        <v>0.25</v>
      </c>
      <c r="Q400" s="1269">
        <v>0.15</v>
      </c>
      <c r="R400" s="1269">
        <v>0.2</v>
      </c>
      <c r="S400" s="1269">
        <v>0.25</v>
      </c>
      <c r="T400" s="1269">
        <v>0.35</v>
      </c>
      <c r="U400" s="1269">
        <v>0.55000000000000004</v>
      </c>
      <c r="V400" s="1269">
        <v>0.65</v>
      </c>
      <c r="W400" s="1269">
        <v>0.7</v>
      </c>
      <c r="X400" s="1269">
        <v>0.35</v>
      </c>
      <c r="Y400" s="1269">
        <v>0.2</v>
      </c>
      <c r="Z400" s="1269">
        <v>0.2</v>
      </c>
      <c r="AA400" s="1263">
        <f>SUM(C400:Z400)</f>
        <v>4.8499999999999996</v>
      </c>
      <c r="AB400" s="1264">
        <f>AA400*$C$15</f>
        <v>252.2</v>
      </c>
      <c r="AE400" s="2140"/>
    </row>
    <row r="401" spans="2:31" s="395" customFormat="1" x14ac:dyDescent="0.25">
      <c r="B401" s="1490" t="s">
        <v>1181</v>
      </c>
      <c r="C401" s="1269">
        <v>0.2</v>
      </c>
      <c r="D401" s="1269">
        <v>0.2</v>
      </c>
      <c r="E401" s="1269">
        <v>0.05</v>
      </c>
      <c r="F401" s="1269">
        <v>0</v>
      </c>
      <c r="G401" s="1269">
        <v>0</v>
      </c>
      <c r="H401" s="1269">
        <v>0</v>
      </c>
      <c r="I401" s="1269">
        <v>0</v>
      </c>
      <c r="J401" s="1269">
        <v>0</v>
      </c>
      <c r="K401" s="1269">
        <v>0</v>
      </c>
      <c r="L401" s="1269">
        <v>0</v>
      </c>
      <c r="M401" s="1269">
        <v>0.1</v>
      </c>
      <c r="N401" s="1269">
        <v>0.2</v>
      </c>
      <c r="O401" s="1269">
        <v>0.25</v>
      </c>
      <c r="P401" s="1269">
        <v>0.25</v>
      </c>
      <c r="Q401" s="1269">
        <v>0.15</v>
      </c>
      <c r="R401" s="1269">
        <v>0.2</v>
      </c>
      <c r="S401" s="1269">
        <v>0.25</v>
      </c>
      <c r="T401" s="1269">
        <v>0.35</v>
      </c>
      <c r="U401" s="1269">
        <v>0.55000000000000004</v>
      </c>
      <c r="V401" s="1269">
        <v>0.65</v>
      </c>
      <c r="W401" s="1269">
        <v>0.7</v>
      </c>
      <c r="X401" s="1269">
        <v>0.35</v>
      </c>
      <c r="Y401" s="1269">
        <v>0.2</v>
      </c>
      <c r="Z401" s="1269">
        <v>0.2</v>
      </c>
      <c r="AA401" s="1263">
        <f>SUM(C401:Z401)</f>
        <v>4.8499999999999996</v>
      </c>
      <c r="AB401" s="1264">
        <f>AA401*SUM($C$8)</f>
        <v>53.349999999999994</v>
      </c>
      <c r="AE401" s="2140"/>
    </row>
    <row r="402" spans="2:31" s="395" customFormat="1" x14ac:dyDescent="0.25">
      <c r="B402" s="3368" t="s">
        <v>1186</v>
      </c>
      <c r="C402" s="3368"/>
      <c r="D402" s="3368"/>
      <c r="E402" s="3368"/>
      <c r="F402" s="3368"/>
      <c r="G402" s="3368"/>
      <c r="H402" s="3368"/>
      <c r="I402" s="3368"/>
      <c r="J402" s="3368"/>
      <c r="K402" s="3368"/>
      <c r="L402" s="3368"/>
      <c r="M402" s="3368"/>
      <c r="N402" s="3368"/>
      <c r="O402" s="3368"/>
      <c r="P402" s="3368"/>
      <c r="Q402" s="3368"/>
      <c r="R402" s="3368"/>
      <c r="S402" s="3368"/>
      <c r="T402" s="3368"/>
      <c r="U402" s="3368"/>
      <c r="V402" s="3368"/>
      <c r="W402" s="3368"/>
      <c r="X402" s="3368"/>
      <c r="Y402" s="3368"/>
      <c r="Z402" s="3368"/>
      <c r="AA402" s="3368"/>
      <c r="AB402" s="1264">
        <f>SUM(AB398:AB401)</f>
        <v>2565.35</v>
      </c>
      <c r="AE402" s="2140"/>
    </row>
    <row r="403" spans="2:31" s="395" customFormat="1" x14ac:dyDescent="0.25">
      <c r="B403" s="661"/>
      <c r="C403" s="661"/>
      <c r="D403" s="661"/>
      <c r="E403" s="661"/>
      <c r="F403" s="661"/>
      <c r="G403" s="661"/>
      <c r="H403" s="661"/>
      <c r="I403" s="661"/>
      <c r="J403" s="661"/>
      <c r="K403" s="661"/>
      <c r="L403" s="661"/>
      <c r="M403" s="661"/>
      <c r="N403" s="661"/>
      <c r="O403" s="661"/>
      <c r="P403" s="661"/>
      <c r="Q403" s="661"/>
      <c r="R403" s="661"/>
      <c r="S403" s="661"/>
      <c r="T403" s="661"/>
      <c r="U403" s="661"/>
      <c r="V403" s="661"/>
      <c r="W403" s="661"/>
      <c r="X403" s="661"/>
      <c r="Y403" s="661"/>
      <c r="Z403" s="661"/>
      <c r="AA403" s="661"/>
      <c r="AB403" s="661"/>
      <c r="AE403" s="2140"/>
    </row>
    <row r="404" spans="2:31" s="395" customFormat="1" ht="15" customHeight="1" x14ac:dyDescent="0.25">
      <c r="B404" s="661" t="s">
        <v>1152</v>
      </c>
      <c r="C404" s="3367" t="s">
        <v>1354</v>
      </c>
      <c r="D404" s="3367"/>
      <c r="E404" s="3367"/>
      <c r="F404" s="3367"/>
      <c r="G404" s="3367"/>
      <c r="H404" s="3367"/>
      <c r="I404" s="3367"/>
      <c r="J404" s="3367"/>
      <c r="K404" s="3367"/>
      <c r="L404" s="3367"/>
      <c r="M404" s="3367"/>
      <c r="N404" s="3367"/>
      <c r="O404" s="3367"/>
      <c r="P404" s="3367"/>
      <c r="Q404" s="3367"/>
      <c r="R404" s="3367"/>
      <c r="S404" s="3367"/>
      <c r="T404" s="3367"/>
      <c r="U404" s="3367"/>
      <c r="V404" s="3367"/>
      <c r="W404" s="3367"/>
      <c r="X404" s="3367"/>
      <c r="Y404" s="3367"/>
      <c r="Z404" s="3367"/>
      <c r="AA404" s="3367"/>
      <c r="AB404" s="3367"/>
      <c r="AE404" s="2140"/>
    </row>
    <row r="405" spans="2:31" s="395" customFormat="1" x14ac:dyDescent="0.25">
      <c r="B405" s="661"/>
      <c r="C405" s="661"/>
      <c r="D405" s="661"/>
      <c r="E405" s="661"/>
      <c r="F405" s="661"/>
      <c r="G405" s="661"/>
      <c r="H405" s="661"/>
      <c r="I405" s="661"/>
      <c r="J405" s="661"/>
      <c r="K405" s="661"/>
      <c r="L405" s="661"/>
      <c r="M405" s="661"/>
      <c r="N405" s="661"/>
      <c r="O405" s="661"/>
      <c r="P405" s="661"/>
      <c r="Q405" s="661"/>
      <c r="R405" s="661"/>
      <c r="S405" s="661"/>
      <c r="T405" s="661"/>
      <c r="U405" s="661"/>
      <c r="V405" s="661"/>
      <c r="W405" s="661"/>
      <c r="X405" s="661"/>
      <c r="Y405" s="661"/>
      <c r="Z405" s="661"/>
      <c r="AA405" s="661"/>
      <c r="AB405" s="661"/>
      <c r="AE405" s="2140"/>
    </row>
    <row r="406" spans="2:31" s="1608" customFormat="1" ht="21" customHeight="1" x14ac:dyDescent="0.25">
      <c r="B406" s="1356"/>
      <c r="C406" s="1357" t="s">
        <v>1153</v>
      </c>
      <c r="D406" s="1356" t="s">
        <v>1154</v>
      </c>
      <c r="E406" s="1356" t="s">
        <v>1155</v>
      </c>
      <c r="F406" s="1356" t="s">
        <v>1156</v>
      </c>
      <c r="G406" s="1356" t="s">
        <v>1157</v>
      </c>
      <c r="H406" s="1356" t="s">
        <v>1158</v>
      </c>
      <c r="I406" s="1356" t="s">
        <v>1159</v>
      </c>
      <c r="J406" s="1356" t="s">
        <v>1160</v>
      </c>
      <c r="K406" s="1356" t="s">
        <v>1161</v>
      </c>
      <c r="L406" s="1356" t="s">
        <v>1162</v>
      </c>
      <c r="M406" s="1356" t="s">
        <v>1163</v>
      </c>
      <c r="N406" s="1356" t="s">
        <v>1164</v>
      </c>
      <c r="O406" s="1356" t="s">
        <v>1165</v>
      </c>
      <c r="P406" s="1356" t="s">
        <v>1166</v>
      </c>
      <c r="Q406" s="1356" t="s">
        <v>1167</v>
      </c>
      <c r="R406" s="1356" t="s">
        <v>1168</v>
      </c>
      <c r="S406" s="1356" t="s">
        <v>1169</v>
      </c>
      <c r="T406" s="1356" t="s">
        <v>1170</v>
      </c>
      <c r="U406" s="1356" t="s">
        <v>1171</v>
      </c>
      <c r="V406" s="1356" t="s">
        <v>1172</v>
      </c>
      <c r="W406" s="1356" t="s">
        <v>1173</v>
      </c>
      <c r="X406" s="1356" t="s">
        <v>1174</v>
      </c>
      <c r="Y406" s="1356" t="s">
        <v>1175</v>
      </c>
      <c r="Z406" s="1356" t="s">
        <v>1176</v>
      </c>
      <c r="AA406" s="1356" t="s">
        <v>1184</v>
      </c>
      <c r="AB406" s="1356" t="s">
        <v>1185</v>
      </c>
      <c r="AE406" s="2140"/>
    </row>
    <row r="407" spans="2:31" s="395" customFormat="1" x14ac:dyDescent="0.25">
      <c r="B407" s="1490" t="s">
        <v>1179</v>
      </c>
      <c r="C407" s="1269">
        <v>0.15</v>
      </c>
      <c r="D407" s="1269">
        <v>0.15</v>
      </c>
      <c r="E407" s="1269">
        <v>0.15</v>
      </c>
      <c r="F407" s="1269">
        <v>0.15</v>
      </c>
      <c r="G407" s="1269">
        <v>0.15</v>
      </c>
      <c r="H407" s="1269">
        <v>0.2</v>
      </c>
      <c r="I407" s="1269">
        <v>0.35</v>
      </c>
      <c r="J407" s="1269">
        <v>0.35</v>
      </c>
      <c r="K407" s="1269">
        <v>0.55000000000000004</v>
      </c>
      <c r="L407" s="1269">
        <v>0.55000000000000004</v>
      </c>
      <c r="M407" s="1269">
        <v>0.85</v>
      </c>
      <c r="N407" s="1269">
        <v>0.85</v>
      </c>
      <c r="O407" s="1269">
        <v>0.85</v>
      </c>
      <c r="P407" s="1269">
        <v>0.85</v>
      </c>
      <c r="Q407" s="1269">
        <v>0.85</v>
      </c>
      <c r="R407" s="1269">
        <v>0.85</v>
      </c>
      <c r="S407" s="1269">
        <v>0.85</v>
      </c>
      <c r="T407" s="1269">
        <v>0.85</v>
      </c>
      <c r="U407" s="1269">
        <v>0.85</v>
      </c>
      <c r="V407" s="1269">
        <v>0.85</v>
      </c>
      <c r="W407" s="1269">
        <v>0.85</v>
      </c>
      <c r="X407" s="1269">
        <v>0.85</v>
      </c>
      <c r="Y407" s="1269">
        <v>0.45</v>
      </c>
      <c r="Z407" s="1269">
        <v>0.3</v>
      </c>
      <c r="AA407" s="1263">
        <f>SUM(C407:Z407)</f>
        <v>13.699999999999998</v>
      </c>
      <c r="AB407" s="1264">
        <f>AA407*SUM($C$9:$C$13)</f>
        <v>3424.9999999999995</v>
      </c>
      <c r="AE407" s="2140"/>
    </row>
    <row r="408" spans="2:31" s="395" customFormat="1" x14ac:dyDescent="0.25">
      <c r="B408" s="1490" t="s">
        <v>1149</v>
      </c>
      <c r="C408" s="1269">
        <v>0.2</v>
      </c>
      <c r="D408" s="1269">
        <v>0.15</v>
      </c>
      <c r="E408" s="1269">
        <v>0.15</v>
      </c>
      <c r="F408" s="1269">
        <v>0.15</v>
      </c>
      <c r="G408" s="1269">
        <v>0.15</v>
      </c>
      <c r="H408" s="1269">
        <v>0.15</v>
      </c>
      <c r="I408" s="1269">
        <v>0.3</v>
      </c>
      <c r="J408" s="1269">
        <v>0.3</v>
      </c>
      <c r="K408" s="1269">
        <v>0.55000000000000004</v>
      </c>
      <c r="L408" s="1269">
        <v>0.55000000000000004</v>
      </c>
      <c r="M408" s="1269">
        <v>0.75</v>
      </c>
      <c r="N408" s="1269">
        <v>0.75</v>
      </c>
      <c r="O408" s="1269">
        <v>0.75</v>
      </c>
      <c r="P408" s="1269">
        <v>0.75</v>
      </c>
      <c r="Q408" s="1269">
        <v>0.75</v>
      </c>
      <c r="R408" s="1269">
        <v>0.75</v>
      </c>
      <c r="S408" s="1269">
        <v>0.75</v>
      </c>
      <c r="T408" s="1269">
        <v>0.85</v>
      </c>
      <c r="U408" s="1269">
        <v>0.85</v>
      </c>
      <c r="V408" s="1269">
        <v>0.85</v>
      </c>
      <c r="W408" s="1269">
        <v>0.85</v>
      </c>
      <c r="X408" s="1269">
        <v>0.85</v>
      </c>
      <c r="Y408" s="1269">
        <v>0.45</v>
      </c>
      <c r="Z408" s="1269">
        <v>0.3</v>
      </c>
      <c r="AA408" s="1263">
        <f>SUM(C408:Z408)</f>
        <v>12.899999999999999</v>
      </c>
      <c r="AB408" s="1264">
        <f>AA408*SUM($C$14)</f>
        <v>670.8</v>
      </c>
      <c r="AE408" s="2140"/>
    </row>
    <row r="409" spans="2:31" s="395" customFormat="1" x14ac:dyDescent="0.25">
      <c r="B409" s="1490" t="s">
        <v>1150</v>
      </c>
      <c r="C409" s="1269">
        <v>0.2</v>
      </c>
      <c r="D409" s="1269">
        <v>0.15</v>
      </c>
      <c r="E409" s="1269">
        <v>0.15</v>
      </c>
      <c r="F409" s="1269">
        <v>0.15</v>
      </c>
      <c r="G409" s="1269">
        <v>0.15</v>
      </c>
      <c r="H409" s="1269">
        <v>0.15</v>
      </c>
      <c r="I409" s="1269">
        <v>0.3</v>
      </c>
      <c r="J409" s="1269">
        <v>0.3</v>
      </c>
      <c r="K409" s="1269">
        <v>0.45</v>
      </c>
      <c r="L409" s="1269">
        <v>0.45</v>
      </c>
      <c r="M409" s="1269">
        <v>0.65</v>
      </c>
      <c r="N409" s="1269">
        <v>0.65</v>
      </c>
      <c r="O409" s="1269">
        <v>0.65</v>
      </c>
      <c r="P409" s="1269">
        <v>0.65</v>
      </c>
      <c r="Q409" s="1269">
        <v>0.65</v>
      </c>
      <c r="R409" s="1269">
        <v>0.65</v>
      </c>
      <c r="S409" s="1269">
        <v>0.55000000000000004</v>
      </c>
      <c r="T409" s="1269">
        <v>0.55000000000000004</v>
      </c>
      <c r="U409" s="1269">
        <v>0.55000000000000004</v>
      </c>
      <c r="V409" s="1269">
        <v>0.55000000000000004</v>
      </c>
      <c r="W409" s="1269">
        <v>0.55000000000000004</v>
      </c>
      <c r="X409" s="1269">
        <v>0.55000000000000004</v>
      </c>
      <c r="Y409" s="1269">
        <v>0.45</v>
      </c>
      <c r="Z409" s="1269">
        <v>0.3</v>
      </c>
      <c r="AA409" s="1263">
        <f>SUM(C409:Z409)</f>
        <v>10.400000000000004</v>
      </c>
      <c r="AB409" s="1264">
        <f>AA409*$C$15</f>
        <v>540.80000000000018</v>
      </c>
      <c r="AE409" s="2140"/>
    </row>
    <row r="410" spans="2:31" s="395" customFormat="1" x14ac:dyDescent="0.25">
      <c r="B410" s="1490" t="s">
        <v>1181</v>
      </c>
      <c r="C410" s="1269">
        <v>0.2</v>
      </c>
      <c r="D410" s="1269">
        <v>0.15</v>
      </c>
      <c r="E410" s="1269">
        <v>0.15</v>
      </c>
      <c r="F410" s="1269">
        <v>0.15</v>
      </c>
      <c r="G410" s="1269">
        <v>0.15</v>
      </c>
      <c r="H410" s="1269">
        <v>0.15</v>
      </c>
      <c r="I410" s="1269">
        <v>0.3</v>
      </c>
      <c r="J410" s="1269">
        <v>0.3</v>
      </c>
      <c r="K410" s="1269">
        <v>0.45</v>
      </c>
      <c r="L410" s="1269">
        <v>0.45</v>
      </c>
      <c r="M410" s="1269">
        <v>0.65</v>
      </c>
      <c r="N410" s="1269">
        <v>0.65</v>
      </c>
      <c r="O410" s="1269">
        <v>0.65</v>
      </c>
      <c r="P410" s="1269">
        <v>0.65</v>
      </c>
      <c r="Q410" s="1269">
        <v>0.65</v>
      </c>
      <c r="R410" s="1269">
        <v>0.65</v>
      </c>
      <c r="S410" s="1269">
        <v>0.55000000000000004</v>
      </c>
      <c r="T410" s="1269">
        <v>0.55000000000000004</v>
      </c>
      <c r="U410" s="1269">
        <v>0.55000000000000004</v>
      </c>
      <c r="V410" s="1269">
        <v>0.55000000000000004</v>
      </c>
      <c r="W410" s="1269">
        <v>0.55000000000000004</v>
      </c>
      <c r="X410" s="1269">
        <v>0.55000000000000004</v>
      </c>
      <c r="Y410" s="1269">
        <v>0.45</v>
      </c>
      <c r="Z410" s="1269">
        <v>0.3</v>
      </c>
      <c r="AA410" s="1263">
        <f>SUM(C410:Z410)</f>
        <v>10.400000000000004</v>
      </c>
      <c r="AB410" s="1264">
        <f>AA410*SUM($C$8)</f>
        <v>114.40000000000005</v>
      </c>
      <c r="AE410" s="2140"/>
    </row>
    <row r="411" spans="2:31" s="395" customFormat="1" x14ac:dyDescent="0.25">
      <c r="B411" s="3368" t="s">
        <v>1186</v>
      </c>
      <c r="C411" s="3368"/>
      <c r="D411" s="3368"/>
      <c r="E411" s="3368"/>
      <c r="F411" s="3368"/>
      <c r="G411" s="3368"/>
      <c r="H411" s="3368"/>
      <c r="I411" s="3368"/>
      <c r="J411" s="3368"/>
      <c r="K411" s="3368"/>
      <c r="L411" s="3368"/>
      <c r="M411" s="3368"/>
      <c r="N411" s="3368"/>
      <c r="O411" s="3368"/>
      <c r="P411" s="3368"/>
      <c r="Q411" s="3368"/>
      <c r="R411" s="3368"/>
      <c r="S411" s="3368"/>
      <c r="T411" s="3368"/>
      <c r="U411" s="3368"/>
      <c r="V411" s="3368"/>
      <c r="W411" s="3368"/>
      <c r="X411" s="3368"/>
      <c r="Y411" s="3368"/>
      <c r="Z411" s="3368"/>
      <c r="AA411" s="3368"/>
      <c r="AB411" s="1264">
        <f>SUM(AB407:AB410)</f>
        <v>4750.9999999999991</v>
      </c>
      <c r="AE411" s="2140"/>
    </row>
    <row r="412" spans="2:31" s="395" customFormat="1" x14ac:dyDescent="0.25">
      <c r="B412" s="661"/>
      <c r="C412" s="661"/>
      <c r="D412" s="661"/>
      <c r="E412" s="661"/>
      <c r="F412" s="661"/>
      <c r="G412" s="661"/>
      <c r="H412" s="661"/>
      <c r="I412" s="661"/>
      <c r="J412" s="661"/>
      <c r="K412" s="661"/>
      <c r="L412" s="661"/>
      <c r="M412" s="661"/>
      <c r="N412" s="661"/>
      <c r="O412" s="661"/>
      <c r="P412" s="661"/>
      <c r="Q412" s="661"/>
      <c r="R412" s="661"/>
      <c r="S412" s="661"/>
      <c r="T412" s="661"/>
      <c r="U412" s="661"/>
      <c r="V412" s="661"/>
      <c r="W412" s="661"/>
      <c r="X412" s="661"/>
      <c r="Y412" s="661"/>
      <c r="Z412" s="661"/>
      <c r="AA412" s="661"/>
      <c r="AB412" s="661"/>
      <c r="AE412" s="2140"/>
    </row>
    <row r="413" spans="2:31" s="395" customFormat="1" ht="15" customHeight="1" x14ac:dyDescent="0.25">
      <c r="B413" s="661" t="s">
        <v>1152</v>
      </c>
      <c r="C413" s="3367" t="s">
        <v>1355</v>
      </c>
      <c r="D413" s="3367"/>
      <c r="E413" s="3367"/>
      <c r="F413" s="3367"/>
      <c r="G413" s="3367"/>
      <c r="H413" s="3367"/>
      <c r="I413" s="3367"/>
      <c r="J413" s="3367"/>
      <c r="K413" s="3367"/>
      <c r="L413" s="3367"/>
      <c r="M413" s="3367"/>
      <c r="N413" s="3367"/>
      <c r="O413" s="3367"/>
      <c r="P413" s="3367"/>
      <c r="Q413" s="3367"/>
      <c r="R413" s="3367"/>
      <c r="S413" s="3367"/>
      <c r="T413" s="3367"/>
      <c r="U413" s="3367"/>
      <c r="V413" s="3367"/>
      <c r="W413" s="3367"/>
      <c r="X413" s="3367"/>
      <c r="Y413" s="3367"/>
      <c r="Z413" s="3367"/>
      <c r="AA413" s="3367"/>
      <c r="AB413" s="3367"/>
      <c r="AE413" s="2140"/>
    </row>
    <row r="414" spans="2:31" s="395" customFormat="1" x14ac:dyDescent="0.25">
      <c r="B414" s="661"/>
      <c r="C414" s="661"/>
      <c r="D414" s="661"/>
      <c r="E414" s="661"/>
      <c r="F414" s="661"/>
      <c r="G414" s="661"/>
      <c r="H414" s="661"/>
      <c r="I414" s="661"/>
      <c r="J414" s="661"/>
      <c r="K414" s="661"/>
      <c r="L414" s="661"/>
      <c r="M414" s="661"/>
      <c r="N414" s="661"/>
      <c r="O414" s="661"/>
      <c r="P414" s="661"/>
      <c r="Q414" s="661"/>
      <c r="R414" s="661"/>
      <c r="S414" s="661"/>
      <c r="T414" s="661"/>
      <c r="U414" s="661"/>
      <c r="V414" s="661"/>
      <c r="W414" s="661"/>
      <c r="X414" s="661"/>
      <c r="Y414" s="661"/>
      <c r="Z414" s="661"/>
      <c r="AA414" s="661"/>
      <c r="AB414" s="661"/>
      <c r="AE414" s="2140"/>
    </row>
    <row r="415" spans="2:31" s="1608" customFormat="1" ht="21" customHeight="1" x14ac:dyDescent="0.25">
      <c r="B415" s="1356"/>
      <c r="C415" s="1357" t="s">
        <v>1153</v>
      </c>
      <c r="D415" s="1356" t="s">
        <v>1154</v>
      </c>
      <c r="E415" s="1356" t="s">
        <v>1155</v>
      </c>
      <c r="F415" s="1356" t="s">
        <v>1156</v>
      </c>
      <c r="G415" s="1356" t="s">
        <v>1157</v>
      </c>
      <c r="H415" s="1356" t="s">
        <v>1158</v>
      </c>
      <c r="I415" s="1356" t="s">
        <v>1159</v>
      </c>
      <c r="J415" s="1356" t="s">
        <v>1160</v>
      </c>
      <c r="K415" s="1356" t="s">
        <v>1161</v>
      </c>
      <c r="L415" s="1356" t="s">
        <v>1162</v>
      </c>
      <c r="M415" s="1356" t="s">
        <v>1163</v>
      </c>
      <c r="N415" s="1356" t="s">
        <v>1164</v>
      </c>
      <c r="O415" s="1356" t="s">
        <v>1165</v>
      </c>
      <c r="P415" s="1356" t="s">
        <v>1166</v>
      </c>
      <c r="Q415" s="1356" t="s">
        <v>1167</v>
      </c>
      <c r="R415" s="1356" t="s">
        <v>1168</v>
      </c>
      <c r="S415" s="1356" t="s">
        <v>1169</v>
      </c>
      <c r="T415" s="1356" t="s">
        <v>1170</v>
      </c>
      <c r="U415" s="1356" t="s">
        <v>1171</v>
      </c>
      <c r="V415" s="1356" t="s">
        <v>1172</v>
      </c>
      <c r="W415" s="1356" t="s">
        <v>1173</v>
      </c>
      <c r="X415" s="1356" t="s">
        <v>1174</v>
      </c>
      <c r="Y415" s="1356" t="s">
        <v>1175</v>
      </c>
      <c r="Z415" s="1356" t="s">
        <v>1176</v>
      </c>
      <c r="AA415" s="1356" t="s">
        <v>1184</v>
      </c>
      <c r="AB415" s="1356" t="s">
        <v>1185</v>
      </c>
      <c r="AE415" s="2140"/>
    </row>
    <row r="416" spans="2:31" s="395" customFormat="1" x14ac:dyDescent="0.25">
      <c r="B416" s="1490" t="s">
        <v>1179</v>
      </c>
      <c r="C416" s="1269">
        <v>0.15</v>
      </c>
      <c r="D416" s="1269">
        <v>0.15</v>
      </c>
      <c r="E416" s="1269">
        <v>0.15</v>
      </c>
      <c r="F416" s="1269">
        <v>0.15</v>
      </c>
      <c r="G416" s="1269">
        <v>0.15</v>
      </c>
      <c r="H416" s="1269">
        <v>0.2</v>
      </c>
      <c r="I416" s="1269">
        <v>0.4</v>
      </c>
      <c r="J416" s="1269">
        <v>0.4</v>
      </c>
      <c r="K416" s="1269">
        <v>0.6</v>
      </c>
      <c r="L416" s="1269">
        <v>0.6</v>
      </c>
      <c r="M416" s="1269">
        <v>0.85</v>
      </c>
      <c r="N416" s="1269">
        <v>0.85</v>
      </c>
      <c r="O416" s="1269">
        <v>0.85</v>
      </c>
      <c r="P416" s="1269">
        <v>0.85</v>
      </c>
      <c r="Q416" s="1269">
        <v>0.85</v>
      </c>
      <c r="R416" s="1269">
        <v>0.85</v>
      </c>
      <c r="S416" s="1269">
        <v>0.85</v>
      </c>
      <c r="T416" s="1269">
        <v>0.85</v>
      </c>
      <c r="U416" s="1269">
        <v>0.85</v>
      </c>
      <c r="V416" s="1269">
        <v>0.85</v>
      </c>
      <c r="W416" s="1269">
        <v>0.85</v>
      </c>
      <c r="X416" s="1269">
        <v>0.85</v>
      </c>
      <c r="Y416" s="1269">
        <v>0.45</v>
      </c>
      <c r="Z416" s="1269">
        <v>0.3</v>
      </c>
      <c r="AA416" s="1263">
        <f>SUM(C416:Z416)</f>
        <v>13.899999999999997</v>
      </c>
      <c r="AB416" s="1264">
        <f>AA416*SUM($C$9:$C$13)</f>
        <v>3474.9999999999991</v>
      </c>
      <c r="AE416" s="2140"/>
    </row>
    <row r="417" spans="2:31" s="395" customFormat="1" x14ac:dyDescent="0.25">
      <c r="B417" s="1490" t="s">
        <v>1149</v>
      </c>
      <c r="C417" s="1269">
        <v>0.2</v>
      </c>
      <c r="D417" s="1269">
        <v>0.15</v>
      </c>
      <c r="E417" s="1269">
        <v>0.15</v>
      </c>
      <c r="F417" s="1269">
        <v>0.15</v>
      </c>
      <c r="G417" s="1269">
        <v>0.15</v>
      </c>
      <c r="H417" s="1269">
        <v>0.15</v>
      </c>
      <c r="I417" s="1269">
        <v>0.3</v>
      </c>
      <c r="J417" s="1269">
        <v>0.3</v>
      </c>
      <c r="K417" s="1269">
        <v>0.55000000000000004</v>
      </c>
      <c r="L417" s="1269">
        <v>0.55000000000000004</v>
      </c>
      <c r="M417" s="1269">
        <v>0.75</v>
      </c>
      <c r="N417" s="1269">
        <v>0.75</v>
      </c>
      <c r="O417" s="1269">
        <v>0.75</v>
      </c>
      <c r="P417" s="1269">
        <v>0.75</v>
      </c>
      <c r="Q417" s="1269">
        <v>0.75</v>
      </c>
      <c r="R417" s="1269">
        <v>0.75</v>
      </c>
      <c r="S417" s="1269">
        <v>0.75</v>
      </c>
      <c r="T417" s="1269">
        <v>0.85</v>
      </c>
      <c r="U417" s="1269">
        <v>0.85</v>
      </c>
      <c r="V417" s="1269">
        <v>0.85</v>
      </c>
      <c r="W417" s="1269">
        <v>0.85</v>
      </c>
      <c r="X417" s="1269">
        <v>0.85</v>
      </c>
      <c r="Y417" s="1269">
        <v>0.45</v>
      </c>
      <c r="Z417" s="1269">
        <v>0.3</v>
      </c>
      <c r="AA417" s="1263">
        <f>SUM(C417:Z417)</f>
        <v>12.899999999999999</v>
      </c>
      <c r="AB417" s="1264">
        <f>AA417*SUM($C$14)</f>
        <v>670.8</v>
      </c>
      <c r="AE417" s="2140"/>
    </row>
    <row r="418" spans="2:31" s="395" customFormat="1" x14ac:dyDescent="0.25">
      <c r="B418" s="1490" t="s">
        <v>1150</v>
      </c>
      <c r="C418" s="1269">
        <v>0.2</v>
      </c>
      <c r="D418" s="1269">
        <v>0.15</v>
      </c>
      <c r="E418" s="1269">
        <v>0.15</v>
      </c>
      <c r="F418" s="1269">
        <v>0.15</v>
      </c>
      <c r="G418" s="1269">
        <v>0.15</v>
      </c>
      <c r="H418" s="1269">
        <v>0.15</v>
      </c>
      <c r="I418" s="1269">
        <v>0.3</v>
      </c>
      <c r="J418" s="1269">
        <v>0.3</v>
      </c>
      <c r="K418" s="1269">
        <v>0.45</v>
      </c>
      <c r="L418" s="1269">
        <v>0.45</v>
      </c>
      <c r="M418" s="1269">
        <v>0.65</v>
      </c>
      <c r="N418" s="1269">
        <v>0.65</v>
      </c>
      <c r="O418" s="1269">
        <v>0.65</v>
      </c>
      <c r="P418" s="1269">
        <v>0.65</v>
      </c>
      <c r="Q418" s="1269">
        <v>0.65</v>
      </c>
      <c r="R418" s="1269">
        <v>0.65</v>
      </c>
      <c r="S418" s="1269">
        <v>0.55000000000000004</v>
      </c>
      <c r="T418" s="1269">
        <v>0.55000000000000004</v>
      </c>
      <c r="U418" s="1269">
        <v>0.55000000000000004</v>
      </c>
      <c r="V418" s="1269">
        <v>0.55000000000000004</v>
      </c>
      <c r="W418" s="1269">
        <v>0.55000000000000004</v>
      </c>
      <c r="X418" s="1269">
        <v>0.55000000000000004</v>
      </c>
      <c r="Y418" s="1269">
        <v>0.45</v>
      </c>
      <c r="Z418" s="1269">
        <v>0.3</v>
      </c>
      <c r="AA418" s="1263">
        <f>SUM(C418:Z418)</f>
        <v>10.400000000000004</v>
      </c>
      <c r="AB418" s="1264">
        <f>AA418*$C$15</f>
        <v>540.80000000000018</v>
      </c>
      <c r="AE418" s="2140"/>
    </row>
    <row r="419" spans="2:31" s="395" customFormat="1" x14ac:dyDescent="0.25">
      <c r="B419" s="1490" t="s">
        <v>1181</v>
      </c>
      <c r="C419" s="1269">
        <v>0.2</v>
      </c>
      <c r="D419" s="1269">
        <v>0.15</v>
      </c>
      <c r="E419" s="1269">
        <v>0.15</v>
      </c>
      <c r="F419" s="1269">
        <v>0.15</v>
      </c>
      <c r="G419" s="1269">
        <v>0.15</v>
      </c>
      <c r="H419" s="1269">
        <v>0.15</v>
      </c>
      <c r="I419" s="1269">
        <v>0.3</v>
      </c>
      <c r="J419" s="1269">
        <v>0.3</v>
      </c>
      <c r="K419" s="1269">
        <v>0.45</v>
      </c>
      <c r="L419" s="1269">
        <v>0.45</v>
      </c>
      <c r="M419" s="1269">
        <v>0.65</v>
      </c>
      <c r="N419" s="1269">
        <v>0.65</v>
      </c>
      <c r="O419" s="1269">
        <v>0.65</v>
      </c>
      <c r="P419" s="1269">
        <v>0.65</v>
      </c>
      <c r="Q419" s="1269">
        <v>0.65</v>
      </c>
      <c r="R419" s="1269">
        <v>0.65</v>
      </c>
      <c r="S419" s="1269">
        <v>0.55000000000000004</v>
      </c>
      <c r="T419" s="1269">
        <v>0.55000000000000004</v>
      </c>
      <c r="U419" s="1269">
        <v>0.55000000000000004</v>
      </c>
      <c r="V419" s="1269">
        <v>0.55000000000000004</v>
      </c>
      <c r="W419" s="1269">
        <v>0.55000000000000004</v>
      </c>
      <c r="X419" s="1269">
        <v>0.55000000000000004</v>
      </c>
      <c r="Y419" s="1269">
        <v>0.45</v>
      </c>
      <c r="Z419" s="1269">
        <v>0.3</v>
      </c>
      <c r="AA419" s="1263">
        <f>SUM(C419:Z419)</f>
        <v>10.400000000000004</v>
      </c>
      <c r="AB419" s="1264">
        <f>AA419*SUM($C$8)</f>
        <v>114.40000000000005</v>
      </c>
      <c r="AE419" s="2140"/>
    </row>
    <row r="420" spans="2:31" s="395" customFormat="1" x14ac:dyDescent="0.25">
      <c r="B420" s="3368" t="s">
        <v>1186</v>
      </c>
      <c r="C420" s="3368"/>
      <c r="D420" s="3368"/>
      <c r="E420" s="3368"/>
      <c r="F420" s="3368"/>
      <c r="G420" s="3368"/>
      <c r="H420" s="3368"/>
      <c r="I420" s="3368"/>
      <c r="J420" s="3368"/>
      <c r="K420" s="3368"/>
      <c r="L420" s="3368"/>
      <c r="M420" s="3368"/>
      <c r="N420" s="3368"/>
      <c r="O420" s="3368"/>
      <c r="P420" s="3368"/>
      <c r="Q420" s="3368"/>
      <c r="R420" s="3368"/>
      <c r="S420" s="3368"/>
      <c r="T420" s="3368"/>
      <c r="U420" s="3368"/>
      <c r="V420" s="3368"/>
      <c r="W420" s="3368"/>
      <c r="X420" s="3368"/>
      <c r="Y420" s="3368"/>
      <c r="Z420" s="3368"/>
      <c r="AA420" s="3368"/>
      <c r="AB420" s="1264">
        <f>SUM(AB416:AB419)</f>
        <v>4800.9999999999991</v>
      </c>
      <c r="AE420" s="2140"/>
    </row>
    <row r="421" spans="2:31" s="395" customFormat="1" x14ac:dyDescent="0.25">
      <c r="B421" s="661"/>
      <c r="C421" s="661"/>
      <c r="D421" s="661"/>
      <c r="E421" s="661"/>
      <c r="F421" s="661"/>
      <c r="G421" s="661"/>
      <c r="H421" s="661"/>
      <c r="I421" s="661"/>
      <c r="J421" s="661"/>
      <c r="K421" s="661"/>
      <c r="L421" s="661"/>
      <c r="M421" s="661"/>
      <c r="N421" s="661"/>
      <c r="O421" s="661"/>
      <c r="P421" s="661"/>
      <c r="Q421" s="661"/>
      <c r="R421" s="661"/>
      <c r="S421" s="661"/>
      <c r="T421" s="661"/>
      <c r="U421" s="661"/>
      <c r="V421" s="661"/>
      <c r="W421" s="661"/>
      <c r="X421" s="661"/>
      <c r="Y421" s="661"/>
      <c r="Z421" s="661"/>
      <c r="AA421" s="661"/>
      <c r="AB421" s="661"/>
      <c r="AE421" s="2140"/>
    </row>
    <row r="422" spans="2:31" s="395" customFormat="1" ht="15" customHeight="1" x14ac:dyDescent="0.25">
      <c r="B422" s="661" t="s">
        <v>1152</v>
      </c>
      <c r="C422" s="3367" t="s">
        <v>1356</v>
      </c>
      <c r="D422" s="3367"/>
      <c r="E422" s="3367"/>
      <c r="F422" s="3367"/>
      <c r="G422" s="3367"/>
      <c r="H422" s="3367"/>
      <c r="I422" s="3367"/>
      <c r="J422" s="3367"/>
      <c r="K422" s="3367"/>
      <c r="L422" s="3367"/>
      <c r="M422" s="3367"/>
      <c r="N422" s="3367"/>
      <c r="O422" s="3367"/>
      <c r="P422" s="3367"/>
      <c r="Q422" s="3367"/>
      <c r="R422" s="3367"/>
      <c r="S422" s="3367"/>
      <c r="T422" s="3367"/>
      <c r="U422" s="3367"/>
      <c r="V422" s="3367"/>
      <c r="W422" s="3367"/>
      <c r="X422" s="3367"/>
      <c r="Y422" s="3367"/>
      <c r="Z422" s="3367"/>
      <c r="AA422" s="3367"/>
      <c r="AB422" s="3367"/>
      <c r="AE422" s="2140"/>
    </row>
    <row r="423" spans="2:31" s="395" customFormat="1" x14ac:dyDescent="0.25">
      <c r="B423" s="661"/>
      <c r="C423" s="661"/>
      <c r="D423" s="661"/>
      <c r="E423" s="661"/>
      <c r="F423" s="661"/>
      <c r="G423" s="661"/>
      <c r="H423" s="661"/>
      <c r="I423" s="661"/>
      <c r="J423" s="661"/>
      <c r="K423" s="661"/>
      <c r="L423" s="661"/>
      <c r="M423" s="661"/>
      <c r="N423" s="661"/>
      <c r="O423" s="661"/>
      <c r="P423" s="661"/>
      <c r="Q423" s="661"/>
      <c r="R423" s="661"/>
      <c r="S423" s="661"/>
      <c r="T423" s="661"/>
      <c r="U423" s="661"/>
      <c r="V423" s="661"/>
      <c r="W423" s="661"/>
      <c r="X423" s="661"/>
      <c r="Y423" s="661"/>
      <c r="Z423" s="661"/>
      <c r="AA423" s="661"/>
      <c r="AB423" s="661"/>
      <c r="AE423" s="2140"/>
    </row>
    <row r="424" spans="2:31" s="1608" customFormat="1" ht="21" customHeight="1" x14ac:dyDescent="0.25">
      <c r="B424" s="1356"/>
      <c r="C424" s="1357" t="s">
        <v>1153</v>
      </c>
      <c r="D424" s="1356" t="s">
        <v>1154</v>
      </c>
      <c r="E424" s="1356" t="s">
        <v>1155</v>
      </c>
      <c r="F424" s="1356" t="s">
        <v>1156</v>
      </c>
      <c r="G424" s="1356" t="s">
        <v>1157</v>
      </c>
      <c r="H424" s="1356" t="s">
        <v>1158</v>
      </c>
      <c r="I424" s="1356" t="s">
        <v>1159</v>
      </c>
      <c r="J424" s="1356" t="s">
        <v>1160</v>
      </c>
      <c r="K424" s="1356" t="s">
        <v>1161</v>
      </c>
      <c r="L424" s="1356" t="s">
        <v>1162</v>
      </c>
      <c r="M424" s="1356" t="s">
        <v>1163</v>
      </c>
      <c r="N424" s="1356" t="s">
        <v>1164</v>
      </c>
      <c r="O424" s="1356" t="s">
        <v>1165</v>
      </c>
      <c r="P424" s="1356" t="s">
        <v>1166</v>
      </c>
      <c r="Q424" s="1356" t="s">
        <v>1167</v>
      </c>
      <c r="R424" s="1356" t="s">
        <v>1168</v>
      </c>
      <c r="S424" s="1356" t="s">
        <v>1169</v>
      </c>
      <c r="T424" s="1356" t="s">
        <v>1170</v>
      </c>
      <c r="U424" s="1356" t="s">
        <v>1171</v>
      </c>
      <c r="V424" s="1356" t="s">
        <v>1172</v>
      </c>
      <c r="W424" s="1356" t="s">
        <v>1173</v>
      </c>
      <c r="X424" s="1356" t="s">
        <v>1174</v>
      </c>
      <c r="Y424" s="1356" t="s">
        <v>1175</v>
      </c>
      <c r="Z424" s="1356" t="s">
        <v>1176</v>
      </c>
      <c r="AA424" s="1356" t="s">
        <v>1184</v>
      </c>
      <c r="AB424" s="1356" t="s">
        <v>1185</v>
      </c>
      <c r="AE424" s="2140"/>
    </row>
    <row r="425" spans="2:31" s="395" customFormat="1" x14ac:dyDescent="0.25">
      <c r="B425" s="1490" t="s">
        <v>1179</v>
      </c>
      <c r="C425" s="1269">
        <v>0.2</v>
      </c>
      <c r="D425" s="1269">
        <v>0.15</v>
      </c>
      <c r="E425" s="1269">
        <v>0.15</v>
      </c>
      <c r="F425" s="1269">
        <v>0</v>
      </c>
      <c r="G425" s="1269">
        <v>0</v>
      </c>
      <c r="H425" s="1269">
        <v>0</v>
      </c>
      <c r="I425" s="1269">
        <v>0</v>
      </c>
      <c r="J425" s="1269">
        <v>0.6</v>
      </c>
      <c r="K425" s="1269">
        <v>0.55000000000000004</v>
      </c>
      <c r="L425" s="1269">
        <v>0.45</v>
      </c>
      <c r="M425" s="1269">
        <v>0.4</v>
      </c>
      <c r="N425" s="1269">
        <v>0.45</v>
      </c>
      <c r="O425" s="1269">
        <v>0.4</v>
      </c>
      <c r="P425" s="1269">
        <v>0.35</v>
      </c>
      <c r="Q425" s="1269">
        <v>0.3</v>
      </c>
      <c r="R425" s="1269">
        <v>0.3</v>
      </c>
      <c r="S425" s="1269">
        <v>0.3</v>
      </c>
      <c r="T425" s="1269">
        <v>0.4</v>
      </c>
      <c r="U425" s="1269">
        <v>0.55000000000000004</v>
      </c>
      <c r="V425" s="1269">
        <v>0.6</v>
      </c>
      <c r="W425" s="1269">
        <v>0.5</v>
      </c>
      <c r="X425" s="1269">
        <v>0.55000000000000004</v>
      </c>
      <c r="Y425" s="1269">
        <v>0.45</v>
      </c>
      <c r="Z425" s="1269">
        <v>0.25</v>
      </c>
      <c r="AA425" s="1263">
        <f>SUM(C425:Z425)</f>
        <v>7.8999999999999995</v>
      </c>
      <c r="AB425" s="1264">
        <f>AA425*SUM($C$9:$C$13)</f>
        <v>1974.9999999999998</v>
      </c>
      <c r="AE425" s="2140"/>
    </row>
    <row r="426" spans="2:31" s="395" customFormat="1" x14ac:dyDescent="0.25">
      <c r="B426" s="1490" t="s">
        <v>1149</v>
      </c>
      <c r="C426" s="1269">
        <v>0.2</v>
      </c>
      <c r="D426" s="1269">
        <v>0.15</v>
      </c>
      <c r="E426" s="1269">
        <v>0.15</v>
      </c>
      <c r="F426" s="1269">
        <v>0</v>
      </c>
      <c r="G426" s="1269">
        <v>0</v>
      </c>
      <c r="H426" s="1269">
        <v>0</v>
      </c>
      <c r="I426" s="1269">
        <v>0</v>
      </c>
      <c r="J426" s="1269">
        <v>0</v>
      </c>
      <c r="K426" s="1269">
        <v>0</v>
      </c>
      <c r="L426" s="1269">
        <v>0.5</v>
      </c>
      <c r="M426" s="1269">
        <v>0.45</v>
      </c>
      <c r="N426" s="1269">
        <v>0.5</v>
      </c>
      <c r="O426" s="1269">
        <v>0.5</v>
      </c>
      <c r="P426" s="1269">
        <v>0.45</v>
      </c>
      <c r="Q426" s="1269">
        <v>0.4</v>
      </c>
      <c r="R426" s="1269">
        <v>0.4</v>
      </c>
      <c r="S426" s="1269">
        <v>0.35</v>
      </c>
      <c r="T426" s="1269">
        <v>0.4</v>
      </c>
      <c r="U426" s="1269">
        <v>0.55000000000000004</v>
      </c>
      <c r="V426" s="1269">
        <v>0.55000000000000004</v>
      </c>
      <c r="W426" s="1269">
        <v>0.5</v>
      </c>
      <c r="X426" s="1269">
        <v>0.55000000000000004</v>
      </c>
      <c r="Y426" s="1269">
        <v>0.4</v>
      </c>
      <c r="Z426" s="1269">
        <v>0.3</v>
      </c>
      <c r="AA426" s="1263">
        <f>SUM(C426:Z426)</f>
        <v>7.3</v>
      </c>
      <c r="AB426" s="1264">
        <f>AA426*SUM($C$14)</f>
        <v>379.59999999999997</v>
      </c>
      <c r="AE426" s="2140"/>
    </row>
    <row r="427" spans="2:31" s="395" customFormat="1" x14ac:dyDescent="0.25">
      <c r="B427" s="1490" t="s">
        <v>1150</v>
      </c>
      <c r="C427" s="1269">
        <v>0.25</v>
      </c>
      <c r="D427" s="1269">
        <v>0.2</v>
      </c>
      <c r="E427" s="1269">
        <v>0.2</v>
      </c>
      <c r="F427" s="1269">
        <v>0</v>
      </c>
      <c r="G427" s="1269">
        <v>0</v>
      </c>
      <c r="H427" s="1269">
        <v>0</v>
      </c>
      <c r="I427" s="1269">
        <v>0</v>
      </c>
      <c r="J427" s="1269">
        <v>0</v>
      </c>
      <c r="K427" s="1269">
        <v>0</v>
      </c>
      <c r="L427" s="1269">
        <v>0</v>
      </c>
      <c r="M427" s="1269">
        <v>0.5</v>
      </c>
      <c r="N427" s="1269">
        <v>0.5</v>
      </c>
      <c r="O427" s="1269">
        <v>0.4</v>
      </c>
      <c r="P427" s="1269">
        <v>0.4</v>
      </c>
      <c r="Q427" s="1269">
        <v>0.3</v>
      </c>
      <c r="R427" s="1269">
        <v>0.3</v>
      </c>
      <c r="S427" s="1269">
        <v>0.3</v>
      </c>
      <c r="T427" s="1269">
        <v>0.4</v>
      </c>
      <c r="U427" s="1269">
        <v>0.5</v>
      </c>
      <c r="V427" s="1269">
        <v>0.5</v>
      </c>
      <c r="W427" s="1269">
        <v>0.4</v>
      </c>
      <c r="X427" s="1269">
        <v>0.5</v>
      </c>
      <c r="Y427" s="1269">
        <v>0.4</v>
      </c>
      <c r="Z427" s="1269">
        <v>0.2</v>
      </c>
      <c r="AA427" s="1263">
        <f>SUM(C427:Z427)</f>
        <v>6.25</v>
      </c>
      <c r="AB427" s="1264">
        <f>AA427*$C$15</f>
        <v>325</v>
      </c>
      <c r="AE427" s="2140"/>
    </row>
    <row r="428" spans="2:31" s="395" customFormat="1" x14ac:dyDescent="0.25">
      <c r="B428" s="1490" t="s">
        <v>1181</v>
      </c>
      <c r="C428" s="1269">
        <v>0.25</v>
      </c>
      <c r="D428" s="1269">
        <v>0.2</v>
      </c>
      <c r="E428" s="1269">
        <v>0.2</v>
      </c>
      <c r="F428" s="1269">
        <v>0</v>
      </c>
      <c r="G428" s="1269">
        <v>0</v>
      </c>
      <c r="H428" s="1269">
        <v>0</v>
      </c>
      <c r="I428" s="1269">
        <v>0</v>
      </c>
      <c r="J428" s="1269">
        <v>0</v>
      </c>
      <c r="K428" s="1269">
        <v>0</v>
      </c>
      <c r="L428" s="1269">
        <v>0</v>
      </c>
      <c r="M428" s="1269">
        <v>0.5</v>
      </c>
      <c r="N428" s="1269">
        <v>0.5</v>
      </c>
      <c r="O428" s="1269">
        <v>0.4</v>
      </c>
      <c r="P428" s="1269">
        <v>0.4</v>
      </c>
      <c r="Q428" s="1269">
        <v>0.3</v>
      </c>
      <c r="R428" s="1269">
        <v>0.3</v>
      </c>
      <c r="S428" s="1269">
        <v>0.3</v>
      </c>
      <c r="T428" s="1269">
        <v>0.4</v>
      </c>
      <c r="U428" s="1269">
        <v>0.5</v>
      </c>
      <c r="V428" s="1269">
        <v>0.5</v>
      </c>
      <c r="W428" s="1269">
        <v>0.4</v>
      </c>
      <c r="X428" s="1269">
        <v>0.5</v>
      </c>
      <c r="Y428" s="1269">
        <v>0.4</v>
      </c>
      <c r="Z428" s="1269">
        <v>0.2</v>
      </c>
      <c r="AA428" s="1263">
        <f>SUM(C428:Z428)</f>
        <v>6.25</v>
      </c>
      <c r="AB428" s="1264">
        <f>AA428*SUM($C$8)</f>
        <v>68.75</v>
      </c>
      <c r="AE428" s="2140"/>
    </row>
    <row r="429" spans="2:31" s="395" customFormat="1" x14ac:dyDescent="0.25">
      <c r="B429" s="3368" t="s">
        <v>1186</v>
      </c>
      <c r="C429" s="3368"/>
      <c r="D429" s="3368"/>
      <c r="E429" s="3368"/>
      <c r="F429" s="3368"/>
      <c r="G429" s="3368"/>
      <c r="H429" s="3368"/>
      <c r="I429" s="3368"/>
      <c r="J429" s="3368"/>
      <c r="K429" s="3368"/>
      <c r="L429" s="3368"/>
      <c r="M429" s="3368"/>
      <c r="N429" s="3368"/>
      <c r="O429" s="3368"/>
      <c r="P429" s="3368"/>
      <c r="Q429" s="3368"/>
      <c r="R429" s="3368"/>
      <c r="S429" s="3368"/>
      <c r="T429" s="3368"/>
      <c r="U429" s="3368"/>
      <c r="V429" s="3368"/>
      <c r="W429" s="3368"/>
      <c r="X429" s="3368"/>
      <c r="Y429" s="3368"/>
      <c r="Z429" s="3368"/>
      <c r="AA429" s="3368"/>
      <c r="AB429" s="1264">
        <f>SUM(AB425:AB428)</f>
        <v>2748.35</v>
      </c>
      <c r="AE429" s="2140"/>
    </row>
    <row r="430" spans="2:31" s="395" customFormat="1" x14ac:dyDescent="0.25">
      <c r="B430" s="661"/>
      <c r="C430" s="661"/>
      <c r="D430" s="661"/>
      <c r="E430" s="661"/>
      <c r="F430" s="661"/>
      <c r="G430" s="661"/>
      <c r="H430" s="661"/>
      <c r="I430" s="661"/>
      <c r="J430" s="661"/>
      <c r="K430" s="661"/>
      <c r="L430" s="661"/>
      <c r="M430" s="661"/>
      <c r="N430" s="661"/>
      <c r="O430" s="661"/>
      <c r="P430" s="661"/>
      <c r="Q430" s="661"/>
      <c r="R430" s="661"/>
      <c r="S430" s="661"/>
      <c r="T430" s="661"/>
      <c r="U430" s="661"/>
      <c r="V430" s="661"/>
      <c r="W430" s="661"/>
      <c r="X430" s="661"/>
      <c r="Y430" s="661"/>
      <c r="Z430" s="661"/>
      <c r="AA430" s="661"/>
      <c r="AB430" s="661"/>
      <c r="AE430" s="2140"/>
    </row>
    <row r="431" spans="2:31" s="395" customFormat="1" x14ac:dyDescent="0.25">
      <c r="B431" s="667" t="s">
        <v>1357</v>
      </c>
      <c r="C431" s="661"/>
      <c r="D431" s="661"/>
      <c r="E431" s="661"/>
      <c r="F431" s="661"/>
      <c r="G431" s="661"/>
      <c r="H431" s="661"/>
      <c r="I431" s="661"/>
      <c r="J431" s="661"/>
      <c r="K431" s="661"/>
      <c r="L431" s="661"/>
      <c r="M431" s="661"/>
      <c r="N431" s="661"/>
      <c r="O431" s="661"/>
      <c r="P431" s="661"/>
      <c r="Q431" s="661"/>
      <c r="R431" s="661"/>
      <c r="S431" s="661"/>
      <c r="T431" s="661"/>
      <c r="U431" s="661"/>
      <c r="V431" s="661"/>
      <c r="W431" s="661"/>
      <c r="X431" s="661"/>
      <c r="Y431" s="661"/>
      <c r="Z431" s="661"/>
      <c r="AA431" s="661"/>
      <c r="AB431" s="661"/>
      <c r="AE431" s="2140"/>
    </row>
    <row r="432" spans="2:31" s="395" customFormat="1" ht="15" x14ac:dyDescent="0.25">
      <c r="B432" s="674"/>
      <c r="C432" s="661"/>
      <c r="D432" s="661"/>
      <c r="E432" s="661"/>
      <c r="F432" s="661"/>
      <c r="G432" s="661"/>
      <c r="H432" s="661"/>
      <c r="I432" s="661"/>
      <c r="J432" s="661"/>
      <c r="K432" s="661"/>
      <c r="L432" s="661"/>
      <c r="M432" s="661"/>
      <c r="N432" s="661"/>
      <c r="O432" s="661"/>
      <c r="P432" s="661"/>
      <c r="Q432" s="661"/>
      <c r="R432" s="661"/>
      <c r="S432" s="661"/>
      <c r="T432" s="661"/>
      <c r="U432" s="661"/>
      <c r="V432" s="661"/>
      <c r="W432" s="661"/>
      <c r="X432" s="661"/>
      <c r="Y432" s="661"/>
      <c r="Z432" s="661"/>
      <c r="AA432" s="661"/>
      <c r="AB432" s="661"/>
      <c r="AE432" s="2140"/>
    </row>
    <row r="433" spans="2:31" s="395" customFormat="1" ht="15" customHeight="1" x14ac:dyDescent="0.25">
      <c r="B433" s="661" t="s">
        <v>1152</v>
      </c>
      <c r="C433" s="3367" t="s">
        <v>1358</v>
      </c>
      <c r="D433" s="3367"/>
      <c r="E433" s="3367"/>
      <c r="F433" s="3367"/>
      <c r="G433" s="3367"/>
      <c r="H433" s="3367"/>
      <c r="I433" s="3367"/>
      <c r="J433" s="3367"/>
      <c r="K433" s="3367"/>
      <c r="L433" s="3367"/>
      <c r="M433" s="3367"/>
      <c r="N433" s="3367"/>
      <c r="O433" s="3367"/>
      <c r="P433" s="3367"/>
      <c r="Q433" s="3367"/>
      <c r="R433" s="3367"/>
      <c r="S433" s="3367"/>
      <c r="T433" s="3367"/>
      <c r="U433" s="3367"/>
      <c r="V433" s="3367"/>
      <c r="W433" s="3367"/>
      <c r="X433" s="3367"/>
      <c r="Y433" s="3367"/>
      <c r="Z433" s="3367"/>
      <c r="AA433" s="3367"/>
      <c r="AB433" s="3367"/>
      <c r="AE433" s="2140"/>
    </row>
    <row r="434" spans="2:31" s="395" customFormat="1" x14ac:dyDescent="0.25">
      <c r="B434" s="661"/>
      <c r="C434" s="661"/>
      <c r="D434" s="661"/>
      <c r="E434" s="661"/>
      <c r="F434" s="661"/>
      <c r="G434" s="661"/>
      <c r="H434" s="661"/>
      <c r="I434" s="661"/>
      <c r="J434" s="661"/>
      <c r="K434" s="661"/>
      <c r="L434" s="661"/>
      <c r="M434" s="661"/>
      <c r="N434" s="661"/>
      <c r="O434" s="661"/>
      <c r="P434" s="661"/>
      <c r="Q434" s="661"/>
      <c r="R434" s="661"/>
      <c r="S434" s="661"/>
      <c r="T434" s="661"/>
      <c r="U434" s="661"/>
      <c r="V434" s="661"/>
      <c r="W434" s="661"/>
      <c r="X434" s="661"/>
      <c r="Y434" s="661"/>
      <c r="Z434" s="661"/>
      <c r="AA434" s="661"/>
      <c r="AB434" s="661"/>
      <c r="AE434" s="2140"/>
    </row>
    <row r="435" spans="2:31" s="1608" customFormat="1" ht="21" customHeight="1" x14ac:dyDescent="0.25">
      <c r="B435" s="1356"/>
      <c r="C435" s="1357" t="s">
        <v>1153</v>
      </c>
      <c r="D435" s="1356" t="s">
        <v>1154</v>
      </c>
      <c r="E435" s="1356" t="s">
        <v>1155</v>
      </c>
      <c r="F435" s="1356" t="s">
        <v>1156</v>
      </c>
      <c r="G435" s="1356" t="s">
        <v>1157</v>
      </c>
      <c r="H435" s="1356" t="s">
        <v>1158</v>
      </c>
      <c r="I435" s="1356" t="s">
        <v>1159</v>
      </c>
      <c r="J435" s="1356" t="s">
        <v>1160</v>
      </c>
      <c r="K435" s="1356" t="s">
        <v>1161</v>
      </c>
      <c r="L435" s="1356" t="s">
        <v>1162</v>
      </c>
      <c r="M435" s="1356" t="s">
        <v>1163</v>
      </c>
      <c r="N435" s="1356" t="s">
        <v>1164</v>
      </c>
      <c r="O435" s="1356" t="s">
        <v>1165</v>
      </c>
      <c r="P435" s="1356" t="s">
        <v>1166</v>
      </c>
      <c r="Q435" s="1356" t="s">
        <v>1167</v>
      </c>
      <c r="R435" s="1356" t="s">
        <v>1168</v>
      </c>
      <c r="S435" s="1356" t="s">
        <v>1169</v>
      </c>
      <c r="T435" s="1356" t="s">
        <v>1170</v>
      </c>
      <c r="U435" s="1356" t="s">
        <v>1171</v>
      </c>
      <c r="V435" s="1356" t="s">
        <v>1172</v>
      </c>
      <c r="W435" s="1356" t="s">
        <v>1173</v>
      </c>
      <c r="X435" s="1356" t="s">
        <v>1174</v>
      </c>
      <c r="Y435" s="1356" t="s">
        <v>1175</v>
      </c>
      <c r="Z435" s="1356" t="s">
        <v>1176</v>
      </c>
      <c r="AA435" s="1356" t="s">
        <v>1177</v>
      </c>
      <c r="AB435" s="1356" t="s">
        <v>1178</v>
      </c>
      <c r="AE435" s="2140"/>
    </row>
    <row r="436" spans="2:31" s="395" customFormat="1" x14ac:dyDescent="0.25">
      <c r="B436" s="1490" t="s">
        <v>1179</v>
      </c>
      <c r="C436" s="1270">
        <v>0</v>
      </c>
      <c r="D436" s="1270">
        <v>0</v>
      </c>
      <c r="E436" s="1270">
        <v>0</v>
      </c>
      <c r="F436" s="1270">
        <v>0</v>
      </c>
      <c r="G436" s="1270">
        <v>0</v>
      </c>
      <c r="H436" s="1270">
        <v>0</v>
      </c>
      <c r="I436" s="1270">
        <v>0</v>
      </c>
      <c r="J436" s="1270">
        <v>1</v>
      </c>
      <c r="K436" s="1270">
        <v>1</v>
      </c>
      <c r="L436" s="1270">
        <v>1</v>
      </c>
      <c r="M436" s="1270">
        <v>1</v>
      </c>
      <c r="N436" s="1270">
        <v>1</v>
      </c>
      <c r="O436" s="1270">
        <v>1</v>
      </c>
      <c r="P436" s="1270">
        <v>1</v>
      </c>
      <c r="Q436" s="1270">
        <v>1</v>
      </c>
      <c r="R436" s="1270">
        <v>1</v>
      </c>
      <c r="S436" s="1270">
        <v>1</v>
      </c>
      <c r="T436" s="1270">
        <v>0</v>
      </c>
      <c r="U436" s="1270">
        <v>0</v>
      </c>
      <c r="V436" s="1270">
        <v>0</v>
      </c>
      <c r="W436" s="1270">
        <v>0</v>
      </c>
      <c r="X436" s="1270">
        <v>0</v>
      </c>
      <c r="Y436" s="1270">
        <v>0</v>
      </c>
      <c r="Z436" s="1270">
        <v>0</v>
      </c>
      <c r="AA436" s="1263">
        <f>SUM(C436:Z436)</f>
        <v>10</v>
      </c>
      <c r="AB436" s="1264">
        <f>AA436*SUM($C$9:$C$13)</f>
        <v>2500</v>
      </c>
      <c r="AE436" s="2140"/>
    </row>
    <row r="437" spans="2:31" s="395" customFormat="1" x14ac:dyDescent="0.25">
      <c r="B437" s="1490" t="s">
        <v>1149</v>
      </c>
      <c r="C437" s="1270">
        <v>0</v>
      </c>
      <c r="D437" s="1270">
        <v>0</v>
      </c>
      <c r="E437" s="1270">
        <v>0</v>
      </c>
      <c r="F437" s="1270">
        <v>0</v>
      </c>
      <c r="G437" s="1270">
        <v>0</v>
      </c>
      <c r="H437" s="1270">
        <v>0</v>
      </c>
      <c r="I437" s="1270">
        <v>0</v>
      </c>
      <c r="J437" s="1270">
        <v>0</v>
      </c>
      <c r="K437" s="1270">
        <v>1</v>
      </c>
      <c r="L437" s="1270">
        <v>1</v>
      </c>
      <c r="M437" s="1270">
        <v>1</v>
      </c>
      <c r="N437" s="1270">
        <v>1</v>
      </c>
      <c r="O437" s="1270">
        <v>1</v>
      </c>
      <c r="P437" s="1270">
        <v>1</v>
      </c>
      <c r="Q437" s="1270">
        <v>1</v>
      </c>
      <c r="R437" s="1270">
        <v>1</v>
      </c>
      <c r="S437" s="1270">
        <v>0</v>
      </c>
      <c r="T437" s="1270">
        <v>0</v>
      </c>
      <c r="U437" s="1270">
        <v>0</v>
      </c>
      <c r="V437" s="1270">
        <v>0</v>
      </c>
      <c r="W437" s="1270">
        <v>0</v>
      </c>
      <c r="X437" s="1270">
        <v>0</v>
      </c>
      <c r="Y437" s="1270">
        <v>0</v>
      </c>
      <c r="Z437" s="1270">
        <v>0</v>
      </c>
      <c r="AA437" s="1263">
        <f>SUM(C437:Z437)</f>
        <v>8</v>
      </c>
      <c r="AB437" s="1264">
        <f>AA437*SUM($C$14)</f>
        <v>416</v>
      </c>
      <c r="AE437" s="2140"/>
    </row>
    <row r="438" spans="2:31" s="395" customFormat="1" x14ac:dyDescent="0.25">
      <c r="B438" s="1490" t="s">
        <v>1150</v>
      </c>
      <c r="C438" s="1270">
        <v>0</v>
      </c>
      <c r="D438" s="1270">
        <v>0</v>
      </c>
      <c r="E438" s="1270">
        <v>0</v>
      </c>
      <c r="F438" s="1270">
        <v>0</v>
      </c>
      <c r="G438" s="1270">
        <v>0</v>
      </c>
      <c r="H438" s="1270">
        <v>0</v>
      </c>
      <c r="I438" s="1270">
        <v>0</v>
      </c>
      <c r="J438" s="1270">
        <v>0</v>
      </c>
      <c r="K438" s="1270">
        <v>0</v>
      </c>
      <c r="L438" s="1270">
        <v>0</v>
      </c>
      <c r="M438" s="1270">
        <v>0</v>
      </c>
      <c r="N438" s="1270">
        <v>0</v>
      </c>
      <c r="O438" s="1270">
        <v>0</v>
      </c>
      <c r="P438" s="1270">
        <v>0</v>
      </c>
      <c r="Q438" s="1270">
        <v>0</v>
      </c>
      <c r="R438" s="1270">
        <v>0</v>
      </c>
      <c r="S438" s="1270">
        <v>0</v>
      </c>
      <c r="T438" s="1270">
        <v>0</v>
      </c>
      <c r="U438" s="1270">
        <v>0</v>
      </c>
      <c r="V438" s="1270">
        <v>0</v>
      </c>
      <c r="W438" s="1270">
        <v>0</v>
      </c>
      <c r="X438" s="1270">
        <v>0</v>
      </c>
      <c r="Y438" s="1270">
        <v>0</v>
      </c>
      <c r="Z438" s="1270">
        <v>0</v>
      </c>
      <c r="AA438" s="1263">
        <f>SUM(C438:Z438)</f>
        <v>0</v>
      </c>
      <c r="AB438" s="1264">
        <f>AA438*$C$15</f>
        <v>0</v>
      </c>
      <c r="AE438" s="2140"/>
    </row>
    <row r="439" spans="2:31" s="395" customFormat="1" x14ac:dyDescent="0.25">
      <c r="B439" s="1490" t="s">
        <v>1181</v>
      </c>
      <c r="C439" s="1270">
        <v>0</v>
      </c>
      <c r="D439" s="1270">
        <v>0</v>
      </c>
      <c r="E439" s="1270">
        <v>0</v>
      </c>
      <c r="F439" s="1270">
        <v>0</v>
      </c>
      <c r="G439" s="1270">
        <v>0</v>
      </c>
      <c r="H439" s="1270">
        <v>0</v>
      </c>
      <c r="I439" s="1270">
        <v>0</v>
      </c>
      <c r="J439" s="1270">
        <v>0</v>
      </c>
      <c r="K439" s="1270">
        <v>0</v>
      </c>
      <c r="L439" s="1270">
        <v>0</v>
      </c>
      <c r="M439" s="1270">
        <v>0</v>
      </c>
      <c r="N439" s="1270">
        <v>0</v>
      </c>
      <c r="O439" s="1270">
        <v>0</v>
      </c>
      <c r="P439" s="1270">
        <v>0</v>
      </c>
      <c r="Q439" s="1270">
        <v>0</v>
      </c>
      <c r="R439" s="1270">
        <v>0</v>
      </c>
      <c r="S439" s="1270">
        <v>0</v>
      </c>
      <c r="T439" s="1270">
        <v>0</v>
      </c>
      <c r="U439" s="1270">
        <v>0</v>
      </c>
      <c r="V439" s="1270">
        <v>0</v>
      </c>
      <c r="W439" s="1270">
        <v>0</v>
      </c>
      <c r="X439" s="1270">
        <v>0</v>
      </c>
      <c r="Y439" s="1270">
        <v>0</v>
      </c>
      <c r="Z439" s="1270">
        <v>0</v>
      </c>
      <c r="AA439" s="1263">
        <f>SUM(C439:Z439)</f>
        <v>0</v>
      </c>
      <c r="AB439" s="1264">
        <f>AA439*SUM($C$8)</f>
        <v>0</v>
      </c>
      <c r="AE439" s="2140"/>
    </row>
    <row r="440" spans="2:31" s="395" customFormat="1" x14ac:dyDescent="0.25">
      <c r="B440" s="3368" t="s">
        <v>1182</v>
      </c>
      <c r="C440" s="3368"/>
      <c r="D440" s="3368"/>
      <c r="E440" s="3368"/>
      <c r="F440" s="3368"/>
      <c r="G440" s="3368"/>
      <c r="H440" s="3368"/>
      <c r="I440" s="3368"/>
      <c r="J440" s="3368"/>
      <c r="K440" s="3368"/>
      <c r="L440" s="3368"/>
      <c r="M440" s="3368"/>
      <c r="N440" s="3368"/>
      <c r="O440" s="3368"/>
      <c r="P440" s="3368"/>
      <c r="Q440" s="3368"/>
      <c r="R440" s="3368"/>
      <c r="S440" s="3368"/>
      <c r="T440" s="3368"/>
      <c r="U440" s="3368"/>
      <c r="V440" s="3368"/>
      <c r="W440" s="3368"/>
      <c r="X440" s="3368"/>
      <c r="Y440" s="3368"/>
      <c r="Z440" s="3368"/>
      <c r="AA440" s="3368"/>
      <c r="AB440" s="1264">
        <f>SUM(AB436:AB439)</f>
        <v>2916</v>
      </c>
      <c r="AE440" s="2140"/>
    </row>
    <row r="441" spans="2:31" s="395" customFormat="1" x14ac:dyDescent="0.25">
      <c r="B441" s="661"/>
      <c r="C441" s="661"/>
      <c r="D441" s="661"/>
      <c r="E441" s="661"/>
      <c r="F441" s="661"/>
      <c r="G441" s="661"/>
      <c r="H441" s="661"/>
      <c r="I441" s="661"/>
      <c r="J441" s="661"/>
      <c r="K441" s="661"/>
      <c r="L441" s="661"/>
      <c r="M441" s="661"/>
      <c r="N441" s="661"/>
      <c r="O441" s="661"/>
      <c r="P441" s="661"/>
      <c r="Q441" s="661"/>
      <c r="R441" s="661"/>
      <c r="S441" s="661"/>
      <c r="T441" s="661"/>
      <c r="U441" s="661"/>
      <c r="V441" s="661"/>
      <c r="W441" s="661"/>
      <c r="X441" s="661"/>
      <c r="Y441" s="661"/>
      <c r="Z441" s="661"/>
      <c r="AA441" s="661"/>
      <c r="AB441" s="661"/>
      <c r="AE441" s="2140"/>
    </row>
    <row r="442" spans="2:31" s="395" customFormat="1" ht="15" customHeight="1" x14ac:dyDescent="0.25">
      <c r="B442" s="661" t="s">
        <v>1152</v>
      </c>
      <c r="C442" s="3367" t="s">
        <v>1359</v>
      </c>
      <c r="D442" s="3367"/>
      <c r="E442" s="3367"/>
      <c r="F442" s="3367"/>
      <c r="G442" s="3367"/>
      <c r="H442" s="3367"/>
      <c r="I442" s="3367"/>
      <c r="J442" s="3367"/>
      <c r="K442" s="3367"/>
      <c r="L442" s="3367"/>
      <c r="M442" s="3367"/>
      <c r="N442" s="3367"/>
      <c r="O442" s="3367"/>
      <c r="P442" s="3367"/>
      <c r="Q442" s="3367"/>
      <c r="R442" s="3367"/>
      <c r="S442" s="3367"/>
      <c r="T442" s="3367"/>
      <c r="U442" s="3367"/>
      <c r="V442" s="3367"/>
      <c r="W442" s="3367"/>
      <c r="X442" s="3367"/>
      <c r="Y442" s="3367"/>
      <c r="Z442" s="3367"/>
      <c r="AA442" s="3367"/>
      <c r="AB442" s="3367"/>
      <c r="AE442" s="2140"/>
    </row>
    <row r="443" spans="2:31" s="395" customFormat="1" x14ac:dyDescent="0.25">
      <c r="B443" s="661"/>
      <c r="C443" s="661"/>
      <c r="D443" s="661"/>
      <c r="E443" s="661"/>
      <c r="F443" s="661"/>
      <c r="G443" s="661"/>
      <c r="H443" s="661"/>
      <c r="I443" s="661"/>
      <c r="J443" s="661"/>
      <c r="K443" s="661"/>
      <c r="L443" s="661"/>
      <c r="M443" s="661"/>
      <c r="N443" s="661"/>
      <c r="O443" s="661"/>
      <c r="P443" s="661"/>
      <c r="Q443" s="661"/>
      <c r="R443" s="661"/>
      <c r="S443" s="661"/>
      <c r="T443" s="661"/>
      <c r="U443" s="661"/>
      <c r="V443" s="661"/>
      <c r="W443" s="661"/>
      <c r="X443" s="661"/>
      <c r="Y443" s="661"/>
      <c r="Z443" s="661"/>
      <c r="AA443" s="661"/>
      <c r="AB443" s="661"/>
      <c r="AE443" s="2140"/>
    </row>
    <row r="444" spans="2:31" s="1608" customFormat="1" ht="21" customHeight="1" x14ac:dyDescent="0.25">
      <c r="B444" s="1356"/>
      <c r="C444" s="1357" t="s">
        <v>1153</v>
      </c>
      <c r="D444" s="1356" t="s">
        <v>1154</v>
      </c>
      <c r="E444" s="1356" t="s">
        <v>1155</v>
      </c>
      <c r="F444" s="1356" t="s">
        <v>1156</v>
      </c>
      <c r="G444" s="1356" t="s">
        <v>1157</v>
      </c>
      <c r="H444" s="1356" t="s">
        <v>1158</v>
      </c>
      <c r="I444" s="1356" t="s">
        <v>1159</v>
      </c>
      <c r="J444" s="1356" t="s">
        <v>1160</v>
      </c>
      <c r="K444" s="1356" t="s">
        <v>1161</v>
      </c>
      <c r="L444" s="1356" t="s">
        <v>1162</v>
      </c>
      <c r="M444" s="1356" t="s">
        <v>1163</v>
      </c>
      <c r="N444" s="1356" t="s">
        <v>1164</v>
      </c>
      <c r="O444" s="1356" t="s">
        <v>1165</v>
      </c>
      <c r="P444" s="1356" t="s">
        <v>1166</v>
      </c>
      <c r="Q444" s="1356" t="s">
        <v>1167</v>
      </c>
      <c r="R444" s="1356" t="s">
        <v>1168</v>
      </c>
      <c r="S444" s="1356" t="s">
        <v>1169</v>
      </c>
      <c r="T444" s="1356" t="s">
        <v>1170</v>
      </c>
      <c r="U444" s="1356" t="s">
        <v>1171</v>
      </c>
      <c r="V444" s="1356" t="s">
        <v>1172</v>
      </c>
      <c r="W444" s="1356" t="s">
        <v>1173</v>
      </c>
      <c r="X444" s="1356" t="s">
        <v>1174</v>
      </c>
      <c r="Y444" s="1356" t="s">
        <v>1175</v>
      </c>
      <c r="Z444" s="1356" t="s">
        <v>1176</v>
      </c>
      <c r="AA444" s="1356" t="s">
        <v>1184</v>
      </c>
      <c r="AB444" s="1356" t="s">
        <v>1185</v>
      </c>
      <c r="AE444" s="2140"/>
    </row>
    <row r="445" spans="2:31" s="395" customFormat="1" x14ac:dyDescent="0.25">
      <c r="B445" s="1490" t="s">
        <v>1179</v>
      </c>
      <c r="C445" s="1269">
        <v>0</v>
      </c>
      <c r="D445" s="1269">
        <v>0</v>
      </c>
      <c r="E445" s="1269">
        <v>0</v>
      </c>
      <c r="F445" s="1269">
        <v>0</v>
      </c>
      <c r="G445" s="1269">
        <v>0</v>
      </c>
      <c r="H445" s="1269">
        <v>0</v>
      </c>
      <c r="I445" s="1269">
        <v>0</v>
      </c>
      <c r="J445" s="1269">
        <v>0.15</v>
      </c>
      <c r="K445" s="1269">
        <v>0.7</v>
      </c>
      <c r="L445" s="1269">
        <v>0.9</v>
      </c>
      <c r="M445" s="1269">
        <v>0.9</v>
      </c>
      <c r="N445" s="1269">
        <v>0.9</v>
      </c>
      <c r="O445" s="1269">
        <v>0.5</v>
      </c>
      <c r="P445" s="1269">
        <v>0.85</v>
      </c>
      <c r="Q445" s="1269">
        <v>0.85</v>
      </c>
      <c r="R445" s="1269">
        <v>0.85</v>
      </c>
      <c r="S445" s="1269">
        <v>0.2</v>
      </c>
      <c r="T445" s="1269">
        <v>0</v>
      </c>
      <c r="U445" s="1269">
        <v>0</v>
      </c>
      <c r="V445" s="1269">
        <v>0</v>
      </c>
      <c r="W445" s="1269">
        <v>0</v>
      </c>
      <c r="X445" s="1269">
        <v>0</v>
      </c>
      <c r="Y445" s="1269">
        <v>0</v>
      </c>
      <c r="Z445" s="1269">
        <v>0</v>
      </c>
      <c r="AA445" s="1263">
        <f>SUM(C445:Z445)</f>
        <v>6.7999999999999989</v>
      </c>
      <c r="AB445" s="1264">
        <f>AA445*SUM($C$9:$C$13)</f>
        <v>1699.9999999999998</v>
      </c>
      <c r="AE445" s="2140"/>
    </row>
    <row r="446" spans="2:31" s="395" customFormat="1" x14ac:dyDescent="0.25">
      <c r="B446" s="1490" t="s">
        <v>1149</v>
      </c>
      <c r="C446" s="1269">
        <v>0</v>
      </c>
      <c r="D446" s="1269">
        <v>0</v>
      </c>
      <c r="E446" s="1269">
        <v>0</v>
      </c>
      <c r="F446" s="1269">
        <v>0</v>
      </c>
      <c r="G446" s="1269">
        <v>0</v>
      </c>
      <c r="H446" s="1269">
        <v>0</v>
      </c>
      <c r="I446" s="1269">
        <v>0</v>
      </c>
      <c r="J446" s="1269">
        <v>0</v>
      </c>
      <c r="K446" s="1269">
        <v>0.2</v>
      </c>
      <c r="L446" s="1269">
        <v>0.2</v>
      </c>
      <c r="M446" s="1269">
        <v>0.2</v>
      </c>
      <c r="N446" s="1269">
        <v>0.2</v>
      </c>
      <c r="O446" s="1269">
        <v>0.1</v>
      </c>
      <c r="P446" s="1269">
        <v>0.1</v>
      </c>
      <c r="Q446" s="1269">
        <v>0.1</v>
      </c>
      <c r="R446" s="1269">
        <v>0.1</v>
      </c>
      <c r="S446" s="1269">
        <v>0</v>
      </c>
      <c r="T446" s="1269">
        <v>0</v>
      </c>
      <c r="U446" s="1269">
        <v>0</v>
      </c>
      <c r="V446" s="1269">
        <v>0</v>
      </c>
      <c r="W446" s="1269">
        <v>0</v>
      </c>
      <c r="X446" s="1269">
        <v>0</v>
      </c>
      <c r="Y446" s="1269">
        <v>0</v>
      </c>
      <c r="Z446" s="1269">
        <v>0</v>
      </c>
      <c r="AA446" s="1263">
        <f>SUM(C446:Z446)</f>
        <v>1.2000000000000002</v>
      </c>
      <c r="AB446" s="1264">
        <f>AA446*SUM($C$14)</f>
        <v>62.400000000000006</v>
      </c>
      <c r="AE446" s="2140"/>
    </row>
    <row r="447" spans="2:31" s="395" customFormat="1" x14ac:dyDescent="0.25">
      <c r="B447" s="1490" t="s">
        <v>1150</v>
      </c>
      <c r="C447" s="1269">
        <v>0</v>
      </c>
      <c r="D447" s="1269">
        <v>0</v>
      </c>
      <c r="E447" s="1269">
        <v>0</v>
      </c>
      <c r="F447" s="1269">
        <v>0</v>
      </c>
      <c r="G447" s="1269">
        <v>0</v>
      </c>
      <c r="H447" s="1269">
        <v>0</v>
      </c>
      <c r="I447" s="1269">
        <v>0</v>
      </c>
      <c r="J447" s="1269">
        <v>0</v>
      </c>
      <c r="K447" s="1269">
        <v>0</v>
      </c>
      <c r="L447" s="1269">
        <v>0</v>
      </c>
      <c r="M447" s="1269">
        <v>0</v>
      </c>
      <c r="N447" s="1269">
        <v>0</v>
      </c>
      <c r="O447" s="1269">
        <v>0</v>
      </c>
      <c r="P447" s="1269">
        <v>0</v>
      </c>
      <c r="Q447" s="1269">
        <v>0</v>
      </c>
      <c r="R447" s="1269">
        <v>0</v>
      </c>
      <c r="S447" s="1269">
        <v>0</v>
      </c>
      <c r="T447" s="1269">
        <v>0</v>
      </c>
      <c r="U447" s="1269">
        <v>0</v>
      </c>
      <c r="V447" s="1269">
        <v>0</v>
      </c>
      <c r="W447" s="1269">
        <v>0</v>
      </c>
      <c r="X447" s="1269">
        <v>0</v>
      </c>
      <c r="Y447" s="1269">
        <v>0</v>
      </c>
      <c r="Z447" s="1269">
        <v>0</v>
      </c>
      <c r="AA447" s="1263">
        <f>SUM(C447:Z447)</f>
        <v>0</v>
      </c>
      <c r="AB447" s="1264">
        <f>AA447*$C$15</f>
        <v>0</v>
      </c>
      <c r="AE447" s="2140"/>
    </row>
    <row r="448" spans="2:31" s="395" customFormat="1" x14ac:dyDescent="0.25">
      <c r="B448" s="1490" t="s">
        <v>1181</v>
      </c>
      <c r="C448" s="1269">
        <v>0</v>
      </c>
      <c r="D448" s="1269">
        <v>0</v>
      </c>
      <c r="E448" s="1269">
        <v>0</v>
      </c>
      <c r="F448" s="1269">
        <v>0</v>
      </c>
      <c r="G448" s="1269">
        <v>0</v>
      </c>
      <c r="H448" s="1269">
        <v>0</v>
      </c>
      <c r="I448" s="1269">
        <v>0</v>
      </c>
      <c r="J448" s="1269">
        <v>0</v>
      </c>
      <c r="K448" s="1269">
        <v>0</v>
      </c>
      <c r="L448" s="1269">
        <v>0</v>
      </c>
      <c r="M448" s="1269">
        <v>0</v>
      </c>
      <c r="N448" s="1269">
        <v>0</v>
      </c>
      <c r="O448" s="1269">
        <v>0</v>
      </c>
      <c r="P448" s="1269">
        <v>0</v>
      </c>
      <c r="Q448" s="1269">
        <v>0</v>
      </c>
      <c r="R448" s="1269">
        <v>0</v>
      </c>
      <c r="S448" s="1269">
        <v>0</v>
      </c>
      <c r="T448" s="1269">
        <v>0</v>
      </c>
      <c r="U448" s="1269">
        <v>0</v>
      </c>
      <c r="V448" s="1269">
        <v>0</v>
      </c>
      <c r="W448" s="1269">
        <v>0</v>
      </c>
      <c r="X448" s="1269">
        <v>0</v>
      </c>
      <c r="Y448" s="1269">
        <v>0</v>
      </c>
      <c r="Z448" s="1269">
        <v>0</v>
      </c>
      <c r="AA448" s="1263">
        <f>SUM(C448:Z448)</f>
        <v>0</v>
      </c>
      <c r="AB448" s="1264">
        <f>AA448*SUM($C$8)</f>
        <v>0</v>
      </c>
      <c r="AE448" s="2140"/>
    </row>
    <row r="449" spans="2:31" s="395" customFormat="1" x14ac:dyDescent="0.25">
      <c r="B449" s="3368" t="s">
        <v>1186</v>
      </c>
      <c r="C449" s="3368"/>
      <c r="D449" s="3368"/>
      <c r="E449" s="3368"/>
      <c r="F449" s="3368"/>
      <c r="G449" s="3368"/>
      <c r="H449" s="3368"/>
      <c r="I449" s="3368"/>
      <c r="J449" s="3368"/>
      <c r="K449" s="3368"/>
      <c r="L449" s="3368"/>
      <c r="M449" s="3368"/>
      <c r="N449" s="3368"/>
      <c r="O449" s="3368"/>
      <c r="P449" s="3368"/>
      <c r="Q449" s="3368"/>
      <c r="R449" s="3368"/>
      <c r="S449" s="3368"/>
      <c r="T449" s="3368"/>
      <c r="U449" s="3368"/>
      <c r="V449" s="3368"/>
      <c r="W449" s="3368"/>
      <c r="X449" s="3368"/>
      <c r="Y449" s="3368"/>
      <c r="Z449" s="3368"/>
      <c r="AA449" s="3368"/>
      <c r="AB449" s="1264">
        <f>SUM(AB445:AB448)</f>
        <v>1762.3999999999999</v>
      </c>
      <c r="AE449" s="2140"/>
    </row>
    <row r="450" spans="2:31" s="395" customFormat="1" x14ac:dyDescent="0.25">
      <c r="B450" s="661"/>
      <c r="C450" s="661"/>
      <c r="D450" s="661"/>
      <c r="E450" s="661"/>
      <c r="F450" s="661"/>
      <c r="G450" s="661"/>
      <c r="H450" s="661"/>
      <c r="I450" s="661"/>
      <c r="J450" s="661"/>
      <c r="K450" s="661"/>
      <c r="L450" s="661"/>
      <c r="M450" s="661"/>
      <c r="N450" s="661"/>
      <c r="O450" s="661"/>
      <c r="P450" s="661"/>
      <c r="Q450" s="661"/>
      <c r="R450" s="661"/>
      <c r="S450" s="661"/>
      <c r="T450" s="661"/>
      <c r="U450" s="661"/>
      <c r="V450" s="661"/>
      <c r="W450" s="661"/>
      <c r="X450" s="661"/>
      <c r="Y450" s="661"/>
      <c r="Z450" s="661"/>
      <c r="AA450" s="661"/>
      <c r="AB450" s="661"/>
      <c r="AE450" s="2140"/>
    </row>
    <row r="451" spans="2:31" s="395" customFormat="1" ht="15" customHeight="1" x14ac:dyDescent="0.25">
      <c r="B451" s="661" t="s">
        <v>1152</v>
      </c>
      <c r="C451" s="3367" t="s">
        <v>1360</v>
      </c>
      <c r="D451" s="3367"/>
      <c r="E451" s="3367"/>
      <c r="F451" s="3367"/>
      <c r="G451" s="3367"/>
      <c r="H451" s="3367"/>
      <c r="I451" s="3367"/>
      <c r="J451" s="3367"/>
      <c r="K451" s="3367"/>
      <c r="L451" s="3367"/>
      <c r="M451" s="3367"/>
      <c r="N451" s="3367"/>
      <c r="O451" s="3367"/>
      <c r="P451" s="3367"/>
      <c r="Q451" s="3367"/>
      <c r="R451" s="3367"/>
      <c r="S451" s="3367"/>
      <c r="T451" s="3367"/>
      <c r="U451" s="3367"/>
      <c r="V451" s="3367"/>
      <c r="W451" s="3367"/>
      <c r="X451" s="3367"/>
      <c r="Y451" s="3367"/>
      <c r="Z451" s="3367"/>
      <c r="AA451" s="3367"/>
      <c r="AB451" s="3367"/>
      <c r="AE451" s="2140"/>
    </row>
    <row r="452" spans="2:31" s="395" customFormat="1" x14ac:dyDescent="0.25">
      <c r="B452" s="661"/>
      <c r="C452" s="661"/>
      <c r="D452" s="661"/>
      <c r="E452" s="661"/>
      <c r="F452" s="661"/>
      <c r="G452" s="661"/>
      <c r="H452" s="661"/>
      <c r="I452" s="661"/>
      <c r="J452" s="661"/>
      <c r="K452" s="661"/>
      <c r="L452" s="661"/>
      <c r="M452" s="661"/>
      <c r="N452" s="661"/>
      <c r="O452" s="661"/>
      <c r="P452" s="661"/>
      <c r="Q452" s="661"/>
      <c r="R452" s="661"/>
      <c r="S452" s="661"/>
      <c r="T452" s="661"/>
      <c r="U452" s="661"/>
      <c r="V452" s="661"/>
      <c r="W452" s="661"/>
      <c r="X452" s="661"/>
      <c r="Y452" s="661"/>
      <c r="Z452" s="661"/>
      <c r="AA452" s="661"/>
      <c r="AB452" s="661"/>
      <c r="AE452" s="2140"/>
    </row>
    <row r="453" spans="2:31" s="1608" customFormat="1" ht="21" customHeight="1" x14ac:dyDescent="0.25">
      <c r="B453" s="1356"/>
      <c r="C453" s="1357" t="s">
        <v>1153</v>
      </c>
      <c r="D453" s="1356" t="s">
        <v>1154</v>
      </c>
      <c r="E453" s="1356" t="s">
        <v>1155</v>
      </c>
      <c r="F453" s="1356" t="s">
        <v>1156</v>
      </c>
      <c r="G453" s="1356" t="s">
        <v>1157</v>
      </c>
      <c r="H453" s="1356" t="s">
        <v>1158</v>
      </c>
      <c r="I453" s="1356" t="s">
        <v>1159</v>
      </c>
      <c r="J453" s="1356" t="s">
        <v>1160</v>
      </c>
      <c r="K453" s="1356" t="s">
        <v>1161</v>
      </c>
      <c r="L453" s="1356" t="s">
        <v>1162</v>
      </c>
      <c r="M453" s="1356" t="s">
        <v>1163</v>
      </c>
      <c r="N453" s="1356" t="s">
        <v>1164</v>
      </c>
      <c r="O453" s="1356" t="s">
        <v>1165</v>
      </c>
      <c r="P453" s="1356" t="s">
        <v>1166</v>
      </c>
      <c r="Q453" s="1356" t="s">
        <v>1167</v>
      </c>
      <c r="R453" s="1356" t="s">
        <v>1168</v>
      </c>
      <c r="S453" s="1356" t="s">
        <v>1169</v>
      </c>
      <c r="T453" s="1356" t="s">
        <v>1170</v>
      </c>
      <c r="U453" s="1356" t="s">
        <v>1171</v>
      </c>
      <c r="V453" s="1356" t="s">
        <v>1172</v>
      </c>
      <c r="W453" s="1356" t="s">
        <v>1173</v>
      </c>
      <c r="X453" s="1356" t="s">
        <v>1174</v>
      </c>
      <c r="Y453" s="1356" t="s">
        <v>1175</v>
      </c>
      <c r="Z453" s="1356" t="s">
        <v>1176</v>
      </c>
      <c r="AA453" s="1356" t="s">
        <v>1184</v>
      </c>
      <c r="AB453" s="1356" t="s">
        <v>1185</v>
      </c>
      <c r="AE453" s="2140"/>
    </row>
    <row r="454" spans="2:31" s="395" customFormat="1" x14ac:dyDescent="0.25">
      <c r="B454" s="1490" t="s">
        <v>1179</v>
      </c>
      <c r="C454" s="1269">
        <v>0.05</v>
      </c>
      <c r="D454" s="1269">
        <v>0.05</v>
      </c>
      <c r="E454" s="1269">
        <v>0.05</v>
      </c>
      <c r="F454" s="1269">
        <v>0.05</v>
      </c>
      <c r="G454" s="1269">
        <v>0.05</v>
      </c>
      <c r="H454" s="1269">
        <v>0.05</v>
      </c>
      <c r="I454" s="1269">
        <v>0.05</v>
      </c>
      <c r="J454" s="1269">
        <v>0.25</v>
      </c>
      <c r="K454" s="1269">
        <v>0.45</v>
      </c>
      <c r="L454" s="1269">
        <v>0.55000000000000004</v>
      </c>
      <c r="M454" s="1269">
        <v>0.55000000000000004</v>
      </c>
      <c r="N454" s="1269">
        <v>0.55000000000000004</v>
      </c>
      <c r="O454" s="1269">
        <v>0.5</v>
      </c>
      <c r="P454" s="1269">
        <v>0.55000000000000004</v>
      </c>
      <c r="Q454" s="1269">
        <v>0.55000000000000004</v>
      </c>
      <c r="R454" s="1269">
        <v>0.55000000000000004</v>
      </c>
      <c r="S454" s="1269">
        <v>0.55000000000000004</v>
      </c>
      <c r="T454" s="1269">
        <v>0.3</v>
      </c>
      <c r="U454" s="1269">
        <v>0.05</v>
      </c>
      <c r="V454" s="1269">
        <v>0.05</v>
      </c>
      <c r="W454" s="1269">
        <v>0.05</v>
      </c>
      <c r="X454" s="1269">
        <v>0.05</v>
      </c>
      <c r="Y454" s="1269">
        <v>0.05</v>
      </c>
      <c r="Z454" s="1269">
        <v>0.05</v>
      </c>
      <c r="AA454" s="1263">
        <f>SUM(C454:Z454)</f>
        <v>5.9999999999999982</v>
      </c>
      <c r="AB454" s="1264">
        <f>AA454*SUM($C$9:$C$13)</f>
        <v>1499.9999999999995</v>
      </c>
      <c r="AE454" s="2140"/>
    </row>
    <row r="455" spans="2:31" s="395" customFormat="1" x14ac:dyDescent="0.25">
      <c r="B455" s="1490" t="s">
        <v>1149</v>
      </c>
      <c r="C455" s="1269">
        <v>0.05</v>
      </c>
      <c r="D455" s="1269">
        <v>0.05</v>
      </c>
      <c r="E455" s="1269">
        <v>0.05</v>
      </c>
      <c r="F455" s="1269">
        <v>0.05</v>
      </c>
      <c r="G455" s="1269">
        <v>0.05</v>
      </c>
      <c r="H455" s="1269">
        <v>0.05</v>
      </c>
      <c r="I455" s="1269">
        <v>0.05</v>
      </c>
      <c r="J455" s="1269">
        <v>0.05</v>
      </c>
      <c r="K455" s="1269">
        <v>0.08</v>
      </c>
      <c r="L455" s="1269">
        <v>0.24</v>
      </c>
      <c r="M455" s="1269">
        <v>0.24</v>
      </c>
      <c r="N455" s="1269">
        <v>0.24</v>
      </c>
      <c r="O455" s="1269">
        <v>0.05</v>
      </c>
      <c r="P455" s="1269">
        <v>0.05</v>
      </c>
      <c r="Q455" s="1269">
        <v>0.05</v>
      </c>
      <c r="R455" s="1269">
        <v>0.05</v>
      </c>
      <c r="S455" s="1269">
        <v>0.05</v>
      </c>
      <c r="T455" s="1269">
        <v>0.05</v>
      </c>
      <c r="U455" s="1269">
        <v>0.05</v>
      </c>
      <c r="V455" s="1269">
        <v>0.05</v>
      </c>
      <c r="W455" s="1269">
        <v>0.05</v>
      </c>
      <c r="X455" s="1269">
        <v>0.05</v>
      </c>
      <c r="Y455" s="1269">
        <v>0.05</v>
      </c>
      <c r="Z455" s="1269">
        <v>0.05</v>
      </c>
      <c r="AA455" s="1263">
        <f>SUM(C455:Z455)</f>
        <v>1.8000000000000005</v>
      </c>
      <c r="AB455" s="1264">
        <f>AA455*SUM($C$14)</f>
        <v>93.600000000000023</v>
      </c>
      <c r="AE455" s="2140"/>
    </row>
    <row r="456" spans="2:31" s="395" customFormat="1" x14ac:dyDescent="0.25">
      <c r="B456" s="1490" t="s">
        <v>1150</v>
      </c>
      <c r="C456" s="1269">
        <v>0.05</v>
      </c>
      <c r="D456" s="1269">
        <v>0.05</v>
      </c>
      <c r="E456" s="1269">
        <v>0.05</v>
      </c>
      <c r="F456" s="1269">
        <v>0.05</v>
      </c>
      <c r="G456" s="1269">
        <v>0.05</v>
      </c>
      <c r="H456" s="1269">
        <v>0.05</v>
      </c>
      <c r="I456" s="1269">
        <v>0.05</v>
      </c>
      <c r="J456" s="1269">
        <v>0.05</v>
      </c>
      <c r="K456" s="1269">
        <v>0.05</v>
      </c>
      <c r="L456" s="1269">
        <v>0.05</v>
      </c>
      <c r="M456" s="1269">
        <v>0.05</v>
      </c>
      <c r="N456" s="1269">
        <v>0.05</v>
      </c>
      <c r="O456" s="1269">
        <v>0.05</v>
      </c>
      <c r="P456" s="1269">
        <v>0.05</v>
      </c>
      <c r="Q456" s="1269">
        <v>0.05</v>
      </c>
      <c r="R456" s="1269">
        <v>0.05</v>
      </c>
      <c r="S456" s="1269">
        <v>0.05</v>
      </c>
      <c r="T456" s="1269">
        <v>0.05</v>
      </c>
      <c r="U456" s="1269">
        <v>0.05</v>
      </c>
      <c r="V456" s="1269">
        <v>0.05</v>
      </c>
      <c r="W456" s="1269">
        <v>0.05</v>
      </c>
      <c r="X456" s="1269">
        <v>0.05</v>
      </c>
      <c r="Y456" s="1269">
        <v>0.05</v>
      </c>
      <c r="Z456" s="1269">
        <v>0.05</v>
      </c>
      <c r="AA456" s="1263">
        <f>SUM(C456:Z456)</f>
        <v>1.2000000000000004</v>
      </c>
      <c r="AB456" s="1264">
        <f>AA456*$C$15</f>
        <v>62.40000000000002</v>
      </c>
      <c r="AE456" s="2140"/>
    </row>
    <row r="457" spans="2:31" s="395" customFormat="1" x14ac:dyDescent="0.25">
      <c r="B457" s="1490" t="s">
        <v>1181</v>
      </c>
      <c r="C457" s="1269">
        <v>0.05</v>
      </c>
      <c r="D457" s="1269">
        <v>0.05</v>
      </c>
      <c r="E457" s="1269">
        <v>0.05</v>
      </c>
      <c r="F457" s="1269">
        <v>0.05</v>
      </c>
      <c r="G457" s="1269">
        <v>0.05</v>
      </c>
      <c r="H457" s="1269">
        <v>0.05</v>
      </c>
      <c r="I457" s="1269">
        <v>0.05</v>
      </c>
      <c r="J457" s="1269">
        <v>0.05</v>
      </c>
      <c r="K457" s="1269">
        <v>0.05</v>
      </c>
      <c r="L457" s="1269">
        <v>0.05</v>
      </c>
      <c r="M457" s="1269">
        <v>0.05</v>
      </c>
      <c r="N457" s="1269">
        <v>0.05</v>
      </c>
      <c r="O457" s="1269">
        <v>0.05</v>
      </c>
      <c r="P457" s="1269">
        <v>0.05</v>
      </c>
      <c r="Q457" s="1269">
        <v>0.05</v>
      </c>
      <c r="R457" s="1269">
        <v>0.05</v>
      </c>
      <c r="S457" s="1269">
        <v>0.05</v>
      </c>
      <c r="T457" s="1269">
        <v>0.05</v>
      </c>
      <c r="U457" s="1269">
        <v>0.05</v>
      </c>
      <c r="V457" s="1269">
        <v>0.05</v>
      </c>
      <c r="W457" s="1269">
        <v>0.05</v>
      </c>
      <c r="X457" s="1269">
        <v>0.05</v>
      </c>
      <c r="Y457" s="1269">
        <v>0.05</v>
      </c>
      <c r="Z457" s="1269">
        <v>0.05</v>
      </c>
      <c r="AA457" s="1263">
        <f>SUM(C457:Z457)</f>
        <v>1.2000000000000004</v>
      </c>
      <c r="AB457" s="1264">
        <f>AA457*SUM($C$8)</f>
        <v>13.200000000000005</v>
      </c>
      <c r="AE457" s="2140"/>
    </row>
    <row r="458" spans="2:31" s="395" customFormat="1" x14ac:dyDescent="0.25">
      <c r="B458" s="3368" t="s">
        <v>1186</v>
      </c>
      <c r="C458" s="3368"/>
      <c r="D458" s="3368"/>
      <c r="E458" s="3368"/>
      <c r="F458" s="3368"/>
      <c r="G458" s="3368"/>
      <c r="H458" s="3368"/>
      <c r="I458" s="3368"/>
      <c r="J458" s="3368"/>
      <c r="K458" s="3368"/>
      <c r="L458" s="3368"/>
      <c r="M458" s="3368"/>
      <c r="N458" s="3368"/>
      <c r="O458" s="3368"/>
      <c r="P458" s="3368"/>
      <c r="Q458" s="3368"/>
      <c r="R458" s="3368"/>
      <c r="S458" s="3368"/>
      <c r="T458" s="3368"/>
      <c r="U458" s="3368"/>
      <c r="V458" s="3368"/>
      <c r="W458" s="3368"/>
      <c r="X458" s="3368"/>
      <c r="Y458" s="3368"/>
      <c r="Z458" s="3368"/>
      <c r="AA458" s="3368"/>
      <c r="AB458" s="1264">
        <f>SUM(AB454:AB457)</f>
        <v>1669.1999999999996</v>
      </c>
      <c r="AE458" s="2140"/>
    </row>
    <row r="459" spans="2:31" s="395" customFormat="1" x14ac:dyDescent="0.25">
      <c r="B459" s="661"/>
      <c r="C459" s="661"/>
      <c r="D459" s="661"/>
      <c r="E459" s="661"/>
      <c r="F459" s="661"/>
      <c r="G459" s="661"/>
      <c r="H459" s="661"/>
      <c r="I459" s="661"/>
      <c r="J459" s="661"/>
      <c r="K459" s="661"/>
      <c r="L459" s="661"/>
      <c r="M459" s="661"/>
      <c r="N459" s="661"/>
      <c r="O459" s="661"/>
      <c r="P459" s="661"/>
      <c r="Q459" s="661"/>
      <c r="R459" s="661"/>
      <c r="S459" s="661"/>
      <c r="T459" s="661"/>
      <c r="U459" s="661"/>
      <c r="V459" s="661"/>
      <c r="W459" s="661"/>
      <c r="X459" s="661"/>
      <c r="Y459" s="661"/>
      <c r="Z459" s="661"/>
      <c r="AA459" s="661"/>
      <c r="AB459" s="661"/>
      <c r="AE459" s="2140"/>
    </row>
    <row r="460" spans="2:31" s="395" customFormat="1" ht="15" customHeight="1" x14ac:dyDescent="0.25">
      <c r="B460" s="661" t="s">
        <v>1152</v>
      </c>
      <c r="C460" s="3367" t="s">
        <v>1361</v>
      </c>
      <c r="D460" s="3367"/>
      <c r="E460" s="3367"/>
      <c r="F460" s="3367"/>
      <c r="G460" s="3367"/>
      <c r="H460" s="3367"/>
      <c r="I460" s="3367"/>
      <c r="J460" s="3367"/>
      <c r="K460" s="3367"/>
      <c r="L460" s="3367"/>
      <c r="M460" s="3367"/>
      <c r="N460" s="3367"/>
      <c r="O460" s="3367"/>
      <c r="P460" s="3367"/>
      <c r="Q460" s="3367"/>
      <c r="R460" s="3367"/>
      <c r="S460" s="3367"/>
      <c r="T460" s="3367"/>
      <c r="U460" s="3367"/>
      <c r="V460" s="3367"/>
      <c r="W460" s="3367"/>
      <c r="X460" s="3367"/>
      <c r="Y460" s="3367"/>
      <c r="Z460" s="3367"/>
      <c r="AA460" s="3367"/>
      <c r="AB460" s="3367"/>
      <c r="AE460" s="2140"/>
    </row>
    <row r="461" spans="2:31" s="395" customFormat="1" x14ac:dyDescent="0.25">
      <c r="B461" s="661"/>
      <c r="C461" s="661"/>
      <c r="D461" s="661"/>
      <c r="E461" s="661"/>
      <c r="F461" s="661"/>
      <c r="G461" s="661"/>
      <c r="H461" s="661"/>
      <c r="I461" s="661"/>
      <c r="J461" s="661"/>
      <c r="K461" s="661"/>
      <c r="L461" s="661"/>
      <c r="M461" s="661"/>
      <c r="N461" s="661"/>
      <c r="O461" s="661"/>
      <c r="P461" s="661"/>
      <c r="Q461" s="661"/>
      <c r="R461" s="661"/>
      <c r="S461" s="661"/>
      <c r="T461" s="661"/>
      <c r="U461" s="661"/>
      <c r="V461" s="661"/>
      <c r="W461" s="661"/>
      <c r="X461" s="661"/>
      <c r="Y461" s="661"/>
      <c r="Z461" s="661"/>
      <c r="AA461" s="661"/>
      <c r="AB461" s="661"/>
      <c r="AE461" s="2140"/>
    </row>
    <row r="462" spans="2:31" s="1608" customFormat="1" ht="21" customHeight="1" x14ac:dyDescent="0.25">
      <c r="B462" s="1356"/>
      <c r="C462" s="1357" t="s">
        <v>1153</v>
      </c>
      <c r="D462" s="1356" t="s">
        <v>1154</v>
      </c>
      <c r="E462" s="1356" t="s">
        <v>1155</v>
      </c>
      <c r="F462" s="1356" t="s">
        <v>1156</v>
      </c>
      <c r="G462" s="1356" t="s">
        <v>1157</v>
      </c>
      <c r="H462" s="1356" t="s">
        <v>1158</v>
      </c>
      <c r="I462" s="1356" t="s">
        <v>1159</v>
      </c>
      <c r="J462" s="1356" t="s">
        <v>1160</v>
      </c>
      <c r="K462" s="1356" t="s">
        <v>1161</v>
      </c>
      <c r="L462" s="1356" t="s">
        <v>1162</v>
      </c>
      <c r="M462" s="1356" t="s">
        <v>1163</v>
      </c>
      <c r="N462" s="1356" t="s">
        <v>1164</v>
      </c>
      <c r="O462" s="1356" t="s">
        <v>1165</v>
      </c>
      <c r="P462" s="1356" t="s">
        <v>1166</v>
      </c>
      <c r="Q462" s="1356" t="s">
        <v>1167</v>
      </c>
      <c r="R462" s="1356" t="s">
        <v>1168</v>
      </c>
      <c r="S462" s="1356" t="s">
        <v>1169</v>
      </c>
      <c r="T462" s="1356" t="s">
        <v>1170</v>
      </c>
      <c r="U462" s="1356" t="s">
        <v>1171</v>
      </c>
      <c r="V462" s="1356" t="s">
        <v>1172</v>
      </c>
      <c r="W462" s="1356" t="s">
        <v>1173</v>
      </c>
      <c r="X462" s="1356" t="s">
        <v>1174</v>
      </c>
      <c r="Y462" s="1356" t="s">
        <v>1175</v>
      </c>
      <c r="Z462" s="1356" t="s">
        <v>1176</v>
      </c>
      <c r="AA462" s="1356" t="s">
        <v>1184</v>
      </c>
      <c r="AB462" s="1356" t="s">
        <v>1185</v>
      </c>
      <c r="AE462" s="2140"/>
    </row>
    <row r="463" spans="2:31" s="395" customFormat="1" x14ac:dyDescent="0.25">
      <c r="B463" s="1490" t="s">
        <v>1179</v>
      </c>
      <c r="C463" s="1269">
        <v>0.05</v>
      </c>
      <c r="D463" s="1269">
        <v>0.05</v>
      </c>
      <c r="E463" s="1269">
        <v>0.05</v>
      </c>
      <c r="F463" s="1269">
        <v>0.05</v>
      </c>
      <c r="G463" s="1269">
        <v>0.05</v>
      </c>
      <c r="H463" s="1269">
        <v>0.05</v>
      </c>
      <c r="I463" s="1269">
        <v>0.05</v>
      </c>
      <c r="J463" s="1269">
        <v>0.4</v>
      </c>
      <c r="K463" s="1269">
        <v>0.7</v>
      </c>
      <c r="L463" s="1269">
        <v>0.9</v>
      </c>
      <c r="M463" s="1269">
        <v>0.9</v>
      </c>
      <c r="N463" s="1269">
        <v>0.9</v>
      </c>
      <c r="O463" s="1269">
        <v>0.8</v>
      </c>
      <c r="P463" s="1269">
        <v>0.9</v>
      </c>
      <c r="Q463" s="1269">
        <v>0.9</v>
      </c>
      <c r="R463" s="1269">
        <v>0.9</v>
      </c>
      <c r="S463" s="1269">
        <v>0.9</v>
      </c>
      <c r="T463" s="1269">
        <v>0.3</v>
      </c>
      <c r="U463" s="1269">
        <v>0.05</v>
      </c>
      <c r="V463" s="1269">
        <v>0.05</v>
      </c>
      <c r="W463" s="1269">
        <v>0.05</v>
      </c>
      <c r="X463" s="1269">
        <v>0.05</v>
      </c>
      <c r="Y463" s="1269">
        <v>0.05</v>
      </c>
      <c r="Z463" s="1269">
        <v>0.05</v>
      </c>
      <c r="AA463" s="1263">
        <f>SUM(C463:Z463)</f>
        <v>9.1500000000000057</v>
      </c>
      <c r="AB463" s="1264">
        <f>AA463*SUM($C$9:$C$13)</f>
        <v>2287.5000000000014</v>
      </c>
      <c r="AE463" s="2140"/>
    </row>
    <row r="464" spans="2:31" s="395" customFormat="1" x14ac:dyDescent="0.25">
      <c r="B464" s="1490" t="s">
        <v>1149</v>
      </c>
      <c r="C464" s="1269">
        <v>0.05</v>
      </c>
      <c r="D464" s="1269">
        <v>0.05</v>
      </c>
      <c r="E464" s="1269">
        <v>0.05</v>
      </c>
      <c r="F464" s="1269">
        <v>0.05</v>
      </c>
      <c r="G464" s="1269">
        <v>0.05</v>
      </c>
      <c r="H464" s="1269">
        <v>0.05</v>
      </c>
      <c r="I464" s="1269">
        <v>0.05</v>
      </c>
      <c r="J464" s="1269">
        <v>0.05</v>
      </c>
      <c r="K464" s="1269">
        <v>0.08</v>
      </c>
      <c r="L464" s="1269">
        <v>0.24</v>
      </c>
      <c r="M464" s="1269">
        <v>0.24</v>
      </c>
      <c r="N464" s="1269">
        <v>0.24</v>
      </c>
      <c r="O464" s="1269">
        <v>0.05</v>
      </c>
      <c r="P464" s="1269">
        <v>0.05</v>
      </c>
      <c r="Q464" s="1269">
        <v>0.05</v>
      </c>
      <c r="R464" s="1269">
        <v>0.05</v>
      </c>
      <c r="S464" s="1269">
        <v>0.05</v>
      </c>
      <c r="T464" s="1269">
        <v>0.05</v>
      </c>
      <c r="U464" s="1269">
        <v>0.05</v>
      </c>
      <c r="V464" s="1269">
        <v>0.05</v>
      </c>
      <c r="W464" s="1269">
        <v>0.05</v>
      </c>
      <c r="X464" s="1269">
        <v>0.05</v>
      </c>
      <c r="Y464" s="1269">
        <v>0.05</v>
      </c>
      <c r="Z464" s="1269">
        <v>0.05</v>
      </c>
      <c r="AA464" s="1263">
        <f>SUM(C464:Z464)</f>
        <v>1.8000000000000005</v>
      </c>
      <c r="AB464" s="1264">
        <f>AA464*SUM($C$14)</f>
        <v>93.600000000000023</v>
      </c>
      <c r="AE464" s="2140"/>
    </row>
    <row r="465" spans="2:31" s="395" customFormat="1" x14ac:dyDescent="0.25">
      <c r="B465" s="1490" t="s">
        <v>1150</v>
      </c>
      <c r="C465" s="1269">
        <v>0.05</v>
      </c>
      <c r="D465" s="1269">
        <v>0.05</v>
      </c>
      <c r="E465" s="1269">
        <v>0.05</v>
      </c>
      <c r="F465" s="1269">
        <v>0.05</v>
      </c>
      <c r="G465" s="1269">
        <v>0.05</v>
      </c>
      <c r="H465" s="1269">
        <v>0.05</v>
      </c>
      <c r="I465" s="1269">
        <v>0.05</v>
      </c>
      <c r="J465" s="1269">
        <v>0.05</v>
      </c>
      <c r="K465" s="1269">
        <v>0.05</v>
      </c>
      <c r="L465" s="1269">
        <v>0.05</v>
      </c>
      <c r="M465" s="1269">
        <v>0.05</v>
      </c>
      <c r="N465" s="1269">
        <v>0.05</v>
      </c>
      <c r="O465" s="1269">
        <v>0.05</v>
      </c>
      <c r="P465" s="1269">
        <v>0.05</v>
      </c>
      <c r="Q465" s="1269">
        <v>0.05</v>
      </c>
      <c r="R465" s="1269">
        <v>0.05</v>
      </c>
      <c r="S465" s="1269">
        <v>0.05</v>
      </c>
      <c r="T465" s="1269">
        <v>0.05</v>
      </c>
      <c r="U465" s="1269">
        <v>0.05</v>
      </c>
      <c r="V465" s="1269">
        <v>0.05</v>
      </c>
      <c r="W465" s="1269">
        <v>0.05</v>
      </c>
      <c r="X465" s="1269">
        <v>0.05</v>
      </c>
      <c r="Y465" s="1269">
        <v>0.05</v>
      </c>
      <c r="Z465" s="1269">
        <v>0.05</v>
      </c>
      <c r="AA465" s="1263">
        <f>SUM(C465:Z465)</f>
        <v>1.2000000000000004</v>
      </c>
      <c r="AB465" s="1264">
        <f>AA465*$C$15</f>
        <v>62.40000000000002</v>
      </c>
      <c r="AE465" s="2140"/>
    </row>
    <row r="466" spans="2:31" s="395" customFormat="1" x14ac:dyDescent="0.25">
      <c r="B466" s="1490" t="s">
        <v>1181</v>
      </c>
      <c r="C466" s="1269">
        <v>0.05</v>
      </c>
      <c r="D466" s="1269">
        <v>0.05</v>
      </c>
      <c r="E466" s="1269">
        <v>0.05</v>
      </c>
      <c r="F466" s="1269">
        <v>0.05</v>
      </c>
      <c r="G466" s="1269">
        <v>0.05</v>
      </c>
      <c r="H466" s="1269">
        <v>0.05</v>
      </c>
      <c r="I466" s="1269">
        <v>0.05</v>
      </c>
      <c r="J466" s="1269">
        <v>0.05</v>
      </c>
      <c r="K466" s="1269">
        <v>0.05</v>
      </c>
      <c r="L466" s="1269">
        <v>0.05</v>
      </c>
      <c r="M466" s="1269">
        <v>0.05</v>
      </c>
      <c r="N466" s="1269">
        <v>0.05</v>
      </c>
      <c r="O466" s="1269">
        <v>0.05</v>
      </c>
      <c r="P466" s="1269">
        <v>0.05</v>
      </c>
      <c r="Q466" s="1269">
        <v>0.05</v>
      </c>
      <c r="R466" s="1269">
        <v>0.05</v>
      </c>
      <c r="S466" s="1269">
        <v>0.05</v>
      </c>
      <c r="T466" s="1269">
        <v>0.05</v>
      </c>
      <c r="U466" s="1269">
        <v>0.05</v>
      </c>
      <c r="V466" s="1269">
        <v>0.05</v>
      </c>
      <c r="W466" s="1269">
        <v>0.05</v>
      </c>
      <c r="X466" s="1269">
        <v>0.05</v>
      </c>
      <c r="Y466" s="1269">
        <v>0.05</v>
      </c>
      <c r="Z466" s="1269">
        <v>0.05</v>
      </c>
      <c r="AA466" s="1263">
        <f>SUM(C466:Z466)</f>
        <v>1.2000000000000004</v>
      </c>
      <c r="AB466" s="1264">
        <f>AA466*SUM($C$8)</f>
        <v>13.200000000000005</v>
      </c>
      <c r="AE466" s="2140"/>
    </row>
    <row r="467" spans="2:31" s="395" customFormat="1" x14ac:dyDescent="0.25">
      <c r="B467" s="3368" t="s">
        <v>1186</v>
      </c>
      <c r="C467" s="3368"/>
      <c r="D467" s="3368"/>
      <c r="E467" s="3368"/>
      <c r="F467" s="3368"/>
      <c r="G467" s="3368"/>
      <c r="H467" s="3368"/>
      <c r="I467" s="3368"/>
      <c r="J467" s="3368"/>
      <c r="K467" s="3368"/>
      <c r="L467" s="3368"/>
      <c r="M467" s="3368"/>
      <c r="N467" s="3368"/>
      <c r="O467" s="3368"/>
      <c r="P467" s="3368"/>
      <c r="Q467" s="3368"/>
      <c r="R467" s="3368"/>
      <c r="S467" s="3368"/>
      <c r="T467" s="3368"/>
      <c r="U467" s="3368"/>
      <c r="V467" s="3368"/>
      <c r="W467" s="3368"/>
      <c r="X467" s="3368"/>
      <c r="Y467" s="3368"/>
      <c r="Z467" s="3368"/>
      <c r="AA467" s="3368"/>
      <c r="AB467" s="1264">
        <f>SUM(AB463:AB466)</f>
        <v>2456.7000000000012</v>
      </c>
      <c r="AE467" s="2140"/>
    </row>
    <row r="468" spans="2:31" s="395" customFormat="1" x14ac:dyDescent="0.25">
      <c r="B468" s="661"/>
      <c r="C468" s="661"/>
      <c r="D468" s="661"/>
      <c r="E468" s="661"/>
      <c r="F468" s="661"/>
      <c r="G468" s="661"/>
      <c r="H468" s="661"/>
      <c r="I468" s="661"/>
      <c r="J468" s="661"/>
      <c r="K468" s="661"/>
      <c r="L468" s="661"/>
      <c r="M468" s="661"/>
      <c r="N468" s="661"/>
      <c r="O468" s="661"/>
      <c r="P468" s="661"/>
      <c r="Q468" s="661"/>
      <c r="R468" s="661"/>
      <c r="S468" s="661"/>
      <c r="T468" s="661"/>
      <c r="U468" s="661"/>
      <c r="V468" s="661"/>
      <c r="W468" s="661"/>
      <c r="X468" s="661"/>
      <c r="Y468" s="661"/>
      <c r="Z468" s="661"/>
      <c r="AA468" s="661"/>
      <c r="AB468" s="661"/>
      <c r="AE468" s="2140"/>
    </row>
    <row r="469" spans="2:31" s="395" customFormat="1" ht="15" customHeight="1" x14ac:dyDescent="0.25">
      <c r="B469" s="661" t="s">
        <v>1152</v>
      </c>
      <c r="C469" s="3367" t="s">
        <v>1362</v>
      </c>
      <c r="D469" s="3367"/>
      <c r="E469" s="3367"/>
      <c r="F469" s="3367"/>
      <c r="G469" s="3367"/>
      <c r="H469" s="3367"/>
      <c r="I469" s="3367"/>
      <c r="J469" s="3367"/>
      <c r="K469" s="3367"/>
      <c r="L469" s="3367"/>
      <c r="M469" s="3367"/>
      <c r="N469" s="3367"/>
      <c r="O469" s="3367"/>
      <c r="P469" s="3367"/>
      <c r="Q469" s="3367"/>
      <c r="R469" s="3367"/>
      <c r="S469" s="3367"/>
      <c r="T469" s="3367"/>
      <c r="U469" s="3367"/>
      <c r="V469" s="3367"/>
      <c r="W469" s="3367"/>
      <c r="X469" s="3367"/>
      <c r="Y469" s="3367"/>
      <c r="Z469" s="3367"/>
      <c r="AA469" s="3367"/>
      <c r="AB469" s="3367"/>
      <c r="AE469" s="2140"/>
    </row>
    <row r="470" spans="2:31" s="395" customFormat="1" x14ac:dyDescent="0.25">
      <c r="B470" s="661"/>
      <c r="C470" s="661"/>
      <c r="D470" s="661"/>
      <c r="E470" s="661"/>
      <c r="F470" s="661"/>
      <c r="G470" s="661"/>
      <c r="H470" s="661"/>
      <c r="I470" s="661"/>
      <c r="J470" s="661"/>
      <c r="K470" s="661"/>
      <c r="L470" s="661"/>
      <c r="M470" s="661"/>
      <c r="N470" s="661"/>
      <c r="O470" s="661"/>
      <c r="P470" s="661"/>
      <c r="Q470" s="661"/>
      <c r="R470" s="661"/>
      <c r="S470" s="661"/>
      <c r="T470" s="661"/>
      <c r="U470" s="661"/>
      <c r="V470" s="661"/>
      <c r="W470" s="661"/>
      <c r="X470" s="661"/>
      <c r="Y470" s="661"/>
      <c r="Z470" s="661"/>
      <c r="AA470" s="661"/>
      <c r="AB470" s="661"/>
      <c r="AE470" s="2140"/>
    </row>
    <row r="471" spans="2:31" s="1608" customFormat="1" ht="21" customHeight="1" x14ac:dyDescent="0.25">
      <c r="B471" s="1356"/>
      <c r="C471" s="1357" t="s">
        <v>1153</v>
      </c>
      <c r="D471" s="1356" t="s">
        <v>1154</v>
      </c>
      <c r="E471" s="1356" t="s">
        <v>1155</v>
      </c>
      <c r="F471" s="1356" t="s">
        <v>1156</v>
      </c>
      <c r="G471" s="1356" t="s">
        <v>1157</v>
      </c>
      <c r="H471" s="1356" t="s">
        <v>1158</v>
      </c>
      <c r="I471" s="1356" t="s">
        <v>1159</v>
      </c>
      <c r="J471" s="1356" t="s">
        <v>1160</v>
      </c>
      <c r="K471" s="1356" t="s">
        <v>1161</v>
      </c>
      <c r="L471" s="1356" t="s">
        <v>1162</v>
      </c>
      <c r="M471" s="1356" t="s">
        <v>1163</v>
      </c>
      <c r="N471" s="1356" t="s">
        <v>1164</v>
      </c>
      <c r="O471" s="1356" t="s">
        <v>1165</v>
      </c>
      <c r="P471" s="1356" t="s">
        <v>1166</v>
      </c>
      <c r="Q471" s="1356" t="s">
        <v>1167</v>
      </c>
      <c r="R471" s="1356" t="s">
        <v>1168</v>
      </c>
      <c r="S471" s="1356" t="s">
        <v>1169</v>
      </c>
      <c r="T471" s="1356" t="s">
        <v>1170</v>
      </c>
      <c r="U471" s="1356" t="s">
        <v>1171</v>
      </c>
      <c r="V471" s="1356" t="s">
        <v>1172</v>
      </c>
      <c r="W471" s="1356" t="s">
        <v>1173</v>
      </c>
      <c r="X471" s="1356" t="s">
        <v>1174</v>
      </c>
      <c r="Y471" s="1356" t="s">
        <v>1175</v>
      </c>
      <c r="Z471" s="1356" t="s">
        <v>1176</v>
      </c>
      <c r="AA471" s="1356" t="s">
        <v>1184</v>
      </c>
      <c r="AB471" s="1356" t="s">
        <v>1185</v>
      </c>
      <c r="AE471" s="2140"/>
    </row>
    <row r="472" spans="2:31" s="395" customFormat="1" x14ac:dyDescent="0.25">
      <c r="B472" s="1490" t="s">
        <v>1179</v>
      </c>
      <c r="C472" s="1269">
        <v>0.02</v>
      </c>
      <c r="D472" s="1269">
        <v>0.02</v>
      </c>
      <c r="E472" s="1269">
        <v>0.02</v>
      </c>
      <c r="F472" s="1269">
        <v>0.02</v>
      </c>
      <c r="G472" s="1269">
        <v>0.05</v>
      </c>
      <c r="H472" s="1269">
        <v>7.0000000000000007E-2</v>
      </c>
      <c r="I472" s="1269">
        <v>7.0000000000000007E-2</v>
      </c>
      <c r="J472" s="1269">
        <v>0.1</v>
      </c>
      <c r="K472" s="1269">
        <v>0.3</v>
      </c>
      <c r="L472" s="1269">
        <v>0.36</v>
      </c>
      <c r="M472" s="1269">
        <v>0.36</v>
      </c>
      <c r="N472" s="1269">
        <v>0.46</v>
      </c>
      <c r="O472" s="1269">
        <v>0.56999999999999995</v>
      </c>
      <c r="P472" s="1269">
        <v>0.43</v>
      </c>
      <c r="Q472" s="1269">
        <v>0.38</v>
      </c>
      <c r="R472" s="1269">
        <v>0.4</v>
      </c>
      <c r="S472" s="1269">
        <v>0.3</v>
      </c>
      <c r="T472" s="1269">
        <v>0.18</v>
      </c>
      <c r="U472" s="1269">
        <v>0.03</v>
      </c>
      <c r="V472" s="1269">
        <v>0.03</v>
      </c>
      <c r="W472" s="1269">
        <v>0.03</v>
      </c>
      <c r="X472" s="1269">
        <v>0.03</v>
      </c>
      <c r="Y472" s="1269">
        <v>0.03</v>
      </c>
      <c r="Z472" s="1269">
        <v>0.03</v>
      </c>
      <c r="AA472" s="1263">
        <f>SUM(C472:Z472)</f>
        <v>4.2900000000000009</v>
      </c>
      <c r="AB472" s="1264">
        <f>AA472*SUM($C$9:$C$13)</f>
        <v>1072.5000000000002</v>
      </c>
      <c r="AE472" s="2140"/>
    </row>
    <row r="473" spans="2:31" s="395" customFormat="1" x14ac:dyDescent="0.25">
      <c r="B473" s="1490" t="s">
        <v>1149</v>
      </c>
      <c r="C473" s="1269">
        <v>0.02</v>
      </c>
      <c r="D473" s="1269">
        <v>0.02</v>
      </c>
      <c r="E473" s="1269">
        <v>0.02</v>
      </c>
      <c r="F473" s="1269">
        <v>0.02</v>
      </c>
      <c r="G473" s="1269">
        <v>0.02</v>
      </c>
      <c r="H473" s="1269">
        <v>0.02</v>
      </c>
      <c r="I473" s="1269">
        <v>0.02</v>
      </c>
      <c r="J473" s="1269">
        <v>0.02</v>
      </c>
      <c r="K473" s="1269">
        <v>0.06</v>
      </c>
      <c r="L473" s="1269">
        <v>0.12</v>
      </c>
      <c r="M473" s="1269">
        <v>0.12</v>
      </c>
      <c r="N473" s="1269">
        <v>0.17</v>
      </c>
      <c r="O473" s="1269">
        <v>0.04</v>
      </c>
      <c r="P473" s="1269">
        <v>0.04</v>
      </c>
      <c r="Q473" s="1269">
        <v>0.02</v>
      </c>
      <c r="R473" s="1269">
        <v>0.02</v>
      </c>
      <c r="S473" s="1269">
        <v>0.02</v>
      </c>
      <c r="T473" s="1269">
        <v>0.02</v>
      </c>
      <c r="U473" s="1269">
        <v>0.02</v>
      </c>
      <c r="V473" s="1269">
        <v>0.02</v>
      </c>
      <c r="W473" s="1269">
        <v>0.02</v>
      </c>
      <c r="X473" s="1269">
        <v>0.02</v>
      </c>
      <c r="Y473" s="1269">
        <v>0.02</v>
      </c>
      <c r="Z473" s="1269">
        <v>0.02</v>
      </c>
      <c r="AA473" s="1263">
        <f>SUM(C473:Z473)</f>
        <v>0.91000000000000025</v>
      </c>
      <c r="AB473" s="1264">
        <f>AA473*SUM($C$14)</f>
        <v>47.320000000000014</v>
      </c>
      <c r="AE473" s="2140"/>
    </row>
    <row r="474" spans="2:31" s="395" customFormat="1" x14ac:dyDescent="0.25">
      <c r="B474" s="1490" t="s">
        <v>1150</v>
      </c>
      <c r="C474" s="1269">
        <v>0.02</v>
      </c>
      <c r="D474" s="1269">
        <v>0.02</v>
      </c>
      <c r="E474" s="1269">
        <v>0.02</v>
      </c>
      <c r="F474" s="1269">
        <v>0.02</v>
      </c>
      <c r="G474" s="1269">
        <v>0.02</v>
      </c>
      <c r="H474" s="1269">
        <v>0.02</v>
      </c>
      <c r="I474" s="1269">
        <v>0.02</v>
      </c>
      <c r="J474" s="1269">
        <v>0.02</v>
      </c>
      <c r="K474" s="1269">
        <v>0.02</v>
      </c>
      <c r="L474" s="1269">
        <v>0.02</v>
      </c>
      <c r="M474" s="1269">
        <v>0.02</v>
      </c>
      <c r="N474" s="1269">
        <v>0.02</v>
      </c>
      <c r="O474" s="1269">
        <v>0.04</v>
      </c>
      <c r="P474" s="1269">
        <v>0.04</v>
      </c>
      <c r="Q474" s="1269">
        <v>0.02</v>
      </c>
      <c r="R474" s="1269">
        <v>0.02</v>
      </c>
      <c r="S474" s="1269">
        <v>0.02</v>
      </c>
      <c r="T474" s="1269">
        <v>0.02</v>
      </c>
      <c r="U474" s="1269">
        <v>0.02</v>
      </c>
      <c r="V474" s="1269">
        <v>0.02</v>
      </c>
      <c r="W474" s="1269">
        <v>0.02</v>
      </c>
      <c r="X474" s="1269">
        <v>0.02</v>
      </c>
      <c r="Y474" s="1269">
        <v>0.02</v>
      </c>
      <c r="Z474" s="1269">
        <v>0.02</v>
      </c>
      <c r="AA474" s="1263">
        <f>SUM(C474:Z474)</f>
        <v>0.52000000000000013</v>
      </c>
      <c r="AB474" s="1264">
        <f>AA474*$C$15</f>
        <v>27.040000000000006</v>
      </c>
      <c r="AE474" s="2140"/>
    </row>
    <row r="475" spans="2:31" s="395" customFormat="1" x14ac:dyDescent="0.25">
      <c r="B475" s="1490" t="s">
        <v>1181</v>
      </c>
      <c r="C475" s="1269">
        <v>0.02</v>
      </c>
      <c r="D475" s="1269">
        <v>0.02</v>
      </c>
      <c r="E475" s="1269">
        <v>0.02</v>
      </c>
      <c r="F475" s="1269">
        <v>0.02</v>
      </c>
      <c r="G475" s="1269">
        <v>0.02</v>
      </c>
      <c r="H475" s="1269">
        <v>0.02</v>
      </c>
      <c r="I475" s="1269">
        <v>0.02</v>
      </c>
      <c r="J475" s="1269">
        <v>0.02</v>
      </c>
      <c r="K475" s="1269">
        <v>0.02</v>
      </c>
      <c r="L475" s="1269">
        <v>0.02</v>
      </c>
      <c r="M475" s="1269">
        <v>0.02</v>
      </c>
      <c r="N475" s="1269">
        <v>0.02</v>
      </c>
      <c r="O475" s="1269">
        <v>0.04</v>
      </c>
      <c r="P475" s="1269">
        <v>0.04</v>
      </c>
      <c r="Q475" s="1269">
        <v>0.02</v>
      </c>
      <c r="R475" s="1269">
        <v>0.02</v>
      </c>
      <c r="S475" s="1269">
        <v>0.02</v>
      </c>
      <c r="T475" s="1269">
        <v>0.02</v>
      </c>
      <c r="U475" s="1269">
        <v>0.02</v>
      </c>
      <c r="V475" s="1269">
        <v>0.02</v>
      </c>
      <c r="W475" s="1269">
        <v>0.02</v>
      </c>
      <c r="X475" s="1269">
        <v>0.02</v>
      </c>
      <c r="Y475" s="1269">
        <v>0.02</v>
      </c>
      <c r="Z475" s="1269">
        <v>0.02</v>
      </c>
      <c r="AA475" s="1263">
        <f>SUM(C475:Z475)</f>
        <v>0.52000000000000013</v>
      </c>
      <c r="AB475" s="1264">
        <f>AA475*SUM($C$8)</f>
        <v>5.7200000000000015</v>
      </c>
      <c r="AE475" s="2140"/>
    </row>
    <row r="476" spans="2:31" s="395" customFormat="1" x14ac:dyDescent="0.25">
      <c r="B476" s="3368" t="s">
        <v>1186</v>
      </c>
      <c r="C476" s="3368"/>
      <c r="D476" s="3368"/>
      <c r="E476" s="3368"/>
      <c r="F476" s="3368"/>
      <c r="G476" s="3368"/>
      <c r="H476" s="3368"/>
      <c r="I476" s="3368"/>
      <c r="J476" s="3368"/>
      <c r="K476" s="3368"/>
      <c r="L476" s="3368"/>
      <c r="M476" s="3368"/>
      <c r="N476" s="3368"/>
      <c r="O476" s="3368"/>
      <c r="P476" s="3368"/>
      <c r="Q476" s="3368"/>
      <c r="R476" s="3368"/>
      <c r="S476" s="3368"/>
      <c r="T476" s="3368"/>
      <c r="U476" s="3368"/>
      <c r="V476" s="3368"/>
      <c r="W476" s="3368"/>
      <c r="X476" s="3368"/>
      <c r="Y476" s="3368"/>
      <c r="Z476" s="3368"/>
      <c r="AA476" s="3368"/>
      <c r="AB476" s="1264">
        <f>SUM(AB472:AB475)</f>
        <v>1152.5800000000002</v>
      </c>
      <c r="AE476" s="2140"/>
    </row>
    <row r="477" spans="2:31" s="395" customFormat="1" x14ac:dyDescent="0.25">
      <c r="B477" s="661"/>
      <c r="C477" s="661"/>
      <c r="D477" s="661"/>
      <c r="E477" s="661"/>
      <c r="F477" s="661"/>
      <c r="G477" s="661"/>
      <c r="H477" s="661"/>
      <c r="I477" s="661"/>
      <c r="J477" s="661"/>
      <c r="K477" s="661"/>
      <c r="L477" s="661"/>
      <c r="M477" s="661"/>
      <c r="N477" s="661"/>
      <c r="O477" s="661"/>
      <c r="P477" s="661"/>
      <c r="Q477" s="661"/>
      <c r="R477" s="661"/>
      <c r="S477" s="661"/>
      <c r="T477" s="661"/>
      <c r="U477" s="661"/>
      <c r="V477" s="661"/>
      <c r="W477" s="661"/>
      <c r="X477" s="661"/>
      <c r="Y477" s="661"/>
      <c r="Z477" s="661"/>
      <c r="AA477" s="661"/>
      <c r="AB477" s="661"/>
      <c r="AE477" s="2140"/>
    </row>
    <row r="478" spans="2:31" s="395" customFormat="1" ht="15" customHeight="1" x14ac:dyDescent="0.25">
      <c r="B478" s="661" t="s">
        <v>1152</v>
      </c>
      <c r="C478" s="3367" t="s">
        <v>1363</v>
      </c>
      <c r="D478" s="3367"/>
      <c r="E478" s="3367"/>
      <c r="F478" s="3367"/>
      <c r="G478" s="3367"/>
      <c r="H478" s="3367"/>
      <c r="I478" s="3367"/>
      <c r="J478" s="3367"/>
      <c r="K478" s="3367"/>
      <c r="L478" s="3367"/>
      <c r="M478" s="3367"/>
      <c r="N478" s="3367"/>
      <c r="O478" s="3367"/>
      <c r="P478" s="3367"/>
      <c r="Q478" s="3367"/>
      <c r="R478" s="3367"/>
      <c r="S478" s="3367"/>
      <c r="T478" s="3367"/>
      <c r="U478" s="3367"/>
      <c r="V478" s="3367"/>
      <c r="W478" s="3367"/>
      <c r="X478" s="3367"/>
      <c r="Y478" s="3367"/>
      <c r="Z478" s="3367"/>
      <c r="AA478" s="3367"/>
      <c r="AB478" s="3367"/>
      <c r="AE478" s="2140"/>
    </row>
    <row r="479" spans="2:31" s="395" customFormat="1" x14ac:dyDescent="0.25">
      <c r="B479" s="661"/>
      <c r="C479" s="661"/>
      <c r="D479" s="661"/>
      <c r="E479" s="661"/>
      <c r="F479" s="661"/>
      <c r="G479" s="661"/>
      <c r="H479" s="661"/>
      <c r="I479" s="661"/>
      <c r="J479" s="661"/>
      <c r="K479" s="661"/>
      <c r="L479" s="661"/>
      <c r="M479" s="661"/>
      <c r="N479" s="661"/>
      <c r="O479" s="661"/>
      <c r="P479" s="661"/>
      <c r="Q479" s="661"/>
      <c r="R479" s="661"/>
      <c r="S479" s="661"/>
      <c r="T479" s="661"/>
      <c r="U479" s="661"/>
      <c r="V479" s="661"/>
      <c r="W479" s="661"/>
      <c r="X479" s="661"/>
      <c r="Y479" s="661"/>
      <c r="Z479" s="661"/>
      <c r="AA479" s="661"/>
      <c r="AB479" s="661"/>
      <c r="AE479" s="2140"/>
    </row>
    <row r="480" spans="2:31" s="1608" customFormat="1" ht="21" customHeight="1" x14ac:dyDescent="0.25">
      <c r="B480" s="1356"/>
      <c r="C480" s="1357" t="s">
        <v>1153</v>
      </c>
      <c r="D480" s="1356" t="s">
        <v>1154</v>
      </c>
      <c r="E480" s="1356" t="s">
        <v>1155</v>
      </c>
      <c r="F480" s="1356" t="s">
        <v>1156</v>
      </c>
      <c r="G480" s="1356" t="s">
        <v>1157</v>
      </c>
      <c r="H480" s="1356" t="s">
        <v>1158</v>
      </c>
      <c r="I480" s="1356" t="s">
        <v>1159</v>
      </c>
      <c r="J480" s="1356" t="s">
        <v>1160</v>
      </c>
      <c r="K480" s="1356" t="s">
        <v>1161</v>
      </c>
      <c r="L480" s="1356" t="s">
        <v>1162</v>
      </c>
      <c r="M480" s="1356" t="s">
        <v>1163</v>
      </c>
      <c r="N480" s="1356" t="s">
        <v>1164</v>
      </c>
      <c r="O480" s="1356" t="s">
        <v>1165</v>
      </c>
      <c r="P480" s="1356" t="s">
        <v>1166</v>
      </c>
      <c r="Q480" s="1356" t="s">
        <v>1167</v>
      </c>
      <c r="R480" s="1356" t="s">
        <v>1168</v>
      </c>
      <c r="S480" s="1356" t="s">
        <v>1169</v>
      </c>
      <c r="T480" s="1356" t="s">
        <v>1170</v>
      </c>
      <c r="U480" s="1356" t="s">
        <v>1171</v>
      </c>
      <c r="V480" s="1356" t="s">
        <v>1172</v>
      </c>
      <c r="W480" s="1356" t="s">
        <v>1173</v>
      </c>
      <c r="X480" s="1356" t="s">
        <v>1174</v>
      </c>
      <c r="Y480" s="1356" t="s">
        <v>1175</v>
      </c>
      <c r="Z480" s="1356" t="s">
        <v>1176</v>
      </c>
      <c r="AA480" s="1356" t="s">
        <v>1184</v>
      </c>
      <c r="AB480" s="1356" t="s">
        <v>1185</v>
      </c>
      <c r="AE480" s="2140"/>
    </row>
    <row r="481" spans="2:31" s="395" customFormat="1" x14ac:dyDescent="0.25">
      <c r="B481" s="1490" t="s">
        <v>1179</v>
      </c>
      <c r="C481" s="1269">
        <v>0</v>
      </c>
      <c r="D481" s="1269">
        <v>0</v>
      </c>
      <c r="E481" s="1269">
        <v>0</v>
      </c>
      <c r="F481" s="1269">
        <v>0</v>
      </c>
      <c r="G481" s="1269">
        <v>0</v>
      </c>
      <c r="H481" s="1269">
        <v>0</v>
      </c>
      <c r="I481" s="1269">
        <v>0</v>
      </c>
      <c r="J481" s="1269">
        <v>0</v>
      </c>
      <c r="K481" s="1269">
        <v>0</v>
      </c>
      <c r="L481" s="1269">
        <v>0</v>
      </c>
      <c r="M481" s="1269">
        <v>0.3</v>
      </c>
      <c r="N481" s="1269">
        <v>0</v>
      </c>
      <c r="O481" s="1269">
        <v>0</v>
      </c>
      <c r="P481" s="1269">
        <v>0</v>
      </c>
      <c r="Q481" s="1269">
        <v>0</v>
      </c>
      <c r="R481" s="1269">
        <v>0.4</v>
      </c>
      <c r="S481" s="1269">
        <v>0</v>
      </c>
      <c r="T481" s="1269">
        <v>0</v>
      </c>
      <c r="U481" s="1269">
        <v>0</v>
      </c>
      <c r="V481" s="1269">
        <v>0</v>
      </c>
      <c r="W481" s="1269">
        <v>0</v>
      </c>
      <c r="X481" s="1269">
        <v>0</v>
      </c>
      <c r="Y481" s="1269">
        <v>0</v>
      </c>
      <c r="Z481" s="1269">
        <v>0</v>
      </c>
      <c r="AA481" s="1263">
        <f>SUM(C481:Z481)</f>
        <v>0.7</v>
      </c>
      <c r="AB481" s="1264">
        <f>AA481*SUM($C$9:$C$13)</f>
        <v>175</v>
      </c>
      <c r="AE481" s="2140"/>
    </row>
    <row r="482" spans="2:31" s="395" customFormat="1" x14ac:dyDescent="0.25">
      <c r="B482" s="1490" t="s">
        <v>1149</v>
      </c>
      <c r="C482" s="1269">
        <v>0</v>
      </c>
      <c r="D482" s="1269">
        <v>0</v>
      </c>
      <c r="E482" s="1269">
        <v>0</v>
      </c>
      <c r="F482" s="1269">
        <v>0</v>
      </c>
      <c r="G482" s="1269">
        <v>0</v>
      </c>
      <c r="H482" s="1269">
        <v>0</v>
      </c>
      <c r="I482" s="1269">
        <v>0</v>
      </c>
      <c r="J482" s="1269">
        <v>0</v>
      </c>
      <c r="K482" s="1269">
        <v>0</v>
      </c>
      <c r="L482" s="1269">
        <v>0</v>
      </c>
      <c r="M482" s="1269">
        <v>0</v>
      </c>
      <c r="N482" s="1269">
        <v>0</v>
      </c>
      <c r="O482" s="1269">
        <v>0</v>
      </c>
      <c r="P482" s="1269">
        <v>0</v>
      </c>
      <c r="Q482" s="1269">
        <v>0</v>
      </c>
      <c r="R482" s="1269">
        <v>0</v>
      </c>
      <c r="S482" s="1269">
        <v>0</v>
      </c>
      <c r="T482" s="1269">
        <v>0</v>
      </c>
      <c r="U482" s="1269">
        <v>0</v>
      </c>
      <c r="V482" s="1269">
        <v>0</v>
      </c>
      <c r="W482" s="1269">
        <v>0</v>
      </c>
      <c r="X482" s="1269">
        <v>0</v>
      </c>
      <c r="Y482" s="1269">
        <v>0</v>
      </c>
      <c r="Z482" s="1269">
        <v>0</v>
      </c>
      <c r="AA482" s="1263">
        <f>SUM(C482:Z482)</f>
        <v>0</v>
      </c>
      <c r="AB482" s="1264">
        <f>AA482*SUM($C$14)</f>
        <v>0</v>
      </c>
      <c r="AE482" s="2140"/>
    </row>
    <row r="483" spans="2:31" s="395" customFormat="1" x14ac:dyDescent="0.25">
      <c r="B483" s="1490" t="s">
        <v>1150</v>
      </c>
      <c r="C483" s="1269">
        <v>0</v>
      </c>
      <c r="D483" s="1269">
        <v>0</v>
      </c>
      <c r="E483" s="1269">
        <v>0</v>
      </c>
      <c r="F483" s="1269">
        <v>0</v>
      </c>
      <c r="G483" s="1269">
        <v>0</v>
      </c>
      <c r="H483" s="1269">
        <v>0</v>
      </c>
      <c r="I483" s="1269">
        <v>0</v>
      </c>
      <c r="J483" s="1269">
        <v>0</v>
      </c>
      <c r="K483" s="1269">
        <v>0</v>
      </c>
      <c r="L483" s="1269">
        <v>0</v>
      </c>
      <c r="M483" s="1269">
        <v>0</v>
      </c>
      <c r="N483" s="1269">
        <v>0</v>
      </c>
      <c r="O483" s="1269">
        <v>0</v>
      </c>
      <c r="P483" s="1269">
        <v>0</v>
      </c>
      <c r="Q483" s="1269">
        <v>0</v>
      </c>
      <c r="R483" s="1269">
        <v>0</v>
      </c>
      <c r="S483" s="1269">
        <v>0</v>
      </c>
      <c r="T483" s="1269">
        <v>0</v>
      </c>
      <c r="U483" s="1269">
        <v>0</v>
      </c>
      <c r="V483" s="1269">
        <v>0</v>
      </c>
      <c r="W483" s="1269">
        <v>0</v>
      </c>
      <c r="X483" s="1269">
        <v>0</v>
      </c>
      <c r="Y483" s="1269">
        <v>0</v>
      </c>
      <c r="Z483" s="1269">
        <v>0</v>
      </c>
      <c r="AA483" s="1263">
        <f>SUM(C483:Z483)</f>
        <v>0</v>
      </c>
      <c r="AB483" s="1264">
        <f>AA483*$C$15</f>
        <v>0</v>
      </c>
      <c r="AE483" s="2140"/>
    </row>
    <row r="484" spans="2:31" s="395" customFormat="1" x14ac:dyDescent="0.25">
      <c r="B484" s="1490" t="s">
        <v>1181</v>
      </c>
      <c r="C484" s="1269">
        <v>0</v>
      </c>
      <c r="D484" s="1269">
        <v>0</v>
      </c>
      <c r="E484" s="1269">
        <v>0</v>
      </c>
      <c r="F484" s="1269">
        <v>0</v>
      </c>
      <c r="G484" s="1269">
        <v>0</v>
      </c>
      <c r="H484" s="1269">
        <v>0</v>
      </c>
      <c r="I484" s="1269">
        <v>0</v>
      </c>
      <c r="J484" s="1269">
        <v>0</v>
      </c>
      <c r="K484" s="1269">
        <v>0</v>
      </c>
      <c r="L484" s="1269">
        <v>0</v>
      </c>
      <c r="M484" s="1269">
        <v>0</v>
      </c>
      <c r="N484" s="1269">
        <v>0</v>
      </c>
      <c r="O484" s="1269">
        <v>0</v>
      </c>
      <c r="P484" s="1269">
        <v>0</v>
      </c>
      <c r="Q484" s="1269">
        <v>0</v>
      </c>
      <c r="R484" s="1269">
        <v>0</v>
      </c>
      <c r="S484" s="1269">
        <v>0</v>
      </c>
      <c r="T484" s="1269">
        <v>0</v>
      </c>
      <c r="U484" s="1269">
        <v>0</v>
      </c>
      <c r="V484" s="1269">
        <v>0</v>
      </c>
      <c r="W484" s="1269">
        <v>0</v>
      </c>
      <c r="X484" s="1269">
        <v>0</v>
      </c>
      <c r="Y484" s="1269">
        <v>0</v>
      </c>
      <c r="Z484" s="1269">
        <v>0</v>
      </c>
      <c r="AA484" s="1263">
        <f>SUM(C484:Z484)</f>
        <v>0</v>
      </c>
      <c r="AB484" s="1264">
        <f>AA484*SUM($C$8)</f>
        <v>0</v>
      </c>
      <c r="AE484" s="2140"/>
    </row>
    <row r="485" spans="2:31" s="395" customFormat="1" x14ac:dyDescent="0.25">
      <c r="B485" s="3368" t="s">
        <v>1186</v>
      </c>
      <c r="C485" s="3368"/>
      <c r="D485" s="3368"/>
      <c r="E485" s="3368"/>
      <c r="F485" s="3368"/>
      <c r="G485" s="3368"/>
      <c r="H485" s="3368"/>
      <c r="I485" s="3368"/>
      <c r="J485" s="3368"/>
      <c r="K485" s="3368"/>
      <c r="L485" s="3368"/>
      <c r="M485" s="3368"/>
      <c r="N485" s="3368"/>
      <c r="O485" s="3368"/>
      <c r="P485" s="3368"/>
      <c r="Q485" s="3368"/>
      <c r="R485" s="3368"/>
      <c r="S485" s="3368"/>
      <c r="T485" s="3368"/>
      <c r="U485" s="3368"/>
      <c r="V485" s="3368"/>
      <c r="W485" s="3368"/>
      <c r="X485" s="3368"/>
      <c r="Y485" s="3368"/>
      <c r="Z485" s="3368"/>
      <c r="AA485" s="3368"/>
      <c r="AB485" s="1264">
        <f>SUM(AB481:AB484)</f>
        <v>175</v>
      </c>
      <c r="AE485" s="2140"/>
    </row>
    <row r="486" spans="2:31" s="395" customFormat="1" x14ac:dyDescent="0.25">
      <c r="B486" s="661"/>
      <c r="C486" s="661"/>
      <c r="D486" s="661"/>
      <c r="E486" s="661"/>
      <c r="F486" s="661"/>
      <c r="G486" s="661"/>
      <c r="H486" s="661"/>
      <c r="I486" s="661"/>
      <c r="J486" s="661"/>
      <c r="K486" s="661"/>
      <c r="L486" s="661"/>
      <c r="M486" s="661"/>
      <c r="N486" s="661"/>
      <c r="O486" s="661"/>
      <c r="P486" s="661"/>
      <c r="Q486" s="661"/>
      <c r="R486" s="661"/>
      <c r="S486" s="661"/>
      <c r="T486" s="661"/>
      <c r="U486" s="661"/>
      <c r="V486" s="661"/>
      <c r="W486" s="661"/>
      <c r="X486" s="661"/>
      <c r="Y486" s="661"/>
      <c r="Z486" s="661"/>
      <c r="AA486" s="661"/>
      <c r="AB486" s="661"/>
      <c r="AE486" s="2140"/>
    </row>
    <row r="487" spans="2:31" s="395" customFormat="1" x14ac:dyDescent="0.25">
      <c r="B487" s="667" t="s">
        <v>1364</v>
      </c>
      <c r="C487" s="661"/>
      <c r="D487" s="661"/>
      <c r="E487" s="661"/>
      <c r="F487" s="661"/>
      <c r="G487" s="661"/>
      <c r="H487" s="661"/>
      <c r="I487" s="661"/>
      <c r="J487" s="661"/>
      <c r="K487" s="661"/>
      <c r="L487" s="661"/>
      <c r="M487" s="661"/>
      <c r="N487" s="661"/>
      <c r="O487" s="661"/>
      <c r="P487" s="661"/>
      <c r="Q487" s="661"/>
      <c r="R487" s="661"/>
      <c r="S487" s="661"/>
      <c r="T487" s="661"/>
      <c r="U487" s="661"/>
      <c r="V487" s="661"/>
      <c r="W487" s="661"/>
      <c r="X487" s="661"/>
      <c r="Y487" s="661"/>
      <c r="Z487" s="661"/>
      <c r="AA487" s="661"/>
      <c r="AB487" s="661"/>
      <c r="AE487" s="2140"/>
    </row>
    <row r="488" spans="2:31" s="395" customFormat="1" x14ac:dyDescent="0.25">
      <c r="B488" s="661"/>
      <c r="C488" s="661"/>
      <c r="D488" s="661"/>
      <c r="E488" s="661"/>
      <c r="F488" s="661"/>
      <c r="G488" s="661"/>
      <c r="H488" s="661"/>
      <c r="I488" s="661"/>
      <c r="J488" s="661"/>
      <c r="K488" s="661"/>
      <c r="L488" s="661"/>
      <c r="M488" s="661"/>
      <c r="N488" s="661"/>
      <c r="O488" s="661"/>
      <c r="P488" s="661"/>
      <c r="Q488" s="661"/>
      <c r="R488" s="661"/>
      <c r="S488" s="661"/>
      <c r="T488" s="661"/>
      <c r="U488" s="661"/>
      <c r="V488" s="661"/>
      <c r="W488" s="661"/>
      <c r="X488" s="661"/>
      <c r="Y488" s="661"/>
      <c r="Z488" s="661"/>
      <c r="AA488" s="661"/>
      <c r="AB488" s="661"/>
      <c r="AE488" s="2140"/>
    </row>
    <row r="489" spans="2:31" s="395" customFormat="1" ht="15" customHeight="1" x14ac:dyDescent="0.25">
      <c r="B489" s="661" t="s">
        <v>1152</v>
      </c>
      <c r="C489" s="3367" t="s">
        <v>1365</v>
      </c>
      <c r="D489" s="3367"/>
      <c r="E489" s="3367"/>
      <c r="F489" s="3367"/>
      <c r="G489" s="3367"/>
      <c r="H489" s="3367"/>
      <c r="I489" s="3367"/>
      <c r="J489" s="3367"/>
      <c r="K489" s="3367"/>
      <c r="L489" s="3367"/>
      <c r="M489" s="3367"/>
      <c r="N489" s="3367"/>
      <c r="O489" s="3367"/>
      <c r="P489" s="3367"/>
      <c r="Q489" s="3367"/>
      <c r="R489" s="3367"/>
      <c r="S489" s="3367"/>
      <c r="T489" s="3367"/>
      <c r="U489" s="3367"/>
      <c r="V489" s="3367"/>
      <c r="W489" s="3367"/>
      <c r="X489" s="3367"/>
      <c r="Y489" s="3367"/>
      <c r="Z489" s="3367"/>
      <c r="AA489" s="3367"/>
      <c r="AB489" s="3367"/>
      <c r="AE489" s="2140"/>
    </row>
    <row r="490" spans="2:31" s="395" customFormat="1" x14ac:dyDescent="0.25">
      <c r="B490" s="661"/>
      <c r="C490" s="661"/>
      <c r="D490" s="661"/>
      <c r="E490" s="661"/>
      <c r="F490" s="661"/>
      <c r="G490" s="661"/>
      <c r="H490" s="661"/>
      <c r="I490" s="661"/>
      <c r="J490" s="661"/>
      <c r="K490" s="661"/>
      <c r="L490" s="661"/>
      <c r="M490" s="661"/>
      <c r="N490" s="661"/>
      <c r="O490" s="661"/>
      <c r="P490" s="661"/>
      <c r="Q490" s="661"/>
      <c r="R490" s="661"/>
      <c r="S490" s="661"/>
      <c r="T490" s="661"/>
      <c r="U490" s="661"/>
      <c r="V490" s="661"/>
      <c r="W490" s="661"/>
      <c r="X490" s="661"/>
      <c r="Y490" s="661"/>
      <c r="Z490" s="661"/>
      <c r="AA490" s="661"/>
      <c r="AB490" s="661"/>
      <c r="AE490" s="2140"/>
    </row>
    <row r="491" spans="2:31" s="1608" customFormat="1" ht="21" customHeight="1" x14ac:dyDescent="0.25">
      <c r="B491" s="1356"/>
      <c r="C491" s="1357" t="s">
        <v>1153</v>
      </c>
      <c r="D491" s="1356" t="s">
        <v>1154</v>
      </c>
      <c r="E491" s="1356" t="s">
        <v>1155</v>
      </c>
      <c r="F491" s="1356" t="s">
        <v>1156</v>
      </c>
      <c r="G491" s="1356" t="s">
        <v>1157</v>
      </c>
      <c r="H491" s="1356" t="s">
        <v>1158</v>
      </c>
      <c r="I491" s="1356" t="s">
        <v>1159</v>
      </c>
      <c r="J491" s="1356" t="s">
        <v>1160</v>
      </c>
      <c r="K491" s="1356" t="s">
        <v>1161</v>
      </c>
      <c r="L491" s="1356" t="s">
        <v>1162</v>
      </c>
      <c r="M491" s="1356" t="s">
        <v>1163</v>
      </c>
      <c r="N491" s="1356" t="s">
        <v>1164</v>
      </c>
      <c r="O491" s="1356" t="s">
        <v>1165</v>
      </c>
      <c r="P491" s="1356" t="s">
        <v>1166</v>
      </c>
      <c r="Q491" s="1356" t="s">
        <v>1167</v>
      </c>
      <c r="R491" s="1356" t="s">
        <v>1168</v>
      </c>
      <c r="S491" s="1356" t="s">
        <v>1169</v>
      </c>
      <c r="T491" s="1356" t="s">
        <v>1170</v>
      </c>
      <c r="U491" s="1356" t="s">
        <v>1171</v>
      </c>
      <c r="V491" s="1356" t="s">
        <v>1172</v>
      </c>
      <c r="W491" s="1356" t="s">
        <v>1173</v>
      </c>
      <c r="X491" s="1356" t="s">
        <v>1174</v>
      </c>
      <c r="Y491" s="1356" t="s">
        <v>1175</v>
      </c>
      <c r="Z491" s="1356" t="s">
        <v>1176</v>
      </c>
      <c r="AA491" s="1356" t="s">
        <v>1177</v>
      </c>
      <c r="AB491" s="1356" t="s">
        <v>1178</v>
      </c>
      <c r="AE491" s="2140"/>
    </row>
    <row r="492" spans="2:31" s="395" customFormat="1" x14ac:dyDescent="0.25">
      <c r="B492" s="1490" t="s">
        <v>1179</v>
      </c>
      <c r="C492" s="1270">
        <v>0</v>
      </c>
      <c r="D492" s="1270">
        <v>0</v>
      </c>
      <c r="E492" s="1270">
        <v>0</v>
      </c>
      <c r="F492" s="1270">
        <v>0</v>
      </c>
      <c r="G492" s="1270">
        <v>0</v>
      </c>
      <c r="H492" s="1270">
        <v>1</v>
      </c>
      <c r="I492" s="1270">
        <v>1</v>
      </c>
      <c r="J492" s="1270">
        <v>1</v>
      </c>
      <c r="K492" s="1270">
        <v>1</v>
      </c>
      <c r="L492" s="1270">
        <v>1</v>
      </c>
      <c r="M492" s="1270">
        <v>1</v>
      </c>
      <c r="N492" s="1270">
        <v>1</v>
      </c>
      <c r="O492" s="1270">
        <v>1</v>
      </c>
      <c r="P492" s="1270">
        <v>1</v>
      </c>
      <c r="Q492" s="1270">
        <v>1</v>
      </c>
      <c r="R492" s="1270">
        <v>1</v>
      </c>
      <c r="S492" s="1270">
        <v>1</v>
      </c>
      <c r="T492" s="1270">
        <v>1</v>
      </c>
      <c r="U492" s="1270">
        <v>1</v>
      </c>
      <c r="V492" s="1270">
        <v>1</v>
      </c>
      <c r="W492" s="1270">
        <v>1</v>
      </c>
      <c r="X492" s="1270">
        <v>1</v>
      </c>
      <c r="Y492" s="1270">
        <v>1</v>
      </c>
      <c r="Z492" s="1270">
        <v>0</v>
      </c>
      <c r="AA492" s="1263">
        <f>SUM(C492:Z492)</f>
        <v>18</v>
      </c>
      <c r="AB492" s="1264">
        <f>AA492*SUM($C$9:$C$13)</f>
        <v>4500</v>
      </c>
      <c r="AE492" s="2140"/>
    </row>
    <row r="493" spans="2:31" s="395" customFormat="1" x14ac:dyDescent="0.25">
      <c r="B493" s="1490" t="s">
        <v>1149</v>
      </c>
      <c r="C493" s="1270">
        <v>0</v>
      </c>
      <c r="D493" s="1270">
        <v>0</v>
      </c>
      <c r="E493" s="1270">
        <v>0</v>
      </c>
      <c r="F493" s="1270">
        <v>0</v>
      </c>
      <c r="G493" s="1270">
        <v>0</v>
      </c>
      <c r="H493" s="1270">
        <v>0</v>
      </c>
      <c r="I493" s="1270">
        <v>1</v>
      </c>
      <c r="J493" s="1270">
        <v>1</v>
      </c>
      <c r="K493" s="1270">
        <v>1</v>
      </c>
      <c r="L493" s="1270">
        <v>1</v>
      </c>
      <c r="M493" s="1270">
        <v>1</v>
      </c>
      <c r="N493" s="1270">
        <v>1</v>
      </c>
      <c r="O493" s="1270">
        <v>1</v>
      </c>
      <c r="P493" s="1270">
        <v>1</v>
      </c>
      <c r="Q493" s="1270">
        <v>1</v>
      </c>
      <c r="R493" s="1270">
        <v>1</v>
      </c>
      <c r="S493" s="1270">
        <v>1</v>
      </c>
      <c r="T493" s="1270">
        <v>1</v>
      </c>
      <c r="U493" s="1270">
        <v>1</v>
      </c>
      <c r="V493" s="1270">
        <v>1</v>
      </c>
      <c r="W493" s="1270">
        <v>1</v>
      </c>
      <c r="X493" s="1270">
        <v>1</v>
      </c>
      <c r="Y493" s="1270">
        <v>1</v>
      </c>
      <c r="Z493" s="1270">
        <v>0</v>
      </c>
      <c r="AA493" s="1263">
        <f>SUM(C493:Z493)</f>
        <v>17</v>
      </c>
      <c r="AB493" s="1264">
        <f>AA493*SUM($C$14)</f>
        <v>884</v>
      </c>
      <c r="AE493" s="2140"/>
    </row>
    <row r="494" spans="2:31" s="395" customFormat="1" x14ac:dyDescent="0.25">
      <c r="B494" s="1490" t="s">
        <v>1150</v>
      </c>
      <c r="C494" s="1270">
        <v>0</v>
      </c>
      <c r="D494" s="1270">
        <v>0</v>
      </c>
      <c r="E494" s="1270">
        <v>0</v>
      </c>
      <c r="F494" s="1270">
        <v>0</v>
      </c>
      <c r="G494" s="1270">
        <v>0</v>
      </c>
      <c r="H494" s="1270">
        <v>0</v>
      </c>
      <c r="I494" s="1270">
        <v>1</v>
      </c>
      <c r="J494" s="1270">
        <v>1</v>
      </c>
      <c r="K494" s="1270">
        <v>1</v>
      </c>
      <c r="L494" s="1270">
        <v>1</v>
      </c>
      <c r="M494" s="1270">
        <v>1</v>
      </c>
      <c r="N494" s="1270">
        <v>1</v>
      </c>
      <c r="O494" s="1270">
        <v>1</v>
      </c>
      <c r="P494" s="1270">
        <v>1</v>
      </c>
      <c r="Q494" s="1270">
        <v>1</v>
      </c>
      <c r="R494" s="1270">
        <v>1</v>
      </c>
      <c r="S494" s="1270">
        <v>1</v>
      </c>
      <c r="T494" s="1270">
        <v>1</v>
      </c>
      <c r="U494" s="1270">
        <v>1</v>
      </c>
      <c r="V494" s="1270">
        <v>1</v>
      </c>
      <c r="W494" s="1270">
        <v>1</v>
      </c>
      <c r="X494" s="1270">
        <v>1</v>
      </c>
      <c r="Y494" s="1270">
        <v>1</v>
      </c>
      <c r="Z494" s="1270">
        <v>0</v>
      </c>
      <c r="AA494" s="1263">
        <f>SUM(C494:Z494)</f>
        <v>17</v>
      </c>
      <c r="AB494" s="1264">
        <f>AA494*$C$15</f>
        <v>884</v>
      </c>
      <c r="AE494" s="2140"/>
    </row>
    <row r="495" spans="2:31" s="395" customFormat="1" x14ac:dyDescent="0.25">
      <c r="B495" s="1490" t="s">
        <v>1150</v>
      </c>
      <c r="C495" s="1270">
        <v>0</v>
      </c>
      <c r="D495" s="1270">
        <v>0</v>
      </c>
      <c r="E495" s="1270">
        <v>0</v>
      </c>
      <c r="F495" s="1270">
        <v>0</v>
      </c>
      <c r="G495" s="1270">
        <v>0</v>
      </c>
      <c r="H495" s="1270">
        <v>0</v>
      </c>
      <c r="I495" s="1270">
        <v>1</v>
      </c>
      <c r="J495" s="1270">
        <v>1</v>
      </c>
      <c r="K495" s="1270">
        <v>1</v>
      </c>
      <c r="L495" s="1270">
        <v>1</v>
      </c>
      <c r="M495" s="1270">
        <v>1</v>
      </c>
      <c r="N495" s="1270">
        <v>1</v>
      </c>
      <c r="O495" s="1270">
        <v>1</v>
      </c>
      <c r="P495" s="1270">
        <v>1</v>
      </c>
      <c r="Q495" s="1270">
        <v>1</v>
      </c>
      <c r="R495" s="1270">
        <v>1</v>
      </c>
      <c r="S495" s="1270">
        <v>1</v>
      </c>
      <c r="T495" s="1270">
        <v>1</v>
      </c>
      <c r="U495" s="1270">
        <v>1</v>
      </c>
      <c r="V495" s="1270">
        <v>1</v>
      </c>
      <c r="W495" s="1270">
        <v>1</v>
      </c>
      <c r="X495" s="1270">
        <v>1</v>
      </c>
      <c r="Y495" s="1270">
        <v>1</v>
      </c>
      <c r="Z495" s="1270">
        <v>0</v>
      </c>
      <c r="AA495" s="1263">
        <f>SUM(C495:Z495)</f>
        <v>17</v>
      </c>
      <c r="AB495" s="1264">
        <f>AA495*SUM($C$8)</f>
        <v>187</v>
      </c>
      <c r="AE495" s="2140"/>
    </row>
    <row r="496" spans="2:31" s="395" customFormat="1" x14ac:dyDescent="0.25">
      <c r="B496" s="3368" t="s">
        <v>1182</v>
      </c>
      <c r="C496" s="3368"/>
      <c r="D496" s="3368"/>
      <c r="E496" s="3368"/>
      <c r="F496" s="3368"/>
      <c r="G496" s="3368"/>
      <c r="H496" s="3368"/>
      <c r="I496" s="3368"/>
      <c r="J496" s="3368"/>
      <c r="K496" s="3368"/>
      <c r="L496" s="3368"/>
      <c r="M496" s="3368"/>
      <c r="N496" s="3368"/>
      <c r="O496" s="3368"/>
      <c r="P496" s="3368"/>
      <c r="Q496" s="3368"/>
      <c r="R496" s="3368"/>
      <c r="S496" s="3368"/>
      <c r="T496" s="3368"/>
      <c r="U496" s="3368"/>
      <c r="V496" s="3368"/>
      <c r="W496" s="3368"/>
      <c r="X496" s="3368"/>
      <c r="Y496" s="3368"/>
      <c r="Z496" s="3368"/>
      <c r="AA496" s="3368"/>
      <c r="AB496" s="1264">
        <f>SUM(AB492:AB495)</f>
        <v>6455</v>
      </c>
      <c r="AE496" s="2140"/>
    </row>
    <row r="497" spans="2:31" s="395" customFormat="1" x14ac:dyDescent="0.25">
      <c r="B497" s="661"/>
      <c r="C497" s="661"/>
      <c r="D497" s="661"/>
      <c r="E497" s="661"/>
      <c r="F497" s="661"/>
      <c r="G497" s="661"/>
      <c r="H497" s="661"/>
      <c r="I497" s="661"/>
      <c r="J497" s="661"/>
      <c r="K497" s="661"/>
      <c r="L497" s="661"/>
      <c r="M497" s="661"/>
      <c r="N497" s="661"/>
      <c r="O497" s="661"/>
      <c r="P497" s="661"/>
      <c r="Q497" s="661"/>
      <c r="R497" s="661"/>
      <c r="S497" s="661"/>
      <c r="T497" s="661"/>
      <c r="U497" s="661"/>
      <c r="V497" s="661"/>
      <c r="W497" s="661"/>
      <c r="X497" s="661"/>
      <c r="Y497" s="661"/>
      <c r="Z497" s="661"/>
      <c r="AA497" s="661"/>
      <c r="AB497" s="661"/>
      <c r="AE497" s="2140"/>
    </row>
    <row r="498" spans="2:31" s="395" customFormat="1" ht="15" customHeight="1" x14ac:dyDescent="0.25">
      <c r="B498" s="661" t="s">
        <v>1152</v>
      </c>
      <c r="C498" s="3367" t="s">
        <v>1366</v>
      </c>
      <c r="D498" s="3367"/>
      <c r="E498" s="3367"/>
      <c r="F498" s="3367"/>
      <c r="G498" s="3367"/>
      <c r="H498" s="3367"/>
      <c r="I498" s="3367"/>
      <c r="J498" s="3367"/>
      <c r="K498" s="3367"/>
      <c r="L498" s="3367"/>
      <c r="M498" s="3367"/>
      <c r="N498" s="3367"/>
      <c r="O498" s="3367"/>
      <c r="P498" s="3367"/>
      <c r="Q498" s="3367"/>
      <c r="R498" s="3367"/>
      <c r="S498" s="3367"/>
      <c r="T498" s="3367"/>
      <c r="U498" s="3367"/>
      <c r="V498" s="3367"/>
      <c r="W498" s="3367"/>
      <c r="X498" s="3367"/>
      <c r="Y498" s="3367"/>
      <c r="Z498" s="3367"/>
      <c r="AA498" s="3367"/>
      <c r="AB498" s="3367"/>
      <c r="AE498" s="2140"/>
    </row>
    <row r="499" spans="2:31" s="395" customFormat="1" x14ac:dyDescent="0.25">
      <c r="B499" s="661"/>
      <c r="C499" s="661"/>
      <c r="D499" s="661"/>
      <c r="E499" s="661"/>
      <c r="F499" s="661"/>
      <c r="G499" s="661"/>
      <c r="H499" s="661"/>
      <c r="I499" s="661"/>
      <c r="J499" s="661"/>
      <c r="K499" s="661"/>
      <c r="L499" s="661"/>
      <c r="M499" s="661"/>
      <c r="N499" s="661"/>
      <c r="O499" s="661"/>
      <c r="P499" s="661"/>
      <c r="Q499" s="661"/>
      <c r="R499" s="661"/>
      <c r="S499" s="661"/>
      <c r="T499" s="661"/>
      <c r="U499" s="661"/>
      <c r="V499" s="661"/>
      <c r="W499" s="661"/>
      <c r="X499" s="661"/>
      <c r="Y499" s="661"/>
      <c r="Z499" s="661"/>
      <c r="AA499" s="661"/>
      <c r="AB499" s="661"/>
      <c r="AE499" s="2140"/>
    </row>
    <row r="500" spans="2:31" s="1608" customFormat="1" ht="21" customHeight="1" x14ac:dyDescent="0.25">
      <c r="B500" s="1356"/>
      <c r="C500" s="1357" t="s">
        <v>1153</v>
      </c>
      <c r="D500" s="1356" t="s">
        <v>1154</v>
      </c>
      <c r="E500" s="1356" t="s">
        <v>1155</v>
      </c>
      <c r="F500" s="1356" t="s">
        <v>1156</v>
      </c>
      <c r="G500" s="1356" t="s">
        <v>1157</v>
      </c>
      <c r="H500" s="1356" t="s">
        <v>1158</v>
      </c>
      <c r="I500" s="1356" t="s">
        <v>1159</v>
      </c>
      <c r="J500" s="1356" t="s">
        <v>1160</v>
      </c>
      <c r="K500" s="1356" t="s">
        <v>1161</v>
      </c>
      <c r="L500" s="1356" t="s">
        <v>1162</v>
      </c>
      <c r="M500" s="1356" t="s">
        <v>1163</v>
      </c>
      <c r="N500" s="1356" t="s">
        <v>1164</v>
      </c>
      <c r="O500" s="1356" t="s">
        <v>1165</v>
      </c>
      <c r="P500" s="1356" t="s">
        <v>1166</v>
      </c>
      <c r="Q500" s="1356" t="s">
        <v>1167</v>
      </c>
      <c r="R500" s="1356" t="s">
        <v>1168</v>
      </c>
      <c r="S500" s="1356" t="s">
        <v>1169</v>
      </c>
      <c r="T500" s="1356" t="s">
        <v>1170</v>
      </c>
      <c r="U500" s="1356" t="s">
        <v>1171</v>
      </c>
      <c r="V500" s="1356" t="s">
        <v>1172</v>
      </c>
      <c r="W500" s="1356" t="s">
        <v>1173</v>
      </c>
      <c r="X500" s="1356" t="s">
        <v>1174</v>
      </c>
      <c r="Y500" s="1356" t="s">
        <v>1175</v>
      </c>
      <c r="Z500" s="1356" t="s">
        <v>1176</v>
      </c>
      <c r="AA500" s="1356" t="s">
        <v>1184</v>
      </c>
      <c r="AB500" s="1356" t="s">
        <v>1185</v>
      </c>
      <c r="AE500" s="2140"/>
    </row>
    <row r="501" spans="2:31" s="395" customFormat="1" x14ac:dyDescent="0.25">
      <c r="B501" s="1490" t="s">
        <v>1179</v>
      </c>
      <c r="C501" s="1269">
        <v>0</v>
      </c>
      <c r="D501" s="1269">
        <v>0</v>
      </c>
      <c r="E501" s="1269">
        <v>0</v>
      </c>
      <c r="F501" s="1269">
        <v>0</v>
      </c>
      <c r="G501" s="1269">
        <v>0</v>
      </c>
      <c r="H501" s="1269">
        <v>0</v>
      </c>
      <c r="I501" s="1269">
        <v>0</v>
      </c>
      <c r="J501" s="1269">
        <v>0</v>
      </c>
      <c r="K501" s="1269">
        <v>0.2</v>
      </c>
      <c r="L501" s="1269">
        <v>0.2</v>
      </c>
      <c r="M501" s="1269">
        <v>0.2</v>
      </c>
      <c r="N501" s="1269">
        <v>0.8</v>
      </c>
      <c r="O501" s="1269">
        <v>0.8</v>
      </c>
      <c r="P501" s="1269">
        <v>0.8</v>
      </c>
      <c r="Q501" s="1269">
        <v>0.8</v>
      </c>
      <c r="R501" s="1269">
        <v>0.8</v>
      </c>
      <c r="S501" s="1269">
        <v>0.8</v>
      </c>
      <c r="T501" s="1269">
        <v>0.8</v>
      </c>
      <c r="U501" s="1269">
        <v>0.2</v>
      </c>
      <c r="V501" s="1269">
        <v>0.2</v>
      </c>
      <c r="W501" s="1269">
        <v>0.2</v>
      </c>
      <c r="X501" s="1269">
        <v>0.2</v>
      </c>
      <c r="Y501" s="1269">
        <v>0.1</v>
      </c>
      <c r="Z501" s="1269">
        <v>0</v>
      </c>
      <c r="AA501" s="1263">
        <f>SUM(C501:Z501)</f>
        <v>7.1</v>
      </c>
      <c r="AB501" s="1264">
        <f>AA501*SUM($C$9:$C$13)</f>
        <v>1775</v>
      </c>
      <c r="AE501" s="2140"/>
    </row>
    <row r="502" spans="2:31" s="395" customFormat="1" x14ac:dyDescent="0.25">
      <c r="B502" s="1490" t="s">
        <v>1149</v>
      </c>
      <c r="C502" s="1269">
        <v>0</v>
      </c>
      <c r="D502" s="1269">
        <v>0</v>
      </c>
      <c r="E502" s="1269">
        <v>0</v>
      </c>
      <c r="F502" s="1269">
        <v>0</v>
      </c>
      <c r="G502" s="1269">
        <v>0</v>
      </c>
      <c r="H502" s="1269">
        <v>0</v>
      </c>
      <c r="I502" s="1269">
        <v>0</v>
      </c>
      <c r="J502" s="1269">
        <v>0</v>
      </c>
      <c r="K502" s="1269">
        <v>0.2</v>
      </c>
      <c r="L502" s="1269">
        <v>0.2</v>
      </c>
      <c r="M502" s="1269">
        <v>0.2</v>
      </c>
      <c r="N502" s="1269">
        <v>0.6</v>
      </c>
      <c r="O502" s="1269">
        <v>0.6</v>
      </c>
      <c r="P502" s="1269">
        <v>0.6</v>
      </c>
      <c r="Q502" s="1269">
        <v>0.6</v>
      </c>
      <c r="R502" s="1269">
        <v>0.6</v>
      </c>
      <c r="S502" s="1269">
        <v>0.6</v>
      </c>
      <c r="T502" s="1269">
        <v>0.6</v>
      </c>
      <c r="U502" s="1269">
        <v>0.6</v>
      </c>
      <c r="V502" s="1269">
        <v>0.6</v>
      </c>
      <c r="W502" s="1269">
        <v>0.6</v>
      </c>
      <c r="X502" s="1269">
        <v>0.8</v>
      </c>
      <c r="Y502" s="1269">
        <v>0.1</v>
      </c>
      <c r="Z502" s="1269">
        <v>0</v>
      </c>
      <c r="AA502" s="1263">
        <f>SUM(C502:Z502)</f>
        <v>7.4999999999999982</v>
      </c>
      <c r="AB502" s="1264">
        <f>AA502*SUM($C$14)</f>
        <v>389.99999999999989</v>
      </c>
      <c r="AE502" s="2140"/>
    </row>
    <row r="503" spans="2:31" s="395" customFormat="1" x14ac:dyDescent="0.25">
      <c r="B503" s="1490" t="s">
        <v>1150</v>
      </c>
      <c r="C503" s="1269">
        <v>0</v>
      </c>
      <c r="D503" s="1269">
        <v>0</v>
      </c>
      <c r="E503" s="1269">
        <v>0</v>
      </c>
      <c r="F503" s="1269">
        <v>0</v>
      </c>
      <c r="G503" s="1269">
        <v>0</v>
      </c>
      <c r="H503" s="1269">
        <v>0</v>
      </c>
      <c r="I503" s="1269">
        <v>0</v>
      </c>
      <c r="J503" s="1269">
        <v>0</v>
      </c>
      <c r="K503" s="1269">
        <v>0.1</v>
      </c>
      <c r="L503" s="1269">
        <v>0.1</v>
      </c>
      <c r="M503" s="1269">
        <v>0.1</v>
      </c>
      <c r="N503" s="1269">
        <v>0.1</v>
      </c>
      <c r="O503" s="1269">
        <v>0.1</v>
      </c>
      <c r="P503" s="1269">
        <v>0.7</v>
      </c>
      <c r="Q503" s="1269">
        <v>0.7</v>
      </c>
      <c r="R503" s="1269">
        <v>0.7</v>
      </c>
      <c r="S503" s="1269">
        <v>0.7</v>
      </c>
      <c r="T503" s="1269">
        <v>0.7</v>
      </c>
      <c r="U503" s="1269">
        <v>0.7</v>
      </c>
      <c r="V503" s="1269">
        <v>0.7</v>
      </c>
      <c r="W503" s="1269">
        <v>0.7</v>
      </c>
      <c r="X503" s="1269">
        <v>0.7</v>
      </c>
      <c r="Y503" s="1269">
        <v>0.2</v>
      </c>
      <c r="Z503" s="1269">
        <v>0</v>
      </c>
      <c r="AA503" s="1263">
        <f>SUM(C503:Z503)</f>
        <v>7.0000000000000009</v>
      </c>
      <c r="AB503" s="1264">
        <f>AA503*$C$15</f>
        <v>364.00000000000006</v>
      </c>
      <c r="AE503" s="2140"/>
    </row>
    <row r="504" spans="2:31" s="395" customFormat="1" x14ac:dyDescent="0.25">
      <c r="B504" s="1490" t="s">
        <v>1150</v>
      </c>
      <c r="C504" s="1269">
        <v>0</v>
      </c>
      <c r="D504" s="1269">
        <v>0</v>
      </c>
      <c r="E504" s="1269">
        <v>0</v>
      </c>
      <c r="F504" s="1269">
        <v>0</v>
      </c>
      <c r="G504" s="1269">
        <v>0</v>
      </c>
      <c r="H504" s="1269">
        <v>0</v>
      </c>
      <c r="I504" s="1269">
        <v>0</v>
      </c>
      <c r="J504" s="1269">
        <v>0</v>
      </c>
      <c r="K504" s="1269">
        <v>0.1</v>
      </c>
      <c r="L504" s="1269">
        <v>0.1</v>
      </c>
      <c r="M504" s="1269">
        <v>0.1</v>
      </c>
      <c r="N504" s="1269">
        <v>0.1</v>
      </c>
      <c r="O504" s="1269">
        <v>0.1</v>
      </c>
      <c r="P504" s="1269">
        <v>0.7</v>
      </c>
      <c r="Q504" s="1269">
        <v>0.7</v>
      </c>
      <c r="R504" s="1269">
        <v>0.7</v>
      </c>
      <c r="S504" s="1269">
        <v>0.7</v>
      </c>
      <c r="T504" s="1269">
        <v>0.7</v>
      </c>
      <c r="U504" s="1269">
        <v>0.7</v>
      </c>
      <c r="V504" s="1269">
        <v>0.7</v>
      </c>
      <c r="W504" s="1269">
        <v>0.7</v>
      </c>
      <c r="X504" s="1269">
        <v>0.7</v>
      </c>
      <c r="Y504" s="1269">
        <v>0.2</v>
      </c>
      <c r="Z504" s="1269">
        <v>0</v>
      </c>
      <c r="AA504" s="1263">
        <f>SUM(C504:Z504)</f>
        <v>7.0000000000000009</v>
      </c>
      <c r="AB504" s="1264">
        <f>AA504*SUM($C$8)</f>
        <v>77.000000000000014</v>
      </c>
      <c r="AE504" s="2140"/>
    </row>
    <row r="505" spans="2:31" s="395" customFormat="1" x14ac:dyDescent="0.25">
      <c r="B505" s="3368" t="s">
        <v>1186</v>
      </c>
      <c r="C505" s="3368"/>
      <c r="D505" s="3368"/>
      <c r="E505" s="3368"/>
      <c r="F505" s="3368"/>
      <c r="G505" s="3368"/>
      <c r="H505" s="3368"/>
      <c r="I505" s="3368"/>
      <c r="J505" s="3368"/>
      <c r="K505" s="3368"/>
      <c r="L505" s="3368"/>
      <c r="M505" s="3368"/>
      <c r="N505" s="3368"/>
      <c r="O505" s="3368"/>
      <c r="P505" s="3368"/>
      <c r="Q505" s="3368"/>
      <c r="R505" s="3368"/>
      <c r="S505" s="3368"/>
      <c r="T505" s="3368"/>
      <c r="U505" s="3368"/>
      <c r="V505" s="3368"/>
      <c r="W505" s="3368"/>
      <c r="X505" s="3368"/>
      <c r="Y505" s="3368"/>
      <c r="Z505" s="3368"/>
      <c r="AA505" s="3368"/>
      <c r="AB505" s="1264">
        <f>SUM(AB501:AB504)</f>
        <v>2606</v>
      </c>
      <c r="AE505" s="2140"/>
    </row>
    <row r="506" spans="2:31" s="395" customFormat="1" x14ac:dyDescent="0.25">
      <c r="B506" s="661"/>
      <c r="C506" s="661"/>
      <c r="D506" s="661"/>
      <c r="E506" s="661"/>
      <c r="F506" s="661"/>
      <c r="G506" s="661"/>
      <c r="H506" s="661"/>
      <c r="I506" s="661"/>
      <c r="J506" s="661"/>
      <c r="K506" s="661"/>
      <c r="L506" s="661"/>
      <c r="M506" s="661"/>
      <c r="N506" s="661"/>
      <c r="O506" s="661"/>
      <c r="P506" s="661"/>
      <c r="Q506" s="661"/>
      <c r="R506" s="661"/>
      <c r="S506" s="661"/>
      <c r="T506" s="661"/>
      <c r="U506" s="661"/>
      <c r="V506" s="661"/>
      <c r="W506" s="661"/>
      <c r="X506" s="661"/>
      <c r="Y506" s="661"/>
      <c r="Z506" s="661"/>
      <c r="AA506" s="661"/>
      <c r="AB506" s="661"/>
      <c r="AE506" s="2140"/>
    </row>
    <row r="507" spans="2:31" s="395" customFormat="1" ht="15" customHeight="1" x14ac:dyDescent="0.25">
      <c r="B507" s="661" t="s">
        <v>1152</v>
      </c>
      <c r="C507" s="3367" t="s">
        <v>1367</v>
      </c>
      <c r="D507" s="3367"/>
      <c r="E507" s="3367"/>
      <c r="F507" s="3367"/>
      <c r="G507" s="3367"/>
      <c r="H507" s="3367"/>
      <c r="I507" s="3367"/>
      <c r="J507" s="3367"/>
      <c r="K507" s="3367"/>
      <c r="L507" s="3367"/>
      <c r="M507" s="3367"/>
      <c r="N507" s="3367"/>
      <c r="O507" s="3367"/>
      <c r="P507" s="3367"/>
      <c r="Q507" s="3367"/>
      <c r="R507" s="3367"/>
      <c r="S507" s="3367"/>
      <c r="T507" s="3367"/>
      <c r="U507" s="3367"/>
      <c r="V507" s="3367"/>
      <c r="W507" s="3367"/>
      <c r="X507" s="3367"/>
      <c r="Y507" s="3367"/>
      <c r="Z507" s="3367"/>
      <c r="AA507" s="3367"/>
      <c r="AB507" s="3367"/>
      <c r="AE507" s="2140"/>
    </row>
    <row r="508" spans="2:31" s="395" customFormat="1" x14ac:dyDescent="0.25">
      <c r="B508" s="661"/>
      <c r="C508" s="661"/>
      <c r="D508" s="661"/>
      <c r="E508" s="661"/>
      <c r="F508" s="661"/>
      <c r="G508" s="661"/>
      <c r="H508" s="661"/>
      <c r="I508" s="661"/>
      <c r="J508" s="661"/>
      <c r="K508" s="661"/>
      <c r="L508" s="661"/>
      <c r="M508" s="661"/>
      <c r="N508" s="661"/>
      <c r="O508" s="661"/>
      <c r="P508" s="661"/>
      <c r="Q508" s="661"/>
      <c r="R508" s="661"/>
      <c r="S508" s="661"/>
      <c r="T508" s="661"/>
      <c r="U508" s="661"/>
      <c r="V508" s="661"/>
      <c r="W508" s="661"/>
      <c r="X508" s="661"/>
      <c r="Y508" s="661"/>
      <c r="Z508" s="661"/>
      <c r="AA508" s="661"/>
      <c r="AB508" s="661"/>
      <c r="AE508" s="2140"/>
    </row>
    <row r="509" spans="2:31" s="1608" customFormat="1" ht="21" customHeight="1" x14ac:dyDescent="0.25">
      <c r="B509" s="1356"/>
      <c r="C509" s="1357" t="s">
        <v>1153</v>
      </c>
      <c r="D509" s="1356" t="s">
        <v>1154</v>
      </c>
      <c r="E509" s="1356" t="s">
        <v>1155</v>
      </c>
      <c r="F509" s="1356" t="s">
        <v>1156</v>
      </c>
      <c r="G509" s="1356" t="s">
        <v>1157</v>
      </c>
      <c r="H509" s="1356" t="s">
        <v>1158</v>
      </c>
      <c r="I509" s="1356" t="s">
        <v>1159</v>
      </c>
      <c r="J509" s="1356" t="s">
        <v>1160</v>
      </c>
      <c r="K509" s="1356" t="s">
        <v>1161</v>
      </c>
      <c r="L509" s="1356" t="s">
        <v>1162</v>
      </c>
      <c r="M509" s="1356" t="s">
        <v>1163</v>
      </c>
      <c r="N509" s="1356" t="s">
        <v>1164</v>
      </c>
      <c r="O509" s="1356" t="s">
        <v>1165</v>
      </c>
      <c r="P509" s="1356" t="s">
        <v>1166</v>
      </c>
      <c r="Q509" s="1356" t="s">
        <v>1167</v>
      </c>
      <c r="R509" s="1356" t="s">
        <v>1168</v>
      </c>
      <c r="S509" s="1356" t="s">
        <v>1169</v>
      </c>
      <c r="T509" s="1356" t="s">
        <v>1170</v>
      </c>
      <c r="U509" s="1356" t="s">
        <v>1171</v>
      </c>
      <c r="V509" s="1356" t="s">
        <v>1172</v>
      </c>
      <c r="W509" s="1356" t="s">
        <v>1173</v>
      </c>
      <c r="X509" s="1356" t="s">
        <v>1174</v>
      </c>
      <c r="Y509" s="1356" t="s">
        <v>1175</v>
      </c>
      <c r="Z509" s="1356" t="s">
        <v>1176</v>
      </c>
      <c r="AA509" s="1356" t="s">
        <v>1184</v>
      </c>
      <c r="AB509" s="1356" t="s">
        <v>1185</v>
      </c>
      <c r="AE509" s="2140"/>
    </row>
    <row r="510" spans="2:31" s="395" customFormat="1" x14ac:dyDescent="0.25">
      <c r="B510" s="1490" t="s">
        <v>1179</v>
      </c>
      <c r="C510" s="1269">
        <v>0.05</v>
      </c>
      <c r="D510" s="1269">
        <v>0.05</v>
      </c>
      <c r="E510" s="1269">
        <v>0.05</v>
      </c>
      <c r="F510" s="1269">
        <v>0.05</v>
      </c>
      <c r="G510" s="1269">
        <v>0.05</v>
      </c>
      <c r="H510" s="1269">
        <v>0.05</v>
      </c>
      <c r="I510" s="1269">
        <v>0.35</v>
      </c>
      <c r="J510" s="1269">
        <v>0.35</v>
      </c>
      <c r="K510" s="1269">
        <v>0.35</v>
      </c>
      <c r="L510" s="1269">
        <v>0.65</v>
      </c>
      <c r="M510" s="1269">
        <v>0.65</v>
      </c>
      <c r="N510" s="1269">
        <v>0.65</v>
      </c>
      <c r="O510" s="1269">
        <v>0.65</v>
      </c>
      <c r="P510" s="1269">
        <v>0.65</v>
      </c>
      <c r="Q510" s="1269">
        <v>0.65</v>
      </c>
      <c r="R510" s="1269">
        <v>0.65</v>
      </c>
      <c r="S510" s="1269">
        <v>0.65</v>
      </c>
      <c r="T510" s="1269">
        <v>0.65</v>
      </c>
      <c r="U510" s="1269">
        <v>0.65</v>
      </c>
      <c r="V510" s="1269">
        <v>0.65</v>
      </c>
      <c r="W510" s="1269">
        <v>0.65</v>
      </c>
      <c r="X510" s="1269">
        <v>0.65</v>
      </c>
      <c r="Y510" s="1269">
        <v>0.25</v>
      </c>
      <c r="Z510" s="1269">
        <v>0.05</v>
      </c>
      <c r="AA510" s="1263">
        <f>SUM(C510:Z510)</f>
        <v>10.100000000000003</v>
      </c>
      <c r="AB510" s="1264">
        <f>AA510*SUM($C$9:$C$13)</f>
        <v>2525.0000000000009</v>
      </c>
      <c r="AE510" s="2140"/>
    </row>
    <row r="511" spans="2:31" s="395" customFormat="1" x14ac:dyDescent="0.25">
      <c r="B511" s="1490" t="s">
        <v>1149</v>
      </c>
      <c r="C511" s="1269">
        <v>0.05</v>
      </c>
      <c r="D511" s="1269">
        <v>0.05</v>
      </c>
      <c r="E511" s="1269">
        <v>0.05</v>
      </c>
      <c r="F511" s="1269">
        <v>0.05</v>
      </c>
      <c r="G511" s="1269">
        <v>0.05</v>
      </c>
      <c r="H511" s="1269">
        <v>0.05</v>
      </c>
      <c r="I511" s="1269">
        <v>0.05</v>
      </c>
      <c r="J511" s="1269">
        <v>0.3</v>
      </c>
      <c r="K511" s="1269">
        <v>0.3</v>
      </c>
      <c r="L511" s="1269">
        <v>0.4</v>
      </c>
      <c r="M511" s="1269">
        <v>0.4</v>
      </c>
      <c r="N511" s="1269">
        <v>0.4</v>
      </c>
      <c r="O511" s="1269">
        <v>0.4</v>
      </c>
      <c r="P511" s="1269">
        <v>0.4</v>
      </c>
      <c r="Q511" s="1269">
        <v>0.4</v>
      </c>
      <c r="R511" s="1269">
        <v>0.4</v>
      </c>
      <c r="S511" s="1269">
        <v>0.4</v>
      </c>
      <c r="T511" s="1269">
        <v>0.4</v>
      </c>
      <c r="U511" s="1269">
        <v>0.4</v>
      </c>
      <c r="V511" s="1269">
        <v>0.4</v>
      </c>
      <c r="W511" s="1269">
        <v>0.4</v>
      </c>
      <c r="X511" s="1269">
        <v>0.4</v>
      </c>
      <c r="Y511" s="1269">
        <v>0.4</v>
      </c>
      <c r="Z511" s="1269">
        <v>0.05</v>
      </c>
      <c r="AA511" s="1263">
        <f>SUM(C511:Z511)</f>
        <v>6.6000000000000014</v>
      </c>
      <c r="AB511" s="1264">
        <f>AA511*SUM($C$14)</f>
        <v>343.20000000000005</v>
      </c>
      <c r="AE511" s="2140"/>
    </row>
    <row r="512" spans="2:31" s="395" customFormat="1" x14ac:dyDescent="0.25">
      <c r="B512" s="1490" t="s">
        <v>1150</v>
      </c>
      <c r="C512" s="1269">
        <v>0.05</v>
      </c>
      <c r="D512" s="1269">
        <v>0.05</v>
      </c>
      <c r="E512" s="1269">
        <v>0.05</v>
      </c>
      <c r="F512" s="1269">
        <v>0.05</v>
      </c>
      <c r="G512" s="1269">
        <v>0.05</v>
      </c>
      <c r="H512" s="1269">
        <v>0.05</v>
      </c>
      <c r="I512" s="1269">
        <v>0.05</v>
      </c>
      <c r="J512" s="1269">
        <v>0.3</v>
      </c>
      <c r="K512" s="1269">
        <v>0.3</v>
      </c>
      <c r="L512" s="1269">
        <v>0.3</v>
      </c>
      <c r="M512" s="1269">
        <v>0.3</v>
      </c>
      <c r="N512" s="1269">
        <v>0.3</v>
      </c>
      <c r="O512" s="1269">
        <v>0.55000000000000004</v>
      </c>
      <c r="P512" s="1269">
        <v>0.55000000000000004</v>
      </c>
      <c r="Q512" s="1269">
        <v>0.55000000000000004</v>
      </c>
      <c r="R512" s="1269">
        <v>0.55000000000000004</v>
      </c>
      <c r="S512" s="1269">
        <v>0.55000000000000004</v>
      </c>
      <c r="T512" s="1269">
        <v>0.55000000000000004</v>
      </c>
      <c r="U512" s="1269">
        <v>0.55000000000000004</v>
      </c>
      <c r="V512" s="1269">
        <v>0.55000000000000004</v>
      </c>
      <c r="W512" s="1269">
        <v>0.55000000000000004</v>
      </c>
      <c r="X512" s="1269">
        <v>0.55000000000000004</v>
      </c>
      <c r="Y512" s="1269">
        <v>0.05</v>
      </c>
      <c r="Z512" s="1269">
        <v>0.05</v>
      </c>
      <c r="AA512" s="1263">
        <f>SUM(C512:Z512)</f>
        <v>7.4499999999999984</v>
      </c>
      <c r="AB512" s="1264">
        <f>AA512*$C$15</f>
        <v>387.39999999999992</v>
      </c>
      <c r="AE512" s="2140"/>
    </row>
    <row r="513" spans="2:31" s="395" customFormat="1" x14ac:dyDescent="0.25">
      <c r="B513" s="1490" t="s">
        <v>1150</v>
      </c>
      <c r="C513" s="1269">
        <v>0.05</v>
      </c>
      <c r="D513" s="1269">
        <v>0.05</v>
      </c>
      <c r="E513" s="1269">
        <v>0.05</v>
      </c>
      <c r="F513" s="1269">
        <v>0.05</v>
      </c>
      <c r="G513" s="1269">
        <v>0.05</v>
      </c>
      <c r="H513" s="1269">
        <v>0.05</v>
      </c>
      <c r="I513" s="1269">
        <v>0.05</v>
      </c>
      <c r="J513" s="1269">
        <v>0.3</v>
      </c>
      <c r="K513" s="1269">
        <v>0.3</v>
      </c>
      <c r="L513" s="1269">
        <v>0.3</v>
      </c>
      <c r="M513" s="1269">
        <v>0.3</v>
      </c>
      <c r="N513" s="1269">
        <v>0.3</v>
      </c>
      <c r="O513" s="1269">
        <v>0.55000000000000004</v>
      </c>
      <c r="P513" s="1269">
        <v>0.55000000000000004</v>
      </c>
      <c r="Q513" s="1269">
        <v>0.55000000000000004</v>
      </c>
      <c r="R513" s="1269">
        <v>0.55000000000000004</v>
      </c>
      <c r="S513" s="1269">
        <v>0.55000000000000004</v>
      </c>
      <c r="T513" s="1269">
        <v>0.55000000000000004</v>
      </c>
      <c r="U513" s="1269">
        <v>0.55000000000000004</v>
      </c>
      <c r="V513" s="1269">
        <v>0.55000000000000004</v>
      </c>
      <c r="W513" s="1269">
        <v>0.55000000000000004</v>
      </c>
      <c r="X513" s="1269">
        <v>0.55000000000000004</v>
      </c>
      <c r="Y513" s="1269">
        <v>0.05</v>
      </c>
      <c r="Z513" s="1269">
        <v>0.05</v>
      </c>
      <c r="AA513" s="1263">
        <f>SUM(C513:Z513)</f>
        <v>7.4499999999999984</v>
      </c>
      <c r="AB513" s="1264">
        <f>AA513*SUM($C$8)</f>
        <v>81.949999999999989</v>
      </c>
      <c r="AE513" s="2140"/>
    </row>
    <row r="514" spans="2:31" s="395" customFormat="1" x14ac:dyDescent="0.25">
      <c r="B514" s="3368" t="s">
        <v>1186</v>
      </c>
      <c r="C514" s="3368"/>
      <c r="D514" s="3368"/>
      <c r="E514" s="3368"/>
      <c r="F514" s="3368"/>
      <c r="G514" s="3368"/>
      <c r="H514" s="3368"/>
      <c r="I514" s="3368"/>
      <c r="J514" s="3368"/>
      <c r="K514" s="3368"/>
      <c r="L514" s="3368"/>
      <c r="M514" s="3368"/>
      <c r="N514" s="3368"/>
      <c r="O514" s="3368"/>
      <c r="P514" s="3368"/>
      <c r="Q514" s="3368"/>
      <c r="R514" s="3368"/>
      <c r="S514" s="3368"/>
      <c r="T514" s="3368"/>
      <c r="U514" s="3368"/>
      <c r="V514" s="3368"/>
      <c r="W514" s="3368"/>
      <c r="X514" s="3368"/>
      <c r="Y514" s="3368"/>
      <c r="Z514" s="3368"/>
      <c r="AA514" s="3368"/>
      <c r="AB514" s="1264">
        <f>SUM(AB510:AB513)</f>
        <v>3337.5500000000006</v>
      </c>
      <c r="AE514" s="2140"/>
    </row>
    <row r="515" spans="2:31" s="395" customFormat="1" x14ac:dyDescent="0.25">
      <c r="B515" s="661"/>
      <c r="C515" s="661"/>
      <c r="D515" s="661"/>
      <c r="E515" s="661"/>
      <c r="F515" s="661"/>
      <c r="G515" s="661"/>
      <c r="H515" s="661"/>
      <c r="I515" s="661"/>
      <c r="J515" s="661"/>
      <c r="K515" s="661"/>
      <c r="L515" s="661"/>
      <c r="M515" s="661"/>
      <c r="N515" s="661"/>
      <c r="O515" s="661"/>
      <c r="P515" s="661"/>
      <c r="Q515" s="661"/>
      <c r="R515" s="661"/>
      <c r="S515" s="661"/>
      <c r="T515" s="661"/>
      <c r="U515" s="661"/>
      <c r="V515" s="661"/>
      <c r="W515" s="661"/>
      <c r="X515" s="661"/>
      <c r="Y515" s="661"/>
      <c r="Z515" s="661"/>
      <c r="AA515" s="661"/>
      <c r="AB515" s="661"/>
      <c r="AE515" s="2140"/>
    </row>
    <row r="516" spans="2:31" s="395" customFormat="1" ht="15" customHeight="1" x14ac:dyDescent="0.25">
      <c r="B516" s="661" t="s">
        <v>1152</v>
      </c>
      <c r="C516" s="3367" t="s">
        <v>1368</v>
      </c>
      <c r="D516" s="3367"/>
      <c r="E516" s="3367"/>
      <c r="F516" s="3367"/>
      <c r="G516" s="3367"/>
      <c r="H516" s="3367"/>
      <c r="I516" s="3367"/>
      <c r="J516" s="3367"/>
      <c r="K516" s="3367"/>
      <c r="L516" s="3367"/>
      <c r="M516" s="3367"/>
      <c r="N516" s="3367"/>
      <c r="O516" s="3367"/>
      <c r="P516" s="3367"/>
      <c r="Q516" s="3367"/>
      <c r="R516" s="3367"/>
      <c r="S516" s="3367"/>
      <c r="T516" s="3367"/>
      <c r="U516" s="3367"/>
      <c r="V516" s="3367"/>
      <c r="W516" s="3367"/>
      <c r="X516" s="3367"/>
      <c r="Y516" s="3367"/>
      <c r="Z516" s="3367"/>
      <c r="AA516" s="3367"/>
      <c r="AB516" s="3367"/>
      <c r="AE516" s="2140"/>
    </row>
    <row r="517" spans="2:31" s="395" customFormat="1" x14ac:dyDescent="0.25">
      <c r="B517" s="661"/>
      <c r="C517" s="661"/>
      <c r="D517" s="661"/>
      <c r="E517" s="661"/>
      <c r="F517" s="661"/>
      <c r="G517" s="661"/>
      <c r="H517" s="661"/>
      <c r="I517" s="661"/>
      <c r="J517" s="661"/>
      <c r="K517" s="661"/>
      <c r="L517" s="661"/>
      <c r="M517" s="661"/>
      <c r="N517" s="661"/>
      <c r="O517" s="661"/>
      <c r="P517" s="661"/>
      <c r="Q517" s="661"/>
      <c r="R517" s="661"/>
      <c r="S517" s="661"/>
      <c r="T517" s="661"/>
      <c r="U517" s="661"/>
      <c r="V517" s="661"/>
      <c r="W517" s="661"/>
      <c r="X517" s="661"/>
      <c r="Y517" s="661"/>
      <c r="Z517" s="661"/>
      <c r="AA517" s="661"/>
      <c r="AB517" s="661"/>
      <c r="AE517" s="2140"/>
    </row>
    <row r="518" spans="2:31" s="1608" customFormat="1" ht="21" customHeight="1" x14ac:dyDescent="0.25">
      <c r="B518" s="1356"/>
      <c r="C518" s="1357" t="s">
        <v>1153</v>
      </c>
      <c r="D518" s="1356" t="s">
        <v>1154</v>
      </c>
      <c r="E518" s="1356" t="s">
        <v>1155</v>
      </c>
      <c r="F518" s="1356" t="s">
        <v>1156</v>
      </c>
      <c r="G518" s="1356" t="s">
        <v>1157</v>
      </c>
      <c r="H518" s="1356" t="s">
        <v>1158</v>
      </c>
      <c r="I518" s="1356" t="s">
        <v>1159</v>
      </c>
      <c r="J518" s="1356" t="s">
        <v>1160</v>
      </c>
      <c r="K518" s="1356" t="s">
        <v>1161</v>
      </c>
      <c r="L518" s="1356" t="s">
        <v>1162</v>
      </c>
      <c r="M518" s="1356" t="s">
        <v>1163</v>
      </c>
      <c r="N518" s="1356" t="s">
        <v>1164</v>
      </c>
      <c r="O518" s="1356" t="s">
        <v>1165</v>
      </c>
      <c r="P518" s="1356" t="s">
        <v>1166</v>
      </c>
      <c r="Q518" s="1356" t="s">
        <v>1167</v>
      </c>
      <c r="R518" s="1356" t="s">
        <v>1168</v>
      </c>
      <c r="S518" s="1356" t="s">
        <v>1169</v>
      </c>
      <c r="T518" s="1356" t="s">
        <v>1170</v>
      </c>
      <c r="U518" s="1356" t="s">
        <v>1171</v>
      </c>
      <c r="V518" s="1356" t="s">
        <v>1172</v>
      </c>
      <c r="W518" s="1356" t="s">
        <v>1173</v>
      </c>
      <c r="X518" s="1356" t="s">
        <v>1174</v>
      </c>
      <c r="Y518" s="1356" t="s">
        <v>1175</v>
      </c>
      <c r="Z518" s="1356" t="s">
        <v>1176</v>
      </c>
      <c r="AA518" s="1356" t="s">
        <v>1184</v>
      </c>
      <c r="AB518" s="1356" t="s">
        <v>1185</v>
      </c>
      <c r="AE518" s="2140"/>
    </row>
    <row r="519" spans="2:31" s="395" customFormat="1" x14ac:dyDescent="0.25">
      <c r="B519" s="1490" t="s">
        <v>1179</v>
      </c>
      <c r="C519" s="1269">
        <v>0.05</v>
      </c>
      <c r="D519" s="1269">
        <v>0.05</v>
      </c>
      <c r="E519" s="1269">
        <v>0.05</v>
      </c>
      <c r="F519" s="1269">
        <v>0.05</v>
      </c>
      <c r="G519" s="1269">
        <v>0.05</v>
      </c>
      <c r="H519" s="1269">
        <v>0.05</v>
      </c>
      <c r="I519" s="1269">
        <v>0.4</v>
      </c>
      <c r="J519" s="1269">
        <v>0.4</v>
      </c>
      <c r="K519" s="1269">
        <v>0.4</v>
      </c>
      <c r="L519" s="1269">
        <v>0.75</v>
      </c>
      <c r="M519" s="1269">
        <v>0.75</v>
      </c>
      <c r="N519" s="1269">
        <v>0.75</v>
      </c>
      <c r="O519" s="1269">
        <v>0.75</v>
      </c>
      <c r="P519" s="1269">
        <v>0.75</v>
      </c>
      <c r="Q519" s="1269">
        <v>0.75</v>
      </c>
      <c r="R519" s="1269">
        <v>0.75</v>
      </c>
      <c r="S519" s="1269">
        <v>0.75</v>
      </c>
      <c r="T519" s="1269">
        <v>0.75</v>
      </c>
      <c r="U519" s="1269">
        <v>0.75</v>
      </c>
      <c r="V519" s="1269">
        <v>0.75</v>
      </c>
      <c r="W519" s="1269">
        <v>0.75</v>
      </c>
      <c r="X519" s="1269">
        <v>0.75</v>
      </c>
      <c r="Y519" s="1269">
        <v>0.25</v>
      </c>
      <c r="Z519" s="1269">
        <v>0.05</v>
      </c>
      <c r="AA519" s="1263">
        <f>SUM(C519:Z519)</f>
        <v>11.55</v>
      </c>
      <c r="AB519" s="1264">
        <f>AA519*SUM($C$9:$C$13)</f>
        <v>2887.5</v>
      </c>
      <c r="AE519" s="2140"/>
    </row>
    <row r="520" spans="2:31" s="395" customFormat="1" x14ac:dyDescent="0.25">
      <c r="B520" s="1490" t="s">
        <v>1149</v>
      </c>
      <c r="C520" s="1269">
        <v>0.05</v>
      </c>
      <c r="D520" s="1269">
        <v>0.05</v>
      </c>
      <c r="E520" s="1269">
        <v>0.05</v>
      </c>
      <c r="F520" s="1269">
        <v>0.05</v>
      </c>
      <c r="G520" s="1269">
        <v>0.05</v>
      </c>
      <c r="H520" s="1269">
        <v>0.05</v>
      </c>
      <c r="I520" s="1269">
        <v>0.05</v>
      </c>
      <c r="J520" s="1269">
        <v>0.3</v>
      </c>
      <c r="K520" s="1269">
        <v>0.3</v>
      </c>
      <c r="L520" s="1269">
        <v>0.5</v>
      </c>
      <c r="M520" s="1269">
        <v>0.5</v>
      </c>
      <c r="N520" s="1269">
        <v>0.5</v>
      </c>
      <c r="O520" s="1269">
        <v>0.5</v>
      </c>
      <c r="P520" s="1269">
        <v>0.5</v>
      </c>
      <c r="Q520" s="1269">
        <v>0.5</v>
      </c>
      <c r="R520" s="1269">
        <v>0.5</v>
      </c>
      <c r="S520" s="1269">
        <v>0.5</v>
      </c>
      <c r="T520" s="1269">
        <v>0.5</v>
      </c>
      <c r="U520" s="1269">
        <v>0.5</v>
      </c>
      <c r="V520" s="1269">
        <v>0.5</v>
      </c>
      <c r="W520" s="1269">
        <v>0.5</v>
      </c>
      <c r="X520" s="1269">
        <v>0.5</v>
      </c>
      <c r="Y520" s="1269">
        <v>0.5</v>
      </c>
      <c r="Z520" s="1269">
        <v>0.05</v>
      </c>
      <c r="AA520" s="1263">
        <f>SUM(C520:Z520)</f>
        <v>8</v>
      </c>
      <c r="AB520" s="1264">
        <f>AA520*SUM($C$14)</f>
        <v>416</v>
      </c>
      <c r="AE520" s="2140"/>
    </row>
    <row r="521" spans="2:31" s="395" customFormat="1" x14ac:dyDescent="0.25">
      <c r="B521" s="1490" t="s">
        <v>1150</v>
      </c>
      <c r="C521" s="1269">
        <v>0.05</v>
      </c>
      <c r="D521" s="1269">
        <v>0.05</v>
      </c>
      <c r="E521" s="1269">
        <v>0.05</v>
      </c>
      <c r="F521" s="1269">
        <v>0.05</v>
      </c>
      <c r="G521" s="1269">
        <v>0.05</v>
      </c>
      <c r="H521" s="1269">
        <v>0.05</v>
      </c>
      <c r="I521" s="1269">
        <v>0.05</v>
      </c>
      <c r="J521" s="1269">
        <v>0.3</v>
      </c>
      <c r="K521" s="1269">
        <v>0.3</v>
      </c>
      <c r="L521" s="1269">
        <v>0.3</v>
      </c>
      <c r="M521" s="1269">
        <v>0.3</v>
      </c>
      <c r="N521" s="1269">
        <v>0.3</v>
      </c>
      <c r="O521" s="1269">
        <v>0.65</v>
      </c>
      <c r="P521" s="1269">
        <v>0.65</v>
      </c>
      <c r="Q521" s="1269">
        <v>0.65</v>
      </c>
      <c r="R521" s="1269">
        <v>0.65</v>
      </c>
      <c r="S521" s="1269">
        <v>0.65</v>
      </c>
      <c r="T521" s="1269">
        <v>0.65</v>
      </c>
      <c r="U521" s="1269">
        <v>0.65</v>
      </c>
      <c r="V521" s="1269">
        <v>0.65</v>
      </c>
      <c r="W521" s="1269">
        <v>0.65</v>
      </c>
      <c r="X521" s="1269">
        <v>0.65</v>
      </c>
      <c r="Y521" s="1269">
        <v>0.05</v>
      </c>
      <c r="Z521" s="1269">
        <v>0.05</v>
      </c>
      <c r="AA521" s="1263">
        <f>SUM(C521:Z521)</f>
        <v>8.4500000000000028</v>
      </c>
      <c r="AB521" s="1264">
        <f>AA521*$C$15</f>
        <v>439.40000000000015</v>
      </c>
      <c r="AE521" s="2140"/>
    </row>
    <row r="522" spans="2:31" s="395" customFormat="1" x14ac:dyDescent="0.25">
      <c r="B522" s="1490" t="s">
        <v>1150</v>
      </c>
      <c r="C522" s="1269">
        <v>0.05</v>
      </c>
      <c r="D522" s="1269">
        <v>0.05</v>
      </c>
      <c r="E522" s="1269">
        <v>0.05</v>
      </c>
      <c r="F522" s="1269">
        <v>0.05</v>
      </c>
      <c r="G522" s="1269">
        <v>0.05</v>
      </c>
      <c r="H522" s="1269">
        <v>0.05</v>
      </c>
      <c r="I522" s="1269">
        <v>0.05</v>
      </c>
      <c r="J522" s="1269">
        <v>0.3</v>
      </c>
      <c r="K522" s="1269">
        <v>0.3</v>
      </c>
      <c r="L522" s="1269">
        <v>0.3</v>
      </c>
      <c r="M522" s="1269">
        <v>0.3</v>
      </c>
      <c r="N522" s="1269">
        <v>0.3</v>
      </c>
      <c r="O522" s="1269">
        <v>0.65</v>
      </c>
      <c r="P522" s="1269">
        <v>0.65</v>
      </c>
      <c r="Q522" s="1269">
        <v>0.65</v>
      </c>
      <c r="R522" s="1269">
        <v>0.65</v>
      </c>
      <c r="S522" s="1269">
        <v>0.65</v>
      </c>
      <c r="T522" s="1269">
        <v>0.65</v>
      </c>
      <c r="U522" s="1269">
        <v>0.65</v>
      </c>
      <c r="V522" s="1269">
        <v>0.65</v>
      </c>
      <c r="W522" s="1269">
        <v>0.65</v>
      </c>
      <c r="X522" s="1269">
        <v>0.65</v>
      </c>
      <c r="Y522" s="1269">
        <v>0.05</v>
      </c>
      <c r="Z522" s="1269">
        <v>0.05</v>
      </c>
      <c r="AA522" s="1263">
        <f>SUM(C522:Z522)</f>
        <v>8.4500000000000028</v>
      </c>
      <c r="AB522" s="1264">
        <f>AA522*SUM($C$8)</f>
        <v>92.950000000000031</v>
      </c>
      <c r="AE522" s="2140"/>
    </row>
    <row r="523" spans="2:31" s="395" customFormat="1" x14ac:dyDescent="0.25">
      <c r="B523" s="3368" t="s">
        <v>1186</v>
      </c>
      <c r="C523" s="3368"/>
      <c r="D523" s="3368"/>
      <c r="E523" s="3368"/>
      <c r="F523" s="3368"/>
      <c r="G523" s="3368"/>
      <c r="H523" s="3368"/>
      <c r="I523" s="3368"/>
      <c r="J523" s="3368"/>
      <c r="K523" s="3368"/>
      <c r="L523" s="3368"/>
      <c r="M523" s="3368"/>
      <c r="N523" s="3368"/>
      <c r="O523" s="3368"/>
      <c r="P523" s="3368"/>
      <c r="Q523" s="3368"/>
      <c r="R523" s="3368"/>
      <c r="S523" s="3368"/>
      <c r="T523" s="3368"/>
      <c r="U523" s="3368"/>
      <c r="V523" s="3368"/>
      <c r="W523" s="3368"/>
      <c r="X523" s="3368"/>
      <c r="Y523" s="3368"/>
      <c r="Z523" s="3368"/>
      <c r="AA523" s="3368"/>
      <c r="AB523" s="1264">
        <f>SUM(AB519:AB522)</f>
        <v>3835.85</v>
      </c>
      <c r="AE523" s="2140"/>
    </row>
    <row r="524" spans="2:31" s="395" customFormat="1" x14ac:dyDescent="0.25">
      <c r="B524" s="661"/>
      <c r="C524" s="661"/>
      <c r="D524" s="661"/>
      <c r="E524" s="661"/>
      <c r="F524" s="661"/>
      <c r="G524" s="661"/>
      <c r="H524" s="661"/>
      <c r="I524" s="661"/>
      <c r="J524" s="661"/>
      <c r="K524" s="661"/>
      <c r="L524" s="661"/>
      <c r="M524" s="661"/>
      <c r="N524" s="661"/>
      <c r="O524" s="661"/>
      <c r="P524" s="661"/>
      <c r="Q524" s="661"/>
      <c r="R524" s="661"/>
      <c r="S524" s="661"/>
      <c r="T524" s="661"/>
      <c r="U524" s="661"/>
      <c r="V524" s="661"/>
      <c r="W524" s="661"/>
      <c r="X524" s="661"/>
      <c r="Y524" s="661"/>
      <c r="Z524" s="661"/>
      <c r="AA524" s="661"/>
      <c r="AB524" s="661"/>
      <c r="AE524" s="2140"/>
    </row>
    <row r="525" spans="2:31" s="395" customFormat="1" ht="15" customHeight="1" x14ac:dyDescent="0.25">
      <c r="B525" s="661" t="s">
        <v>1152</v>
      </c>
      <c r="C525" s="3367" t="s">
        <v>1369</v>
      </c>
      <c r="D525" s="3367"/>
      <c r="E525" s="3367"/>
      <c r="F525" s="3367"/>
      <c r="G525" s="3367"/>
      <c r="H525" s="3367"/>
      <c r="I525" s="3367"/>
      <c r="J525" s="3367"/>
      <c r="K525" s="3367"/>
      <c r="L525" s="3367"/>
      <c r="M525" s="3367"/>
      <c r="N525" s="3367"/>
      <c r="O525" s="3367"/>
      <c r="P525" s="3367"/>
      <c r="Q525" s="3367"/>
      <c r="R525" s="3367"/>
      <c r="S525" s="3367"/>
      <c r="T525" s="3367"/>
      <c r="U525" s="3367"/>
      <c r="V525" s="3367"/>
      <c r="W525" s="3367"/>
      <c r="X525" s="3367"/>
      <c r="Y525" s="3367"/>
      <c r="Z525" s="3367"/>
      <c r="AA525" s="3367"/>
      <c r="AB525" s="3367"/>
      <c r="AE525" s="2140"/>
    </row>
    <row r="526" spans="2:31" s="395" customFormat="1" x14ac:dyDescent="0.25">
      <c r="B526" s="661"/>
      <c r="C526" s="661"/>
      <c r="D526" s="661"/>
      <c r="E526" s="661"/>
      <c r="F526" s="661"/>
      <c r="G526" s="661"/>
      <c r="H526" s="661"/>
      <c r="I526" s="661"/>
      <c r="J526" s="661"/>
      <c r="K526" s="661"/>
      <c r="L526" s="661"/>
      <c r="M526" s="661"/>
      <c r="N526" s="661"/>
      <c r="O526" s="661"/>
      <c r="P526" s="661"/>
      <c r="Q526" s="661"/>
      <c r="R526" s="661"/>
      <c r="S526" s="661"/>
      <c r="T526" s="661"/>
      <c r="U526" s="661"/>
      <c r="V526" s="661"/>
      <c r="W526" s="661"/>
      <c r="X526" s="661"/>
      <c r="Y526" s="661"/>
      <c r="Z526" s="661"/>
      <c r="AA526" s="661"/>
      <c r="AB526" s="661"/>
      <c r="AE526" s="2140"/>
    </row>
    <row r="527" spans="2:31" s="1608" customFormat="1" ht="21" customHeight="1" x14ac:dyDescent="0.25">
      <c r="B527" s="1356"/>
      <c r="C527" s="1357" t="s">
        <v>1153</v>
      </c>
      <c r="D527" s="1356" t="s">
        <v>1154</v>
      </c>
      <c r="E527" s="1356" t="s">
        <v>1155</v>
      </c>
      <c r="F527" s="1356" t="s">
        <v>1156</v>
      </c>
      <c r="G527" s="1356" t="s">
        <v>1157</v>
      </c>
      <c r="H527" s="1356" t="s">
        <v>1158</v>
      </c>
      <c r="I527" s="1356" t="s">
        <v>1159</v>
      </c>
      <c r="J527" s="1356" t="s">
        <v>1160</v>
      </c>
      <c r="K527" s="1356" t="s">
        <v>1161</v>
      </c>
      <c r="L527" s="1356" t="s">
        <v>1162</v>
      </c>
      <c r="M527" s="1356" t="s">
        <v>1163</v>
      </c>
      <c r="N527" s="1356" t="s">
        <v>1164</v>
      </c>
      <c r="O527" s="1356" t="s">
        <v>1165</v>
      </c>
      <c r="P527" s="1356" t="s">
        <v>1166</v>
      </c>
      <c r="Q527" s="1356" t="s">
        <v>1167</v>
      </c>
      <c r="R527" s="1356" t="s">
        <v>1168</v>
      </c>
      <c r="S527" s="1356" t="s">
        <v>1169</v>
      </c>
      <c r="T527" s="1356" t="s">
        <v>1170</v>
      </c>
      <c r="U527" s="1356" t="s">
        <v>1171</v>
      </c>
      <c r="V527" s="1356" t="s">
        <v>1172</v>
      </c>
      <c r="W527" s="1356" t="s">
        <v>1173</v>
      </c>
      <c r="X527" s="1356" t="s">
        <v>1174</v>
      </c>
      <c r="Y527" s="1356" t="s">
        <v>1175</v>
      </c>
      <c r="Z527" s="1356" t="s">
        <v>1176</v>
      </c>
      <c r="AA527" s="1356" t="s">
        <v>1184</v>
      </c>
      <c r="AB527" s="1356" t="s">
        <v>1185</v>
      </c>
      <c r="AE527" s="2140"/>
    </row>
    <row r="528" spans="2:31" s="395" customFormat="1" x14ac:dyDescent="0.25">
      <c r="B528" s="1490" t="s">
        <v>1179</v>
      </c>
      <c r="C528" s="1269">
        <v>0</v>
      </c>
      <c r="D528" s="1269">
        <v>0</v>
      </c>
      <c r="E528" s="1269">
        <v>0</v>
      </c>
      <c r="F528" s="1269">
        <v>0</v>
      </c>
      <c r="G528" s="1269">
        <v>0</v>
      </c>
      <c r="H528" s="1269">
        <v>0</v>
      </c>
      <c r="I528" s="1269">
        <v>0</v>
      </c>
      <c r="J528" s="1269">
        <v>0</v>
      </c>
      <c r="K528" s="1269">
        <v>0</v>
      </c>
      <c r="L528" s="1269">
        <v>0.05</v>
      </c>
      <c r="M528" s="1269">
        <v>0.05</v>
      </c>
      <c r="N528" s="1269">
        <v>0.35</v>
      </c>
      <c r="O528" s="1269">
        <v>0.05</v>
      </c>
      <c r="P528" s="1269">
        <v>0.05</v>
      </c>
      <c r="Q528" s="1269">
        <v>0.05</v>
      </c>
      <c r="R528" s="1269">
        <v>0.05</v>
      </c>
      <c r="S528" s="1269">
        <v>0.05</v>
      </c>
      <c r="T528" s="1269">
        <v>0</v>
      </c>
      <c r="U528" s="1269">
        <v>0</v>
      </c>
      <c r="V528" s="1269">
        <v>0</v>
      </c>
      <c r="W528" s="1269">
        <v>0</v>
      </c>
      <c r="X528" s="1269">
        <v>0</v>
      </c>
      <c r="Y528" s="1269">
        <v>0</v>
      </c>
      <c r="Z528" s="1269">
        <v>0</v>
      </c>
      <c r="AA528" s="1263">
        <f>SUM(C528:Z528)</f>
        <v>0.70000000000000007</v>
      </c>
      <c r="AB528" s="1264">
        <f>AA528*SUM($C$9:$C$13)</f>
        <v>175.00000000000003</v>
      </c>
      <c r="AE528" s="2140"/>
    </row>
    <row r="529" spans="2:31" s="395" customFormat="1" x14ac:dyDescent="0.25">
      <c r="B529" s="1490" t="s">
        <v>1149</v>
      </c>
      <c r="C529" s="1269">
        <v>0</v>
      </c>
      <c r="D529" s="1269">
        <v>0</v>
      </c>
      <c r="E529" s="1269">
        <v>0</v>
      </c>
      <c r="F529" s="1269">
        <v>0</v>
      </c>
      <c r="G529" s="1269">
        <v>0</v>
      </c>
      <c r="H529" s="1269">
        <v>0</v>
      </c>
      <c r="I529" s="1269">
        <v>0</v>
      </c>
      <c r="J529" s="1269">
        <v>0</v>
      </c>
      <c r="K529" s="1269">
        <v>0</v>
      </c>
      <c r="L529" s="1269">
        <v>0.05</v>
      </c>
      <c r="M529" s="1269">
        <v>0.05</v>
      </c>
      <c r="N529" s="1269">
        <v>0.2</v>
      </c>
      <c r="O529" s="1269">
        <v>0</v>
      </c>
      <c r="P529" s="1269">
        <v>0</v>
      </c>
      <c r="Q529" s="1269">
        <v>0</v>
      </c>
      <c r="R529" s="1269">
        <v>0</v>
      </c>
      <c r="S529" s="1269">
        <v>0</v>
      </c>
      <c r="T529" s="1269">
        <v>0</v>
      </c>
      <c r="U529" s="1269">
        <v>0</v>
      </c>
      <c r="V529" s="1269">
        <v>0.65</v>
      </c>
      <c r="W529" s="1269">
        <v>0.3</v>
      </c>
      <c r="X529" s="1269">
        <v>0</v>
      </c>
      <c r="Y529" s="1269">
        <v>0</v>
      </c>
      <c r="Z529" s="1269">
        <v>0</v>
      </c>
      <c r="AA529" s="1263">
        <f>SUM(C529:Z529)</f>
        <v>1.25</v>
      </c>
      <c r="AB529" s="1264">
        <f>AA529*SUM($C$14)</f>
        <v>65</v>
      </c>
      <c r="AE529" s="2140"/>
    </row>
    <row r="530" spans="2:31" s="395" customFormat="1" x14ac:dyDescent="0.25">
      <c r="B530" s="1490" t="s">
        <v>1150</v>
      </c>
      <c r="C530" s="1269">
        <v>0</v>
      </c>
      <c r="D530" s="1269">
        <v>0</v>
      </c>
      <c r="E530" s="1269">
        <v>0</v>
      </c>
      <c r="F530" s="1269">
        <v>0</v>
      </c>
      <c r="G530" s="1269">
        <v>0</v>
      </c>
      <c r="H530" s="1269">
        <v>0</v>
      </c>
      <c r="I530" s="1269">
        <v>0</v>
      </c>
      <c r="J530" s="1269">
        <v>0</v>
      </c>
      <c r="K530" s="1269">
        <v>0</v>
      </c>
      <c r="L530" s="1269">
        <v>0.05</v>
      </c>
      <c r="M530" s="1269">
        <v>0.05</v>
      </c>
      <c r="N530" s="1269">
        <v>0.1</v>
      </c>
      <c r="O530" s="1269">
        <v>0</v>
      </c>
      <c r="P530" s="1269">
        <v>0</v>
      </c>
      <c r="Q530" s="1269">
        <v>0</v>
      </c>
      <c r="R530" s="1269">
        <v>0</v>
      </c>
      <c r="S530" s="1269">
        <v>0</v>
      </c>
      <c r="T530" s="1269">
        <v>0</v>
      </c>
      <c r="U530" s="1269">
        <v>0</v>
      </c>
      <c r="V530" s="1269">
        <v>0.65</v>
      </c>
      <c r="W530" s="1269">
        <v>0.3</v>
      </c>
      <c r="X530" s="1269">
        <v>0</v>
      </c>
      <c r="Y530" s="1269">
        <v>0</v>
      </c>
      <c r="Z530" s="1269">
        <v>0</v>
      </c>
      <c r="AA530" s="1263">
        <f>SUM(C530:Z530)</f>
        <v>1.1500000000000001</v>
      </c>
      <c r="AB530" s="1264">
        <f>AA530*$C$15</f>
        <v>59.800000000000004</v>
      </c>
      <c r="AE530" s="2140"/>
    </row>
    <row r="531" spans="2:31" s="395" customFormat="1" x14ac:dyDescent="0.25">
      <c r="B531" s="1490" t="s">
        <v>1150</v>
      </c>
      <c r="C531" s="1269">
        <v>0</v>
      </c>
      <c r="D531" s="1269">
        <v>0</v>
      </c>
      <c r="E531" s="1269">
        <v>0</v>
      </c>
      <c r="F531" s="1269">
        <v>0</v>
      </c>
      <c r="G531" s="1269">
        <v>0</v>
      </c>
      <c r="H531" s="1269">
        <v>0</v>
      </c>
      <c r="I531" s="1269">
        <v>0</v>
      </c>
      <c r="J531" s="1269">
        <v>0</v>
      </c>
      <c r="K531" s="1269">
        <v>0</v>
      </c>
      <c r="L531" s="1269">
        <v>0.05</v>
      </c>
      <c r="M531" s="1269">
        <v>0.05</v>
      </c>
      <c r="N531" s="1269">
        <v>0.1</v>
      </c>
      <c r="O531" s="1269">
        <v>0</v>
      </c>
      <c r="P531" s="1269">
        <v>0</v>
      </c>
      <c r="Q531" s="1269">
        <v>0</v>
      </c>
      <c r="R531" s="1269">
        <v>0</v>
      </c>
      <c r="S531" s="1269">
        <v>0</v>
      </c>
      <c r="T531" s="1269">
        <v>0</v>
      </c>
      <c r="U531" s="1269">
        <v>0</v>
      </c>
      <c r="V531" s="1269">
        <v>0.65</v>
      </c>
      <c r="W531" s="1269">
        <v>0.3</v>
      </c>
      <c r="X531" s="1269">
        <v>0</v>
      </c>
      <c r="Y531" s="1269">
        <v>0</v>
      </c>
      <c r="Z531" s="1269">
        <v>0</v>
      </c>
      <c r="AA531" s="1263">
        <f>SUM(C531:Z531)</f>
        <v>1.1500000000000001</v>
      </c>
      <c r="AB531" s="1264">
        <f>AA531*SUM($C$8)</f>
        <v>12.650000000000002</v>
      </c>
      <c r="AE531" s="2140"/>
    </row>
    <row r="532" spans="2:31" s="395" customFormat="1" x14ac:dyDescent="0.25">
      <c r="B532" s="3368" t="s">
        <v>1186</v>
      </c>
      <c r="C532" s="3368"/>
      <c r="D532" s="3368"/>
      <c r="E532" s="3368"/>
      <c r="F532" s="3368"/>
      <c r="G532" s="3368"/>
      <c r="H532" s="3368"/>
      <c r="I532" s="3368"/>
      <c r="J532" s="3368"/>
      <c r="K532" s="3368"/>
      <c r="L532" s="3368"/>
      <c r="M532" s="3368"/>
      <c r="N532" s="3368"/>
      <c r="O532" s="3368"/>
      <c r="P532" s="3368"/>
      <c r="Q532" s="3368"/>
      <c r="R532" s="3368"/>
      <c r="S532" s="3368"/>
      <c r="T532" s="3368"/>
      <c r="U532" s="3368"/>
      <c r="V532" s="3368"/>
      <c r="W532" s="3368"/>
      <c r="X532" s="3368"/>
      <c r="Y532" s="3368"/>
      <c r="Z532" s="3368"/>
      <c r="AA532" s="3368"/>
      <c r="AB532" s="1264">
        <f>SUM(AB528:AB531)</f>
        <v>312.45</v>
      </c>
      <c r="AE532" s="2140"/>
    </row>
    <row r="533" spans="2:31" s="395" customFormat="1" x14ac:dyDescent="0.25">
      <c r="B533" s="661"/>
      <c r="C533" s="661"/>
      <c r="D533" s="661"/>
      <c r="E533" s="661"/>
      <c r="F533" s="661"/>
      <c r="G533" s="661"/>
      <c r="H533" s="661"/>
      <c r="I533" s="661"/>
      <c r="J533" s="661"/>
      <c r="K533" s="661"/>
      <c r="L533" s="661"/>
      <c r="M533" s="661"/>
      <c r="N533" s="661"/>
      <c r="O533" s="661"/>
      <c r="P533" s="661"/>
      <c r="Q533" s="661"/>
      <c r="R533" s="661"/>
      <c r="S533" s="661"/>
      <c r="T533" s="661"/>
      <c r="U533" s="661"/>
      <c r="V533" s="661"/>
      <c r="W533" s="661"/>
      <c r="X533" s="661"/>
      <c r="Y533" s="661"/>
      <c r="Z533" s="661"/>
      <c r="AA533" s="661"/>
      <c r="AB533" s="661"/>
      <c r="AE533" s="2140"/>
    </row>
    <row r="534" spans="2:31" s="395" customFormat="1" x14ac:dyDescent="0.25">
      <c r="B534" s="661"/>
      <c r="C534" s="661"/>
      <c r="D534" s="661"/>
      <c r="E534" s="661"/>
      <c r="F534" s="661"/>
      <c r="G534" s="661"/>
      <c r="H534" s="661"/>
      <c r="I534" s="661"/>
      <c r="J534" s="661"/>
      <c r="K534" s="661"/>
      <c r="L534" s="661"/>
      <c r="M534" s="661"/>
      <c r="N534" s="661"/>
      <c r="O534" s="661"/>
      <c r="P534" s="661"/>
      <c r="Q534" s="661"/>
      <c r="R534" s="661"/>
      <c r="S534" s="661"/>
      <c r="T534" s="661"/>
      <c r="U534" s="661"/>
      <c r="V534" s="661"/>
      <c r="W534" s="661"/>
      <c r="X534" s="661"/>
      <c r="Y534" s="661"/>
      <c r="Z534" s="661"/>
      <c r="AA534" s="661"/>
      <c r="AB534" s="661"/>
      <c r="AE534" s="2140"/>
    </row>
    <row r="535" spans="2:31" s="395" customFormat="1" x14ac:dyDescent="0.25">
      <c r="B535" s="661"/>
      <c r="C535" s="661"/>
      <c r="D535" s="661"/>
      <c r="E535" s="661"/>
      <c r="F535" s="661"/>
      <c r="G535" s="661"/>
      <c r="H535" s="661"/>
      <c r="I535" s="661"/>
      <c r="J535" s="661"/>
      <c r="K535" s="661"/>
      <c r="L535" s="661"/>
      <c r="M535" s="661"/>
      <c r="N535" s="661"/>
      <c r="O535" s="661"/>
      <c r="P535" s="661"/>
      <c r="Q535" s="661"/>
      <c r="R535" s="661"/>
      <c r="S535" s="661"/>
      <c r="T535" s="661"/>
      <c r="U535" s="661"/>
      <c r="V535" s="661"/>
      <c r="W535" s="661"/>
      <c r="X535" s="661"/>
      <c r="Y535" s="661"/>
      <c r="Z535" s="661"/>
      <c r="AA535" s="661"/>
      <c r="AB535" s="661"/>
      <c r="AE535" s="2140"/>
    </row>
    <row r="536" spans="2:31" x14ac:dyDescent="0.25">
      <c r="B536" s="390"/>
      <c r="C536" s="390"/>
      <c r="D536" s="390"/>
      <c r="E536" s="390"/>
      <c r="F536" s="390"/>
      <c r="G536" s="390"/>
      <c r="H536" s="390"/>
      <c r="I536" s="390"/>
      <c r="J536" s="390"/>
      <c r="K536" s="390"/>
      <c r="L536" s="390"/>
      <c r="M536" s="390"/>
      <c r="N536" s="390"/>
      <c r="O536" s="390"/>
      <c r="P536" s="390"/>
      <c r="Q536" s="390"/>
      <c r="R536" s="390"/>
      <c r="S536" s="390"/>
      <c r="T536" s="390"/>
      <c r="U536" s="390"/>
      <c r="V536" s="390"/>
      <c r="W536" s="390"/>
      <c r="X536" s="390"/>
      <c r="Y536" s="390"/>
      <c r="Z536" s="390"/>
      <c r="AA536" s="390"/>
      <c r="AB536" s="390"/>
    </row>
  </sheetData>
  <sheetProtection algorithmName="SHA-512" hashValue="uYCS+kYlMXqYqfub4V8RZJpfavIreKC2z9JuV5Vy+HRhmzne4YWoW1OyOTEuxyQyU4Y78wtos0hM1g1jMVBbOg==" saltValue="uhz9S2hKPghM5WHtHEaBUA==" spinCount="100000" sheet="1" objects="1" scenarios="1"/>
  <mergeCells count="108">
    <mergeCell ref="C516:AB516"/>
    <mergeCell ref="B523:AA523"/>
    <mergeCell ref="C525:AB525"/>
    <mergeCell ref="B532:AA532"/>
    <mergeCell ref="C489:AB489"/>
    <mergeCell ref="B496:AA496"/>
    <mergeCell ref="C498:AB498"/>
    <mergeCell ref="B505:AA505"/>
    <mergeCell ref="C507:AB507"/>
    <mergeCell ref="B514:AA514"/>
    <mergeCell ref="B485:AA485"/>
    <mergeCell ref="C433:AB433"/>
    <mergeCell ref="B440:AA440"/>
    <mergeCell ref="C442:AB442"/>
    <mergeCell ref="B449:AA449"/>
    <mergeCell ref="C451:AB451"/>
    <mergeCell ref="B458:AA458"/>
    <mergeCell ref="C460:AB460"/>
    <mergeCell ref="B467:AA467"/>
    <mergeCell ref="C469:AB469"/>
    <mergeCell ref="B476:AA476"/>
    <mergeCell ref="C478:AB478"/>
    <mergeCell ref="B429:AA429"/>
    <mergeCell ref="C375:AB375"/>
    <mergeCell ref="B382:AA382"/>
    <mergeCell ref="C386:AB386"/>
    <mergeCell ref="B393:AA393"/>
    <mergeCell ref="C395:AB395"/>
    <mergeCell ref="B402:AA402"/>
    <mergeCell ref="C404:AB404"/>
    <mergeCell ref="B411:AA411"/>
    <mergeCell ref="C413:AB413"/>
    <mergeCell ref="B420:AA420"/>
    <mergeCell ref="C422:AB422"/>
    <mergeCell ref="B373:AA373"/>
    <mergeCell ref="C319:AB319"/>
    <mergeCell ref="B326:AA326"/>
    <mergeCell ref="C330:AB330"/>
    <mergeCell ref="B337:AA337"/>
    <mergeCell ref="C339:AB339"/>
    <mergeCell ref="B346:AA346"/>
    <mergeCell ref="C348:AB348"/>
    <mergeCell ref="B355:AA355"/>
    <mergeCell ref="C357:AB357"/>
    <mergeCell ref="B364:AA364"/>
    <mergeCell ref="C366:AB366"/>
    <mergeCell ref="B317:AA317"/>
    <mergeCell ref="C263:AB263"/>
    <mergeCell ref="B270:AA270"/>
    <mergeCell ref="C274:AB274"/>
    <mergeCell ref="B281:AA281"/>
    <mergeCell ref="C283:AB283"/>
    <mergeCell ref="B290:AA290"/>
    <mergeCell ref="C292:AB292"/>
    <mergeCell ref="B299:AA299"/>
    <mergeCell ref="C301:AB301"/>
    <mergeCell ref="B308:AA308"/>
    <mergeCell ref="C310:AB310"/>
    <mergeCell ref="B261:AA261"/>
    <mergeCell ref="C207:AB207"/>
    <mergeCell ref="B214:AA214"/>
    <mergeCell ref="C218:AB218"/>
    <mergeCell ref="B225:AA225"/>
    <mergeCell ref="C227:AB227"/>
    <mergeCell ref="B234:AA234"/>
    <mergeCell ref="C236:AB236"/>
    <mergeCell ref="B243:AA243"/>
    <mergeCell ref="C245:AB245"/>
    <mergeCell ref="B252:AA252"/>
    <mergeCell ref="C254:AB254"/>
    <mergeCell ref="B205:AA205"/>
    <mergeCell ref="B154:AA154"/>
    <mergeCell ref="C162:AB162"/>
    <mergeCell ref="B169:AA169"/>
    <mergeCell ref="C171:AB171"/>
    <mergeCell ref="B178:AA178"/>
    <mergeCell ref="C180:AB180"/>
    <mergeCell ref="B187:AA187"/>
    <mergeCell ref="C189:AB189"/>
    <mergeCell ref="B196:AA196"/>
    <mergeCell ref="C198:AB198"/>
    <mergeCell ref="B158:O158"/>
    <mergeCell ref="C148:AB148"/>
    <mergeCell ref="B66:AA66"/>
    <mergeCell ref="B109:AA109"/>
    <mergeCell ref="C118:AB118"/>
    <mergeCell ref="C124:AB124"/>
    <mergeCell ref="B130:AA130"/>
    <mergeCell ref="C132:AB132"/>
    <mergeCell ref="B138:AA138"/>
    <mergeCell ref="C140:AB140"/>
    <mergeCell ref="B146:AA146"/>
    <mergeCell ref="C88:O88"/>
    <mergeCell ref="B94:AA94"/>
    <mergeCell ref="C79:O79"/>
    <mergeCell ref="B85:AA85"/>
    <mergeCell ref="C70:O70"/>
    <mergeCell ref="B76:AA76"/>
    <mergeCell ref="C60:O60"/>
    <mergeCell ref="C98:O98"/>
    <mergeCell ref="B52:AA52"/>
    <mergeCell ref="B5:Z5"/>
    <mergeCell ref="B6:AB6"/>
    <mergeCell ref="B27:AA27"/>
    <mergeCell ref="C21:O21"/>
    <mergeCell ref="C41:O41"/>
    <mergeCell ref="C31:O31"/>
    <mergeCell ref="B37:AA37"/>
  </mergeCells>
  <dataValidations count="2">
    <dataValidation type="list" errorStyle="warning" allowBlank="1" showErrorMessage="1" error="Enter a value of &quot;1&quot; or &quot;0&quot;" sqref="C44:Z51 C24:Z26 C221:Z224 C165:Z168 C492:Z495 C277:Z280 C389:Z392 C333:Z336 C436:Z439 C34:Z36" xr:uid="{00000000-0002-0000-0700-000000000000}">
      <formula1>"1,0"</formula1>
    </dataValidation>
    <dataValidation type="decimal" errorStyle="warning" allowBlank="1" showErrorMessage="1" error="Enter a percentage value between 0% and 100%" sqref="C63:Z65 C101:Z108 C135:Z137 C143:Z145 C91:Z93 C82:Z84 C73:Z75" xr:uid="{00000000-0002-0000-0700-000001000000}">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7" r:id="rId4" name="btnEFLH_On_Off_Abbreviated">
              <controlPr defaultSize="0" print="0" autoFill="0" autoPict="0" macro="[0]!CopyPasteRange">
                <anchor moveWithCells="1">
                  <from>
                    <xdr:col>1</xdr:col>
                    <xdr:colOff>22860</xdr:colOff>
                    <xdr:row>28</xdr:row>
                    <xdr:rowOff>53340</xdr:rowOff>
                  </from>
                  <to>
                    <xdr:col>2</xdr:col>
                    <xdr:colOff>381000</xdr:colOff>
                    <xdr:row>28</xdr:row>
                    <xdr:rowOff>320040</xdr:rowOff>
                  </to>
                </anchor>
              </controlPr>
            </control>
          </mc:Choice>
        </mc:AlternateContent>
        <mc:AlternateContent xmlns:mc="http://schemas.openxmlformats.org/markup-compatibility/2006">
          <mc:Choice Requires="x14">
            <control shapeId="169988" r:id="rId5" name="btnEFLH_On_Off_Detailed">
              <controlPr defaultSize="0" print="0" autoFill="0" autoPict="0" macro="[0]!CopyPasteRange">
                <anchor moveWithCells="1">
                  <from>
                    <xdr:col>0</xdr:col>
                    <xdr:colOff>76200</xdr:colOff>
                    <xdr:row>53</xdr:row>
                    <xdr:rowOff>60960</xdr:rowOff>
                  </from>
                  <to>
                    <xdr:col>2</xdr:col>
                    <xdr:colOff>304800</xdr:colOff>
                    <xdr:row>53</xdr:row>
                    <xdr:rowOff>327660</xdr:rowOff>
                  </to>
                </anchor>
              </controlPr>
            </control>
          </mc:Choice>
        </mc:AlternateContent>
        <mc:AlternateContent xmlns:mc="http://schemas.openxmlformats.org/markup-compatibility/2006">
          <mc:Choice Requires="x14">
            <control shapeId="169990" r:id="rId6" name="btnEFLH_Fraction_Abbreviated">
              <controlPr defaultSize="0" print="0" autoFill="0" autoPict="0" macro="[0]!CopyPasteRange">
                <anchor moveWithCells="1">
                  <from>
                    <xdr:col>0</xdr:col>
                    <xdr:colOff>99060</xdr:colOff>
                    <xdr:row>67</xdr:row>
                    <xdr:rowOff>53340</xdr:rowOff>
                  </from>
                  <to>
                    <xdr:col>2</xdr:col>
                    <xdr:colOff>327660</xdr:colOff>
                    <xdr:row>67</xdr:row>
                    <xdr:rowOff>320040</xdr:rowOff>
                  </to>
                </anchor>
              </controlPr>
            </control>
          </mc:Choice>
        </mc:AlternateContent>
        <mc:AlternateContent xmlns:mc="http://schemas.openxmlformats.org/markup-compatibility/2006">
          <mc:Choice Requires="x14">
            <control shapeId="169991" r:id="rId7" name="btnEFLH_Fraction_Detailed">
              <controlPr defaultSize="0" print="0" autoFill="0" autoPict="0" macro="[0]!CopyPasteRange">
                <anchor moveWithCells="1">
                  <from>
                    <xdr:col>0</xdr:col>
                    <xdr:colOff>60960</xdr:colOff>
                    <xdr:row>110</xdr:row>
                    <xdr:rowOff>22860</xdr:rowOff>
                  </from>
                  <to>
                    <xdr:col>2</xdr:col>
                    <xdr:colOff>289560</xdr:colOff>
                    <xdr:row>110</xdr:row>
                    <xdr:rowOff>304800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0" tint="-0.249977111117893"/>
  </sheetPr>
  <dimension ref="A1:HR250"/>
  <sheetViews>
    <sheetView showGridLines="0" zoomScale="90" zoomScaleNormal="90" workbookViewId="0">
      <selection activeCell="D12" sqref="D12"/>
    </sheetView>
  </sheetViews>
  <sheetFormatPr defaultColWidth="9" defaultRowHeight="13.8" outlineLevelCol="1" x14ac:dyDescent="0.25"/>
  <cols>
    <col min="1" max="1" width="1.69921875" customWidth="1"/>
    <col min="2" max="2" width="19" customWidth="1"/>
    <col min="3" max="3" width="25" customWidth="1"/>
    <col min="4" max="4" width="8.69921875" customWidth="1"/>
    <col min="5" max="5" width="12.5" customWidth="1"/>
    <col min="6" max="6" width="8.69921875" customWidth="1"/>
    <col min="7" max="7" width="10.19921875" customWidth="1"/>
    <col min="8" max="8" width="8.69921875" customWidth="1"/>
    <col min="9" max="9" width="10.19921875" customWidth="1"/>
    <col min="10" max="10" width="8.69921875" customWidth="1"/>
    <col min="11" max="11" width="10.19921875" customWidth="1"/>
    <col min="12" max="12" width="8.69921875" customWidth="1"/>
    <col min="13" max="13" width="10.19921875" customWidth="1"/>
    <col min="14" max="14" width="8.69921875" customWidth="1"/>
    <col min="15" max="15" width="10.19921875" customWidth="1"/>
    <col min="16" max="16" width="8.69921875" customWidth="1"/>
    <col min="17" max="17" width="10.19921875" customWidth="1"/>
    <col min="18" max="18" width="8.69921875" customWidth="1"/>
    <col min="19" max="19" width="10.19921875" customWidth="1"/>
    <col min="20" max="20" width="8.69921875" customWidth="1"/>
    <col min="21" max="21" width="10.19921875" customWidth="1"/>
    <col min="22" max="22" width="10.69921875" style="1845" customWidth="1"/>
    <col min="23" max="24" width="10.296875" style="354" customWidth="1"/>
    <col min="25" max="25" width="8" style="354" customWidth="1"/>
    <col min="26" max="26" width="50.69921875" style="2139" customWidth="1"/>
    <col min="27" max="28" width="9" style="354"/>
    <col min="29" max="29" width="10.796875" style="354" customWidth="1"/>
    <col min="30" max="31" width="9" style="354"/>
    <col min="32" max="32" width="41.69921875" style="354" hidden="1" customWidth="1" outlineLevel="1"/>
    <col min="33" max="33" width="0" style="354" hidden="1" customWidth="1" collapsed="1"/>
    <col min="34" max="226" width="9" style="354"/>
  </cols>
  <sheetData>
    <row r="1" spans="1:226" x14ac:dyDescent="0.25">
      <c r="A1" s="331" t="s">
        <v>1038</v>
      </c>
      <c r="B1" s="39"/>
      <c r="C1" s="39"/>
      <c r="D1" s="39"/>
      <c r="E1" s="39"/>
      <c r="F1" s="39"/>
      <c r="G1" s="38"/>
      <c r="H1" s="39"/>
      <c r="I1" s="38"/>
      <c r="J1" s="38"/>
      <c r="K1" s="39"/>
      <c r="L1" s="39"/>
      <c r="M1" s="39"/>
      <c r="N1" s="39"/>
      <c r="O1" s="39"/>
      <c r="P1" s="39"/>
      <c r="Q1" s="39"/>
      <c r="R1" s="39"/>
      <c r="S1" s="39"/>
      <c r="T1" s="39"/>
      <c r="U1" s="39"/>
    </row>
    <row r="2" spans="1:226" ht="25.2" x14ac:dyDescent="0.25">
      <c r="A2" s="331" t="s">
        <v>1038</v>
      </c>
      <c r="B2" s="15" t="s">
        <v>1108</v>
      </c>
      <c r="C2" s="15"/>
      <c r="D2" s="15"/>
      <c r="E2" s="15"/>
      <c r="F2" s="15"/>
      <c r="G2" s="15"/>
      <c r="H2" s="15"/>
      <c r="I2" s="15"/>
      <c r="J2" s="15"/>
      <c r="K2" s="15"/>
      <c r="L2" s="15"/>
      <c r="M2" s="15"/>
      <c r="N2" s="15"/>
      <c r="O2" s="15"/>
      <c r="P2" s="15"/>
      <c r="Q2" s="15"/>
      <c r="R2" s="15"/>
      <c r="S2" s="15"/>
      <c r="T2" s="15"/>
      <c r="U2" s="15"/>
    </row>
    <row r="3" spans="1:226" x14ac:dyDescent="0.25">
      <c r="A3" s="331" t="s">
        <v>1038</v>
      </c>
      <c r="B3" s="39"/>
      <c r="C3" s="39"/>
      <c r="D3" s="39"/>
      <c r="E3" s="39"/>
      <c r="F3" s="39"/>
      <c r="G3" s="38"/>
      <c r="H3" s="39"/>
      <c r="I3" s="38"/>
      <c r="J3" s="38"/>
      <c r="K3" s="39"/>
      <c r="L3" s="39"/>
      <c r="M3" s="39"/>
      <c r="N3" s="39"/>
      <c r="O3" s="39"/>
      <c r="P3" s="39"/>
      <c r="Q3" s="39"/>
      <c r="R3" s="39"/>
      <c r="S3" s="39"/>
      <c r="T3" s="39"/>
      <c r="U3" s="39"/>
    </row>
    <row r="4" spans="1:226" s="866" customFormat="1" x14ac:dyDescent="0.25">
      <c r="A4" s="373" t="s">
        <v>1038</v>
      </c>
      <c r="B4" s="291"/>
      <c r="C4" s="291"/>
      <c r="D4" s="291"/>
      <c r="E4" s="291"/>
      <c r="F4" s="291"/>
      <c r="G4" s="291"/>
      <c r="H4" s="291"/>
      <c r="I4" s="291"/>
      <c r="J4" s="291"/>
      <c r="K4" s="291"/>
      <c r="L4" s="291"/>
      <c r="M4" s="291"/>
      <c r="N4" s="291"/>
      <c r="O4" s="291"/>
      <c r="P4" s="291"/>
      <c r="Q4" s="291"/>
      <c r="R4" s="395"/>
      <c r="S4" s="395"/>
      <c r="T4" s="395"/>
      <c r="U4" s="395"/>
      <c r="V4" s="1608"/>
      <c r="W4" s="395"/>
      <c r="X4" s="395"/>
      <c r="Y4" s="395"/>
      <c r="Z4" s="2140"/>
      <c r="AA4" s="395"/>
      <c r="AB4" s="395"/>
      <c r="AC4" s="395"/>
      <c r="AD4" s="395"/>
      <c r="AE4" s="395"/>
      <c r="AF4" s="395"/>
      <c r="AG4" s="395"/>
      <c r="AH4" s="395"/>
      <c r="AI4" s="395"/>
      <c r="AJ4" s="395"/>
      <c r="AK4" s="395"/>
      <c r="AL4" s="395"/>
      <c r="AM4" s="395"/>
      <c r="AN4" s="395"/>
      <c r="AO4" s="395"/>
      <c r="AP4" s="395"/>
      <c r="AQ4" s="395"/>
      <c r="AR4" s="395"/>
      <c r="AS4" s="395"/>
      <c r="AT4" s="395"/>
      <c r="AU4" s="395"/>
      <c r="AV4" s="395"/>
      <c r="AW4" s="395"/>
      <c r="AX4" s="395"/>
      <c r="AY4" s="395"/>
      <c r="AZ4" s="395"/>
      <c r="BA4" s="395"/>
      <c r="BB4" s="395"/>
      <c r="BC4" s="395"/>
      <c r="BD4" s="395"/>
      <c r="BE4" s="395"/>
      <c r="BF4" s="395"/>
      <c r="BG4" s="395"/>
      <c r="BH4" s="395"/>
      <c r="BI4" s="395"/>
      <c r="BJ4" s="395"/>
      <c r="BK4" s="395"/>
      <c r="BL4" s="395"/>
      <c r="BM4" s="395"/>
      <c r="BN4" s="395"/>
      <c r="BO4" s="395"/>
      <c r="BP4" s="395"/>
      <c r="BQ4" s="395"/>
      <c r="BR4" s="395"/>
      <c r="BS4" s="395"/>
      <c r="BT4" s="395"/>
      <c r="BU4" s="395"/>
      <c r="BV4" s="395"/>
      <c r="BW4" s="395"/>
      <c r="BX4" s="395"/>
      <c r="BY4" s="395"/>
      <c r="BZ4" s="395"/>
      <c r="CA4" s="395"/>
      <c r="CB4" s="395"/>
      <c r="CC4" s="395"/>
      <c r="CD4" s="395"/>
      <c r="CE4" s="395"/>
      <c r="CF4" s="395"/>
      <c r="CG4" s="395"/>
      <c r="CH4" s="395"/>
      <c r="CI4" s="395"/>
      <c r="CJ4" s="395"/>
      <c r="CK4" s="395"/>
      <c r="CL4" s="395"/>
      <c r="CM4" s="395"/>
      <c r="CN4" s="395"/>
      <c r="CO4" s="395"/>
      <c r="CP4" s="395"/>
      <c r="CQ4" s="395"/>
      <c r="CR4" s="395"/>
      <c r="CS4" s="395"/>
      <c r="CT4" s="395"/>
      <c r="CU4" s="395"/>
      <c r="CV4" s="395"/>
      <c r="CW4" s="395"/>
      <c r="CX4" s="395"/>
      <c r="CY4" s="395"/>
      <c r="CZ4" s="395"/>
      <c r="DA4" s="395"/>
      <c r="DB4" s="395"/>
      <c r="DC4" s="395"/>
      <c r="DD4" s="395"/>
      <c r="DE4" s="395"/>
      <c r="DF4" s="395"/>
      <c r="DG4" s="395"/>
      <c r="DH4" s="395"/>
      <c r="DI4" s="395"/>
      <c r="DJ4" s="395"/>
      <c r="DK4" s="395"/>
      <c r="DL4" s="395"/>
      <c r="DM4" s="395"/>
      <c r="DN4" s="395"/>
      <c r="DO4" s="395"/>
      <c r="DP4" s="395"/>
      <c r="DQ4" s="395"/>
      <c r="DR4" s="395"/>
      <c r="DS4" s="395"/>
      <c r="DT4" s="395"/>
      <c r="DU4" s="395"/>
      <c r="DV4" s="395"/>
      <c r="DW4" s="395"/>
      <c r="DX4" s="395"/>
      <c r="DY4" s="395"/>
      <c r="DZ4" s="395"/>
      <c r="EA4" s="395"/>
      <c r="EB4" s="395"/>
      <c r="EC4" s="395"/>
      <c r="ED4" s="395"/>
      <c r="EE4" s="395"/>
      <c r="EF4" s="395"/>
      <c r="EG4" s="395"/>
      <c r="EH4" s="395"/>
      <c r="EI4" s="395"/>
      <c r="EJ4" s="395"/>
      <c r="EK4" s="395"/>
      <c r="EL4" s="395"/>
      <c r="EM4" s="395"/>
      <c r="EN4" s="395"/>
      <c r="EO4" s="395"/>
      <c r="EP4" s="395"/>
      <c r="EQ4" s="395"/>
      <c r="ER4" s="395"/>
      <c r="ES4" s="395"/>
      <c r="ET4" s="395"/>
      <c r="EU4" s="395"/>
      <c r="EV4" s="395"/>
      <c r="EW4" s="395"/>
      <c r="EX4" s="395"/>
      <c r="EY4" s="395"/>
      <c r="EZ4" s="395"/>
      <c r="FA4" s="395"/>
      <c r="FB4" s="395"/>
      <c r="FC4" s="395"/>
      <c r="FD4" s="395"/>
      <c r="FE4" s="395"/>
      <c r="FF4" s="395"/>
      <c r="FG4" s="395"/>
      <c r="FH4" s="395"/>
      <c r="FI4" s="395"/>
      <c r="FJ4" s="395"/>
      <c r="FK4" s="395"/>
      <c r="FL4" s="395"/>
      <c r="FM4" s="395"/>
      <c r="FN4" s="395"/>
      <c r="FO4" s="395"/>
      <c r="FP4" s="395"/>
      <c r="FQ4" s="395"/>
      <c r="FR4" s="395"/>
      <c r="FS4" s="395"/>
      <c r="FT4" s="395"/>
      <c r="FU4" s="395"/>
      <c r="FV4" s="395"/>
      <c r="FW4" s="395"/>
      <c r="FX4" s="395"/>
      <c r="FY4" s="395"/>
      <c r="FZ4" s="395"/>
      <c r="GA4" s="395"/>
      <c r="GB4" s="395"/>
      <c r="GC4" s="395"/>
      <c r="GD4" s="395"/>
      <c r="GE4" s="395"/>
      <c r="GF4" s="395"/>
      <c r="GG4" s="395"/>
      <c r="GH4" s="395"/>
      <c r="GI4" s="395"/>
      <c r="GJ4" s="395"/>
      <c r="GK4" s="395"/>
      <c r="GL4" s="395"/>
      <c r="GM4" s="395"/>
      <c r="GN4" s="395"/>
      <c r="GO4" s="395"/>
      <c r="GP4" s="395"/>
      <c r="GQ4" s="395"/>
      <c r="GR4" s="395"/>
      <c r="GS4" s="395"/>
      <c r="GT4" s="395"/>
      <c r="GU4" s="395"/>
      <c r="GV4" s="395"/>
      <c r="GW4" s="395"/>
      <c r="GX4" s="395"/>
      <c r="GY4" s="395"/>
      <c r="GZ4" s="395"/>
      <c r="HA4" s="395"/>
      <c r="HB4" s="395"/>
      <c r="HC4" s="395"/>
      <c r="HD4" s="395"/>
      <c r="HE4" s="395"/>
      <c r="HF4" s="395"/>
      <c r="HG4" s="395"/>
      <c r="HH4" s="395"/>
      <c r="HI4" s="395"/>
      <c r="HJ4" s="395"/>
      <c r="HK4" s="395"/>
      <c r="HL4" s="395"/>
      <c r="HM4" s="395"/>
      <c r="HN4" s="395"/>
      <c r="HO4" s="395"/>
      <c r="HP4" s="395"/>
      <c r="HQ4" s="395"/>
      <c r="HR4" s="395"/>
    </row>
    <row r="5" spans="1:226" s="866" customFormat="1" x14ac:dyDescent="0.25">
      <c r="A5" s="373" t="s">
        <v>1038</v>
      </c>
      <c r="B5" s="361" t="s">
        <v>1109</v>
      </c>
      <c r="C5" s="361"/>
      <c r="D5" s="1487"/>
      <c r="E5" s="1487"/>
      <c r="F5" s="1487"/>
      <c r="G5" s="1487"/>
      <c r="H5" s="1487"/>
      <c r="I5" s="1487"/>
      <c r="J5" s="1487"/>
      <c r="K5" s="1487"/>
      <c r="L5" s="1487"/>
      <c r="M5" s="1487"/>
      <c r="N5" s="1487"/>
      <c r="O5" s="1487"/>
      <c r="P5" s="1487"/>
      <c r="Q5" s="1487"/>
      <c r="R5" s="1597"/>
      <c r="S5" s="1597"/>
      <c r="T5" s="1597"/>
      <c r="U5" s="1597"/>
      <c r="V5" s="1608"/>
      <c r="W5" s="395"/>
      <c r="X5" s="395"/>
      <c r="Y5" s="395"/>
      <c r="Z5" s="2140"/>
      <c r="AA5" s="395"/>
      <c r="AB5" s="395"/>
      <c r="AC5" s="395"/>
      <c r="AD5" s="395"/>
      <c r="AE5" s="395"/>
      <c r="AF5" s="395"/>
      <c r="AG5" s="395"/>
      <c r="AH5" s="395"/>
      <c r="AI5" s="395"/>
      <c r="AJ5" s="395"/>
      <c r="AK5" s="395"/>
      <c r="AL5" s="395"/>
      <c r="AM5" s="395"/>
      <c r="AN5" s="395"/>
      <c r="AO5" s="395"/>
      <c r="AP5" s="395"/>
      <c r="AQ5" s="395"/>
      <c r="AR5" s="395"/>
      <c r="AS5" s="395"/>
      <c r="AT5" s="395"/>
      <c r="AU5" s="395"/>
      <c r="AV5" s="395"/>
      <c r="AW5" s="395"/>
      <c r="AX5" s="395"/>
      <c r="AY5" s="395"/>
      <c r="AZ5" s="395"/>
      <c r="BA5" s="395"/>
      <c r="BB5" s="395"/>
      <c r="BC5" s="395"/>
      <c r="BD5" s="395"/>
      <c r="BE5" s="395"/>
      <c r="BF5" s="395"/>
      <c r="BG5" s="395"/>
      <c r="BH5" s="395"/>
      <c r="BI5" s="395"/>
      <c r="BJ5" s="395"/>
      <c r="BK5" s="395"/>
      <c r="BL5" s="395"/>
      <c r="BM5" s="395"/>
      <c r="BN5" s="395"/>
      <c r="BO5" s="395"/>
      <c r="BP5" s="395"/>
      <c r="BQ5" s="395"/>
      <c r="BR5" s="395"/>
      <c r="BS5" s="395"/>
      <c r="BT5" s="395"/>
      <c r="BU5" s="395"/>
      <c r="BV5" s="395"/>
      <c r="BW5" s="395"/>
      <c r="BX5" s="395"/>
      <c r="BY5" s="395"/>
      <c r="BZ5" s="395"/>
      <c r="CA5" s="395"/>
      <c r="CB5" s="395"/>
      <c r="CC5" s="395"/>
      <c r="CD5" s="395"/>
      <c r="CE5" s="395"/>
      <c r="CF5" s="395"/>
      <c r="CG5" s="395"/>
      <c r="CH5" s="395"/>
      <c r="CI5" s="395"/>
      <c r="CJ5" s="395"/>
      <c r="CK5" s="395"/>
      <c r="CL5" s="395"/>
      <c r="CM5" s="395"/>
      <c r="CN5" s="395"/>
      <c r="CO5" s="395"/>
      <c r="CP5" s="395"/>
      <c r="CQ5" s="395"/>
      <c r="CR5" s="395"/>
      <c r="CS5" s="395"/>
      <c r="CT5" s="395"/>
      <c r="CU5" s="395"/>
      <c r="CV5" s="395"/>
      <c r="CW5" s="395"/>
      <c r="CX5" s="395"/>
      <c r="CY5" s="395"/>
      <c r="CZ5" s="395"/>
      <c r="DA5" s="395"/>
      <c r="DB5" s="395"/>
      <c r="DC5" s="395"/>
      <c r="DD5" s="395"/>
      <c r="DE5" s="395"/>
      <c r="DF5" s="395"/>
      <c r="DG5" s="395"/>
      <c r="DH5" s="395"/>
      <c r="DI5" s="395"/>
      <c r="DJ5" s="395"/>
      <c r="DK5" s="395"/>
      <c r="DL5" s="395"/>
      <c r="DM5" s="395"/>
      <c r="DN5" s="395"/>
      <c r="DO5" s="395"/>
      <c r="DP5" s="395"/>
      <c r="DQ5" s="395"/>
      <c r="DR5" s="395"/>
      <c r="DS5" s="395"/>
      <c r="DT5" s="395"/>
      <c r="DU5" s="395"/>
      <c r="DV5" s="395"/>
      <c r="DW5" s="395"/>
      <c r="DX5" s="395"/>
      <c r="DY5" s="395"/>
      <c r="DZ5" s="395"/>
      <c r="EA5" s="395"/>
      <c r="EB5" s="395"/>
      <c r="EC5" s="395"/>
      <c r="ED5" s="395"/>
      <c r="EE5" s="395"/>
      <c r="EF5" s="395"/>
      <c r="EG5" s="395"/>
      <c r="EH5" s="395"/>
      <c r="EI5" s="395"/>
      <c r="EJ5" s="395"/>
      <c r="EK5" s="395"/>
      <c r="EL5" s="395"/>
      <c r="EM5" s="395"/>
      <c r="EN5" s="395"/>
      <c r="EO5" s="395"/>
      <c r="EP5" s="395"/>
      <c r="EQ5" s="395"/>
      <c r="ER5" s="395"/>
      <c r="ES5" s="395"/>
      <c r="ET5" s="395"/>
      <c r="EU5" s="395"/>
      <c r="EV5" s="395"/>
      <c r="EW5" s="395"/>
      <c r="EX5" s="395"/>
      <c r="EY5" s="395"/>
      <c r="EZ5" s="395"/>
      <c r="FA5" s="395"/>
      <c r="FB5" s="395"/>
      <c r="FC5" s="395"/>
      <c r="FD5" s="395"/>
      <c r="FE5" s="395"/>
      <c r="FF5" s="395"/>
      <c r="FG5" s="395"/>
      <c r="FH5" s="395"/>
      <c r="FI5" s="395"/>
      <c r="FJ5" s="395"/>
      <c r="FK5" s="395"/>
      <c r="FL5" s="395"/>
      <c r="FM5" s="395"/>
      <c r="FN5" s="395"/>
      <c r="FO5" s="395"/>
      <c r="FP5" s="395"/>
      <c r="FQ5" s="395"/>
      <c r="FR5" s="395"/>
      <c r="FS5" s="395"/>
      <c r="FT5" s="395"/>
      <c r="FU5" s="395"/>
      <c r="FV5" s="395"/>
      <c r="FW5" s="395"/>
      <c r="FX5" s="395"/>
      <c r="FY5" s="395"/>
      <c r="FZ5" s="395"/>
      <c r="GA5" s="395"/>
      <c r="GB5" s="395"/>
      <c r="GC5" s="395"/>
      <c r="GD5" s="395"/>
      <c r="GE5" s="395"/>
      <c r="GF5" s="395"/>
      <c r="GG5" s="395"/>
      <c r="GH5" s="395"/>
      <c r="GI5" s="395"/>
      <c r="GJ5" s="395"/>
      <c r="GK5" s="395"/>
      <c r="GL5" s="395"/>
      <c r="GM5" s="395"/>
      <c r="GN5" s="395"/>
      <c r="GO5" s="395"/>
      <c r="GP5" s="395"/>
      <c r="GQ5" s="395"/>
      <c r="GR5" s="395"/>
      <c r="GS5" s="395"/>
      <c r="GT5" s="395"/>
      <c r="GU5" s="395"/>
      <c r="GV5" s="395"/>
      <c r="GW5" s="395"/>
      <c r="GX5" s="395"/>
      <c r="GY5" s="395"/>
      <c r="GZ5" s="395"/>
      <c r="HA5" s="395"/>
      <c r="HB5" s="395"/>
      <c r="HC5" s="395"/>
      <c r="HD5" s="395"/>
      <c r="HE5" s="395"/>
      <c r="HF5" s="395"/>
      <c r="HG5" s="395"/>
      <c r="HH5" s="395"/>
      <c r="HI5" s="395"/>
      <c r="HJ5" s="395"/>
      <c r="HK5" s="395"/>
      <c r="HL5" s="395"/>
      <c r="HM5" s="395"/>
      <c r="HN5" s="395"/>
      <c r="HO5" s="395"/>
      <c r="HP5" s="395"/>
      <c r="HQ5" s="395"/>
      <c r="HR5" s="395"/>
    </row>
    <row r="6" spans="1:226" s="866" customFormat="1" x14ac:dyDescent="0.25">
      <c r="A6" s="373" t="s">
        <v>1038</v>
      </c>
      <c r="B6" s="1487"/>
      <c r="C6" s="1487"/>
      <c r="D6" s="1487"/>
      <c r="E6" s="1487"/>
      <c r="F6" s="1487"/>
      <c r="G6" s="1487"/>
      <c r="H6" s="1487"/>
      <c r="I6" s="1487"/>
      <c r="J6" s="1487"/>
      <c r="K6" s="1487"/>
      <c r="L6" s="1487"/>
      <c r="M6" s="1487"/>
      <c r="N6" s="1487"/>
      <c r="O6" s="1487"/>
      <c r="P6" s="1487"/>
      <c r="Q6" s="1487"/>
      <c r="R6" s="395"/>
      <c r="S6" s="395"/>
      <c r="T6" s="395"/>
      <c r="U6" s="395"/>
      <c r="V6" s="1608"/>
      <c r="W6" s="395"/>
      <c r="X6" s="395"/>
      <c r="Y6" s="395"/>
      <c r="Z6" s="2140"/>
      <c r="AA6" s="395"/>
      <c r="AB6" s="395"/>
      <c r="AC6" s="395"/>
      <c r="AD6" s="395"/>
      <c r="AE6" s="395"/>
      <c r="AF6" s="395"/>
      <c r="AG6" s="395"/>
      <c r="AH6" s="395"/>
      <c r="AI6" s="395"/>
      <c r="AJ6" s="395"/>
      <c r="AK6" s="395"/>
      <c r="AL6" s="395"/>
      <c r="AM6" s="395"/>
      <c r="AN6" s="395"/>
      <c r="AO6" s="395"/>
      <c r="AP6" s="395"/>
      <c r="AQ6" s="395"/>
      <c r="AR6" s="395"/>
      <c r="AS6" s="395"/>
      <c r="AT6" s="395"/>
      <c r="AU6" s="395"/>
      <c r="AV6" s="395"/>
      <c r="AW6" s="395"/>
      <c r="AX6" s="395"/>
      <c r="AY6" s="395"/>
      <c r="AZ6" s="395"/>
      <c r="BA6" s="395"/>
      <c r="BB6" s="395"/>
      <c r="BC6" s="395"/>
      <c r="BD6" s="395"/>
      <c r="BE6" s="395"/>
      <c r="BF6" s="395"/>
      <c r="BG6" s="395"/>
      <c r="BH6" s="395"/>
      <c r="BI6" s="395"/>
      <c r="BJ6" s="395"/>
      <c r="BK6" s="395"/>
      <c r="BL6" s="395"/>
      <c r="BM6" s="395"/>
      <c r="BN6" s="395"/>
      <c r="BO6" s="395"/>
      <c r="BP6" s="395"/>
      <c r="BQ6" s="395"/>
      <c r="BR6" s="395"/>
      <c r="BS6" s="395"/>
      <c r="BT6" s="395"/>
      <c r="BU6" s="395"/>
      <c r="BV6" s="395"/>
      <c r="BW6" s="395"/>
      <c r="BX6" s="395"/>
      <c r="BY6" s="395"/>
      <c r="BZ6" s="395"/>
      <c r="CA6" s="395"/>
      <c r="CB6" s="395"/>
      <c r="CC6" s="395"/>
      <c r="CD6" s="395"/>
      <c r="CE6" s="395"/>
      <c r="CF6" s="395"/>
      <c r="CG6" s="395"/>
      <c r="CH6" s="395"/>
      <c r="CI6" s="395"/>
      <c r="CJ6" s="395"/>
      <c r="CK6" s="395"/>
      <c r="CL6" s="395"/>
      <c r="CM6" s="395"/>
      <c r="CN6" s="395"/>
      <c r="CO6" s="395"/>
      <c r="CP6" s="395"/>
      <c r="CQ6" s="395"/>
      <c r="CR6" s="395"/>
      <c r="CS6" s="395"/>
      <c r="CT6" s="395"/>
      <c r="CU6" s="395"/>
      <c r="CV6" s="395"/>
      <c r="CW6" s="395"/>
      <c r="CX6" s="395"/>
      <c r="CY6" s="395"/>
      <c r="CZ6" s="395"/>
      <c r="DA6" s="395"/>
      <c r="DB6" s="395"/>
      <c r="DC6" s="395"/>
      <c r="DD6" s="395"/>
      <c r="DE6" s="395"/>
      <c r="DF6" s="395"/>
      <c r="DG6" s="395"/>
      <c r="DH6" s="395"/>
      <c r="DI6" s="395"/>
      <c r="DJ6" s="395"/>
      <c r="DK6" s="395"/>
      <c r="DL6" s="395"/>
      <c r="DM6" s="395"/>
      <c r="DN6" s="395"/>
      <c r="DO6" s="395"/>
      <c r="DP6" s="395"/>
      <c r="DQ6" s="395"/>
      <c r="DR6" s="395"/>
      <c r="DS6" s="395"/>
      <c r="DT6" s="395"/>
      <c r="DU6" s="395"/>
      <c r="DV6" s="395"/>
      <c r="DW6" s="395"/>
      <c r="DX6" s="395"/>
      <c r="DY6" s="395"/>
      <c r="DZ6" s="395"/>
      <c r="EA6" s="395"/>
      <c r="EB6" s="395"/>
      <c r="EC6" s="395"/>
      <c r="ED6" s="395"/>
      <c r="EE6" s="395"/>
      <c r="EF6" s="395"/>
      <c r="EG6" s="395"/>
      <c r="EH6" s="395"/>
      <c r="EI6" s="395"/>
      <c r="EJ6" s="395"/>
      <c r="EK6" s="395"/>
      <c r="EL6" s="395"/>
      <c r="EM6" s="395"/>
      <c r="EN6" s="395"/>
      <c r="EO6" s="395"/>
      <c r="EP6" s="395"/>
      <c r="EQ6" s="395"/>
      <c r="ER6" s="395"/>
      <c r="ES6" s="395"/>
      <c r="ET6" s="395"/>
      <c r="EU6" s="395"/>
      <c r="EV6" s="395"/>
      <c r="EW6" s="395"/>
      <c r="EX6" s="395"/>
      <c r="EY6" s="395"/>
      <c r="EZ6" s="395"/>
      <c r="FA6" s="395"/>
      <c r="FB6" s="395"/>
      <c r="FC6" s="395"/>
      <c r="FD6" s="395"/>
      <c r="FE6" s="395"/>
      <c r="FF6" s="395"/>
      <c r="FG6" s="395"/>
      <c r="FH6" s="395"/>
      <c r="FI6" s="395"/>
      <c r="FJ6" s="395"/>
      <c r="FK6" s="395"/>
      <c r="FL6" s="395"/>
      <c r="FM6" s="395"/>
      <c r="FN6" s="395"/>
      <c r="FO6" s="395"/>
      <c r="FP6" s="395"/>
      <c r="FQ6" s="395"/>
      <c r="FR6" s="395"/>
      <c r="FS6" s="395"/>
      <c r="FT6" s="395"/>
      <c r="FU6" s="395"/>
      <c r="FV6" s="395"/>
      <c r="FW6" s="395"/>
      <c r="FX6" s="395"/>
      <c r="FY6" s="395"/>
      <c r="FZ6" s="395"/>
      <c r="GA6" s="395"/>
      <c r="GB6" s="395"/>
      <c r="GC6" s="395"/>
      <c r="GD6" s="395"/>
      <c r="GE6" s="395"/>
      <c r="GF6" s="395"/>
      <c r="GG6" s="395"/>
      <c r="GH6" s="395"/>
      <c r="GI6" s="395"/>
      <c r="GJ6" s="395"/>
      <c r="GK6" s="395"/>
      <c r="GL6" s="395"/>
      <c r="GM6" s="395"/>
      <c r="GN6" s="395"/>
      <c r="GO6" s="395"/>
      <c r="GP6" s="395"/>
      <c r="GQ6" s="395"/>
      <c r="GR6" s="395"/>
      <c r="GS6" s="395"/>
      <c r="GT6" s="395"/>
      <c r="GU6" s="395"/>
      <c r="GV6" s="395"/>
      <c r="GW6" s="395"/>
      <c r="GX6" s="395"/>
      <c r="GY6" s="395"/>
      <c r="GZ6" s="395"/>
      <c r="HA6" s="395"/>
      <c r="HB6" s="395"/>
      <c r="HC6" s="395"/>
      <c r="HD6" s="395"/>
      <c r="HE6" s="395"/>
      <c r="HF6" s="395"/>
      <c r="HG6" s="395"/>
      <c r="HH6" s="395"/>
      <c r="HI6" s="395"/>
      <c r="HJ6" s="395"/>
      <c r="HK6" s="395"/>
      <c r="HL6" s="395"/>
      <c r="HM6" s="395"/>
      <c r="HN6" s="395"/>
      <c r="HO6" s="395"/>
      <c r="HP6" s="395"/>
      <c r="HQ6" s="395"/>
      <c r="HR6" s="395"/>
    </row>
    <row r="7" spans="1:226" s="866" customFormat="1" ht="15.6" x14ac:dyDescent="0.25">
      <c r="A7" s="373" t="s">
        <v>1038</v>
      </c>
      <c r="B7" s="357" t="s">
        <v>2372</v>
      </c>
      <c r="C7" s="357"/>
      <c r="D7" s="1487"/>
      <c r="E7" s="1487"/>
      <c r="F7" s="1487"/>
      <c r="G7" s="1487"/>
      <c r="H7" s="1487"/>
      <c r="I7" s="1487"/>
      <c r="J7" s="1487"/>
      <c r="K7" s="1487"/>
      <c r="L7" s="1487"/>
      <c r="M7" s="1487"/>
      <c r="N7" s="1487"/>
      <c r="O7" s="1487"/>
      <c r="P7" s="1487"/>
      <c r="Q7" s="1487"/>
      <c r="R7" s="395"/>
      <c r="S7" s="395"/>
      <c r="T7" s="395"/>
      <c r="U7" s="395"/>
      <c r="V7" s="1608"/>
      <c r="W7" s="395"/>
      <c r="X7" s="395"/>
      <c r="Y7" s="395"/>
      <c r="Z7" s="2140"/>
      <c r="AA7" s="395"/>
      <c r="AB7" s="395"/>
      <c r="AC7" s="395"/>
      <c r="AD7" s="395"/>
      <c r="AE7" s="395"/>
      <c r="AF7" s="395"/>
      <c r="AG7" s="395"/>
      <c r="AH7" s="395"/>
      <c r="AI7" s="395"/>
      <c r="AJ7" s="395"/>
      <c r="AK7" s="395"/>
      <c r="AL7" s="395"/>
      <c r="AM7" s="395"/>
      <c r="AN7" s="395"/>
      <c r="AO7" s="395"/>
      <c r="AP7" s="395"/>
      <c r="AQ7" s="395"/>
      <c r="AR7" s="395"/>
      <c r="AS7" s="395"/>
      <c r="AT7" s="395"/>
      <c r="AU7" s="395"/>
      <c r="AV7" s="395"/>
      <c r="AW7" s="395"/>
      <c r="AX7" s="395"/>
      <c r="AY7" s="395"/>
      <c r="AZ7" s="395"/>
      <c r="BA7" s="395"/>
      <c r="BB7" s="395"/>
      <c r="BC7" s="395"/>
      <c r="BD7" s="395"/>
      <c r="BE7" s="395"/>
      <c r="BF7" s="395"/>
      <c r="BG7" s="395"/>
      <c r="BH7" s="395"/>
      <c r="BI7" s="395"/>
      <c r="BJ7" s="395"/>
      <c r="BK7" s="395"/>
      <c r="BL7" s="395"/>
      <c r="BM7" s="395"/>
      <c r="BN7" s="395"/>
      <c r="BO7" s="395"/>
      <c r="BP7" s="395"/>
      <c r="BQ7" s="395"/>
      <c r="BR7" s="395"/>
      <c r="BS7" s="395"/>
      <c r="BT7" s="395"/>
      <c r="BU7" s="395"/>
      <c r="BV7" s="395"/>
      <c r="BW7" s="395"/>
      <c r="BX7" s="395"/>
      <c r="BY7" s="395"/>
      <c r="BZ7" s="395"/>
      <c r="CA7" s="395"/>
      <c r="CB7" s="395"/>
      <c r="CC7" s="395"/>
      <c r="CD7" s="395"/>
      <c r="CE7" s="395"/>
      <c r="CF7" s="395"/>
      <c r="CG7" s="395"/>
      <c r="CH7" s="395"/>
      <c r="CI7" s="395"/>
      <c r="CJ7" s="395"/>
      <c r="CK7" s="395"/>
      <c r="CL7" s="395"/>
      <c r="CM7" s="395"/>
      <c r="CN7" s="395"/>
      <c r="CO7" s="395"/>
      <c r="CP7" s="395"/>
      <c r="CQ7" s="395"/>
      <c r="CR7" s="395"/>
      <c r="CS7" s="395"/>
      <c r="CT7" s="395"/>
      <c r="CU7" s="395"/>
      <c r="CV7" s="395"/>
      <c r="CW7" s="395"/>
      <c r="CX7" s="395"/>
      <c r="CY7" s="395"/>
      <c r="CZ7" s="395"/>
      <c r="DA7" s="395"/>
      <c r="DB7" s="395"/>
      <c r="DC7" s="395"/>
      <c r="DD7" s="395"/>
      <c r="DE7" s="395"/>
      <c r="DF7" s="395"/>
      <c r="DG7" s="395"/>
      <c r="DH7" s="395"/>
      <c r="DI7" s="395"/>
      <c r="DJ7" s="395"/>
      <c r="DK7" s="395"/>
      <c r="DL7" s="395"/>
      <c r="DM7" s="395"/>
      <c r="DN7" s="395"/>
      <c r="DO7" s="395"/>
      <c r="DP7" s="395"/>
      <c r="DQ7" s="395"/>
      <c r="DR7" s="395"/>
      <c r="DS7" s="395"/>
      <c r="DT7" s="395"/>
      <c r="DU7" s="395"/>
      <c r="DV7" s="395"/>
      <c r="DW7" s="395"/>
      <c r="DX7" s="395"/>
      <c r="DY7" s="395"/>
      <c r="DZ7" s="395"/>
      <c r="EA7" s="395"/>
      <c r="EB7" s="395"/>
      <c r="EC7" s="395"/>
      <c r="ED7" s="395"/>
      <c r="EE7" s="395"/>
      <c r="EF7" s="395"/>
      <c r="EG7" s="395"/>
      <c r="EH7" s="395"/>
      <c r="EI7" s="395"/>
      <c r="EJ7" s="395"/>
      <c r="EK7" s="395"/>
      <c r="EL7" s="395"/>
      <c r="EM7" s="395"/>
      <c r="EN7" s="395"/>
      <c r="EO7" s="395"/>
      <c r="EP7" s="395"/>
      <c r="EQ7" s="395"/>
      <c r="ER7" s="395"/>
      <c r="ES7" s="395"/>
      <c r="ET7" s="395"/>
      <c r="EU7" s="395"/>
      <c r="EV7" s="395"/>
      <c r="EW7" s="395"/>
      <c r="EX7" s="395"/>
      <c r="EY7" s="395"/>
      <c r="EZ7" s="395"/>
      <c r="FA7" s="395"/>
      <c r="FB7" s="395"/>
      <c r="FC7" s="395"/>
      <c r="FD7" s="395"/>
      <c r="FE7" s="395"/>
      <c r="FF7" s="395"/>
      <c r="FG7" s="395"/>
      <c r="FH7" s="395"/>
      <c r="FI7" s="395"/>
      <c r="FJ7" s="395"/>
      <c r="FK7" s="395"/>
      <c r="FL7" s="395"/>
      <c r="FM7" s="395"/>
      <c r="FN7" s="395"/>
      <c r="FO7" s="395"/>
      <c r="FP7" s="395"/>
      <c r="FQ7" s="395"/>
      <c r="FR7" s="395"/>
      <c r="FS7" s="395"/>
      <c r="FT7" s="395"/>
      <c r="FU7" s="395"/>
      <c r="FV7" s="395"/>
      <c r="FW7" s="395"/>
      <c r="FX7" s="395"/>
      <c r="FY7" s="395"/>
      <c r="FZ7" s="395"/>
      <c r="GA7" s="395"/>
      <c r="GB7" s="395"/>
      <c r="GC7" s="395"/>
      <c r="GD7" s="395"/>
      <c r="GE7" s="395"/>
      <c r="GF7" s="395"/>
      <c r="GG7" s="395"/>
      <c r="GH7" s="395"/>
      <c r="GI7" s="395"/>
      <c r="GJ7" s="395"/>
      <c r="GK7" s="395"/>
      <c r="GL7" s="395"/>
      <c r="GM7" s="395"/>
      <c r="GN7" s="395"/>
      <c r="GO7" s="395"/>
      <c r="GP7" s="395"/>
      <c r="GQ7" s="395"/>
      <c r="GR7" s="395"/>
      <c r="GS7" s="395"/>
      <c r="GT7" s="395"/>
      <c r="GU7" s="395"/>
      <c r="GV7" s="395"/>
      <c r="GW7" s="395"/>
      <c r="GX7" s="395"/>
      <c r="GY7" s="395"/>
      <c r="GZ7" s="395"/>
      <c r="HA7" s="395"/>
      <c r="HB7" s="395"/>
      <c r="HC7" s="395"/>
      <c r="HD7" s="395"/>
      <c r="HE7" s="395"/>
      <c r="HF7" s="395"/>
      <c r="HG7" s="395"/>
      <c r="HH7" s="395"/>
      <c r="HI7" s="395"/>
      <c r="HJ7" s="395"/>
      <c r="HK7" s="395"/>
      <c r="HL7" s="395"/>
      <c r="HM7" s="395"/>
      <c r="HN7" s="395"/>
      <c r="HO7" s="395"/>
      <c r="HP7" s="395"/>
      <c r="HQ7" s="395"/>
      <c r="HR7" s="395"/>
    </row>
    <row r="8" spans="1:226" s="866" customFormat="1" x14ac:dyDescent="0.25">
      <c r="A8" s="373" t="s">
        <v>1038</v>
      </c>
      <c r="B8" s="291"/>
      <c r="C8" s="291"/>
      <c r="D8" s="291"/>
      <c r="E8" s="291"/>
      <c r="F8" s="291"/>
      <c r="G8" s="291"/>
      <c r="H8" s="291"/>
      <c r="I8" s="291"/>
      <c r="J8" s="291"/>
      <c r="K8" s="291"/>
      <c r="L8" s="291"/>
      <c r="M8" s="291"/>
      <c r="N8" s="291"/>
      <c r="O8" s="291"/>
      <c r="P8" s="291"/>
      <c r="Q8" s="291"/>
      <c r="R8" s="395"/>
      <c r="S8" s="395"/>
      <c r="T8" s="395"/>
      <c r="U8" s="395"/>
      <c r="V8" s="1608"/>
      <c r="W8" s="395"/>
      <c r="X8" s="395"/>
      <c r="Y8" s="395"/>
      <c r="Z8" s="2140"/>
      <c r="AA8" s="395"/>
      <c r="AB8" s="395"/>
      <c r="AC8" s="395"/>
      <c r="AD8" s="395"/>
      <c r="AE8" s="395"/>
      <c r="AF8" s="395"/>
      <c r="AG8" s="395"/>
      <c r="AH8" s="395"/>
      <c r="AI8" s="395"/>
      <c r="AJ8" s="395"/>
      <c r="AK8" s="395"/>
      <c r="AL8" s="395"/>
      <c r="AM8" s="395"/>
      <c r="AN8" s="395"/>
      <c r="AO8" s="395"/>
      <c r="AP8" s="395"/>
      <c r="AQ8" s="395"/>
      <c r="AR8" s="395"/>
      <c r="AS8" s="395"/>
      <c r="AT8" s="395"/>
      <c r="AU8" s="395"/>
      <c r="AV8" s="395"/>
      <c r="AW8" s="395"/>
      <c r="AX8" s="395"/>
      <c r="AY8" s="395"/>
      <c r="AZ8" s="395"/>
      <c r="BA8" s="395"/>
      <c r="BB8" s="395"/>
      <c r="BC8" s="395"/>
      <c r="BD8" s="395"/>
      <c r="BE8" s="395"/>
      <c r="BF8" s="395"/>
      <c r="BG8" s="395"/>
      <c r="BH8" s="395"/>
      <c r="BI8" s="395"/>
      <c r="BJ8" s="395"/>
      <c r="BK8" s="395"/>
      <c r="BL8" s="395"/>
      <c r="BM8" s="395"/>
      <c r="BN8" s="395"/>
      <c r="BO8" s="395"/>
      <c r="BP8" s="395"/>
      <c r="BQ8" s="395"/>
      <c r="BR8" s="395"/>
      <c r="BS8" s="395"/>
      <c r="BT8" s="395"/>
      <c r="BU8" s="395"/>
      <c r="BV8" s="395"/>
      <c r="BW8" s="395"/>
      <c r="BX8" s="395"/>
      <c r="BY8" s="395"/>
      <c r="BZ8" s="395"/>
      <c r="CA8" s="395"/>
      <c r="CB8" s="395"/>
      <c r="CC8" s="395"/>
      <c r="CD8" s="395"/>
      <c r="CE8" s="395"/>
      <c r="CF8" s="395"/>
      <c r="CG8" s="395"/>
      <c r="CH8" s="395"/>
      <c r="CI8" s="395"/>
      <c r="CJ8" s="395"/>
      <c r="CK8" s="395"/>
      <c r="CL8" s="395"/>
      <c r="CM8" s="395"/>
      <c r="CN8" s="395"/>
      <c r="CO8" s="395"/>
      <c r="CP8" s="395"/>
      <c r="CQ8" s="395"/>
      <c r="CR8" s="395"/>
      <c r="CS8" s="395"/>
      <c r="CT8" s="395"/>
      <c r="CU8" s="395"/>
      <c r="CV8" s="395"/>
      <c r="CW8" s="395"/>
      <c r="CX8" s="395"/>
      <c r="CY8" s="395"/>
      <c r="CZ8" s="395"/>
      <c r="DA8" s="395"/>
      <c r="DB8" s="395"/>
      <c r="DC8" s="395"/>
      <c r="DD8" s="395"/>
      <c r="DE8" s="395"/>
      <c r="DF8" s="395"/>
      <c r="DG8" s="395"/>
      <c r="DH8" s="395"/>
      <c r="DI8" s="395"/>
      <c r="DJ8" s="395"/>
      <c r="DK8" s="395"/>
      <c r="DL8" s="395"/>
      <c r="DM8" s="395"/>
      <c r="DN8" s="395"/>
      <c r="DO8" s="395"/>
      <c r="DP8" s="395"/>
      <c r="DQ8" s="395"/>
      <c r="DR8" s="395"/>
      <c r="DS8" s="395"/>
      <c r="DT8" s="395"/>
      <c r="DU8" s="395"/>
      <c r="DV8" s="395"/>
      <c r="DW8" s="395"/>
      <c r="DX8" s="395"/>
      <c r="DY8" s="395"/>
      <c r="DZ8" s="395"/>
      <c r="EA8" s="395"/>
      <c r="EB8" s="395"/>
      <c r="EC8" s="395"/>
      <c r="ED8" s="395"/>
      <c r="EE8" s="395"/>
      <c r="EF8" s="395"/>
      <c r="EG8" s="395"/>
      <c r="EH8" s="395"/>
      <c r="EI8" s="395"/>
      <c r="EJ8" s="395"/>
      <c r="EK8" s="395"/>
      <c r="EL8" s="395"/>
      <c r="EM8" s="395"/>
      <c r="EN8" s="395"/>
      <c r="EO8" s="395"/>
      <c r="EP8" s="395"/>
      <c r="EQ8" s="395"/>
      <c r="ER8" s="395"/>
      <c r="ES8" s="395"/>
      <c r="ET8" s="395"/>
      <c r="EU8" s="395"/>
      <c r="EV8" s="395"/>
      <c r="EW8" s="395"/>
      <c r="EX8" s="395"/>
      <c r="EY8" s="395"/>
      <c r="EZ8" s="395"/>
      <c r="FA8" s="395"/>
      <c r="FB8" s="395"/>
      <c r="FC8" s="395"/>
      <c r="FD8" s="395"/>
      <c r="FE8" s="395"/>
      <c r="FF8" s="395"/>
      <c r="FG8" s="395"/>
      <c r="FH8" s="395"/>
      <c r="FI8" s="395"/>
      <c r="FJ8" s="395"/>
      <c r="FK8" s="395"/>
      <c r="FL8" s="395"/>
      <c r="FM8" s="395"/>
      <c r="FN8" s="395"/>
      <c r="FO8" s="395"/>
      <c r="FP8" s="395"/>
      <c r="FQ8" s="395"/>
      <c r="FR8" s="395"/>
      <c r="FS8" s="395"/>
      <c r="FT8" s="395"/>
      <c r="FU8" s="395"/>
      <c r="FV8" s="395"/>
      <c r="FW8" s="395"/>
      <c r="FX8" s="395"/>
      <c r="FY8" s="395"/>
      <c r="FZ8" s="395"/>
      <c r="GA8" s="395"/>
      <c r="GB8" s="395"/>
      <c r="GC8" s="395"/>
      <c r="GD8" s="395"/>
      <c r="GE8" s="395"/>
      <c r="GF8" s="395"/>
      <c r="GG8" s="395"/>
      <c r="GH8" s="395"/>
      <c r="GI8" s="395"/>
      <c r="GJ8" s="395"/>
      <c r="GK8" s="395"/>
      <c r="GL8" s="395"/>
      <c r="GM8" s="395"/>
      <c r="GN8" s="395"/>
      <c r="GO8" s="395"/>
      <c r="GP8" s="395"/>
      <c r="GQ8" s="395"/>
      <c r="GR8" s="395"/>
      <c r="GS8" s="395"/>
      <c r="GT8" s="395"/>
      <c r="GU8" s="395"/>
      <c r="GV8" s="395"/>
      <c r="GW8" s="395"/>
      <c r="GX8" s="395"/>
      <c r="GY8" s="395"/>
      <c r="GZ8" s="395"/>
      <c r="HA8" s="395"/>
      <c r="HB8" s="395"/>
      <c r="HC8" s="395"/>
      <c r="HD8" s="395"/>
      <c r="HE8" s="395"/>
      <c r="HF8" s="395"/>
      <c r="HG8" s="395"/>
      <c r="HH8" s="395"/>
      <c r="HI8" s="395"/>
      <c r="HJ8" s="395"/>
      <c r="HK8" s="395"/>
      <c r="HL8" s="395"/>
      <c r="HM8" s="395"/>
      <c r="HN8" s="395"/>
      <c r="HO8" s="395"/>
      <c r="HP8" s="395"/>
      <c r="HQ8" s="395"/>
      <c r="HR8" s="395"/>
    </row>
    <row r="9" spans="1:226" s="866" customFormat="1" x14ac:dyDescent="0.25">
      <c r="A9" s="374" t="s">
        <v>1038</v>
      </c>
      <c r="B9" s="3357" t="s">
        <v>1087</v>
      </c>
      <c r="C9" s="3357"/>
      <c r="D9" s="3357" t="s">
        <v>1088</v>
      </c>
      <c r="E9" s="3357"/>
      <c r="F9" s="3357" t="s">
        <v>1089</v>
      </c>
      <c r="G9" s="3357"/>
      <c r="H9" s="3357" t="s">
        <v>1090</v>
      </c>
      <c r="I9" s="3357"/>
      <c r="J9" s="3357" t="s">
        <v>1091</v>
      </c>
      <c r="K9" s="3357"/>
      <c r="L9" s="3357" t="s">
        <v>1092</v>
      </c>
      <c r="M9" s="3357"/>
      <c r="N9" s="3357" t="s">
        <v>1093</v>
      </c>
      <c r="O9" s="3357"/>
      <c r="P9" s="3357" t="s">
        <v>1094</v>
      </c>
      <c r="Q9" s="3357"/>
      <c r="R9" s="3357" t="s">
        <v>1105</v>
      </c>
      <c r="S9" s="3357"/>
      <c r="T9" s="3357" t="s">
        <v>1106</v>
      </c>
      <c r="U9" s="3357"/>
      <c r="V9" s="1608"/>
      <c r="W9" s="395"/>
      <c r="X9" s="395"/>
      <c r="Y9" s="395"/>
      <c r="Z9" s="3358" t="s">
        <v>1635</v>
      </c>
      <c r="AA9" s="395"/>
      <c r="AB9" s="395"/>
      <c r="AC9" s="395"/>
      <c r="AD9" s="395"/>
      <c r="AE9" s="395"/>
      <c r="AF9" s="395"/>
      <c r="AG9" s="395"/>
      <c r="AH9" s="395"/>
      <c r="AI9" s="395"/>
      <c r="AJ9" s="395"/>
      <c r="AK9" s="395"/>
      <c r="AL9" s="395"/>
      <c r="AM9" s="395"/>
      <c r="AN9" s="395"/>
      <c r="AO9" s="395"/>
      <c r="AP9" s="395"/>
      <c r="AQ9" s="395"/>
      <c r="AR9" s="395"/>
      <c r="AS9" s="395"/>
      <c r="AT9" s="395"/>
      <c r="AU9" s="395"/>
      <c r="AV9" s="395"/>
      <c r="AW9" s="395"/>
      <c r="AX9" s="395"/>
      <c r="AY9" s="395"/>
      <c r="AZ9" s="395"/>
      <c r="BA9" s="395"/>
      <c r="BB9" s="395"/>
      <c r="BC9" s="395"/>
      <c r="BD9" s="395"/>
      <c r="BE9" s="395"/>
      <c r="BF9" s="395"/>
      <c r="BG9" s="395"/>
      <c r="BH9" s="395"/>
      <c r="BI9" s="395"/>
      <c r="BJ9" s="395"/>
      <c r="BK9" s="395"/>
      <c r="BL9" s="395"/>
      <c r="BM9" s="395"/>
      <c r="BN9" s="395"/>
      <c r="BO9" s="395"/>
      <c r="BP9" s="395"/>
      <c r="BQ9" s="395"/>
      <c r="BR9" s="395"/>
      <c r="BS9" s="395"/>
      <c r="BT9" s="395"/>
      <c r="BU9" s="395"/>
      <c r="BV9" s="395"/>
      <c r="BW9" s="395"/>
      <c r="BX9" s="395"/>
      <c r="BY9" s="395"/>
      <c r="BZ9" s="395"/>
      <c r="CA9" s="395"/>
      <c r="CB9" s="395"/>
      <c r="CC9" s="395"/>
      <c r="CD9" s="395"/>
      <c r="CE9" s="395"/>
      <c r="CF9" s="395"/>
      <c r="CG9" s="395"/>
      <c r="CH9" s="395"/>
      <c r="CI9" s="395"/>
      <c r="CJ9" s="395"/>
      <c r="CK9" s="395"/>
      <c r="CL9" s="395"/>
      <c r="CM9" s="395"/>
      <c r="CN9" s="395"/>
      <c r="CO9" s="395"/>
      <c r="CP9" s="395"/>
      <c r="CQ9" s="395"/>
      <c r="CR9" s="395"/>
      <c r="CS9" s="395"/>
      <c r="CT9" s="395"/>
      <c r="CU9" s="395"/>
      <c r="CV9" s="395"/>
      <c r="CW9" s="395"/>
      <c r="CX9" s="395"/>
      <c r="CY9" s="395"/>
      <c r="CZ9" s="395"/>
      <c r="DA9" s="395"/>
      <c r="DB9" s="395"/>
      <c r="DC9" s="395"/>
      <c r="DD9" s="395"/>
      <c r="DE9" s="395"/>
      <c r="DF9" s="395"/>
      <c r="DG9" s="395"/>
      <c r="DH9" s="395"/>
      <c r="DI9" s="395"/>
      <c r="DJ9" s="395"/>
      <c r="DK9" s="395"/>
      <c r="DL9" s="395"/>
      <c r="DM9" s="395"/>
      <c r="DN9" s="395"/>
      <c r="DO9" s="395"/>
      <c r="DP9" s="395"/>
      <c r="DQ9" s="395"/>
      <c r="DR9" s="395"/>
      <c r="DS9" s="395"/>
      <c r="DT9" s="395"/>
      <c r="DU9" s="395"/>
      <c r="DV9" s="395"/>
      <c r="DW9" s="395"/>
      <c r="DX9" s="395"/>
      <c r="DY9" s="395"/>
      <c r="DZ9" s="395"/>
      <c r="EA9" s="395"/>
      <c r="EB9" s="395"/>
      <c r="EC9" s="395"/>
      <c r="ED9" s="395"/>
      <c r="EE9" s="395"/>
      <c r="EF9" s="395"/>
      <c r="EG9" s="395"/>
      <c r="EH9" s="395"/>
      <c r="EI9" s="395"/>
      <c r="EJ9" s="395"/>
      <c r="EK9" s="395"/>
      <c r="EL9" s="395"/>
      <c r="EM9" s="395"/>
      <c r="EN9" s="395"/>
      <c r="EO9" s="395"/>
      <c r="EP9" s="395"/>
      <c r="EQ9" s="395"/>
      <c r="ER9" s="395"/>
      <c r="ES9" s="395"/>
      <c r="ET9" s="395"/>
      <c r="EU9" s="395"/>
      <c r="EV9" s="395"/>
      <c r="EW9" s="395"/>
      <c r="EX9" s="395"/>
      <c r="EY9" s="395"/>
      <c r="EZ9" s="395"/>
      <c r="FA9" s="395"/>
      <c r="FB9" s="395"/>
      <c r="FC9" s="395"/>
      <c r="FD9" s="395"/>
      <c r="FE9" s="395"/>
      <c r="FF9" s="395"/>
      <c r="FG9" s="395"/>
      <c r="FH9" s="395"/>
      <c r="FI9" s="395"/>
      <c r="FJ9" s="395"/>
      <c r="FK9" s="395"/>
      <c r="FL9" s="395"/>
      <c r="FM9" s="395"/>
      <c r="FN9" s="395"/>
      <c r="FO9" s="395"/>
      <c r="FP9" s="395"/>
      <c r="FQ9" s="395"/>
      <c r="FR9" s="395"/>
      <c r="FS9" s="395"/>
      <c r="FT9" s="395"/>
      <c r="FU9" s="395"/>
      <c r="FV9" s="395"/>
      <c r="FW9" s="395"/>
      <c r="FX9" s="395"/>
      <c r="FY9" s="395"/>
      <c r="FZ9" s="395"/>
      <c r="GA9" s="395"/>
      <c r="GB9" s="395"/>
      <c r="GC9" s="395"/>
      <c r="GD9" s="395"/>
      <c r="GE9" s="395"/>
      <c r="GF9" s="395"/>
      <c r="GG9" s="395"/>
      <c r="GH9" s="395"/>
      <c r="GI9" s="395"/>
      <c r="GJ9" s="395"/>
      <c r="GK9" s="395"/>
      <c r="GL9" s="395"/>
      <c r="GM9" s="395"/>
      <c r="GN9" s="395"/>
      <c r="GO9" s="395"/>
      <c r="GP9" s="395"/>
      <c r="GQ9" s="395"/>
      <c r="GR9" s="395"/>
      <c r="GS9" s="395"/>
      <c r="GT9" s="395"/>
      <c r="GU9" s="395"/>
      <c r="GV9" s="395"/>
      <c r="GW9" s="395"/>
      <c r="GX9" s="395"/>
      <c r="GY9" s="395"/>
      <c r="GZ9" s="395"/>
      <c r="HA9" s="395"/>
      <c r="HB9" s="395"/>
      <c r="HC9" s="395"/>
      <c r="HD9" s="395"/>
      <c r="HE9" s="395"/>
      <c r="HF9" s="395"/>
      <c r="HG9" s="395"/>
      <c r="HH9" s="395"/>
      <c r="HI9" s="395"/>
      <c r="HJ9" s="395"/>
      <c r="HK9" s="395"/>
      <c r="HL9" s="395"/>
      <c r="HM9" s="395"/>
      <c r="HN9" s="395"/>
      <c r="HO9" s="395"/>
      <c r="HP9" s="395"/>
      <c r="HQ9" s="395"/>
      <c r="HR9" s="395"/>
    </row>
    <row r="10" spans="1:226" s="866" customFormat="1" ht="39.6" x14ac:dyDescent="0.25">
      <c r="A10" s="374" t="s">
        <v>1038</v>
      </c>
      <c r="B10" s="3357"/>
      <c r="C10" s="3357"/>
      <c r="D10" s="780" t="s">
        <v>1132</v>
      </c>
      <c r="E10" s="780" t="str">
        <f>CONCATENATE("Average Floor Area",IF(SI_IP_Units="IP"," (sq ft)"," (sq m)"))</f>
        <v>Average Floor Area (sq ft)</v>
      </c>
      <c r="F10" s="780" t="s">
        <v>1132</v>
      </c>
      <c r="G10" s="780" t="str">
        <f>CONCATENATE("Average Floor Area",IF(SI_IP_Units="IP"," (sq ft)"," (sq m)"))</f>
        <v>Average Floor Area (sq ft)</v>
      </c>
      <c r="H10" s="780" t="s">
        <v>1132</v>
      </c>
      <c r="I10" s="780" t="str">
        <f>CONCATENATE("Average Floor Area",IF(SI_IP_Units="IP"," (sq ft)"," (sq m)"))</f>
        <v>Average Floor Area (sq ft)</v>
      </c>
      <c r="J10" s="780" t="s">
        <v>1132</v>
      </c>
      <c r="K10" s="780" t="str">
        <f>CONCATENATE("Average Floor Area",IF(SI_IP_Units="IP"," (sq ft)"," (sq m)"))</f>
        <v>Average Floor Area (sq ft)</v>
      </c>
      <c r="L10" s="780" t="s">
        <v>1132</v>
      </c>
      <c r="M10" s="780" t="str">
        <f>CONCATENATE("Average Floor Area",IF(SI_IP_Units="IP"," (sq ft)"," (sq m)"))</f>
        <v>Average Floor Area (sq ft)</v>
      </c>
      <c r="N10" s="780" t="s">
        <v>1132</v>
      </c>
      <c r="O10" s="780" t="str">
        <f>CONCATENATE("Average Floor Area",IF(SI_IP_Units="IP"," (sq ft)"," (sq m)"))</f>
        <v>Average Floor Area (sq ft)</v>
      </c>
      <c r="P10" s="780" t="s">
        <v>1132</v>
      </c>
      <c r="Q10" s="780" t="str">
        <f>CONCATENATE("Average Floor Area",IF(SI_IP_Units="IP"," (sq ft)"," (sq m)"))</f>
        <v>Average Floor Area (sq ft)</v>
      </c>
      <c r="R10" s="780" t="s">
        <v>1132</v>
      </c>
      <c r="S10" s="780" t="str">
        <f>CONCATENATE("Average Floor Area",IF(SI_IP_Units="IP"," (sq ft)"," (sq m)"))</f>
        <v>Average Floor Area (sq ft)</v>
      </c>
      <c r="T10" s="780" t="s">
        <v>1132</v>
      </c>
      <c r="U10" s="780" t="str">
        <f>CONCATENATE("Average Floor Area",IF(SI_IP_Units="IP"," (sq ft)"," (sq m)"))</f>
        <v>Average Floor Area (sq ft)</v>
      </c>
      <c r="V10" s="1608"/>
      <c r="W10" s="395"/>
      <c r="X10" s="395"/>
      <c r="Y10" s="395"/>
      <c r="Z10" s="3358"/>
      <c r="AA10" s="395"/>
      <c r="AB10" s="395"/>
      <c r="AC10" s="395"/>
      <c r="AD10" s="395"/>
      <c r="AE10" s="395"/>
      <c r="AF10" s="395"/>
      <c r="AG10" s="395"/>
      <c r="AH10" s="395"/>
      <c r="AI10" s="395"/>
      <c r="AJ10" s="395"/>
      <c r="AK10" s="395"/>
      <c r="AL10" s="395"/>
      <c r="AM10" s="395"/>
      <c r="AN10" s="395"/>
      <c r="AO10" s="395"/>
      <c r="AP10" s="395"/>
      <c r="AQ10" s="395"/>
      <c r="AR10" s="395"/>
      <c r="AS10" s="395"/>
      <c r="AT10" s="395"/>
      <c r="AU10" s="395"/>
      <c r="AV10" s="395"/>
      <c r="AW10" s="395"/>
      <c r="AX10" s="395"/>
      <c r="AY10" s="395"/>
      <c r="AZ10" s="395"/>
      <c r="BA10" s="395"/>
      <c r="BB10" s="395"/>
      <c r="BC10" s="395"/>
      <c r="BD10" s="395"/>
      <c r="BE10" s="395"/>
      <c r="BF10" s="395"/>
      <c r="BG10" s="395"/>
      <c r="BH10" s="395"/>
      <c r="BI10" s="395"/>
      <c r="BJ10" s="395"/>
      <c r="BK10" s="395"/>
      <c r="BL10" s="395"/>
      <c r="BM10" s="395"/>
      <c r="BN10" s="395"/>
      <c r="BO10" s="395"/>
      <c r="BP10" s="395"/>
      <c r="BQ10" s="395"/>
      <c r="BR10" s="395"/>
      <c r="BS10" s="395"/>
      <c r="BT10" s="395"/>
      <c r="BU10" s="395"/>
      <c r="BV10" s="395"/>
      <c r="BW10" s="395"/>
      <c r="BX10" s="395"/>
      <c r="BY10" s="395"/>
      <c r="BZ10" s="395"/>
      <c r="CA10" s="395"/>
      <c r="CB10" s="395"/>
      <c r="CC10" s="395"/>
      <c r="CD10" s="395"/>
      <c r="CE10" s="395"/>
      <c r="CF10" s="395"/>
      <c r="CG10" s="395"/>
      <c r="CH10" s="395"/>
      <c r="CI10" s="395"/>
      <c r="CJ10" s="395"/>
      <c r="CK10" s="395"/>
      <c r="CL10" s="395"/>
      <c r="CM10" s="395"/>
      <c r="CN10" s="395"/>
      <c r="CO10" s="395"/>
      <c r="CP10" s="395"/>
      <c r="CQ10" s="395"/>
      <c r="CR10" s="395"/>
      <c r="CS10" s="395"/>
      <c r="CT10" s="395"/>
      <c r="CU10" s="395"/>
      <c r="CV10" s="395"/>
      <c r="CW10" s="395"/>
      <c r="CX10" s="395"/>
      <c r="CY10" s="395"/>
      <c r="CZ10" s="395"/>
      <c r="DA10" s="395"/>
      <c r="DB10" s="395"/>
      <c r="DC10" s="395"/>
      <c r="DD10" s="395"/>
      <c r="DE10" s="395"/>
      <c r="DF10" s="395"/>
      <c r="DG10" s="395"/>
      <c r="DH10" s="395"/>
      <c r="DI10" s="395"/>
      <c r="DJ10" s="395"/>
      <c r="DK10" s="395"/>
      <c r="DL10" s="395"/>
      <c r="DM10" s="395"/>
      <c r="DN10" s="395"/>
      <c r="DO10" s="395"/>
      <c r="DP10" s="395"/>
      <c r="DQ10" s="395"/>
      <c r="DR10" s="395"/>
      <c r="DS10" s="395"/>
      <c r="DT10" s="395"/>
      <c r="DU10" s="395"/>
      <c r="DV10" s="395"/>
      <c r="DW10" s="395"/>
      <c r="DX10" s="395"/>
      <c r="DY10" s="395"/>
      <c r="DZ10" s="395"/>
      <c r="EA10" s="395"/>
      <c r="EB10" s="395"/>
      <c r="EC10" s="395"/>
      <c r="ED10" s="395"/>
      <c r="EE10" s="395"/>
      <c r="EF10" s="395"/>
      <c r="EG10" s="395"/>
      <c r="EH10" s="395"/>
      <c r="EI10" s="395"/>
      <c r="EJ10" s="395"/>
      <c r="EK10" s="395"/>
      <c r="EL10" s="395"/>
      <c r="EM10" s="395"/>
      <c r="EN10" s="395"/>
      <c r="EO10" s="395"/>
      <c r="EP10" s="395"/>
      <c r="EQ10" s="395"/>
      <c r="ER10" s="395"/>
      <c r="ES10" s="395"/>
      <c r="ET10" s="395"/>
      <c r="EU10" s="395"/>
      <c r="EV10" s="395"/>
      <c r="EW10" s="395"/>
      <c r="EX10" s="395"/>
      <c r="EY10" s="395"/>
      <c r="EZ10" s="395"/>
      <c r="FA10" s="395"/>
      <c r="FB10" s="395"/>
      <c r="FC10" s="395"/>
      <c r="FD10" s="395"/>
      <c r="FE10" s="395"/>
      <c r="FF10" s="395"/>
      <c r="FG10" s="395"/>
      <c r="FH10" s="395"/>
      <c r="FI10" s="395"/>
      <c r="FJ10" s="395"/>
      <c r="FK10" s="395"/>
      <c r="FL10" s="395"/>
      <c r="FM10" s="395"/>
      <c r="FN10" s="395"/>
      <c r="FO10" s="395"/>
      <c r="FP10" s="395"/>
      <c r="FQ10" s="395"/>
      <c r="FR10" s="395"/>
      <c r="FS10" s="395"/>
      <c r="FT10" s="395"/>
      <c r="FU10" s="395"/>
      <c r="FV10" s="395"/>
      <c r="FW10" s="395"/>
      <c r="FX10" s="395"/>
      <c r="FY10" s="395"/>
      <c r="FZ10" s="395"/>
      <c r="GA10" s="395"/>
      <c r="GB10" s="395"/>
      <c r="GC10" s="395"/>
      <c r="GD10" s="395"/>
      <c r="GE10" s="395"/>
      <c r="GF10" s="395"/>
      <c r="GG10" s="395"/>
      <c r="GH10" s="395"/>
      <c r="GI10" s="395"/>
      <c r="GJ10" s="395"/>
      <c r="GK10" s="395"/>
      <c r="GL10" s="395"/>
      <c r="GM10" s="395"/>
      <c r="GN10" s="395"/>
      <c r="GO10" s="395"/>
      <c r="GP10" s="395"/>
      <c r="GQ10" s="395"/>
      <c r="GR10" s="395"/>
      <c r="GS10" s="395"/>
      <c r="GT10" s="395"/>
      <c r="GU10" s="395"/>
      <c r="GV10" s="395"/>
      <c r="GW10" s="395"/>
      <c r="GX10" s="395"/>
      <c r="GY10" s="395"/>
      <c r="GZ10" s="395"/>
      <c r="HA10" s="395"/>
      <c r="HB10" s="395"/>
      <c r="HC10" s="395"/>
      <c r="HD10" s="395"/>
      <c r="HE10" s="395"/>
      <c r="HF10" s="395"/>
      <c r="HG10" s="395"/>
      <c r="HH10" s="395"/>
      <c r="HI10" s="395"/>
      <c r="HJ10" s="395"/>
      <c r="HK10" s="395"/>
      <c r="HL10" s="395"/>
      <c r="HM10" s="395"/>
      <c r="HN10" s="395"/>
      <c r="HO10" s="395"/>
      <c r="HP10" s="395"/>
      <c r="HQ10" s="395"/>
      <c r="HR10" s="395"/>
    </row>
    <row r="11" spans="1:226" s="866" customFormat="1" hidden="1" x14ac:dyDescent="0.25">
      <c r="A11" s="374" t="s">
        <v>1038</v>
      </c>
      <c r="B11" s="1358" t="s">
        <v>1087</v>
      </c>
      <c r="C11" s="1358"/>
      <c r="D11" s="1358" t="s">
        <v>1118</v>
      </c>
      <c r="E11" s="1358" t="s">
        <v>1114</v>
      </c>
      <c r="F11" s="1358" t="s">
        <v>1115</v>
      </c>
      <c r="G11" s="1358" t="s">
        <v>1116</v>
      </c>
      <c r="H11" s="1358" t="s">
        <v>1117</v>
      </c>
      <c r="I11" s="1359" t="s">
        <v>1119</v>
      </c>
      <c r="J11" s="1358" t="s">
        <v>1120</v>
      </c>
      <c r="K11" s="1358" t="s">
        <v>1121</v>
      </c>
      <c r="L11" s="1358" t="s">
        <v>1122</v>
      </c>
      <c r="M11" s="1358" t="s">
        <v>1123</v>
      </c>
      <c r="N11" s="1358" t="s">
        <v>1124</v>
      </c>
      <c r="O11" s="1358" t="s">
        <v>1125</v>
      </c>
      <c r="P11" s="1358" t="s">
        <v>1126</v>
      </c>
      <c r="Q11" s="1358" t="s">
        <v>1127</v>
      </c>
      <c r="R11" s="1358" t="s">
        <v>1128</v>
      </c>
      <c r="S11" s="1358" t="s">
        <v>1129</v>
      </c>
      <c r="T11" s="1358" t="s">
        <v>1130</v>
      </c>
      <c r="U11" s="1358" t="s">
        <v>1131</v>
      </c>
      <c r="V11" s="1608"/>
      <c r="W11" s="395"/>
      <c r="X11" s="395"/>
      <c r="Y11" s="395"/>
      <c r="Z11" s="2143"/>
      <c r="AA11" s="395"/>
      <c r="AB11" s="395"/>
      <c r="AC11" s="395"/>
      <c r="AD11" s="395"/>
      <c r="AE11" s="395"/>
      <c r="AF11" s="395"/>
      <c r="AG11" s="395"/>
      <c r="AH11" s="395"/>
      <c r="AI11" s="395"/>
      <c r="AJ11" s="395"/>
      <c r="AK11" s="395"/>
      <c r="AL11" s="395"/>
      <c r="AM11" s="395"/>
      <c r="AN11" s="395"/>
      <c r="AO11" s="395"/>
      <c r="AP11" s="395"/>
      <c r="AQ11" s="395"/>
      <c r="AR11" s="395"/>
      <c r="AS11" s="395"/>
      <c r="AT11" s="395"/>
      <c r="AU11" s="395"/>
      <c r="AV11" s="395"/>
      <c r="AW11" s="395"/>
      <c r="AX11" s="395"/>
      <c r="AY11" s="395"/>
      <c r="AZ11" s="395"/>
      <c r="BA11" s="395"/>
      <c r="BB11" s="395"/>
      <c r="BC11" s="395"/>
      <c r="BD11" s="395"/>
      <c r="BE11" s="395"/>
      <c r="BF11" s="395"/>
      <c r="BG11" s="395"/>
      <c r="BH11" s="395"/>
      <c r="BI11" s="395"/>
      <c r="BJ11" s="395"/>
      <c r="BK11" s="395"/>
      <c r="BL11" s="395"/>
      <c r="BM11" s="395"/>
      <c r="BN11" s="395"/>
      <c r="BO11" s="395"/>
      <c r="BP11" s="395"/>
      <c r="BQ11" s="395"/>
      <c r="BR11" s="395"/>
      <c r="BS11" s="395"/>
      <c r="BT11" s="395"/>
      <c r="BU11" s="395"/>
      <c r="BV11" s="395"/>
      <c r="BW11" s="395"/>
      <c r="BX11" s="395"/>
      <c r="BY11" s="395"/>
      <c r="BZ11" s="395"/>
      <c r="CA11" s="395"/>
      <c r="CB11" s="395"/>
      <c r="CC11" s="395"/>
      <c r="CD11" s="395"/>
      <c r="CE11" s="395"/>
      <c r="CF11" s="395"/>
      <c r="CG11" s="395"/>
      <c r="CH11" s="395"/>
      <c r="CI11" s="395"/>
      <c r="CJ11" s="395"/>
      <c r="CK11" s="395"/>
      <c r="CL11" s="395"/>
      <c r="CM11" s="395"/>
      <c r="CN11" s="395"/>
      <c r="CO11" s="395"/>
      <c r="CP11" s="395"/>
      <c r="CQ11" s="395"/>
      <c r="CR11" s="395"/>
      <c r="CS11" s="395"/>
      <c r="CT11" s="395"/>
      <c r="CU11" s="395"/>
      <c r="CV11" s="395"/>
      <c r="CW11" s="395"/>
      <c r="CX11" s="395"/>
      <c r="CY11" s="395"/>
      <c r="CZ11" s="395"/>
      <c r="DA11" s="395"/>
      <c r="DB11" s="395"/>
      <c r="DC11" s="395"/>
      <c r="DD11" s="395"/>
      <c r="DE11" s="395"/>
      <c r="DF11" s="395"/>
      <c r="DG11" s="395"/>
      <c r="DH11" s="395"/>
      <c r="DI11" s="395"/>
      <c r="DJ11" s="395"/>
      <c r="DK11" s="395"/>
      <c r="DL11" s="395"/>
      <c r="DM11" s="395"/>
      <c r="DN11" s="395"/>
      <c r="DO11" s="395"/>
      <c r="DP11" s="395"/>
      <c r="DQ11" s="395"/>
      <c r="DR11" s="395"/>
      <c r="DS11" s="395"/>
      <c r="DT11" s="395"/>
      <c r="DU11" s="395"/>
      <c r="DV11" s="395"/>
      <c r="DW11" s="395"/>
      <c r="DX11" s="395"/>
      <c r="DY11" s="395"/>
      <c r="DZ11" s="395"/>
      <c r="EA11" s="395"/>
      <c r="EB11" s="395"/>
      <c r="EC11" s="395"/>
      <c r="ED11" s="395"/>
      <c r="EE11" s="395"/>
      <c r="EF11" s="395"/>
      <c r="EG11" s="395"/>
      <c r="EH11" s="395"/>
      <c r="EI11" s="395"/>
      <c r="EJ11" s="395"/>
      <c r="EK11" s="395"/>
      <c r="EL11" s="395"/>
      <c r="EM11" s="395"/>
      <c r="EN11" s="395"/>
      <c r="EO11" s="395"/>
      <c r="EP11" s="395"/>
      <c r="EQ11" s="395"/>
      <c r="ER11" s="395"/>
      <c r="ES11" s="395"/>
      <c r="ET11" s="395"/>
      <c r="EU11" s="395"/>
      <c r="EV11" s="395"/>
      <c r="EW11" s="395"/>
      <c r="EX11" s="395"/>
      <c r="EY11" s="395"/>
      <c r="EZ11" s="395"/>
      <c r="FA11" s="395"/>
      <c r="FB11" s="395"/>
      <c r="FC11" s="395"/>
      <c r="FD11" s="395"/>
      <c r="FE11" s="395"/>
      <c r="FF11" s="395"/>
      <c r="FG11" s="395"/>
      <c r="FH11" s="395"/>
      <c r="FI11" s="395"/>
      <c r="FJ11" s="395"/>
      <c r="FK11" s="395"/>
      <c r="FL11" s="395"/>
      <c r="FM11" s="395"/>
      <c r="FN11" s="395"/>
      <c r="FO11" s="395"/>
      <c r="FP11" s="395"/>
      <c r="FQ11" s="395"/>
      <c r="FR11" s="395"/>
      <c r="FS11" s="395"/>
      <c r="FT11" s="395"/>
      <c r="FU11" s="395"/>
      <c r="FV11" s="395"/>
      <c r="FW11" s="395"/>
      <c r="FX11" s="395"/>
      <c r="FY11" s="395"/>
      <c r="FZ11" s="395"/>
      <c r="GA11" s="395"/>
      <c r="GB11" s="395"/>
      <c r="GC11" s="395"/>
      <c r="GD11" s="395"/>
      <c r="GE11" s="395"/>
      <c r="GF11" s="395"/>
      <c r="GG11" s="395"/>
      <c r="GH11" s="395"/>
      <c r="GI11" s="395"/>
      <c r="GJ11" s="395"/>
      <c r="GK11" s="395"/>
      <c r="GL11" s="395"/>
      <c r="GM11" s="395"/>
      <c r="GN11" s="395"/>
      <c r="GO11" s="395"/>
      <c r="GP11" s="395"/>
      <c r="GQ11" s="395"/>
      <c r="GR11" s="395"/>
      <c r="GS11" s="395"/>
      <c r="GT11" s="395"/>
      <c r="GU11" s="395"/>
      <c r="GV11" s="395"/>
      <c r="GW11" s="395"/>
      <c r="GX11" s="395"/>
      <c r="GY11" s="395"/>
      <c r="GZ11" s="395"/>
      <c r="HA11" s="395"/>
      <c r="HB11" s="395"/>
      <c r="HC11" s="395"/>
      <c r="HD11" s="395"/>
      <c r="HE11" s="395"/>
      <c r="HF11" s="395"/>
      <c r="HG11" s="395"/>
      <c r="HH11" s="395"/>
      <c r="HI11" s="395"/>
      <c r="HJ11" s="395"/>
      <c r="HK11" s="395"/>
      <c r="HL11" s="395"/>
      <c r="HM11" s="395"/>
      <c r="HN11" s="395"/>
      <c r="HO11" s="395"/>
      <c r="HP11" s="395"/>
      <c r="HQ11" s="395"/>
      <c r="HR11" s="395"/>
    </row>
    <row r="12" spans="1:226" s="866" customFormat="1" ht="15" customHeight="1" x14ac:dyDescent="0.25">
      <c r="A12" s="348" t="s">
        <v>1038</v>
      </c>
      <c r="B12" s="1253">
        <f>'1 - Multiple Buildings Details'!B24</f>
        <v>0</v>
      </c>
      <c r="C12" s="406"/>
      <c r="D12" s="1983"/>
      <c r="E12" s="1983"/>
      <c r="F12" s="1983"/>
      <c r="G12" s="1983"/>
      <c r="H12" s="1983"/>
      <c r="I12" s="1983"/>
      <c r="J12" s="1983"/>
      <c r="K12" s="1983"/>
      <c r="L12" s="1983"/>
      <c r="M12" s="1983"/>
      <c r="N12" s="1983"/>
      <c r="O12" s="1983"/>
      <c r="P12" s="1983"/>
      <c r="Q12" s="1983"/>
      <c r="R12" s="1983"/>
      <c r="S12" s="1983"/>
      <c r="T12" s="1983"/>
      <c r="U12" s="1983"/>
      <c r="V12" s="1608"/>
      <c r="W12" s="395"/>
      <c r="X12" s="395"/>
      <c r="Y12" s="395"/>
      <c r="Z12" s="2142"/>
      <c r="AA12" s="395"/>
      <c r="AB12" s="395"/>
      <c r="AC12" s="395"/>
      <c r="AD12" s="395"/>
      <c r="AE12" s="395"/>
      <c r="AF12" s="395"/>
      <c r="AG12" s="395"/>
      <c r="AH12" s="395"/>
      <c r="AI12" s="395"/>
      <c r="AJ12" s="395"/>
      <c r="AK12" s="395"/>
      <c r="AL12" s="395"/>
      <c r="AM12" s="395"/>
      <c r="AN12" s="395"/>
      <c r="AO12" s="395"/>
      <c r="AP12" s="395"/>
      <c r="AQ12" s="395"/>
      <c r="AR12" s="395"/>
      <c r="AS12" s="395"/>
      <c r="AT12" s="395"/>
      <c r="AU12" s="395"/>
      <c r="AV12" s="395"/>
      <c r="AW12" s="395"/>
      <c r="AX12" s="395"/>
      <c r="AY12" s="395"/>
      <c r="AZ12" s="395"/>
      <c r="BA12" s="395"/>
      <c r="BB12" s="395"/>
      <c r="BC12" s="395"/>
      <c r="BD12" s="395"/>
      <c r="BE12" s="395"/>
      <c r="BF12" s="395"/>
      <c r="BG12" s="395"/>
      <c r="BH12" s="395"/>
      <c r="BI12" s="395"/>
      <c r="BJ12" s="395"/>
      <c r="BK12" s="395"/>
      <c r="BL12" s="395"/>
      <c r="BM12" s="395"/>
      <c r="BN12" s="395"/>
      <c r="BO12" s="395"/>
      <c r="BP12" s="395"/>
      <c r="BQ12" s="395"/>
      <c r="BR12" s="395"/>
      <c r="BS12" s="395"/>
      <c r="BT12" s="395"/>
      <c r="BU12" s="395"/>
      <c r="BV12" s="395"/>
      <c r="BW12" s="395"/>
      <c r="BX12" s="395"/>
      <c r="BY12" s="395"/>
      <c r="BZ12" s="395"/>
      <c r="CA12" s="395"/>
      <c r="CB12" s="395"/>
      <c r="CC12" s="395"/>
      <c r="CD12" s="395"/>
      <c r="CE12" s="395"/>
      <c r="CF12" s="395"/>
      <c r="CG12" s="395"/>
      <c r="CH12" s="395"/>
      <c r="CI12" s="395"/>
      <c r="CJ12" s="395"/>
      <c r="CK12" s="395"/>
      <c r="CL12" s="395"/>
      <c r="CM12" s="395"/>
      <c r="CN12" s="395"/>
      <c r="CO12" s="395"/>
      <c r="CP12" s="395"/>
      <c r="CQ12" s="395"/>
      <c r="CR12" s="395"/>
      <c r="CS12" s="395"/>
      <c r="CT12" s="395"/>
      <c r="CU12" s="395"/>
      <c r="CV12" s="395"/>
      <c r="CW12" s="395"/>
      <c r="CX12" s="395"/>
      <c r="CY12" s="395"/>
      <c r="CZ12" s="395"/>
      <c r="DA12" s="395"/>
      <c r="DB12" s="395"/>
      <c r="DC12" s="395"/>
      <c r="DD12" s="395"/>
      <c r="DE12" s="395"/>
      <c r="DF12" s="395"/>
      <c r="DG12" s="395"/>
      <c r="DH12" s="395"/>
      <c r="DI12" s="395"/>
      <c r="DJ12" s="395"/>
      <c r="DK12" s="395"/>
      <c r="DL12" s="395"/>
      <c r="DM12" s="395"/>
      <c r="DN12" s="395"/>
      <c r="DO12" s="395"/>
      <c r="DP12" s="395"/>
      <c r="DQ12" s="395"/>
      <c r="DR12" s="395"/>
      <c r="DS12" s="395"/>
      <c r="DT12" s="395"/>
      <c r="DU12" s="395"/>
      <c r="DV12" s="395"/>
      <c r="DW12" s="395"/>
      <c r="DX12" s="395"/>
      <c r="DY12" s="395"/>
      <c r="DZ12" s="395"/>
      <c r="EA12" s="395"/>
      <c r="EB12" s="395"/>
      <c r="EC12" s="395"/>
      <c r="ED12" s="395"/>
      <c r="EE12" s="395"/>
      <c r="EF12" s="395"/>
      <c r="EG12" s="395"/>
      <c r="EH12" s="395"/>
      <c r="EI12" s="395"/>
      <c r="EJ12" s="395"/>
      <c r="EK12" s="395"/>
      <c r="EL12" s="395"/>
      <c r="EM12" s="395"/>
      <c r="EN12" s="395"/>
      <c r="EO12" s="395"/>
      <c r="EP12" s="395"/>
      <c r="EQ12" s="395"/>
      <c r="ER12" s="395"/>
      <c r="ES12" s="395"/>
      <c r="ET12" s="395"/>
      <c r="EU12" s="395"/>
      <c r="EV12" s="395"/>
      <c r="EW12" s="395"/>
      <c r="EX12" s="395"/>
      <c r="EY12" s="395"/>
      <c r="EZ12" s="395"/>
      <c r="FA12" s="395"/>
      <c r="FB12" s="395"/>
      <c r="FC12" s="395"/>
      <c r="FD12" s="395"/>
      <c r="FE12" s="395"/>
      <c r="FF12" s="395"/>
      <c r="FG12" s="395"/>
      <c r="FH12" s="395"/>
      <c r="FI12" s="395"/>
      <c r="FJ12" s="395"/>
      <c r="FK12" s="395"/>
      <c r="FL12" s="395"/>
      <c r="FM12" s="395"/>
      <c r="FN12" s="395"/>
      <c r="FO12" s="395"/>
      <c r="FP12" s="395"/>
      <c r="FQ12" s="395"/>
      <c r="FR12" s="395"/>
      <c r="FS12" s="395"/>
      <c r="FT12" s="395"/>
      <c r="FU12" s="395"/>
      <c r="FV12" s="395"/>
      <c r="FW12" s="395"/>
      <c r="FX12" s="395"/>
      <c r="FY12" s="395"/>
      <c r="FZ12" s="395"/>
      <c r="GA12" s="395"/>
      <c r="GB12" s="395"/>
      <c r="GC12" s="395"/>
      <c r="GD12" s="395"/>
      <c r="GE12" s="395"/>
      <c r="GF12" s="395"/>
      <c r="GG12" s="395"/>
      <c r="GH12" s="395"/>
      <c r="GI12" s="395"/>
      <c r="GJ12" s="395"/>
      <c r="GK12" s="395"/>
      <c r="GL12" s="395"/>
      <c r="GM12" s="395"/>
      <c r="GN12" s="395"/>
      <c r="GO12" s="395"/>
      <c r="GP12" s="395"/>
      <c r="GQ12" s="395"/>
      <c r="GR12" s="395"/>
      <c r="GS12" s="395"/>
      <c r="GT12" s="395"/>
      <c r="GU12" s="395"/>
      <c r="GV12" s="395"/>
      <c r="GW12" s="395"/>
      <c r="GX12" s="395"/>
      <c r="GY12" s="395"/>
      <c r="GZ12" s="395"/>
      <c r="HA12" s="395"/>
      <c r="HB12" s="395"/>
      <c r="HC12" s="395"/>
      <c r="HD12" s="395"/>
      <c r="HE12" s="395"/>
      <c r="HF12" s="395"/>
      <c r="HG12" s="395"/>
      <c r="HH12" s="395"/>
      <c r="HI12" s="395"/>
      <c r="HJ12" s="395"/>
      <c r="HK12" s="395"/>
      <c r="HL12" s="395"/>
      <c r="HM12" s="395"/>
      <c r="HN12" s="395"/>
      <c r="HO12" s="395"/>
      <c r="HP12" s="395"/>
      <c r="HQ12" s="395"/>
      <c r="HR12" s="395"/>
    </row>
    <row r="13" spans="1:226" s="866" customFormat="1" x14ac:dyDescent="0.25">
      <c r="A13" s="348" t="s">
        <v>1038</v>
      </c>
      <c r="B13" s="3396" t="s">
        <v>1095</v>
      </c>
      <c r="C13" s="3396"/>
      <c r="D13" s="3396"/>
      <c r="E13" s="3396"/>
      <c r="F13" s="3396"/>
      <c r="G13" s="3396"/>
      <c r="H13" s="3396"/>
      <c r="I13" s="3396"/>
      <c r="J13" s="3396"/>
      <c r="K13" s="3396"/>
      <c r="L13" s="3396"/>
      <c r="M13" s="3396"/>
      <c r="N13" s="3396"/>
      <c r="O13" s="3396"/>
      <c r="P13" s="3396"/>
      <c r="Q13" s="3396"/>
      <c r="R13" s="3396"/>
      <c r="S13" s="3396"/>
      <c r="T13" s="2084"/>
      <c r="U13" s="2085">
        <f ca="1">SUM(OFFSET(MD_BUS_Index,1,MATCH($D$11,MD_BUS_Hdr,0)-1,COUNTA(MD_BUS_Index),1),
OFFSET(MD_BUS_Index,1,MATCH($F$11,MD_BUS_Hdr,0)-1,COUNTA(MD_BUS_Index),1),
OFFSET(MD_BUS_Index,1,MATCH($H$11,MD_BUS_Hdr,0)-1,COUNTA(MD_BUS_Index),1),
OFFSET(MD_BUS_Index,1,MATCH($J$11,MD_BUS_Hdr,0)-1,COUNTA(MD_BUS_Index),1),
OFFSET(MD_BUS_Index,1,MATCH($L$11,MD_BUS_Hdr,0)-1,COUNTA(MD_BUS_Index),1),
OFFSET(MD_BUS_Index,1,MATCH($N$11,MD_BUS_Hdr,0)-1,COUNTA(MD_BUS_Index),1),
OFFSET(MD_BUS_Index,1,MATCH($P$11,MD_BUS_Hdr,0)-1,COUNTA(MD_BUS_Index),1),
OFFSET(MD_BUS_Index,1,MATCH($R$11,MD_BUS_Hdr,0)-1,COUNTA(MD_BUS_Index),1),
OFFSET(MD_BUS_Index,1,MATCH($T$11,MD_BUS_Hdr,0)-1,COUNTA(MD_BUS_Index),1),
)</f>
        <v>0</v>
      </c>
      <c r="V13" s="1846"/>
      <c r="W13" s="395"/>
      <c r="X13" s="395"/>
      <c r="Y13" s="395"/>
      <c r="Z13" s="2142"/>
      <c r="AA13" s="395"/>
      <c r="AB13" s="395"/>
      <c r="AC13" s="395"/>
      <c r="AD13" s="395"/>
      <c r="AE13" s="395"/>
      <c r="AF13" s="395"/>
      <c r="AG13" s="395"/>
      <c r="AH13" s="395"/>
      <c r="AI13" s="395"/>
      <c r="AJ13" s="395"/>
      <c r="AK13" s="395"/>
      <c r="AL13" s="395"/>
      <c r="AM13" s="395"/>
      <c r="AN13" s="395"/>
      <c r="AO13" s="395"/>
      <c r="AP13" s="395"/>
      <c r="AQ13" s="395"/>
      <c r="AR13" s="395"/>
      <c r="AS13" s="395"/>
      <c r="AT13" s="395"/>
      <c r="AU13" s="395"/>
      <c r="AV13" s="395"/>
      <c r="AW13" s="395"/>
      <c r="AX13" s="395"/>
      <c r="AY13" s="395"/>
      <c r="AZ13" s="395"/>
      <c r="BA13" s="395"/>
      <c r="BB13" s="395"/>
      <c r="BC13" s="395"/>
      <c r="BD13" s="395"/>
      <c r="BE13" s="395"/>
      <c r="BF13" s="395"/>
      <c r="BG13" s="395"/>
      <c r="BH13" s="395"/>
      <c r="BI13" s="395"/>
      <c r="BJ13" s="395"/>
      <c r="BK13" s="395"/>
      <c r="BL13" s="395"/>
      <c r="BM13" s="395"/>
      <c r="BN13" s="395"/>
      <c r="BO13" s="395"/>
      <c r="BP13" s="395"/>
      <c r="BQ13" s="395"/>
      <c r="BR13" s="395"/>
      <c r="BS13" s="395"/>
      <c r="BT13" s="395"/>
      <c r="BU13" s="395"/>
      <c r="BV13" s="395"/>
      <c r="BW13" s="395"/>
      <c r="BX13" s="395"/>
      <c r="BY13" s="395"/>
      <c r="BZ13" s="395"/>
      <c r="CA13" s="395"/>
      <c r="CB13" s="395"/>
      <c r="CC13" s="395"/>
      <c r="CD13" s="395"/>
      <c r="CE13" s="395"/>
      <c r="CF13" s="395"/>
      <c r="CG13" s="395"/>
      <c r="CH13" s="395"/>
      <c r="CI13" s="395"/>
      <c r="CJ13" s="395"/>
      <c r="CK13" s="395"/>
      <c r="CL13" s="395"/>
      <c r="CM13" s="395"/>
      <c r="CN13" s="395"/>
      <c r="CO13" s="395"/>
      <c r="CP13" s="395"/>
      <c r="CQ13" s="395"/>
      <c r="CR13" s="395"/>
      <c r="CS13" s="395"/>
      <c r="CT13" s="395"/>
      <c r="CU13" s="395"/>
      <c r="CV13" s="395"/>
      <c r="CW13" s="395"/>
      <c r="CX13" s="395"/>
      <c r="CY13" s="395"/>
      <c r="CZ13" s="395"/>
      <c r="DA13" s="395"/>
      <c r="DB13" s="395"/>
      <c r="DC13" s="395"/>
      <c r="DD13" s="395"/>
      <c r="DE13" s="395"/>
      <c r="DF13" s="395"/>
      <c r="DG13" s="395"/>
      <c r="DH13" s="395"/>
      <c r="DI13" s="395"/>
      <c r="DJ13" s="395"/>
      <c r="DK13" s="395"/>
      <c r="DL13" s="395"/>
      <c r="DM13" s="395"/>
      <c r="DN13" s="395"/>
      <c r="DO13" s="395"/>
      <c r="DP13" s="395"/>
      <c r="DQ13" s="395"/>
      <c r="DR13" s="395"/>
      <c r="DS13" s="395"/>
      <c r="DT13" s="395"/>
      <c r="DU13" s="395"/>
      <c r="DV13" s="395"/>
      <c r="DW13" s="395"/>
      <c r="DX13" s="395"/>
      <c r="DY13" s="395"/>
      <c r="DZ13" s="395"/>
      <c r="EA13" s="395"/>
      <c r="EB13" s="395"/>
      <c r="EC13" s="395"/>
      <c r="ED13" s="395"/>
      <c r="EE13" s="395"/>
      <c r="EF13" s="395"/>
      <c r="EG13" s="395"/>
      <c r="EH13" s="395"/>
      <c r="EI13" s="395"/>
      <c r="EJ13" s="395"/>
      <c r="EK13" s="395"/>
      <c r="EL13" s="395"/>
      <c r="EM13" s="395"/>
      <c r="EN13" s="395"/>
      <c r="EO13" s="395"/>
      <c r="EP13" s="395"/>
      <c r="EQ13" s="395"/>
      <c r="ER13" s="395"/>
      <c r="ES13" s="395"/>
      <c r="ET13" s="395"/>
      <c r="EU13" s="395"/>
      <c r="EV13" s="395"/>
      <c r="EW13" s="395"/>
      <c r="EX13" s="395"/>
      <c r="EY13" s="395"/>
      <c r="EZ13" s="395"/>
      <c r="FA13" s="395"/>
      <c r="FB13" s="395"/>
      <c r="FC13" s="395"/>
      <c r="FD13" s="395"/>
      <c r="FE13" s="395"/>
      <c r="FF13" s="395"/>
      <c r="FG13" s="395"/>
      <c r="FH13" s="395"/>
      <c r="FI13" s="395"/>
      <c r="FJ13" s="395"/>
      <c r="FK13" s="395"/>
      <c r="FL13" s="395"/>
      <c r="FM13" s="395"/>
      <c r="FN13" s="395"/>
      <c r="FO13" s="395"/>
      <c r="FP13" s="395"/>
      <c r="FQ13" s="395"/>
      <c r="FR13" s="395"/>
      <c r="FS13" s="395"/>
      <c r="FT13" s="395"/>
      <c r="FU13" s="395"/>
      <c r="FV13" s="395"/>
      <c r="FW13" s="395"/>
      <c r="FX13" s="395"/>
      <c r="FY13" s="395"/>
      <c r="FZ13" s="395"/>
      <c r="GA13" s="395"/>
      <c r="GB13" s="395"/>
      <c r="GC13" s="395"/>
      <c r="GD13" s="395"/>
      <c r="GE13" s="395"/>
      <c r="GF13" s="395"/>
      <c r="GG13" s="395"/>
      <c r="GH13" s="395"/>
      <c r="GI13" s="395"/>
      <c r="GJ13" s="395"/>
      <c r="GK13" s="395"/>
      <c r="GL13" s="395"/>
      <c r="GM13" s="395"/>
      <c r="GN13" s="395"/>
      <c r="GO13" s="395"/>
      <c r="GP13" s="395"/>
      <c r="GQ13" s="395"/>
      <c r="GR13" s="395"/>
      <c r="GS13" s="395"/>
      <c r="GT13" s="395"/>
      <c r="GU13" s="395"/>
      <c r="GV13" s="395"/>
      <c r="GW13" s="395"/>
      <c r="GX13" s="395"/>
      <c r="GY13" s="395"/>
      <c r="GZ13" s="395"/>
      <c r="HA13" s="395"/>
      <c r="HB13" s="395"/>
      <c r="HC13" s="395"/>
      <c r="HD13" s="395"/>
      <c r="HE13" s="395"/>
      <c r="HF13" s="395"/>
      <c r="HG13" s="395"/>
      <c r="HH13" s="395"/>
      <c r="HI13" s="395"/>
      <c r="HJ13" s="395"/>
      <c r="HK13" s="395"/>
      <c r="HL13" s="395"/>
      <c r="HM13" s="395"/>
      <c r="HN13" s="395"/>
      <c r="HO13" s="395"/>
      <c r="HP13" s="395"/>
      <c r="HQ13" s="395"/>
      <c r="HR13" s="395"/>
    </row>
    <row r="14" spans="1:226" s="866" customFormat="1" x14ac:dyDescent="0.25">
      <c r="A14" s="348" t="s">
        <v>1038</v>
      </c>
      <c r="B14" s="3396" t="s">
        <v>1096</v>
      </c>
      <c r="C14" s="3396"/>
      <c r="D14" s="3396"/>
      <c r="E14" s="3396"/>
      <c r="F14" s="3396"/>
      <c r="G14" s="3396"/>
      <c r="H14" s="3396"/>
      <c r="I14" s="3396"/>
      <c r="J14" s="3396"/>
      <c r="K14" s="3396"/>
      <c r="L14" s="3396"/>
      <c r="M14" s="3396"/>
      <c r="N14" s="3396"/>
      <c r="O14" s="3396"/>
      <c r="P14" s="3396"/>
      <c r="Q14" s="3396"/>
      <c r="R14" s="3396"/>
      <c r="S14" s="3396"/>
      <c r="T14" s="2086"/>
      <c r="U14" s="2087">
        <f t="array" aca="1" ref="U14" ca="1">SUM(OFFSET(MD_BUS_Index,1,MATCH($D$11,MD_BUS_Hdr,0)-1,COUNTA(MD_BUS_Index),1),
OFFSET(MD_BUS_Index,1,MATCH($F$11,MD_BUS_Hdr,0)-1,COUNTA(MD_BUS_Index),1),
OFFSET(MD_BUS_Index,1,MATCH($H$11,MD_BUS_Hdr,0)-1,COUNTA(MD_BUS_Index),1)*2,
OFFSET(MD_BUS_Index,1,MATCH($J$11,MD_BUS_Hdr,0)-1,COUNTA(MD_BUS_Index),1)*3,
OFFSET(MD_BUS_Index,1,MATCH($L$11,MD_BUS_Hdr,0)-1,COUNTA(MD_BUS_Index),1)*4,
OFFSET(MD_BUS_Index,1,MATCH($N$11,MD_BUS_Hdr,0)-1,COUNTA(MD_BUS_Index),1)*5,
OFFSET(MD_BUS_Index,1,MATCH($P$11,MD_BUS_Hdr,0)-1,COUNTA(MD_BUS_Index),1)*6,
OFFSET(MD_BUS_Index,1,MATCH($R$11,MD_BUS_Hdr,0)-1,COUNTA(MD_BUS_Index),1)*7,
OFFSET(MD_BUS_Index,1,MATCH($T$11,MD_BUS_Hdr,0)-1,COUNTA(MD_BUS_Index),1)*8,
)</f>
        <v>0</v>
      </c>
      <c r="V14" s="1846"/>
      <c r="W14" s="395"/>
      <c r="X14" s="395"/>
      <c r="Y14" s="395"/>
      <c r="Z14" s="2142"/>
      <c r="AA14" s="395"/>
      <c r="AB14" s="395"/>
      <c r="AC14" s="395"/>
      <c r="AD14" s="395"/>
      <c r="AE14" s="395"/>
      <c r="AF14" s="395"/>
      <c r="AG14" s="395"/>
      <c r="AH14" s="395"/>
      <c r="AI14" s="395"/>
      <c r="AJ14" s="395"/>
      <c r="AK14" s="395"/>
      <c r="AL14" s="395"/>
      <c r="AM14" s="395"/>
      <c r="AN14" s="395"/>
      <c r="AO14" s="395"/>
      <c r="AP14" s="395"/>
      <c r="AQ14" s="395"/>
      <c r="AR14" s="395"/>
      <c r="AS14" s="395"/>
      <c r="AT14" s="395"/>
      <c r="AU14" s="395"/>
      <c r="AV14" s="395"/>
      <c r="AW14" s="395"/>
      <c r="AX14" s="395"/>
      <c r="AY14" s="395"/>
      <c r="AZ14" s="395"/>
      <c r="BA14" s="395"/>
      <c r="BB14" s="395"/>
      <c r="BC14" s="395"/>
      <c r="BD14" s="395"/>
      <c r="BE14" s="395"/>
      <c r="BF14" s="395"/>
      <c r="BG14" s="395"/>
      <c r="BH14" s="395"/>
      <c r="BI14" s="395"/>
      <c r="BJ14" s="395"/>
      <c r="BK14" s="395"/>
      <c r="BL14" s="395"/>
      <c r="BM14" s="395"/>
      <c r="BN14" s="395"/>
      <c r="BO14" s="395"/>
      <c r="BP14" s="395"/>
      <c r="BQ14" s="395"/>
      <c r="BR14" s="395"/>
      <c r="BS14" s="395"/>
      <c r="BT14" s="395"/>
      <c r="BU14" s="395"/>
      <c r="BV14" s="395"/>
      <c r="BW14" s="395"/>
      <c r="BX14" s="395"/>
      <c r="BY14" s="395"/>
      <c r="BZ14" s="395"/>
      <c r="CA14" s="395"/>
      <c r="CB14" s="395"/>
      <c r="CC14" s="395"/>
      <c r="CD14" s="395"/>
      <c r="CE14" s="395"/>
      <c r="CF14" s="395"/>
      <c r="CG14" s="395"/>
      <c r="CH14" s="395"/>
      <c r="CI14" s="395"/>
      <c r="CJ14" s="395"/>
      <c r="CK14" s="395"/>
      <c r="CL14" s="395"/>
      <c r="CM14" s="395"/>
      <c r="CN14" s="395"/>
      <c r="CO14" s="395"/>
      <c r="CP14" s="395"/>
      <c r="CQ14" s="395"/>
      <c r="CR14" s="395"/>
      <c r="CS14" s="395"/>
      <c r="CT14" s="395"/>
      <c r="CU14" s="395"/>
      <c r="CV14" s="395"/>
      <c r="CW14" s="395"/>
      <c r="CX14" s="395"/>
      <c r="CY14" s="395"/>
      <c r="CZ14" s="395"/>
      <c r="DA14" s="395"/>
      <c r="DB14" s="395"/>
      <c r="DC14" s="395"/>
      <c r="DD14" s="395"/>
      <c r="DE14" s="395"/>
      <c r="DF14" s="395"/>
      <c r="DG14" s="395"/>
      <c r="DH14" s="395"/>
      <c r="DI14" s="395"/>
      <c r="DJ14" s="395"/>
      <c r="DK14" s="395"/>
      <c r="DL14" s="395"/>
      <c r="DM14" s="395"/>
      <c r="DN14" s="395"/>
      <c r="DO14" s="395"/>
      <c r="DP14" s="395"/>
      <c r="DQ14" s="395"/>
      <c r="DR14" s="395"/>
      <c r="DS14" s="395"/>
      <c r="DT14" s="395"/>
      <c r="DU14" s="395"/>
      <c r="DV14" s="395"/>
      <c r="DW14" s="395"/>
      <c r="DX14" s="395"/>
      <c r="DY14" s="395"/>
      <c r="DZ14" s="395"/>
      <c r="EA14" s="395"/>
      <c r="EB14" s="395"/>
      <c r="EC14" s="395"/>
      <c r="ED14" s="395"/>
      <c r="EE14" s="395"/>
      <c r="EF14" s="395"/>
      <c r="EG14" s="395"/>
      <c r="EH14" s="395"/>
      <c r="EI14" s="395"/>
      <c r="EJ14" s="395"/>
      <c r="EK14" s="395"/>
      <c r="EL14" s="395"/>
      <c r="EM14" s="395"/>
      <c r="EN14" s="395"/>
      <c r="EO14" s="395"/>
      <c r="EP14" s="395"/>
      <c r="EQ14" s="395"/>
      <c r="ER14" s="395"/>
      <c r="ES14" s="395"/>
      <c r="ET14" s="395"/>
      <c r="EU14" s="395"/>
      <c r="EV14" s="395"/>
      <c r="EW14" s="395"/>
      <c r="EX14" s="395"/>
      <c r="EY14" s="395"/>
      <c r="EZ14" s="395"/>
      <c r="FA14" s="395"/>
      <c r="FB14" s="395"/>
      <c r="FC14" s="395"/>
      <c r="FD14" s="395"/>
      <c r="FE14" s="395"/>
      <c r="FF14" s="395"/>
      <c r="FG14" s="395"/>
      <c r="FH14" s="395"/>
      <c r="FI14" s="395"/>
      <c r="FJ14" s="395"/>
      <c r="FK14" s="395"/>
      <c r="FL14" s="395"/>
      <c r="FM14" s="395"/>
      <c r="FN14" s="395"/>
      <c r="FO14" s="395"/>
      <c r="FP14" s="395"/>
      <c r="FQ14" s="395"/>
      <c r="FR14" s="395"/>
      <c r="FS14" s="395"/>
      <c r="FT14" s="395"/>
      <c r="FU14" s="395"/>
      <c r="FV14" s="395"/>
      <c r="FW14" s="395"/>
      <c r="FX14" s="395"/>
      <c r="FY14" s="395"/>
      <c r="FZ14" s="395"/>
      <c r="GA14" s="395"/>
      <c r="GB14" s="395"/>
      <c r="GC14" s="395"/>
      <c r="GD14" s="395"/>
      <c r="GE14" s="395"/>
      <c r="GF14" s="395"/>
      <c r="GG14" s="395"/>
      <c r="GH14" s="395"/>
      <c r="GI14" s="395"/>
      <c r="GJ14" s="395"/>
      <c r="GK14" s="395"/>
      <c r="GL14" s="395"/>
      <c r="GM14" s="395"/>
      <c r="GN14" s="395"/>
      <c r="GO14" s="395"/>
      <c r="GP14" s="395"/>
      <c r="GQ14" s="395"/>
      <c r="GR14" s="395"/>
      <c r="GS14" s="395"/>
      <c r="GT14" s="395"/>
      <c r="GU14" s="395"/>
      <c r="GV14" s="395"/>
      <c r="GW14" s="395"/>
      <c r="GX14" s="395"/>
      <c r="GY14" s="395"/>
      <c r="GZ14" s="395"/>
      <c r="HA14" s="395"/>
      <c r="HB14" s="395"/>
      <c r="HC14" s="395"/>
      <c r="HD14" s="395"/>
      <c r="HE14" s="395"/>
      <c r="HF14" s="395"/>
      <c r="HG14" s="395"/>
      <c r="HH14" s="395"/>
      <c r="HI14" s="395"/>
      <c r="HJ14" s="395"/>
      <c r="HK14" s="395"/>
      <c r="HL14" s="395"/>
      <c r="HM14" s="395"/>
      <c r="HN14" s="395"/>
      <c r="HO14" s="395"/>
      <c r="HP14" s="395"/>
      <c r="HQ14" s="395"/>
      <c r="HR14" s="395"/>
    </row>
    <row r="15" spans="1:226" s="866" customFormat="1" x14ac:dyDescent="0.25">
      <c r="A15" s="348" t="s">
        <v>1038</v>
      </c>
      <c r="B15" s="3396" t="str">
        <f>CONCATENATE("Total Area of Dwelling Units",IF(SI_IP_Units="IP"," (square feet)"," (square meters)"))</f>
        <v>Total Area of Dwelling Units (square feet)</v>
      </c>
      <c r="C15" s="3396"/>
      <c r="D15" s="3396"/>
      <c r="E15" s="3396"/>
      <c r="F15" s="3396"/>
      <c r="G15" s="3396"/>
      <c r="H15" s="3396"/>
      <c r="I15" s="3396"/>
      <c r="J15" s="3396"/>
      <c r="K15" s="3396"/>
      <c r="L15" s="3396"/>
      <c r="M15" s="3396"/>
      <c r="N15" s="3396"/>
      <c r="O15" s="3396"/>
      <c r="P15" s="3396"/>
      <c r="Q15" s="3396"/>
      <c r="R15" s="3396"/>
      <c r="S15" s="3396"/>
      <c r="T15" s="2086"/>
      <c r="U15" s="2087">
        <f t="array" aca="1" ref="U15" ca="1">SUM(OFFSET(MD_BUS_Index,1,MATCH($D$11,MD_BUS_Hdr,0)-1,COUNTA(MD_BUS_Index),1)*OFFSET(MD_BUS_Index,1,MATCH($E$11,MD_BUS_Hdr,0)-1,COUNTA(MD_BUS_Index),1),
OFFSET(MD_BUS_Index,1,MATCH($F$11,MD_BUS_Hdr,0)-1,COUNTA(MD_BUS_Index),1)*OFFSET(MD_BUS_Index,1,MATCH($G$11,MD_BUS_Hdr,0)-1,COUNTA(MD_BUS_Index),1),
OFFSET(MD_BUS_Index,1,MATCH($H$11,MD_BUS_Hdr,0)-1,COUNTA(MD_BUS_Index),1)*OFFSET(MD_BUS_Index,1,MATCH($I$11,MD_BUS_Hdr,0)-1,COUNTA(MD_BUS_Index),1),
OFFSET(MD_BUS_Index,1,MATCH($J$11,MD_BUS_Hdr,0)-1,COUNTA(MD_BUS_Index),1)*OFFSET(MD_BUS_Index,1,MATCH($K$11,MD_BUS_Hdr,0)-1,COUNTA(MD_BUS_Index),1),
OFFSET(MD_BUS_Index,1,MATCH($L$11,MD_BUS_Hdr,0)-1,COUNTA(MD_BUS_Index),1)*OFFSET(MD_BUS_Index,1,MATCH($M$11,MD_BUS_Hdr,0)-1,COUNTA(MD_BUS_Index),1),
OFFSET(MD_BUS_Index,1,MATCH($N$11,MD_BUS_Hdr,0)-1,COUNTA(MD_BUS_Index),1)*OFFSET(MD_BUS_Index,1,MATCH($O$11,MD_BUS_Hdr,0)-1,COUNTA(MD_BUS_Index),1),
OFFSET(MD_BUS_Index,1,MATCH($P$11,MD_BUS_Hdr,0)-1,COUNTA(MD_BUS_Index),1)*OFFSET(MD_BUS_Index,1,MATCH($Q$11,MD_BUS_Hdr,0)-1,COUNTA(MD_BUS_Index),1),
OFFSET(MD_BUS_Index,1,MATCH($R$11,MD_BUS_Hdr,0)-1,COUNTA(MD_BUS_Index),1)*OFFSET(MD_BUS_Index,1,MATCH($S$11,MD_BUS_Hdr,0)-1,COUNTA(MD_BUS_Index),1),
OFFSET(MD_BUS_Index,1,MATCH($T$11,MD_BUS_Hdr,0)-1,COUNTA(MD_BUS_Index),1)*OFFSET(MD_BUS_Index,1,MATCH($U$11,MD_BUS_Hdr,0)-1,COUNTA(MD_BUS_Index),1),
)</f>
        <v>0</v>
      </c>
      <c r="V15" s="1608"/>
      <c r="W15" s="395"/>
      <c r="X15" s="395"/>
      <c r="Y15" s="395"/>
      <c r="Z15" s="2142"/>
      <c r="AA15" s="395"/>
      <c r="AB15" s="395"/>
      <c r="AC15" s="395"/>
      <c r="AD15" s="395"/>
      <c r="AE15" s="395"/>
      <c r="AF15" s="395"/>
      <c r="AG15" s="395"/>
      <c r="AH15" s="395"/>
      <c r="AI15" s="395"/>
      <c r="AJ15" s="395"/>
      <c r="AK15" s="395"/>
      <c r="AL15" s="395"/>
      <c r="AM15" s="395"/>
      <c r="AN15" s="395"/>
      <c r="AO15" s="395"/>
      <c r="AP15" s="395"/>
      <c r="AQ15" s="395"/>
      <c r="AR15" s="395"/>
      <c r="AS15" s="395"/>
      <c r="AT15" s="395"/>
      <c r="AU15" s="395"/>
      <c r="AV15" s="395"/>
      <c r="AW15" s="395"/>
      <c r="AX15" s="395"/>
      <c r="AY15" s="395"/>
      <c r="AZ15" s="395"/>
      <c r="BA15" s="395"/>
      <c r="BB15" s="395"/>
      <c r="BC15" s="395"/>
      <c r="BD15" s="395"/>
      <c r="BE15" s="395"/>
      <c r="BF15" s="395"/>
      <c r="BG15" s="395"/>
      <c r="BH15" s="395"/>
      <c r="BI15" s="395"/>
      <c r="BJ15" s="395"/>
      <c r="BK15" s="395"/>
      <c r="BL15" s="395"/>
      <c r="BM15" s="395"/>
      <c r="BN15" s="395"/>
      <c r="BO15" s="395"/>
      <c r="BP15" s="395"/>
      <c r="BQ15" s="395"/>
      <c r="BR15" s="395"/>
      <c r="BS15" s="395"/>
      <c r="BT15" s="395"/>
      <c r="BU15" s="395"/>
      <c r="BV15" s="395"/>
      <c r="BW15" s="395"/>
      <c r="BX15" s="395"/>
      <c r="BY15" s="395"/>
      <c r="BZ15" s="395"/>
      <c r="CA15" s="395"/>
      <c r="CB15" s="395"/>
      <c r="CC15" s="395"/>
      <c r="CD15" s="395"/>
      <c r="CE15" s="395"/>
      <c r="CF15" s="395"/>
      <c r="CG15" s="395"/>
      <c r="CH15" s="395"/>
      <c r="CI15" s="395"/>
      <c r="CJ15" s="395"/>
      <c r="CK15" s="395"/>
      <c r="CL15" s="395"/>
      <c r="CM15" s="395"/>
      <c r="CN15" s="395"/>
      <c r="CO15" s="395"/>
      <c r="CP15" s="395"/>
      <c r="CQ15" s="395"/>
      <c r="CR15" s="395"/>
      <c r="CS15" s="395"/>
      <c r="CT15" s="395"/>
      <c r="CU15" s="395"/>
      <c r="CV15" s="395"/>
      <c r="CW15" s="395"/>
      <c r="CX15" s="395"/>
      <c r="CY15" s="395"/>
      <c r="CZ15" s="395"/>
      <c r="DA15" s="395"/>
      <c r="DB15" s="395"/>
      <c r="DC15" s="395"/>
      <c r="DD15" s="395"/>
      <c r="DE15" s="395"/>
      <c r="DF15" s="395"/>
      <c r="DG15" s="395"/>
      <c r="DH15" s="395"/>
      <c r="DI15" s="395"/>
      <c r="DJ15" s="395"/>
      <c r="DK15" s="395"/>
      <c r="DL15" s="395"/>
      <c r="DM15" s="395"/>
      <c r="DN15" s="395"/>
      <c r="DO15" s="395"/>
      <c r="DP15" s="395"/>
      <c r="DQ15" s="395"/>
      <c r="DR15" s="395"/>
      <c r="DS15" s="395"/>
      <c r="DT15" s="395"/>
      <c r="DU15" s="395"/>
      <c r="DV15" s="395"/>
      <c r="DW15" s="395"/>
      <c r="DX15" s="395"/>
      <c r="DY15" s="395"/>
      <c r="DZ15" s="395"/>
      <c r="EA15" s="395"/>
      <c r="EB15" s="395"/>
      <c r="EC15" s="395"/>
      <c r="ED15" s="395"/>
      <c r="EE15" s="395"/>
      <c r="EF15" s="395"/>
      <c r="EG15" s="395"/>
      <c r="EH15" s="395"/>
      <c r="EI15" s="395"/>
      <c r="EJ15" s="395"/>
      <c r="EK15" s="395"/>
      <c r="EL15" s="395"/>
      <c r="EM15" s="395"/>
      <c r="EN15" s="395"/>
      <c r="EO15" s="395"/>
      <c r="EP15" s="395"/>
      <c r="EQ15" s="395"/>
      <c r="ER15" s="395"/>
      <c r="ES15" s="395"/>
      <c r="ET15" s="395"/>
      <c r="EU15" s="395"/>
      <c r="EV15" s="395"/>
      <c r="EW15" s="395"/>
      <c r="EX15" s="395"/>
      <c r="EY15" s="395"/>
      <c r="EZ15" s="395"/>
      <c r="FA15" s="395"/>
      <c r="FB15" s="395"/>
      <c r="FC15" s="395"/>
      <c r="FD15" s="395"/>
      <c r="FE15" s="395"/>
      <c r="FF15" s="395"/>
      <c r="FG15" s="395"/>
      <c r="FH15" s="395"/>
      <c r="FI15" s="395"/>
      <c r="FJ15" s="395"/>
      <c r="FK15" s="395"/>
      <c r="FL15" s="395"/>
      <c r="FM15" s="395"/>
      <c r="FN15" s="395"/>
      <c r="FO15" s="395"/>
      <c r="FP15" s="395"/>
      <c r="FQ15" s="395"/>
      <c r="FR15" s="395"/>
      <c r="FS15" s="395"/>
      <c r="FT15" s="395"/>
      <c r="FU15" s="395"/>
      <c r="FV15" s="395"/>
      <c r="FW15" s="395"/>
      <c r="FX15" s="395"/>
      <c r="FY15" s="395"/>
      <c r="FZ15" s="395"/>
      <c r="GA15" s="395"/>
      <c r="GB15" s="395"/>
      <c r="GC15" s="395"/>
      <c r="GD15" s="395"/>
      <c r="GE15" s="395"/>
      <c r="GF15" s="395"/>
      <c r="GG15" s="395"/>
      <c r="GH15" s="395"/>
      <c r="GI15" s="395"/>
      <c r="GJ15" s="395"/>
      <c r="GK15" s="395"/>
      <c r="GL15" s="395"/>
      <c r="GM15" s="395"/>
      <c r="GN15" s="395"/>
      <c r="GO15" s="395"/>
      <c r="GP15" s="395"/>
      <c r="GQ15" s="395"/>
      <c r="GR15" s="395"/>
      <c r="GS15" s="395"/>
      <c r="GT15" s="395"/>
      <c r="GU15" s="395"/>
      <c r="GV15" s="395"/>
      <c r="GW15" s="395"/>
      <c r="GX15" s="395"/>
      <c r="GY15" s="395"/>
      <c r="GZ15" s="395"/>
      <c r="HA15" s="395"/>
      <c r="HB15" s="395"/>
      <c r="HC15" s="395"/>
      <c r="HD15" s="395"/>
      <c r="HE15" s="395"/>
      <c r="HF15" s="395"/>
      <c r="HG15" s="395"/>
      <c r="HH15" s="395"/>
      <c r="HI15" s="395"/>
      <c r="HJ15" s="395"/>
      <c r="HK15" s="395"/>
      <c r="HL15" s="395"/>
      <c r="HM15" s="395"/>
      <c r="HN15" s="395"/>
      <c r="HO15" s="395"/>
      <c r="HP15" s="395"/>
      <c r="HQ15" s="395"/>
      <c r="HR15" s="395"/>
    </row>
    <row r="16" spans="1:226" s="866" customFormat="1" hidden="1" x14ac:dyDescent="0.25">
      <c r="A16" s="348" t="s">
        <v>1038</v>
      </c>
      <c r="B16" s="3397" t="s">
        <v>1107</v>
      </c>
      <c r="C16" s="3398"/>
      <c r="D16" s="3398"/>
      <c r="E16" s="3398"/>
      <c r="F16" s="3398"/>
      <c r="G16" s="3398"/>
      <c r="H16" s="3398"/>
      <c r="I16" s="3398"/>
      <c r="J16" s="3398"/>
      <c r="K16" s="3398"/>
      <c r="L16" s="3398"/>
      <c r="M16" s="3398"/>
      <c r="N16" s="3398"/>
      <c r="O16" s="3398"/>
      <c r="P16" s="3398"/>
      <c r="Q16" s="3398"/>
      <c r="R16" s="3398"/>
      <c r="S16" s="3399"/>
      <c r="T16" s="366"/>
      <c r="U16" s="365">
        <f ca="1">IF(ISERROR(1/U13),0,U14/U13)</f>
        <v>0</v>
      </c>
      <c r="V16" s="1608"/>
      <c r="W16" s="395"/>
      <c r="X16" s="395"/>
      <c r="Y16" s="395"/>
      <c r="Z16" s="2140"/>
      <c r="AA16" s="395"/>
      <c r="AB16" s="395"/>
      <c r="AC16" s="395"/>
      <c r="AD16" s="395"/>
      <c r="AE16" s="395"/>
      <c r="AF16" s="395"/>
      <c r="AG16" s="395"/>
      <c r="AH16" s="395"/>
      <c r="AI16" s="395"/>
      <c r="AJ16" s="395"/>
      <c r="AK16" s="395"/>
      <c r="AL16" s="395"/>
      <c r="AM16" s="395"/>
      <c r="AN16" s="395"/>
      <c r="AO16" s="395"/>
      <c r="AP16" s="395"/>
      <c r="AQ16" s="395"/>
      <c r="AR16" s="395"/>
      <c r="AS16" s="395"/>
      <c r="AT16" s="395"/>
      <c r="AU16" s="395"/>
      <c r="AV16" s="395"/>
      <c r="AW16" s="395"/>
      <c r="AX16" s="395"/>
      <c r="AY16" s="395"/>
      <c r="AZ16" s="395"/>
      <c r="BA16" s="395"/>
      <c r="BB16" s="395"/>
      <c r="BC16" s="395"/>
      <c r="BD16" s="395"/>
      <c r="BE16" s="395"/>
      <c r="BF16" s="395"/>
      <c r="BG16" s="395"/>
      <c r="BH16" s="395"/>
      <c r="BI16" s="395"/>
      <c r="BJ16" s="395"/>
      <c r="BK16" s="395"/>
      <c r="BL16" s="395"/>
      <c r="BM16" s="395"/>
      <c r="BN16" s="395"/>
      <c r="BO16" s="395"/>
      <c r="BP16" s="395"/>
      <c r="BQ16" s="395"/>
      <c r="BR16" s="395"/>
      <c r="BS16" s="395"/>
      <c r="BT16" s="395"/>
      <c r="BU16" s="395"/>
      <c r="BV16" s="395"/>
      <c r="BW16" s="395"/>
      <c r="BX16" s="395"/>
      <c r="BY16" s="395"/>
      <c r="BZ16" s="395"/>
      <c r="CA16" s="395"/>
      <c r="CB16" s="395"/>
      <c r="CC16" s="395"/>
      <c r="CD16" s="395"/>
      <c r="CE16" s="395"/>
      <c r="CF16" s="395"/>
      <c r="CG16" s="395"/>
      <c r="CH16" s="395"/>
      <c r="CI16" s="395"/>
      <c r="CJ16" s="395"/>
      <c r="CK16" s="395"/>
      <c r="CL16" s="395"/>
      <c r="CM16" s="395"/>
      <c r="CN16" s="395"/>
      <c r="CO16" s="395"/>
      <c r="CP16" s="395"/>
      <c r="CQ16" s="395"/>
      <c r="CR16" s="395"/>
      <c r="CS16" s="395"/>
      <c r="CT16" s="395"/>
      <c r="CU16" s="395"/>
      <c r="CV16" s="395"/>
      <c r="CW16" s="395"/>
      <c r="CX16" s="395"/>
      <c r="CY16" s="395"/>
      <c r="CZ16" s="395"/>
      <c r="DA16" s="395"/>
      <c r="DB16" s="395"/>
      <c r="DC16" s="395"/>
      <c r="DD16" s="395"/>
      <c r="DE16" s="395"/>
      <c r="DF16" s="395"/>
      <c r="DG16" s="395"/>
      <c r="DH16" s="395"/>
      <c r="DI16" s="395"/>
      <c r="DJ16" s="395"/>
      <c r="DK16" s="395"/>
      <c r="DL16" s="395"/>
      <c r="DM16" s="395"/>
      <c r="DN16" s="395"/>
      <c r="DO16" s="395"/>
      <c r="DP16" s="395"/>
      <c r="DQ16" s="395"/>
      <c r="DR16" s="395"/>
      <c r="DS16" s="395"/>
      <c r="DT16" s="395"/>
      <c r="DU16" s="395"/>
      <c r="DV16" s="395"/>
      <c r="DW16" s="395"/>
      <c r="DX16" s="395"/>
      <c r="DY16" s="395"/>
      <c r="DZ16" s="395"/>
      <c r="EA16" s="395"/>
      <c r="EB16" s="395"/>
      <c r="EC16" s="395"/>
      <c r="ED16" s="395"/>
      <c r="EE16" s="395"/>
      <c r="EF16" s="395"/>
      <c r="EG16" s="395"/>
      <c r="EH16" s="395"/>
      <c r="EI16" s="395"/>
      <c r="EJ16" s="395"/>
      <c r="EK16" s="395"/>
      <c r="EL16" s="395"/>
      <c r="EM16" s="395"/>
      <c r="EN16" s="395"/>
      <c r="EO16" s="395"/>
      <c r="EP16" s="395"/>
      <c r="EQ16" s="395"/>
      <c r="ER16" s="395"/>
      <c r="ES16" s="395"/>
      <c r="ET16" s="395"/>
      <c r="EU16" s="395"/>
      <c r="EV16" s="395"/>
      <c r="EW16" s="395"/>
      <c r="EX16" s="395"/>
      <c r="EY16" s="395"/>
      <c r="EZ16" s="395"/>
      <c r="FA16" s="395"/>
      <c r="FB16" s="395"/>
      <c r="FC16" s="395"/>
      <c r="FD16" s="395"/>
      <c r="FE16" s="395"/>
      <c r="FF16" s="395"/>
      <c r="FG16" s="395"/>
      <c r="FH16" s="395"/>
      <c r="FI16" s="395"/>
      <c r="FJ16" s="395"/>
      <c r="FK16" s="395"/>
      <c r="FL16" s="395"/>
      <c r="FM16" s="395"/>
      <c r="FN16" s="395"/>
      <c r="FO16" s="395"/>
      <c r="FP16" s="395"/>
      <c r="FQ16" s="395"/>
      <c r="FR16" s="395"/>
      <c r="FS16" s="395"/>
      <c r="FT16" s="395"/>
      <c r="FU16" s="395"/>
      <c r="FV16" s="395"/>
      <c r="FW16" s="395"/>
      <c r="FX16" s="395"/>
      <c r="FY16" s="395"/>
      <c r="FZ16" s="395"/>
      <c r="GA16" s="395"/>
      <c r="GB16" s="395"/>
      <c r="GC16" s="395"/>
      <c r="GD16" s="395"/>
      <c r="GE16" s="395"/>
      <c r="GF16" s="395"/>
      <c r="GG16" s="395"/>
      <c r="GH16" s="395"/>
      <c r="GI16" s="395"/>
      <c r="GJ16" s="395"/>
      <c r="GK16" s="395"/>
      <c r="GL16" s="395"/>
      <c r="GM16" s="395"/>
      <c r="GN16" s="395"/>
      <c r="GO16" s="395"/>
      <c r="GP16" s="395"/>
      <c r="GQ16" s="395"/>
      <c r="GR16" s="395"/>
      <c r="GS16" s="395"/>
      <c r="GT16" s="395"/>
      <c r="GU16" s="395"/>
      <c r="GV16" s="395"/>
      <c r="GW16" s="395"/>
      <c r="GX16" s="395"/>
      <c r="GY16" s="395"/>
      <c r="GZ16" s="395"/>
      <c r="HA16" s="395"/>
      <c r="HB16" s="395"/>
      <c r="HC16" s="395"/>
      <c r="HD16" s="395"/>
      <c r="HE16" s="395"/>
      <c r="HF16" s="395"/>
      <c r="HG16" s="395"/>
      <c r="HH16" s="395"/>
      <c r="HI16" s="395"/>
      <c r="HJ16" s="395"/>
      <c r="HK16" s="395"/>
      <c r="HL16" s="395"/>
      <c r="HM16" s="395"/>
      <c r="HN16" s="395"/>
      <c r="HO16" s="395"/>
      <c r="HP16" s="395"/>
      <c r="HQ16" s="395"/>
      <c r="HR16" s="395"/>
    </row>
    <row r="17" spans="1:226" s="866" customFormat="1" hidden="1" x14ac:dyDescent="0.25">
      <c r="A17" s="348" t="s">
        <v>1038</v>
      </c>
      <c r="B17" s="3397" t="str">
        <f>CONCATENATE("Average Floor Area Per Unit",IF(SI_IP_Units="IP"," (square feet)"," (square meters)"))</f>
        <v>Average Floor Area Per Unit (square feet)</v>
      </c>
      <c r="C17" s="3398"/>
      <c r="D17" s="3398"/>
      <c r="E17" s="3398"/>
      <c r="F17" s="3398"/>
      <c r="G17" s="3398"/>
      <c r="H17" s="3398"/>
      <c r="I17" s="3398"/>
      <c r="J17" s="3398"/>
      <c r="K17" s="3398"/>
      <c r="L17" s="3398"/>
      <c r="M17" s="3398"/>
      <c r="N17" s="3398"/>
      <c r="O17" s="3398"/>
      <c r="P17" s="3398"/>
      <c r="Q17" s="3398"/>
      <c r="R17" s="3398"/>
      <c r="S17" s="3399"/>
      <c r="T17" s="366"/>
      <c r="U17" s="364">
        <f ca="1">IF(ISERROR(1/U13),0,U15/U13)</f>
        <v>0</v>
      </c>
      <c r="V17" s="1608"/>
      <c r="W17" s="395"/>
      <c r="X17" s="395"/>
      <c r="Y17" s="395"/>
      <c r="Z17" s="2140"/>
      <c r="AA17" s="395"/>
      <c r="AB17" s="395"/>
      <c r="AC17" s="395"/>
      <c r="AD17" s="395"/>
      <c r="AE17" s="395"/>
      <c r="AF17" s="395"/>
      <c r="AG17" s="395"/>
      <c r="AH17" s="395"/>
      <c r="AI17" s="395"/>
      <c r="AJ17" s="395"/>
      <c r="AK17" s="395"/>
      <c r="AL17" s="395"/>
      <c r="AM17" s="395"/>
      <c r="AN17" s="395"/>
      <c r="AO17" s="395"/>
      <c r="AP17" s="395"/>
      <c r="AQ17" s="395"/>
      <c r="AR17" s="395"/>
      <c r="AS17" s="395"/>
      <c r="AT17" s="395"/>
      <c r="AU17" s="395"/>
      <c r="AV17" s="395"/>
      <c r="AW17" s="395"/>
      <c r="AX17" s="395"/>
      <c r="AY17" s="395"/>
      <c r="AZ17" s="395"/>
      <c r="BA17" s="395"/>
      <c r="BB17" s="395"/>
      <c r="BC17" s="395"/>
      <c r="BD17" s="395"/>
      <c r="BE17" s="395"/>
      <c r="BF17" s="395"/>
      <c r="BG17" s="395"/>
      <c r="BH17" s="395"/>
      <c r="BI17" s="395"/>
      <c r="BJ17" s="395"/>
      <c r="BK17" s="395"/>
      <c r="BL17" s="395"/>
      <c r="BM17" s="395"/>
      <c r="BN17" s="395"/>
      <c r="BO17" s="395"/>
      <c r="BP17" s="395"/>
      <c r="BQ17" s="395"/>
      <c r="BR17" s="395"/>
      <c r="BS17" s="395"/>
      <c r="BT17" s="395"/>
      <c r="BU17" s="395"/>
      <c r="BV17" s="395"/>
      <c r="BW17" s="395"/>
      <c r="BX17" s="395"/>
      <c r="BY17" s="395"/>
      <c r="BZ17" s="395"/>
      <c r="CA17" s="395"/>
      <c r="CB17" s="395"/>
      <c r="CC17" s="395"/>
      <c r="CD17" s="395"/>
      <c r="CE17" s="395"/>
      <c r="CF17" s="395"/>
      <c r="CG17" s="395"/>
      <c r="CH17" s="395"/>
      <c r="CI17" s="395"/>
      <c r="CJ17" s="395"/>
      <c r="CK17" s="395"/>
      <c r="CL17" s="395"/>
      <c r="CM17" s="395"/>
      <c r="CN17" s="395"/>
      <c r="CO17" s="395"/>
      <c r="CP17" s="395"/>
      <c r="CQ17" s="395"/>
      <c r="CR17" s="395"/>
      <c r="CS17" s="395"/>
      <c r="CT17" s="395"/>
      <c r="CU17" s="395"/>
      <c r="CV17" s="395"/>
      <c r="CW17" s="395"/>
      <c r="CX17" s="395"/>
      <c r="CY17" s="395"/>
      <c r="CZ17" s="395"/>
      <c r="DA17" s="395"/>
      <c r="DB17" s="395"/>
      <c r="DC17" s="395"/>
      <c r="DD17" s="395"/>
      <c r="DE17" s="395"/>
      <c r="DF17" s="395"/>
      <c r="DG17" s="395"/>
      <c r="DH17" s="395"/>
      <c r="DI17" s="395"/>
      <c r="DJ17" s="395"/>
      <c r="DK17" s="395"/>
      <c r="DL17" s="395"/>
      <c r="DM17" s="395"/>
      <c r="DN17" s="395"/>
      <c r="DO17" s="395"/>
      <c r="DP17" s="395"/>
      <c r="DQ17" s="395"/>
      <c r="DR17" s="395"/>
      <c r="DS17" s="395"/>
      <c r="DT17" s="395"/>
      <c r="DU17" s="395"/>
      <c r="DV17" s="395"/>
      <c r="DW17" s="395"/>
      <c r="DX17" s="395"/>
      <c r="DY17" s="395"/>
      <c r="DZ17" s="395"/>
      <c r="EA17" s="395"/>
      <c r="EB17" s="395"/>
      <c r="EC17" s="395"/>
      <c r="ED17" s="395"/>
      <c r="EE17" s="395"/>
      <c r="EF17" s="395"/>
      <c r="EG17" s="395"/>
      <c r="EH17" s="395"/>
      <c r="EI17" s="395"/>
      <c r="EJ17" s="395"/>
      <c r="EK17" s="395"/>
      <c r="EL17" s="395"/>
      <c r="EM17" s="395"/>
      <c r="EN17" s="395"/>
      <c r="EO17" s="395"/>
      <c r="EP17" s="395"/>
      <c r="EQ17" s="395"/>
      <c r="ER17" s="395"/>
      <c r="ES17" s="395"/>
      <c r="ET17" s="395"/>
      <c r="EU17" s="395"/>
      <c r="EV17" s="395"/>
      <c r="EW17" s="395"/>
      <c r="EX17" s="395"/>
      <c r="EY17" s="395"/>
      <c r="EZ17" s="395"/>
      <c r="FA17" s="395"/>
      <c r="FB17" s="395"/>
      <c r="FC17" s="395"/>
      <c r="FD17" s="395"/>
      <c r="FE17" s="395"/>
      <c r="FF17" s="395"/>
      <c r="FG17" s="395"/>
      <c r="FH17" s="395"/>
      <c r="FI17" s="395"/>
      <c r="FJ17" s="395"/>
      <c r="FK17" s="395"/>
      <c r="FL17" s="395"/>
      <c r="FM17" s="395"/>
      <c r="FN17" s="395"/>
      <c r="FO17" s="395"/>
      <c r="FP17" s="395"/>
      <c r="FQ17" s="395"/>
      <c r="FR17" s="395"/>
      <c r="FS17" s="395"/>
      <c r="FT17" s="395"/>
      <c r="FU17" s="395"/>
      <c r="FV17" s="395"/>
      <c r="FW17" s="395"/>
      <c r="FX17" s="395"/>
      <c r="FY17" s="395"/>
      <c r="FZ17" s="395"/>
      <c r="GA17" s="395"/>
      <c r="GB17" s="395"/>
      <c r="GC17" s="395"/>
      <c r="GD17" s="395"/>
      <c r="GE17" s="395"/>
      <c r="GF17" s="395"/>
      <c r="GG17" s="395"/>
      <c r="GH17" s="395"/>
      <c r="GI17" s="395"/>
      <c r="GJ17" s="395"/>
      <c r="GK17" s="395"/>
      <c r="GL17" s="395"/>
      <c r="GM17" s="395"/>
      <c r="GN17" s="395"/>
      <c r="GO17" s="395"/>
      <c r="GP17" s="395"/>
      <c r="GQ17" s="395"/>
      <c r="GR17" s="395"/>
      <c r="GS17" s="395"/>
      <c r="GT17" s="395"/>
      <c r="GU17" s="395"/>
      <c r="GV17" s="395"/>
      <c r="GW17" s="395"/>
      <c r="GX17" s="395"/>
      <c r="GY17" s="395"/>
      <c r="GZ17" s="395"/>
      <c r="HA17" s="395"/>
      <c r="HB17" s="395"/>
      <c r="HC17" s="395"/>
      <c r="HD17" s="395"/>
      <c r="HE17" s="395"/>
      <c r="HF17" s="395"/>
      <c r="HG17" s="395"/>
      <c r="HH17" s="395"/>
      <c r="HI17" s="395"/>
      <c r="HJ17" s="395"/>
      <c r="HK17" s="395"/>
      <c r="HL17" s="395"/>
      <c r="HM17" s="395"/>
      <c r="HN17" s="395"/>
      <c r="HO17" s="395"/>
      <c r="HP17" s="395"/>
      <c r="HQ17" s="395"/>
      <c r="HR17" s="395"/>
    </row>
    <row r="18" spans="1:226" s="866" customFormat="1" hidden="1" x14ac:dyDescent="0.25">
      <c r="A18" s="348" t="s">
        <v>1038</v>
      </c>
      <c r="B18" s="3397" t="str">
        <f>CONCATENATE("Average Floor Area Per Unit for Reference Building",IF(SI_IP_Units="IP"," (square feet)"," (square meters)"))</f>
        <v>Average Floor Area Per Unit for Reference Building (square feet)</v>
      </c>
      <c r="C18" s="3398"/>
      <c r="D18" s="3398"/>
      <c r="E18" s="3398"/>
      <c r="F18" s="3398"/>
      <c r="G18" s="3398"/>
      <c r="H18" s="3398"/>
      <c r="I18" s="3398"/>
      <c r="J18" s="3398"/>
      <c r="K18" s="3398"/>
      <c r="L18" s="3398"/>
      <c r="M18" s="3398"/>
      <c r="N18" s="3398"/>
      <c r="O18" s="3398"/>
      <c r="P18" s="3398"/>
      <c r="Q18" s="3398"/>
      <c r="R18" s="3398"/>
      <c r="S18" s="3399"/>
      <c r="T18" s="366"/>
      <c r="U18" s="364">
        <f ca="1">IF(ISERROR(1/Avg_Bedrooms),0,ROUNDDOWN((Avg_Bedrooms-1)*(IF(SI_IP_Units="IP",600,55.6)),0)+IF(SI_IP_Units="IP",1000,93))</f>
        <v>0</v>
      </c>
      <c r="V18" s="1608"/>
      <c r="W18" s="395"/>
      <c r="X18" s="395"/>
      <c r="Y18" s="395"/>
      <c r="Z18" s="2140"/>
      <c r="AA18" s="395"/>
      <c r="AB18" s="395"/>
      <c r="AC18" s="395"/>
      <c r="AD18" s="395"/>
      <c r="AE18" s="395"/>
      <c r="AF18" s="395"/>
      <c r="AG18" s="395"/>
      <c r="AH18" s="395"/>
      <c r="AI18" s="395"/>
      <c r="AJ18" s="395"/>
      <c r="AK18" s="395"/>
      <c r="AL18" s="395"/>
      <c r="AM18" s="395"/>
      <c r="AN18" s="395"/>
      <c r="AO18" s="395"/>
      <c r="AP18" s="395"/>
      <c r="AQ18" s="395"/>
      <c r="AR18" s="395"/>
      <c r="AS18" s="395"/>
      <c r="AT18" s="395"/>
      <c r="AU18" s="395"/>
      <c r="AV18" s="395"/>
      <c r="AW18" s="395"/>
      <c r="AX18" s="395"/>
      <c r="AY18" s="395"/>
      <c r="AZ18" s="395"/>
      <c r="BA18" s="395"/>
      <c r="BB18" s="395"/>
      <c r="BC18" s="395"/>
      <c r="BD18" s="395"/>
      <c r="BE18" s="395"/>
      <c r="BF18" s="395"/>
      <c r="BG18" s="395"/>
      <c r="BH18" s="395"/>
      <c r="BI18" s="395"/>
      <c r="BJ18" s="395"/>
      <c r="BK18" s="395"/>
      <c r="BL18" s="395"/>
      <c r="BM18" s="395"/>
      <c r="BN18" s="395"/>
      <c r="BO18" s="395"/>
      <c r="BP18" s="395"/>
      <c r="BQ18" s="395"/>
      <c r="BR18" s="395"/>
      <c r="BS18" s="395"/>
      <c r="BT18" s="395"/>
      <c r="BU18" s="395"/>
      <c r="BV18" s="395"/>
      <c r="BW18" s="395"/>
      <c r="BX18" s="395"/>
      <c r="BY18" s="395"/>
      <c r="BZ18" s="395"/>
      <c r="CA18" s="395"/>
      <c r="CB18" s="395"/>
      <c r="CC18" s="395"/>
      <c r="CD18" s="395"/>
      <c r="CE18" s="395"/>
      <c r="CF18" s="395"/>
      <c r="CG18" s="395"/>
      <c r="CH18" s="395"/>
      <c r="CI18" s="395"/>
      <c r="CJ18" s="395"/>
      <c r="CK18" s="395"/>
      <c r="CL18" s="395"/>
      <c r="CM18" s="395"/>
      <c r="CN18" s="395"/>
      <c r="CO18" s="395"/>
      <c r="CP18" s="395"/>
      <c r="CQ18" s="395"/>
      <c r="CR18" s="395"/>
      <c r="CS18" s="395"/>
      <c r="CT18" s="395"/>
      <c r="CU18" s="395"/>
      <c r="CV18" s="395"/>
      <c r="CW18" s="395"/>
      <c r="CX18" s="395"/>
      <c r="CY18" s="395"/>
      <c r="CZ18" s="395"/>
      <c r="DA18" s="395"/>
      <c r="DB18" s="395"/>
      <c r="DC18" s="395"/>
      <c r="DD18" s="395"/>
      <c r="DE18" s="395"/>
      <c r="DF18" s="395"/>
      <c r="DG18" s="395"/>
      <c r="DH18" s="395"/>
      <c r="DI18" s="395"/>
      <c r="DJ18" s="395"/>
      <c r="DK18" s="395"/>
      <c r="DL18" s="395"/>
      <c r="DM18" s="395"/>
      <c r="DN18" s="395"/>
      <c r="DO18" s="395"/>
      <c r="DP18" s="395"/>
      <c r="DQ18" s="395"/>
      <c r="DR18" s="395"/>
      <c r="DS18" s="395"/>
      <c r="DT18" s="395"/>
      <c r="DU18" s="395"/>
      <c r="DV18" s="395"/>
      <c r="DW18" s="395"/>
      <c r="DX18" s="395"/>
      <c r="DY18" s="395"/>
      <c r="DZ18" s="395"/>
      <c r="EA18" s="395"/>
      <c r="EB18" s="395"/>
      <c r="EC18" s="395"/>
      <c r="ED18" s="395"/>
      <c r="EE18" s="395"/>
      <c r="EF18" s="395"/>
      <c r="EG18" s="395"/>
      <c r="EH18" s="395"/>
      <c r="EI18" s="395"/>
      <c r="EJ18" s="395"/>
      <c r="EK18" s="395"/>
      <c r="EL18" s="395"/>
      <c r="EM18" s="395"/>
      <c r="EN18" s="395"/>
      <c r="EO18" s="395"/>
      <c r="EP18" s="395"/>
      <c r="EQ18" s="395"/>
      <c r="ER18" s="395"/>
      <c r="ES18" s="395"/>
      <c r="ET18" s="395"/>
      <c r="EU18" s="395"/>
      <c r="EV18" s="395"/>
      <c r="EW18" s="395"/>
      <c r="EX18" s="395"/>
      <c r="EY18" s="395"/>
      <c r="EZ18" s="395"/>
      <c r="FA18" s="395"/>
      <c r="FB18" s="395"/>
      <c r="FC18" s="395"/>
      <c r="FD18" s="395"/>
      <c r="FE18" s="395"/>
      <c r="FF18" s="395"/>
      <c r="FG18" s="395"/>
      <c r="FH18" s="395"/>
      <c r="FI18" s="395"/>
      <c r="FJ18" s="395"/>
      <c r="FK18" s="395"/>
      <c r="FL18" s="395"/>
      <c r="FM18" s="395"/>
      <c r="FN18" s="395"/>
      <c r="FO18" s="395"/>
      <c r="FP18" s="395"/>
      <c r="FQ18" s="395"/>
      <c r="FR18" s="395"/>
      <c r="FS18" s="395"/>
      <c r="FT18" s="395"/>
      <c r="FU18" s="395"/>
      <c r="FV18" s="395"/>
      <c r="FW18" s="395"/>
      <c r="FX18" s="395"/>
      <c r="FY18" s="395"/>
      <c r="FZ18" s="395"/>
      <c r="GA18" s="395"/>
      <c r="GB18" s="395"/>
      <c r="GC18" s="395"/>
      <c r="GD18" s="395"/>
      <c r="GE18" s="395"/>
      <c r="GF18" s="395"/>
      <c r="GG18" s="395"/>
      <c r="GH18" s="395"/>
      <c r="GI18" s="395"/>
      <c r="GJ18" s="395"/>
      <c r="GK18" s="395"/>
      <c r="GL18" s="395"/>
      <c r="GM18" s="395"/>
      <c r="GN18" s="395"/>
      <c r="GO18" s="395"/>
      <c r="GP18" s="395"/>
      <c r="GQ18" s="395"/>
      <c r="GR18" s="395"/>
      <c r="GS18" s="395"/>
      <c r="GT18" s="395"/>
      <c r="GU18" s="395"/>
      <c r="GV18" s="395"/>
      <c r="GW18" s="395"/>
      <c r="GX18" s="395"/>
      <c r="GY18" s="395"/>
      <c r="GZ18" s="395"/>
      <c r="HA18" s="395"/>
      <c r="HB18" s="395"/>
      <c r="HC18" s="395"/>
      <c r="HD18" s="395"/>
      <c r="HE18" s="395"/>
      <c r="HF18" s="395"/>
      <c r="HG18" s="395"/>
      <c r="HH18" s="395"/>
      <c r="HI18" s="395"/>
      <c r="HJ18" s="395"/>
      <c r="HK18" s="395"/>
      <c r="HL18" s="395"/>
      <c r="HM18" s="395"/>
      <c r="HN18" s="395"/>
      <c r="HO18" s="395"/>
      <c r="HP18" s="395"/>
      <c r="HQ18" s="395"/>
      <c r="HR18" s="395"/>
    </row>
    <row r="19" spans="1:226" s="866" customFormat="1" hidden="1" x14ac:dyDescent="0.25">
      <c r="A19" s="348" t="s">
        <v>1038</v>
      </c>
      <c r="B19" s="3397" t="s">
        <v>1110</v>
      </c>
      <c r="C19" s="3398"/>
      <c r="D19" s="3398"/>
      <c r="E19" s="3398"/>
      <c r="F19" s="3398"/>
      <c r="G19" s="3398"/>
      <c r="H19" s="3398"/>
      <c r="I19" s="3398"/>
      <c r="J19" s="3398"/>
      <c r="K19" s="3398"/>
      <c r="L19" s="3398"/>
      <c r="M19" s="3398"/>
      <c r="N19" s="3398"/>
      <c r="O19" s="3398"/>
      <c r="P19" s="3398"/>
      <c r="Q19" s="3398"/>
      <c r="R19" s="3398"/>
      <c r="S19" s="3399"/>
      <c r="T19" s="366"/>
      <c r="U19" s="364">
        <f ca="1">IF(ISERROR(1/U18),0,ROUNDDOWN((U18-Avg_Bedroom_Area)/(U18*4%),0))</f>
        <v>0</v>
      </c>
      <c r="V19" s="1608"/>
      <c r="W19" s="395"/>
      <c r="X19" s="395"/>
      <c r="Y19" s="395"/>
      <c r="Z19" s="2140"/>
      <c r="AA19" s="395"/>
      <c r="AB19" s="395"/>
      <c r="AC19" s="395"/>
      <c r="AD19" s="395"/>
      <c r="AE19" s="395"/>
      <c r="AF19" s="395"/>
      <c r="AG19" s="395"/>
      <c r="AH19" s="395"/>
      <c r="AI19" s="395"/>
      <c r="AJ19" s="395"/>
      <c r="AK19" s="395"/>
      <c r="AL19" s="395"/>
      <c r="AM19" s="395"/>
      <c r="AN19" s="395"/>
      <c r="AO19" s="395"/>
      <c r="AP19" s="395"/>
      <c r="AQ19" s="395"/>
      <c r="AR19" s="395"/>
      <c r="AS19" s="395"/>
      <c r="AT19" s="395"/>
      <c r="AU19" s="395"/>
      <c r="AV19" s="395"/>
      <c r="AW19" s="395"/>
      <c r="AX19" s="395"/>
      <c r="AY19" s="395"/>
      <c r="AZ19" s="395"/>
      <c r="BA19" s="395"/>
      <c r="BB19" s="395"/>
      <c r="BC19" s="395"/>
      <c r="BD19" s="395"/>
      <c r="BE19" s="395"/>
      <c r="BF19" s="395"/>
      <c r="BG19" s="395"/>
      <c r="BH19" s="395"/>
      <c r="BI19" s="395"/>
      <c r="BJ19" s="395"/>
      <c r="BK19" s="395"/>
      <c r="BL19" s="395"/>
      <c r="BM19" s="395"/>
      <c r="BN19" s="395"/>
      <c r="BO19" s="395"/>
      <c r="BP19" s="395"/>
      <c r="BQ19" s="395"/>
      <c r="BR19" s="395"/>
      <c r="BS19" s="395"/>
      <c r="BT19" s="395"/>
      <c r="BU19" s="395"/>
      <c r="BV19" s="395"/>
      <c r="BW19" s="395"/>
      <c r="BX19" s="395"/>
      <c r="BY19" s="395"/>
      <c r="BZ19" s="395"/>
      <c r="CA19" s="395"/>
      <c r="CB19" s="395"/>
      <c r="CC19" s="395"/>
      <c r="CD19" s="395"/>
      <c r="CE19" s="395"/>
      <c r="CF19" s="395"/>
      <c r="CG19" s="395"/>
      <c r="CH19" s="395"/>
      <c r="CI19" s="395"/>
      <c r="CJ19" s="395"/>
      <c r="CK19" s="395"/>
      <c r="CL19" s="395"/>
      <c r="CM19" s="395"/>
      <c r="CN19" s="395"/>
      <c r="CO19" s="395"/>
      <c r="CP19" s="395"/>
      <c r="CQ19" s="395"/>
      <c r="CR19" s="395"/>
      <c r="CS19" s="395"/>
      <c r="CT19" s="395"/>
      <c r="CU19" s="395"/>
      <c r="CV19" s="395"/>
      <c r="CW19" s="395"/>
      <c r="CX19" s="395"/>
      <c r="CY19" s="395"/>
      <c r="CZ19" s="395"/>
      <c r="DA19" s="395"/>
      <c r="DB19" s="395"/>
      <c r="DC19" s="395"/>
      <c r="DD19" s="395"/>
      <c r="DE19" s="395"/>
      <c r="DF19" s="395"/>
      <c r="DG19" s="395"/>
      <c r="DH19" s="395"/>
      <c r="DI19" s="395"/>
      <c r="DJ19" s="395"/>
      <c r="DK19" s="395"/>
      <c r="DL19" s="395"/>
      <c r="DM19" s="395"/>
      <c r="DN19" s="395"/>
      <c r="DO19" s="395"/>
      <c r="DP19" s="395"/>
      <c r="DQ19" s="395"/>
      <c r="DR19" s="395"/>
      <c r="DS19" s="395"/>
      <c r="DT19" s="395"/>
      <c r="DU19" s="395"/>
      <c r="DV19" s="395"/>
      <c r="DW19" s="395"/>
      <c r="DX19" s="395"/>
      <c r="DY19" s="395"/>
      <c r="DZ19" s="395"/>
      <c r="EA19" s="395"/>
      <c r="EB19" s="395"/>
      <c r="EC19" s="395"/>
      <c r="ED19" s="395"/>
      <c r="EE19" s="395"/>
      <c r="EF19" s="395"/>
      <c r="EG19" s="395"/>
      <c r="EH19" s="395"/>
      <c r="EI19" s="395"/>
      <c r="EJ19" s="395"/>
      <c r="EK19" s="395"/>
      <c r="EL19" s="395"/>
      <c r="EM19" s="395"/>
      <c r="EN19" s="395"/>
      <c r="EO19" s="395"/>
      <c r="EP19" s="395"/>
      <c r="EQ19" s="395"/>
      <c r="ER19" s="395"/>
      <c r="ES19" s="395"/>
      <c r="ET19" s="395"/>
      <c r="EU19" s="395"/>
      <c r="EV19" s="395"/>
      <c r="EW19" s="395"/>
      <c r="EX19" s="395"/>
      <c r="EY19" s="395"/>
      <c r="EZ19" s="395"/>
      <c r="FA19" s="395"/>
      <c r="FB19" s="395"/>
      <c r="FC19" s="395"/>
      <c r="FD19" s="395"/>
      <c r="FE19" s="395"/>
      <c r="FF19" s="395"/>
      <c r="FG19" s="395"/>
      <c r="FH19" s="395"/>
      <c r="FI19" s="395"/>
      <c r="FJ19" s="395"/>
      <c r="FK19" s="395"/>
      <c r="FL19" s="395"/>
      <c r="FM19" s="395"/>
      <c r="FN19" s="395"/>
      <c r="FO19" s="395"/>
      <c r="FP19" s="395"/>
      <c r="FQ19" s="395"/>
      <c r="FR19" s="395"/>
      <c r="FS19" s="395"/>
      <c r="FT19" s="395"/>
      <c r="FU19" s="395"/>
      <c r="FV19" s="395"/>
      <c r="FW19" s="395"/>
      <c r="FX19" s="395"/>
      <c r="FY19" s="395"/>
      <c r="FZ19" s="395"/>
      <c r="GA19" s="395"/>
      <c r="GB19" s="395"/>
      <c r="GC19" s="395"/>
      <c r="GD19" s="395"/>
      <c r="GE19" s="395"/>
      <c r="GF19" s="395"/>
      <c r="GG19" s="395"/>
      <c r="GH19" s="395"/>
      <c r="GI19" s="395"/>
      <c r="GJ19" s="395"/>
      <c r="GK19" s="395"/>
      <c r="GL19" s="395"/>
      <c r="GM19" s="395"/>
      <c r="GN19" s="395"/>
      <c r="GO19" s="395"/>
      <c r="GP19" s="395"/>
      <c r="GQ19" s="395"/>
      <c r="GR19" s="395"/>
      <c r="GS19" s="395"/>
      <c r="GT19" s="395"/>
      <c r="GU19" s="395"/>
      <c r="GV19" s="395"/>
      <c r="GW19" s="395"/>
      <c r="GX19" s="395"/>
      <c r="GY19" s="395"/>
      <c r="GZ19" s="395"/>
      <c r="HA19" s="395"/>
      <c r="HB19" s="395"/>
      <c r="HC19" s="395"/>
      <c r="HD19" s="395"/>
      <c r="HE19" s="395"/>
      <c r="HF19" s="395"/>
      <c r="HG19" s="395"/>
      <c r="HH19" s="395"/>
      <c r="HI19" s="395"/>
      <c r="HJ19" s="395"/>
      <c r="HK19" s="395"/>
      <c r="HL19" s="395"/>
      <c r="HM19" s="395"/>
      <c r="HN19" s="395"/>
      <c r="HO19" s="395"/>
      <c r="HP19" s="395"/>
      <c r="HQ19" s="395"/>
      <c r="HR19" s="395"/>
    </row>
    <row r="20" spans="1:226" s="866" customFormat="1" x14ac:dyDescent="0.25">
      <c r="A20" s="348" t="s">
        <v>1038</v>
      </c>
      <c r="B20" s="395"/>
      <c r="C20" s="395"/>
      <c r="D20" s="395"/>
      <c r="E20" s="395"/>
      <c r="F20" s="395"/>
      <c r="G20" s="395"/>
      <c r="H20" s="395"/>
      <c r="I20" s="395"/>
      <c r="J20" s="395"/>
      <c r="K20" s="395"/>
      <c r="L20" s="395"/>
      <c r="M20" s="395"/>
      <c r="N20" s="395"/>
      <c r="O20" s="395"/>
      <c r="P20" s="395"/>
      <c r="Q20" s="395"/>
      <c r="R20" s="395"/>
      <c r="S20" s="395"/>
      <c r="T20" s="395"/>
      <c r="U20" s="395"/>
      <c r="V20" s="1608"/>
      <c r="W20" s="395"/>
      <c r="X20" s="395"/>
      <c r="Y20" s="395"/>
      <c r="Z20" s="2140"/>
      <c r="AA20" s="395"/>
      <c r="AB20" s="395"/>
      <c r="AC20" s="395"/>
      <c r="AD20" s="395"/>
      <c r="AE20" s="395"/>
      <c r="AF20" s="395"/>
      <c r="AG20" s="395"/>
      <c r="AH20" s="395"/>
      <c r="AI20" s="395"/>
      <c r="AJ20" s="395"/>
      <c r="AK20" s="395"/>
      <c r="AL20" s="395"/>
      <c r="AM20" s="395"/>
      <c r="AN20" s="395"/>
      <c r="AO20" s="395"/>
      <c r="AP20" s="395"/>
      <c r="AQ20" s="395"/>
      <c r="AR20" s="395"/>
      <c r="AS20" s="395"/>
      <c r="AT20" s="395"/>
      <c r="AU20" s="395"/>
      <c r="AV20" s="395"/>
      <c r="AW20" s="395"/>
      <c r="AX20" s="395"/>
      <c r="AY20" s="395"/>
      <c r="AZ20" s="395"/>
      <c r="BA20" s="395"/>
      <c r="BB20" s="395"/>
      <c r="BC20" s="395"/>
      <c r="BD20" s="395"/>
      <c r="BE20" s="395"/>
      <c r="BF20" s="395"/>
      <c r="BG20" s="395"/>
      <c r="BH20" s="395"/>
      <c r="BI20" s="395"/>
      <c r="BJ20" s="395"/>
      <c r="BK20" s="395"/>
      <c r="BL20" s="395"/>
      <c r="BM20" s="395"/>
      <c r="BN20" s="395"/>
      <c r="BO20" s="395"/>
      <c r="BP20" s="395"/>
      <c r="BQ20" s="395"/>
      <c r="BR20" s="395"/>
      <c r="BS20" s="395"/>
      <c r="BT20" s="395"/>
      <c r="BU20" s="395"/>
      <c r="BV20" s="395"/>
      <c r="BW20" s="395"/>
      <c r="BX20" s="395"/>
      <c r="BY20" s="395"/>
      <c r="BZ20" s="395"/>
      <c r="CA20" s="395"/>
      <c r="CB20" s="395"/>
      <c r="CC20" s="395"/>
      <c r="CD20" s="395"/>
      <c r="CE20" s="395"/>
      <c r="CF20" s="395"/>
      <c r="CG20" s="395"/>
      <c r="CH20" s="395"/>
      <c r="CI20" s="395"/>
      <c r="CJ20" s="395"/>
      <c r="CK20" s="395"/>
      <c r="CL20" s="395"/>
      <c r="CM20" s="395"/>
      <c r="CN20" s="395"/>
      <c r="CO20" s="395"/>
      <c r="CP20" s="395"/>
      <c r="CQ20" s="395"/>
      <c r="CR20" s="395"/>
      <c r="CS20" s="395"/>
      <c r="CT20" s="395"/>
      <c r="CU20" s="395"/>
      <c r="CV20" s="395"/>
      <c r="CW20" s="395"/>
      <c r="CX20" s="395"/>
      <c r="CY20" s="395"/>
      <c r="CZ20" s="395"/>
      <c r="DA20" s="395"/>
      <c r="DB20" s="395"/>
      <c r="DC20" s="395"/>
      <c r="DD20" s="395"/>
      <c r="DE20" s="395"/>
      <c r="DF20" s="395"/>
      <c r="DG20" s="395"/>
      <c r="DH20" s="395"/>
      <c r="DI20" s="395"/>
      <c r="DJ20" s="395"/>
      <c r="DK20" s="395"/>
      <c r="DL20" s="395"/>
      <c r="DM20" s="395"/>
      <c r="DN20" s="395"/>
      <c r="DO20" s="395"/>
      <c r="DP20" s="395"/>
      <c r="DQ20" s="395"/>
      <c r="DR20" s="395"/>
      <c r="DS20" s="395"/>
      <c r="DT20" s="395"/>
      <c r="DU20" s="395"/>
      <c r="DV20" s="395"/>
      <c r="DW20" s="395"/>
      <c r="DX20" s="395"/>
      <c r="DY20" s="395"/>
      <c r="DZ20" s="395"/>
      <c r="EA20" s="395"/>
      <c r="EB20" s="395"/>
      <c r="EC20" s="395"/>
      <c r="ED20" s="395"/>
      <c r="EE20" s="395"/>
      <c r="EF20" s="395"/>
      <c r="EG20" s="395"/>
      <c r="EH20" s="395"/>
      <c r="EI20" s="395"/>
      <c r="EJ20" s="395"/>
      <c r="EK20" s="395"/>
      <c r="EL20" s="395"/>
      <c r="EM20" s="395"/>
      <c r="EN20" s="395"/>
      <c r="EO20" s="395"/>
      <c r="EP20" s="395"/>
      <c r="EQ20" s="395"/>
      <c r="ER20" s="395"/>
      <c r="ES20" s="395"/>
      <c r="ET20" s="395"/>
      <c r="EU20" s="395"/>
      <c r="EV20" s="395"/>
      <c r="EW20" s="395"/>
      <c r="EX20" s="395"/>
      <c r="EY20" s="395"/>
      <c r="EZ20" s="395"/>
      <c r="FA20" s="395"/>
      <c r="FB20" s="395"/>
      <c r="FC20" s="395"/>
      <c r="FD20" s="395"/>
      <c r="FE20" s="395"/>
      <c r="FF20" s="395"/>
      <c r="FG20" s="395"/>
      <c r="FH20" s="395"/>
      <c r="FI20" s="395"/>
      <c r="FJ20" s="395"/>
      <c r="FK20" s="395"/>
      <c r="FL20" s="395"/>
      <c r="FM20" s="395"/>
      <c r="FN20" s="395"/>
      <c r="FO20" s="395"/>
      <c r="FP20" s="395"/>
      <c r="FQ20" s="395"/>
      <c r="FR20" s="395"/>
      <c r="FS20" s="395"/>
      <c r="FT20" s="395"/>
      <c r="FU20" s="395"/>
      <c r="FV20" s="395"/>
      <c r="FW20" s="395"/>
      <c r="FX20" s="395"/>
      <c r="FY20" s="395"/>
      <c r="FZ20" s="395"/>
      <c r="GA20" s="395"/>
      <c r="GB20" s="395"/>
      <c r="GC20" s="395"/>
      <c r="GD20" s="395"/>
      <c r="GE20" s="395"/>
      <c r="GF20" s="395"/>
      <c r="GG20" s="395"/>
      <c r="GH20" s="395"/>
      <c r="GI20" s="395"/>
      <c r="GJ20" s="395"/>
      <c r="GK20" s="395"/>
      <c r="GL20" s="395"/>
      <c r="GM20" s="395"/>
      <c r="GN20" s="395"/>
      <c r="GO20" s="395"/>
      <c r="GP20" s="395"/>
      <c r="GQ20" s="395"/>
      <c r="GR20" s="395"/>
      <c r="GS20" s="395"/>
      <c r="GT20" s="395"/>
      <c r="GU20" s="395"/>
      <c r="GV20" s="395"/>
      <c r="GW20" s="395"/>
      <c r="GX20" s="395"/>
      <c r="GY20" s="395"/>
      <c r="GZ20" s="395"/>
      <c r="HA20" s="395"/>
      <c r="HB20" s="395"/>
      <c r="HC20" s="395"/>
      <c r="HD20" s="395"/>
      <c r="HE20" s="395"/>
      <c r="HF20" s="395"/>
      <c r="HG20" s="395"/>
      <c r="HH20" s="395"/>
      <c r="HI20" s="395"/>
      <c r="HJ20" s="395"/>
      <c r="HK20" s="395"/>
      <c r="HL20" s="395"/>
      <c r="HM20" s="395"/>
      <c r="HN20" s="395"/>
      <c r="HO20" s="395"/>
      <c r="HP20" s="395"/>
      <c r="HQ20" s="395"/>
      <c r="HR20" s="395"/>
    </row>
    <row r="21" spans="1:226" s="866" customFormat="1" ht="26.4" x14ac:dyDescent="0.25">
      <c r="A21" s="348" t="s">
        <v>1038</v>
      </c>
      <c r="B21" s="778" t="s">
        <v>1087</v>
      </c>
      <c r="C21" s="778"/>
      <c r="D21" s="778" t="s">
        <v>1133</v>
      </c>
      <c r="E21" s="778"/>
      <c r="F21" s="778" t="s">
        <v>2229</v>
      </c>
      <c r="G21" s="778"/>
      <c r="H21" s="778" t="str">
        <f>CONCATENATE(" Total Area of Dwelling Units",IF(SI_IP_Units="IP"," (sq ft)"," (sq m)"))</f>
        <v xml:space="preserve"> Total Area of Dwelling Units (sq ft)</v>
      </c>
      <c r="I21" s="778"/>
      <c r="J21" s="778"/>
      <c r="K21" s="778" t="s">
        <v>1107</v>
      </c>
      <c r="L21" s="778"/>
      <c r="M21" s="778"/>
      <c r="N21" s="778" t="str">
        <f>CONCATENATE("Average Floor Area per Unit",IF(SI_IP_Units="IP"," (square feet)"," (square meter)"))</f>
        <v>Average Floor Area per Unit (square feet)</v>
      </c>
      <c r="O21" s="778"/>
      <c r="P21" s="778"/>
      <c r="Q21" s="3357" t="str">
        <f>CONCATENATE("Average Floor Area Per Unit for Reference Building",IF(SI_IP_Units="IP"," (square feet)"," (square meter)"))</f>
        <v>Average Floor Area Per Unit for Reference Building (square feet)</v>
      </c>
      <c r="R21" s="3357"/>
      <c r="S21" s="3357"/>
      <c r="T21" s="3357"/>
      <c r="U21" s="3357"/>
      <c r="V21" s="1608"/>
      <c r="W21" s="395"/>
      <c r="X21" s="395"/>
      <c r="Y21" s="395"/>
      <c r="Z21" s="2140"/>
      <c r="AA21" s="395"/>
      <c r="AB21" s="395"/>
      <c r="AC21" s="395"/>
      <c r="AD21" s="395"/>
      <c r="AE21" s="395"/>
      <c r="AF21" s="395" t="s">
        <v>1110</v>
      </c>
      <c r="AG21" s="395" t="s">
        <v>3041</v>
      </c>
      <c r="AH21" s="395"/>
      <c r="AI21" s="395"/>
      <c r="AJ21" s="395"/>
      <c r="AK21" s="395"/>
      <c r="AL21" s="395"/>
      <c r="AM21" s="395"/>
      <c r="AN21" s="395"/>
      <c r="AO21" s="395"/>
      <c r="AP21" s="395"/>
      <c r="AQ21" s="395"/>
      <c r="AR21" s="395"/>
      <c r="AS21" s="395"/>
      <c r="AT21" s="395"/>
      <c r="AU21" s="395"/>
      <c r="AV21" s="395"/>
      <c r="AW21" s="395"/>
      <c r="AX21" s="395"/>
      <c r="AY21" s="395"/>
      <c r="AZ21" s="395"/>
      <c r="BA21" s="395"/>
      <c r="BB21" s="395"/>
      <c r="BC21" s="395"/>
      <c r="BD21" s="395"/>
      <c r="BE21" s="395"/>
      <c r="BF21" s="395"/>
      <c r="BG21" s="395"/>
      <c r="BH21" s="395"/>
      <c r="BI21" s="395"/>
      <c r="BJ21" s="395"/>
      <c r="BK21" s="395"/>
      <c r="BL21" s="395"/>
      <c r="BM21" s="395"/>
      <c r="BN21" s="395"/>
      <c r="BO21" s="395"/>
      <c r="BP21" s="395"/>
      <c r="BQ21" s="395"/>
      <c r="BR21" s="395"/>
      <c r="BS21" s="395"/>
      <c r="BT21" s="395"/>
      <c r="BU21" s="395"/>
      <c r="BV21" s="395"/>
      <c r="BW21" s="395"/>
      <c r="BX21" s="395"/>
      <c r="BY21" s="395"/>
      <c r="BZ21" s="395"/>
      <c r="CA21" s="395"/>
      <c r="CB21" s="395"/>
      <c r="CC21" s="395"/>
      <c r="CD21" s="395"/>
      <c r="CE21" s="395"/>
      <c r="CF21" s="395"/>
      <c r="CG21" s="395"/>
      <c r="CH21" s="395"/>
      <c r="CI21" s="395"/>
      <c r="CJ21" s="395"/>
      <c r="CK21" s="395"/>
      <c r="CL21" s="395"/>
      <c r="CM21" s="395"/>
      <c r="CN21" s="395"/>
      <c r="CO21" s="395"/>
      <c r="CP21" s="395"/>
      <c r="CQ21" s="395"/>
      <c r="CR21" s="395"/>
      <c r="CS21" s="395"/>
      <c r="CT21" s="395"/>
      <c r="CU21" s="395"/>
      <c r="CV21" s="395"/>
      <c r="CW21" s="395"/>
      <c r="CX21" s="395"/>
      <c r="CY21" s="395"/>
      <c r="CZ21" s="395"/>
      <c r="DA21" s="395"/>
      <c r="DB21" s="395"/>
      <c r="DC21" s="395"/>
      <c r="DD21" s="395"/>
      <c r="DE21" s="395"/>
      <c r="DF21" s="395"/>
      <c r="DG21" s="395"/>
      <c r="DH21" s="395"/>
      <c r="DI21" s="395"/>
      <c r="DJ21" s="395"/>
      <c r="DK21" s="395"/>
      <c r="DL21" s="395"/>
      <c r="DM21" s="395"/>
      <c r="DN21" s="395"/>
      <c r="DO21" s="395"/>
      <c r="DP21" s="395"/>
      <c r="DQ21" s="395"/>
      <c r="DR21" s="395"/>
      <c r="DS21" s="395"/>
      <c r="DT21" s="395"/>
      <c r="DU21" s="395"/>
      <c r="DV21" s="395"/>
      <c r="DW21" s="395"/>
      <c r="DX21" s="395"/>
      <c r="DY21" s="395"/>
      <c r="DZ21" s="395"/>
      <c r="EA21" s="395"/>
      <c r="EB21" s="395"/>
      <c r="EC21" s="395"/>
      <c r="ED21" s="395"/>
      <c r="EE21" s="395"/>
      <c r="EF21" s="395"/>
      <c r="EG21" s="395"/>
      <c r="EH21" s="395"/>
      <c r="EI21" s="395"/>
      <c r="EJ21" s="395"/>
      <c r="EK21" s="395"/>
      <c r="EL21" s="395"/>
      <c r="EM21" s="395"/>
      <c r="EN21" s="395"/>
      <c r="EO21" s="395"/>
      <c r="EP21" s="395"/>
      <c r="EQ21" s="395"/>
      <c r="ER21" s="395"/>
      <c r="ES21" s="395"/>
      <c r="ET21" s="395"/>
      <c r="EU21" s="395"/>
      <c r="EV21" s="395"/>
      <c r="EW21" s="395"/>
      <c r="EX21" s="395"/>
      <c r="EY21" s="395"/>
      <c r="EZ21" s="395"/>
      <c r="FA21" s="395"/>
      <c r="FB21" s="395"/>
      <c r="FC21" s="395"/>
      <c r="FD21" s="395"/>
      <c r="FE21" s="395"/>
      <c r="FF21" s="395"/>
      <c r="FG21" s="395"/>
      <c r="FH21" s="395"/>
      <c r="FI21" s="395"/>
      <c r="FJ21" s="395"/>
      <c r="FK21" s="395"/>
      <c r="FL21" s="395"/>
      <c r="FM21" s="395"/>
      <c r="FN21" s="395"/>
      <c r="FO21" s="395"/>
      <c r="FP21" s="395"/>
      <c r="FQ21" s="395"/>
      <c r="FR21" s="395"/>
      <c r="FS21" s="395"/>
      <c r="FT21" s="395"/>
      <c r="FU21" s="395"/>
      <c r="FV21" s="395"/>
      <c r="FW21" s="395"/>
      <c r="FX21" s="395"/>
      <c r="FY21" s="395"/>
      <c r="FZ21" s="395"/>
      <c r="GA21" s="395"/>
      <c r="GB21" s="395"/>
      <c r="GC21" s="395"/>
      <c r="GD21" s="395"/>
      <c r="GE21" s="395"/>
      <c r="GF21" s="395"/>
      <c r="GG21" s="395"/>
      <c r="GH21" s="395"/>
      <c r="GI21" s="395"/>
      <c r="GJ21" s="395"/>
      <c r="GK21" s="395"/>
      <c r="GL21" s="395"/>
      <c r="GM21" s="395"/>
      <c r="GN21" s="395"/>
      <c r="GO21" s="395"/>
      <c r="GP21" s="395"/>
      <c r="GQ21" s="395"/>
      <c r="GR21" s="395"/>
      <c r="GS21" s="395"/>
      <c r="GT21" s="395"/>
      <c r="GU21" s="395"/>
      <c r="GV21" s="395"/>
      <c r="GW21" s="395"/>
      <c r="GX21" s="395"/>
      <c r="GY21" s="395"/>
      <c r="GZ21" s="395"/>
      <c r="HA21" s="395"/>
      <c r="HB21" s="395"/>
      <c r="HC21" s="395"/>
      <c r="HD21" s="395"/>
      <c r="HE21" s="395"/>
      <c r="HF21" s="395"/>
      <c r="HG21" s="395"/>
      <c r="HH21" s="395"/>
      <c r="HI21" s="395"/>
      <c r="HJ21" s="395"/>
      <c r="HK21" s="395"/>
      <c r="HL21" s="395"/>
      <c r="HM21" s="395"/>
      <c r="HN21" s="395"/>
      <c r="HO21" s="395"/>
      <c r="HP21" s="395"/>
      <c r="HQ21" s="395"/>
      <c r="HR21" s="395"/>
    </row>
    <row r="22" spans="1:226" s="866" customFormat="1" ht="15" customHeight="1" x14ac:dyDescent="0.25">
      <c r="A22" s="348" t="s">
        <v>1038</v>
      </c>
      <c r="B22" s="406">
        <f>'1 - Multiple Buildings Details'!B24</f>
        <v>0</v>
      </c>
      <c r="C22" s="406"/>
      <c r="D22" s="406">
        <f>SUM(INDEX(MD_BUS_Table,MATCH($B22,MD_BUS_Index,0),MATCH($D$11,MD_BUS_Hdr,0)),
INDEX(MD_BUS_Table,MATCH($B22,MD_BUS_Index,0),MATCH($F$11,MD_BUS_Hdr,0)),
INDEX(MD_BUS_Table,MATCH($B22,MD_BUS_Index,0),MATCH($H$11,MD_BUS_Hdr,0)),
INDEX(MD_BUS_Table,MATCH($B22,MD_BUS_Index,0),MATCH($J$11,MD_BUS_Hdr,0)),
INDEX(MD_BUS_Table,MATCH($B22,MD_BUS_Index,0),MATCH($L$11,MD_BUS_Hdr,0)),
INDEX(MD_BUS_Table,MATCH($B22,MD_BUS_Index,0),MATCH($N$11,MD_BUS_Hdr,0)),
INDEX(MD_BUS_Table,MATCH($B22,MD_BUS_Index,0),MATCH($P$11,MD_BUS_Hdr,0)),
INDEX(MD_BUS_Table,MATCH($B22,MD_BUS_Index,0),MATCH($R$11,MD_BUS_Hdr,0)),
INDEX(MD_BUS_Table,MATCH($B22,MD_BUS_Index,0),MATCH($T$11,MD_BUS_Hdr,0)),
)</f>
        <v>0</v>
      </c>
      <c r="E22" s="1280"/>
      <c r="F22" s="1280">
        <f>SUM(INDEX(MD_BUS_Table,MATCH($B22,MD_BUS_Index,0),MATCH($D$11,MD_BUS_Hdr,0))*1,
INDEX(MD_BUS_Table,MATCH($B22,MD_BUS_Index,0),MATCH($F$11,MD_BUS_Hdr,0))*1,
INDEX(MD_BUS_Table,MATCH($B22,MD_BUS_Index,0),MATCH($H$11,MD_BUS_Hdr,0))*2,
INDEX(MD_BUS_Table,MATCH($B22,MD_BUS_Index,0),MATCH($J$11,MD_BUS_Hdr,0))*3,
INDEX(MD_BUS_Table,MATCH($B22,MD_BUS_Index,0),MATCH($L$11,MD_BUS_Hdr,0))*4,
INDEX(MD_BUS_Table,MATCH($B22,MD_BUS_Index,0),MATCH($N$11,MD_BUS_Hdr,0))*5,
INDEX(MD_BUS_Table,MATCH($B22,MD_BUS_Index,0),MATCH($P$11,MD_BUS_Hdr,0))*6,
INDEX(MD_BUS_Table,MATCH($B22,MD_BUS_Index,0),MATCH($R$11,MD_BUS_Hdr,0))*7,
INDEX(MD_BUS_Table,MATCH($B22,MD_BUS_Index,0),MATCH($T$11,MD_BUS_Hdr,0))*8,
)</f>
        <v>0</v>
      </c>
      <c r="G22" s="1280"/>
      <c r="H22" s="1280">
        <f>SUM(INDEX(MD_BUS_Table,MATCH($B22,MD_BUS_Index,0),MATCH($D$11,MD_BUS_Hdr,0))*INDEX(MD_BUS_Table,MATCH($B22,MD_BUS_Index,0),MATCH($E$11,MD_BUS_Hdr,0)),
INDEX(MD_BUS_Table,MATCH($B22,MD_BUS_Index,0),MATCH($F$11,MD_BUS_Hdr,0))*INDEX(MD_BUS_Table,MATCH($B22,MD_BUS_Index,0),MATCH($G$11,MD_BUS_Hdr,0)),
INDEX(MD_BUS_Table,MATCH($B22,MD_BUS_Index,0),MATCH($H$11,MD_BUS_Hdr,0))*INDEX(MD_BUS_Table,MATCH($B22,MD_BUS_Index,0),MATCH($I$11,MD_BUS_Hdr,0)),
INDEX(MD_BUS_Table,MATCH($B22,MD_BUS_Index,0),MATCH($J$11,MD_BUS_Hdr,0))*INDEX(MD_BUS_Table,MATCH($B22,MD_BUS_Index,0),MATCH($K$11,MD_BUS_Hdr,0)),
INDEX(MD_BUS_Table,MATCH($B22,MD_BUS_Index,0),MATCH($L$11,MD_BUS_Hdr,0))*INDEX(MD_BUS_Table,MATCH($B22,MD_BUS_Index,0),MATCH($M$11,MD_BUS_Hdr,0)),
INDEX(MD_BUS_Table,MATCH($B22,MD_BUS_Index,0),MATCH($N$11,MD_BUS_Hdr,0))*INDEX(MD_BUS_Table,MATCH($B22,MD_BUS_Index,0),MATCH($O$11,MD_BUS_Hdr,0)),
INDEX(MD_BUS_Table,MATCH($B22,MD_BUS_Index,0),MATCH($P$11,MD_BUS_Hdr,0))*INDEX(MD_BUS_Table,MATCH($B22,MD_BUS_Index,0),MATCH($Q$11,MD_BUS_Hdr,0)),
INDEX(MD_BUS_Table,MATCH($B22,MD_BUS_Index,0),MATCH($R$11,MD_BUS_Hdr,0))*INDEX(MD_BUS_Table,MATCH($B22,MD_BUS_Index,0),MATCH($S$11,MD_BUS_Hdr,0)),
INDEX(MD_BUS_Table,MATCH($B22,MD_BUS_Index,0),MATCH($T$11,MD_BUS_Hdr,0))*INDEX(MD_BUS_Table,MATCH($B22,MD_BUS_Index,0),MATCH($U$11,MD_BUS_Hdr,0)),
)</f>
        <v>0</v>
      </c>
      <c r="I22" s="1280"/>
      <c r="J22" s="1280"/>
      <c r="K22" s="2088">
        <f>IF(ISERROR(1/D22),0,F22/D22)</f>
        <v>0</v>
      </c>
      <c r="L22" s="1280"/>
      <c r="M22" s="1280"/>
      <c r="N22" s="1280">
        <f>IF(ISERROR(1/D22),0,H22/D22)</f>
        <v>0</v>
      </c>
      <c r="O22" s="1280"/>
      <c r="P22" s="1280"/>
      <c r="Q22" s="1280">
        <f>IF(ISERROR(1/K22),0,ROUNDDOWN((K22-1)*(IF(SI_IP_Units="IP",600,55.6)),0)+IF(SI_IP_Units="IP",1000,93))</f>
        <v>0</v>
      </c>
      <c r="R22" s="1280"/>
      <c r="S22" s="1280"/>
      <c r="T22" s="1280"/>
      <c r="U22" s="1280"/>
      <c r="V22" s="1608"/>
      <c r="W22" s="395"/>
      <c r="X22" s="395"/>
      <c r="Y22" s="395"/>
      <c r="Z22" s="2142"/>
      <c r="AA22" s="395"/>
      <c r="AB22" s="395"/>
      <c r="AC22" s="395"/>
      <c r="AD22" s="395"/>
      <c r="AE22" s="395"/>
      <c r="AF22" s="362">
        <f>IF(ISERROR(1/Q22),0,ROUNDDOWN((Q22-N22)/(Q22*4%),0))</f>
        <v>0</v>
      </c>
      <c r="AG22" s="2288" t="e">
        <f>(D12*1+F12*2+H12*3+J12*4+L12*5+N12*6+P12*7+R12*8+T12*9)/F22</f>
        <v>#DIV/0!</v>
      </c>
      <c r="AH22" s="395"/>
      <c r="AI22" s="395"/>
      <c r="AJ22" s="395"/>
      <c r="AK22" s="395"/>
      <c r="AL22" s="395"/>
      <c r="AM22" s="395"/>
      <c r="AN22" s="395"/>
      <c r="AO22" s="395"/>
      <c r="AP22" s="395"/>
      <c r="AQ22" s="395"/>
      <c r="AR22" s="395"/>
      <c r="AS22" s="395"/>
      <c r="AT22" s="395"/>
      <c r="AU22" s="395"/>
      <c r="AV22" s="395"/>
      <c r="AW22" s="395"/>
      <c r="AX22" s="395"/>
      <c r="AY22" s="395"/>
      <c r="AZ22" s="395"/>
      <c r="BA22" s="395"/>
      <c r="BB22" s="395"/>
      <c r="BC22" s="395"/>
      <c r="BD22" s="395"/>
      <c r="BE22" s="395"/>
      <c r="BF22" s="395"/>
      <c r="BG22" s="395"/>
      <c r="BH22" s="395"/>
      <c r="BI22" s="395"/>
      <c r="BJ22" s="395"/>
      <c r="BK22" s="395"/>
      <c r="BL22" s="395"/>
      <c r="BM22" s="395"/>
      <c r="BN22" s="395"/>
      <c r="BO22" s="395"/>
      <c r="BP22" s="395"/>
      <c r="BQ22" s="395"/>
      <c r="BR22" s="395"/>
      <c r="BS22" s="395"/>
      <c r="BT22" s="395"/>
      <c r="BU22" s="395"/>
      <c r="BV22" s="395"/>
      <c r="BW22" s="395"/>
      <c r="BX22" s="395"/>
      <c r="BY22" s="395"/>
      <c r="BZ22" s="395"/>
      <c r="CA22" s="395"/>
      <c r="CB22" s="395"/>
      <c r="CC22" s="395"/>
      <c r="CD22" s="395"/>
      <c r="CE22" s="395"/>
      <c r="CF22" s="395"/>
      <c r="CG22" s="395"/>
      <c r="CH22" s="395"/>
      <c r="CI22" s="395"/>
      <c r="CJ22" s="395"/>
      <c r="CK22" s="395"/>
      <c r="CL22" s="395"/>
      <c r="CM22" s="395"/>
      <c r="CN22" s="395"/>
      <c r="CO22" s="395"/>
      <c r="CP22" s="395"/>
      <c r="CQ22" s="395"/>
      <c r="CR22" s="395"/>
      <c r="CS22" s="395"/>
      <c r="CT22" s="395"/>
      <c r="CU22" s="395"/>
      <c r="CV22" s="395"/>
      <c r="CW22" s="395"/>
      <c r="CX22" s="395"/>
      <c r="CY22" s="395"/>
      <c r="CZ22" s="395"/>
      <c r="DA22" s="395"/>
      <c r="DB22" s="395"/>
      <c r="DC22" s="395"/>
      <c r="DD22" s="395"/>
      <c r="DE22" s="395"/>
      <c r="DF22" s="395"/>
      <c r="DG22" s="395"/>
      <c r="DH22" s="395"/>
      <c r="DI22" s="395"/>
      <c r="DJ22" s="395"/>
      <c r="DK22" s="395"/>
      <c r="DL22" s="395"/>
      <c r="DM22" s="395"/>
      <c r="DN22" s="395"/>
      <c r="DO22" s="395"/>
      <c r="DP22" s="395"/>
      <c r="DQ22" s="395"/>
      <c r="DR22" s="395"/>
      <c r="DS22" s="395"/>
      <c r="DT22" s="395"/>
      <c r="DU22" s="395"/>
      <c r="DV22" s="395"/>
      <c r="DW22" s="395"/>
      <c r="DX22" s="395"/>
      <c r="DY22" s="395"/>
      <c r="DZ22" s="395"/>
      <c r="EA22" s="395"/>
      <c r="EB22" s="395"/>
      <c r="EC22" s="395"/>
      <c r="ED22" s="395"/>
      <c r="EE22" s="395"/>
      <c r="EF22" s="395"/>
      <c r="EG22" s="395"/>
      <c r="EH22" s="395"/>
      <c r="EI22" s="395"/>
      <c r="EJ22" s="395"/>
      <c r="EK22" s="395"/>
      <c r="EL22" s="395"/>
      <c r="EM22" s="395"/>
      <c r="EN22" s="395"/>
      <c r="EO22" s="395"/>
      <c r="EP22" s="395"/>
      <c r="EQ22" s="395"/>
      <c r="ER22" s="395"/>
      <c r="ES22" s="395"/>
      <c r="ET22" s="395"/>
      <c r="EU22" s="395"/>
      <c r="EV22" s="395"/>
      <c r="EW22" s="395"/>
      <c r="EX22" s="395"/>
      <c r="EY22" s="395"/>
      <c r="EZ22" s="395"/>
      <c r="FA22" s="395"/>
      <c r="FB22" s="395"/>
      <c r="FC22" s="395"/>
      <c r="FD22" s="395"/>
      <c r="FE22" s="395"/>
      <c r="FF22" s="395"/>
      <c r="FG22" s="395"/>
      <c r="FH22" s="395"/>
      <c r="FI22" s="395"/>
      <c r="FJ22" s="395"/>
      <c r="FK22" s="395"/>
      <c r="FL22" s="395"/>
      <c r="FM22" s="395"/>
      <c r="FN22" s="395"/>
      <c r="FO22" s="395"/>
      <c r="FP22" s="395"/>
      <c r="FQ22" s="395"/>
      <c r="FR22" s="395"/>
      <c r="FS22" s="395"/>
      <c r="FT22" s="395"/>
      <c r="FU22" s="395"/>
      <c r="FV22" s="395"/>
      <c r="FW22" s="395"/>
      <c r="FX22" s="395"/>
      <c r="FY22" s="395"/>
      <c r="FZ22" s="395"/>
      <c r="GA22" s="395"/>
      <c r="GB22" s="395"/>
      <c r="GC22" s="395"/>
      <c r="GD22" s="395"/>
      <c r="GE22" s="395"/>
      <c r="GF22" s="395"/>
      <c r="GG22" s="395"/>
      <c r="GH22" s="395"/>
      <c r="GI22" s="395"/>
      <c r="GJ22" s="395"/>
      <c r="GK22" s="395"/>
      <c r="GL22" s="395"/>
      <c r="GM22" s="395"/>
      <c r="GN22" s="395"/>
      <c r="GO22" s="395"/>
      <c r="GP22" s="395"/>
      <c r="GQ22" s="395"/>
      <c r="GR22" s="395"/>
      <c r="GS22" s="395"/>
      <c r="GT22" s="395"/>
      <c r="GU22" s="395"/>
      <c r="GV22" s="395"/>
      <c r="GW22" s="395"/>
      <c r="GX22" s="395"/>
      <c r="GY22" s="395"/>
      <c r="GZ22" s="395"/>
      <c r="HA22" s="395"/>
      <c r="HB22" s="395"/>
      <c r="HC22" s="395"/>
      <c r="HD22" s="395"/>
      <c r="HE22" s="395"/>
      <c r="HF22" s="395"/>
      <c r="HG22" s="395"/>
      <c r="HH22" s="395"/>
      <c r="HI22" s="395"/>
      <c r="HJ22" s="395"/>
      <c r="HK22" s="395"/>
      <c r="HL22" s="395"/>
      <c r="HM22" s="395"/>
      <c r="HN22" s="395"/>
      <c r="HO22" s="395"/>
      <c r="HP22" s="395"/>
      <c r="HQ22" s="395"/>
      <c r="HR22" s="395"/>
    </row>
    <row r="23" spans="1:226" s="866" customFormat="1" x14ac:dyDescent="0.25">
      <c r="A23" s="348" t="s">
        <v>1038</v>
      </c>
      <c r="B23" s="395"/>
      <c r="C23" s="395"/>
      <c r="D23" s="395"/>
      <c r="E23" s="395"/>
      <c r="F23" s="395"/>
      <c r="G23" s="395"/>
      <c r="H23" s="395"/>
      <c r="I23" s="395"/>
      <c r="J23" s="395"/>
      <c r="K23" s="395"/>
      <c r="L23" s="395"/>
      <c r="M23" s="395"/>
      <c r="N23" s="395"/>
      <c r="O23" s="395"/>
      <c r="P23" s="395"/>
      <c r="Q23" s="395"/>
      <c r="R23" s="1598"/>
      <c r="S23" s="1598"/>
      <c r="T23" s="395"/>
      <c r="U23" s="395"/>
      <c r="V23" s="1608"/>
      <c r="W23" s="395"/>
      <c r="X23" s="395"/>
      <c r="Y23" s="395"/>
      <c r="Z23" s="2140"/>
      <c r="AA23" s="395"/>
      <c r="AB23" s="395"/>
      <c r="AC23" s="395"/>
      <c r="AD23" s="395"/>
      <c r="AE23" s="395"/>
      <c r="AF23" s="395"/>
      <c r="AG23" s="395"/>
      <c r="AH23" s="395"/>
      <c r="AI23" s="395"/>
      <c r="AJ23" s="395"/>
      <c r="AK23" s="395"/>
      <c r="AL23" s="395"/>
      <c r="AM23" s="395"/>
      <c r="AN23" s="395"/>
      <c r="AO23" s="395"/>
      <c r="AP23" s="395"/>
      <c r="AQ23" s="395"/>
      <c r="AR23" s="395"/>
      <c r="AS23" s="395"/>
      <c r="AT23" s="395"/>
      <c r="AU23" s="395"/>
      <c r="AV23" s="395"/>
      <c r="AW23" s="395"/>
      <c r="AX23" s="395"/>
      <c r="AY23" s="395"/>
      <c r="AZ23" s="395"/>
      <c r="BA23" s="395"/>
      <c r="BB23" s="395"/>
      <c r="BC23" s="395"/>
      <c r="BD23" s="395"/>
      <c r="BE23" s="395"/>
      <c r="BF23" s="395"/>
      <c r="BG23" s="395"/>
      <c r="BH23" s="395"/>
      <c r="BI23" s="395"/>
      <c r="BJ23" s="395"/>
      <c r="BK23" s="395"/>
      <c r="BL23" s="395"/>
      <c r="BM23" s="395"/>
      <c r="BN23" s="395"/>
      <c r="BO23" s="395"/>
      <c r="BP23" s="395"/>
      <c r="BQ23" s="395"/>
      <c r="BR23" s="395"/>
      <c r="BS23" s="395"/>
      <c r="BT23" s="395"/>
      <c r="BU23" s="395"/>
      <c r="BV23" s="395"/>
      <c r="BW23" s="395"/>
      <c r="BX23" s="395"/>
      <c r="BY23" s="395"/>
      <c r="BZ23" s="395"/>
      <c r="CA23" s="395"/>
      <c r="CB23" s="395"/>
      <c r="CC23" s="395"/>
      <c r="CD23" s="395"/>
      <c r="CE23" s="395"/>
      <c r="CF23" s="395"/>
      <c r="CG23" s="395"/>
      <c r="CH23" s="395"/>
      <c r="CI23" s="395"/>
      <c r="CJ23" s="395"/>
      <c r="CK23" s="395"/>
      <c r="CL23" s="395"/>
      <c r="CM23" s="395"/>
      <c r="CN23" s="395"/>
      <c r="CO23" s="395"/>
      <c r="CP23" s="395"/>
      <c r="CQ23" s="395"/>
      <c r="CR23" s="395"/>
      <c r="CS23" s="395"/>
      <c r="CT23" s="395"/>
      <c r="CU23" s="395"/>
      <c r="CV23" s="395"/>
      <c r="CW23" s="395"/>
      <c r="CX23" s="395"/>
      <c r="CY23" s="395"/>
      <c r="CZ23" s="395"/>
      <c r="DA23" s="395"/>
      <c r="DB23" s="395"/>
      <c r="DC23" s="395"/>
      <c r="DD23" s="395"/>
      <c r="DE23" s="395"/>
      <c r="DF23" s="395"/>
      <c r="DG23" s="395"/>
      <c r="DH23" s="395"/>
      <c r="DI23" s="395"/>
      <c r="DJ23" s="395"/>
      <c r="DK23" s="395"/>
      <c r="DL23" s="395"/>
      <c r="DM23" s="395"/>
      <c r="DN23" s="395"/>
      <c r="DO23" s="395"/>
      <c r="DP23" s="395"/>
      <c r="DQ23" s="395"/>
      <c r="DR23" s="395"/>
      <c r="DS23" s="395"/>
      <c r="DT23" s="395"/>
      <c r="DU23" s="395"/>
      <c r="DV23" s="395"/>
      <c r="DW23" s="395"/>
      <c r="DX23" s="395"/>
      <c r="DY23" s="395"/>
      <c r="DZ23" s="395"/>
      <c r="EA23" s="395"/>
      <c r="EB23" s="395"/>
      <c r="EC23" s="395"/>
      <c r="ED23" s="395"/>
      <c r="EE23" s="395"/>
      <c r="EF23" s="395"/>
      <c r="EG23" s="395"/>
      <c r="EH23" s="395"/>
      <c r="EI23" s="395"/>
      <c r="EJ23" s="395"/>
      <c r="EK23" s="395"/>
      <c r="EL23" s="395"/>
      <c r="EM23" s="395"/>
      <c r="EN23" s="395"/>
      <c r="EO23" s="395"/>
      <c r="EP23" s="395"/>
      <c r="EQ23" s="395"/>
      <c r="ER23" s="395"/>
      <c r="ES23" s="395"/>
      <c r="ET23" s="395"/>
      <c r="EU23" s="395"/>
      <c r="EV23" s="395"/>
      <c r="EW23" s="395"/>
      <c r="EX23" s="395"/>
      <c r="EY23" s="395"/>
      <c r="EZ23" s="395"/>
      <c r="FA23" s="395"/>
      <c r="FB23" s="395"/>
      <c r="FC23" s="395"/>
      <c r="FD23" s="395"/>
      <c r="FE23" s="395"/>
      <c r="FF23" s="395"/>
      <c r="FG23" s="395"/>
      <c r="FH23" s="395"/>
      <c r="FI23" s="395"/>
      <c r="FJ23" s="395"/>
      <c r="FK23" s="395"/>
      <c r="FL23" s="395"/>
      <c r="FM23" s="395"/>
      <c r="FN23" s="395"/>
      <c r="FO23" s="395"/>
      <c r="FP23" s="395"/>
      <c r="FQ23" s="395"/>
      <c r="FR23" s="395"/>
      <c r="FS23" s="395"/>
      <c r="FT23" s="395"/>
      <c r="FU23" s="395"/>
      <c r="FV23" s="395"/>
      <c r="FW23" s="395"/>
      <c r="FX23" s="395"/>
      <c r="FY23" s="395"/>
      <c r="FZ23" s="395"/>
      <c r="GA23" s="395"/>
      <c r="GB23" s="395"/>
      <c r="GC23" s="395"/>
      <c r="GD23" s="395"/>
      <c r="GE23" s="395"/>
      <c r="GF23" s="395"/>
      <c r="GG23" s="395"/>
      <c r="GH23" s="395"/>
      <c r="GI23" s="395"/>
      <c r="GJ23" s="395"/>
      <c r="GK23" s="395"/>
      <c r="GL23" s="395"/>
      <c r="GM23" s="395"/>
      <c r="GN23" s="395"/>
      <c r="GO23" s="395"/>
      <c r="GP23" s="395"/>
      <c r="GQ23" s="395"/>
      <c r="GR23" s="395"/>
      <c r="GS23" s="395"/>
      <c r="GT23" s="395"/>
      <c r="GU23" s="395"/>
      <c r="GV23" s="395"/>
      <c r="GW23" s="395"/>
      <c r="GX23" s="395"/>
      <c r="GY23" s="395"/>
      <c r="GZ23" s="395"/>
      <c r="HA23" s="395"/>
      <c r="HB23" s="395"/>
      <c r="HC23" s="395"/>
      <c r="HD23" s="395"/>
      <c r="HE23" s="395"/>
      <c r="HF23" s="395"/>
      <c r="HG23" s="395"/>
      <c r="HH23" s="395"/>
      <c r="HI23" s="395"/>
      <c r="HJ23" s="395"/>
      <c r="HK23" s="395"/>
      <c r="HL23" s="395"/>
      <c r="HM23" s="395"/>
      <c r="HN23" s="395"/>
      <c r="HO23" s="395"/>
      <c r="HP23" s="395"/>
      <c r="HQ23" s="395"/>
      <c r="HR23" s="395"/>
    </row>
    <row r="24" spans="1:226" s="866" customFormat="1" ht="15.6" x14ac:dyDescent="0.25">
      <c r="A24" s="348" t="s">
        <v>1038</v>
      </c>
      <c r="B24" s="196" t="s">
        <v>2373</v>
      </c>
      <c r="C24" s="196"/>
      <c r="D24" s="1598"/>
      <c r="E24" s="1599"/>
      <c r="F24" s="395"/>
      <c r="G24" s="395"/>
      <c r="H24" s="395"/>
      <c r="I24" s="395"/>
      <c r="J24" s="395"/>
      <c r="K24" s="395"/>
      <c r="L24" s="395"/>
      <c r="M24" s="395"/>
      <c r="N24" s="395"/>
      <c r="O24" s="395"/>
      <c r="P24" s="395"/>
      <c r="Q24" s="395"/>
      <c r="R24" s="395"/>
      <c r="S24" s="395"/>
      <c r="T24" s="395"/>
      <c r="U24" s="395"/>
      <c r="V24" s="1608"/>
      <c r="W24" s="395"/>
      <c r="X24" s="395"/>
      <c r="Y24" s="395"/>
      <c r="Z24" s="2140"/>
      <c r="AA24" s="395"/>
      <c r="AB24" s="395"/>
      <c r="AC24" s="395"/>
      <c r="AD24" s="395"/>
      <c r="AE24" s="395"/>
      <c r="AF24" s="395"/>
      <c r="AG24" s="395"/>
      <c r="AH24" s="395"/>
      <c r="AI24" s="395"/>
      <c r="AJ24" s="395"/>
      <c r="AK24" s="395"/>
      <c r="AL24" s="395"/>
      <c r="AM24" s="395"/>
      <c r="AN24" s="395"/>
      <c r="AO24" s="395"/>
      <c r="AP24" s="395"/>
      <c r="AQ24" s="395"/>
      <c r="AR24" s="395"/>
      <c r="AS24" s="395"/>
      <c r="AT24" s="395"/>
      <c r="AU24" s="395"/>
      <c r="AV24" s="395"/>
      <c r="AW24" s="395"/>
      <c r="AX24" s="395"/>
      <c r="AY24" s="395"/>
      <c r="AZ24" s="395"/>
      <c r="BA24" s="395"/>
      <c r="BB24" s="395"/>
      <c r="BC24" s="395"/>
      <c r="BD24" s="395"/>
      <c r="BE24" s="395"/>
      <c r="BF24" s="395"/>
      <c r="BG24" s="395"/>
      <c r="BH24" s="395"/>
      <c r="BI24" s="395"/>
      <c r="BJ24" s="395"/>
      <c r="BK24" s="395"/>
      <c r="BL24" s="395"/>
      <c r="BM24" s="395"/>
      <c r="BN24" s="395"/>
      <c r="BO24" s="395"/>
      <c r="BP24" s="395"/>
      <c r="BQ24" s="395"/>
      <c r="BR24" s="395"/>
      <c r="BS24" s="395"/>
      <c r="BT24" s="395"/>
      <c r="BU24" s="395"/>
      <c r="BV24" s="395"/>
      <c r="BW24" s="395"/>
      <c r="BX24" s="395"/>
      <c r="BY24" s="395"/>
      <c r="BZ24" s="395"/>
      <c r="CA24" s="395"/>
      <c r="CB24" s="395"/>
      <c r="CC24" s="395"/>
      <c r="CD24" s="395"/>
      <c r="CE24" s="395"/>
      <c r="CF24" s="395"/>
      <c r="CG24" s="395"/>
      <c r="CH24" s="395"/>
      <c r="CI24" s="395"/>
      <c r="CJ24" s="395"/>
      <c r="CK24" s="395"/>
      <c r="CL24" s="395"/>
      <c r="CM24" s="395"/>
      <c r="CN24" s="395"/>
      <c r="CO24" s="395"/>
      <c r="CP24" s="395"/>
      <c r="CQ24" s="395"/>
      <c r="CR24" s="395"/>
      <c r="CS24" s="395"/>
      <c r="CT24" s="395"/>
      <c r="CU24" s="395"/>
      <c r="CV24" s="395"/>
      <c r="CW24" s="395"/>
      <c r="CX24" s="395"/>
      <c r="CY24" s="395"/>
      <c r="CZ24" s="395"/>
      <c r="DA24" s="395"/>
      <c r="DB24" s="395"/>
      <c r="DC24" s="395"/>
      <c r="DD24" s="395"/>
      <c r="DE24" s="395"/>
      <c r="DF24" s="395"/>
      <c r="DG24" s="395"/>
      <c r="DH24" s="395"/>
      <c r="DI24" s="395"/>
      <c r="DJ24" s="395"/>
      <c r="DK24" s="395"/>
      <c r="DL24" s="395"/>
      <c r="DM24" s="395"/>
      <c r="DN24" s="395"/>
      <c r="DO24" s="395"/>
      <c r="DP24" s="395"/>
      <c r="DQ24" s="395"/>
      <c r="DR24" s="395"/>
      <c r="DS24" s="395"/>
      <c r="DT24" s="395"/>
      <c r="DU24" s="395"/>
      <c r="DV24" s="395"/>
      <c r="DW24" s="395"/>
      <c r="DX24" s="395"/>
      <c r="DY24" s="395"/>
      <c r="DZ24" s="395"/>
      <c r="EA24" s="395"/>
      <c r="EB24" s="395"/>
      <c r="EC24" s="395"/>
      <c r="ED24" s="395"/>
      <c r="EE24" s="395"/>
      <c r="EF24" s="395"/>
      <c r="EG24" s="395"/>
      <c r="EH24" s="395"/>
      <c r="EI24" s="395"/>
      <c r="EJ24" s="395"/>
      <c r="EK24" s="395"/>
      <c r="EL24" s="395"/>
      <c r="EM24" s="395"/>
      <c r="EN24" s="395"/>
      <c r="EO24" s="395"/>
      <c r="EP24" s="395"/>
      <c r="EQ24" s="395"/>
      <c r="ER24" s="395"/>
      <c r="ES24" s="395"/>
      <c r="ET24" s="395"/>
      <c r="EU24" s="395"/>
      <c r="EV24" s="395"/>
      <c r="EW24" s="395"/>
      <c r="EX24" s="395"/>
      <c r="EY24" s="395"/>
      <c r="EZ24" s="395"/>
      <c r="FA24" s="395"/>
      <c r="FB24" s="395"/>
      <c r="FC24" s="395"/>
      <c r="FD24" s="395"/>
      <c r="FE24" s="395"/>
      <c r="FF24" s="395"/>
      <c r="FG24" s="395"/>
      <c r="FH24" s="395"/>
      <c r="FI24" s="395"/>
      <c r="FJ24" s="395"/>
      <c r="FK24" s="395"/>
      <c r="FL24" s="395"/>
      <c r="FM24" s="395"/>
      <c r="FN24" s="395"/>
      <c r="FO24" s="395"/>
      <c r="FP24" s="395"/>
      <c r="FQ24" s="395"/>
      <c r="FR24" s="395"/>
      <c r="FS24" s="395"/>
      <c r="FT24" s="395"/>
      <c r="FU24" s="395"/>
      <c r="FV24" s="395"/>
      <c r="FW24" s="395"/>
      <c r="FX24" s="395"/>
      <c r="FY24" s="395"/>
      <c r="FZ24" s="395"/>
      <c r="GA24" s="395"/>
      <c r="GB24" s="395"/>
      <c r="GC24" s="395"/>
      <c r="GD24" s="395"/>
      <c r="GE24" s="395"/>
      <c r="GF24" s="395"/>
      <c r="GG24" s="395"/>
      <c r="GH24" s="395"/>
      <c r="GI24" s="395"/>
      <c r="GJ24" s="395"/>
      <c r="GK24" s="395"/>
      <c r="GL24" s="395"/>
      <c r="GM24" s="395"/>
      <c r="GN24" s="395"/>
      <c r="GO24" s="395"/>
      <c r="GP24" s="395"/>
      <c r="GQ24" s="395"/>
      <c r="GR24" s="395"/>
      <c r="GS24" s="395"/>
      <c r="GT24" s="395"/>
      <c r="GU24" s="395"/>
      <c r="GV24" s="395"/>
      <c r="GW24" s="395"/>
      <c r="GX24" s="395"/>
      <c r="GY24" s="395"/>
      <c r="GZ24" s="395"/>
      <c r="HA24" s="395"/>
      <c r="HB24" s="395"/>
      <c r="HC24" s="395"/>
      <c r="HD24" s="395"/>
      <c r="HE24" s="395"/>
      <c r="HF24" s="395"/>
      <c r="HG24" s="395"/>
      <c r="HH24" s="395"/>
      <c r="HI24" s="395"/>
      <c r="HJ24" s="395"/>
      <c r="HK24" s="395"/>
      <c r="HL24" s="395"/>
      <c r="HM24" s="395"/>
      <c r="HN24" s="395"/>
      <c r="HO24" s="395"/>
      <c r="HP24" s="395"/>
      <c r="HQ24" s="395"/>
      <c r="HR24" s="395"/>
    </row>
    <row r="25" spans="1:226" s="866" customFormat="1" ht="13.5" customHeight="1" x14ac:dyDescent="0.25">
      <c r="A25" s="348" t="s">
        <v>1038</v>
      </c>
      <c r="B25" s="395"/>
      <c r="C25" s="395"/>
      <c r="D25" s="395"/>
      <c r="E25" s="395"/>
      <c r="F25" s="395"/>
      <c r="G25" s="395"/>
      <c r="H25" s="395"/>
      <c r="I25" s="395"/>
      <c r="J25" s="395"/>
      <c r="K25" s="1600"/>
      <c r="L25" s="395"/>
      <c r="M25" s="395"/>
      <c r="N25" s="395"/>
      <c r="O25" s="395"/>
      <c r="P25" s="395"/>
      <c r="Q25" s="395"/>
      <c r="R25" s="395"/>
      <c r="S25" s="395"/>
      <c r="T25" s="395"/>
      <c r="U25" s="395"/>
      <c r="V25" s="1608"/>
      <c r="W25" s="395"/>
      <c r="X25" s="395"/>
      <c r="Y25" s="395"/>
      <c r="Z25" s="2140"/>
      <c r="AA25" s="395"/>
      <c r="AB25" s="395"/>
      <c r="AC25" s="395"/>
      <c r="AD25" s="395"/>
      <c r="AE25" s="395"/>
      <c r="AF25" s="395"/>
      <c r="AG25" s="395"/>
      <c r="AH25" s="395"/>
      <c r="AI25" s="395"/>
      <c r="AJ25" s="395"/>
      <c r="AK25" s="395"/>
      <c r="AL25" s="395"/>
      <c r="AM25" s="395"/>
      <c r="AN25" s="395"/>
      <c r="AO25" s="395"/>
      <c r="AP25" s="395"/>
      <c r="AQ25" s="395"/>
      <c r="AR25" s="395"/>
      <c r="AS25" s="395"/>
      <c r="AT25" s="395"/>
      <c r="AU25" s="395"/>
      <c r="AV25" s="395"/>
      <c r="AW25" s="395"/>
      <c r="AX25" s="395"/>
      <c r="AY25" s="395"/>
      <c r="AZ25" s="395"/>
      <c r="BA25" s="395"/>
      <c r="BB25" s="395"/>
      <c r="BC25" s="395"/>
      <c r="BD25" s="395"/>
      <c r="BE25" s="395"/>
      <c r="BF25" s="395"/>
      <c r="BG25" s="395"/>
      <c r="BH25" s="395"/>
      <c r="BI25" s="395"/>
      <c r="BJ25" s="395"/>
      <c r="BK25" s="395"/>
      <c r="BL25" s="395"/>
      <c r="BM25" s="395"/>
      <c r="BN25" s="395"/>
      <c r="BO25" s="395"/>
      <c r="BP25" s="395"/>
      <c r="BQ25" s="395"/>
      <c r="BR25" s="395"/>
      <c r="BS25" s="395"/>
      <c r="BT25" s="395"/>
      <c r="BU25" s="395"/>
      <c r="BV25" s="395"/>
      <c r="BW25" s="395"/>
      <c r="BX25" s="395"/>
      <c r="BY25" s="395"/>
      <c r="BZ25" s="395"/>
      <c r="CA25" s="395"/>
      <c r="CB25" s="395"/>
      <c r="CC25" s="395"/>
      <c r="CD25" s="395"/>
      <c r="CE25" s="395"/>
      <c r="CF25" s="395"/>
      <c r="CG25" s="395"/>
      <c r="CH25" s="395"/>
      <c r="CI25" s="395"/>
      <c r="CJ25" s="395"/>
      <c r="CK25" s="395"/>
      <c r="CL25" s="395"/>
      <c r="CM25" s="395"/>
      <c r="CN25" s="395"/>
      <c r="CO25" s="395"/>
      <c r="CP25" s="395"/>
      <c r="CQ25" s="395"/>
      <c r="CR25" s="395"/>
      <c r="CS25" s="395"/>
      <c r="CT25" s="395"/>
      <c r="CU25" s="395"/>
      <c r="CV25" s="395"/>
      <c r="CW25" s="395"/>
      <c r="CX25" s="395"/>
      <c r="CY25" s="395"/>
      <c r="CZ25" s="395"/>
      <c r="DA25" s="395"/>
      <c r="DB25" s="395"/>
      <c r="DC25" s="395"/>
      <c r="DD25" s="395"/>
      <c r="DE25" s="395"/>
      <c r="DF25" s="395"/>
      <c r="DG25" s="395"/>
      <c r="DH25" s="395"/>
      <c r="DI25" s="395"/>
      <c r="DJ25" s="395"/>
      <c r="DK25" s="395"/>
      <c r="DL25" s="395"/>
      <c r="DM25" s="395"/>
      <c r="DN25" s="395"/>
      <c r="DO25" s="395"/>
      <c r="DP25" s="395"/>
      <c r="DQ25" s="395"/>
      <c r="DR25" s="395"/>
      <c r="DS25" s="395"/>
      <c r="DT25" s="395"/>
      <c r="DU25" s="395"/>
      <c r="DV25" s="395"/>
      <c r="DW25" s="395"/>
      <c r="DX25" s="395"/>
      <c r="DY25" s="395"/>
      <c r="DZ25" s="395"/>
      <c r="EA25" s="395"/>
      <c r="EB25" s="395"/>
      <c r="EC25" s="395"/>
      <c r="ED25" s="395"/>
      <c r="EE25" s="395"/>
      <c r="EF25" s="395"/>
      <c r="EG25" s="395"/>
      <c r="EH25" s="395"/>
      <c r="EI25" s="395"/>
      <c r="EJ25" s="395"/>
      <c r="EK25" s="395"/>
      <c r="EL25" s="395"/>
      <c r="EM25" s="395"/>
      <c r="EN25" s="395"/>
      <c r="EO25" s="395"/>
      <c r="EP25" s="395"/>
      <c r="EQ25" s="395"/>
      <c r="ER25" s="395"/>
      <c r="ES25" s="395"/>
      <c r="ET25" s="395"/>
      <c r="EU25" s="395"/>
      <c r="EV25" s="395"/>
      <c r="EW25" s="395"/>
      <c r="EX25" s="395"/>
      <c r="EY25" s="395"/>
      <c r="EZ25" s="395"/>
      <c r="FA25" s="395"/>
      <c r="FB25" s="395"/>
      <c r="FC25" s="395"/>
      <c r="FD25" s="395"/>
      <c r="FE25" s="395"/>
      <c r="FF25" s="395"/>
      <c r="FG25" s="395"/>
      <c r="FH25" s="395"/>
      <c r="FI25" s="395"/>
      <c r="FJ25" s="395"/>
      <c r="FK25" s="395"/>
      <c r="FL25" s="395"/>
      <c r="FM25" s="395"/>
      <c r="FN25" s="395"/>
      <c r="FO25" s="395"/>
      <c r="FP25" s="395"/>
      <c r="FQ25" s="395"/>
      <c r="FR25" s="395"/>
      <c r="FS25" s="395"/>
      <c r="FT25" s="395"/>
      <c r="FU25" s="395"/>
      <c r="FV25" s="395"/>
      <c r="FW25" s="395"/>
      <c r="FX25" s="395"/>
      <c r="FY25" s="395"/>
      <c r="FZ25" s="395"/>
      <c r="GA25" s="395"/>
      <c r="GB25" s="395"/>
      <c r="GC25" s="395"/>
      <c r="GD25" s="395"/>
      <c r="GE25" s="395"/>
      <c r="GF25" s="395"/>
      <c r="GG25" s="395"/>
      <c r="GH25" s="395"/>
      <c r="GI25" s="395"/>
      <c r="GJ25" s="395"/>
      <c r="GK25" s="395"/>
      <c r="GL25" s="395"/>
      <c r="GM25" s="395"/>
      <c r="GN25" s="395"/>
      <c r="GO25" s="395"/>
      <c r="GP25" s="395"/>
      <c r="GQ25" s="395"/>
      <c r="GR25" s="395"/>
      <c r="GS25" s="395"/>
      <c r="GT25" s="395"/>
      <c r="GU25" s="395"/>
      <c r="GV25" s="395"/>
      <c r="GW25" s="395"/>
      <c r="GX25" s="395"/>
      <c r="GY25" s="395"/>
      <c r="GZ25" s="395"/>
      <c r="HA25" s="395"/>
      <c r="HB25" s="395"/>
      <c r="HC25" s="395"/>
      <c r="HD25" s="395"/>
      <c r="HE25" s="395"/>
      <c r="HF25" s="395"/>
      <c r="HG25" s="395"/>
      <c r="HH25" s="395"/>
      <c r="HI25" s="395"/>
      <c r="HJ25" s="395"/>
      <c r="HK25" s="395"/>
      <c r="HL25" s="395"/>
      <c r="HM25" s="395"/>
      <c r="HN25" s="395"/>
      <c r="HO25" s="395"/>
      <c r="HP25" s="395"/>
      <c r="HQ25" s="395"/>
      <c r="HR25" s="395"/>
    </row>
    <row r="26" spans="1:226" s="866" customFormat="1" ht="35.25" customHeight="1" x14ac:dyDescent="0.25">
      <c r="A26" s="348" t="s">
        <v>1038</v>
      </c>
      <c r="B26" s="3420" t="s">
        <v>2734</v>
      </c>
      <c r="C26" s="3420"/>
      <c r="D26" s="3420"/>
      <c r="E26" s="3420"/>
      <c r="F26" s="3420"/>
      <c r="G26" s="3420"/>
      <c r="H26" s="3420"/>
      <c r="I26" s="3420"/>
      <c r="J26" s="3420"/>
      <c r="K26" s="3420"/>
      <c r="L26" s="3420"/>
      <c r="M26" s="3420"/>
      <c r="N26" s="3420"/>
      <c r="O26" s="3420"/>
      <c r="P26" s="3420"/>
      <c r="Q26" s="3420"/>
      <c r="R26" s="3420"/>
      <c r="S26" s="3420"/>
      <c r="T26" s="3420"/>
      <c r="U26" s="3420"/>
      <c r="V26" s="1608"/>
      <c r="W26" s="395"/>
      <c r="X26" s="395"/>
      <c r="Y26" s="395"/>
      <c r="Z26" s="2140"/>
      <c r="AA26" s="395"/>
      <c r="AB26" s="395"/>
      <c r="AC26" s="395"/>
      <c r="AD26" s="395"/>
      <c r="AE26" s="395"/>
      <c r="AF26" s="395"/>
      <c r="AG26" s="395"/>
      <c r="AH26" s="395"/>
      <c r="AI26" s="395"/>
      <c r="AJ26" s="395"/>
      <c r="AK26" s="395"/>
      <c r="AL26" s="395"/>
      <c r="AM26" s="395"/>
      <c r="AN26" s="395"/>
      <c r="AO26" s="395"/>
      <c r="AP26" s="395"/>
      <c r="AQ26" s="395"/>
      <c r="AR26" s="395"/>
      <c r="AS26" s="395"/>
      <c r="AT26" s="395"/>
      <c r="AU26" s="395"/>
      <c r="AV26" s="395"/>
      <c r="AW26" s="395"/>
      <c r="AX26" s="395"/>
      <c r="AY26" s="395"/>
      <c r="AZ26" s="395"/>
      <c r="BA26" s="395"/>
      <c r="BB26" s="395"/>
      <c r="BC26" s="395"/>
      <c r="BD26" s="395"/>
      <c r="BE26" s="395"/>
      <c r="BF26" s="395"/>
      <c r="BG26" s="395"/>
      <c r="BH26" s="395"/>
      <c r="BI26" s="395"/>
      <c r="BJ26" s="395"/>
      <c r="BK26" s="395"/>
      <c r="BL26" s="395"/>
      <c r="BM26" s="395"/>
      <c r="BN26" s="395"/>
      <c r="BO26" s="395"/>
      <c r="BP26" s="395"/>
      <c r="BQ26" s="395"/>
      <c r="BR26" s="395"/>
      <c r="BS26" s="395"/>
      <c r="BT26" s="395"/>
      <c r="BU26" s="395"/>
      <c r="BV26" s="395"/>
      <c r="BW26" s="395"/>
      <c r="BX26" s="395"/>
      <c r="BY26" s="395"/>
      <c r="BZ26" s="395"/>
      <c r="CA26" s="395"/>
      <c r="CB26" s="395"/>
      <c r="CC26" s="395"/>
      <c r="CD26" s="395"/>
      <c r="CE26" s="395"/>
      <c r="CF26" s="395"/>
      <c r="CG26" s="395"/>
      <c r="CH26" s="395"/>
      <c r="CI26" s="395"/>
      <c r="CJ26" s="395"/>
      <c r="CK26" s="395"/>
      <c r="CL26" s="395"/>
      <c r="CM26" s="395"/>
      <c r="CN26" s="395"/>
      <c r="CO26" s="395"/>
      <c r="CP26" s="395"/>
      <c r="CQ26" s="395"/>
      <c r="CR26" s="395"/>
      <c r="CS26" s="395"/>
      <c r="CT26" s="395"/>
      <c r="CU26" s="395"/>
      <c r="CV26" s="395"/>
      <c r="CW26" s="395"/>
      <c r="CX26" s="395"/>
      <c r="CY26" s="395"/>
      <c r="CZ26" s="395"/>
      <c r="DA26" s="395"/>
      <c r="DB26" s="395"/>
      <c r="DC26" s="395"/>
      <c r="DD26" s="395"/>
      <c r="DE26" s="395"/>
      <c r="DF26" s="395"/>
      <c r="DG26" s="395"/>
      <c r="DH26" s="395"/>
      <c r="DI26" s="395"/>
      <c r="DJ26" s="395"/>
      <c r="DK26" s="395"/>
      <c r="DL26" s="395"/>
      <c r="DM26" s="395"/>
      <c r="DN26" s="395"/>
      <c r="DO26" s="395"/>
      <c r="DP26" s="395"/>
      <c r="DQ26" s="395"/>
      <c r="DR26" s="395"/>
      <c r="DS26" s="395"/>
      <c r="DT26" s="395"/>
      <c r="DU26" s="395"/>
      <c r="DV26" s="395"/>
      <c r="DW26" s="395"/>
      <c r="DX26" s="395"/>
      <c r="DY26" s="395"/>
      <c r="DZ26" s="395"/>
      <c r="EA26" s="395"/>
      <c r="EB26" s="395"/>
      <c r="EC26" s="395"/>
      <c r="ED26" s="395"/>
      <c r="EE26" s="395"/>
      <c r="EF26" s="395"/>
      <c r="EG26" s="395"/>
      <c r="EH26" s="395"/>
      <c r="EI26" s="395"/>
      <c r="EJ26" s="395"/>
      <c r="EK26" s="395"/>
      <c r="EL26" s="395"/>
      <c r="EM26" s="395"/>
      <c r="EN26" s="395"/>
      <c r="EO26" s="395"/>
      <c r="EP26" s="395"/>
      <c r="EQ26" s="395"/>
      <c r="ER26" s="395"/>
      <c r="ES26" s="395"/>
      <c r="ET26" s="395"/>
      <c r="EU26" s="395"/>
      <c r="EV26" s="395"/>
      <c r="EW26" s="395"/>
      <c r="EX26" s="395"/>
      <c r="EY26" s="395"/>
      <c r="EZ26" s="395"/>
      <c r="FA26" s="395"/>
      <c r="FB26" s="395"/>
      <c r="FC26" s="395"/>
      <c r="FD26" s="395"/>
      <c r="FE26" s="395"/>
      <c r="FF26" s="395"/>
      <c r="FG26" s="395"/>
      <c r="FH26" s="395"/>
      <c r="FI26" s="395"/>
      <c r="FJ26" s="395"/>
      <c r="FK26" s="395"/>
      <c r="FL26" s="395"/>
      <c r="FM26" s="395"/>
      <c r="FN26" s="395"/>
      <c r="FO26" s="395"/>
      <c r="FP26" s="395"/>
      <c r="FQ26" s="395"/>
      <c r="FR26" s="395"/>
      <c r="FS26" s="395"/>
      <c r="FT26" s="395"/>
      <c r="FU26" s="395"/>
      <c r="FV26" s="395"/>
      <c r="FW26" s="395"/>
      <c r="FX26" s="395"/>
      <c r="FY26" s="395"/>
      <c r="FZ26" s="395"/>
      <c r="GA26" s="395"/>
      <c r="GB26" s="395"/>
      <c r="GC26" s="395"/>
      <c r="GD26" s="395"/>
      <c r="GE26" s="395"/>
      <c r="GF26" s="395"/>
      <c r="GG26" s="395"/>
      <c r="GH26" s="395"/>
      <c r="GI26" s="395"/>
      <c r="GJ26" s="395"/>
      <c r="GK26" s="395"/>
      <c r="GL26" s="395"/>
      <c r="GM26" s="395"/>
      <c r="GN26" s="395"/>
      <c r="GO26" s="395"/>
      <c r="GP26" s="395"/>
      <c r="GQ26" s="395"/>
      <c r="GR26" s="395"/>
      <c r="GS26" s="395"/>
      <c r="GT26" s="395"/>
      <c r="GU26" s="395"/>
      <c r="GV26" s="395"/>
      <c r="GW26" s="395"/>
      <c r="GX26" s="395"/>
      <c r="GY26" s="395"/>
      <c r="GZ26" s="395"/>
      <c r="HA26" s="395"/>
      <c r="HB26" s="395"/>
      <c r="HC26" s="395"/>
      <c r="HD26" s="395"/>
      <c r="HE26" s="395"/>
      <c r="HF26" s="395"/>
      <c r="HG26" s="395"/>
      <c r="HH26" s="395"/>
      <c r="HI26" s="395"/>
      <c r="HJ26" s="395"/>
      <c r="HK26" s="395"/>
      <c r="HL26" s="395"/>
      <c r="HM26" s="395"/>
      <c r="HN26" s="395"/>
      <c r="HO26" s="395"/>
      <c r="HP26" s="395"/>
      <c r="HQ26" s="395"/>
      <c r="HR26" s="395"/>
    </row>
    <row r="27" spans="1:226" s="866" customFormat="1" ht="13.5" customHeight="1" x14ac:dyDescent="0.25">
      <c r="A27" s="348" t="s">
        <v>1038</v>
      </c>
      <c r="B27" s="395"/>
      <c r="C27" s="395"/>
      <c r="D27" s="395"/>
      <c r="E27" s="395"/>
      <c r="F27" s="395"/>
      <c r="G27" s="395"/>
      <c r="H27" s="395"/>
      <c r="I27" s="395"/>
      <c r="J27" s="395"/>
      <c r="K27" s="1600"/>
      <c r="L27" s="395"/>
      <c r="M27" s="395"/>
      <c r="N27" s="395"/>
      <c r="O27" s="395"/>
      <c r="P27" s="395"/>
      <c r="Q27" s="395"/>
      <c r="R27" s="395"/>
      <c r="S27" s="395"/>
      <c r="T27" s="395"/>
      <c r="U27" s="395"/>
      <c r="V27" s="1608"/>
      <c r="W27" s="395"/>
      <c r="X27" s="395"/>
      <c r="Y27" s="395"/>
      <c r="Z27" s="2140"/>
      <c r="AA27" s="395"/>
      <c r="AB27" s="395"/>
      <c r="AC27" s="395"/>
      <c r="AD27" s="395"/>
      <c r="AE27" s="395"/>
      <c r="AF27" s="395"/>
      <c r="AG27" s="395"/>
      <c r="AH27" s="395"/>
      <c r="AI27" s="395"/>
      <c r="AJ27" s="395"/>
      <c r="AK27" s="395"/>
      <c r="AL27" s="395"/>
      <c r="AM27" s="395"/>
      <c r="AN27" s="395"/>
      <c r="AO27" s="395"/>
      <c r="AP27" s="395"/>
      <c r="AQ27" s="395"/>
      <c r="AR27" s="395"/>
      <c r="AS27" s="395"/>
      <c r="AT27" s="395"/>
      <c r="AU27" s="395"/>
      <c r="AV27" s="395"/>
      <c r="AW27" s="395"/>
      <c r="AX27" s="395"/>
      <c r="AY27" s="395"/>
      <c r="AZ27" s="395"/>
      <c r="BA27" s="395"/>
      <c r="BB27" s="395"/>
      <c r="BC27" s="395"/>
      <c r="BD27" s="395"/>
      <c r="BE27" s="395"/>
      <c r="BF27" s="395"/>
      <c r="BG27" s="395"/>
      <c r="BH27" s="395"/>
      <c r="BI27" s="395"/>
      <c r="BJ27" s="395"/>
      <c r="BK27" s="395"/>
      <c r="BL27" s="395"/>
      <c r="BM27" s="395"/>
      <c r="BN27" s="395"/>
      <c r="BO27" s="395"/>
      <c r="BP27" s="395"/>
      <c r="BQ27" s="395"/>
      <c r="BR27" s="395"/>
      <c r="BS27" s="395"/>
      <c r="BT27" s="395"/>
      <c r="BU27" s="395"/>
      <c r="BV27" s="395"/>
      <c r="BW27" s="395"/>
      <c r="BX27" s="395"/>
      <c r="BY27" s="395"/>
      <c r="BZ27" s="395"/>
      <c r="CA27" s="395"/>
      <c r="CB27" s="395"/>
      <c r="CC27" s="395"/>
      <c r="CD27" s="395"/>
      <c r="CE27" s="395"/>
      <c r="CF27" s="395"/>
      <c r="CG27" s="395"/>
      <c r="CH27" s="395"/>
      <c r="CI27" s="395"/>
      <c r="CJ27" s="395"/>
      <c r="CK27" s="395"/>
      <c r="CL27" s="395"/>
      <c r="CM27" s="395"/>
      <c r="CN27" s="395"/>
      <c r="CO27" s="395"/>
      <c r="CP27" s="395"/>
      <c r="CQ27" s="395"/>
      <c r="CR27" s="395"/>
      <c r="CS27" s="395"/>
      <c r="CT27" s="395"/>
      <c r="CU27" s="395"/>
      <c r="CV27" s="395"/>
      <c r="CW27" s="395"/>
      <c r="CX27" s="395"/>
      <c r="CY27" s="395"/>
      <c r="CZ27" s="395"/>
      <c r="DA27" s="395"/>
      <c r="DB27" s="395"/>
      <c r="DC27" s="395"/>
      <c r="DD27" s="395"/>
      <c r="DE27" s="395"/>
      <c r="DF27" s="395"/>
      <c r="DG27" s="395"/>
      <c r="DH27" s="395"/>
      <c r="DI27" s="395"/>
      <c r="DJ27" s="395"/>
      <c r="DK27" s="395"/>
      <c r="DL27" s="395"/>
      <c r="DM27" s="395"/>
      <c r="DN27" s="395"/>
      <c r="DO27" s="395"/>
      <c r="DP27" s="395"/>
      <c r="DQ27" s="395"/>
      <c r="DR27" s="395"/>
      <c r="DS27" s="395"/>
      <c r="DT27" s="395"/>
      <c r="DU27" s="395"/>
      <c r="DV27" s="395"/>
      <c r="DW27" s="395"/>
      <c r="DX27" s="395"/>
      <c r="DY27" s="395"/>
      <c r="DZ27" s="395"/>
      <c r="EA27" s="395"/>
      <c r="EB27" s="395"/>
      <c r="EC27" s="395"/>
      <c r="ED27" s="395"/>
      <c r="EE27" s="395"/>
      <c r="EF27" s="395"/>
      <c r="EG27" s="395"/>
      <c r="EH27" s="395"/>
      <c r="EI27" s="395"/>
      <c r="EJ27" s="395"/>
      <c r="EK27" s="395"/>
      <c r="EL27" s="395"/>
      <c r="EM27" s="395"/>
      <c r="EN27" s="395"/>
      <c r="EO27" s="395"/>
      <c r="EP27" s="395"/>
      <c r="EQ27" s="395"/>
      <c r="ER27" s="395"/>
      <c r="ES27" s="395"/>
      <c r="ET27" s="395"/>
      <c r="EU27" s="395"/>
      <c r="EV27" s="395"/>
      <c r="EW27" s="395"/>
      <c r="EX27" s="395"/>
      <c r="EY27" s="395"/>
      <c r="EZ27" s="395"/>
      <c r="FA27" s="395"/>
      <c r="FB27" s="395"/>
      <c r="FC27" s="395"/>
      <c r="FD27" s="395"/>
      <c r="FE27" s="395"/>
      <c r="FF27" s="395"/>
      <c r="FG27" s="395"/>
      <c r="FH27" s="395"/>
      <c r="FI27" s="395"/>
      <c r="FJ27" s="395"/>
      <c r="FK27" s="395"/>
      <c r="FL27" s="395"/>
      <c r="FM27" s="395"/>
      <c r="FN27" s="395"/>
      <c r="FO27" s="395"/>
      <c r="FP27" s="395"/>
      <c r="FQ27" s="395"/>
      <c r="FR27" s="395"/>
      <c r="FS27" s="395"/>
      <c r="FT27" s="395"/>
      <c r="FU27" s="395"/>
      <c r="FV27" s="395"/>
      <c r="FW27" s="395"/>
      <c r="FX27" s="395"/>
      <c r="FY27" s="395"/>
      <c r="FZ27" s="395"/>
      <c r="GA27" s="395"/>
      <c r="GB27" s="395"/>
      <c r="GC27" s="395"/>
      <c r="GD27" s="395"/>
      <c r="GE27" s="395"/>
      <c r="GF27" s="395"/>
      <c r="GG27" s="395"/>
      <c r="GH27" s="395"/>
      <c r="GI27" s="395"/>
      <c r="GJ27" s="395"/>
      <c r="GK27" s="395"/>
      <c r="GL27" s="395"/>
      <c r="GM27" s="395"/>
      <c r="GN27" s="395"/>
      <c r="GO27" s="395"/>
      <c r="GP27" s="395"/>
      <c r="GQ27" s="395"/>
      <c r="GR27" s="395"/>
      <c r="GS27" s="395"/>
      <c r="GT27" s="395"/>
      <c r="GU27" s="395"/>
      <c r="GV27" s="395"/>
      <c r="GW27" s="395"/>
      <c r="GX27" s="395"/>
      <c r="GY27" s="395"/>
      <c r="GZ27" s="395"/>
      <c r="HA27" s="395"/>
      <c r="HB27" s="395"/>
      <c r="HC27" s="395"/>
      <c r="HD27" s="395"/>
      <c r="HE27" s="395"/>
      <c r="HF27" s="395"/>
      <c r="HG27" s="395"/>
      <c r="HH27" s="395"/>
      <c r="HI27" s="395"/>
      <c r="HJ27" s="395"/>
      <c r="HK27" s="395"/>
      <c r="HL27" s="395"/>
      <c r="HM27" s="395"/>
      <c r="HN27" s="395"/>
      <c r="HO27" s="395"/>
      <c r="HP27" s="395"/>
      <c r="HQ27" s="395"/>
      <c r="HR27" s="395"/>
    </row>
    <row r="28" spans="1:226" s="866" customFormat="1" x14ac:dyDescent="0.25">
      <c r="A28" s="348" t="s">
        <v>1038</v>
      </c>
      <c r="B28" s="3357" t="s">
        <v>1087</v>
      </c>
      <c r="C28" s="3395" t="s">
        <v>1194</v>
      </c>
      <c r="D28" s="3395" t="s">
        <v>1104</v>
      </c>
      <c r="E28" s="3395" t="s">
        <v>2468</v>
      </c>
      <c r="F28" s="3395" t="s">
        <v>1223</v>
      </c>
      <c r="G28" s="3344"/>
      <c r="H28" s="1360" t="s">
        <v>1224</v>
      </c>
      <c r="I28" s="1360"/>
      <c r="J28" s="1360"/>
      <c r="K28" s="1361"/>
      <c r="L28" s="1490"/>
      <c r="M28" s="1360" t="s">
        <v>1230</v>
      </c>
      <c r="N28" s="1360"/>
      <c r="O28" s="1360"/>
      <c r="P28" s="1361"/>
      <c r="Q28" s="1490"/>
      <c r="R28" s="1490" t="str">
        <f>CONCATENATE("Annual Service Hot Water Load ",IF(SI_IP_Units="IP","(gallons/year)","(Liters/year)"))</f>
        <v>Annual Service Hot Water Load (gallons/year)</v>
      </c>
      <c r="S28" s="1490"/>
      <c r="T28" s="1490"/>
      <c r="U28" s="1601"/>
      <c r="V28" s="3390" t="s">
        <v>2544</v>
      </c>
      <c r="W28" s="395"/>
      <c r="X28" s="395"/>
      <c r="Y28" s="395"/>
      <c r="Z28" s="2140"/>
      <c r="AA28" s="395"/>
      <c r="AB28" s="395"/>
      <c r="AC28" s="395"/>
      <c r="AD28" s="395"/>
      <c r="AE28" s="395"/>
      <c r="AF28" s="395"/>
      <c r="AG28" s="395"/>
      <c r="AH28" s="395"/>
      <c r="AI28" s="395"/>
      <c r="AJ28" s="395"/>
      <c r="AK28" s="395"/>
      <c r="AL28" s="395"/>
      <c r="AM28" s="395"/>
      <c r="AN28" s="395"/>
      <c r="AO28" s="395"/>
      <c r="AP28" s="395"/>
      <c r="AQ28" s="395"/>
      <c r="AR28" s="395"/>
      <c r="AS28" s="395"/>
      <c r="AT28" s="395"/>
      <c r="AU28" s="395"/>
      <c r="AV28" s="395"/>
      <c r="AW28" s="395"/>
      <c r="AX28" s="395"/>
      <c r="AY28" s="395"/>
      <c r="AZ28" s="395"/>
      <c r="BA28" s="395"/>
      <c r="BB28" s="395"/>
      <c r="BC28" s="395"/>
      <c r="BD28" s="395"/>
      <c r="BE28" s="395"/>
      <c r="BF28" s="395"/>
      <c r="BG28" s="395"/>
      <c r="BH28" s="395"/>
      <c r="BI28" s="395"/>
      <c r="BJ28" s="395"/>
      <c r="BK28" s="395"/>
      <c r="BL28" s="395"/>
      <c r="BM28" s="395"/>
      <c r="BN28" s="395"/>
      <c r="BO28" s="395"/>
      <c r="BP28" s="395"/>
      <c r="BQ28" s="395"/>
      <c r="BR28" s="395"/>
      <c r="BS28" s="395"/>
      <c r="BT28" s="395"/>
      <c r="BU28" s="395"/>
      <c r="BV28" s="395"/>
      <c r="BW28" s="395"/>
      <c r="BX28" s="395"/>
      <c r="BY28" s="395"/>
      <c r="BZ28" s="395"/>
      <c r="CA28" s="395"/>
      <c r="CB28" s="395"/>
      <c r="CC28" s="395"/>
      <c r="CD28" s="395"/>
      <c r="CE28" s="395"/>
      <c r="CF28" s="395"/>
      <c r="CG28" s="395"/>
      <c r="CH28" s="395"/>
      <c r="CI28" s="395"/>
      <c r="CJ28" s="395"/>
      <c r="CK28" s="395"/>
      <c r="CL28" s="395"/>
      <c r="CM28" s="395"/>
      <c r="CN28" s="395"/>
      <c r="CO28" s="395"/>
      <c r="CP28" s="395"/>
      <c r="CQ28" s="395"/>
      <c r="CR28" s="395"/>
      <c r="CS28" s="395"/>
      <c r="CT28" s="395"/>
      <c r="CU28" s="395"/>
      <c r="CV28" s="395"/>
      <c r="CW28" s="395"/>
      <c r="CX28" s="395"/>
      <c r="CY28" s="395"/>
      <c r="CZ28" s="395"/>
      <c r="DA28" s="395"/>
      <c r="DB28" s="395"/>
      <c r="DC28" s="395"/>
      <c r="DD28" s="395"/>
      <c r="DE28" s="395"/>
      <c r="DF28" s="395"/>
      <c r="DG28" s="395"/>
      <c r="DH28" s="395"/>
      <c r="DI28" s="395"/>
      <c r="DJ28" s="395"/>
      <c r="DK28" s="395"/>
      <c r="DL28" s="395"/>
      <c r="DM28" s="395"/>
      <c r="DN28" s="395"/>
      <c r="DO28" s="395"/>
      <c r="DP28" s="395"/>
      <c r="DQ28" s="395"/>
      <c r="DR28" s="395"/>
      <c r="DS28" s="395"/>
      <c r="DT28" s="395"/>
      <c r="DU28" s="395"/>
      <c r="DV28" s="395"/>
      <c r="DW28" s="395"/>
      <c r="DX28" s="395"/>
      <c r="DY28" s="395"/>
      <c r="DZ28" s="395"/>
      <c r="EA28" s="395"/>
      <c r="EB28" s="395"/>
      <c r="EC28" s="395"/>
      <c r="ED28" s="395"/>
      <c r="EE28" s="395"/>
      <c r="EF28" s="395"/>
      <c r="EG28" s="395"/>
      <c r="EH28" s="395"/>
      <c r="EI28" s="395"/>
      <c r="EJ28" s="395"/>
      <c r="EK28" s="395"/>
      <c r="EL28" s="395"/>
      <c r="EM28" s="395"/>
      <c r="EN28" s="395"/>
      <c r="EO28" s="395"/>
      <c r="EP28" s="395"/>
      <c r="EQ28" s="395"/>
      <c r="ER28" s="395"/>
      <c r="ES28" s="395"/>
      <c r="ET28" s="395"/>
      <c r="EU28" s="395"/>
      <c r="EV28" s="395"/>
      <c r="EW28" s="395"/>
      <c r="EX28" s="395"/>
      <c r="EY28" s="395"/>
      <c r="EZ28" s="395"/>
      <c r="FA28" s="395"/>
      <c r="FB28" s="395"/>
      <c r="FC28" s="395"/>
      <c r="FD28" s="395"/>
      <c r="FE28" s="395"/>
      <c r="FF28" s="395"/>
      <c r="FG28" s="395"/>
      <c r="FH28" s="395"/>
      <c r="FI28" s="395"/>
      <c r="FJ28" s="395"/>
      <c r="FK28" s="395"/>
      <c r="FL28" s="395"/>
      <c r="FM28" s="395"/>
      <c r="FN28" s="395"/>
      <c r="FO28" s="395"/>
      <c r="FP28" s="395"/>
      <c r="FQ28" s="395"/>
      <c r="FR28" s="395"/>
      <c r="FS28" s="395"/>
      <c r="FT28" s="395"/>
      <c r="FU28" s="395"/>
      <c r="FV28" s="395"/>
      <c r="FW28" s="395"/>
      <c r="FX28" s="395"/>
      <c r="FY28" s="395"/>
      <c r="FZ28" s="395"/>
      <c r="GA28" s="395"/>
      <c r="GB28" s="395"/>
      <c r="GC28" s="395"/>
      <c r="GD28" s="395"/>
      <c r="GE28" s="395"/>
      <c r="GF28" s="395"/>
      <c r="GG28" s="395"/>
      <c r="GH28" s="395"/>
      <c r="GI28" s="395"/>
      <c r="GJ28" s="395"/>
      <c r="GK28" s="395"/>
      <c r="GL28" s="395"/>
      <c r="GM28" s="395"/>
      <c r="GN28" s="395"/>
      <c r="GO28" s="395"/>
      <c r="GP28" s="395"/>
      <c r="GQ28" s="395"/>
      <c r="GR28" s="395"/>
      <c r="GS28" s="395"/>
      <c r="GT28" s="395"/>
      <c r="GU28" s="395"/>
      <c r="GV28" s="395"/>
      <c r="GW28" s="395"/>
      <c r="GX28" s="395"/>
      <c r="GY28" s="395"/>
      <c r="GZ28" s="395"/>
      <c r="HA28" s="395"/>
      <c r="HB28" s="395"/>
      <c r="HC28" s="395"/>
      <c r="HD28" s="395"/>
      <c r="HE28" s="395"/>
      <c r="HF28" s="395"/>
      <c r="HG28" s="395"/>
      <c r="HH28" s="395"/>
      <c r="HI28" s="395"/>
      <c r="HJ28" s="395"/>
      <c r="HK28" s="395"/>
      <c r="HL28" s="395"/>
      <c r="HM28" s="395"/>
      <c r="HN28" s="395"/>
      <c r="HO28" s="395"/>
      <c r="HP28" s="395"/>
      <c r="HQ28" s="395"/>
      <c r="HR28" s="395"/>
    </row>
    <row r="29" spans="1:226" s="866" customFormat="1" ht="34.5" customHeight="1" x14ac:dyDescent="0.25">
      <c r="A29" s="348" t="s">
        <v>1038</v>
      </c>
      <c r="B29" s="3357"/>
      <c r="C29" s="3395"/>
      <c r="D29" s="3395"/>
      <c r="E29" s="3395"/>
      <c r="F29" s="3395"/>
      <c r="G29" s="3344"/>
      <c r="H29" s="3345" t="str">
        <f>CONCATENATE("Annual Consumption ",IF(SI_IP_Units="IP","(kWh/year)","kWh/year"))</f>
        <v>Annual Consumption (kWh/year)</v>
      </c>
      <c r="I29" s="3345"/>
      <c r="J29" s="3395" t="s">
        <v>1193</v>
      </c>
      <c r="K29" s="3395" t="s">
        <v>1192</v>
      </c>
      <c r="L29" s="3344"/>
      <c r="M29" s="3345" t="str">
        <f>CONCATENATE("Annual Consumption ",IF(SI_IP_Units="IP","(therms/year)","kWh/year"))</f>
        <v>Annual Consumption (therms/year)</v>
      </c>
      <c r="N29" s="3345"/>
      <c r="O29" s="3395" t="s">
        <v>1193</v>
      </c>
      <c r="P29" s="3395" t="s">
        <v>1192</v>
      </c>
      <c r="Q29" s="3344"/>
      <c r="R29" s="3345" t="s">
        <v>1234</v>
      </c>
      <c r="S29" s="3395" t="s">
        <v>2677</v>
      </c>
      <c r="T29" s="3345" t="s">
        <v>1235</v>
      </c>
      <c r="U29" s="3345" t="s">
        <v>2678</v>
      </c>
      <c r="V29" s="3391"/>
      <c r="W29" s="395"/>
      <c r="X29" s="395"/>
      <c r="Y29" s="395"/>
      <c r="Z29" s="2140"/>
      <c r="AA29" s="395"/>
      <c r="AB29" s="395"/>
      <c r="AC29" s="395"/>
      <c r="AD29" s="395"/>
      <c r="AE29" s="395"/>
      <c r="AF29" s="395"/>
      <c r="AG29" s="395"/>
      <c r="AH29" s="395"/>
      <c r="AI29" s="395"/>
      <c r="AJ29" s="395"/>
      <c r="AK29" s="395"/>
      <c r="AL29" s="395"/>
      <c r="AM29" s="395"/>
      <c r="AN29" s="395"/>
      <c r="AO29" s="395"/>
      <c r="AP29" s="395"/>
      <c r="AQ29" s="395"/>
      <c r="AR29" s="395"/>
      <c r="AS29" s="395"/>
      <c r="AT29" s="395"/>
      <c r="AU29" s="395"/>
      <c r="AV29" s="395"/>
      <c r="AW29" s="395"/>
      <c r="AX29" s="395"/>
      <c r="AY29" s="395"/>
      <c r="AZ29" s="395"/>
      <c r="BA29" s="395"/>
      <c r="BB29" s="395"/>
      <c r="BC29" s="395"/>
      <c r="BD29" s="395"/>
      <c r="BE29" s="395"/>
      <c r="BF29" s="395"/>
      <c r="BG29" s="395"/>
      <c r="BH29" s="395"/>
      <c r="BI29" s="395"/>
      <c r="BJ29" s="395"/>
      <c r="BK29" s="395"/>
      <c r="BL29" s="395"/>
      <c r="BM29" s="395"/>
      <c r="BN29" s="395"/>
      <c r="BO29" s="395"/>
      <c r="BP29" s="395"/>
      <c r="BQ29" s="395"/>
      <c r="BR29" s="395"/>
      <c r="BS29" s="395"/>
      <c r="BT29" s="395"/>
      <c r="BU29" s="395"/>
      <c r="BV29" s="395"/>
      <c r="BW29" s="395"/>
      <c r="BX29" s="395"/>
      <c r="BY29" s="395"/>
      <c r="BZ29" s="395"/>
      <c r="CA29" s="395"/>
      <c r="CB29" s="395"/>
      <c r="CC29" s="395"/>
      <c r="CD29" s="395"/>
      <c r="CE29" s="395"/>
      <c r="CF29" s="395"/>
      <c r="CG29" s="395"/>
      <c r="CH29" s="395"/>
      <c r="CI29" s="395"/>
      <c r="CJ29" s="395"/>
      <c r="CK29" s="395"/>
      <c r="CL29" s="395"/>
      <c r="CM29" s="395"/>
      <c r="CN29" s="395"/>
      <c r="CO29" s="395"/>
      <c r="CP29" s="395"/>
      <c r="CQ29" s="395"/>
      <c r="CR29" s="395"/>
      <c r="CS29" s="395"/>
      <c r="CT29" s="395"/>
      <c r="CU29" s="395"/>
      <c r="CV29" s="395"/>
      <c r="CW29" s="395"/>
      <c r="CX29" s="395"/>
      <c r="CY29" s="395"/>
      <c r="CZ29" s="395"/>
      <c r="DA29" s="395"/>
      <c r="DB29" s="395"/>
      <c r="DC29" s="395"/>
      <c r="DD29" s="395"/>
      <c r="DE29" s="395"/>
      <c r="DF29" s="395"/>
      <c r="DG29" s="395"/>
      <c r="DH29" s="395"/>
      <c r="DI29" s="395"/>
      <c r="DJ29" s="395"/>
      <c r="DK29" s="395"/>
      <c r="DL29" s="395"/>
      <c r="DM29" s="395"/>
      <c r="DN29" s="395"/>
      <c r="DO29" s="395"/>
      <c r="DP29" s="395"/>
      <c r="DQ29" s="395"/>
      <c r="DR29" s="395"/>
      <c r="DS29" s="395"/>
      <c r="DT29" s="395"/>
      <c r="DU29" s="395"/>
      <c r="DV29" s="395"/>
      <c r="DW29" s="395"/>
      <c r="DX29" s="395"/>
      <c r="DY29" s="395"/>
      <c r="DZ29" s="395"/>
      <c r="EA29" s="395"/>
      <c r="EB29" s="395"/>
      <c r="EC29" s="395"/>
      <c r="ED29" s="395"/>
      <c r="EE29" s="395"/>
      <c r="EF29" s="395"/>
      <c r="EG29" s="395"/>
      <c r="EH29" s="395"/>
      <c r="EI29" s="395"/>
      <c r="EJ29" s="395"/>
      <c r="EK29" s="395"/>
      <c r="EL29" s="395"/>
      <c r="EM29" s="395"/>
      <c r="EN29" s="395"/>
      <c r="EO29" s="395"/>
      <c r="EP29" s="395"/>
      <c r="EQ29" s="395"/>
      <c r="ER29" s="395"/>
      <c r="ES29" s="395"/>
      <c r="ET29" s="395"/>
      <c r="EU29" s="395"/>
      <c r="EV29" s="395"/>
      <c r="EW29" s="395"/>
      <c r="EX29" s="395"/>
      <c r="EY29" s="395"/>
      <c r="EZ29" s="395"/>
      <c r="FA29" s="395"/>
      <c r="FB29" s="395"/>
      <c r="FC29" s="395"/>
      <c r="FD29" s="395"/>
      <c r="FE29" s="395"/>
      <c r="FF29" s="395"/>
      <c r="FG29" s="395"/>
      <c r="FH29" s="395"/>
      <c r="FI29" s="395"/>
      <c r="FJ29" s="395"/>
      <c r="FK29" s="395"/>
      <c r="FL29" s="395"/>
      <c r="FM29" s="395"/>
      <c r="FN29" s="395"/>
      <c r="FO29" s="395"/>
      <c r="FP29" s="395"/>
      <c r="FQ29" s="395"/>
      <c r="FR29" s="395"/>
      <c r="FS29" s="395"/>
      <c r="FT29" s="395"/>
      <c r="FU29" s="395"/>
      <c r="FV29" s="395"/>
      <c r="FW29" s="395"/>
      <c r="FX29" s="395"/>
      <c r="FY29" s="395"/>
      <c r="FZ29" s="395"/>
      <c r="GA29" s="395"/>
      <c r="GB29" s="395"/>
      <c r="GC29" s="395"/>
      <c r="GD29" s="395"/>
      <c r="GE29" s="395"/>
      <c r="GF29" s="395"/>
      <c r="GG29" s="395"/>
      <c r="GH29" s="395"/>
      <c r="GI29" s="395"/>
      <c r="GJ29" s="395"/>
      <c r="GK29" s="395"/>
      <c r="GL29" s="395"/>
      <c r="GM29" s="395"/>
      <c r="GN29" s="395"/>
      <c r="GO29" s="395"/>
      <c r="GP29" s="395"/>
      <c r="GQ29" s="395"/>
      <c r="GR29" s="395"/>
      <c r="GS29" s="395"/>
      <c r="GT29" s="395"/>
      <c r="GU29" s="395"/>
      <c r="GV29" s="395"/>
      <c r="GW29" s="395"/>
      <c r="GX29" s="395"/>
      <c r="GY29" s="395"/>
      <c r="GZ29" s="395"/>
      <c r="HA29" s="395"/>
      <c r="HB29" s="395"/>
      <c r="HC29" s="395"/>
      <c r="HD29" s="395"/>
      <c r="HE29" s="395"/>
      <c r="HF29" s="395"/>
      <c r="HG29" s="395"/>
      <c r="HH29" s="395"/>
      <c r="HI29" s="395"/>
      <c r="HJ29" s="395"/>
      <c r="HK29" s="395"/>
      <c r="HL29" s="395"/>
      <c r="HM29" s="395"/>
      <c r="HN29" s="395"/>
      <c r="HO29" s="395"/>
      <c r="HP29" s="395"/>
      <c r="HQ29" s="395"/>
      <c r="HR29" s="395"/>
    </row>
    <row r="30" spans="1:226" s="1573" customFormat="1" ht="34.200000000000003" customHeight="1" x14ac:dyDescent="0.25">
      <c r="A30" s="1758" t="s">
        <v>1038</v>
      </c>
      <c r="B30" s="3357"/>
      <c r="C30" s="3395"/>
      <c r="D30" s="3395"/>
      <c r="E30" s="3395"/>
      <c r="F30" s="3395"/>
      <c r="G30" s="3344"/>
      <c r="H30" s="1491" t="s">
        <v>272</v>
      </c>
      <c r="I30" s="1491" t="s">
        <v>273</v>
      </c>
      <c r="J30" s="3395"/>
      <c r="K30" s="3395"/>
      <c r="L30" s="3344"/>
      <c r="M30" s="1491" t="s">
        <v>272</v>
      </c>
      <c r="N30" s="1491" t="s">
        <v>273</v>
      </c>
      <c r="O30" s="3395"/>
      <c r="P30" s="3395"/>
      <c r="Q30" s="3344"/>
      <c r="R30" s="3345"/>
      <c r="S30" s="3395"/>
      <c r="T30" s="3345"/>
      <c r="U30" s="3345"/>
      <c r="V30" s="3392"/>
      <c r="W30" s="395"/>
      <c r="X30" s="395"/>
      <c r="Y30" s="395"/>
      <c r="Z30" s="2140"/>
      <c r="AA30" s="1760"/>
      <c r="AB30" s="1760"/>
      <c r="AC30" s="1760"/>
      <c r="AD30" s="1760"/>
      <c r="AE30" s="1760"/>
      <c r="AF30" s="1760"/>
      <c r="AG30" s="1760"/>
      <c r="AH30" s="1760"/>
      <c r="AI30" s="1760"/>
      <c r="AJ30" s="1760"/>
      <c r="AK30" s="1760"/>
      <c r="AL30" s="1760"/>
      <c r="AM30" s="1760"/>
      <c r="AN30" s="1760"/>
      <c r="AO30" s="1760"/>
      <c r="AP30" s="1760"/>
      <c r="AQ30" s="1760"/>
      <c r="AR30" s="1760"/>
      <c r="AS30" s="1760"/>
      <c r="AT30" s="1760"/>
      <c r="AU30" s="1760"/>
      <c r="AV30" s="1760"/>
      <c r="AW30" s="1760"/>
      <c r="AX30" s="1760"/>
      <c r="AY30" s="1760"/>
      <c r="AZ30" s="1760"/>
      <c r="BA30" s="1760"/>
      <c r="BB30" s="1760"/>
      <c r="BC30" s="1760"/>
      <c r="BD30" s="1760"/>
      <c r="BE30" s="1760"/>
      <c r="BF30" s="1760"/>
      <c r="BG30" s="1760"/>
      <c r="BH30" s="1760"/>
      <c r="BI30" s="1760"/>
      <c r="BJ30" s="1760"/>
      <c r="BK30" s="1760"/>
      <c r="BL30" s="1760"/>
      <c r="BM30" s="1760"/>
      <c r="BN30" s="1760"/>
      <c r="BO30" s="1760"/>
      <c r="BP30" s="1760"/>
      <c r="BQ30" s="1760"/>
      <c r="BR30" s="1760"/>
      <c r="BS30" s="1760"/>
      <c r="BT30" s="1760"/>
      <c r="BU30" s="1760"/>
      <c r="BV30" s="1760"/>
      <c r="BW30" s="1760"/>
      <c r="BX30" s="1760"/>
      <c r="BY30" s="1760"/>
      <c r="BZ30" s="1760"/>
      <c r="CA30" s="1760"/>
      <c r="CB30" s="1760"/>
      <c r="CC30" s="1760"/>
      <c r="CD30" s="1760"/>
      <c r="CE30" s="1760"/>
      <c r="CF30" s="1760"/>
      <c r="CG30" s="1760"/>
      <c r="CH30" s="1760"/>
      <c r="CI30" s="1760"/>
      <c r="CJ30" s="1760"/>
      <c r="CK30" s="1760"/>
      <c r="CL30" s="1760"/>
      <c r="CM30" s="1760"/>
      <c r="CN30" s="1760"/>
      <c r="CO30" s="1760"/>
      <c r="CP30" s="1760"/>
      <c r="CQ30" s="1760"/>
      <c r="CR30" s="1760"/>
      <c r="CS30" s="1760"/>
      <c r="CT30" s="1760"/>
      <c r="CU30" s="1760"/>
      <c r="CV30" s="1760"/>
      <c r="CW30" s="1760"/>
      <c r="CX30" s="1760"/>
      <c r="CY30" s="1760"/>
      <c r="CZ30" s="1760"/>
      <c r="DA30" s="1760"/>
      <c r="DB30" s="1760"/>
      <c r="DC30" s="1760"/>
      <c r="DD30" s="1760"/>
      <c r="DE30" s="1760"/>
      <c r="DF30" s="1760"/>
      <c r="DG30" s="1760"/>
      <c r="DH30" s="1760"/>
      <c r="DI30" s="1760"/>
      <c r="DJ30" s="1760"/>
      <c r="DK30" s="1760"/>
      <c r="DL30" s="1760"/>
      <c r="DM30" s="1760"/>
      <c r="DN30" s="1760"/>
      <c r="DO30" s="1760"/>
      <c r="DP30" s="1760"/>
      <c r="DQ30" s="1760"/>
      <c r="DR30" s="1760"/>
      <c r="DS30" s="1760"/>
      <c r="DT30" s="1760"/>
      <c r="DU30" s="1760"/>
      <c r="DV30" s="1760"/>
      <c r="DW30" s="1760"/>
      <c r="DX30" s="1760"/>
      <c r="DY30" s="1760"/>
      <c r="DZ30" s="1760"/>
      <c r="EA30" s="1760"/>
      <c r="EB30" s="1760"/>
      <c r="EC30" s="1760"/>
      <c r="ED30" s="1760"/>
      <c r="EE30" s="1760"/>
      <c r="EF30" s="1760"/>
      <c r="EG30" s="1760"/>
      <c r="EH30" s="1760"/>
      <c r="EI30" s="1760"/>
      <c r="EJ30" s="1760"/>
      <c r="EK30" s="1760"/>
      <c r="EL30" s="1760"/>
      <c r="EM30" s="1760"/>
      <c r="EN30" s="1760"/>
      <c r="EO30" s="1760"/>
      <c r="EP30" s="1760"/>
      <c r="EQ30" s="1760"/>
      <c r="ER30" s="1760"/>
      <c r="ES30" s="1760"/>
      <c r="ET30" s="1760"/>
      <c r="EU30" s="1760"/>
      <c r="EV30" s="1760"/>
      <c r="EW30" s="1760"/>
      <c r="EX30" s="1760"/>
      <c r="EY30" s="1760"/>
      <c r="EZ30" s="1760"/>
      <c r="FA30" s="1760"/>
      <c r="FB30" s="1760"/>
      <c r="FC30" s="1760"/>
      <c r="FD30" s="1760"/>
      <c r="FE30" s="1760"/>
      <c r="FF30" s="1760"/>
      <c r="FG30" s="1760"/>
      <c r="FH30" s="1760"/>
      <c r="FI30" s="1760"/>
      <c r="FJ30" s="1760"/>
      <c r="FK30" s="1760"/>
      <c r="FL30" s="1760"/>
      <c r="FM30" s="1760"/>
      <c r="FN30" s="1760"/>
      <c r="FO30" s="1760"/>
      <c r="FP30" s="1760"/>
      <c r="FQ30" s="1760"/>
      <c r="FR30" s="1760"/>
      <c r="FS30" s="1760"/>
      <c r="FT30" s="1760"/>
      <c r="FU30" s="1760"/>
      <c r="FV30" s="1760"/>
      <c r="FW30" s="1760"/>
      <c r="FX30" s="1760"/>
      <c r="FY30" s="1760"/>
      <c r="FZ30" s="1760"/>
      <c r="GA30" s="1760"/>
      <c r="GB30" s="1760"/>
      <c r="GC30" s="1760"/>
      <c r="GD30" s="1760"/>
      <c r="GE30" s="1760"/>
      <c r="GF30" s="1760"/>
      <c r="GG30" s="1760"/>
      <c r="GH30" s="1760"/>
      <c r="GI30" s="1760"/>
      <c r="GJ30" s="1760"/>
      <c r="GK30" s="1760"/>
      <c r="GL30" s="1760"/>
      <c r="GM30" s="1760"/>
      <c r="GN30" s="1760"/>
      <c r="GO30" s="1760"/>
      <c r="GP30" s="1760"/>
      <c r="GQ30" s="1760"/>
      <c r="GR30" s="1760"/>
      <c r="GS30" s="1760"/>
      <c r="GT30" s="1760"/>
      <c r="GU30" s="1760"/>
      <c r="GV30" s="1760"/>
      <c r="GW30" s="1760"/>
      <c r="GX30" s="1760"/>
      <c r="GY30" s="1760"/>
      <c r="GZ30" s="1760"/>
      <c r="HA30" s="1760"/>
      <c r="HB30" s="1760"/>
      <c r="HC30" s="1760"/>
      <c r="HD30" s="1760"/>
      <c r="HE30" s="1760"/>
      <c r="HF30" s="1760"/>
      <c r="HG30" s="1760"/>
      <c r="HH30" s="1760"/>
      <c r="HI30" s="1760"/>
      <c r="HJ30" s="1760"/>
      <c r="HK30" s="1760"/>
      <c r="HL30" s="1760"/>
      <c r="HM30" s="1760"/>
    </row>
    <row r="31" spans="1:226" s="1573" customFormat="1" ht="18" hidden="1" customHeight="1" x14ac:dyDescent="0.25">
      <c r="A31" s="1758" t="s">
        <v>1038</v>
      </c>
      <c r="B31" s="1364" t="s">
        <v>1087</v>
      </c>
      <c r="C31" s="1364" t="s">
        <v>1238</v>
      </c>
      <c r="D31" s="1364" t="s">
        <v>1132</v>
      </c>
      <c r="E31" s="1364" t="s">
        <v>1239</v>
      </c>
      <c r="F31" s="1364" t="s">
        <v>1240</v>
      </c>
      <c r="G31" s="1364" t="s">
        <v>1231</v>
      </c>
      <c r="H31" s="1497" t="s">
        <v>1241</v>
      </c>
      <c r="I31" s="1497" t="s">
        <v>1242</v>
      </c>
      <c r="J31" s="1364" t="s">
        <v>1243</v>
      </c>
      <c r="K31" s="1364" t="s">
        <v>1244</v>
      </c>
      <c r="L31" s="1364" t="s">
        <v>1232</v>
      </c>
      <c r="M31" s="1497" t="s">
        <v>1245</v>
      </c>
      <c r="N31" s="1497" t="s">
        <v>1246</v>
      </c>
      <c r="O31" s="1364" t="s">
        <v>1247</v>
      </c>
      <c r="P31" s="1364" t="s">
        <v>1248</v>
      </c>
      <c r="Q31" s="1364" t="s">
        <v>1233</v>
      </c>
      <c r="R31" s="1364" t="s">
        <v>1249</v>
      </c>
      <c r="S31" s="1364" t="s">
        <v>1250</v>
      </c>
      <c r="T31" s="1364" t="s">
        <v>1251</v>
      </c>
      <c r="U31" s="1364" t="s">
        <v>1252</v>
      </c>
      <c r="V31" s="1498"/>
      <c r="W31" s="395"/>
      <c r="X31" s="395"/>
      <c r="Y31" s="395"/>
      <c r="Z31" s="2140"/>
      <c r="AA31" s="1760"/>
      <c r="AB31" s="1760"/>
      <c r="AC31" s="1760"/>
      <c r="AD31" s="1760"/>
      <c r="AE31" s="1760"/>
      <c r="AF31" s="1760"/>
      <c r="AG31" s="1760"/>
      <c r="AH31" s="1760"/>
      <c r="AI31" s="1760"/>
      <c r="AJ31" s="1760"/>
      <c r="AK31" s="1760"/>
      <c r="AL31" s="1760"/>
      <c r="AM31" s="1760"/>
      <c r="AN31" s="1760"/>
      <c r="AO31" s="1760"/>
      <c r="AP31" s="1760"/>
      <c r="AQ31" s="1760"/>
      <c r="AR31" s="1760"/>
      <c r="AS31" s="1760"/>
      <c r="AT31" s="1760"/>
      <c r="AU31" s="1760"/>
      <c r="AV31" s="1760"/>
      <c r="AW31" s="1760"/>
      <c r="AX31" s="1760"/>
      <c r="AY31" s="1760"/>
      <c r="AZ31" s="1760"/>
      <c r="BA31" s="1760"/>
      <c r="BB31" s="1760"/>
      <c r="BC31" s="1760"/>
      <c r="BD31" s="1760"/>
      <c r="BE31" s="1760"/>
      <c r="BF31" s="1760"/>
      <c r="BG31" s="1760"/>
      <c r="BH31" s="1760"/>
      <c r="BI31" s="1760"/>
      <c r="BJ31" s="1760"/>
      <c r="BK31" s="1760"/>
      <c r="BL31" s="1760"/>
      <c r="BM31" s="1760"/>
      <c r="BN31" s="1760"/>
      <c r="BO31" s="1760"/>
      <c r="BP31" s="1760"/>
      <c r="BQ31" s="1760"/>
      <c r="BR31" s="1760"/>
      <c r="BS31" s="1760"/>
      <c r="BT31" s="1760"/>
      <c r="BU31" s="1760"/>
      <c r="BV31" s="1760"/>
      <c r="BW31" s="1760"/>
      <c r="BX31" s="1760"/>
      <c r="BY31" s="1760"/>
      <c r="BZ31" s="1760"/>
      <c r="CA31" s="1760"/>
      <c r="CB31" s="1760"/>
      <c r="CC31" s="1760"/>
      <c r="CD31" s="1760"/>
      <c r="CE31" s="1760"/>
      <c r="CF31" s="1760"/>
      <c r="CG31" s="1760"/>
      <c r="CH31" s="1760"/>
      <c r="CI31" s="1760"/>
      <c r="CJ31" s="1760"/>
      <c r="CK31" s="1760"/>
      <c r="CL31" s="1760"/>
      <c r="CM31" s="1760"/>
      <c r="CN31" s="1760"/>
      <c r="CO31" s="1760"/>
      <c r="CP31" s="1760"/>
      <c r="CQ31" s="1760"/>
      <c r="CR31" s="1760"/>
      <c r="CS31" s="1760"/>
      <c r="CT31" s="1760"/>
      <c r="CU31" s="1760"/>
      <c r="CV31" s="1760"/>
      <c r="CW31" s="1760"/>
      <c r="CX31" s="1760"/>
      <c r="CY31" s="1760"/>
      <c r="CZ31" s="1760"/>
      <c r="DA31" s="1760"/>
      <c r="DB31" s="1760"/>
      <c r="DC31" s="1760"/>
      <c r="DD31" s="1760"/>
      <c r="DE31" s="1760"/>
      <c r="DF31" s="1760"/>
      <c r="DG31" s="1760"/>
      <c r="DH31" s="1760"/>
      <c r="DI31" s="1760"/>
      <c r="DJ31" s="1760"/>
      <c r="DK31" s="1760"/>
      <c r="DL31" s="1760"/>
      <c r="DM31" s="1760"/>
      <c r="DN31" s="1760"/>
      <c r="DO31" s="1760"/>
      <c r="DP31" s="1760"/>
      <c r="DQ31" s="1760"/>
      <c r="DR31" s="1760"/>
      <c r="DS31" s="1760"/>
      <c r="DT31" s="1760"/>
      <c r="DU31" s="1760"/>
      <c r="DV31" s="1760"/>
      <c r="DW31" s="1760"/>
      <c r="DX31" s="1760"/>
      <c r="DY31" s="1760"/>
      <c r="DZ31" s="1760"/>
      <c r="EA31" s="1760"/>
      <c r="EB31" s="1760"/>
      <c r="EC31" s="1760"/>
      <c r="ED31" s="1760"/>
      <c r="EE31" s="1760"/>
      <c r="EF31" s="1760"/>
      <c r="EG31" s="1760"/>
      <c r="EH31" s="1760"/>
      <c r="EI31" s="1760"/>
      <c r="EJ31" s="1760"/>
      <c r="EK31" s="1760"/>
      <c r="EL31" s="1760"/>
      <c r="EM31" s="1760"/>
      <c r="EN31" s="1760"/>
      <c r="EO31" s="1760"/>
      <c r="EP31" s="1760"/>
      <c r="EQ31" s="1760"/>
      <c r="ER31" s="1760"/>
      <c r="ES31" s="1760"/>
      <c r="ET31" s="1760"/>
      <c r="EU31" s="1760"/>
      <c r="EV31" s="1760"/>
      <c r="EW31" s="1760"/>
      <c r="EX31" s="1760"/>
      <c r="EY31" s="1760"/>
      <c r="EZ31" s="1760"/>
      <c r="FA31" s="1760"/>
      <c r="FB31" s="1760"/>
      <c r="FC31" s="1760"/>
      <c r="FD31" s="1760"/>
      <c r="FE31" s="1760"/>
      <c r="FF31" s="1760"/>
      <c r="FG31" s="1760"/>
      <c r="FH31" s="1760"/>
      <c r="FI31" s="1760"/>
      <c r="FJ31" s="1760"/>
      <c r="FK31" s="1760"/>
      <c r="FL31" s="1760"/>
      <c r="FM31" s="1760"/>
      <c r="FN31" s="1760"/>
      <c r="FO31" s="1760"/>
      <c r="FP31" s="1760"/>
      <c r="FQ31" s="1760"/>
      <c r="FR31" s="1760"/>
      <c r="FS31" s="1760"/>
      <c r="FT31" s="1760"/>
      <c r="FU31" s="1760"/>
      <c r="FV31" s="1760"/>
      <c r="FW31" s="1760"/>
      <c r="FX31" s="1760"/>
      <c r="FY31" s="1760"/>
      <c r="FZ31" s="1760"/>
      <c r="GA31" s="1760"/>
      <c r="GB31" s="1760"/>
      <c r="GC31" s="1760"/>
      <c r="GD31" s="1760"/>
      <c r="GE31" s="1760"/>
      <c r="GF31" s="1760"/>
      <c r="GG31" s="1760"/>
      <c r="GH31" s="1760"/>
      <c r="GI31" s="1760"/>
      <c r="GJ31" s="1760"/>
      <c r="GK31" s="1760"/>
      <c r="GL31" s="1760"/>
      <c r="GM31" s="1760"/>
      <c r="GN31" s="1760"/>
      <c r="GO31" s="1760"/>
      <c r="GP31" s="1760"/>
      <c r="GQ31" s="1760"/>
      <c r="GR31" s="1760"/>
      <c r="GS31" s="1760"/>
      <c r="GT31" s="1760"/>
      <c r="GU31" s="1760"/>
      <c r="GV31" s="1760"/>
      <c r="GW31" s="1760"/>
      <c r="GX31" s="1760"/>
      <c r="GY31" s="1760"/>
      <c r="GZ31" s="1760"/>
      <c r="HA31" s="1760"/>
      <c r="HB31" s="1760"/>
      <c r="HC31" s="1760"/>
      <c r="HD31" s="1760"/>
      <c r="HE31" s="1760"/>
      <c r="HF31" s="1760"/>
      <c r="HG31" s="1760"/>
      <c r="HH31" s="1760"/>
      <c r="HI31" s="1760"/>
      <c r="HJ31" s="1760"/>
      <c r="HK31" s="1760"/>
      <c r="HL31" s="1760"/>
      <c r="HM31" s="1760"/>
    </row>
    <row r="32" spans="1:226" s="1573" customFormat="1" ht="18" hidden="1" customHeight="1" x14ac:dyDescent="0.25">
      <c r="A32" s="1758" t="s">
        <v>802</v>
      </c>
      <c r="B32" s="1632">
        <f>GI_Project_Name</f>
        <v>0</v>
      </c>
      <c r="C32" s="1510"/>
      <c r="D32" s="1517"/>
      <c r="E32" s="1517"/>
      <c r="F32" s="1277">
        <f>IFERROR(INDEX(MD_BUS_SumTable,MATCH($B32,MD_BUS_SumIndex,0),MATCH($K$21,MD_BUS_SumHdr,0)),"")</f>
        <v>0</v>
      </c>
      <c r="G32" s="1635"/>
      <c r="H32" s="369" t="str">
        <f>IFERROR($D32*((VLOOKUP($C32,Homes_DwellingEqpLookup,2,FALSE)+VLOOKUP($C32,Homes_DwellingEqpLookup,6,FALSE)*$F32)*VLOOKUP($C32,Homes_DwellingEqpLookup,12,FALSE)),"")</f>
        <v/>
      </c>
      <c r="I32" s="369" t="str">
        <f>IFERROR(IF($E32="No",$H32,$D32*(VLOOKUP($C32,Homes_DwellingEqpLookup,3,FALSE)+VLOOKUP($C32,Homes_DwellingEqpLookup,6,FALSE)*$F32)*VLOOKUP($C32,Homes_DwellingEqpLookup,12,FALSE)),"")</f>
        <v/>
      </c>
      <c r="J32" s="1279" t="str">
        <f>IFERROR(VLOOKUP($C32,Homes_DwellingEqpLookup,4,0),"")</f>
        <v/>
      </c>
      <c r="K32" s="1279" t="str">
        <f>IFERROR(VLOOKUP($C32,Homes_DwellingEqpLookup,5,0),"")</f>
        <v/>
      </c>
      <c r="L32" s="1756"/>
      <c r="M32" s="372" t="str">
        <f>IFERROR($D32*((VLOOKUP($C32,Homes_DwellingEqpLookup,7,FALSE)+VLOOKUP($C32,Homes_DwellingEqpLookup,11,FALSE)*$F32)*VLOOKUP($C32,Homes_DwellingEqpLookup,12,FALSE)),"")</f>
        <v/>
      </c>
      <c r="N32" s="372" t="str">
        <f>IFERROR(IF($E32="No",$M32,$D32*(VLOOKUP($C32,Homes_DwellingEqpLookup,8,FALSE)+VLOOKUP($C32,Homes_DwellingEqpLookup,11,FALSE)*$F32)*VLOOKUP($C32,Homes_DwellingEqpLookup,12,FALSE)),"")</f>
        <v/>
      </c>
      <c r="O32" s="368" t="str">
        <f>IFERROR(VLOOKUP($C32,Homes_DwellingEqpLookup,9,0),"")</f>
        <v/>
      </c>
      <c r="P32" s="368" t="str">
        <f>IFERROR(VLOOKUP($C32,Homes_DwellingEqpLookup,10,0),"")</f>
        <v/>
      </c>
      <c r="Q32" s="1757"/>
      <c r="R32" s="369" t="str">
        <f>IFERROR(VLOOKUP($C32,Homes_DwellingEqpLookup,13,0),"")</f>
        <v/>
      </c>
      <c r="S32" s="369" t="str">
        <f>IFERROR(IF($E32="No",$R32,VLOOKUP($C32,Homes_DwellingEqpLookup,14,0)),"")</f>
        <v/>
      </c>
      <c r="T32" s="1759" t="str">
        <f>IFERROR($R32*$D32,"")</f>
        <v/>
      </c>
      <c r="U32" s="1759" t="str">
        <f>IFERROR($S32*$D32,"")</f>
        <v/>
      </c>
      <c r="V32" s="1498"/>
      <c r="W32" s="1760"/>
      <c r="X32" s="1760"/>
      <c r="Y32" s="1760"/>
      <c r="Z32" s="2142"/>
      <c r="AA32" s="1760"/>
      <c r="AB32" s="1760"/>
      <c r="AC32" s="1760"/>
      <c r="AD32" s="1760"/>
      <c r="AE32" s="1760"/>
      <c r="AF32" s="1760"/>
      <c r="AG32" s="1760"/>
      <c r="AH32" s="1760"/>
      <c r="AI32" s="1760"/>
      <c r="AJ32" s="1760"/>
      <c r="AK32" s="1760"/>
      <c r="AL32" s="1760"/>
      <c r="AM32" s="1760"/>
      <c r="AN32" s="1760"/>
      <c r="AO32" s="1760"/>
      <c r="AP32" s="1760"/>
      <c r="AQ32" s="1760"/>
      <c r="AR32" s="1760"/>
      <c r="AS32" s="1760"/>
      <c r="AT32" s="1760"/>
      <c r="AU32" s="1760"/>
      <c r="AV32" s="1760"/>
      <c r="AW32" s="1760"/>
      <c r="AX32" s="1760"/>
      <c r="AY32" s="1760"/>
      <c r="AZ32" s="1760"/>
      <c r="BA32" s="1760"/>
      <c r="BB32" s="1760"/>
      <c r="BC32" s="1760"/>
      <c r="BD32" s="1760"/>
      <c r="BE32" s="1760"/>
      <c r="BF32" s="1760"/>
      <c r="BG32" s="1760"/>
      <c r="BH32" s="1760"/>
      <c r="BI32" s="1760"/>
      <c r="BJ32" s="1760"/>
      <c r="BK32" s="1760"/>
      <c r="BL32" s="1760"/>
      <c r="BM32" s="1760"/>
      <c r="BN32" s="1760"/>
      <c r="BO32" s="1760"/>
      <c r="BP32" s="1760"/>
      <c r="BQ32" s="1760"/>
      <c r="BR32" s="1760"/>
      <c r="BS32" s="1760"/>
      <c r="BT32" s="1760"/>
      <c r="BU32" s="1760"/>
      <c r="BV32" s="1760"/>
      <c r="BW32" s="1760"/>
      <c r="BX32" s="1760"/>
      <c r="BY32" s="1760"/>
      <c r="BZ32" s="1760"/>
      <c r="CA32" s="1760"/>
      <c r="CB32" s="1760"/>
      <c r="CC32" s="1760"/>
      <c r="CD32" s="1760"/>
      <c r="CE32" s="1760"/>
      <c r="CF32" s="1760"/>
      <c r="CG32" s="1760"/>
      <c r="CH32" s="1760"/>
      <c r="CI32" s="1760"/>
      <c r="CJ32" s="1760"/>
      <c r="CK32" s="1760"/>
      <c r="CL32" s="1760"/>
      <c r="CM32" s="1760"/>
      <c r="CN32" s="1760"/>
      <c r="CO32" s="1760"/>
      <c r="CP32" s="1760"/>
      <c r="CQ32" s="1760"/>
      <c r="CR32" s="1760"/>
      <c r="CS32" s="1760"/>
      <c r="CT32" s="1760"/>
      <c r="CU32" s="1760"/>
      <c r="CV32" s="1760"/>
      <c r="CW32" s="1760"/>
      <c r="CX32" s="1760"/>
      <c r="CY32" s="1760"/>
      <c r="CZ32" s="1760"/>
      <c r="DA32" s="1760"/>
      <c r="DB32" s="1760"/>
      <c r="DC32" s="1760"/>
      <c r="DD32" s="1760"/>
      <c r="DE32" s="1760"/>
      <c r="DF32" s="1760"/>
      <c r="DG32" s="1760"/>
      <c r="DH32" s="1760"/>
      <c r="DI32" s="1760"/>
      <c r="DJ32" s="1760"/>
      <c r="DK32" s="1760"/>
      <c r="DL32" s="1760"/>
      <c r="DM32" s="1760"/>
      <c r="DN32" s="1760"/>
      <c r="DO32" s="1760"/>
      <c r="DP32" s="1760"/>
      <c r="DQ32" s="1760"/>
      <c r="DR32" s="1760"/>
      <c r="DS32" s="1760"/>
      <c r="DT32" s="1760"/>
      <c r="DU32" s="1760"/>
      <c r="DV32" s="1760"/>
      <c r="DW32" s="1760"/>
      <c r="DX32" s="1760"/>
      <c r="DY32" s="1760"/>
      <c r="DZ32" s="1760"/>
      <c r="EA32" s="1760"/>
      <c r="EB32" s="1760"/>
      <c r="EC32" s="1760"/>
      <c r="ED32" s="1760"/>
      <c r="EE32" s="1760"/>
      <c r="EF32" s="1760"/>
      <c r="EG32" s="1760"/>
      <c r="EH32" s="1760"/>
      <c r="EI32" s="1760"/>
      <c r="EJ32" s="1760"/>
      <c r="EK32" s="1760"/>
      <c r="EL32" s="1760"/>
      <c r="EM32" s="1760"/>
      <c r="EN32" s="1760"/>
      <c r="EO32" s="1760"/>
      <c r="EP32" s="1760"/>
      <c r="EQ32" s="1760"/>
      <c r="ER32" s="1760"/>
      <c r="ES32" s="1760"/>
      <c r="ET32" s="1760"/>
      <c r="EU32" s="1760"/>
      <c r="EV32" s="1760"/>
      <c r="EW32" s="1760"/>
      <c r="EX32" s="1760"/>
      <c r="EY32" s="1760"/>
      <c r="EZ32" s="1760"/>
      <c r="FA32" s="1760"/>
      <c r="FB32" s="1760"/>
      <c r="FC32" s="1760"/>
      <c r="FD32" s="1760"/>
      <c r="FE32" s="1760"/>
      <c r="FF32" s="1760"/>
      <c r="FG32" s="1760"/>
      <c r="FH32" s="1760"/>
      <c r="FI32" s="1760"/>
      <c r="FJ32" s="1760"/>
      <c r="FK32" s="1760"/>
      <c r="FL32" s="1760"/>
      <c r="FM32" s="1760"/>
      <c r="FN32" s="1760"/>
      <c r="FO32" s="1760"/>
      <c r="FP32" s="1760"/>
      <c r="FQ32" s="1760"/>
      <c r="FR32" s="1760"/>
      <c r="FS32" s="1760"/>
      <c r="FT32" s="1760"/>
      <c r="FU32" s="1760"/>
      <c r="FV32" s="1760"/>
      <c r="FW32" s="1760"/>
      <c r="FX32" s="1760"/>
      <c r="FY32" s="1760"/>
      <c r="FZ32" s="1760"/>
      <c r="GA32" s="1760"/>
      <c r="GB32" s="1760"/>
      <c r="GC32" s="1760"/>
      <c r="GD32" s="1760"/>
      <c r="GE32" s="1760"/>
      <c r="GF32" s="1760"/>
      <c r="GG32" s="1760"/>
      <c r="GH32" s="1760"/>
      <c r="GI32" s="1760"/>
      <c r="GJ32" s="1760"/>
      <c r="GK32" s="1760"/>
      <c r="GL32" s="1760"/>
      <c r="GM32" s="1760"/>
      <c r="GN32" s="1760"/>
      <c r="GO32" s="1760"/>
      <c r="GP32" s="1760"/>
      <c r="GQ32" s="1760"/>
      <c r="GR32" s="1760"/>
      <c r="GS32" s="1760"/>
      <c r="GT32" s="1760"/>
      <c r="GU32" s="1760"/>
      <c r="GV32" s="1760"/>
      <c r="GW32" s="1760"/>
      <c r="GX32" s="1760"/>
      <c r="GY32" s="1760"/>
      <c r="GZ32" s="1760"/>
      <c r="HA32" s="1760"/>
      <c r="HB32" s="1760"/>
      <c r="HC32" s="1760"/>
      <c r="HD32" s="1760"/>
      <c r="HE32" s="1760"/>
      <c r="HF32" s="1760"/>
      <c r="HG32" s="1760"/>
      <c r="HH32" s="1760"/>
      <c r="HI32" s="1760"/>
      <c r="HJ32" s="1760"/>
      <c r="HK32" s="1760"/>
      <c r="HL32" s="1760"/>
      <c r="HM32" s="1760"/>
    </row>
    <row r="33" spans="1:226" s="1573" customFormat="1" ht="18" customHeight="1" x14ac:dyDescent="0.25">
      <c r="A33" s="1758"/>
      <c r="B33" s="1632"/>
      <c r="C33" s="1510"/>
      <c r="D33" s="1517"/>
      <c r="E33" s="1517"/>
      <c r="F33" s="1277">
        <f>IFERROR(INDEX(MD_BUS_SumTable,MATCH($B33,MD_BUS_SumIndex,0),MATCH($K$21,MD_BUS_SumHdr,0)),"")</f>
        <v>0</v>
      </c>
      <c r="G33" s="1635"/>
      <c r="H33" s="369" t="str">
        <f>IFERROR($D33*((VLOOKUP($C33,Homes_DwellingEqpLookup,2,FALSE)+VLOOKUP($C33,Homes_DwellingEqpLookup,6,FALSE)*$F33)*VLOOKUP($C33,Homes_DwellingEqpLookup,12,FALSE)),"")</f>
        <v/>
      </c>
      <c r="I33" s="369" t="str">
        <f>IFERROR(IF($E33="No",$H33,$D33*(VLOOKUP($C33,Homes_DwellingEqpLookup,3,FALSE)+VLOOKUP($C33,Homes_DwellingEqpLookup,6,FALSE)*$F33)*VLOOKUP($C33,Homes_DwellingEqpLookup,12,FALSE)),"")</f>
        <v/>
      </c>
      <c r="J33" s="1279" t="str">
        <f>IFERROR(VLOOKUP($C33,Homes_DwellingEqpLookup,4,0),"")</f>
        <v/>
      </c>
      <c r="K33" s="1279" t="str">
        <f>IFERROR(VLOOKUP($C33,Homes_DwellingEqpLookup,5,0),"")</f>
        <v/>
      </c>
      <c r="L33" s="1756"/>
      <c r="M33" s="372" t="str">
        <f>IFERROR($D33*((VLOOKUP($C33,Homes_DwellingEqpLookup,7,FALSE)+VLOOKUP($C33,Homes_DwellingEqpLookup,11,FALSE)*$F33)*VLOOKUP($C33,Homes_DwellingEqpLookup,12,FALSE)),"")</f>
        <v/>
      </c>
      <c r="N33" s="372" t="str">
        <f>IFERROR(IF($E33="No",$M33,$D33*(VLOOKUP($C33,Homes_DwellingEqpLookup,8,FALSE)+VLOOKUP($C33,Homes_DwellingEqpLookup,11,FALSE)*$F33)*VLOOKUP($C33,Homes_DwellingEqpLookup,12,FALSE)),"")</f>
        <v/>
      </c>
      <c r="O33" s="368" t="str">
        <f>IFERROR(VLOOKUP($C33,Homes_DwellingEqpLookup,9,0),"")</f>
        <v/>
      </c>
      <c r="P33" s="368" t="str">
        <f>IFERROR(VLOOKUP($C33,Homes_DwellingEqpLookup,10,0),"")</f>
        <v/>
      </c>
      <c r="Q33" s="1757"/>
      <c r="R33" s="369" t="str">
        <f>IFERROR(VLOOKUP($C33,Homes_DwellingEqpLookup,13,0),"")</f>
        <v/>
      </c>
      <c r="S33" s="369" t="str">
        <f>IFERROR(IF($E33="No",$R33,VLOOKUP($C33,Homes_DwellingEqpLookup,14,0)),"")</f>
        <v/>
      </c>
      <c r="T33" s="1759" t="str">
        <f>IFERROR($R33*$D33,"")</f>
        <v/>
      </c>
      <c r="U33" s="1759" t="str">
        <f>IFERROR($S33*$D33,"")</f>
        <v/>
      </c>
      <c r="V33" s="1498"/>
      <c r="W33" s="1760"/>
      <c r="X33" s="1760"/>
      <c r="Y33" s="1760"/>
      <c r="Z33" s="2142"/>
      <c r="AA33" s="1760"/>
      <c r="AB33" s="1760"/>
      <c r="AC33" s="1760"/>
      <c r="AD33" s="1760"/>
      <c r="AE33" s="1760"/>
      <c r="AF33" s="1760"/>
      <c r="AG33" s="1760"/>
      <c r="AH33" s="1760"/>
      <c r="AI33" s="1760"/>
      <c r="AJ33" s="1760"/>
      <c r="AK33" s="1760"/>
      <c r="AL33" s="1760"/>
      <c r="AM33" s="1760"/>
      <c r="AN33" s="1760"/>
      <c r="AO33" s="1760"/>
      <c r="AP33" s="1760"/>
      <c r="AQ33" s="1760"/>
      <c r="AR33" s="1760"/>
      <c r="AS33" s="1760"/>
      <c r="AT33" s="1760"/>
      <c r="AU33" s="1760"/>
      <c r="AV33" s="1760"/>
      <c r="AW33" s="1760"/>
      <c r="AX33" s="1760"/>
      <c r="AY33" s="1760"/>
      <c r="AZ33" s="1760"/>
      <c r="BA33" s="1760"/>
      <c r="BB33" s="1760"/>
      <c r="BC33" s="1760"/>
      <c r="BD33" s="1760"/>
      <c r="BE33" s="1760"/>
      <c r="BF33" s="1760"/>
      <c r="BG33" s="1760"/>
      <c r="BH33" s="1760"/>
      <c r="BI33" s="1760"/>
      <c r="BJ33" s="1760"/>
      <c r="BK33" s="1760"/>
      <c r="BL33" s="1760"/>
      <c r="BM33" s="1760"/>
      <c r="BN33" s="1760"/>
      <c r="BO33" s="1760"/>
      <c r="BP33" s="1760"/>
      <c r="BQ33" s="1760"/>
      <c r="BR33" s="1760"/>
      <c r="BS33" s="1760"/>
      <c r="BT33" s="1760"/>
      <c r="BU33" s="1760"/>
      <c r="BV33" s="1760"/>
      <c r="BW33" s="1760"/>
      <c r="BX33" s="1760"/>
      <c r="BY33" s="1760"/>
      <c r="BZ33" s="1760"/>
      <c r="CA33" s="1760"/>
      <c r="CB33" s="1760"/>
      <c r="CC33" s="1760"/>
      <c r="CD33" s="1760"/>
      <c r="CE33" s="1760"/>
      <c r="CF33" s="1760"/>
      <c r="CG33" s="1760"/>
      <c r="CH33" s="1760"/>
      <c r="CI33" s="1760"/>
      <c r="CJ33" s="1760"/>
      <c r="CK33" s="1760"/>
      <c r="CL33" s="1760"/>
      <c r="CM33" s="1760"/>
      <c r="CN33" s="1760"/>
      <c r="CO33" s="1760"/>
      <c r="CP33" s="1760"/>
      <c r="CQ33" s="1760"/>
      <c r="CR33" s="1760"/>
      <c r="CS33" s="1760"/>
      <c r="CT33" s="1760"/>
      <c r="CU33" s="1760"/>
      <c r="CV33" s="1760"/>
      <c r="CW33" s="1760"/>
      <c r="CX33" s="1760"/>
      <c r="CY33" s="1760"/>
      <c r="CZ33" s="1760"/>
      <c r="DA33" s="1760"/>
      <c r="DB33" s="1760"/>
      <c r="DC33" s="1760"/>
      <c r="DD33" s="1760"/>
      <c r="DE33" s="1760"/>
      <c r="DF33" s="1760"/>
      <c r="DG33" s="1760"/>
      <c r="DH33" s="1760"/>
      <c r="DI33" s="1760"/>
      <c r="DJ33" s="1760"/>
      <c r="DK33" s="1760"/>
      <c r="DL33" s="1760"/>
      <c r="DM33" s="1760"/>
      <c r="DN33" s="1760"/>
      <c r="DO33" s="1760"/>
      <c r="DP33" s="1760"/>
      <c r="DQ33" s="1760"/>
      <c r="DR33" s="1760"/>
      <c r="DS33" s="1760"/>
      <c r="DT33" s="1760"/>
      <c r="DU33" s="1760"/>
      <c r="DV33" s="1760"/>
      <c r="DW33" s="1760"/>
      <c r="DX33" s="1760"/>
      <c r="DY33" s="1760"/>
      <c r="DZ33" s="1760"/>
      <c r="EA33" s="1760"/>
      <c r="EB33" s="1760"/>
      <c r="EC33" s="1760"/>
      <c r="ED33" s="1760"/>
      <c r="EE33" s="1760"/>
      <c r="EF33" s="1760"/>
      <c r="EG33" s="1760"/>
      <c r="EH33" s="1760"/>
      <c r="EI33" s="1760"/>
      <c r="EJ33" s="1760"/>
      <c r="EK33" s="1760"/>
      <c r="EL33" s="1760"/>
      <c r="EM33" s="1760"/>
      <c r="EN33" s="1760"/>
      <c r="EO33" s="1760"/>
      <c r="EP33" s="1760"/>
      <c r="EQ33" s="1760"/>
      <c r="ER33" s="1760"/>
      <c r="ES33" s="1760"/>
      <c r="ET33" s="1760"/>
      <c r="EU33" s="1760"/>
      <c r="EV33" s="1760"/>
      <c r="EW33" s="1760"/>
      <c r="EX33" s="1760"/>
      <c r="EY33" s="1760"/>
      <c r="EZ33" s="1760"/>
      <c r="FA33" s="1760"/>
      <c r="FB33" s="1760"/>
      <c r="FC33" s="1760"/>
      <c r="FD33" s="1760"/>
      <c r="FE33" s="1760"/>
      <c r="FF33" s="1760"/>
      <c r="FG33" s="1760"/>
      <c r="FH33" s="1760"/>
      <c r="FI33" s="1760"/>
      <c r="FJ33" s="1760"/>
      <c r="FK33" s="1760"/>
      <c r="FL33" s="1760"/>
      <c r="FM33" s="1760"/>
      <c r="FN33" s="1760"/>
      <c r="FO33" s="1760"/>
      <c r="FP33" s="1760"/>
      <c r="FQ33" s="1760"/>
      <c r="FR33" s="1760"/>
      <c r="FS33" s="1760"/>
      <c r="FT33" s="1760"/>
      <c r="FU33" s="1760"/>
      <c r="FV33" s="1760"/>
      <c r="FW33" s="1760"/>
      <c r="FX33" s="1760"/>
      <c r="FY33" s="1760"/>
      <c r="FZ33" s="1760"/>
      <c r="GA33" s="1760"/>
      <c r="GB33" s="1760"/>
      <c r="GC33" s="1760"/>
      <c r="GD33" s="1760"/>
      <c r="GE33" s="1760"/>
      <c r="GF33" s="1760"/>
      <c r="GG33" s="1760"/>
      <c r="GH33" s="1760"/>
      <c r="GI33" s="1760"/>
      <c r="GJ33" s="1760"/>
      <c r="GK33" s="1760"/>
      <c r="GL33" s="1760"/>
      <c r="GM33" s="1760"/>
      <c r="GN33" s="1760"/>
      <c r="GO33" s="1760"/>
      <c r="GP33" s="1760"/>
      <c r="GQ33" s="1760"/>
      <c r="GR33" s="1760"/>
      <c r="GS33" s="1760"/>
      <c r="GT33" s="1760"/>
      <c r="GU33" s="1760"/>
      <c r="GV33" s="1760"/>
      <c r="GW33" s="1760"/>
      <c r="GX33" s="1760"/>
      <c r="GY33" s="1760"/>
      <c r="GZ33" s="1760"/>
      <c r="HA33" s="1760"/>
      <c r="HB33" s="1760"/>
      <c r="HC33" s="1760"/>
      <c r="HD33" s="1760"/>
      <c r="HE33" s="1760"/>
      <c r="HF33" s="1760"/>
      <c r="HG33" s="1760"/>
      <c r="HH33" s="1760"/>
      <c r="HI33" s="1760"/>
      <c r="HJ33" s="1760"/>
      <c r="HK33" s="1760"/>
      <c r="HL33" s="1760"/>
      <c r="HM33" s="1760"/>
    </row>
    <row r="34" spans="1:226" s="1573" customFormat="1" ht="18" customHeight="1" x14ac:dyDescent="0.25">
      <c r="A34" s="1758"/>
      <c r="B34" s="1632"/>
      <c r="C34" s="1510"/>
      <c r="D34" s="1517"/>
      <c r="E34" s="1517"/>
      <c r="F34" s="1277">
        <f>IFERROR(INDEX(MD_BUS_SumTable,MATCH($B34,MD_BUS_SumIndex,0),MATCH($K$21,MD_BUS_SumHdr,0)),"")</f>
        <v>0</v>
      </c>
      <c r="G34" s="1635"/>
      <c r="H34" s="372" t="str">
        <f>IFERROR($D34*((VLOOKUP($C34,Homes_DwellingEqpLookup,2,FALSE)+VLOOKUP($C34,Homes_DwellingEqpLookup,6,FALSE)*$F34)*VLOOKUP($C34,Homes_DwellingEqpLookup,12,FALSE)),"")</f>
        <v/>
      </c>
      <c r="I34" s="372" t="str">
        <f>IFERROR(IF($E34="No",$H34,$D34*(VLOOKUP($C34,Homes_DwellingEqpLookup,3,FALSE)+VLOOKUP($C34,Homes_DwellingEqpLookup,6,FALSE)*$F34)*VLOOKUP($C34,Homes_DwellingEqpLookup,12,FALSE)),"")</f>
        <v/>
      </c>
      <c r="J34" s="1279" t="str">
        <f>IFERROR(VLOOKUP($C34,Homes_DwellingEqpLookup,4,0),"")</f>
        <v/>
      </c>
      <c r="K34" s="1279" t="str">
        <f>IFERROR(VLOOKUP($C34,Homes_DwellingEqpLookup,5,0),"")</f>
        <v/>
      </c>
      <c r="L34" s="1756"/>
      <c r="M34" s="372" t="str">
        <f>IFERROR($D34*((VLOOKUP($C34,Homes_DwellingEqpLookup,7,FALSE)+VLOOKUP($C34,Homes_DwellingEqpLookup,11,FALSE)*$F34)*VLOOKUP($C34,Homes_DwellingEqpLookup,12,FALSE)),"")</f>
        <v/>
      </c>
      <c r="N34" s="372" t="str">
        <f>IFERROR(IF($E34="No",$M34,$D34*(VLOOKUP($C34,Homes_DwellingEqpLookup,8,FALSE)+VLOOKUP($C34,Homes_DwellingEqpLookup,11,FALSE)*$F34)*VLOOKUP($C34,Homes_DwellingEqpLookup,12,FALSE)),"")</f>
        <v/>
      </c>
      <c r="O34" s="1279" t="str">
        <f>IFERROR(VLOOKUP($C34,Homes_DwellingEqpLookup,9,0),"")</f>
        <v/>
      </c>
      <c r="P34" s="1279" t="str">
        <f>IFERROR(VLOOKUP($C34,Homes_DwellingEqpLookup,10,0),"")</f>
        <v/>
      </c>
      <c r="Q34" s="1757"/>
      <c r="R34" s="372" t="str">
        <f>IFERROR(VLOOKUP($C34,Homes_DwellingEqpLookup,13,0),"")</f>
        <v/>
      </c>
      <c r="S34" s="372" t="str">
        <f>IFERROR(IF($E34="No",$R34,VLOOKUP($C34,Homes_DwellingEqpLookup,14,0)),"")</f>
        <v/>
      </c>
      <c r="T34" s="372" t="str">
        <f>IFERROR($R34*$D34,"")</f>
        <v/>
      </c>
      <c r="U34" s="372" t="str">
        <f>IFERROR($S34*$D34,"")</f>
        <v/>
      </c>
      <c r="V34" s="1498"/>
      <c r="W34" s="1760"/>
      <c r="X34" s="1760"/>
      <c r="Y34" s="1760"/>
      <c r="Z34" s="2142"/>
      <c r="AA34" s="1760"/>
      <c r="AB34" s="1760"/>
      <c r="AC34" s="1760"/>
      <c r="AD34" s="1760"/>
      <c r="AE34" s="1760"/>
      <c r="AF34" s="1760"/>
      <c r="AG34" s="1760"/>
      <c r="AH34" s="1760"/>
      <c r="AI34" s="1760"/>
      <c r="AJ34" s="1760"/>
      <c r="AK34" s="1760"/>
      <c r="AL34" s="1760"/>
      <c r="AM34" s="1760"/>
      <c r="AN34" s="1760"/>
      <c r="AO34" s="1760"/>
      <c r="AP34" s="1760"/>
      <c r="AQ34" s="1760"/>
      <c r="AR34" s="1760"/>
      <c r="AS34" s="1760"/>
      <c r="AT34" s="1760"/>
      <c r="AU34" s="1760"/>
      <c r="AV34" s="1760"/>
      <c r="AW34" s="1760"/>
      <c r="AX34" s="1760"/>
      <c r="AY34" s="1760"/>
      <c r="AZ34" s="1760"/>
      <c r="BA34" s="1760"/>
      <c r="BB34" s="1760"/>
      <c r="BC34" s="1760"/>
      <c r="BD34" s="1760"/>
      <c r="BE34" s="1760"/>
      <c r="BF34" s="1760"/>
      <c r="BG34" s="1760"/>
      <c r="BH34" s="1760"/>
      <c r="BI34" s="1760"/>
      <c r="BJ34" s="1760"/>
      <c r="BK34" s="1760"/>
      <c r="BL34" s="1760"/>
      <c r="BM34" s="1760"/>
      <c r="BN34" s="1760"/>
      <c r="BO34" s="1760"/>
      <c r="BP34" s="1760"/>
      <c r="BQ34" s="1760"/>
      <c r="BR34" s="1760"/>
      <c r="BS34" s="1760"/>
      <c r="BT34" s="1760"/>
      <c r="BU34" s="1760"/>
      <c r="BV34" s="1760"/>
      <c r="BW34" s="1760"/>
      <c r="BX34" s="1760"/>
      <c r="BY34" s="1760"/>
      <c r="BZ34" s="1760"/>
      <c r="CA34" s="1760"/>
      <c r="CB34" s="1760"/>
      <c r="CC34" s="1760"/>
      <c r="CD34" s="1760"/>
      <c r="CE34" s="1760"/>
      <c r="CF34" s="1760"/>
      <c r="CG34" s="1760"/>
      <c r="CH34" s="1760"/>
      <c r="CI34" s="1760"/>
      <c r="CJ34" s="1760"/>
      <c r="CK34" s="1760"/>
      <c r="CL34" s="1760"/>
      <c r="CM34" s="1760"/>
      <c r="CN34" s="1760"/>
      <c r="CO34" s="1760"/>
      <c r="CP34" s="1760"/>
      <c r="CQ34" s="1760"/>
      <c r="CR34" s="1760"/>
      <c r="CS34" s="1760"/>
      <c r="CT34" s="1760"/>
      <c r="CU34" s="1760"/>
      <c r="CV34" s="1760"/>
      <c r="CW34" s="1760"/>
      <c r="CX34" s="1760"/>
      <c r="CY34" s="1760"/>
      <c r="CZ34" s="1760"/>
      <c r="DA34" s="1760"/>
      <c r="DB34" s="1760"/>
      <c r="DC34" s="1760"/>
      <c r="DD34" s="1760"/>
      <c r="DE34" s="1760"/>
      <c r="DF34" s="1760"/>
      <c r="DG34" s="1760"/>
      <c r="DH34" s="1760"/>
      <c r="DI34" s="1760"/>
      <c r="DJ34" s="1760"/>
      <c r="DK34" s="1760"/>
      <c r="DL34" s="1760"/>
      <c r="DM34" s="1760"/>
      <c r="DN34" s="1760"/>
      <c r="DO34" s="1760"/>
      <c r="DP34" s="1760"/>
      <c r="DQ34" s="1760"/>
      <c r="DR34" s="1760"/>
      <c r="DS34" s="1760"/>
      <c r="DT34" s="1760"/>
      <c r="DU34" s="1760"/>
      <c r="DV34" s="1760"/>
      <c r="DW34" s="1760"/>
      <c r="DX34" s="1760"/>
      <c r="DY34" s="1760"/>
      <c r="DZ34" s="1760"/>
      <c r="EA34" s="1760"/>
      <c r="EB34" s="1760"/>
      <c r="EC34" s="1760"/>
      <c r="ED34" s="1760"/>
      <c r="EE34" s="1760"/>
      <c r="EF34" s="1760"/>
      <c r="EG34" s="1760"/>
      <c r="EH34" s="1760"/>
      <c r="EI34" s="1760"/>
      <c r="EJ34" s="1760"/>
      <c r="EK34" s="1760"/>
      <c r="EL34" s="1760"/>
      <c r="EM34" s="1760"/>
      <c r="EN34" s="1760"/>
      <c r="EO34" s="1760"/>
      <c r="EP34" s="1760"/>
      <c r="EQ34" s="1760"/>
      <c r="ER34" s="1760"/>
      <c r="ES34" s="1760"/>
      <c r="ET34" s="1760"/>
      <c r="EU34" s="1760"/>
      <c r="EV34" s="1760"/>
      <c r="EW34" s="1760"/>
      <c r="EX34" s="1760"/>
      <c r="EY34" s="1760"/>
      <c r="EZ34" s="1760"/>
      <c r="FA34" s="1760"/>
      <c r="FB34" s="1760"/>
      <c r="FC34" s="1760"/>
      <c r="FD34" s="1760"/>
      <c r="FE34" s="1760"/>
      <c r="FF34" s="1760"/>
      <c r="FG34" s="1760"/>
      <c r="FH34" s="1760"/>
      <c r="FI34" s="1760"/>
      <c r="FJ34" s="1760"/>
      <c r="FK34" s="1760"/>
      <c r="FL34" s="1760"/>
      <c r="FM34" s="1760"/>
      <c r="FN34" s="1760"/>
      <c r="FO34" s="1760"/>
      <c r="FP34" s="1760"/>
      <c r="FQ34" s="1760"/>
      <c r="FR34" s="1760"/>
      <c r="FS34" s="1760"/>
      <c r="FT34" s="1760"/>
      <c r="FU34" s="1760"/>
      <c r="FV34" s="1760"/>
      <c r="FW34" s="1760"/>
      <c r="FX34" s="1760"/>
      <c r="FY34" s="1760"/>
      <c r="FZ34" s="1760"/>
      <c r="GA34" s="1760"/>
      <c r="GB34" s="1760"/>
      <c r="GC34" s="1760"/>
      <c r="GD34" s="1760"/>
      <c r="GE34" s="1760"/>
      <c r="GF34" s="1760"/>
      <c r="GG34" s="1760"/>
      <c r="GH34" s="1760"/>
      <c r="GI34" s="1760"/>
      <c r="GJ34" s="1760"/>
      <c r="GK34" s="1760"/>
      <c r="GL34" s="1760"/>
      <c r="GM34" s="1760"/>
      <c r="GN34" s="1760"/>
      <c r="GO34" s="1760"/>
      <c r="GP34" s="1760"/>
      <c r="GQ34" s="1760"/>
      <c r="GR34" s="1760"/>
      <c r="GS34" s="1760"/>
      <c r="GT34" s="1760"/>
      <c r="GU34" s="1760"/>
      <c r="GV34" s="1760"/>
      <c r="GW34" s="1760"/>
      <c r="GX34" s="1760"/>
      <c r="GY34" s="1760"/>
      <c r="GZ34" s="1760"/>
      <c r="HA34" s="1760"/>
      <c r="HB34" s="1760"/>
      <c r="HC34" s="1760"/>
      <c r="HD34" s="1760"/>
      <c r="HE34" s="1760"/>
      <c r="HF34" s="1760"/>
      <c r="HG34" s="1760"/>
      <c r="HH34" s="1760"/>
      <c r="HI34" s="1760"/>
      <c r="HJ34" s="1760"/>
      <c r="HK34" s="1760"/>
      <c r="HL34" s="1760"/>
      <c r="HM34" s="1760"/>
    </row>
    <row r="35" spans="1:226" s="1573" customFormat="1" ht="18" customHeight="1" x14ac:dyDescent="0.25">
      <c r="A35" s="1758"/>
      <c r="B35" s="1632"/>
      <c r="C35" s="1510"/>
      <c r="D35" s="1517"/>
      <c r="E35" s="1517"/>
      <c r="F35" s="1277">
        <f>IFERROR(INDEX(MD_BUS_SumTable,MATCH($B35,MD_BUS_SumIndex,0),MATCH($K$21,MD_BUS_SumHdr,0)),"")</f>
        <v>0</v>
      </c>
      <c r="G35" s="1635"/>
      <c r="H35" s="372" t="str">
        <f>IFERROR($D35*((VLOOKUP($C35,Homes_DwellingEqpLookup,2,FALSE)+VLOOKUP($C35,Homes_DwellingEqpLookup,6,FALSE)*$F35)*VLOOKUP($C35,Homes_DwellingEqpLookup,12,FALSE)),"")</f>
        <v/>
      </c>
      <c r="I35" s="372" t="str">
        <f>IFERROR(IF($E35="No",$H35,$D35*(VLOOKUP($C35,Homes_DwellingEqpLookup,3,FALSE)+VLOOKUP($C35,Homes_DwellingEqpLookup,6,FALSE)*$F35)*VLOOKUP($C35,Homes_DwellingEqpLookup,12,FALSE)),"")</f>
        <v/>
      </c>
      <c r="J35" s="1279" t="str">
        <f>IFERROR(VLOOKUP($C35,Homes_DwellingEqpLookup,4,0),"")</f>
        <v/>
      </c>
      <c r="K35" s="1279" t="str">
        <f>IFERROR(VLOOKUP($C35,Homes_DwellingEqpLookup,5,0),"")</f>
        <v/>
      </c>
      <c r="L35" s="1756"/>
      <c r="M35" s="372" t="str">
        <f>IFERROR($D35*((VLOOKUP($C35,Homes_DwellingEqpLookup,7,FALSE)+VLOOKUP($C35,Homes_DwellingEqpLookup,11,FALSE)*$F35)*VLOOKUP($C35,Homes_DwellingEqpLookup,12,FALSE)),"")</f>
        <v/>
      </c>
      <c r="N35" s="372" t="str">
        <f>IFERROR(IF($E35="No",$M35,$D35*(VLOOKUP($C35,Homes_DwellingEqpLookup,8,FALSE)+VLOOKUP($C35,Homes_DwellingEqpLookup,11,FALSE)*$F35)*VLOOKUP($C35,Homes_DwellingEqpLookup,12,FALSE)),"")</f>
        <v/>
      </c>
      <c r="O35" s="1279" t="str">
        <f>IFERROR(VLOOKUP($C35,Homes_DwellingEqpLookup,9,0),"")</f>
        <v/>
      </c>
      <c r="P35" s="1279" t="str">
        <f>IFERROR(VLOOKUP($C35,Homes_DwellingEqpLookup,10,0),"")</f>
        <v/>
      </c>
      <c r="Q35" s="1757"/>
      <c r="R35" s="372" t="str">
        <f>IFERROR(VLOOKUP($C35,Homes_DwellingEqpLookup,13,0),"")</f>
        <v/>
      </c>
      <c r="S35" s="372" t="str">
        <f>IFERROR(IF($E35="No",$R35,VLOOKUP($C35,Homes_DwellingEqpLookup,14,0)),"")</f>
        <v/>
      </c>
      <c r="T35" s="372" t="str">
        <f>IFERROR($R35*$D35,"")</f>
        <v/>
      </c>
      <c r="U35" s="372" t="str">
        <f>IFERROR($S35*$D35,"")</f>
        <v/>
      </c>
      <c r="V35" s="1498"/>
      <c r="W35" s="1760"/>
      <c r="X35" s="1760"/>
      <c r="Y35" s="1760"/>
      <c r="Z35" s="2142"/>
      <c r="AA35" s="1760"/>
      <c r="AB35" s="1760"/>
      <c r="AC35" s="1760"/>
      <c r="AD35" s="1760"/>
      <c r="AE35" s="1760"/>
      <c r="AF35" s="1760"/>
      <c r="AG35" s="1760"/>
      <c r="AH35" s="1760"/>
      <c r="AI35" s="1760"/>
      <c r="AJ35" s="1760"/>
      <c r="AK35" s="1760"/>
      <c r="AL35" s="1760"/>
      <c r="AM35" s="1760"/>
      <c r="AN35" s="1760"/>
      <c r="AO35" s="1760"/>
      <c r="AP35" s="1760"/>
      <c r="AQ35" s="1760"/>
      <c r="AR35" s="1760"/>
      <c r="AS35" s="1760"/>
      <c r="AT35" s="1760"/>
      <c r="AU35" s="1760"/>
      <c r="AV35" s="1760"/>
      <c r="AW35" s="1760"/>
      <c r="AX35" s="1760"/>
      <c r="AY35" s="1760"/>
      <c r="AZ35" s="1760"/>
      <c r="BA35" s="1760"/>
      <c r="BB35" s="1760"/>
      <c r="BC35" s="1760"/>
      <c r="BD35" s="1760"/>
      <c r="BE35" s="1760"/>
      <c r="BF35" s="1760"/>
      <c r="BG35" s="1760"/>
      <c r="BH35" s="1760"/>
      <c r="BI35" s="1760"/>
      <c r="BJ35" s="1760"/>
      <c r="BK35" s="1760"/>
      <c r="BL35" s="1760"/>
      <c r="BM35" s="1760"/>
      <c r="BN35" s="1760"/>
      <c r="BO35" s="1760"/>
      <c r="BP35" s="1760"/>
      <c r="BQ35" s="1760"/>
      <c r="BR35" s="1760"/>
      <c r="BS35" s="1760"/>
      <c r="BT35" s="1760"/>
      <c r="BU35" s="1760"/>
      <c r="BV35" s="1760"/>
      <c r="BW35" s="1760"/>
      <c r="BX35" s="1760"/>
      <c r="BY35" s="1760"/>
      <c r="BZ35" s="1760"/>
      <c r="CA35" s="1760"/>
      <c r="CB35" s="1760"/>
      <c r="CC35" s="1760"/>
      <c r="CD35" s="1760"/>
      <c r="CE35" s="1760"/>
      <c r="CF35" s="1760"/>
      <c r="CG35" s="1760"/>
      <c r="CH35" s="1760"/>
      <c r="CI35" s="1760"/>
      <c r="CJ35" s="1760"/>
      <c r="CK35" s="1760"/>
      <c r="CL35" s="1760"/>
      <c r="CM35" s="1760"/>
      <c r="CN35" s="1760"/>
      <c r="CO35" s="1760"/>
      <c r="CP35" s="1760"/>
      <c r="CQ35" s="1760"/>
      <c r="CR35" s="1760"/>
      <c r="CS35" s="1760"/>
      <c r="CT35" s="1760"/>
      <c r="CU35" s="1760"/>
      <c r="CV35" s="1760"/>
      <c r="CW35" s="1760"/>
      <c r="CX35" s="1760"/>
      <c r="CY35" s="1760"/>
      <c r="CZ35" s="1760"/>
      <c r="DA35" s="1760"/>
      <c r="DB35" s="1760"/>
      <c r="DC35" s="1760"/>
      <c r="DD35" s="1760"/>
      <c r="DE35" s="1760"/>
      <c r="DF35" s="1760"/>
      <c r="DG35" s="1760"/>
      <c r="DH35" s="1760"/>
      <c r="DI35" s="1760"/>
      <c r="DJ35" s="1760"/>
      <c r="DK35" s="1760"/>
      <c r="DL35" s="1760"/>
      <c r="DM35" s="1760"/>
      <c r="DN35" s="1760"/>
      <c r="DO35" s="1760"/>
      <c r="DP35" s="1760"/>
      <c r="DQ35" s="1760"/>
      <c r="DR35" s="1760"/>
      <c r="DS35" s="1760"/>
      <c r="DT35" s="1760"/>
      <c r="DU35" s="1760"/>
      <c r="DV35" s="1760"/>
      <c r="DW35" s="1760"/>
      <c r="DX35" s="1760"/>
      <c r="DY35" s="1760"/>
      <c r="DZ35" s="1760"/>
      <c r="EA35" s="1760"/>
      <c r="EB35" s="1760"/>
      <c r="EC35" s="1760"/>
      <c r="ED35" s="1760"/>
      <c r="EE35" s="1760"/>
      <c r="EF35" s="1760"/>
      <c r="EG35" s="1760"/>
      <c r="EH35" s="1760"/>
      <c r="EI35" s="1760"/>
      <c r="EJ35" s="1760"/>
      <c r="EK35" s="1760"/>
      <c r="EL35" s="1760"/>
      <c r="EM35" s="1760"/>
      <c r="EN35" s="1760"/>
      <c r="EO35" s="1760"/>
      <c r="EP35" s="1760"/>
      <c r="EQ35" s="1760"/>
      <c r="ER35" s="1760"/>
      <c r="ES35" s="1760"/>
      <c r="ET35" s="1760"/>
      <c r="EU35" s="1760"/>
      <c r="EV35" s="1760"/>
      <c r="EW35" s="1760"/>
      <c r="EX35" s="1760"/>
      <c r="EY35" s="1760"/>
      <c r="EZ35" s="1760"/>
      <c r="FA35" s="1760"/>
      <c r="FB35" s="1760"/>
      <c r="FC35" s="1760"/>
      <c r="FD35" s="1760"/>
      <c r="FE35" s="1760"/>
      <c r="FF35" s="1760"/>
      <c r="FG35" s="1760"/>
      <c r="FH35" s="1760"/>
      <c r="FI35" s="1760"/>
      <c r="FJ35" s="1760"/>
      <c r="FK35" s="1760"/>
      <c r="FL35" s="1760"/>
      <c r="FM35" s="1760"/>
      <c r="FN35" s="1760"/>
      <c r="FO35" s="1760"/>
      <c r="FP35" s="1760"/>
      <c r="FQ35" s="1760"/>
      <c r="FR35" s="1760"/>
      <c r="FS35" s="1760"/>
      <c r="FT35" s="1760"/>
      <c r="FU35" s="1760"/>
      <c r="FV35" s="1760"/>
      <c r="FW35" s="1760"/>
      <c r="FX35" s="1760"/>
      <c r="FY35" s="1760"/>
      <c r="FZ35" s="1760"/>
      <c r="GA35" s="1760"/>
      <c r="GB35" s="1760"/>
      <c r="GC35" s="1760"/>
      <c r="GD35" s="1760"/>
      <c r="GE35" s="1760"/>
      <c r="GF35" s="1760"/>
      <c r="GG35" s="1760"/>
      <c r="GH35" s="1760"/>
      <c r="GI35" s="1760"/>
      <c r="GJ35" s="1760"/>
      <c r="GK35" s="1760"/>
      <c r="GL35" s="1760"/>
      <c r="GM35" s="1760"/>
      <c r="GN35" s="1760"/>
      <c r="GO35" s="1760"/>
      <c r="GP35" s="1760"/>
      <c r="GQ35" s="1760"/>
      <c r="GR35" s="1760"/>
      <c r="GS35" s="1760"/>
      <c r="GT35" s="1760"/>
      <c r="GU35" s="1760"/>
      <c r="GV35" s="1760"/>
      <c r="GW35" s="1760"/>
      <c r="GX35" s="1760"/>
      <c r="GY35" s="1760"/>
      <c r="GZ35" s="1760"/>
      <c r="HA35" s="1760"/>
      <c r="HB35" s="1760"/>
      <c r="HC35" s="1760"/>
      <c r="HD35" s="1760"/>
      <c r="HE35" s="1760"/>
      <c r="HF35" s="1760"/>
      <c r="HG35" s="1760"/>
      <c r="HH35" s="1760"/>
      <c r="HI35" s="1760"/>
      <c r="HJ35" s="1760"/>
      <c r="HK35" s="1760"/>
      <c r="HL35" s="1760"/>
      <c r="HM35" s="1760"/>
    </row>
    <row r="36" spans="1:226" s="1573" customFormat="1" x14ac:dyDescent="0.25">
      <c r="A36" s="1758"/>
      <c r="B36" s="1760"/>
      <c r="C36" s="1760"/>
      <c r="D36" s="1760"/>
      <c r="E36" s="1760"/>
      <c r="F36" s="1760"/>
      <c r="G36" s="1760"/>
      <c r="H36" s="2089"/>
      <c r="I36" s="2089"/>
      <c r="J36" s="1760"/>
      <c r="K36" s="1760"/>
      <c r="L36" s="1760"/>
      <c r="M36" s="2089"/>
      <c r="N36" s="2089"/>
      <c r="O36" s="1760"/>
      <c r="P36" s="1760"/>
      <c r="Q36" s="1760"/>
      <c r="R36" s="1760"/>
      <c r="S36" s="1760"/>
      <c r="T36" s="1760"/>
      <c r="U36" s="1760"/>
      <c r="V36" s="1760"/>
      <c r="W36" s="1760"/>
      <c r="X36" s="1760"/>
      <c r="Y36" s="1760"/>
      <c r="Z36" s="2140"/>
      <c r="AA36" s="1760"/>
      <c r="AB36" s="1760"/>
      <c r="AC36" s="1760"/>
      <c r="AD36" s="1760"/>
      <c r="AE36" s="1760"/>
      <c r="AF36" s="1760"/>
      <c r="AG36" s="1760"/>
      <c r="AH36" s="1760"/>
      <c r="AI36" s="1760"/>
      <c r="AJ36" s="1760"/>
      <c r="AK36" s="1760"/>
      <c r="AL36" s="1760"/>
      <c r="AM36" s="1760"/>
      <c r="AN36" s="1760"/>
      <c r="AO36" s="1760"/>
      <c r="AP36" s="1760"/>
      <c r="AQ36" s="1760"/>
      <c r="AR36" s="1760"/>
      <c r="AS36" s="1760"/>
      <c r="AT36" s="1760"/>
      <c r="AU36" s="1760"/>
      <c r="AV36" s="1760"/>
      <c r="AW36" s="1760"/>
      <c r="AX36" s="1760"/>
      <c r="AY36" s="1760"/>
      <c r="AZ36" s="1760"/>
      <c r="BA36" s="1760"/>
      <c r="BB36" s="1760"/>
      <c r="BC36" s="1760"/>
      <c r="BD36" s="1760"/>
      <c r="BE36" s="1760"/>
      <c r="BF36" s="1760"/>
      <c r="BG36" s="1760"/>
      <c r="BH36" s="1760"/>
      <c r="BI36" s="1760"/>
      <c r="BJ36" s="1760"/>
      <c r="BK36" s="1760"/>
      <c r="BL36" s="1760"/>
      <c r="BM36" s="1760"/>
      <c r="BN36" s="1760"/>
      <c r="BO36" s="1760"/>
      <c r="BP36" s="1760"/>
      <c r="BQ36" s="1760"/>
      <c r="BR36" s="1760"/>
      <c r="BS36" s="1760"/>
      <c r="BT36" s="1760"/>
      <c r="BU36" s="1760"/>
      <c r="BV36" s="1760"/>
      <c r="BW36" s="1760"/>
      <c r="BX36" s="1760"/>
      <c r="BY36" s="1760"/>
      <c r="BZ36" s="1760"/>
      <c r="CA36" s="1760"/>
      <c r="CB36" s="1760"/>
      <c r="CC36" s="1760"/>
      <c r="CD36" s="1760"/>
      <c r="CE36" s="1760"/>
      <c r="CF36" s="1760"/>
      <c r="CG36" s="1760"/>
      <c r="CH36" s="1760"/>
      <c r="CI36" s="1760"/>
      <c r="CJ36" s="1760"/>
      <c r="CK36" s="1760"/>
      <c r="CL36" s="1760"/>
      <c r="CM36" s="1760"/>
      <c r="CN36" s="1760"/>
      <c r="CO36" s="1760"/>
      <c r="CP36" s="1760"/>
      <c r="CQ36" s="1760"/>
      <c r="CR36" s="1760"/>
      <c r="CS36" s="1760"/>
      <c r="CT36" s="1760"/>
      <c r="CU36" s="1760"/>
      <c r="CV36" s="1760"/>
      <c r="CW36" s="1760"/>
      <c r="CX36" s="1760"/>
      <c r="CY36" s="1760"/>
      <c r="CZ36" s="1760"/>
      <c r="DA36" s="1760"/>
      <c r="DB36" s="1760"/>
      <c r="DC36" s="1760"/>
      <c r="DD36" s="1760"/>
      <c r="DE36" s="1760"/>
      <c r="DF36" s="1760"/>
      <c r="DG36" s="1760"/>
      <c r="DH36" s="1760"/>
      <c r="DI36" s="1760"/>
      <c r="DJ36" s="1760"/>
      <c r="DK36" s="1760"/>
      <c r="DL36" s="1760"/>
      <c r="DM36" s="1760"/>
      <c r="DN36" s="1760"/>
      <c r="DO36" s="1760"/>
      <c r="DP36" s="1760"/>
      <c r="DQ36" s="1760"/>
      <c r="DR36" s="1760"/>
      <c r="DS36" s="1760"/>
      <c r="DT36" s="1760"/>
      <c r="DU36" s="1760"/>
      <c r="DV36" s="1760"/>
      <c r="DW36" s="1760"/>
      <c r="DX36" s="1760"/>
      <c r="DY36" s="1760"/>
      <c r="DZ36" s="1760"/>
      <c r="EA36" s="1760"/>
      <c r="EB36" s="1760"/>
      <c r="EC36" s="1760"/>
      <c r="ED36" s="1760"/>
      <c r="EE36" s="1760"/>
      <c r="EF36" s="1760"/>
      <c r="EG36" s="1760"/>
      <c r="EH36" s="1760"/>
      <c r="EI36" s="1760"/>
      <c r="EJ36" s="1760"/>
      <c r="EK36" s="1760"/>
      <c r="EL36" s="1760"/>
      <c r="EM36" s="1760"/>
      <c r="EN36" s="1760"/>
      <c r="EO36" s="1760"/>
      <c r="EP36" s="1760"/>
      <c r="EQ36" s="1760"/>
      <c r="ER36" s="1760"/>
      <c r="ES36" s="1760"/>
      <c r="ET36" s="1760"/>
      <c r="EU36" s="1760"/>
      <c r="EV36" s="1760"/>
      <c r="EW36" s="1760"/>
      <c r="EX36" s="1760"/>
      <c r="EY36" s="1760"/>
      <c r="EZ36" s="1760"/>
      <c r="FA36" s="1760"/>
      <c r="FB36" s="1760"/>
      <c r="FC36" s="1760"/>
      <c r="FD36" s="1760"/>
      <c r="FE36" s="1760"/>
      <c r="FF36" s="1760"/>
      <c r="FG36" s="1760"/>
      <c r="FH36" s="1760"/>
      <c r="FI36" s="1760"/>
      <c r="FJ36" s="1760"/>
      <c r="FK36" s="1760"/>
      <c r="FL36" s="1760"/>
      <c r="FM36" s="1760"/>
      <c r="FN36" s="1760"/>
      <c r="FO36" s="1760"/>
      <c r="FP36" s="1760"/>
      <c r="FQ36" s="1760"/>
      <c r="FR36" s="1760"/>
      <c r="FS36" s="1760"/>
      <c r="FT36" s="1760"/>
      <c r="FU36" s="1760"/>
      <c r="FV36" s="1760"/>
      <c r="FW36" s="1760"/>
      <c r="FX36" s="1760"/>
      <c r="FY36" s="1760"/>
      <c r="FZ36" s="1760"/>
      <c r="GA36" s="1760"/>
      <c r="GB36" s="1760"/>
      <c r="GC36" s="1760"/>
      <c r="GD36" s="1760"/>
      <c r="GE36" s="1760"/>
      <c r="GF36" s="1760"/>
      <c r="GG36" s="1760"/>
      <c r="GH36" s="1760"/>
      <c r="GI36" s="1760"/>
      <c r="GJ36" s="1760"/>
      <c r="GK36" s="1760"/>
      <c r="GL36" s="1760"/>
      <c r="GM36" s="1760"/>
      <c r="GN36" s="1760"/>
      <c r="GO36" s="1760"/>
      <c r="GP36" s="1760"/>
      <c r="GQ36" s="1760"/>
      <c r="GR36" s="1760"/>
      <c r="GS36" s="1760"/>
      <c r="GT36" s="1760"/>
      <c r="GU36" s="1760"/>
      <c r="GV36" s="1760"/>
      <c r="GW36" s="1760"/>
      <c r="GX36" s="1760"/>
      <c r="GY36" s="1760"/>
      <c r="GZ36" s="1760"/>
      <c r="HA36" s="1760"/>
      <c r="HB36" s="1760"/>
      <c r="HC36" s="1760"/>
      <c r="HD36" s="1760"/>
      <c r="HE36" s="1760"/>
      <c r="HF36" s="1760"/>
      <c r="HG36" s="1760"/>
      <c r="HH36" s="1760"/>
      <c r="HI36" s="1760"/>
      <c r="HJ36" s="1760"/>
      <c r="HK36" s="1760"/>
      <c r="HL36" s="1760"/>
      <c r="HM36" s="1760"/>
      <c r="HN36" s="1760"/>
      <c r="HO36" s="1760"/>
      <c r="HP36" s="1760"/>
      <c r="HQ36" s="1760"/>
      <c r="HR36" s="1760"/>
    </row>
    <row r="37" spans="1:226" s="866" customFormat="1" x14ac:dyDescent="0.25">
      <c r="A37" s="348"/>
      <c r="B37" s="395"/>
      <c r="C37" s="395"/>
      <c r="D37" s="395"/>
      <c r="E37" s="395"/>
      <c r="F37" s="395"/>
      <c r="G37" s="395"/>
      <c r="H37" s="395"/>
      <c r="I37" s="395"/>
      <c r="J37" s="395"/>
      <c r="K37" s="395"/>
      <c r="L37" s="395"/>
      <c r="M37" s="395"/>
      <c r="N37" s="395"/>
      <c r="O37" s="395"/>
      <c r="P37" s="395"/>
      <c r="Q37" s="395"/>
      <c r="R37" s="395"/>
      <c r="S37" s="395"/>
      <c r="T37" s="395"/>
      <c r="U37" s="395"/>
      <c r="V37" s="1608"/>
      <c r="W37" s="395"/>
      <c r="X37" s="395"/>
      <c r="Y37" s="395"/>
      <c r="Z37" s="2140"/>
      <c r="AA37" s="395"/>
      <c r="AB37" s="395"/>
      <c r="AC37" s="395"/>
      <c r="AD37" s="395"/>
      <c r="AE37" s="395"/>
      <c r="AF37" s="395"/>
      <c r="AG37" s="395"/>
      <c r="AH37" s="395"/>
      <c r="AI37" s="395"/>
      <c r="AJ37" s="395"/>
      <c r="AK37" s="395"/>
      <c r="AL37" s="395"/>
      <c r="AM37" s="395"/>
      <c r="AN37" s="395"/>
      <c r="AO37" s="395"/>
      <c r="AP37" s="395"/>
      <c r="AQ37" s="395"/>
      <c r="AR37" s="395"/>
      <c r="AS37" s="395"/>
      <c r="AT37" s="395"/>
      <c r="AU37" s="395"/>
      <c r="AV37" s="395"/>
      <c r="AW37" s="395"/>
      <c r="AX37" s="395"/>
      <c r="AY37" s="395"/>
      <c r="AZ37" s="395"/>
      <c r="BA37" s="395"/>
      <c r="BB37" s="395"/>
      <c r="BC37" s="395"/>
      <c r="BD37" s="395"/>
      <c r="BE37" s="395"/>
      <c r="BF37" s="395"/>
      <c r="BG37" s="395"/>
      <c r="BH37" s="395"/>
      <c r="BI37" s="395"/>
      <c r="BJ37" s="395"/>
      <c r="BK37" s="395"/>
      <c r="BL37" s="395"/>
      <c r="BM37" s="395"/>
      <c r="BN37" s="395"/>
      <c r="BO37" s="395"/>
      <c r="BP37" s="395"/>
      <c r="BQ37" s="395"/>
      <c r="BR37" s="395"/>
      <c r="BS37" s="395"/>
      <c r="BT37" s="395"/>
      <c r="BU37" s="395"/>
      <c r="BV37" s="395"/>
      <c r="BW37" s="395"/>
      <c r="BX37" s="395"/>
      <c r="BY37" s="395"/>
      <c r="BZ37" s="395"/>
      <c r="CA37" s="395"/>
      <c r="CB37" s="395"/>
      <c r="CC37" s="395"/>
      <c r="CD37" s="395"/>
      <c r="CE37" s="395"/>
      <c r="CF37" s="395"/>
      <c r="CG37" s="395"/>
      <c r="CH37" s="395"/>
      <c r="CI37" s="395"/>
      <c r="CJ37" s="395"/>
      <c r="CK37" s="395"/>
      <c r="CL37" s="395"/>
      <c r="CM37" s="395"/>
      <c r="CN37" s="395"/>
      <c r="CO37" s="395"/>
      <c r="CP37" s="395"/>
      <c r="CQ37" s="395"/>
      <c r="CR37" s="395"/>
      <c r="CS37" s="395"/>
      <c r="CT37" s="395"/>
      <c r="CU37" s="395"/>
      <c r="CV37" s="395"/>
      <c r="CW37" s="395"/>
      <c r="CX37" s="395"/>
      <c r="CY37" s="395"/>
      <c r="CZ37" s="395"/>
      <c r="DA37" s="395"/>
      <c r="DB37" s="395"/>
      <c r="DC37" s="395"/>
      <c r="DD37" s="395"/>
      <c r="DE37" s="395"/>
      <c r="DF37" s="395"/>
      <c r="DG37" s="395"/>
      <c r="DH37" s="395"/>
      <c r="DI37" s="395"/>
      <c r="DJ37" s="395"/>
      <c r="DK37" s="395"/>
      <c r="DL37" s="395"/>
      <c r="DM37" s="395"/>
      <c r="DN37" s="395"/>
      <c r="DO37" s="395"/>
      <c r="DP37" s="395"/>
      <c r="DQ37" s="395"/>
      <c r="DR37" s="395"/>
      <c r="DS37" s="395"/>
      <c r="DT37" s="395"/>
      <c r="DU37" s="395"/>
      <c r="DV37" s="395"/>
      <c r="DW37" s="395"/>
      <c r="DX37" s="395"/>
      <c r="DY37" s="395"/>
      <c r="DZ37" s="395"/>
      <c r="EA37" s="395"/>
      <c r="EB37" s="395"/>
      <c r="EC37" s="395"/>
      <c r="ED37" s="395"/>
      <c r="EE37" s="395"/>
      <c r="EF37" s="395"/>
      <c r="EG37" s="395"/>
      <c r="EH37" s="395"/>
      <c r="EI37" s="395"/>
      <c r="EJ37" s="395"/>
      <c r="EK37" s="395"/>
      <c r="EL37" s="395"/>
      <c r="EM37" s="395"/>
      <c r="EN37" s="395"/>
      <c r="EO37" s="395"/>
      <c r="EP37" s="395"/>
      <c r="EQ37" s="395"/>
      <c r="ER37" s="395"/>
      <c r="ES37" s="395"/>
      <c r="ET37" s="395"/>
      <c r="EU37" s="395"/>
      <c r="EV37" s="395"/>
      <c r="EW37" s="395"/>
      <c r="EX37" s="395"/>
      <c r="EY37" s="395"/>
      <c r="EZ37" s="395"/>
      <c r="FA37" s="395"/>
      <c r="FB37" s="395"/>
      <c r="FC37" s="395"/>
      <c r="FD37" s="395"/>
      <c r="FE37" s="395"/>
      <c r="FF37" s="395"/>
      <c r="FG37" s="395"/>
      <c r="FH37" s="395"/>
      <c r="FI37" s="395"/>
      <c r="FJ37" s="395"/>
      <c r="FK37" s="395"/>
      <c r="FL37" s="395"/>
      <c r="FM37" s="395"/>
      <c r="FN37" s="395"/>
      <c r="FO37" s="395"/>
      <c r="FP37" s="395"/>
      <c r="FQ37" s="395"/>
      <c r="FR37" s="395"/>
      <c r="FS37" s="395"/>
      <c r="FT37" s="395"/>
      <c r="FU37" s="395"/>
      <c r="FV37" s="395"/>
      <c r="FW37" s="395"/>
      <c r="FX37" s="395"/>
      <c r="FY37" s="395"/>
      <c r="FZ37" s="395"/>
      <c r="GA37" s="395"/>
      <c r="GB37" s="395"/>
      <c r="GC37" s="395"/>
      <c r="GD37" s="395"/>
      <c r="GE37" s="395"/>
      <c r="GF37" s="395"/>
      <c r="GG37" s="395"/>
      <c r="GH37" s="395"/>
      <c r="GI37" s="395"/>
      <c r="GJ37" s="395"/>
      <c r="GK37" s="395"/>
      <c r="GL37" s="395"/>
      <c r="GM37" s="395"/>
      <c r="GN37" s="395"/>
      <c r="GO37" s="395"/>
      <c r="GP37" s="395"/>
      <c r="GQ37" s="395"/>
      <c r="GR37" s="395"/>
      <c r="GS37" s="395"/>
      <c r="GT37" s="395"/>
      <c r="GU37" s="395"/>
      <c r="GV37" s="395"/>
      <c r="GW37" s="395"/>
      <c r="GX37" s="395"/>
      <c r="GY37" s="395"/>
      <c r="GZ37" s="395"/>
      <c r="HA37" s="395"/>
      <c r="HB37" s="395"/>
      <c r="HC37" s="395"/>
      <c r="HD37" s="395"/>
      <c r="HE37" s="395"/>
      <c r="HF37" s="395"/>
      <c r="HG37" s="395"/>
      <c r="HH37" s="395"/>
      <c r="HI37" s="395"/>
      <c r="HJ37" s="395"/>
      <c r="HK37" s="395"/>
      <c r="HL37" s="395"/>
      <c r="HM37" s="395"/>
      <c r="HN37" s="395"/>
      <c r="HO37" s="395"/>
      <c r="HP37" s="395"/>
      <c r="HQ37" s="395"/>
      <c r="HR37" s="395"/>
    </row>
    <row r="38" spans="1:226" s="866" customFormat="1" x14ac:dyDescent="0.25">
      <c r="A38" s="348" t="s">
        <v>1038</v>
      </c>
      <c r="D38" s="395"/>
      <c r="E38" s="395"/>
      <c r="F38" s="395"/>
      <c r="G38" s="395"/>
      <c r="H38" s="395"/>
      <c r="I38" s="395"/>
      <c r="J38" s="395"/>
      <c r="K38" s="395"/>
      <c r="L38" s="395"/>
      <c r="M38" s="395"/>
      <c r="N38" s="395"/>
      <c r="O38" s="395"/>
      <c r="P38" s="395"/>
      <c r="Q38" s="395"/>
      <c r="R38" s="395"/>
      <c r="S38" s="395"/>
      <c r="T38" s="395"/>
      <c r="U38" s="395"/>
      <c r="V38" s="1608"/>
      <c r="W38" s="395"/>
      <c r="X38" s="395"/>
      <c r="Y38" s="395"/>
      <c r="Z38" s="2140"/>
      <c r="AA38" s="395"/>
      <c r="AB38" s="395"/>
      <c r="AC38" s="395"/>
      <c r="AD38" s="395"/>
      <c r="AE38" s="395"/>
      <c r="AF38" s="395"/>
      <c r="AG38" s="395"/>
      <c r="AH38" s="395"/>
      <c r="AI38" s="395"/>
      <c r="AJ38" s="395"/>
      <c r="AK38" s="395"/>
      <c r="AL38" s="395"/>
      <c r="AM38" s="395"/>
      <c r="AN38" s="395"/>
      <c r="AO38" s="395"/>
      <c r="AP38" s="395"/>
      <c r="AQ38" s="395"/>
      <c r="AR38" s="395"/>
      <c r="AS38" s="395"/>
      <c r="AT38" s="395"/>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5"/>
      <c r="BW38" s="395"/>
      <c r="BX38" s="395"/>
      <c r="BY38" s="395"/>
      <c r="BZ38" s="395"/>
      <c r="CA38" s="395"/>
      <c r="CB38" s="395"/>
      <c r="CC38" s="395"/>
      <c r="CD38" s="395"/>
      <c r="CE38" s="395"/>
      <c r="CF38" s="395"/>
      <c r="CG38" s="395"/>
      <c r="CH38" s="395"/>
      <c r="CI38" s="395"/>
      <c r="CJ38" s="395"/>
      <c r="CK38" s="395"/>
      <c r="CL38" s="395"/>
      <c r="CM38" s="395"/>
      <c r="CN38" s="395"/>
      <c r="CO38" s="395"/>
      <c r="CP38" s="395"/>
      <c r="CQ38" s="395"/>
      <c r="CR38" s="395"/>
      <c r="CS38" s="395"/>
      <c r="CT38" s="395"/>
      <c r="CU38" s="395"/>
      <c r="CV38" s="395"/>
      <c r="CW38" s="395"/>
      <c r="CX38" s="395"/>
      <c r="CY38" s="395"/>
      <c r="CZ38" s="395"/>
      <c r="DA38" s="395"/>
      <c r="DB38" s="395"/>
      <c r="DC38" s="395"/>
      <c r="DD38" s="395"/>
      <c r="DE38" s="395"/>
      <c r="DF38" s="395"/>
      <c r="DG38" s="395"/>
      <c r="DH38" s="395"/>
      <c r="DI38" s="395"/>
      <c r="DJ38" s="395"/>
      <c r="DK38" s="395"/>
      <c r="DL38" s="395"/>
      <c r="DM38" s="395"/>
      <c r="DN38" s="395"/>
      <c r="DO38" s="395"/>
      <c r="DP38" s="395"/>
      <c r="DQ38" s="395"/>
      <c r="DR38" s="395"/>
      <c r="DS38" s="395"/>
      <c r="DT38" s="395"/>
      <c r="DU38" s="395"/>
      <c r="DV38" s="395"/>
      <c r="DW38" s="395"/>
      <c r="DX38" s="395"/>
      <c r="DY38" s="395"/>
      <c r="DZ38" s="395"/>
      <c r="EA38" s="395"/>
      <c r="EB38" s="395"/>
      <c r="EC38" s="395"/>
      <c r="ED38" s="395"/>
      <c r="EE38" s="395"/>
      <c r="EF38" s="395"/>
      <c r="EG38" s="395"/>
      <c r="EH38" s="395"/>
      <c r="EI38" s="395"/>
      <c r="EJ38" s="395"/>
      <c r="EK38" s="395"/>
      <c r="EL38" s="395"/>
      <c r="EM38" s="395"/>
      <c r="EN38" s="395"/>
      <c r="EO38" s="395"/>
      <c r="EP38" s="395"/>
      <c r="EQ38" s="395"/>
      <c r="ER38" s="395"/>
      <c r="ES38" s="395"/>
      <c r="ET38" s="395"/>
      <c r="EU38" s="395"/>
      <c r="EV38" s="395"/>
      <c r="EW38" s="395"/>
      <c r="EX38" s="395"/>
      <c r="EY38" s="395"/>
      <c r="EZ38" s="395"/>
      <c r="FA38" s="395"/>
      <c r="FB38" s="395"/>
      <c r="FC38" s="395"/>
      <c r="FD38" s="395"/>
      <c r="FE38" s="395"/>
      <c r="FF38" s="395"/>
      <c r="FG38" s="395"/>
      <c r="FH38" s="395"/>
      <c r="FI38" s="395"/>
      <c r="FJ38" s="395"/>
      <c r="FK38" s="395"/>
      <c r="FL38" s="395"/>
      <c r="FM38" s="395"/>
      <c r="FN38" s="395"/>
      <c r="FO38" s="395"/>
      <c r="FP38" s="395"/>
      <c r="FQ38" s="395"/>
      <c r="FR38" s="395"/>
      <c r="FS38" s="395"/>
      <c r="FT38" s="395"/>
      <c r="FU38" s="395"/>
      <c r="FV38" s="395"/>
      <c r="FW38" s="395"/>
      <c r="FX38" s="395"/>
      <c r="FY38" s="395"/>
      <c r="FZ38" s="395"/>
      <c r="GA38" s="395"/>
      <c r="GB38" s="395"/>
      <c r="GC38" s="395"/>
      <c r="GD38" s="395"/>
      <c r="GE38" s="395"/>
      <c r="GF38" s="395"/>
      <c r="GG38" s="395"/>
      <c r="GH38" s="395"/>
      <c r="GI38" s="395"/>
      <c r="GJ38" s="395"/>
      <c r="GK38" s="395"/>
      <c r="GL38" s="395"/>
      <c r="GM38" s="395"/>
      <c r="GN38" s="395"/>
      <c r="GO38" s="395"/>
      <c r="GP38" s="395"/>
      <c r="GQ38" s="395"/>
      <c r="GR38" s="395"/>
      <c r="GS38" s="395"/>
      <c r="GT38" s="395"/>
      <c r="GU38" s="395"/>
      <c r="GV38" s="395"/>
      <c r="GW38" s="395"/>
      <c r="GX38" s="395"/>
      <c r="GY38" s="395"/>
      <c r="GZ38" s="395"/>
      <c r="HA38" s="395"/>
      <c r="HB38" s="395"/>
      <c r="HC38" s="395"/>
      <c r="HD38" s="395"/>
      <c r="HE38" s="395"/>
      <c r="HF38" s="395"/>
      <c r="HG38" s="395"/>
      <c r="HH38" s="395"/>
      <c r="HI38" s="395"/>
      <c r="HJ38" s="395"/>
      <c r="HK38" s="395"/>
      <c r="HL38" s="395"/>
      <c r="HM38" s="395"/>
      <c r="HN38" s="395"/>
      <c r="HO38" s="395"/>
      <c r="HP38" s="395"/>
      <c r="HQ38" s="395"/>
      <c r="HR38" s="395"/>
    </row>
    <row r="39" spans="1:226" s="866" customFormat="1" ht="21" customHeight="1" x14ac:dyDescent="0.25">
      <c r="A39" s="348" t="s">
        <v>1038</v>
      </c>
      <c r="B39" s="395"/>
      <c r="C39" s="395"/>
      <c r="D39" s="395"/>
      <c r="E39" s="395"/>
      <c r="F39" s="395"/>
      <c r="G39" s="395"/>
      <c r="H39" s="395"/>
      <c r="I39" s="395"/>
      <c r="J39" s="395"/>
      <c r="K39" s="395"/>
      <c r="L39" s="395"/>
      <c r="M39" s="395"/>
      <c r="N39" s="395"/>
      <c r="O39" s="395"/>
      <c r="P39" s="395"/>
      <c r="Q39" s="395"/>
      <c r="R39" s="395"/>
      <c r="S39" s="395"/>
      <c r="T39" s="395"/>
      <c r="U39" s="395"/>
      <c r="V39" s="1608"/>
      <c r="W39" s="395"/>
      <c r="X39" s="395"/>
      <c r="Y39" s="395"/>
      <c r="Z39" s="2140"/>
      <c r="AA39" s="395"/>
      <c r="AB39" s="395"/>
      <c r="AC39" s="395"/>
      <c r="AD39" s="395"/>
      <c r="AE39" s="395"/>
      <c r="AF39" s="395"/>
      <c r="AG39" s="395"/>
      <c r="AH39" s="395"/>
      <c r="AI39" s="395"/>
      <c r="AJ39" s="395"/>
      <c r="AK39" s="395"/>
      <c r="AL39" s="395"/>
      <c r="AM39" s="395"/>
      <c r="AN39" s="395"/>
      <c r="AO39" s="395"/>
      <c r="AP39" s="395"/>
      <c r="AQ39" s="395"/>
      <c r="AR39" s="395"/>
      <c r="AS39" s="395"/>
      <c r="AT39" s="395"/>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5"/>
      <c r="BW39" s="395"/>
      <c r="BX39" s="395"/>
      <c r="BY39" s="395"/>
      <c r="BZ39" s="395"/>
      <c r="CA39" s="395"/>
      <c r="CB39" s="395"/>
      <c r="CC39" s="395"/>
      <c r="CD39" s="395"/>
      <c r="CE39" s="395"/>
      <c r="CF39" s="395"/>
      <c r="CG39" s="395"/>
      <c r="CH39" s="395"/>
      <c r="CI39" s="395"/>
      <c r="CJ39" s="395"/>
      <c r="CK39" s="395"/>
      <c r="CL39" s="395"/>
      <c r="CM39" s="395"/>
      <c r="CN39" s="395"/>
      <c r="CO39" s="395"/>
      <c r="CP39" s="395"/>
      <c r="CQ39" s="395"/>
      <c r="CR39" s="395"/>
      <c r="CS39" s="395"/>
      <c r="CT39" s="395"/>
      <c r="CU39" s="395"/>
      <c r="CV39" s="395"/>
      <c r="CW39" s="395"/>
      <c r="CX39" s="395"/>
      <c r="CY39" s="395"/>
      <c r="CZ39" s="395"/>
      <c r="DA39" s="395"/>
      <c r="DB39" s="395"/>
      <c r="DC39" s="395"/>
      <c r="DD39" s="395"/>
      <c r="DE39" s="395"/>
      <c r="DF39" s="395"/>
      <c r="DG39" s="395"/>
      <c r="DH39" s="395"/>
      <c r="DI39" s="395"/>
      <c r="DJ39" s="395"/>
      <c r="DK39" s="395"/>
      <c r="DL39" s="395"/>
      <c r="DM39" s="395"/>
      <c r="DN39" s="395"/>
      <c r="DO39" s="395"/>
      <c r="DP39" s="395"/>
      <c r="DQ39" s="395"/>
      <c r="DR39" s="395"/>
      <c r="DS39" s="395"/>
      <c r="DT39" s="395"/>
      <c r="DU39" s="395"/>
      <c r="DV39" s="395"/>
      <c r="DW39" s="395"/>
      <c r="DX39" s="395"/>
      <c r="DY39" s="395"/>
      <c r="DZ39" s="395"/>
      <c r="EA39" s="395"/>
      <c r="EB39" s="395"/>
      <c r="EC39" s="395"/>
      <c r="ED39" s="395"/>
      <c r="EE39" s="395"/>
      <c r="EF39" s="395"/>
      <c r="EG39" s="395"/>
      <c r="EH39" s="395"/>
      <c r="EI39" s="395"/>
      <c r="EJ39" s="395"/>
      <c r="EK39" s="395"/>
      <c r="EL39" s="395"/>
      <c r="EM39" s="395"/>
      <c r="EN39" s="395"/>
      <c r="EO39" s="395"/>
      <c r="EP39" s="395"/>
      <c r="EQ39" s="395"/>
      <c r="ER39" s="395"/>
      <c r="ES39" s="395"/>
      <c r="ET39" s="395"/>
      <c r="EU39" s="395"/>
      <c r="EV39" s="395"/>
      <c r="EW39" s="395"/>
      <c r="EX39" s="395"/>
      <c r="EY39" s="395"/>
      <c r="EZ39" s="395"/>
      <c r="FA39" s="395"/>
      <c r="FB39" s="395"/>
      <c r="FC39" s="395"/>
      <c r="FD39" s="395"/>
      <c r="FE39" s="395"/>
      <c r="FF39" s="395"/>
      <c r="FG39" s="395"/>
      <c r="FH39" s="395"/>
      <c r="FI39" s="395"/>
      <c r="FJ39" s="395"/>
      <c r="FK39" s="395"/>
      <c r="FL39" s="395"/>
      <c r="FM39" s="395"/>
      <c r="FN39" s="395"/>
      <c r="FO39" s="395"/>
      <c r="FP39" s="395"/>
      <c r="FQ39" s="395"/>
      <c r="FR39" s="395"/>
      <c r="FS39" s="395"/>
      <c r="FT39" s="395"/>
      <c r="FU39" s="395"/>
      <c r="FV39" s="395"/>
      <c r="FW39" s="395"/>
      <c r="FX39" s="395"/>
      <c r="FY39" s="395"/>
      <c r="FZ39" s="395"/>
      <c r="GA39" s="395"/>
      <c r="GB39" s="395"/>
      <c r="GC39" s="395"/>
      <c r="GD39" s="395"/>
      <c r="GE39" s="395"/>
      <c r="GF39" s="395"/>
      <c r="GG39" s="395"/>
      <c r="GH39" s="395"/>
      <c r="GI39" s="395"/>
      <c r="GJ39" s="395"/>
      <c r="GK39" s="395"/>
      <c r="GL39" s="395"/>
      <c r="GM39" s="395"/>
      <c r="GN39" s="395"/>
      <c r="GO39" s="395"/>
      <c r="GP39" s="395"/>
      <c r="GQ39" s="395"/>
      <c r="GR39" s="395"/>
      <c r="GS39" s="395"/>
      <c r="GT39" s="395"/>
      <c r="GU39" s="395"/>
      <c r="GV39" s="395"/>
      <c r="GW39" s="395"/>
      <c r="GX39" s="395"/>
      <c r="GY39" s="395"/>
      <c r="GZ39" s="395"/>
      <c r="HA39" s="395"/>
      <c r="HB39" s="395"/>
      <c r="HC39" s="395"/>
      <c r="HD39" s="395"/>
      <c r="HE39" s="395"/>
      <c r="HF39" s="395"/>
      <c r="HG39" s="395"/>
      <c r="HH39" s="395"/>
      <c r="HI39" s="395"/>
      <c r="HJ39" s="395"/>
      <c r="HK39" s="395"/>
      <c r="HL39" s="395"/>
      <c r="HM39" s="395"/>
      <c r="HN39" s="395"/>
      <c r="HO39" s="395"/>
      <c r="HP39" s="395"/>
      <c r="HQ39" s="395"/>
      <c r="HR39" s="395"/>
    </row>
    <row r="40" spans="1:226" s="866" customFormat="1" ht="15.6" x14ac:dyDescent="0.25">
      <c r="A40" s="348" t="s">
        <v>1038</v>
      </c>
      <c r="B40" s="357" t="s">
        <v>2374</v>
      </c>
      <c r="C40" s="357"/>
      <c r="D40" s="395"/>
      <c r="E40" s="395"/>
      <c r="F40" s="395"/>
      <c r="G40" s="395"/>
      <c r="H40" s="395"/>
      <c r="I40" s="395"/>
      <c r="J40" s="395"/>
      <c r="K40" s="395"/>
      <c r="L40" s="395"/>
      <c r="M40" s="395"/>
      <c r="N40" s="395"/>
      <c r="O40" s="395"/>
      <c r="P40" s="395"/>
      <c r="Q40" s="395"/>
      <c r="R40" s="395"/>
      <c r="S40" s="395"/>
      <c r="T40" s="395"/>
      <c r="U40" s="395"/>
      <c r="V40" s="1608"/>
      <c r="W40" s="395"/>
      <c r="X40" s="395"/>
      <c r="Y40" s="395"/>
      <c r="Z40" s="2140"/>
      <c r="AA40" s="395"/>
      <c r="AB40" s="395"/>
      <c r="AC40" s="395"/>
      <c r="AD40" s="395"/>
      <c r="AE40" s="395"/>
      <c r="AF40" s="395"/>
      <c r="AG40" s="395"/>
      <c r="AH40" s="395"/>
      <c r="AI40" s="395"/>
      <c r="AJ40" s="395"/>
      <c r="AK40" s="395"/>
      <c r="AL40" s="395"/>
      <c r="AM40" s="395"/>
      <c r="AN40" s="395"/>
      <c r="AO40" s="395"/>
      <c r="AP40" s="395"/>
      <c r="AQ40" s="395"/>
      <c r="AR40" s="395"/>
      <c r="AS40" s="395"/>
      <c r="AT40" s="395"/>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5"/>
      <c r="BW40" s="395"/>
      <c r="BX40" s="395"/>
      <c r="BY40" s="395"/>
      <c r="BZ40" s="395"/>
      <c r="CA40" s="395"/>
      <c r="CB40" s="395"/>
      <c r="CC40" s="395"/>
      <c r="CD40" s="395"/>
      <c r="CE40" s="395"/>
      <c r="CF40" s="395"/>
      <c r="CG40" s="395"/>
      <c r="CH40" s="395"/>
      <c r="CI40" s="395"/>
      <c r="CJ40" s="395"/>
      <c r="CK40" s="395"/>
      <c r="CL40" s="395"/>
      <c r="CM40" s="395"/>
      <c r="CN40" s="395"/>
      <c r="CO40" s="395"/>
      <c r="CP40" s="395"/>
      <c r="CQ40" s="395"/>
      <c r="CR40" s="395"/>
      <c r="CS40" s="395"/>
      <c r="CT40" s="395"/>
      <c r="CU40" s="395"/>
      <c r="CV40" s="395"/>
      <c r="CW40" s="395"/>
      <c r="CX40" s="395"/>
      <c r="CY40" s="395"/>
      <c r="CZ40" s="395"/>
      <c r="DA40" s="395"/>
      <c r="DB40" s="395"/>
      <c r="DC40" s="395"/>
      <c r="DD40" s="395"/>
      <c r="DE40" s="395"/>
      <c r="DF40" s="395"/>
      <c r="DG40" s="395"/>
      <c r="DH40" s="395"/>
      <c r="DI40" s="395"/>
      <c r="DJ40" s="395"/>
      <c r="DK40" s="395"/>
      <c r="DL40" s="395"/>
      <c r="DM40" s="395"/>
      <c r="DN40" s="395"/>
      <c r="DO40" s="395"/>
      <c r="DP40" s="395"/>
      <c r="DQ40" s="395"/>
      <c r="DR40" s="395"/>
      <c r="DS40" s="395"/>
      <c r="DT40" s="395"/>
      <c r="DU40" s="395"/>
      <c r="DV40" s="395"/>
      <c r="DW40" s="395"/>
      <c r="DX40" s="395"/>
      <c r="DY40" s="395"/>
      <c r="DZ40" s="395"/>
      <c r="EA40" s="395"/>
      <c r="EB40" s="395"/>
      <c r="EC40" s="395"/>
      <c r="ED40" s="395"/>
      <c r="EE40" s="395"/>
      <c r="EF40" s="395"/>
      <c r="EG40" s="395"/>
      <c r="EH40" s="395"/>
      <c r="EI40" s="395"/>
      <c r="EJ40" s="395"/>
      <c r="EK40" s="395"/>
      <c r="EL40" s="395"/>
      <c r="EM40" s="395"/>
      <c r="EN40" s="395"/>
      <c r="EO40" s="395"/>
      <c r="EP40" s="395"/>
      <c r="EQ40" s="395"/>
      <c r="ER40" s="395"/>
      <c r="ES40" s="395"/>
      <c r="ET40" s="395"/>
      <c r="EU40" s="395"/>
      <c r="EV40" s="395"/>
      <c r="EW40" s="395"/>
      <c r="EX40" s="395"/>
      <c r="EY40" s="395"/>
      <c r="EZ40" s="395"/>
      <c r="FA40" s="395"/>
      <c r="FB40" s="395"/>
      <c r="FC40" s="395"/>
      <c r="FD40" s="395"/>
      <c r="FE40" s="395"/>
      <c r="FF40" s="395"/>
      <c r="FG40" s="395"/>
      <c r="FH40" s="395"/>
      <c r="FI40" s="395"/>
      <c r="FJ40" s="395"/>
      <c r="FK40" s="395"/>
      <c r="FL40" s="395"/>
      <c r="FM40" s="395"/>
      <c r="FN40" s="395"/>
      <c r="FO40" s="395"/>
      <c r="FP40" s="395"/>
      <c r="FQ40" s="395"/>
      <c r="FR40" s="395"/>
      <c r="FS40" s="395"/>
      <c r="FT40" s="395"/>
      <c r="FU40" s="395"/>
      <c r="FV40" s="395"/>
      <c r="FW40" s="395"/>
      <c r="FX40" s="395"/>
      <c r="FY40" s="395"/>
      <c r="FZ40" s="395"/>
      <c r="GA40" s="395"/>
      <c r="GB40" s="395"/>
      <c r="GC40" s="395"/>
      <c r="GD40" s="395"/>
      <c r="GE40" s="395"/>
      <c r="GF40" s="395"/>
      <c r="GG40" s="395"/>
      <c r="GH40" s="395"/>
      <c r="GI40" s="395"/>
      <c r="GJ40" s="395"/>
      <c r="GK40" s="395"/>
      <c r="GL40" s="395"/>
      <c r="GM40" s="395"/>
      <c r="GN40" s="395"/>
      <c r="GO40" s="395"/>
      <c r="GP40" s="395"/>
      <c r="GQ40" s="395"/>
      <c r="GR40" s="395"/>
      <c r="GS40" s="395"/>
      <c r="GT40" s="395"/>
      <c r="GU40" s="395"/>
      <c r="GV40" s="395"/>
      <c r="GW40" s="395"/>
      <c r="GX40" s="395"/>
      <c r="GY40" s="395"/>
      <c r="GZ40" s="395"/>
      <c r="HA40" s="395"/>
      <c r="HB40" s="395"/>
      <c r="HC40" s="395"/>
      <c r="HD40" s="395"/>
      <c r="HE40" s="395"/>
      <c r="HF40" s="395"/>
      <c r="HG40" s="395"/>
      <c r="HH40" s="395"/>
      <c r="HI40" s="395"/>
      <c r="HJ40" s="395"/>
      <c r="HK40" s="395"/>
      <c r="HL40" s="395"/>
      <c r="HM40" s="395"/>
      <c r="HN40" s="395"/>
      <c r="HO40" s="395"/>
      <c r="HP40" s="395"/>
      <c r="HQ40" s="395"/>
      <c r="HR40" s="395"/>
    </row>
    <row r="41" spans="1:226" s="866" customFormat="1" ht="15.6" x14ac:dyDescent="0.25">
      <c r="A41" s="348" t="s">
        <v>1038</v>
      </c>
      <c r="B41" s="357"/>
      <c r="C41" s="357"/>
      <c r="D41" s="395"/>
      <c r="E41" s="395"/>
      <c r="F41" s="395"/>
      <c r="G41" s="395"/>
      <c r="H41" s="395"/>
      <c r="I41" s="395"/>
      <c r="J41" s="395"/>
      <c r="K41" s="395"/>
      <c r="L41" s="395"/>
      <c r="M41" s="395"/>
      <c r="N41" s="395"/>
      <c r="O41" s="395"/>
      <c r="P41" s="395"/>
      <c r="Q41" s="395"/>
      <c r="R41" s="395"/>
      <c r="S41" s="395"/>
      <c r="T41" s="395"/>
      <c r="U41" s="395"/>
      <c r="V41" s="1608"/>
      <c r="W41" s="395"/>
      <c r="X41" s="395"/>
      <c r="Y41" s="395"/>
      <c r="Z41" s="2140"/>
      <c r="AA41" s="395"/>
      <c r="AB41" s="395"/>
      <c r="AC41" s="395"/>
      <c r="AD41" s="395"/>
      <c r="AE41" s="395"/>
      <c r="AF41" s="395"/>
      <c r="AG41" s="395"/>
      <c r="AH41" s="395"/>
      <c r="AI41" s="395"/>
      <c r="AJ41" s="395"/>
      <c r="AK41" s="395"/>
      <c r="AL41" s="395"/>
      <c r="AM41" s="395"/>
      <c r="AN41" s="395"/>
      <c r="AO41" s="395"/>
      <c r="AP41" s="395"/>
      <c r="AQ41" s="395"/>
      <c r="AR41" s="395"/>
      <c r="AS41" s="395"/>
      <c r="AT41" s="395"/>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5"/>
      <c r="BW41" s="395"/>
      <c r="BX41" s="395"/>
      <c r="BY41" s="395"/>
      <c r="BZ41" s="395"/>
      <c r="CA41" s="395"/>
      <c r="CB41" s="395"/>
      <c r="CC41" s="395"/>
      <c r="CD41" s="395"/>
      <c r="CE41" s="395"/>
      <c r="CF41" s="395"/>
      <c r="CG41" s="395"/>
      <c r="CH41" s="395"/>
      <c r="CI41" s="395"/>
      <c r="CJ41" s="395"/>
      <c r="CK41" s="395"/>
      <c r="CL41" s="395"/>
      <c r="CM41" s="395"/>
      <c r="CN41" s="395"/>
      <c r="CO41" s="395"/>
      <c r="CP41" s="395"/>
      <c r="CQ41" s="395"/>
      <c r="CR41" s="395"/>
      <c r="CS41" s="395"/>
      <c r="CT41" s="395"/>
      <c r="CU41" s="395"/>
      <c r="CV41" s="395"/>
      <c r="CW41" s="395"/>
      <c r="CX41" s="395"/>
      <c r="CY41" s="395"/>
      <c r="CZ41" s="395"/>
      <c r="DA41" s="395"/>
      <c r="DB41" s="395"/>
      <c r="DC41" s="395"/>
      <c r="DD41" s="395"/>
      <c r="DE41" s="395"/>
      <c r="DF41" s="395"/>
      <c r="DG41" s="395"/>
      <c r="DH41" s="395"/>
      <c r="DI41" s="395"/>
      <c r="DJ41" s="395"/>
      <c r="DK41" s="395"/>
      <c r="DL41" s="395"/>
      <c r="DM41" s="395"/>
      <c r="DN41" s="395"/>
      <c r="DO41" s="395"/>
      <c r="DP41" s="395"/>
      <c r="DQ41" s="395"/>
      <c r="DR41" s="395"/>
      <c r="DS41" s="395"/>
      <c r="DT41" s="395"/>
      <c r="DU41" s="395"/>
      <c r="DV41" s="395"/>
      <c r="DW41" s="395"/>
      <c r="DX41" s="395"/>
      <c r="DY41" s="395"/>
      <c r="DZ41" s="395"/>
      <c r="EA41" s="395"/>
      <c r="EB41" s="395"/>
      <c r="EC41" s="395"/>
      <c r="ED41" s="395"/>
      <c r="EE41" s="395"/>
      <c r="EF41" s="395"/>
      <c r="EG41" s="395"/>
      <c r="EH41" s="395"/>
      <c r="EI41" s="395"/>
      <c r="EJ41" s="395"/>
      <c r="EK41" s="395"/>
      <c r="EL41" s="395"/>
      <c r="EM41" s="395"/>
      <c r="EN41" s="395"/>
      <c r="EO41" s="395"/>
      <c r="EP41" s="395"/>
      <c r="EQ41" s="395"/>
      <c r="ER41" s="395"/>
      <c r="ES41" s="395"/>
      <c r="ET41" s="395"/>
      <c r="EU41" s="395"/>
      <c r="EV41" s="395"/>
      <c r="EW41" s="395"/>
      <c r="EX41" s="395"/>
      <c r="EY41" s="395"/>
      <c r="EZ41" s="395"/>
      <c r="FA41" s="395"/>
      <c r="FB41" s="395"/>
      <c r="FC41" s="395"/>
      <c r="FD41" s="395"/>
      <c r="FE41" s="395"/>
      <c r="FF41" s="395"/>
      <c r="FG41" s="395"/>
      <c r="FH41" s="395"/>
      <c r="FI41" s="395"/>
      <c r="FJ41" s="395"/>
      <c r="FK41" s="395"/>
      <c r="FL41" s="395"/>
      <c r="FM41" s="395"/>
      <c r="FN41" s="395"/>
      <c r="FO41" s="395"/>
      <c r="FP41" s="395"/>
      <c r="FQ41" s="395"/>
      <c r="FR41" s="395"/>
      <c r="FS41" s="395"/>
      <c r="FT41" s="395"/>
      <c r="FU41" s="395"/>
      <c r="FV41" s="395"/>
      <c r="FW41" s="395"/>
      <c r="FX41" s="395"/>
      <c r="FY41" s="395"/>
      <c r="FZ41" s="395"/>
      <c r="GA41" s="395"/>
      <c r="GB41" s="395"/>
      <c r="GC41" s="395"/>
      <c r="GD41" s="395"/>
      <c r="GE41" s="395"/>
      <c r="GF41" s="395"/>
      <c r="GG41" s="395"/>
      <c r="GH41" s="395"/>
      <c r="GI41" s="395"/>
      <c r="GJ41" s="395"/>
      <c r="GK41" s="395"/>
      <c r="GL41" s="395"/>
      <c r="GM41" s="395"/>
      <c r="GN41" s="395"/>
      <c r="GO41" s="395"/>
      <c r="GP41" s="395"/>
      <c r="GQ41" s="395"/>
      <c r="GR41" s="395"/>
      <c r="GS41" s="395"/>
      <c r="GT41" s="395"/>
      <c r="GU41" s="395"/>
      <c r="GV41" s="395"/>
      <c r="GW41" s="395"/>
      <c r="GX41" s="395"/>
      <c r="GY41" s="395"/>
      <c r="GZ41" s="395"/>
      <c r="HA41" s="395"/>
      <c r="HB41" s="395"/>
      <c r="HC41" s="395"/>
      <c r="HD41" s="395"/>
      <c r="HE41" s="395"/>
      <c r="HF41" s="395"/>
      <c r="HG41" s="395"/>
      <c r="HH41" s="395"/>
      <c r="HI41" s="395"/>
      <c r="HJ41" s="395"/>
      <c r="HK41" s="395"/>
      <c r="HL41" s="395"/>
      <c r="HM41" s="395"/>
      <c r="HN41" s="395"/>
      <c r="HO41" s="395"/>
      <c r="HP41" s="395"/>
      <c r="HQ41" s="395"/>
      <c r="HR41" s="395"/>
    </row>
    <row r="42" spans="1:226" s="866" customFormat="1" ht="54" customHeight="1" x14ac:dyDescent="0.25">
      <c r="A42" s="348" t="s">
        <v>1038</v>
      </c>
      <c r="B42" s="3370" t="str">
        <f xml:space="preserve"> CONCATENATE("Report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",IF(SI_IP_Units="IP","0.5 Watts per square foot ","5.38 Watts per square meter"), " of electric miscellaneous equipment load with a 0.9 sensible ratio and 0.1 latent ratio in addition to the equipment load sources selected above.")</f>
        <v>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0.5 Watts per square foot  of electric miscellaneous equipment load with a 0.9 sensible ratio and 0.1 latent ratio in addition to the equipment load sources selected above.</v>
      </c>
      <c r="C42" s="3370"/>
      <c r="D42" s="3370"/>
      <c r="E42" s="3370"/>
      <c r="F42" s="3370"/>
      <c r="G42" s="3370"/>
      <c r="H42" s="3370"/>
      <c r="I42" s="3370"/>
      <c r="J42" s="3370"/>
      <c r="K42" s="3370"/>
      <c r="L42" s="3370"/>
      <c r="M42" s="3370"/>
      <c r="N42" s="3370"/>
      <c r="O42" s="3370"/>
      <c r="P42" s="3370"/>
      <c r="Q42" s="3370"/>
      <c r="R42" s="3370"/>
      <c r="S42" s="3370"/>
      <c r="T42" s="3370"/>
      <c r="U42" s="3370"/>
      <c r="V42" s="3370"/>
      <c r="W42" s="395"/>
      <c r="X42" s="395"/>
      <c r="Y42" s="395"/>
      <c r="Z42" s="2140"/>
      <c r="AA42" s="395"/>
      <c r="AB42" s="395"/>
      <c r="AC42" s="395"/>
      <c r="AD42" s="395"/>
      <c r="AE42" s="395"/>
      <c r="AF42" s="395"/>
      <c r="AG42" s="395"/>
      <c r="AH42" s="395"/>
      <c r="AI42" s="395"/>
      <c r="AJ42" s="395"/>
      <c r="AK42" s="395"/>
      <c r="AL42" s="395"/>
      <c r="AM42" s="395"/>
      <c r="AN42" s="395"/>
      <c r="AO42" s="395"/>
      <c r="AP42" s="395"/>
      <c r="AQ42" s="395"/>
      <c r="AR42" s="395"/>
      <c r="AS42" s="395"/>
      <c r="AT42" s="395"/>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5"/>
      <c r="BW42" s="395"/>
      <c r="BX42" s="395"/>
      <c r="BY42" s="395"/>
      <c r="BZ42" s="395"/>
      <c r="CA42" s="395"/>
      <c r="CB42" s="395"/>
      <c r="CC42" s="395"/>
      <c r="CD42" s="395"/>
      <c r="CE42" s="395"/>
      <c r="CF42" s="395"/>
      <c r="CG42" s="395"/>
      <c r="CH42" s="395"/>
      <c r="CI42" s="395"/>
      <c r="CJ42" s="395"/>
      <c r="CK42" s="395"/>
      <c r="CL42" s="395"/>
      <c r="CM42" s="395"/>
      <c r="CN42" s="395"/>
      <c r="CO42" s="395"/>
      <c r="CP42" s="395"/>
      <c r="CQ42" s="395"/>
      <c r="CR42" s="395"/>
      <c r="CS42" s="395"/>
      <c r="CT42" s="395"/>
      <c r="CU42" s="395"/>
      <c r="CV42" s="395"/>
      <c r="CW42" s="395"/>
      <c r="CX42" s="395"/>
      <c r="CY42" s="395"/>
      <c r="CZ42" s="395"/>
      <c r="DA42" s="395"/>
      <c r="DB42" s="395"/>
      <c r="DC42" s="395"/>
      <c r="DD42" s="395"/>
      <c r="DE42" s="395"/>
      <c r="DF42" s="395"/>
      <c r="DG42" s="395"/>
      <c r="DH42" s="395"/>
      <c r="DI42" s="395"/>
      <c r="DJ42" s="395"/>
      <c r="DK42" s="395"/>
      <c r="DL42" s="395"/>
      <c r="DM42" s="395"/>
      <c r="DN42" s="395"/>
      <c r="DO42" s="395"/>
      <c r="DP42" s="395"/>
      <c r="DQ42" s="395"/>
      <c r="DR42" s="395"/>
      <c r="DS42" s="395"/>
      <c r="DT42" s="395"/>
      <c r="DU42" s="395"/>
      <c r="DV42" s="395"/>
      <c r="DW42" s="395"/>
      <c r="DX42" s="395"/>
      <c r="DY42" s="395"/>
      <c r="DZ42" s="395"/>
      <c r="EA42" s="395"/>
      <c r="EB42" s="395"/>
      <c r="EC42" s="395"/>
      <c r="ED42" s="395"/>
      <c r="EE42" s="395"/>
      <c r="EF42" s="395"/>
      <c r="EG42" s="395"/>
      <c r="EH42" s="395"/>
      <c r="EI42" s="395"/>
      <c r="EJ42" s="395"/>
      <c r="EK42" s="395"/>
      <c r="EL42" s="395"/>
      <c r="EM42" s="395"/>
      <c r="EN42" s="395"/>
      <c r="EO42" s="395"/>
      <c r="EP42" s="395"/>
      <c r="EQ42" s="395"/>
      <c r="ER42" s="395"/>
      <c r="ES42" s="395"/>
      <c r="ET42" s="395"/>
      <c r="EU42" s="395"/>
      <c r="EV42" s="395"/>
      <c r="EW42" s="395"/>
      <c r="EX42" s="395"/>
      <c r="EY42" s="395"/>
      <c r="EZ42" s="395"/>
      <c r="FA42" s="395"/>
      <c r="FB42" s="395"/>
      <c r="FC42" s="395"/>
      <c r="FD42" s="395"/>
      <c r="FE42" s="395"/>
      <c r="FF42" s="395"/>
      <c r="FG42" s="395"/>
      <c r="FH42" s="395"/>
      <c r="FI42" s="395"/>
      <c r="FJ42" s="395"/>
      <c r="FK42" s="395"/>
      <c r="FL42" s="395"/>
      <c r="FM42" s="395"/>
      <c r="FN42" s="395"/>
      <c r="FO42" s="395"/>
      <c r="FP42" s="395"/>
      <c r="FQ42" s="395"/>
      <c r="FR42" s="395"/>
      <c r="FS42" s="395"/>
      <c r="FT42" s="395"/>
      <c r="FU42" s="395"/>
      <c r="FV42" s="395"/>
      <c r="FW42" s="395"/>
      <c r="FX42" s="395"/>
      <c r="FY42" s="395"/>
      <c r="FZ42" s="395"/>
      <c r="GA42" s="395"/>
      <c r="GB42" s="395"/>
      <c r="GC42" s="395"/>
      <c r="GD42" s="395"/>
      <c r="GE42" s="395"/>
      <c r="GF42" s="395"/>
      <c r="GG42" s="395"/>
      <c r="GH42" s="395"/>
      <c r="GI42" s="395"/>
      <c r="GJ42" s="395"/>
      <c r="GK42" s="395"/>
      <c r="GL42" s="395"/>
      <c r="GM42" s="395"/>
      <c r="GN42" s="395"/>
      <c r="GO42" s="395"/>
      <c r="GP42" s="395"/>
      <c r="GQ42" s="395"/>
      <c r="GR42" s="395"/>
      <c r="GS42" s="395"/>
      <c r="GT42" s="395"/>
      <c r="GU42" s="395"/>
      <c r="GV42" s="395"/>
      <c r="GW42" s="395"/>
      <c r="GX42" s="395"/>
      <c r="GY42" s="395"/>
      <c r="GZ42" s="395"/>
      <c r="HA42" s="395"/>
      <c r="HB42" s="395"/>
      <c r="HC42" s="395"/>
      <c r="HD42" s="395"/>
      <c r="HE42" s="395"/>
      <c r="HF42" s="395"/>
      <c r="HG42" s="395"/>
      <c r="HH42" s="395"/>
      <c r="HI42" s="395"/>
      <c r="HJ42" s="395"/>
      <c r="HK42" s="395"/>
      <c r="HL42" s="395"/>
      <c r="HM42" s="395"/>
      <c r="HN42" s="395"/>
      <c r="HO42" s="395"/>
      <c r="HP42" s="395"/>
      <c r="HQ42" s="395"/>
      <c r="HR42" s="395"/>
    </row>
    <row r="43" spans="1:226" s="866" customFormat="1" x14ac:dyDescent="0.25">
      <c r="A43" s="348" t="s">
        <v>1038</v>
      </c>
      <c r="B43" s="1602"/>
      <c r="C43" s="1602"/>
      <c r="D43" s="1602"/>
      <c r="E43" s="1602"/>
      <c r="F43" s="1602"/>
      <c r="G43" s="1602"/>
      <c r="H43" s="1602"/>
      <c r="I43" s="1602"/>
      <c r="J43" s="1602"/>
      <c r="K43" s="1602"/>
      <c r="L43" s="1602"/>
      <c r="M43" s="1602"/>
      <c r="N43" s="1602"/>
      <c r="O43" s="1602"/>
      <c r="P43" s="1602"/>
      <c r="Q43" s="1602"/>
      <c r="R43" s="1602"/>
      <c r="S43" s="1602"/>
      <c r="T43" s="1602"/>
      <c r="U43" s="1602"/>
      <c r="V43" s="1847"/>
      <c r="W43" s="395"/>
      <c r="X43" s="395"/>
      <c r="Y43" s="395"/>
      <c r="Z43" s="2140"/>
      <c r="AA43" s="395"/>
      <c r="AB43" s="395"/>
      <c r="AC43" s="395"/>
      <c r="AD43" s="395"/>
      <c r="AE43" s="395"/>
      <c r="AF43" s="395"/>
      <c r="AG43" s="395"/>
      <c r="AH43" s="395"/>
      <c r="AI43" s="395"/>
      <c r="AJ43" s="395"/>
      <c r="AK43" s="395"/>
      <c r="AL43" s="395"/>
      <c r="AM43" s="395"/>
      <c r="AN43" s="395"/>
      <c r="AO43" s="395"/>
      <c r="AP43" s="395"/>
      <c r="AQ43" s="395"/>
      <c r="AR43" s="395"/>
      <c r="AS43" s="395"/>
      <c r="AT43" s="395"/>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5"/>
      <c r="BW43" s="395"/>
      <c r="BX43" s="395"/>
      <c r="BY43" s="395"/>
      <c r="BZ43" s="395"/>
      <c r="CA43" s="395"/>
      <c r="CB43" s="395"/>
      <c r="CC43" s="395"/>
      <c r="CD43" s="395"/>
      <c r="CE43" s="395"/>
      <c r="CF43" s="395"/>
      <c r="CG43" s="395"/>
      <c r="CH43" s="395"/>
      <c r="CI43" s="395"/>
      <c r="CJ43" s="395"/>
      <c r="CK43" s="395"/>
      <c r="CL43" s="395"/>
      <c r="CM43" s="395"/>
      <c r="CN43" s="395"/>
      <c r="CO43" s="395"/>
      <c r="CP43" s="395"/>
      <c r="CQ43" s="395"/>
      <c r="CR43" s="395"/>
      <c r="CS43" s="395"/>
      <c r="CT43" s="395"/>
      <c r="CU43" s="395"/>
      <c r="CV43" s="395"/>
      <c r="CW43" s="395"/>
      <c r="CX43" s="395"/>
      <c r="CY43" s="395"/>
      <c r="CZ43" s="395"/>
      <c r="DA43" s="395"/>
      <c r="DB43" s="395"/>
      <c r="DC43" s="395"/>
      <c r="DD43" s="395"/>
      <c r="DE43" s="395"/>
      <c r="DF43" s="395"/>
      <c r="DG43" s="395"/>
      <c r="DH43" s="395"/>
      <c r="DI43" s="395"/>
      <c r="DJ43" s="395"/>
      <c r="DK43" s="395"/>
      <c r="DL43" s="395"/>
      <c r="DM43" s="395"/>
      <c r="DN43" s="395"/>
      <c r="DO43" s="395"/>
      <c r="DP43" s="395"/>
      <c r="DQ43" s="395"/>
      <c r="DR43" s="395"/>
      <c r="DS43" s="395"/>
      <c r="DT43" s="395"/>
      <c r="DU43" s="395"/>
      <c r="DV43" s="395"/>
      <c r="DW43" s="395"/>
      <c r="DX43" s="395"/>
      <c r="DY43" s="395"/>
      <c r="DZ43" s="395"/>
      <c r="EA43" s="395"/>
      <c r="EB43" s="395"/>
      <c r="EC43" s="395"/>
      <c r="ED43" s="395"/>
      <c r="EE43" s="395"/>
      <c r="EF43" s="395"/>
      <c r="EG43" s="395"/>
      <c r="EH43" s="395"/>
      <c r="EI43" s="395"/>
      <c r="EJ43" s="395"/>
      <c r="EK43" s="395"/>
      <c r="EL43" s="395"/>
      <c r="EM43" s="395"/>
      <c r="EN43" s="395"/>
      <c r="EO43" s="395"/>
      <c r="EP43" s="395"/>
      <c r="EQ43" s="395"/>
      <c r="ER43" s="395"/>
      <c r="ES43" s="395"/>
      <c r="ET43" s="395"/>
      <c r="EU43" s="395"/>
      <c r="EV43" s="395"/>
      <c r="EW43" s="395"/>
      <c r="EX43" s="395"/>
      <c r="EY43" s="395"/>
      <c r="EZ43" s="395"/>
      <c r="FA43" s="395"/>
      <c r="FB43" s="395"/>
      <c r="FC43" s="395"/>
      <c r="FD43" s="395"/>
      <c r="FE43" s="395"/>
      <c r="FF43" s="395"/>
      <c r="FG43" s="395"/>
      <c r="FH43" s="395"/>
      <c r="FI43" s="395"/>
      <c r="FJ43" s="395"/>
      <c r="FK43" s="395"/>
      <c r="FL43" s="395"/>
      <c r="FM43" s="395"/>
      <c r="FN43" s="395"/>
      <c r="FO43" s="395"/>
      <c r="FP43" s="395"/>
      <c r="FQ43" s="395"/>
      <c r="FR43" s="395"/>
      <c r="FS43" s="395"/>
      <c r="FT43" s="395"/>
      <c r="FU43" s="395"/>
      <c r="FV43" s="395"/>
      <c r="FW43" s="395"/>
      <c r="FX43" s="395"/>
      <c r="FY43" s="395"/>
      <c r="FZ43" s="395"/>
      <c r="GA43" s="395"/>
      <c r="GB43" s="395"/>
      <c r="GC43" s="395"/>
      <c r="GD43" s="395"/>
      <c r="GE43" s="395"/>
      <c r="GF43" s="395"/>
      <c r="GG43" s="395"/>
      <c r="GH43" s="395"/>
      <c r="GI43" s="395"/>
      <c r="GJ43" s="395"/>
      <c r="GK43" s="395"/>
      <c r="GL43" s="395"/>
      <c r="GM43" s="395"/>
      <c r="GN43" s="395"/>
      <c r="GO43" s="395"/>
      <c r="GP43" s="395"/>
      <c r="GQ43" s="395"/>
      <c r="GR43" s="395"/>
      <c r="GS43" s="395"/>
      <c r="GT43" s="395"/>
      <c r="GU43" s="395"/>
      <c r="GV43" s="395"/>
      <c r="GW43" s="395"/>
      <c r="GX43" s="395"/>
      <c r="GY43" s="395"/>
      <c r="GZ43" s="395"/>
      <c r="HA43" s="395"/>
      <c r="HB43" s="395"/>
      <c r="HC43" s="395"/>
      <c r="HD43" s="395"/>
      <c r="HE43" s="395"/>
      <c r="HF43" s="395"/>
      <c r="HG43" s="395"/>
      <c r="HH43" s="395"/>
      <c r="HI43" s="395"/>
      <c r="HJ43" s="395"/>
      <c r="HK43" s="395"/>
      <c r="HL43" s="395"/>
      <c r="HM43" s="395"/>
      <c r="HN43" s="395"/>
      <c r="HO43" s="395"/>
      <c r="HP43" s="395"/>
      <c r="HQ43" s="395"/>
      <c r="HR43" s="395"/>
    </row>
    <row r="44" spans="1:226" s="866" customFormat="1" ht="28.5" customHeight="1" x14ac:dyDescent="0.25">
      <c r="A44" s="348" t="s">
        <v>1038</v>
      </c>
      <c r="B44" s="3357" t="s">
        <v>1087</v>
      </c>
      <c r="C44" s="3357" t="s">
        <v>2418</v>
      </c>
      <c r="D44" s="3395" t="str">
        <f>CONCATENATE("Total Area of Dwelling Units",IF(SI_IP_Units="IP"," (square feet)"," (square meters)"))</f>
        <v>Total Area of Dwelling Units (square feet)</v>
      </c>
      <c r="E44" s="3395" t="s">
        <v>1236</v>
      </c>
      <c r="F44" s="2292" t="s">
        <v>1237</v>
      </c>
      <c r="G44" s="2292"/>
      <c r="H44" s="2292"/>
      <c r="I44" s="2292"/>
      <c r="J44" s="2292"/>
      <c r="K44" s="2292"/>
      <c r="L44" s="3400"/>
      <c r="M44" s="3401" t="s">
        <v>1254</v>
      </c>
      <c r="N44" s="3402"/>
      <c r="O44" s="3402"/>
      <c r="P44" s="3402"/>
      <c r="Q44" s="3402"/>
      <c r="R44" s="3402"/>
      <c r="S44" s="3400"/>
      <c r="T44" s="3400" t="str">
        <f>CONCATENATE("Dwelling Unit Equipment Hot Water Loads ",IF(SI_IP_Units="IP","(gallons/year)","(Liters/year)"))</f>
        <v>Dwelling Unit Equipment Hot Water Loads (gallons/year)</v>
      </c>
      <c r="U44" s="3400"/>
      <c r="V44" s="3390" t="s">
        <v>2544</v>
      </c>
      <c r="W44" s="395"/>
      <c r="X44" s="395"/>
      <c r="Y44" s="395"/>
      <c r="Z44" s="2140"/>
      <c r="AA44" s="395"/>
      <c r="AB44" s="395"/>
      <c r="AC44" s="395"/>
      <c r="AD44" s="395"/>
      <c r="AE44" s="395"/>
      <c r="AF44" s="395"/>
      <c r="AG44" s="395"/>
      <c r="AH44" s="395"/>
      <c r="AI44" s="395"/>
      <c r="AJ44" s="395"/>
      <c r="AK44" s="395"/>
      <c r="AL44" s="395"/>
      <c r="AM44" s="395"/>
      <c r="AN44" s="395"/>
      <c r="AO44" s="395"/>
      <c r="AP44" s="395"/>
      <c r="AQ44" s="395"/>
      <c r="AR44" s="395"/>
      <c r="AS44" s="395"/>
      <c r="AT44" s="395"/>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5"/>
      <c r="BW44" s="395"/>
      <c r="BX44" s="395"/>
      <c r="BY44" s="395"/>
      <c r="BZ44" s="395"/>
      <c r="CA44" s="395"/>
      <c r="CB44" s="395"/>
      <c r="CC44" s="395"/>
      <c r="CD44" s="395"/>
      <c r="CE44" s="395"/>
      <c r="CF44" s="395"/>
      <c r="CG44" s="395"/>
      <c r="CH44" s="395"/>
      <c r="CI44" s="395"/>
      <c r="CJ44" s="395"/>
      <c r="CK44" s="395"/>
      <c r="CL44" s="395"/>
      <c r="CM44" s="395"/>
      <c r="CN44" s="395"/>
      <c r="CO44" s="395"/>
      <c r="CP44" s="395"/>
      <c r="CQ44" s="395"/>
      <c r="CR44" s="395"/>
      <c r="CS44" s="395"/>
      <c r="CT44" s="395"/>
      <c r="CU44" s="395"/>
      <c r="CV44" s="395"/>
      <c r="CW44" s="395"/>
      <c r="CX44" s="395"/>
      <c r="CY44" s="395"/>
      <c r="CZ44" s="395"/>
      <c r="DA44" s="395"/>
      <c r="DB44" s="395"/>
      <c r="DC44" s="395"/>
      <c r="DD44" s="395"/>
      <c r="DE44" s="395"/>
      <c r="DF44" s="395"/>
      <c r="DG44" s="395"/>
      <c r="DH44" s="395"/>
      <c r="DI44" s="395"/>
      <c r="DJ44" s="395"/>
      <c r="DK44" s="395"/>
      <c r="DL44" s="395"/>
      <c r="DM44" s="395"/>
      <c r="DN44" s="395"/>
      <c r="DO44" s="395"/>
      <c r="DP44" s="395"/>
      <c r="DQ44" s="395"/>
      <c r="DR44" s="395"/>
      <c r="DS44" s="395"/>
      <c r="DT44" s="395"/>
      <c r="DU44" s="395"/>
      <c r="DV44" s="395"/>
      <c r="DW44" s="395"/>
      <c r="DX44" s="395"/>
      <c r="DY44" s="395"/>
      <c r="DZ44" s="395"/>
      <c r="EA44" s="395"/>
      <c r="EB44" s="395"/>
      <c r="EC44" s="395"/>
      <c r="ED44" s="395"/>
      <c r="EE44" s="395"/>
      <c r="EF44" s="395"/>
      <c r="EG44" s="395"/>
      <c r="EH44" s="395"/>
      <c r="EI44" s="395"/>
      <c r="EJ44" s="395"/>
      <c r="EK44" s="395"/>
      <c r="EL44" s="395"/>
      <c r="EM44" s="395"/>
      <c r="EN44" s="395"/>
      <c r="EO44" s="395"/>
      <c r="EP44" s="395"/>
      <c r="EQ44" s="395"/>
      <c r="ER44" s="395"/>
      <c r="ES44" s="395"/>
      <c r="ET44" s="395"/>
      <c r="EU44" s="395"/>
      <c r="EV44" s="395"/>
      <c r="EW44" s="395"/>
      <c r="EX44" s="395"/>
      <c r="EY44" s="395"/>
      <c r="EZ44" s="395"/>
      <c r="FA44" s="395"/>
      <c r="FB44" s="395"/>
      <c r="FC44" s="395"/>
      <c r="FD44" s="395"/>
      <c r="FE44" s="395"/>
      <c r="FF44" s="395"/>
      <c r="FG44" s="395"/>
      <c r="FH44" s="395"/>
      <c r="FI44" s="395"/>
      <c r="FJ44" s="395"/>
      <c r="FK44" s="395"/>
      <c r="FL44" s="395"/>
      <c r="FM44" s="395"/>
      <c r="FN44" s="395"/>
      <c r="FO44" s="395"/>
      <c r="FP44" s="395"/>
      <c r="FQ44" s="395"/>
      <c r="FR44" s="395"/>
      <c r="FS44" s="395"/>
      <c r="FT44" s="395"/>
      <c r="FU44" s="395"/>
      <c r="FV44" s="395"/>
      <c r="FW44" s="395"/>
      <c r="FX44" s="395"/>
      <c r="FY44" s="395"/>
      <c r="FZ44" s="395"/>
      <c r="GA44" s="395"/>
      <c r="GB44" s="395"/>
      <c r="GC44" s="395"/>
      <c r="GD44" s="395"/>
      <c r="GE44" s="395"/>
      <c r="GF44" s="395"/>
      <c r="GG44" s="395"/>
      <c r="GH44" s="395"/>
      <c r="GI44" s="395"/>
      <c r="GJ44" s="395"/>
      <c r="GK44" s="395"/>
      <c r="GL44" s="395"/>
      <c r="GM44" s="395"/>
      <c r="GN44" s="395"/>
      <c r="GO44" s="395"/>
      <c r="GP44" s="395"/>
      <c r="GQ44" s="395"/>
      <c r="GR44" s="395"/>
      <c r="GS44" s="395"/>
      <c r="GT44" s="395"/>
      <c r="GU44" s="395"/>
      <c r="GV44" s="395"/>
      <c r="GW44" s="395"/>
      <c r="GX44" s="395"/>
      <c r="GY44" s="395"/>
      <c r="GZ44" s="395"/>
      <c r="HA44" s="395"/>
      <c r="HB44" s="395"/>
      <c r="HC44" s="395"/>
      <c r="HD44" s="395"/>
      <c r="HE44" s="395"/>
      <c r="HF44" s="395"/>
      <c r="HG44" s="395"/>
      <c r="HH44" s="395"/>
      <c r="HI44" s="395"/>
      <c r="HJ44" s="395"/>
    </row>
    <row r="45" spans="1:226" s="866" customFormat="1" x14ac:dyDescent="0.25">
      <c r="A45" s="348" t="s">
        <v>1038</v>
      </c>
      <c r="B45" s="3357"/>
      <c r="C45" s="3357"/>
      <c r="D45" s="3395"/>
      <c r="E45" s="3395"/>
      <c r="F45" s="1461" t="s">
        <v>272</v>
      </c>
      <c r="G45" s="1461"/>
      <c r="H45" s="1461"/>
      <c r="I45" s="1461" t="s">
        <v>273</v>
      </c>
      <c r="J45" s="1461"/>
      <c r="K45" s="1461"/>
      <c r="L45" s="3400"/>
      <c r="M45" s="3401" t="s">
        <v>272</v>
      </c>
      <c r="N45" s="3403"/>
      <c r="O45" s="3403"/>
      <c r="P45" s="3401" t="s">
        <v>273</v>
      </c>
      <c r="Q45" s="3403"/>
      <c r="R45" s="3403"/>
      <c r="S45" s="3400"/>
      <c r="T45" s="3400"/>
      <c r="U45" s="3400"/>
      <c r="V45" s="3391"/>
      <c r="W45" s="395"/>
      <c r="X45" s="395"/>
      <c r="Y45" s="395"/>
      <c r="Z45" s="2140"/>
      <c r="AA45" s="395"/>
      <c r="AB45" s="395"/>
      <c r="AC45" s="395"/>
      <c r="AD45" s="395"/>
      <c r="AE45" s="395"/>
      <c r="AF45" s="395"/>
      <c r="AG45" s="395"/>
      <c r="AH45" s="395"/>
      <c r="AI45" s="395"/>
      <c r="AJ45" s="395"/>
      <c r="AK45" s="395"/>
      <c r="AL45" s="395"/>
      <c r="AM45" s="395"/>
      <c r="AN45" s="395"/>
      <c r="AO45" s="395"/>
      <c r="AP45" s="395"/>
      <c r="AQ45" s="395"/>
      <c r="AR45" s="395"/>
      <c r="AS45" s="395"/>
      <c r="AT45" s="395"/>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5"/>
      <c r="BW45" s="395"/>
      <c r="BX45" s="395"/>
      <c r="BY45" s="395"/>
      <c r="BZ45" s="395"/>
      <c r="CA45" s="395"/>
      <c r="CB45" s="395"/>
      <c r="CC45" s="395"/>
      <c r="CD45" s="395"/>
      <c r="CE45" s="395"/>
      <c r="CF45" s="395"/>
      <c r="CG45" s="395"/>
      <c r="CH45" s="395"/>
      <c r="CI45" s="395"/>
      <c r="CJ45" s="395"/>
      <c r="CK45" s="395"/>
      <c r="CL45" s="395"/>
      <c r="CM45" s="395"/>
      <c r="CN45" s="395"/>
      <c r="CO45" s="395"/>
      <c r="CP45" s="395"/>
      <c r="CQ45" s="395"/>
      <c r="CR45" s="395"/>
      <c r="CS45" s="395"/>
      <c r="CT45" s="395"/>
      <c r="CU45" s="395"/>
      <c r="CV45" s="395"/>
      <c r="CW45" s="395"/>
      <c r="CX45" s="395"/>
      <c r="CY45" s="395"/>
      <c r="CZ45" s="395"/>
      <c r="DA45" s="395"/>
      <c r="DB45" s="395"/>
      <c r="DC45" s="395"/>
      <c r="DD45" s="395"/>
      <c r="DE45" s="395"/>
      <c r="DF45" s="395"/>
      <c r="DG45" s="395"/>
      <c r="DH45" s="395"/>
      <c r="DI45" s="395"/>
      <c r="DJ45" s="395"/>
      <c r="DK45" s="395"/>
      <c r="DL45" s="395"/>
      <c r="DM45" s="395"/>
      <c r="DN45" s="395"/>
      <c r="DO45" s="395"/>
      <c r="DP45" s="395"/>
      <c r="DQ45" s="395"/>
      <c r="DR45" s="395"/>
      <c r="DS45" s="395"/>
      <c r="DT45" s="395"/>
      <c r="DU45" s="395"/>
      <c r="DV45" s="395"/>
      <c r="DW45" s="395"/>
      <c r="DX45" s="395"/>
      <c r="DY45" s="395"/>
      <c r="DZ45" s="395"/>
      <c r="EA45" s="395"/>
      <c r="EB45" s="395"/>
      <c r="EC45" s="395"/>
      <c r="ED45" s="395"/>
      <c r="EE45" s="395"/>
      <c r="EF45" s="395"/>
      <c r="EG45" s="395"/>
      <c r="EH45" s="395"/>
      <c r="EI45" s="395"/>
      <c r="EJ45" s="395"/>
      <c r="EK45" s="395"/>
      <c r="EL45" s="395"/>
      <c r="EM45" s="395"/>
      <c r="EN45" s="395"/>
      <c r="EO45" s="395"/>
      <c r="EP45" s="395"/>
      <c r="EQ45" s="395"/>
      <c r="ER45" s="395"/>
      <c r="ES45" s="395"/>
      <c r="ET45" s="395"/>
      <c r="EU45" s="395"/>
      <c r="EV45" s="395"/>
      <c r="EW45" s="395"/>
      <c r="EX45" s="395"/>
      <c r="EY45" s="395"/>
      <c r="EZ45" s="395"/>
      <c r="FA45" s="395"/>
      <c r="FB45" s="395"/>
      <c r="FC45" s="395"/>
      <c r="FD45" s="395"/>
      <c r="FE45" s="395"/>
      <c r="FF45" s="395"/>
      <c r="FG45" s="395"/>
      <c r="FH45" s="395"/>
      <c r="FI45" s="395"/>
      <c r="FJ45" s="395"/>
      <c r="FK45" s="395"/>
      <c r="FL45" s="395"/>
      <c r="FM45" s="395"/>
      <c r="FN45" s="395"/>
      <c r="FO45" s="395"/>
      <c r="FP45" s="395"/>
      <c r="FQ45" s="395"/>
      <c r="FR45" s="395"/>
      <c r="FS45" s="395"/>
      <c r="FT45" s="395"/>
      <c r="FU45" s="395"/>
      <c r="FV45" s="395"/>
      <c r="FW45" s="395"/>
      <c r="FX45" s="395"/>
      <c r="FY45" s="395"/>
      <c r="FZ45" s="395"/>
      <c r="GA45" s="395"/>
      <c r="GB45" s="395"/>
      <c r="GC45" s="395"/>
      <c r="GD45" s="395"/>
      <c r="GE45" s="395"/>
      <c r="GF45" s="395"/>
      <c r="GG45" s="395"/>
      <c r="GH45" s="395"/>
      <c r="GI45" s="395"/>
      <c r="GJ45" s="395"/>
      <c r="GK45" s="395"/>
      <c r="GL45" s="395"/>
      <c r="GM45" s="395"/>
      <c r="GN45" s="395"/>
      <c r="GO45" s="395"/>
      <c r="GP45" s="395"/>
      <c r="GQ45" s="395"/>
      <c r="GR45" s="395"/>
      <c r="GS45" s="395"/>
      <c r="GT45" s="395"/>
      <c r="GU45" s="395"/>
      <c r="GV45" s="395"/>
      <c r="GW45" s="395"/>
      <c r="GX45" s="395"/>
      <c r="GY45" s="395"/>
      <c r="GZ45" s="395"/>
      <c r="HA45" s="395"/>
      <c r="HB45" s="395"/>
      <c r="HC45" s="395"/>
      <c r="HD45" s="395"/>
      <c r="HE45" s="395"/>
      <c r="HF45" s="395"/>
      <c r="HG45" s="395"/>
      <c r="HH45" s="395"/>
      <c r="HI45" s="395"/>
      <c r="HJ45" s="395"/>
    </row>
    <row r="46" spans="1:226" s="866" customFormat="1" ht="73.5" customHeight="1" x14ac:dyDescent="0.25">
      <c r="A46" s="348" t="s">
        <v>1038</v>
      </c>
      <c r="B46" s="3357"/>
      <c r="C46" s="3357"/>
      <c r="D46" s="3395"/>
      <c r="E46" s="3395"/>
      <c r="F46" s="1491" t="str">
        <f>CONCATENATE("Equipment Power Density ", IF(SI_IP_Units="IP","(Watts/ sq ft)","(Watts/ sq m)"))</f>
        <v>Equipment Power Density (Watts/ sq ft)</v>
      </c>
      <c r="G46" s="1354" t="s">
        <v>1193</v>
      </c>
      <c r="H46" s="1354" t="s">
        <v>1192</v>
      </c>
      <c r="I46" s="1491" t="str">
        <f>CONCATENATE("Equipment Power Density ", IF(SI_IP_Units="IP","(Watts/ sq ft)","(Watts/ sq m)"))</f>
        <v>Equipment Power Density (Watts/ sq ft)</v>
      </c>
      <c r="J46" s="1354" t="s">
        <v>1193</v>
      </c>
      <c r="K46" s="1354" t="s">
        <v>1192</v>
      </c>
      <c r="L46" s="3400"/>
      <c r="M46" s="1491" t="str">
        <f>CONCATENATE("Equipment Power Density ", IF(SI_IP_Units="IP","(Btu/ sq ft)","(Watts/ sq m)"))</f>
        <v>Equipment Power Density (Btu/ sq ft)</v>
      </c>
      <c r="N46" s="1354" t="s">
        <v>1193</v>
      </c>
      <c r="O46" s="1354" t="s">
        <v>1192</v>
      </c>
      <c r="P46" s="1491" t="str">
        <f>CONCATENATE("Equipment Power Density ",  IF(SI_IP_Units="IP","(Btu/ sq ft)","(Watts/ sq m)"))</f>
        <v>Equipment Power Density (Btu/ sq ft)</v>
      </c>
      <c r="Q46" s="1354" t="s">
        <v>1193</v>
      </c>
      <c r="R46" s="1354" t="s">
        <v>1192</v>
      </c>
      <c r="S46" s="3400"/>
      <c r="T46" s="1603" t="s">
        <v>1267</v>
      </c>
      <c r="U46" s="1604" t="s">
        <v>273</v>
      </c>
      <c r="V46" s="3392"/>
      <c r="W46" s="395"/>
      <c r="X46" s="395"/>
      <c r="Y46" s="395"/>
      <c r="Z46" s="2140"/>
      <c r="AA46" s="395"/>
      <c r="AB46" s="395"/>
      <c r="AC46" s="395"/>
      <c r="AD46" s="395"/>
      <c r="AE46" s="395"/>
      <c r="AF46" s="395"/>
      <c r="AG46" s="395"/>
      <c r="AH46" s="395"/>
      <c r="AI46" s="395"/>
      <c r="AJ46" s="395"/>
      <c r="AK46" s="395"/>
      <c r="AL46" s="395"/>
      <c r="AM46" s="395"/>
      <c r="AN46" s="395"/>
      <c r="AO46" s="395"/>
      <c r="AP46" s="395"/>
      <c r="AQ46" s="395"/>
      <c r="AR46" s="395"/>
      <c r="AS46" s="395"/>
      <c r="AT46" s="395"/>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5"/>
      <c r="BW46" s="395"/>
      <c r="BX46" s="395"/>
      <c r="BY46" s="395"/>
      <c r="BZ46" s="395"/>
      <c r="CA46" s="395"/>
      <c r="CB46" s="395"/>
      <c r="CC46" s="395"/>
      <c r="CD46" s="395"/>
      <c r="CE46" s="395"/>
      <c r="CF46" s="395"/>
      <c r="CG46" s="395"/>
      <c r="CH46" s="395"/>
      <c r="CI46" s="395"/>
      <c r="CJ46" s="395"/>
      <c r="CK46" s="395"/>
      <c r="CL46" s="395"/>
      <c r="CM46" s="395"/>
      <c r="CN46" s="395"/>
      <c r="CO46" s="395"/>
      <c r="CP46" s="395"/>
      <c r="CQ46" s="395"/>
      <c r="CR46" s="395"/>
      <c r="CS46" s="395"/>
      <c r="CT46" s="395"/>
      <c r="CU46" s="395"/>
      <c r="CV46" s="395"/>
      <c r="CW46" s="395"/>
      <c r="CX46" s="395"/>
      <c r="CY46" s="395"/>
      <c r="CZ46" s="395"/>
      <c r="DA46" s="395"/>
      <c r="DB46" s="395"/>
      <c r="DC46" s="395"/>
      <c r="DD46" s="395"/>
      <c r="DE46" s="395"/>
      <c r="DF46" s="395"/>
      <c r="DG46" s="395"/>
      <c r="DH46" s="395"/>
      <c r="DI46" s="395"/>
      <c r="DJ46" s="395"/>
      <c r="DK46" s="395"/>
      <c r="DL46" s="395"/>
      <c r="DM46" s="395"/>
      <c r="DN46" s="395"/>
      <c r="DO46" s="395"/>
      <c r="DP46" s="395"/>
      <c r="DQ46" s="395"/>
      <c r="DR46" s="395"/>
      <c r="DS46" s="395"/>
      <c r="DT46" s="395"/>
      <c r="DU46" s="395"/>
      <c r="DV46" s="395"/>
      <c r="DW46" s="395"/>
      <c r="DX46" s="395"/>
      <c r="DY46" s="395"/>
      <c r="DZ46" s="395"/>
      <c r="EA46" s="395"/>
      <c r="EB46" s="395"/>
      <c r="EC46" s="395"/>
      <c r="ED46" s="395"/>
      <c r="EE46" s="395"/>
      <c r="EF46" s="395"/>
      <c r="EG46" s="395"/>
      <c r="EH46" s="395"/>
      <c r="EI46" s="395"/>
      <c r="EJ46" s="395"/>
      <c r="EK46" s="395"/>
      <c r="EL46" s="395"/>
      <c r="EM46" s="395"/>
      <c r="EN46" s="395"/>
      <c r="EO46" s="395"/>
      <c r="EP46" s="395"/>
      <c r="EQ46" s="395"/>
      <c r="ER46" s="395"/>
      <c r="ES46" s="395"/>
      <c r="ET46" s="395"/>
      <c r="EU46" s="395"/>
      <c r="EV46" s="395"/>
      <c r="EW46" s="395"/>
      <c r="EX46" s="395"/>
      <c r="EY46" s="395"/>
      <c r="EZ46" s="395"/>
      <c r="FA46" s="395"/>
      <c r="FB46" s="395"/>
      <c r="FC46" s="395"/>
      <c r="FD46" s="395"/>
      <c r="FE46" s="395"/>
      <c r="FF46" s="395"/>
      <c r="FG46" s="395"/>
      <c r="FH46" s="395"/>
      <c r="FI46" s="395"/>
      <c r="FJ46" s="395"/>
      <c r="FK46" s="395"/>
      <c r="FL46" s="395"/>
      <c r="FM46" s="395"/>
      <c r="FN46" s="395"/>
      <c r="FO46" s="395"/>
      <c r="FP46" s="395"/>
      <c r="FQ46" s="395"/>
      <c r="FR46" s="395"/>
      <c r="FS46" s="395"/>
      <c r="FT46" s="395"/>
      <c r="FU46" s="395"/>
      <c r="FV46" s="395"/>
      <c r="FW46" s="395"/>
      <c r="FX46" s="395"/>
      <c r="FY46" s="395"/>
      <c r="FZ46" s="395"/>
      <c r="GA46" s="395"/>
      <c r="GB46" s="395"/>
      <c r="GC46" s="395"/>
      <c r="GD46" s="395"/>
      <c r="GE46" s="395"/>
      <c r="GF46" s="395"/>
      <c r="GG46" s="395"/>
      <c r="GH46" s="395"/>
      <c r="GI46" s="395"/>
      <c r="GJ46" s="395"/>
      <c r="GK46" s="395"/>
      <c r="GL46" s="395"/>
      <c r="GM46" s="395"/>
      <c r="GN46" s="395"/>
      <c r="GO46" s="395"/>
      <c r="GP46" s="395"/>
      <c r="GQ46" s="395"/>
      <c r="GR46" s="395"/>
      <c r="GS46" s="395"/>
      <c r="GT46" s="395"/>
      <c r="GU46" s="395"/>
      <c r="GV46" s="395"/>
      <c r="GW46" s="395"/>
      <c r="GX46" s="395"/>
      <c r="GY46" s="395"/>
      <c r="GZ46" s="395"/>
      <c r="HA46" s="395"/>
      <c r="HB46" s="395"/>
      <c r="HC46" s="395"/>
      <c r="HD46" s="395"/>
      <c r="HE46" s="395"/>
      <c r="HF46" s="395"/>
      <c r="HG46" s="395"/>
      <c r="HH46" s="395"/>
      <c r="HI46" s="395"/>
      <c r="HJ46" s="395"/>
    </row>
    <row r="47" spans="1:226" s="866" customFormat="1" ht="41.4" hidden="1" x14ac:dyDescent="0.25">
      <c r="A47" s="348" t="s">
        <v>1038</v>
      </c>
      <c r="B47" s="1358" t="str">
        <f>B44</f>
        <v>Building ID</v>
      </c>
      <c r="C47" s="1358" t="s">
        <v>1113</v>
      </c>
      <c r="D47" s="1367" t="s">
        <v>1253</v>
      </c>
      <c r="E47" s="1367" t="s">
        <v>1231</v>
      </c>
      <c r="F47" s="1367" t="s">
        <v>1257</v>
      </c>
      <c r="G47" s="1367" t="s">
        <v>1255</v>
      </c>
      <c r="H47" s="1605" t="s">
        <v>1256</v>
      </c>
      <c r="I47" s="1367" t="s">
        <v>1258</v>
      </c>
      <c r="J47" s="1367" t="s">
        <v>1259</v>
      </c>
      <c r="K47" s="1605" t="s">
        <v>1260</v>
      </c>
      <c r="L47" s="1367" t="s">
        <v>1232</v>
      </c>
      <c r="M47" s="1367" t="s">
        <v>1261</v>
      </c>
      <c r="N47" s="1605" t="s">
        <v>1262</v>
      </c>
      <c r="O47" s="1605" t="s">
        <v>1263</v>
      </c>
      <c r="P47" s="1367" t="s">
        <v>1264</v>
      </c>
      <c r="Q47" s="1605" t="s">
        <v>1265</v>
      </c>
      <c r="R47" s="1605" t="s">
        <v>1266</v>
      </c>
      <c r="S47" s="1367" t="s">
        <v>1233</v>
      </c>
      <c r="T47" s="1605" t="s">
        <v>1268</v>
      </c>
      <c r="U47" s="1605" t="s">
        <v>1269</v>
      </c>
      <c r="V47" s="1498"/>
      <c r="W47" s="395"/>
      <c r="X47" s="395"/>
      <c r="Y47" s="395"/>
      <c r="Z47" s="2140"/>
      <c r="AA47" s="395"/>
      <c r="AB47" s="395"/>
      <c r="AC47" s="395"/>
      <c r="AD47" s="395"/>
      <c r="AE47" s="395"/>
      <c r="AF47" s="395"/>
      <c r="AG47" s="395"/>
      <c r="AH47" s="395"/>
      <c r="AI47" s="395"/>
      <c r="AJ47" s="395"/>
      <c r="AK47" s="395"/>
      <c r="AL47" s="395"/>
      <c r="AM47" s="395"/>
      <c r="AN47" s="395"/>
      <c r="AO47" s="395"/>
      <c r="AP47" s="395"/>
      <c r="AQ47" s="395"/>
      <c r="AR47" s="395"/>
      <c r="AS47" s="395"/>
      <c r="AT47" s="395"/>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5"/>
      <c r="BW47" s="395"/>
      <c r="BX47" s="395"/>
      <c r="BY47" s="395"/>
      <c r="BZ47" s="395"/>
      <c r="CA47" s="395"/>
      <c r="CB47" s="395"/>
      <c r="CC47" s="395"/>
      <c r="CD47" s="395"/>
      <c r="CE47" s="395"/>
      <c r="CF47" s="395"/>
      <c r="CG47" s="395"/>
      <c r="CH47" s="395"/>
      <c r="CI47" s="395"/>
      <c r="CJ47" s="395"/>
      <c r="CK47" s="395"/>
      <c r="CL47" s="395"/>
      <c r="CM47" s="395"/>
      <c r="CN47" s="395"/>
      <c r="CO47" s="395"/>
      <c r="CP47" s="395"/>
      <c r="CQ47" s="395"/>
      <c r="CR47" s="395"/>
      <c r="CS47" s="395"/>
      <c r="CT47" s="395"/>
      <c r="CU47" s="395"/>
      <c r="CV47" s="395"/>
      <c r="CW47" s="395"/>
      <c r="CX47" s="395"/>
      <c r="CY47" s="395"/>
      <c r="CZ47" s="395"/>
      <c r="DA47" s="395"/>
      <c r="DB47" s="395"/>
      <c r="DC47" s="395"/>
      <c r="DD47" s="395"/>
      <c r="DE47" s="395"/>
      <c r="DF47" s="395"/>
      <c r="DG47" s="395"/>
      <c r="DH47" s="395"/>
      <c r="DI47" s="395"/>
      <c r="DJ47" s="395"/>
      <c r="DK47" s="395"/>
      <c r="DL47" s="395"/>
      <c r="DM47" s="395"/>
      <c r="DN47" s="395"/>
      <c r="DO47" s="395"/>
      <c r="DP47" s="395"/>
      <c r="DQ47" s="395"/>
      <c r="DR47" s="395"/>
      <c r="DS47" s="395"/>
      <c r="DT47" s="395"/>
      <c r="DU47" s="395"/>
      <c r="DV47" s="395"/>
      <c r="DW47" s="395"/>
      <c r="DX47" s="395"/>
      <c r="DY47" s="395"/>
      <c r="DZ47" s="395"/>
      <c r="EA47" s="395"/>
      <c r="EB47" s="395"/>
      <c r="EC47" s="395"/>
      <c r="ED47" s="395"/>
      <c r="EE47" s="395"/>
      <c r="EF47" s="395"/>
      <c r="EG47" s="395"/>
      <c r="EH47" s="395"/>
      <c r="EI47" s="395"/>
      <c r="EJ47" s="395"/>
      <c r="EK47" s="395"/>
      <c r="EL47" s="395"/>
      <c r="EM47" s="395"/>
      <c r="EN47" s="395"/>
      <c r="EO47" s="395"/>
      <c r="EP47" s="395"/>
      <c r="EQ47" s="395"/>
      <c r="ER47" s="395"/>
      <c r="ES47" s="395"/>
      <c r="ET47" s="395"/>
      <c r="EU47" s="395"/>
      <c r="EV47" s="395"/>
      <c r="EW47" s="395"/>
      <c r="EX47" s="395"/>
      <c r="EY47" s="395"/>
      <c r="EZ47" s="395"/>
      <c r="FA47" s="395"/>
      <c r="FB47" s="395"/>
      <c r="FC47" s="395"/>
      <c r="FD47" s="395"/>
      <c r="FE47" s="395"/>
      <c r="FF47" s="395"/>
      <c r="FG47" s="395"/>
      <c r="FH47" s="395"/>
      <c r="FI47" s="395"/>
      <c r="FJ47" s="395"/>
      <c r="FK47" s="395"/>
      <c r="FL47" s="395"/>
      <c r="FM47" s="395"/>
      <c r="FN47" s="395"/>
      <c r="FO47" s="395"/>
      <c r="FP47" s="395"/>
      <c r="FQ47" s="395"/>
      <c r="FR47" s="395"/>
      <c r="FS47" s="395"/>
      <c r="FT47" s="395"/>
      <c r="FU47" s="395"/>
      <c r="FV47" s="395"/>
      <c r="FW47" s="395"/>
      <c r="FX47" s="395"/>
      <c r="FY47" s="395"/>
      <c r="FZ47" s="395"/>
      <c r="GA47" s="395"/>
      <c r="GB47" s="395"/>
      <c r="GC47" s="395"/>
      <c r="GD47" s="395"/>
      <c r="GE47" s="395"/>
      <c r="GF47" s="395"/>
      <c r="GG47" s="395"/>
      <c r="GH47" s="395"/>
      <c r="GI47" s="395"/>
      <c r="GJ47" s="395"/>
      <c r="GK47" s="395"/>
      <c r="GL47" s="395"/>
      <c r="GM47" s="395"/>
      <c r="GN47" s="395"/>
      <c r="GO47" s="395"/>
      <c r="GP47" s="395"/>
      <c r="GQ47" s="395"/>
      <c r="GR47" s="395"/>
      <c r="GS47" s="395"/>
      <c r="GT47" s="395"/>
      <c r="GU47" s="395"/>
      <c r="GV47" s="395"/>
      <c r="GW47" s="395"/>
      <c r="GX47" s="395"/>
      <c r="GY47" s="395"/>
      <c r="GZ47" s="395"/>
      <c r="HA47" s="395"/>
      <c r="HB47" s="395"/>
      <c r="HC47" s="395"/>
      <c r="HD47" s="395"/>
      <c r="HE47" s="395"/>
      <c r="HF47" s="395"/>
      <c r="HG47" s="395"/>
      <c r="HH47" s="395"/>
      <c r="HI47" s="395"/>
      <c r="HJ47" s="395"/>
    </row>
    <row r="48" spans="1:226" s="866" customFormat="1" ht="21.75" customHeight="1" x14ac:dyDescent="0.25">
      <c r="A48" s="348" t="s">
        <v>1038</v>
      </c>
      <c r="B48" s="1632"/>
      <c r="C48" s="372" t="s">
        <v>2419</v>
      </c>
      <c r="D48" s="2090">
        <f>INDEX(MD_BUS_SumTable,MATCH($B48,MD_BUS_SumIndex,0),MATCH($H$21,MD_BUS_SumHdr,0))</f>
        <v>0</v>
      </c>
      <c r="E48" s="2090">
        <v>8760</v>
      </c>
      <c r="F48" s="407" t="str">
        <f>IFERROR((SUM(H32:H36))/E48*1000/D48,"")</f>
        <v/>
      </c>
      <c r="G48" s="407" t="str">
        <f>IFERROR(SUMPRODUCT(H32:H36,J32:J36)/SUM(H32:H36),"")</f>
        <v/>
      </c>
      <c r="H48" s="368" t="str">
        <f>IFERROR(SUMPRODUCT(H32:H36,K32:K36)/SUM(H32:H36),"")</f>
        <v/>
      </c>
      <c r="I48" s="368" t="str">
        <f>IFERROR((SUM(I32:I36))/E48*1000/D48,"")</f>
        <v/>
      </c>
      <c r="J48" s="368" t="str">
        <f>IFERROR(SUMPRODUCT(I32:I36,J32:J36)/SUM(I32:I36),"")</f>
        <v/>
      </c>
      <c r="K48" s="368" t="str">
        <f>IFERROR(SUMPRODUCT(I32:I36,K32:K36)/SUM(I32:I36),"")</f>
        <v/>
      </c>
      <c r="L48" s="1366"/>
      <c r="M48" s="369" t="str">
        <f>IFERROR((SUM(M32:M36))/E48/D48*IF(SI_IP_Units="IP",100000,1000),"")</f>
        <v/>
      </c>
      <c r="N48" s="369">
        <f>IFERROR(IF(SUM(O35:O36)=0,0,SUMPRODUCT(M32:M36,O32:O36)/SUM(M32:M36)),"")</f>
        <v>0</v>
      </c>
      <c r="O48" s="369">
        <f>IFERROR(IF(SUM(P35:P36)=0,0,SUMPRODUCT(M32:M36,P32:P36)/SUM(M32:M36)),"")</f>
        <v>0</v>
      </c>
      <c r="P48" s="369" t="str">
        <f>IFERROR((SUM(N32:N36))/E48/D48*IF(SI_IP_Units="IP",100000,1000),"")</f>
        <v/>
      </c>
      <c r="Q48" s="1606">
        <f>IFERROR(IF(SUM(O35:O36)=0,0,SUMPRODUCT(N32:N36,O32:O36)/SUM(N32:N36)),"")</f>
        <v>0</v>
      </c>
      <c r="R48" s="408">
        <f>IFERROR(IF(SUM(P35:P36)=0,0,SUMPRODUCT(N32:N36,P32:P36)/SUM(N32:N36)),"")</f>
        <v>0</v>
      </c>
      <c r="S48" s="1365"/>
      <c r="T48" s="2090">
        <f ca="1">IFERROR(SUMIF(MD_HDUEC_Index1,$B48,OFFSET(MD_HDUEC_Index1,0,MATCH($T$31,MD_HDUEC_Hdr,0)-1,ROWS(MD_HDUEC_Index1),1)),"")</f>
        <v>0</v>
      </c>
      <c r="U48" s="2090">
        <f ca="1">IFERROR(SUMIF(MD_HDUEC_Index1,$B48,OFFSET(MD_HDUEC_Index1,0,MATCH($U$31,MD_HDUEC_Hdr,0)-1,ROWS(MD_HDUEC_Index1),1)),"")</f>
        <v>0</v>
      </c>
      <c r="V48" s="1498"/>
      <c r="W48" s="395"/>
      <c r="X48" s="395"/>
      <c r="Y48" s="395"/>
      <c r="Z48" s="2142"/>
      <c r="AA48" s="395"/>
      <c r="AB48" s="395"/>
      <c r="AC48" s="395"/>
      <c r="AD48" s="395"/>
      <c r="AE48" s="395"/>
      <c r="AF48" s="395"/>
      <c r="AG48" s="395"/>
      <c r="AH48" s="395"/>
      <c r="AI48" s="395"/>
      <c r="AJ48" s="395"/>
      <c r="AK48" s="395"/>
      <c r="AL48" s="395"/>
      <c r="AM48" s="395"/>
      <c r="AN48" s="395"/>
      <c r="AO48" s="395"/>
      <c r="AP48" s="395"/>
      <c r="AQ48" s="395"/>
      <c r="AR48" s="395"/>
      <c r="AS48" s="395"/>
      <c r="AT48" s="395"/>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5"/>
      <c r="BW48" s="395"/>
      <c r="BX48" s="395"/>
      <c r="BY48" s="395"/>
      <c r="BZ48" s="395"/>
      <c r="CA48" s="395"/>
      <c r="CB48" s="395"/>
      <c r="CC48" s="395"/>
      <c r="CD48" s="395"/>
      <c r="CE48" s="395"/>
      <c r="CF48" s="395"/>
      <c r="CG48" s="395"/>
      <c r="CH48" s="395"/>
      <c r="CI48" s="395"/>
      <c r="CJ48" s="395"/>
      <c r="CK48" s="395"/>
      <c r="CL48" s="395"/>
      <c r="CM48" s="395"/>
      <c r="CN48" s="395"/>
      <c r="CO48" s="395"/>
      <c r="CP48" s="395"/>
      <c r="CQ48" s="395"/>
      <c r="CR48" s="395"/>
      <c r="CS48" s="395"/>
      <c r="CT48" s="395"/>
      <c r="CU48" s="395"/>
      <c r="CV48" s="395"/>
      <c r="CW48" s="395"/>
      <c r="CX48" s="395"/>
      <c r="CY48" s="395"/>
      <c r="CZ48" s="395"/>
      <c r="DA48" s="395"/>
      <c r="DB48" s="395"/>
      <c r="DC48" s="395"/>
      <c r="DD48" s="395"/>
      <c r="DE48" s="395"/>
      <c r="DF48" s="395"/>
      <c r="DG48" s="395"/>
      <c r="DH48" s="395"/>
      <c r="DI48" s="395"/>
      <c r="DJ48" s="395"/>
      <c r="DK48" s="395"/>
      <c r="DL48" s="395"/>
      <c r="DM48" s="395"/>
      <c r="DN48" s="395"/>
      <c r="DO48" s="395"/>
      <c r="DP48" s="395"/>
      <c r="DQ48" s="395"/>
      <c r="DR48" s="395"/>
      <c r="DS48" s="395"/>
      <c r="DT48" s="395"/>
      <c r="DU48" s="395"/>
      <c r="DV48" s="395"/>
      <c r="DW48" s="395"/>
      <c r="DX48" s="395"/>
      <c r="DY48" s="395"/>
      <c r="DZ48" s="395"/>
      <c r="EA48" s="395"/>
      <c r="EB48" s="395"/>
      <c r="EC48" s="395"/>
      <c r="ED48" s="395"/>
      <c r="EE48" s="395"/>
      <c r="EF48" s="395"/>
      <c r="EG48" s="395"/>
      <c r="EH48" s="395"/>
      <c r="EI48" s="395"/>
      <c r="EJ48" s="395"/>
      <c r="EK48" s="395"/>
      <c r="EL48" s="395"/>
      <c r="EM48" s="395"/>
      <c r="EN48" s="395"/>
      <c r="EO48" s="395"/>
      <c r="EP48" s="395"/>
      <c r="EQ48" s="395"/>
      <c r="ER48" s="395"/>
      <c r="ES48" s="395"/>
      <c r="ET48" s="395"/>
      <c r="EU48" s="395"/>
      <c r="EV48" s="395"/>
      <c r="EW48" s="395"/>
      <c r="EX48" s="395"/>
      <c r="EY48" s="395"/>
      <c r="EZ48" s="395"/>
      <c r="FA48" s="395"/>
      <c r="FB48" s="395"/>
      <c r="FC48" s="395"/>
      <c r="FD48" s="395"/>
      <c r="FE48" s="395"/>
      <c r="FF48" s="395"/>
      <c r="FG48" s="395"/>
      <c r="FH48" s="395"/>
      <c r="FI48" s="395"/>
      <c r="FJ48" s="395"/>
      <c r="FK48" s="395"/>
      <c r="FL48" s="395"/>
      <c r="FM48" s="395"/>
      <c r="FN48" s="395"/>
      <c r="FO48" s="395"/>
      <c r="FP48" s="395"/>
      <c r="FQ48" s="395"/>
      <c r="FR48" s="395"/>
      <c r="FS48" s="395"/>
      <c r="FT48" s="395"/>
      <c r="FU48" s="395"/>
      <c r="FV48" s="395"/>
      <c r="FW48" s="395"/>
      <c r="FX48" s="395"/>
      <c r="FY48" s="395"/>
      <c r="FZ48" s="395"/>
      <c r="GA48" s="395"/>
      <c r="GB48" s="395"/>
      <c r="GC48" s="395"/>
      <c r="GD48" s="395"/>
      <c r="GE48" s="395"/>
      <c r="GF48" s="395"/>
      <c r="GG48" s="395"/>
      <c r="GH48" s="395"/>
      <c r="GI48" s="395"/>
      <c r="GJ48" s="395"/>
      <c r="GK48" s="395"/>
      <c r="GL48" s="395"/>
      <c r="GM48" s="395"/>
      <c r="GN48" s="395"/>
      <c r="GO48" s="395"/>
      <c r="GP48" s="395"/>
      <c r="GQ48" s="395"/>
      <c r="GR48" s="395"/>
      <c r="GS48" s="395"/>
      <c r="GT48" s="395"/>
      <c r="GU48" s="395"/>
      <c r="GV48" s="395"/>
      <c r="GW48" s="395"/>
      <c r="GX48" s="395"/>
      <c r="GY48" s="395"/>
      <c r="GZ48" s="395"/>
      <c r="HA48" s="395"/>
      <c r="HB48" s="395"/>
      <c r="HC48" s="395"/>
      <c r="HD48" s="395"/>
      <c r="HE48" s="395"/>
      <c r="HF48" s="395"/>
      <c r="HG48" s="395"/>
      <c r="HH48" s="395"/>
      <c r="HI48" s="395"/>
      <c r="HJ48" s="395"/>
    </row>
    <row r="49" spans="1:226" s="866" customFormat="1" ht="24.45" customHeight="1" x14ac:dyDescent="0.25">
      <c r="A49" s="348" t="s">
        <v>1038</v>
      </c>
      <c r="B49" s="1632"/>
      <c r="C49" s="372" t="s">
        <v>2420</v>
      </c>
      <c r="D49" s="2090">
        <f>INDEX(MD_BUS_SumTable,MATCH($B49,MD_BUS_SumIndex,0),MATCH($H$21,MD_BUS_SumHdr,0))</f>
        <v>0</v>
      </c>
      <c r="E49" s="2793">
        <f>'2a - Schedules'!G12</f>
        <v>2117</v>
      </c>
      <c r="F49" s="407">
        <f>0.5*(IF(SI_IP_Units="IP",1,10.76))</f>
        <v>0.5</v>
      </c>
      <c r="G49" s="407">
        <v>0.9</v>
      </c>
      <c r="H49" s="368">
        <v>0.1</v>
      </c>
      <c r="I49" s="368">
        <f>0.5*(IF(SI_IP_Units="IP",1,10.76))</f>
        <v>0.5</v>
      </c>
      <c r="J49" s="407">
        <v>0.9</v>
      </c>
      <c r="K49" s="368">
        <v>0.1</v>
      </c>
      <c r="L49" s="1366"/>
      <c r="M49" s="369">
        <v>0</v>
      </c>
      <c r="N49" s="369">
        <v>0</v>
      </c>
      <c r="O49" s="369">
        <v>0</v>
      </c>
      <c r="P49" s="369">
        <v>0</v>
      </c>
      <c r="Q49" s="369">
        <v>0</v>
      </c>
      <c r="R49" s="369">
        <v>0</v>
      </c>
      <c r="S49" s="1365"/>
      <c r="T49" s="2090">
        <f ca="1">IFERROR(SUMIF(MD_HDUEC_Index1,$B49,OFFSET(MD_HDUEC_Index1,0,MATCH($T$31,MD_HDUEC_Hdr,0)-1,ROWS(MD_HDUEC_Index1),1)),"")</f>
        <v>0</v>
      </c>
      <c r="U49" s="2090">
        <f ca="1">IFERROR(SUMIF(MD_HDUEC_Index1,$B49,OFFSET(MD_HDUEC_Index1,0,MATCH($U$31,MD_HDUEC_Hdr,0)-1,ROWS(MD_HDUEC_Index1),1)),"")</f>
        <v>0</v>
      </c>
      <c r="V49" s="1498"/>
      <c r="W49" s="395"/>
      <c r="X49" s="395"/>
      <c r="Y49" s="395"/>
      <c r="Z49" s="2142"/>
      <c r="AA49" s="395"/>
      <c r="AB49" s="395"/>
      <c r="AC49" s="395"/>
      <c r="AD49" s="395"/>
      <c r="AE49" s="395"/>
      <c r="AF49" s="395"/>
      <c r="AG49" s="395"/>
      <c r="AH49" s="395"/>
      <c r="AI49" s="395"/>
      <c r="AJ49" s="395"/>
      <c r="AK49" s="395"/>
      <c r="AL49" s="395"/>
      <c r="AM49" s="395"/>
      <c r="AN49" s="395"/>
      <c r="AO49" s="395"/>
      <c r="AP49" s="395"/>
      <c r="AQ49" s="395"/>
      <c r="AR49" s="395"/>
      <c r="AS49" s="395"/>
      <c r="AT49" s="395"/>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5"/>
      <c r="BW49" s="395"/>
      <c r="BX49" s="395"/>
      <c r="BY49" s="395"/>
      <c r="BZ49" s="395"/>
      <c r="CA49" s="395"/>
      <c r="CB49" s="395"/>
      <c r="CC49" s="395"/>
      <c r="CD49" s="395"/>
      <c r="CE49" s="395"/>
      <c r="CF49" s="395"/>
      <c r="CG49" s="395"/>
      <c r="CH49" s="395"/>
      <c r="CI49" s="395"/>
      <c r="CJ49" s="395"/>
      <c r="CK49" s="395"/>
      <c r="CL49" s="395"/>
      <c r="CM49" s="395"/>
      <c r="CN49" s="395"/>
      <c r="CO49" s="395"/>
      <c r="CP49" s="395"/>
      <c r="CQ49" s="395"/>
      <c r="CR49" s="395"/>
      <c r="CS49" s="395"/>
      <c r="CT49" s="395"/>
      <c r="CU49" s="395"/>
      <c r="CV49" s="395"/>
      <c r="CW49" s="395"/>
      <c r="CX49" s="395"/>
      <c r="CY49" s="395"/>
      <c r="CZ49" s="395"/>
      <c r="DA49" s="395"/>
      <c r="DB49" s="395"/>
      <c r="DC49" s="395"/>
      <c r="DD49" s="395"/>
      <c r="DE49" s="395"/>
      <c r="DF49" s="395"/>
      <c r="DG49" s="395"/>
      <c r="DH49" s="395"/>
      <c r="DI49" s="395"/>
      <c r="DJ49" s="395"/>
      <c r="DK49" s="395"/>
      <c r="DL49" s="395"/>
      <c r="DM49" s="395"/>
      <c r="DN49" s="395"/>
      <c r="DO49" s="395"/>
      <c r="DP49" s="395"/>
      <c r="DQ49" s="395"/>
      <c r="DR49" s="395"/>
      <c r="DS49" s="395"/>
      <c r="DT49" s="395"/>
      <c r="DU49" s="395"/>
      <c r="DV49" s="395"/>
      <c r="DW49" s="395"/>
      <c r="DX49" s="395"/>
      <c r="DY49" s="395"/>
      <c r="DZ49" s="395"/>
      <c r="EA49" s="395"/>
      <c r="EB49" s="395"/>
      <c r="EC49" s="395"/>
      <c r="ED49" s="395"/>
      <c r="EE49" s="395"/>
      <c r="EF49" s="395"/>
      <c r="EG49" s="395"/>
      <c r="EH49" s="395"/>
      <c r="EI49" s="395"/>
      <c r="EJ49" s="395"/>
      <c r="EK49" s="395"/>
      <c r="EL49" s="395"/>
      <c r="EM49" s="395"/>
      <c r="EN49" s="395"/>
      <c r="EO49" s="395"/>
      <c r="EP49" s="395"/>
      <c r="EQ49" s="395"/>
      <c r="ER49" s="395"/>
      <c r="ES49" s="395"/>
      <c r="ET49" s="395"/>
      <c r="EU49" s="395"/>
      <c r="EV49" s="395"/>
      <c r="EW49" s="395"/>
      <c r="EX49" s="395"/>
      <c r="EY49" s="395"/>
      <c r="EZ49" s="395"/>
      <c r="FA49" s="395"/>
      <c r="FB49" s="395"/>
      <c r="FC49" s="395"/>
      <c r="FD49" s="395"/>
      <c r="FE49" s="395"/>
      <c r="FF49" s="395"/>
      <c r="FG49" s="395"/>
      <c r="FH49" s="395"/>
      <c r="FI49" s="395"/>
      <c r="FJ49" s="395"/>
      <c r="FK49" s="395"/>
      <c r="FL49" s="395"/>
      <c r="FM49" s="395"/>
      <c r="FN49" s="395"/>
      <c r="FO49" s="395"/>
      <c r="FP49" s="395"/>
      <c r="FQ49" s="395"/>
      <c r="FR49" s="395"/>
      <c r="FS49" s="395"/>
      <c r="FT49" s="395"/>
      <c r="FU49" s="395"/>
      <c r="FV49" s="395"/>
      <c r="FW49" s="395"/>
      <c r="FX49" s="395"/>
      <c r="FY49" s="395"/>
      <c r="FZ49" s="395"/>
      <c r="GA49" s="395"/>
      <c r="GB49" s="395"/>
      <c r="GC49" s="395"/>
      <c r="GD49" s="395"/>
      <c r="GE49" s="395"/>
      <c r="GF49" s="395"/>
      <c r="GG49" s="395"/>
      <c r="GH49" s="395"/>
      <c r="GI49" s="395"/>
      <c r="GJ49" s="395"/>
      <c r="GK49" s="395"/>
      <c r="GL49" s="395"/>
      <c r="GM49" s="395"/>
      <c r="GN49" s="395"/>
      <c r="GO49" s="395"/>
      <c r="GP49" s="395"/>
      <c r="GQ49" s="395"/>
      <c r="GR49" s="395"/>
      <c r="GS49" s="395"/>
      <c r="GT49" s="395"/>
      <c r="GU49" s="395"/>
      <c r="GV49" s="395"/>
      <c r="GW49" s="395"/>
      <c r="GX49" s="395"/>
      <c r="GY49" s="395"/>
      <c r="GZ49" s="395"/>
      <c r="HA49" s="395"/>
      <c r="HB49" s="395"/>
      <c r="HC49" s="395"/>
      <c r="HD49" s="395"/>
      <c r="HE49" s="395"/>
      <c r="HF49" s="395"/>
      <c r="HG49" s="395"/>
      <c r="HH49" s="395"/>
      <c r="HI49" s="395"/>
      <c r="HJ49" s="395"/>
    </row>
    <row r="50" spans="1:226" s="866" customFormat="1" x14ac:dyDescent="0.25">
      <c r="A50" s="348" t="s">
        <v>1038</v>
      </c>
      <c r="B50" s="395"/>
      <c r="C50" s="395"/>
      <c r="D50" s="395"/>
      <c r="E50" s="395"/>
      <c r="F50" s="395"/>
      <c r="G50" s="395"/>
      <c r="H50" s="395"/>
      <c r="I50" s="395"/>
      <c r="J50" s="395"/>
      <c r="K50" s="395"/>
      <c r="L50" s="395"/>
      <c r="M50" s="367"/>
      <c r="N50" s="395"/>
      <c r="O50" s="395"/>
      <c r="P50" s="395"/>
      <c r="Q50" s="395"/>
      <c r="R50" s="395"/>
      <c r="S50" s="395"/>
      <c r="T50" s="395"/>
      <c r="U50" s="395"/>
      <c r="V50" s="1608"/>
      <c r="W50" s="395"/>
      <c r="X50" s="395"/>
      <c r="Y50" s="395"/>
      <c r="Z50" s="2140"/>
      <c r="AA50" s="395"/>
      <c r="AB50" s="395"/>
      <c r="AC50" s="395"/>
      <c r="AD50" s="395"/>
      <c r="AE50" s="395"/>
      <c r="AF50" s="395"/>
      <c r="AG50" s="395"/>
      <c r="AH50" s="395"/>
      <c r="AI50" s="395"/>
      <c r="AJ50" s="395"/>
      <c r="AK50" s="395"/>
      <c r="AL50" s="395"/>
      <c r="AM50" s="395"/>
      <c r="AN50" s="395"/>
      <c r="AO50" s="395"/>
      <c r="AP50" s="395"/>
      <c r="AQ50" s="395"/>
      <c r="AR50" s="395"/>
      <c r="AS50" s="395"/>
      <c r="AT50" s="395"/>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5"/>
      <c r="BW50" s="395"/>
      <c r="BX50" s="395"/>
      <c r="BY50" s="395"/>
      <c r="BZ50" s="395"/>
      <c r="CA50" s="395"/>
      <c r="CB50" s="395"/>
      <c r="CC50" s="395"/>
      <c r="CD50" s="395"/>
      <c r="CE50" s="395"/>
      <c r="CF50" s="395"/>
      <c r="CG50" s="395"/>
      <c r="CH50" s="395"/>
      <c r="CI50" s="395"/>
      <c r="CJ50" s="395"/>
      <c r="CK50" s="395"/>
      <c r="CL50" s="395"/>
      <c r="CM50" s="395"/>
      <c r="CN50" s="395"/>
      <c r="CO50" s="395"/>
      <c r="CP50" s="395"/>
      <c r="CQ50" s="395"/>
      <c r="CR50" s="395"/>
      <c r="CS50" s="395"/>
      <c r="CT50" s="395"/>
      <c r="CU50" s="395"/>
      <c r="CV50" s="395"/>
      <c r="CW50" s="395"/>
      <c r="CX50" s="395"/>
      <c r="CY50" s="395"/>
      <c r="CZ50" s="395"/>
      <c r="DA50" s="395"/>
      <c r="DB50" s="395"/>
      <c r="DC50" s="395"/>
      <c r="DD50" s="395"/>
      <c r="DE50" s="395"/>
      <c r="DF50" s="395"/>
      <c r="DG50" s="395"/>
      <c r="DH50" s="395"/>
      <c r="DI50" s="395"/>
      <c r="DJ50" s="395"/>
      <c r="DK50" s="395"/>
      <c r="DL50" s="395"/>
      <c r="DM50" s="395"/>
      <c r="DN50" s="395"/>
      <c r="DO50" s="395"/>
      <c r="DP50" s="395"/>
      <c r="DQ50" s="395"/>
      <c r="DR50" s="395"/>
      <c r="DS50" s="395"/>
      <c r="DT50" s="395"/>
      <c r="DU50" s="395"/>
      <c r="DV50" s="395"/>
      <c r="DW50" s="395"/>
      <c r="DX50" s="395"/>
      <c r="DY50" s="395"/>
      <c r="DZ50" s="395"/>
      <c r="EA50" s="395"/>
      <c r="EB50" s="395"/>
      <c r="EC50" s="395"/>
      <c r="ED50" s="395"/>
      <c r="EE50" s="395"/>
      <c r="EF50" s="395"/>
      <c r="EG50" s="395"/>
      <c r="EH50" s="395"/>
      <c r="EI50" s="395"/>
      <c r="EJ50" s="395"/>
      <c r="EK50" s="395"/>
      <c r="EL50" s="395"/>
      <c r="EM50" s="395"/>
      <c r="EN50" s="395"/>
      <c r="EO50" s="395"/>
      <c r="EP50" s="395"/>
      <c r="EQ50" s="395"/>
      <c r="ER50" s="395"/>
      <c r="ES50" s="395"/>
      <c r="ET50" s="395"/>
      <c r="EU50" s="395"/>
      <c r="EV50" s="395"/>
      <c r="EW50" s="395"/>
      <c r="EX50" s="395"/>
      <c r="EY50" s="395"/>
      <c r="EZ50" s="395"/>
      <c r="FA50" s="395"/>
      <c r="FB50" s="395"/>
      <c r="FC50" s="395"/>
      <c r="FD50" s="395"/>
      <c r="FE50" s="395"/>
      <c r="FF50" s="395"/>
      <c r="FG50" s="395"/>
      <c r="FH50" s="395"/>
      <c r="FI50" s="395"/>
      <c r="FJ50" s="395"/>
      <c r="FK50" s="395"/>
      <c r="FL50" s="395"/>
      <c r="FM50" s="395"/>
      <c r="FN50" s="395"/>
      <c r="FO50" s="395"/>
      <c r="FP50" s="395"/>
      <c r="FQ50" s="395"/>
      <c r="FR50" s="395"/>
      <c r="FS50" s="395"/>
      <c r="FT50" s="395"/>
      <c r="FU50" s="395"/>
      <c r="FV50" s="395"/>
      <c r="FW50" s="395"/>
      <c r="FX50" s="395"/>
      <c r="FY50" s="395"/>
      <c r="FZ50" s="395"/>
      <c r="GA50" s="395"/>
      <c r="GB50" s="395"/>
      <c r="GC50" s="395"/>
      <c r="GD50" s="395"/>
      <c r="GE50" s="395"/>
      <c r="GF50" s="395"/>
      <c r="GG50" s="395"/>
      <c r="GH50" s="395"/>
      <c r="GI50" s="395"/>
      <c r="GJ50" s="395"/>
      <c r="GK50" s="395"/>
      <c r="GL50" s="395"/>
      <c r="GM50" s="395"/>
      <c r="GN50" s="395"/>
      <c r="GO50" s="395"/>
      <c r="GP50" s="395"/>
      <c r="GQ50" s="395"/>
      <c r="GR50" s="395"/>
      <c r="GS50" s="395"/>
      <c r="GT50" s="395"/>
      <c r="GU50" s="395"/>
      <c r="GV50" s="395"/>
      <c r="GW50" s="395"/>
      <c r="GX50" s="395"/>
      <c r="GY50" s="395"/>
      <c r="GZ50" s="395"/>
      <c r="HA50" s="395"/>
      <c r="HB50" s="395"/>
      <c r="HC50" s="395"/>
      <c r="HD50" s="395"/>
      <c r="HE50" s="395"/>
      <c r="HF50" s="395"/>
      <c r="HG50" s="395"/>
      <c r="HH50" s="395"/>
      <c r="HI50" s="395"/>
      <c r="HJ50" s="395"/>
      <c r="HK50" s="395"/>
      <c r="HL50" s="395"/>
      <c r="HM50" s="395"/>
      <c r="HN50" s="395"/>
      <c r="HO50" s="395"/>
      <c r="HP50" s="395"/>
      <c r="HQ50" s="395"/>
      <c r="HR50" s="395"/>
    </row>
    <row r="51" spans="1:226" s="866" customFormat="1" ht="15.6" x14ac:dyDescent="0.25">
      <c r="A51" s="348" t="s">
        <v>1038</v>
      </c>
      <c r="B51" s="196" t="s">
        <v>2375</v>
      </c>
      <c r="C51" s="196"/>
      <c r="D51" s="1598"/>
      <c r="E51" s="1599"/>
      <c r="F51" s="395"/>
      <c r="G51" s="395"/>
      <c r="H51" s="395"/>
      <c r="I51" s="395"/>
      <c r="J51" s="395"/>
      <c r="K51" s="395"/>
      <c r="L51" s="395"/>
      <c r="M51" s="395"/>
      <c r="N51" s="395"/>
      <c r="O51" s="395"/>
      <c r="P51" s="395"/>
      <c r="Q51" s="395"/>
      <c r="R51" s="395"/>
      <c r="S51" s="395"/>
      <c r="T51" s="395"/>
      <c r="U51" s="395"/>
      <c r="V51" s="1608"/>
      <c r="W51" s="395"/>
      <c r="X51" s="395"/>
      <c r="Y51" s="395"/>
      <c r="Z51" s="2140"/>
      <c r="AA51" s="395"/>
      <c r="AB51" s="395"/>
      <c r="AC51" s="395"/>
      <c r="AD51" s="395"/>
      <c r="AE51" s="395"/>
      <c r="AF51" s="395"/>
      <c r="AG51" s="395"/>
      <c r="AH51" s="395"/>
      <c r="AI51" s="395"/>
      <c r="AJ51" s="395"/>
      <c r="AK51" s="395"/>
      <c r="AL51" s="395"/>
      <c r="AM51" s="395"/>
      <c r="AN51" s="395"/>
      <c r="AO51" s="395"/>
      <c r="AP51" s="395"/>
      <c r="AQ51" s="395"/>
      <c r="AR51" s="395"/>
      <c r="AS51" s="395"/>
      <c r="AT51" s="395"/>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5"/>
      <c r="BW51" s="395"/>
      <c r="BX51" s="395"/>
      <c r="BY51" s="395"/>
      <c r="BZ51" s="395"/>
      <c r="CA51" s="395"/>
      <c r="CB51" s="395"/>
      <c r="CC51" s="395"/>
      <c r="CD51" s="395"/>
      <c r="CE51" s="395"/>
      <c r="CF51" s="395"/>
      <c r="CG51" s="395"/>
      <c r="CH51" s="395"/>
      <c r="CI51" s="395"/>
      <c r="CJ51" s="395"/>
      <c r="CK51" s="395"/>
      <c r="CL51" s="395"/>
      <c r="CM51" s="395"/>
      <c r="CN51" s="395"/>
      <c r="CO51" s="395"/>
      <c r="CP51" s="395"/>
      <c r="CQ51" s="395"/>
      <c r="CR51" s="395"/>
      <c r="CS51" s="395"/>
      <c r="CT51" s="395"/>
      <c r="CU51" s="395"/>
      <c r="CV51" s="395"/>
      <c r="CW51" s="395"/>
      <c r="CX51" s="395"/>
      <c r="CY51" s="395"/>
      <c r="CZ51" s="395"/>
      <c r="DA51" s="395"/>
      <c r="DB51" s="395"/>
      <c r="DC51" s="395"/>
      <c r="DD51" s="395"/>
      <c r="DE51" s="395"/>
      <c r="DF51" s="395"/>
      <c r="DG51" s="395"/>
      <c r="DH51" s="395"/>
      <c r="DI51" s="395"/>
      <c r="DJ51" s="395"/>
      <c r="DK51" s="395"/>
      <c r="DL51" s="395"/>
      <c r="DM51" s="395"/>
      <c r="DN51" s="395"/>
      <c r="DO51" s="395"/>
      <c r="DP51" s="395"/>
      <c r="DQ51" s="395"/>
      <c r="DR51" s="395"/>
      <c r="DS51" s="395"/>
      <c r="DT51" s="395"/>
      <c r="DU51" s="395"/>
      <c r="DV51" s="395"/>
      <c r="DW51" s="395"/>
      <c r="DX51" s="395"/>
      <c r="DY51" s="395"/>
      <c r="DZ51" s="395"/>
      <c r="EA51" s="395"/>
      <c r="EB51" s="395"/>
      <c r="EC51" s="395"/>
      <c r="ED51" s="395"/>
      <c r="EE51" s="395"/>
      <c r="EF51" s="395"/>
      <c r="EG51" s="395"/>
      <c r="EH51" s="395"/>
      <c r="EI51" s="395"/>
      <c r="EJ51" s="395"/>
      <c r="EK51" s="395"/>
      <c r="EL51" s="395"/>
      <c r="EM51" s="395"/>
      <c r="EN51" s="395"/>
      <c r="EO51" s="395"/>
      <c r="EP51" s="395"/>
      <c r="EQ51" s="395"/>
      <c r="ER51" s="395"/>
      <c r="ES51" s="395"/>
      <c r="ET51" s="395"/>
      <c r="EU51" s="395"/>
      <c r="EV51" s="395"/>
      <c r="EW51" s="395"/>
      <c r="EX51" s="395"/>
      <c r="EY51" s="395"/>
      <c r="EZ51" s="395"/>
      <c r="FA51" s="395"/>
      <c r="FB51" s="395"/>
      <c r="FC51" s="395"/>
      <c r="FD51" s="395"/>
      <c r="FE51" s="395"/>
      <c r="FF51" s="395"/>
      <c r="FG51" s="395"/>
      <c r="FH51" s="395"/>
      <c r="FI51" s="395"/>
      <c r="FJ51" s="395"/>
      <c r="FK51" s="395"/>
      <c r="FL51" s="395"/>
      <c r="FM51" s="395"/>
      <c r="FN51" s="395"/>
      <c r="FO51" s="395"/>
      <c r="FP51" s="395"/>
      <c r="FQ51" s="395"/>
      <c r="FR51" s="395"/>
      <c r="FS51" s="395"/>
      <c r="FT51" s="395"/>
      <c r="FU51" s="395"/>
      <c r="FV51" s="395"/>
      <c r="FW51" s="395"/>
      <c r="FX51" s="395"/>
      <c r="FY51" s="395"/>
      <c r="FZ51" s="395"/>
      <c r="GA51" s="395"/>
      <c r="GB51" s="395"/>
      <c r="GC51" s="395"/>
      <c r="GD51" s="395"/>
      <c r="GE51" s="395"/>
      <c r="GF51" s="395"/>
      <c r="GG51" s="395"/>
      <c r="GH51" s="395"/>
      <c r="GI51" s="395"/>
      <c r="GJ51" s="395"/>
      <c r="GK51" s="395"/>
      <c r="GL51" s="395"/>
      <c r="GM51" s="395"/>
      <c r="GN51" s="395"/>
      <c r="GO51" s="395"/>
      <c r="GP51" s="395"/>
      <c r="GQ51" s="395"/>
      <c r="GR51" s="395"/>
      <c r="GS51" s="395"/>
      <c r="GT51" s="395"/>
      <c r="GU51" s="395"/>
      <c r="GV51" s="395"/>
      <c r="GW51" s="395"/>
      <c r="GX51" s="395"/>
      <c r="GY51" s="395"/>
      <c r="GZ51" s="395"/>
      <c r="HA51" s="395"/>
      <c r="HB51" s="395"/>
      <c r="HC51" s="395"/>
      <c r="HD51" s="395"/>
      <c r="HE51" s="395"/>
      <c r="HF51" s="395"/>
      <c r="HG51" s="395"/>
      <c r="HH51" s="395"/>
      <c r="HI51" s="395"/>
      <c r="HJ51" s="395"/>
      <c r="HK51" s="395"/>
      <c r="HL51" s="395"/>
      <c r="HM51" s="395"/>
      <c r="HN51" s="395"/>
      <c r="HO51" s="395"/>
      <c r="HP51" s="395"/>
      <c r="HQ51" s="395"/>
      <c r="HR51" s="395"/>
    </row>
    <row r="52" spans="1:226" s="866" customFormat="1" x14ac:dyDescent="0.25">
      <c r="A52" s="348" t="s">
        <v>1038</v>
      </c>
      <c r="B52" s="395"/>
      <c r="C52" s="395"/>
      <c r="D52" s="395"/>
      <c r="E52" s="395"/>
      <c r="F52" s="395"/>
      <c r="G52" s="395"/>
      <c r="H52" s="395"/>
      <c r="I52" s="395"/>
      <c r="J52" s="395"/>
      <c r="K52" s="1600"/>
      <c r="L52" s="395"/>
      <c r="M52" s="395"/>
      <c r="N52" s="395"/>
      <c r="O52" s="395"/>
      <c r="P52" s="395"/>
      <c r="Q52" s="395"/>
      <c r="R52" s="395"/>
      <c r="S52" s="395"/>
      <c r="T52" s="395"/>
      <c r="U52" s="395"/>
      <c r="V52" s="1608"/>
      <c r="W52" s="395"/>
      <c r="X52" s="395"/>
      <c r="Y52" s="395"/>
      <c r="Z52" s="2140"/>
      <c r="AA52" s="395"/>
      <c r="AB52" s="395"/>
      <c r="AC52" s="395"/>
      <c r="AD52" s="395"/>
      <c r="AE52" s="395"/>
      <c r="AF52" s="395"/>
      <c r="AG52" s="395"/>
      <c r="AH52" s="395"/>
      <c r="AI52" s="395"/>
      <c r="AJ52" s="395"/>
      <c r="AK52" s="395"/>
      <c r="AL52" s="395"/>
      <c r="AM52" s="395"/>
      <c r="AN52" s="395"/>
      <c r="AO52" s="395"/>
      <c r="AP52" s="395"/>
      <c r="AQ52" s="395"/>
      <c r="AR52" s="395"/>
      <c r="AS52" s="395"/>
      <c r="AT52" s="395"/>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5"/>
      <c r="BW52" s="395"/>
      <c r="BX52" s="395"/>
      <c r="BY52" s="395"/>
      <c r="BZ52" s="395"/>
      <c r="CA52" s="395"/>
      <c r="CB52" s="395"/>
      <c r="CC52" s="395"/>
      <c r="CD52" s="395"/>
      <c r="CE52" s="395"/>
      <c r="CF52" s="395"/>
      <c r="CG52" s="395"/>
      <c r="CH52" s="395"/>
      <c r="CI52" s="395"/>
      <c r="CJ52" s="395"/>
      <c r="CK52" s="395"/>
      <c r="CL52" s="395"/>
      <c r="CM52" s="395"/>
      <c r="CN52" s="395"/>
      <c r="CO52" s="395"/>
      <c r="CP52" s="395"/>
      <c r="CQ52" s="395"/>
      <c r="CR52" s="395"/>
      <c r="CS52" s="395"/>
      <c r="CT52" s="395"/>
      <c r="CU52" s="395"/>
      <c r="CV52" s="395"/>
      <c r="CW52" s="395"/>
      <c r="CX52" s="395"/>
      <c r="CY52" s="395"/>
      <c r="CZ52" s="395"/>
      <c r="DA52" s="395"/>
      <c r="DB52" s="395"/>
      <c r="DC52" s="395"/>
      <c r="DD52" s="395"/>
      <c r="DE52" s="395"/>
      <c r="DF52" s="395"/>
      <c r="DG52" s="395"/>
      <c r="DH52" s="395"/>
      <c r="DI52" s="395"/>
      <c r="DJ52" s="395"/>
      <c r="DK52" s="395"/>
      <c r="DL52" s="395"/>
      <c r="DM52" s="395"/>
      <c r="DN52" s="395"/>
      <c r="DO52" s="395"/>
      <c r="DP52" s="395"/>
      <c r="DQ52" s="395"/>
      <c r="DR52" s="395"/>
      <c r="DS52" s="395"/>
      <c r="DT52" s="395"/>
      <c r="DU52" s="395"/>
      <c r="DV52" s="395"/>
      <c r="DW52" s="395"/>
      <c r="DX52" s="395"/>
      <c r="DY52" s="395"/>
      <c r="DZ52" s="395"/>
      <c r="EA52" s="395"/>
      <c r="EB52" s="395"/>
      <c r="EC52" s="395"/>
      <c r="ED52" s="395"/>
      <c r="EE52" s="395"/>
      <c r="EF52" s="395"/>
      <c r="EG52" s="395"/>
      <c r="EH52" s="395"/>
      <c r="EI52" s="395"/>
      <c r="EJ52" s="395"/>
      <c r="EK52" s="395"/>
      <c r="EL52" s="395"/>
      <c r="EM52" s="395"/>
      <c r="EN52" s="395"/>
      <c r="EO52" s="395"/>
      <c r="EP52" s="395"/>
      <c r="EQ52" s="395"/>
      <c r="ER52" s="395"/>
      <c r="ES52" s="395"/>
      <c r="ET52" s="395"/>
      <c r="EU52" s="395"/>
      <c r="EV52" s="395"/>
      <c r="EW52" s="395"/>
      <c r="EX52" s="395"/>
      <c r="EY52" s="395"/>
      <c r="EZ52" s="395"/>
      <c r="FA52" s="395"/>
      <c r="FB52" s="395"/>
      <c r="FC52" s="395"/>
      <c r="FD52" s="395"/>
      <c r="FE52" s="395"/>
      <c r="FF52" s="395"/>
      <c r="FG52" s="395"/>
      <c r="FH52" s="395"/>
      <c r="FI52" s="395"/>
      <c r="FJ52" s="395"/>
      <c r="FK52" s="395"/>
      <c r="FL52" s="395"/>
      <c r="FM52" s="395"/>
      <c r="FN52" s="395"/>
      <c r="FO52" s="395"/>
      <c r="FP52" s="395"/>
      <c r="FQ52" s="395"/>
      <c r="FR52" s="395"/>
      <c r="FS52" s="395"/>
      <c r="FT52" s="395"/>
      <c r="FU52" s="395"/>
      <c r="FV52" s="395"/>
      <c r="FW52" s="395"/>
      <c r="FX52" s="395"/>
      <c r="FY52" s="395"/>
      <c r="FZ52" s="395"/>
      <c r="GA52" s="395"/>
      <c r="GB52" s="395"/>
      <c r="GC52" s="395"/>
      <c r="GD52" s="395"/>
      <c r="GE52" s="395"/>
      <c r="GF52" s="395"/>
      <c r="GG52" s="395"/>
      <c r="GH52" s="395"/>
      <c r="GI52" s="395"/>
      <c r="GJ52" s="395"/>
      <c r="GK52" s="395"/>
      <c r="GL52" s="395"/>
      <c r="GM52" s="395"/>
      <c r="GN52" s="395"/>
      <c r="GO52" s="395"/>
      <c r="GP52" s="395"/>
      <c r="GQ52" s="395"/>
      <c r="GR52" s="395"/>
      <c r="GS52" s="395"/>
      <c r="GT52" s="395"/>
      <c r="GU52" s="395"/>
      <c r="GV52" s="395"/>
      <c r="GW52" s="395"/>
      <c r="GX52" s="395"/>
      <c r="GY52" s="395"/>
      <c r="GZ52" s="395"/>
      <c r="HA52" s="395"/>
      <c r="HB52" s="395"/>
      <c r="HC52" s="395"/>
      <c r="HD52" s="395"/>
      <c r="HE52" s="395"/>
      <c r="HF52" s="395"/>
      <c r="HG52" s="395"/>
      <c r="HH52" s="395"/>
      <c r="HI52" s="395"/>
      <c r="HJ52" s="395"/>
      <c r="HK52" s="395"/>
      <c r="HL52" s="395"/>
      <c r="HM52" s="395"/>
      <c r="HN52" s="395"/>
      <c r="HO52" s="395"/>
      <c r="HP52" s="395"/>
      <c r="HQ52" s="395"/>
      <c r="HR52" s="395"/>
    </row>
    <row r="53" spans="1:226" s="866" customFormat="1" x14ac:dyDescent="0.25">
      <c r="A53" s="348" t="s">
        <v>1038</v>
      </c>
      <c r="B53" s="390" t="s">
        <v>1273</v>
      </c>
      <c r="C53" s="395"/>
      <c r="D53" s="395"/>
      <c r="E53" s="395"/>
      <c r="F53" s="395"/>
      <c r="G53" s="395"/>
      <c r="H53" s="395"/>
      <c r="I53" s="395"/>
      <c r="J53" s="395"/>
      <c r="K53" s="1600"/>
      <c r="L53" s="395"/>
      <c r="M53" s="395"/>
      <c r="N53" s="395"/>
      <c r="O53" s="395"/>
      <c r="P53" s="395"/>
      <c r="Q53" s="395"/>
      <c r="R53" s="395"/>
      <c r="S53" s="395"/>
      <c r="T53" s="395"/>
      <c r="U53" s="395"/>
      <c r="V53" s="1608"/>
      <c r="W53" s="395"/>
      <c r="X53" s="395"/>
      <c r="Y53" s="395"/>
      <c r="Z53" s="2140"/>
      <c r="AA53" s="395"/>
      <c r="AB53" s="395"/>
      <c r="AC53" s="395"/>
      <c r="AD53" s="395"/>
      <c r="AE53" s="395"/>
      <c r="AF53" s="395"/>
      <c r="AG53" s="395"/>
      <c r="AH53" s="395"/>
      <c r="AI53" s="395"/>
      <c r="AJ53" s="395"/>
      <c r="AK53" s="395"/>
      <c r="AL53" s="395"/>
      <c r="AM53" s="395"/>
      <c r="AN53" s="395"/>
      <c r="AO53" s="395"/>
      <c r="AP53" s="395"/>
      <c r="AQ53" s="395"/>
      <c r="AR53" s="395"/>
      <c r="AS53" s="395"/>
      <c r="AT53" s="395"/>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5"/>
      <c r="BW53" s="395"/>
      <c r="BX53" s="395"/>
      <c r="BY53" s="395"/>
      <c r="BZ53" s="395"/>
      <c r="CA53" s="395"/>
      <c r="CB53" s="395"/>
      <c r="CC53" s="395"/>
      <c r="CD53" s="395"/>
      <c r="CE53" s="395"/>
      <c r="CF53" s="395"/>
      <c r="CG53" s="395"/>
      <c r="CH53" s="395"/>
      <c r="CI53" s="395"/>
      <c r="CJ53" s="395"/>
      <c r="CK53" s="395"/>
      <c r="CL53" s="395"/>
      <c r="CM53" s="395"/>
      <c r="CN53" s="395"/>
      <c r="CO53" s="395"/>
      <c r="CP53" s="395"/>
      <c r="CQ53" s="395"/>
      <c r="CR53" s="395"/>
      <c r="CS53" s="395"/>
      <c r="CT53" s="395"/>
      <c r="CU53" s="395"/>
      <c r="CV53" s="395"/>
      <c r="CW53" s="395"/>
      <c r="CX53" s="395"/>
      <c r="CY53" s="395"/>
      <c r="CZ53" s="395"/>
      <c r="DA53" s="395"/>
      <c r="DB53" s="395"/>
      <c r="DC53" s="395"/>
      <c r="DD53" s="395"/>
      <c r="DE53" s="395"/>
      <c r="DF53" s="395"/>
      <c r="DG53" s="395"/>
      <c r="DH53" s="395"/>
      <c r="DI53" s="395"/>
      <c r="DJ53" s="395"/>
      <c r="DK53" s="395"/>
      <c r="DL53" s="395"/>
      <c r="DM53" s="395"/>
      <c r="DN53" s="395"/>
      <c r="DO53" s="395"/>
      <c r="DP53" s="395"/>
      <c r="DQ53" s="395"/>
      <c r="DR53" s="395"/>
      <c r="DS53" s="395"/>
      <c r="DT53" s="395"/>
      <c r="DU53" s="395"/>
      <c r="DV53" s="395"/>
      <c r="DW53" s="395"/>
      <c r="DX53" s="395"/>
      <c r="DY53" s="395"/>
      <c r="DZ53" s="395"/>
      <c r="EA53" s="395"/>
      <c r="EB53" s="395"/>
      <c r="EC53" s="395"/>
      <c r="ED53" s="395"/>
      <c r="EE53" s="395"/>
      <c r="EF53" s="395"/>
      <c r="EG53" s="395"/>
      <c r="EH53" s="395"/>
      <c r="EI53" s="395"/>
      <c r="EJ53" s="395"/>
      <c r="EK53" s="395"/>
      <c r="EL53" s="395"/>
      <c r="EM53" s="395"/>
      <c r="EN53" s="395"/>
      <c r="EO53" s="395"/>
      <c r="EP53" s="395"/>
      <c r="EQ53" s="395"/>
      <c r="ER53" s="395"/>
      <c r="ES53" s="395"/>
      <c r="ET53" s="395"/>
      <c r="EU53" s="395"/>
      <c r="EV53" s="395"/>
      <c r="EW53" s="395"/>
      <c r="EX53" s="395"/>
      <c r="EY53" s="395"/>
      <c r="EZ53" s="395"/>
      <c r="FA53" s="395"/>
      <c r="FB53" s="395"/>
      <c r="FC53" s="395"/>
      <c r="FD53" s="395"/>
      <c r="FE53" s="395"/>
      <c r="FF53" s="395"/>
      <c r="FG53" s="395"/>
      <c r="FH53" s="395"/>
      <c r="FI53" s="395"/>
      <c r="FJ53" s="395"/>
      <c r="FK53" s="395"/>
      <c r="FL53" s="395"/>
      <c r="FM53" s="395"/>
      <c r="FN53" s="395"/>
      <c r="FO53" s="395"/>
      <c r="FP53" s="395"/>
      <c r="FQ53" s="395"/>
      <c r="FR53" s="395"/>
      <c r="FS53" s="395"/>
      <c r="FT53" s="395"/>
      <c r="FU53" s="395"/>
      <c r="FV53" s="395"/>
      <c r="FW53" s="395"/>
      <c r="FX53" s="395"/>
      <c r="FY53" s="395"/>
      <c r="FZ53" s="395"/>
      <c r="GA53" s="395"/>
      <c r="GB53" s="395"/>
      <c r="GC53" s="395"/>
      <c r="GD53" s="395"/>
      <c r="GE53" s="395"/>
      <c r="GF53" s="395"/>
      <c r="GG53" s="395"/>
      <c r="GH53" s="395"/>
      <c r="GI53" s="395"/>
      <c r="GJ53" s="395"/>
      <c r="GK53" s="395"/>
      <c r="GL53" s="395"/>
      <c r="GM53" s="395"/>
      <c r="GN53" s="395"/>
      <c r="GO53" s="395"/>
      <c r="GP53" s="395"/>
      <c r="GQ53" s="395"/>
      <c r="GR53" s="395"/>
      <c r="GS53" s="395"/>
      <c r="GT53" s="395"/>
      <c r="GU53" s="395"/>
      <c r="GV53" s="395"/>
      <c r="GW53" s="395"/>
      <c r="GX53" s="395"/>
      <c r="GY53" s="395"/>
      <c r="GZ53" s="395"/>
      <c r="HA53" s="395"/>
      <c r="HB53" s="395"/>
      <c r="HC53" s="395"/>
      <c r="HD53" s="395"/>
      <c r="HE53" s="395"/>
      <c r="HF53" s="395"/>
      <c r="HG53" s="395"/>
      <c r="HH53" s="395"/>
      <c r="HI53" s="395"/>
      <c r="HJ53" s="395"/>
      <c r="HK53" s="395"/>
      <c r="HL53" s="395"/>
      <c r="HM53" s="395"/>
      <c r="HN53" s="395"/>
      <c r="HO53" s="395"/>
      <c r="HP53" s="395"/>
      <c r="HQ53" s="395"/>
      <c r="HR53" s="395"/>
    </row>
    <row r="54" spans="1:226" s="866" customFormat="1" x14ac:dyDescent="0.25">
      <c r="A54" s="348" t="s">
        <v>1038</v>
      </c>
      <c r="B54" s="395"/>
      <c r="C54" s="395"/>
      <c r="D54" s="395"/>
      <c r="E54" s="395"/>
      <c r="F54" s="395"/>
      <c r="G54" s="395"/>
      <c r="H54" s="395"/>
      <c r="I54" s="395"/>
      <c r="J54" s="395"/>
      <c r="K54" s="1600"/>
      <c r="L54" s="395"/>
      <c r="M54" s="395"/>
      <c r="N54" s="395"/>
      <c r="O54" s="395"/>
      <c r="P54" s="395"/>
      <c r="Q54" s="395"/>
      <c r="R54" s="395"/>
      <c r="S54" s="395"/>
      <c r="T54" s="395"/>
      <c r="U54" s="395"/>
      <c r="V54" s="1608"/>
      <c r="W54" s="395"/>
      <c r="X54" s="395"/>
      <c r="Y54" s="395"/>
      <c r="Z54" s="2140"/>
      <c r="AA54" s="395"/>
      <c r="AB54" s="395"/>
      <c r="AC54" s="395"/>
      <c r="AD54" s="395"/>
      <c r="AE54" s="395"/>
      <c r="AF54" s="395"/>
      <c r="AG54" s="395"/>
      <c r="AH54" s="395"/>
      <c r="AI54" s="395"/>
      <c r="AJ54" s="395"/>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5"/>
      <c r="BW54" s="395"/>
      <c r="BX54" s="395"/>
      <c r="BY54" s="395"/>
      <c r="BZ54" s="395"/>
      <c r="CA54" s="395"/>
      <c r="CB54" s="395"/>
      <c r="CC54" s="395"/>
      <c r="CD54" s="395"/>
      <c r="CE54" s="395"/>
      <c r="CF54" s="395"/>
      <c r="CG54" s="395"/>
      <c r="CH54" s="395"/>
      <c r="CI54" s="395"/>
      <c r="CJ54" s="395"/>
      <c r="CK54" s="395"/>
      <c r="CL54" s="395"/>
      <c r="CM54" s="395"/>
      <c r="CN54" s="395"/>
      <c r="CO54" s="395"/>
      <c r="CP54" s="395"/>
      <c r="CQ54" s="395"/>
      <c r="CR54" s="395"/>
      <c r="CS54" s="395"/>
      <c r="CT54" s="395"/>
      <c r="CU54" s="395"/>
      <c r="CV54" s="395"/>
      <c r="CW54" s="395"/>
      <c r="CX54" s="395"/>
      <c r="CY54" s="395"/>
      <c r="CZ54" s="395"/>
      <c r="DA54" s="395"/>
      <c r="DB54" s="395"/>
      <c r="DC54" s="395"/>
      <c r="DD54" s="395"/>
      <c r="DE54" s="395"/>
      <c r="DF54" s="395"/>
      <c r="DG54" s="395"/>
      <c r="DH54" s="395"/>
      <c r="DI54" s="395"/>
      <c r="DJ54" s="395"/>
      <c r="DK54" s="395"/>
      <c r="DL54" s="395"/>
      <c r="DM54" s="395"/>
      <c r="DN54" s="395"/>
      <c r="DO54" s="395"/>
      <c r="DP54" s="395"/>
      <c r="DQ54" s="395"/>
      <c r="DR54" s="395"/>
      <c r="DS54" s="395"/>
      <c r="DT54" s="395"/>
      <c r="DU54" s="395"/>
      <c r="DV54" s="395"/>
      <c r="DW54" s="395"/>
      <c r="DX54" s="395"/>
      <c r="DY54" s="395"/>
      <c r="DZ54" s="395"/>
      <c r="EA54" s="395"/>
      <c r="EB54" s="395"/>
      <c r="EC54" s="395"/>
      <c r="ED54" s="395"/>
      <c r="EE54" s="395"/>
      <c r="EF54" s="395"/>
      <c r="EG54" s="395"/>
      <c r="EH54" s="395"/>
      <c r="EI54" s="395"/>
      <c r="EJ54" s="395"/>
      <c r="EK54" s="395"/>
      <c r="EL54" s="395"/>
      <c r="EM54" s="395"/>
      <c r="EN54" s="395"/>
      <c r="EO54" s="395"/>
      <c r="EP54" s="395"/>
      <c r="EQ54" s="395"/>
      <c r="ER54" s="395"/>
      <c r="ES54" s="395"/>
      <c r="ET54" s="395"/>
      <c r="EU54" s="395"/>
      <c r="EV54" s="395"/>
      <c r="EW54" s="395"/>
      <c r="EX54" s="395"/>
      <c r="EY54" s="395"/>
      <c r="EZ54" s="395"/>
      <c r="FA54" s="395"/>
      <c r="FB54" s="395"/>
      <c r="FC54" s="395"/>
      <c r="FD54" s="395"/>
      <c r="FE54" s="395"/>
      <c r="FF54" s="395"/>
      <c r="FG54" s="395"/>
      <c r="FH54" s="395"/>
      <c r="FI54" s="395"/>
      <c r="FJ54" s="395"/>
      <c r="FK54" s="395"/>
      <c r="FL54" s="395"/>
      <c r="FM54" s="395"/>
      <c r="FN54" s="395"/>
      <c r="FO54" s="395"/>
      <c r="FP54" s="395"/>
      <c r="FQ54" s="395"/>
      <c r="FR54" s="395"/>
      <c r="FS54" s="395"/>
      <c r="FT54" s="395"/>
      <c r="FU54" s="395"/>
      <c r="FV54" s="395"/>
      <c r="FW54" s="395"/>
      <c r="FX54" s="395"/>
      <c r="FY54" s="395"/>
      <c r="FZ54" s="395"/>
      <c r="GA54" s="395"/>
      <c r="GB54" s="395"/>
      <c r="GC54" s="395"/>
      <c r="GD54" s="395"/>
      <c r="GE54" s="395"/>
      <c r="GF54" s="395"/>
      <c r="GG54" s="395"/>
      <c r="GH54" s="395"/>
      <c r="GI54" s="395"/>
      <c r="GJ54" s="395"/>
      <c r="GK54" s="395"/>
      <c r="GL54" s="395"/>
      <c r="GM54" s="395"/>
      <c r="GN54" s="395"/>
      <c r="GO54" s="395"/>
      <c r="GP54" s="395"/>
      <c r="GQ54" s="395"/>
      <c r="GR54" s="395"/>
      <c r="GS54" s="395"/>
      <c r="GT54" s="395"/>
      <c r="GU54" s="395"/>
      <c r="GV54" s="395"/>
      <c r="GW54" s="395"/>
      <c r="GX54" s="395"/>
      <c r="GY54" s="395"/>
      <c r="GZ54" s="395"/>
      <c r="HA54" s="395"/>
      <c r="HB54" s="395"/>
      <c r="HC54" s="395"/>
      <c r="HD54" s="395"/>
      <c r="HE54" s="395"/>
      <c r="HF54" s="395"/>
      <c r="HG54" s="395"/>
      <c r="HH54" s="395"/>
      <c r="HI54" s="395"/>
      <c r="HJ54" s="395"/>
      <c r="HK54" s="395"/>
      <c r="HL54" s="395"/>
      <c r="HM54" s="395"/>
      <c r="HN54" s="395"/>
      <c r="HO54" s="395"/>
      <c r="HP54" s="395"/>
      <c r="HQ54" s="395"/>
      <c r="HR54" s="395"/>
    </row>
    <row r="55" spans="1:226" s="866" customFormat="1" x14ac:dyDescent="0.25">
      <c r="A55" s="348" t="s">
        <v>1038</v>
      </c>
      <c r="B55" s="3357" t="s">
        <v>1087</v>
      </c>
      <c r="C55" s="3395" t="s">
        <v>1194</v>
      </c>
      <c r="D55" s="3395" t="s">
        <v>1104</v>
      </c>
      <c r="E55" s="3415" t="s">
        <v>1274</v>
      </c>
      <c r="F55" s="3395" t="s">
        <v>1275</v>
      </c>
      <c r="G55" s="3411"/>
      <c r="H55" s="3401" t="s">
        <v>1224</v>
      </c>
      <c r="I55" s="3401"/>
      <c r="J55" s="3401"/>
      <c r="K55" s="3401"/>
      <c r="L55" s="3401"/>
      <c r="M55" s="3401" t="s">
        <v>1230</v>
      </c>
      <c r="N55" s="3401"/>
      <c r="O55" s="3401"/>
      <c r="P55" s="3401"/>
      <c r="Q55" s="3401"/>
      <c r="R55" s="3401" t="str">
        <f>CONCATENATE("Annual Service Hot Water Load ",IF(SI_IP_Units="IP","(gallons/year)","(Liters/year)"))</f>
        <v>Annual Service Hot Water Load (gallons/year)</v>
      </c>
      <c r="S55" s="3401"/>
      <c r="T55" s="3401"/>
      <c r="U55" s="3401"/>
      <c r="V55" s="3390" t="s">
        <v>2544</v>
      </c>
      <c r="W55" s="395"/>
      <c r="X55" s="395"/>
      <c r="Y55" s="395"/>
      <c r="Z55" s="2140"/>
      <c r="AA55" s="395"/>
      <c r="AB55" s="395"/>
      <c r="AC55" s="395"/>
      <c r="AD55" s="395"/>
      <c r="AE55" s="395"/>
      <c r="AF55" s="395"/>
      <c r="AG55" s="395"/>
      <c r="AH55" s="395"/>
      <c r="AI55" s="395"/>
      <c r="AJ55" s="395"/>
      <c r="AK55" s="395"/>
      <c r="AL55" s="395"/>
      <c r="AM55" s="395"/>
      <c r="AN55" s="395"/>
      <c r="AO55" s="395"/>
      <c r="AP55" s="395"/>
      <c r="AQ55" s="395"/>
      <c r="AR55" s="395"/>
      <c r="AS55" s="395"/>
      <c r="AT55" s="395"/>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5"/>
      <c r="BW55" s="395"/>
      <c r="BX55" s="395"/>
      <c r="BY55" s="395"/>
      <c r="BZ55" s="395"/>
      <c r="CA55" s="395"/>
      <c r="CB55" s="395"/>
      <c r="CC55" s="395"/>
      <c r="CD55" s="395"/>
      <c r="CE55" s="395"/>
      <c r="CF55" s="395"/>
      <c r="CG55" s="395"/>
      <c r="CH55" s="395"/>
      <c r="CI55" s="395"/>
      <c r="CJ55" s="395"/>
      <c r="CK55" s="395"/>
      <c r="CL55" s="395"/>
      <c r="CM55" s="395"/>
      <c r="CN55" s="395"/>
      <c r="CO55" s="395"/>
      <c r="CP55" s="395"/>
      <c r="CQ55" s="395"/>
      <c r="CR55" s="395"/>
      <c r="CS55" s="395"/>
      <c r="CT55" s="395"/>
      <c r="CU55" s="395"/>
      <c r="CV55" s="395"/>
      <c r="CW55" s="395"/>
      <c r="CX55" s="395"/>
      <c r="CY55" s="395"/>
      <c r="CZ55" s="395"/>
      <c r="DA55" s="395"/>
      <c r="DB55" s="395"/>
      <c r="DC55" s="395"/>
      <c r="DD55" s="395"/>
      <c r="DE55" s="395"/>
      <c r="DF55" s="395"/>
      <c r="DG55" s="395"/>
      <c r="DH55" s="395"/>
      <c r="DI55" s="395"/>
      <c r="DJ55" s="395"/>
      <c r="DK55" s="395"/>
      <c r="DL55" s="395"/>
      <c r="DM55" s="395"/>
      <c r="DN55" s="395"/>
      <c r="DO55" s="395"/>
      <c r="DP55" s="395"/>
      <c r="DQ55" s="395"/>
      <c r="DR55" s="395"/>
      <c r="DS55" s="395"/>
      <c r="DT55" s="395"/>
      <c r="DU55" s="395"/>
      <c r="DV55" s="395"/>
      <c r="DW55" s="395"/>
      <c r="DX55" s="395"/>
      <c r="DY55" s="395"/>
      <c r="DZ55" s="395"/>
      <c r="EA55" s="395"/>
      <c r="EB55" s="395"/>
      <c r="EC55" s="395"/>
      <c r="ED55" s="395"/>
      <c r="EE55" s="395"/>
      <c r="EF55" s="395"/>
      <c r="EG55" s="395"/>
      <c r="EH55" s="395"/>
      <c r="EI55" s="395"/>
      <c r="EJ55" s="395"/>
      <c r="EK55" s="395"/>
      <c r="EL55" s="395"/>
      <c r="EM55" s="395"/>
      <c r="EN55" s="395"/>
      <c r="EO55" s="395"/>
      <c r="EP55" s="395"/>
      <c r="EQ55" s="395"/>
      <c r="ER55" s="395"/>
      <c r="ES55" s="395"/>
      <c r="ET55" s="395"/>
      <c r="EU55" s="395"/>
      <c r="EV55" s="395"/>
      <c r="EW55" s="395"/>
      <c r="EX55" s="395"/>
      <c r="EY55" s="395"/>
      <c r="EZ55" s="395"/>
      <c r="FA55" s="395"/>
      <c r="FB55" s="395"/>
      <c r="FC55" s="395"/>
      <c r="FD55" s="395"/>
      <c r="FE55" s="395"/>
      <c r="FF55" s="395"/>
      <c r="FG55" s="395"/>
      <c r="FH55" s="395"/>
      <c r="FI55" s="395"/>
      <c r="FJ55" s="395"/>
      <c r="FK55" s="395"/>
      <c r="FL55" s="395"/>
      <c r="FM55" s="395"/>
      <c r="FN55" s="395"/>
      <c r="FO55" s="395"/>
      <c r="FP55" s="395"/>
      <c r="FQ55" s="395"/>
      <c r="FR55" s="395"/>
      <c r="FS55" s="395"/>
      <c r="FT55" s="395"/>
      <c r="FU55" s="395"/>
      <c r="FV55" s="395"/>
      <c r="FW55" s="395"/>
      <c r="FX55" s="395"/>
      <c r="FY55" s="395"/>
      <c r="FZ55" s="395"/>
      <c r="GA55" s="395"/>
      <c r="GB55" s="395"/>
      <c r="GC55" s="395"/>
      <c r="GD55" s="395"/>
      <c r="GE55" s="395"/>
      <c r="GF55" s="395"/>
      <c r="GG55" s="395"/>
      <c r="GH55" s="395"/>
      <c r="GI55" s="395"/>
      <c r="GJ55" s="395"/>
      <c r="GK55" s="395"/>
      <c r="GL55" s="395"/>
      <c r="GM55" s="395"/>
      <c r="GN55" s="395"/>
      <c r="GO55" s="395"/>
      <c r="GP55" s="395"/>
      <c r="GQ55" s="395"/>
      <c r="GR55" s="395"/>
      <c r="GS55" s="395"/>
      <c r="GT55" s="395"/>
      <c r="GU55" s="395"/>
      <c r="GV55" s="395"/>
      <c r="GW55" s="395"/>
      <c r="GX55" s="395"/>
      <c r="GY55" s="395"/>
      <c r="GZ55" s="395"/>
      <c r="HA55" s="395"/>
      <c r="HB55" s="395"/>
      <c r="HC55" s="395"/>
      <c r="HD55" s="395"/>
      <c r="HE55" s="395"/>
      <c r="HF55" s="395"/>
      <c r="HG55" s="395"/>
      <c r="HH55" s="395"/>
      <c r="HI55" s="395"/>
      <c r="HJ55" s="395"/>
      <c r="HK55" s="395"/>
      <c r="HL55" s="395"/>
      <c r="HM55" s="395"/>
      <c r="HN55" s="395"/>
      <c r="HO55" s="395"/>
      <c r="HP55" s="395"/>
      <c r="HQ55" s="395"/>
      <c r="HR55" s="395"/>
    </row>
    <row r="56" spans="1:226" s="866" customFormat="1" ht="27.75" customHeight="1" x14ac:dyDescent="0.25">
      <c r="A56" s="348" t="s">
        <v>1038</v>
      </c>
      <c r="B56" s="3411"/>
      <c r="C56" s="3411"/>
      <c r="D56" s="3411"/>
      <c r="E56" s="3411"/>
      <c r="F56" s="3416"/>
      <c r="G56" s="3411"/>
      <c r="H56" s="3401" t="str">
        <f>CONCATENATE("Annual Consumption ",IF(SI_IP_Units="IP","(kWh/year)","kWh/year"))</f>
        <v>Annual Consumption (kWh/year)</v>
      </c>
      <c r="I56" s="3401"/>
      <c r="J56" s="3412" t="s">
        <v>1193</v>
      </c>
      <c r="K56" s="3412" t="s">
        <v>1192</v>
      </c>
      <c r="L56" s="3401"/>
      <c r="M56" s="3401" t="str">
        <f>CONCATENATE("Annual Consumption ",IF(SI_IP_Units="IP","(therms/year)","kWh/year"))</f>
        <v>Annual Consumption (therms/year)</v>
      </c>
      <c r="N56" s="3401"/>
      <c r="O56" s="3412" t="s">
        <v>1193</v>
      </c>
      <c r="P56" s="3412" t="s">
        <v>1192</v>
      </c>
      <c r="Q56" s="3401"/>
      <c r="R56" s="3412" t="s">
        <v>1234</v>
      </c>
      <c r="S56" s="3412" t="s">
        <v>2677</v>
      </c>
      <c r="T56" s="3412" t="s">
        <v>1235</v>
      </c>
      <c r="U56" s="3412" t="s">
        <v>2678</v>
      </c>
      <c r="V56" s="3391"/>
      <c r="W56" s="395"/>
      <c r="X56" s="395"/>
      <c r="Y56" s="395"/>
      <c r="Z56" s="2140"/>
      <c r="AA56" s="395"/>
      <c r="AB56" s="395"/>
      <c r="AC56" s="395"/>
      <c r="AD56" s="395"/>
      <c r="AE56" s="395"/>
      <c r="AF56" s="395"/>
      <c r="AG56" s="395"/>
      <c r="AH56" s="395"/>
      <c r="AI56" s="395"/>
      <c r="AJ56" s="395"/>
      <c r="AK56" s="395"/>
      <c r="AL56" s="395"/>
      <c r="AM56" s="395"/>
      <c r="AN56" s="395"/>
      <c r="AO56" s="395"/>
      <c r="AP56" s="395"/>
      <c r="AQ56" s="395"/>
      <c r="AR56" s="395"/>
      <c r="AS56" s="395"/>
      <c r="AT56" s="395"/>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5"/>
      <c r="BW56" s="395"/>
      <c r="BX56" s="395"/>
      <c r="BY56" s="395"/>
      <c r="BZ56" s="395"/>
      <c r="CA56" s="395"/>
      <c r="CB56" s="395"/>
      <c r="CC56" s="395"/>
      <c r="CD56" s="395"/>
      <c r="CE56" s="395"/>
      <c r="CF56" s="395"/>
      <c r="CG56" s="395"/>
      <c r="CH56" s="395"/>
      <c r="CI56" s="395"/>
      <c r="CJ56" s="395"/>
      <c r="CK56" s="395"/>
      <c r="CL56" s="395"/>
      <c r="CM56" s="395"/>
      <c r="CN56" s="395"/>
      <c r="CO56" s="395"/>
      <c r="CP56" s="395"/>
      <c r="CQ56" s="395"/>
      <c r="CR56" s="395"/>
      <c r="CS56" s="395"/>
      <c r="CT56" s="395"/>
      <c r="CU56" s="395"/>
      <c r="CV56" s="395"/>
      <c r="CW56" s="395"/>
      <c r="CX56" s="395"/>
      <c r="CY56" s="395"/>
      <c r="CZ56" s="395"/>
      <c r="DA56" s="395"/>
      <c r="DB56" s="395"/>
      <c r="DC56" s="395"/>
      <c r="DD56" s="395"/>
      <c r="DE56" s="395"/>
      <c r="DF56" s="395"/>
      <c r="DG56" s="395"/>
      <c r="DH56" s="395"/>
      <c r="DI56" s="395"/>
      <c r="DJ56" s="395"/>
      <c r="DK56" s="395"/>
      <c r="DL56" s="395"/>
      <c r="DM56" s="395"/>
      <c r="DN56" s="395"/>
      <c r="DO56" s="395"/>
      <c r="DP56" s="395"/>
      <c r="DQ56" s="395"/>
      <c r="DR56" s="395"/>
      <c r="DS56" s="395"/>
      <c r="DT56" s="395"/>
      <c r="DU56" s="395"/>
      <c r="DV56" s="395"/>
      <c r="DW56" s="395"/>
      <c r="DX56" s="395"/>
      <c r="DY56" s="395"/>
      <c r="DZ56" s="395"/>
      <c r="EA56" s="395"/>
      <c r="EB56" s="395"/>
      <c r="EC56" s="395"/>
      <c r="ED56" s="395"/>
      <c r="EE56" s="395"/>
      <c r="EF56" s="395"/>
      <c r="EG56" s="395"/>
      <c r="EH56" s="395"/>
      <c r="EI56" s="395"/>
      <c r="EJ56" s="395"/>
      <c r="EK56" s="395"/>
      <c r="EL56" s="395"/>
      <c r="EM56" s="395"/>
      <c r="EN56" s="395"/>
      <c r="EO56" s="395"/>
      <c r="EP56" s="395"/>
      <c r="EQ56" s="395"/>
      <c r="ER56" s="395"/>
      <c r="ES56" s="395"/>
      <c r="ET56" s="395"/>
      <c r="EU56" s="395"/>
      <c r="EV56" s="395"/>
      <c r="EW56" s="395"/>
      <c r="EX56" s="395"/>
      <c r="EY56" s="395"/>
      <c r="EZ56" s="395"/>
      <c r="FA56" s="395"/>
      <c r="FB56" s="395"/>
      <c r="FC56" s="395"/>
      <c r="FD56" s="395"/>
      <c r="FE56" s="395"/>
      <c r="FF56" s="395"/>
      <c r="FG56" s="395"/>
      <c r="FH56" s="395"/>
      <c r="FI56" s="395"/>
      <c r="FJ56" s="395"/>
      <c r="FK56" s="395"/>
      <c r="FL56" s="395"/>
      <c r="FM56" s="395"/>
      <c r="FN56" s="395"/>
      <c r="FO56" s="395"/>
      <c r="FP56" s="395"/>
      <c r="FQ56" s="395"/>
      <c r="FR56" s="395"/>
      <c r="FS56" s="395"/>
      <c r="FT56" s="395"/>
      <c r="FU56" s="395"/>
      <c r="FV56" s="395"/>
      <c r="FW56" s="395"/>
      <c r="FX56" s="395"/>
      <c r="FY56" s="395"/>
      <c r="FZ56" s="395"/>
      <c r="GA56" s="395"/>
      <c r="GB56" s="395"/>
      <c r="GC56" s="395"/>
      <c r="GD56" s="395"/>
      <c r="GE56" s="395"/>
      <c r="GF56" s="395"/>
      <c r="GG56" s="395"/>
      <c r="GH56" s="395"/>
      <c r="GI56" s="395"/>
      <c r="GJ56" s="395"/>
      <c r="GK56" s="395"/>
      <c r="GL56" s="395"/>
      <c r="GM56" s="395"/>
      <c r="GN56" s="395"/>
      <c r="GO56" s="395"/>
      <c r="GP56" s="395"/>
      <c r="GQ56" s="395"/>
      <c r="GR56" s="395"/>
      <c r="GS56" s="395"/>
      <c r="GT56" s="395"/>
      <c r="GU56" s="395"/>
      <c r="GV56" s="395"/>
      <c r="GW56" s="395"/>
      <c r="GX56" s="395"/>
      <c r="GY56" s="395"/>
      <c r="GZ56" s="395"/>
      <c r="HA56" s="395"/>
      <c r="HB56" s="395"/>
      <c r="HC56" s="395"/>
      <c r="HD56" s="395"/>
      <c r="HE56" s="395"/>
      <c r="HF56" s="395"/>
      <c r="HG56" s="395"/>
      <c r="HH56" s="395"/>
      <c r="HI56" s="395"/>
      <c r="HJ56" s="395"/>
      <c r="HK56" s="395"/>
      <c r="HL56" s="395"/>
      <c r="HM56" s="395"/>
      <c r="HN56" s="395"/>
      <c r="HO56" s="395"/>
      <c r="HP56" s="395"/>
      <c r="HQ56" s="395"/>
      <c r="HR56" s="395"/>
    </row>
    <row r="57" spans="1:226" s="866" customFormat="1" ht="20.25" customHeight="1" x14ac:dyDescent="0.25">
      <c r="A57" s="348" t="s">
        <v>1038</v>
      </c>
      <c r="B57" s="3411"/>
      <c r="C57" s="3411"/>
      <c r="D57" s="3411"/>
      <c r="E57" s="3411"/>
      <c r="F57" s="3416"/>
      <c r="G57" s="3411"/>
      <c r="H57" s="1491" t="s">
        <v>272</v>
      </c>
      <c r="I57" s="1491" t="s">
        <v>273</v>
      </c>
      <c r="J57" s="3401"/>
      <c r="K57" s="3401"/>
      <c r="L57" s="3401"/>
      <c r="M57" s="2091" t="s">
        <v>272</v>
      </c>
      <c r="N57" s="2091" t="s">
        <v>273</v>
      </c>
      <c r="O57" s="3401"/>
      <c r="P57" s="3401"/>
      <c r="Q57" s="3401"/>
      <c r="R57" s="3401"/>
      <c r="S57" s="3401"/>
      <c r="T57" s="3401"/>
      <c r="U57" s="3401"/>
      <c r="V57" s="3392"/>
      <c r="W57" s="395"/>
      <c r="X57" s="395"/>
      <c r="Y57" s="395"/>
      <c r="Z57" s="2140"/>
      <c r="AA57" s="395"/>
      <c r="AB57" s="395"/>
      <c r="AC57" s="395"/>
      <c r="AD57" s="395"/>
      <c r="AE57" s="395"/>
      <c r="AF57" s="395"/>
      <c r="AG57" s="395"/>
      <c r="AH57" s="395"/>
      <c r="AI57" s="395"/>
      <c r="AJ57" s="395"/>
      <c r="AK57" s="395"/>
      <c r="AL57" s="395"/>
      <c r="AM57" s="395"/>
      <c r="AN57" s="395"/>
      <c r="AO57" s="395"/>
      <c r="AP57" s="395"/>
      <c r="AQ57" s="395"/>
      <c r="AR57" s="395"/>
      <c r="AS57" s="395"/>
      <c r="AT57" s="395"/>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5"/>
      <c r="BW57" s="395"/>
      <c r="BX57" s="395"/>
      <c r="BY57" s="395"/>
      <c r="BZ57" s="395"/>
      <c r="CA57" s="395"/>
      <c r="CB57" s="395"/>
      <c r="CC57" s="395"/>
      <c r="CD57" s="395"/>
      <c r="CE57" s="395"/>
      <c r="CF57" s="395"/>
      <c r="CG57" s="395"/>
      <c r="CH57" s="395"/>
      <c r="CI57" s="395"/>
      <c r="CJ57" s="395"/>
      <c r="CK57" s="395"/>
      <c r="CL57" s="395"/>
      <c r="CM57" s="395"/>
      <c r="CN57" s="395"/>
      <c r="CO57" s="395"/>
      <c r="CP57" s="395"/>
      <c r="CQ57" s="395"/>
      <c r="CR57" s="395"/>
      <c r="CS57" s="395"/>
      <c r="CT57" s="395"/>
      <c r="CU57" s="395"/>
      <c r="CV57" s="395"/>
      <c r="CW57" s="395"/>
      <c r="CX57" s="395"/>
      <c r="CY57" s="395"/>
      <c r="CZ57" s="395"/>
      <c r="DA57" s="395"/>
      <c r="DB57" s="395"/>
      <c r="DC57" s="395"/>
      <c r="DD57" s="395"/>
      <c r="DE57" s="395"/>
      <c r="DF57" s="395"/>
      <c r="DG57" s="395"/>
      <c r="DH57" s="395"/>
      <c r="DI57" s="395"/>
      <c r="DJ57" s="395"/>
      <c r="DK57" s="395"/>
      <c r="DL57" s="395"/>
      <c r="DM57" s="395"/>
      <c r="DN57" s="395"/>
      <c r="DO57" s="395"/>
      <c r="DP57" s="395"/>
      <c r="DQ57" s="395"/>
      <c r="DR57" s="395"/>
      <c r="DS57" s="395"/>
      <c r="DT57" s="395"/>
      <c r="DU57" s="395"/>
      <c r="DV57" s="395"/>
      <c r="DW57" s="395"/>
      <c r="DX57" s="395"/>
      <c r="DY57" s="395"/>
      <c r="DZ57" s="395"/>
      <c r="EA57" s="395"/>
      <c r="EB57" s="395"/>
      <c r="EC57" s="395"/>
      <c r="ED57" s="395"/>
      <c r="EE57" s="395"/>
      <c r="EF57" s="395"/>
      <c r="EG57" s="395"/>
      <c r="EH57" s="395"/>
      <c r="EI57" s="395"/>
      <c r="EJ57" s="395"/>
      <c r="EK57" s="395"/>
      <c r="EL57" s="395"/>
      <c r="EM57" s="395"/>
      <c r="EN57" s="395"/>
      <c r="EO57" s="395"/>
      <c r="EP57" s="395"/>
      <c r="EQ57" s="395"/>
      <c r="ER57" s="395"/>
      <c r="ES57" s="395"/>
      <c r="ET57" s="395"/>
      <c r="EU57" s="395"/>
      <c r="EV57" s="395"/>
      <c r="EW57" s="395"/>
      <c r="EX57" s="395"/>
      <c r="EY57" s="395"/>
      <c r="EZ57" s="395"/>
      <c r="FA57" s="395"/>
      <c r="FB57" s="395"/>
      <c r="FC57" s="395"/>
      <c r="FD57" s="395"/>
      <c r="FE57" s="395"/>
      <c r="FF57" s="395"/>
      <c r="FG57" s="395"/>
      <c r="FH57" s="395"/>
      <c r="FI57" s="395"/>
      <c r="FJ57" s="395"/>
      <c r="FK57" s="395"/>
      <c r="FL57" s="395"/>
      <c r="FM57" s="395"/>
      <c r="FN57" s="395"/>
      <c r="FO57" s="395"/>
      <c r="FP57" s="395"/>
      <c r="FQ57" s="395"/>
      <c r="FR57" s="395"/>
      <c r="FS57" s="395"/>
      <c r="FT57" s="395"/>
      <c r="FU57" s="395"/>
      <c r="FV57" s="395"/>
      <c r="FW57" s="395"/>
      <c r="FX57" s="395"/>
      <c r="FY57" s="395"/>
      <c r="FZ57" s="395"/>
      <c r="GA57" s="395"/>
      <c r="GB57" s="395"/>
      <c r="GC57" s="395"/>
      <c r="GD57" s="395"/>
      <c r="GE57" s="395"/>
      <c r="GF57" s="395"/>
      <c r="GG57" s="395"/>
      <c r="GH57" s="395"/>
      <c r="GI57" s="395"/>
      <c r="GJ57" s="395"/>
      <c r="GK57" s="395"/>
      <c r="GL57" s="395"/>
      <c r="GM57" s="395"/>
      <c r="GN57" s="395"/>
      <c r="GO57" s="395"/>
      <c r="GP57" s="395"/>
      <c r="GQ57" s="395"/>
      <c r="GR57" s="395"/>
      <c r="GS57" s="395"/>
      <c r="GT57" s="395"/>
      <c r="GU57" s="395"/>
      <c r="GV57" s="395"/>
      <c r="GW57" s="395"/>
      <c r="GX57" s="395"/>
      <c r="GY57" s="395"/>
      <c r="GZ57" s="395"/>
      <c r="HA57" s="395"/>
      <c r="HB57" s="395"/>
      <c r="HC57" s="395"/>
      <c r="HD57" s="395"/>
      <c r="HE57" s="395"/>
      <c r="HF57" s="395"/>
      <c r="HG57" s="395"/>
      <c r="HH57" s="395"/>
      <c r="HI57" s="395"/>
      <c r="HJ57" s="395"/>
      <c r="HK57" s="395"/>
      <c r="HL57" s="395"/>
      <c r="HM57" s="395"/>
      <c r="HN57" s="395"/>
      <c r="HO57" s="395"/>
      <c r="HP57" s="395"/>
      <c r="HQ57" s="395"/>
      <c r="HR57" s="395"/>
    </row>
    <row r="58" spans="1:226" s="866" customFormat="1" ht="52.8" hidden="1" x14ac:dyDescent="0.25">
      <c r="A58" s="348" t="s">
        <v>1038</v>
      </c>
      <c r="B58" s="1363" t="s">
        <v>1087</v>
      </c>
      <c r="C58" s="1363" t="s">
        <v>1238</v>
      </c>
      <c r="D58" s="1363" t="s">
        <v>1132</v>
      </c>
      <c r="E58" s="1363" t="s">
        <v>1239</v>
      </c>
      <c r="F58" s="1364" t="s">
        <v>1240</v>
      </c>
      <c r="G58" s="1363"/>
      <c r="H58" s="1497" t="s">
        <v>1241</v>
      </c>
      <c r="I58" s="1497" t="s">
        <v>1242</v>
      </c>
      <c r="J58" s="1364" t="s">
        <v>1243</v>
      </c>
      <c r="K58" s="1364" t="s">
        <v>1244</v>
      </c>
      <c r="L58" s="1364"/>
      <c r="M58" s="2092" t="s">
        <v>1245</v>
      </c>
      <c r="N58" s="2092" t="s">
        <v>1246</v>
      </c>
      <c r="O58" s="1364" t="s">
        <v>1247</v>
      </c>
      <c r="P58" s="1364" t="s">
        <v>1248</v>
      </c>
      <c r="Q58" s="1364"/>
      <c r="R58" s="1364" t="s">
        <v>1249</v>
      </c>
      <c r="S58" s="1364" t="s">
        <v>1250</v>
      </c>
      <c r="T58" s="1364" t="s">
        <v>1251</v>
      </c>
      <c r="U58" s="1364" t="s">
        <v>1252</v>
      </c>
      <c r="V58" s="1498"/>
      <c r="W58" s="395"/>
      <c r="X58" s="395"/>
      <c r="Y58" s="395"/>
      <c r="Z58" s="2140"/>
      <c r="AA58" s="395"/>
      <c r="AB58" s="395"/>
      <c r="AC58" s="395"/>
      <c r="AD58" s="395"/>
      <c r="AE58" s="395"/>
      <c r="AF58" s="395"/>
      <c r="AG58" s="395"/>
      <c r="AH58" s="395"/>
      <c r="AI58" s="395"/>
      <c r="AJ58" s="395"/>
      <c r="AK58" s="395"/>
      <c r="AL58" s="395"/>
      <c r="AM58" s="395"/>
      <c r="AN58" s="395"/>
      <c r="AO58" s="395"/>
      <c r="AP58" s="395"/>
      <c r="AQ58" s="395"/>
      <c r="AR58" s="395"/>
      <c r="AS58" s="395"/>
      <c r="AT58" s="395"/>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5"/>
      <c r="BW58" s="395"/>
      <c r="BX58" s="395"/>
      <c r="BY58" s="395"/>
      <c r="BZ58" s="395"/>
      <c r="CA58" s="395"/>
      <c r="CB58" s="395"/>
      <c r="CC58" s="395"/>
      <c r="CD58" s="395"/>
      <c r="CE58" s="395"/>
      <c r="CF58" s="395"/>
      <c r="CG58" s="395"/>
      <c r="CH58" s="395"/>
      <c r="CI58" s="395"/>
      <c r="CJ58" s="395"/>
      <c r="CK58" s="395"/>
      <c r="CL58" s="395"/>
      <c r="CM58" s="395"/>
      <c r="CN58" s="395"/>
      <c r="CO58" s="395"/>
      <c r="CP58" s="395"/>
      <c r="CQ58" s="395"/>
      <c r="CR58" s="395"/>
      <c r="CS58" s="395"/>
      <c r="CT58" s="395"/>
      <c r="CU58" s="395"/>
      <c r="CV58" s="395"/>
      <c r="CW58" s="395"/>
      <c r="CX58" s="395"/>
      <c r="CY58" s="395"/>
      <c r="CZ58" s="395"/>
      <c r="DA58" s="395"/>
      <c r="DB58" s="395"/>
      <c r="DC58" s="395"/>
      <c r="DD58" s="395"/>
      <c r="DE58" s="395"/>
      <c r="DF58" s="395"/>
      <c r="DG58" s="395"/>
      <c r="DH58" s="395"/>
      <c r="DI58" s="395"/>
      <c r="DJ58" s="395"/>
      <c r="DK58" s="395"/>
      <c r="DL58" s="395"/>
      <c r="DM58" s="395"/>
      <c r="DN58" s="395"/>
      <c r="DO58" s="395"/>
      <c r="DP58" s="395"/>
      <c r="DQ58" s="395"/>
      <c r="DR58" s="395"/>
      <c r="DS58" s="395"/>
      <c r="DT58" s="395"/>
      <c r="DU58" s="395"/>
      <c r="DV58" s="395"/>
      <c r="DW58" s="395"/>
      <c r="DX58" s="395"/>
      <c r="DY58" s="395"/>
      <c r="DZ58" s="395"/>
      <c r="EA58" s="395"/>
      <c r="EB58" s="395"/>
      <c r="EC58" s="395"/>
      <c r="ED58" s="395"/>
      <c r="EE58" s="395"/>
      <c r="EF58" s="395"/>
      <c r="EG58" s="395"/>
      <c r="EH58" s="395"/>
      <c r="EI58" s="395"/>
      <c r="EJ58" s="395"/>
      <c r="EK58" s="395"/>
      <c r="EL58" s="395"/>
      <c r="EM58" s="395"/>
      <c r="EN58" s="395"/>
      <c r="EO58" s="395"/>
      <c r="EP58" s="395"/>
      <c r="EQ58" s="395"/>
      <c r="ER58" s="395"/>
      <c r="ES58" s="395"/>
      <c r="ET58" s="395"/>
      <c r="EU58" s="395"/>
      <c r="EV58" s="395"/>
      <c r="EW58" s="395"/>
      <c r="EX58" s="395"/>
      <c r="EY58" s="395"/>
      <c r="EZ58" s="395"/>
      <c r="FA58" s="395"/>
      <c r="FB58" s="395"/>
      <c r="FC58" s="395"/>
      <c r="FD58" s="395"/>
      <c r="FE58" s="395"/>
      <c r="FF58" s="395"/>
      <c r="FG58" s="395"/>
      <c r="FH58" s="395"/>
      <c r="FI58" s="395"/>
      <c r="FJ58" s="395"/>
      <c r="FK58" s="395"/>
      <c r="FL58" s="395"/>
      <c r="FM58" s="395"/>
      <c r="FN58" s="395"/>
      <c r="FO58" s="395"/>
      <c r="FP58" s="395"/>
      <c r="FQ58" s="395"/>
      <c r="FR58" s="395"/>
      <c r="FS58" s="395"/>
      <c r="FT58" s="395"/>
      <c r="FU58" s="395"/>
      <c r="FV58" s="395"/>
      <c r="FW58" s="395"/>
      <c r="FX58" s="395"/>
      <c r="FY58" s="395"/>
      <c r="FZ58" s="395"/>
      <c r="GA58" s="395"/>
      <c r="GB58" s="395"/>
      <c r="GC58" s="395"/>
      <c r="GD58" s="395"/>
      <c r="GE58" s="395"/>
      <c r="GF58" s="395"/>
      <c r="GG58" s="395"/>
      <c r="GH58" s="395"/>
      <c r="GI58" s="395"/>
      <c r="GJ58" s="395"/>
      <c r="GK58" s="395"/>
      <c r="GL58" s="395"/>
      <c r="GM58" s="395"/>
      <c r="GN58" s="395"/>
      <c r="GO58" s="395"/>
      <c r="GP58" s="395"/>
      <c r="GQ58" s="395"/>
      <c r="GR58" s="395"/>
      <c r="GS58" s="395"/>
      <c r="GT58" s="395"/>
      <c r="GU58" s="395"/>
      <c r="GV58" s="395"/>
      <c r="GW58" s="395"/>
      <c r="GX58" s="395"/>
      <c r="GY58" s="395"/>
      <c r="GZ58" s="395"/>
      <c r="HA58" s="395"/>
      <c r="HB58" s="395"/>
      <c r="HC58" s="395"/>
      <c r="HD58" s="395"/>
      <c r="HE58" s="395"/>
      <c r="HF58" s="395"/>
      <c r="HG58" s="395"/>
      <c r="HH58" s="395"/>
      <c r="HI58" s="395"/>
      <c r="HJ58" s="395"/>
      <c r="HK58" s="395"/>
      <c r="HL58" s="395"/>
      <c r="HM58" s="395"/>
      <c r="HN58" s="395"/>
      <c r="HO58" s="395"/>
      <c r="HP58" s="395"/>
      <c r="HQ58" s="395"/>
      <c r="HR58" s="395"/>
    </row>
    <row r="59" spans="1:226" s="866" customFormat="1" x14ac:dyDescent="0.25">
      <c r="A59" s="348"/>
      <c r="B59" s="1275"/>
      <c r="C59" s="1510"/>
      <c r="D59" s="1517"/>
      <c r="E59" s="1517"/>
      <c r="F59" s="1276">
        <f>IFERROR(INDEX(MD_BUS_SumTable,MATCH($B59,MD_BUS_SumIndex,0),MATCH($K$21,MD_BUS_SumHdr,0)),"")</f>
        <v>0</v>
      </c>
      <c r="G59" s="1634"/>
      <c r="H59" s="2090" t="str">
        <f>IFERROR((VLOOKUP($C59,Homes_LaundryEqpLookup,2,FALSE)+VLOOKUP($C59,Homes_LaundryEqpLookup,6,FALSE)*$F59)*VLOOKUP($C59,Homes_LaundryEqpLookup,12,FALSE)*D59,"")</f>
        <v/>
      </c>
      <c r="I59" s="2090" t="str">
        <f>IFERROR(IF($E59="No",$H59,(VLOOKUP($C59,Homes_LaundryEqpLookup,3,FALSE)+VLOOKUP($C59,Homes_LaundryEqpLookup,6,FALSE)*$F59)*VLOOKUP($C59,Homes_LaundryEqpLookup,12,FALSE))*D59,"")</f>
        <v/>
      </c>
      <c r="J59" s="368" t="str">
        <f>IFERROR(VLOOKUP($C59,Homes_LaundryEqpLookup,4,0),"")</f>
        <v/>
      </c>
      <c r="K59" s="368" t="str">
        <f>IFERROR(VLOOKUP($C59,Homes_LaundryEqpLookup,5,0),"")</f>
        <v/>
      </c>
      <c r="L59" s="1634"/>
      <c r="M59" s="2090" t="str">
        <f>IFERROR((VLOOKUP($C59,Homes_LaundryEqpLookup,7,FALSE)+VLOOKUP($C59,Homes_LaundryEqpLookup,11,FALSE)*$F59)*VLOOKUP($C59,Homes_LaundryEqpLookup,12,FALSE)*D59,"")</f>
        <v/>
      </c>
      <c r="N59" s="2090" t="str">
        <f>IFERROR(IF($E59="No",$M59,(VLOOKUP($C59,Homes_LaundryEqpLookup,8,FALSE)+VLOOKUP($C59,Homes_LaundryEqpLookup,11,FALSE)*$F59)*VLOOKUP($C59,Homes_LaundryEqpLookup,12,FALSE))*D59,"")</f>
        <v/>
      </c>
      <c r="O59" s="368" t="str">
        <f>IFERROR(VLOOKUP($C59,Homes_LaundryEqpLookup,9,0),"")</f>
        <v/>
      </c>
      <c r="P59" s="368" t="str">
        <f>IFERROR(VLOOKUP($C59,Homes_LaundryEqpLookup,10,0),"")</f>
        <v/>
      </c>
      <c r="Q59" s="1634"/>
      <c r="R59" s="2093" t="str">
        <f>IFERROR(VLOOKUP($C59,Homes_LaundryEqpLookup,13,0),"")</f>
        <v/>
      </c>
      <c r="S59" s="2093" t="str">
        <f>IFERROR(VLOOKUP($C59,Homes_LaundryEqpLookup,14,0),"")</f>
        <v/>
      </c>
      <c r="T59" s="2093" t="str">
        <f>IFERROR($R59*$D59,"")</f>
        <v/>
      </c>
      <c r="U59" s="2093" t="str">
        <f>IFERROR($S59*$D59,"")</f>
        <v/>
      </c>
      <c r="V59" s="1498"/>
      <c r="W59" s="395"/>
      <c r="X59" s="395"/>
      <c r="Y59" s="395"/>
      <c r="Z59" s="2142"/>
      <c r="AA59" s="395"/>
      <c r="AB59" s="395"/>
      <c r="AC59" s="395"/>
      <c r="AD59" s="395"/>
      <c r="AE59" s="395"/>
      <c r="AF59" s="395"/>
      <c r="AG59" s="395"/>
      <c r="AH59" s="395"/>
      <c r="AI59" s="395"/>
      <c r="AJ59" s="395"/>
      <c r="AK59" s="395"/>
      <c r="AL59" s="395"/>
      <c r="AM59" s="395"/>
      <c r="AN59" s="395"/>
      <c r="AO59" s="395"/>
      <c r="AP59" s="395"/>
      <c r="AQ59" s="395"/>
      <c r="AR59" s="395"/>
      <c r="AS59" s="395"/>
      <c r="AT59" s="395"/>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5"/>
      <c r="BW59" s="395"/>
      <c r="BX59" s="395"/>
      <c r="BY59" s="395"/>
      <c r="BZ59" s="395"/>
      <c r="CA59" s="395"/>
      <c r="CB59" s="395"/>
      <c r="CC59" s="395"/>
      <c r="CD59" s="395"/>
      <c r="CE59" s="395"/>
      <c r="CF59" s="395"/>
      <c r="CG59" s="395"/>
      <c r="CH59" s="395"/>
      <c r="CI59" s="395"/>
      <c r="CJ59" s="395"/>
      <c r="CK59" s="395"/>
      <c r="CL59" s="395"/>
      <c r="CM59" s="395"/>
      <c r="CN59" s="395"/>
      <c r="CO59" s="395"/>
      <c r="CP59" s="395"/>
      <c r="CQ59" s="395"/>
      <c r="CR59" s="395"/>
      <c r="CS59" s="395"/>
      <c r="CT59" s="395"/>
      <c r="CU59" s="395"/>
      <c r="CV59" s="395"/>
      <c r="CW59" s="395"/>
      <c r="CX59" s="395"/>
      <c r="CY59" s="395"/>
      <c r="CZ59" s="395"/>
      <c r="DA59" s="395"/>
      <c r="DB59" s="395"/>
      <c r="DC59" s="395"/>
      <c r="DD59" s="395"/>
      <c r="DE59" s="395"/>
      <c r="DF59" s="395"/>
      <c r="DG59" s="395"/>
      <c r="DH59" s="395"/>
      <c r="DI59" s="395"/>
      <c r="DJ59" s="395"/>
      <c r="DK59" s="395"/>
      <c r="DL59" s="395"/>
      <c r="DM59" s="395"/>
      <c r="DN59" s="395"/>
      <c r="DO59" s="395"/>
      <c r="DP59" s="395"/>
      <c r="DQ59" s="395"/>
      <c r="DR59" s="395"/>
      <c r="DS59" s="395"/>
      <c r="DT59" s="395"/>
      <c r="DU59" s="395"/>
      <c r="DV59" s="395"/>
      <c r="DW59" s="395"/>
      <c r="DX59" s="395"/>
      <c r="DY59" s="395"/>
      <c r="DZ59" s="395"/>
      <c r="EA59" s="395"/>
      <c r="EB59" s="395"/>
      <c r="EC59" s="395"/>
      <c r="ED59" s="395"/>
      <c r="EE59" s="395"/>
      <c r="EF59" s="395"/>
      <c r="EG59" s="395"/>
      <c r="EH59" s="395"/>
      <c r="EI59" s="395"/>
      <c r="EJ59" s="395"/>
      <c r="EK59" s="395"/>
      <c r="EL59" s="395"/>
      <c r="EM59" s="395"/>
      <c r="EN59" s="395"/>
      <c r="EO59" s="395"/>
      <c r="EP59" s="395"/>
      <c r="EQ59" s="395"/>
      <c r="ER59" s="395"/>
      <c r="ES59" s="395"/>
      <c r="ET59" s="395"/>
      <c r="EU59" s="395"/>
      <c r="EV59" s="395"/>
      <c r="EW59" s="395"/>
      <c r="EX59" s="395"/>
      <c r="EY59" s="395"/>
      <c r="EZ59" s="395"/>
      <c r="FA59" s="395"/>
      <c r="FB59" s="395"/>
      <c r="FC59" s="395"/>
      <c r="FD59" s="395"/>
      <c r="FE59" s="395"/>
      <c r="FF59" s="395"/>
      <c r="FG59" s="395"/>
      <c r="FH59" s="395"/>
      <c r="FI59" s="395"/>
      <c r="FJ59" s="395"/>
      <c r="FK59" s="395"/>
      <c r="FL59" s="395"/>
      <c r="FM59" s="395"/>
      <c r="FN59" s="395"/>
      <c r="FO59" s="395"/>
      <c r="FP59" s="395"/>
      <c r="FQ59" s="395"/>
      <c r="FR59" s="395"/>
      <c r="FS59" s="395"/>
      <c r="FT59" s="395"/>
      <c r="FU59" s="395"/>
      <c r="FV59" s="395"/>
      <c r="FW59" s="395"/>
      <c r="FX59" s="395"/>
      <c r="FY59" s="395"/>
      <c r="FZ59" s="395"/>
      <c r="GA59" s="395"/>
      <c r="GB59" s="395"/>
      <c r="GC59" s="395"/>
      <c r="GD59" s="395"/>
      <c r="GE59" s="395"/>
      <c r="GF59" s="395"/>
      <c r="GG59" s="395"/>
      <c r="GH59" s="395"/>
      <c r="GI59" s="395"/>
      <c r="GJ59" s="395"/>
      <c r="GK59" s="395"/>
      <c r="GL59" s="395"/>
      <c r="GM59" s="395"/>
      <c r="GN59" s="395"/>
      <c r="GO59" s="395"/>
      <c r="GP59" s="395"/>
      <c r="GQ59" s="395"/>
      <c r="GR59" s="395"/>
      <c r="GS59" s="395"/>
      <c r="GT59" s="395"/>
      <c r="GU59" s="395"/>
      <c r="GV59" s="395"/>
      <c r="GW59" s="395"/>
      <c r="GX59" s="395"/>
      <c r="GY59" s="395"/>
      <c r="GZ59" s="395"/>
      <c r="HA59" s="395"/>
      <c r="HB59" s="395"/>
      <c r="HC59" s="395"/>
      <c r="HD59" s="395"/>
      <c r="HE59" s="395"/>
      <c r="HF59" s="395"/>
      <c r="HG59" s="395"/>
      <c r="HH59" s="395"/>
      <c r="HI59" s="395"/>
      <c r="HJ59" s="395"/>
      <c r="HK59" s="395"/>
      <c r="HL59" s="395"/>
      <c r="HM59" s="395"/>
      <c r="HN59" s="395"/>
      <c r="HO59" s="395"/>
      <c r="HP59" s="395"/>
      <c r="HQ59" s="395"/>
      <c r="HR59" s="395"/>
    </row>
    <row r="60" spans="1:226" s="866" customFormat="1" x14ac:dyDescent="0.25">
      <c r="A60" s="348"/>
      <c r="B60" s="1275"/>
      <c r="C60" s="1510"/>
      <c r="D60" s="1517"/>
      <c r="E60" s="1517"/>
      <c r="F60" s="1276">
        <f>IFERROR(INDEX(MD_BUS_SumTable,MATCH($B60,MD_BUS_SumIndex,0),MATCH($K$21,MD_BUS_SumHdr,0)),"")</f>
        <v>0</v>
      </c>
      <c r="G60" s="1635"/>
      <c r="H60" s="2090" t="str">
        <f>IFERROR((VLOOKUP($C60,Homes_LaundryEqpLookup,2,FALSE)+VLOOKUP($C60,Homes_LaundryEqpLookup,6,FALSE)*$F60)*VLOOKUP($C60,Homes_LaundryEqpLookup,12,FALSE)*D60,"")</f>
        <v/>
      </c>
      <c r="I60" s="2090" t="str">
        <f>IFERROR(IF($E60="No",$H60,(VLOOKUP($C60,Homes_LaundryEqpLookup,3,FALSE)+VLOOKUP($C60,Homes_LaundryEqpLookup,6,FALSE)*$F60)*VLOOKUP($C60,Homes_LaundryEqpLookup,12,FALSE))*D60,"")</f>
        <v/>
      </c>
      <c r="J60" s="368" t="str">
        <f>IFERROR(VLOOKUP($C60,Homes_LaundryEqpLookup,4,0),"")</f>
        <v/>
      </c>
      <c r="K60" s="368" t="str">
        <f>IFERROR(VLOOKUP($C60,Homes_LaundryEqpLookup,5,0),"")</f>
        <v/>
      </c>
      <c r="L60" s="1635"/>
      <c r="M60" s="2090" t="str">
        <f>IFERROR((VLOOKUP($C60,Homes_LaundryEqpLookup,7,FALSE)+VLOOKUP($C60,Homes_LaundryEqpLookup,11,FALSE)*$F60)*VLOOKUP($C60,Homes_LaundryEqpLookup,12,FALSE)*D60,"")</f>
        <v/>
      </c>
      <c r="N60" s="2090" t="str">
        <f>IFERROR(IF($E60="No",$M60,(VLOOKUP($C60,Homes_LaundryEqpLookup,8,FALSE)+VLOOKUP($C60,Homes_LaundryEqpLookup,11,FALSE)*$F60)*VLOOKUP($C60,Homes_LaundryEqpLookup,12,FALSE))*D60,"")</f>
        <v/>
      </c>
      <c r="O60" s="368" t="str">
        <f>IFERROR(VLOOKUP($C60,Homes_LaundryEqpLookup,9,0),"")</f>
        <v/>
      </c>
      <c r="P60" s="368" t="str">
        <f>IFERROR(VLOOKUP($C60,Homes_LaundryEqpLookup,10,0),"")</f>
        <v/>
      </c>
      <c r="Q60" s="1635"/>
      <c r="R60" s="2093" t="str">
        <f>IFERROR(VLOOKUP($C60,Homes_LaundryEqpLookup,13,0),"")</f>
        <v/>
      </c>
      <c r="S60" s="2093" t="str">
        <f>IFERROR(VLOOKUP($C60,Homes_LaundryEqpLookup,14,0),"")</f>
        <v/>
      </c>
      <c r="T60" s="2093" t="str">
        <f>IFERROR($R60*$D60,"")</f>
        <v/>
      </c>
      <c r="U60" s="2093" t="str">
        <f>IFERROR($S60*$D60,"")</f>
        <v/>
      </c>
      <c r="V60" s="1498"/>
      <c r="W60" s="395"/>
      <c r="X60" s="395"/>
      <c r="Y60" s="395"/>
      <c r="Z60" s="2142"/>
      <c r="AA60" s="395"/>
      <c r="AB60" s="395"/>
      <c r="AC60" s="395"/>
      <c r="AD60" s="395"/>
      <c r="AE60" s="395"/>
      <c r="AF60" s="395"/>
      <c r="AG60" s="395"/>
      <c r="AH60" s="395"/>
      <c r="AI60" s="395"/>
      <c r="AJ60" s="395"/>
      <c r="AK60" s="395"/>
      <c r="AL60" s="395"/>
      <c r="AM60" s="395"/>
      <c r="AN60" s="395"/>
      <c r="AO60" s="395"/>
      <c r="AP60" s="395"/>
      <c r="AQ60" s="395"/>
      <c r="AR60" s="395"/>
      <c r="AS60" s="395"/>
      <c r="AT60" s="395"/>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5"/>
      <c r="BW60" s="395"/>
      <c r="BX60" s="395"/>
      <c r="BY60" s="395"/>
      <c r="BZ60" s="395"/>
      <c r="CA60" s="395"/>
      <c r="CB60" s="395"/>
      <c r="CC60" s="395"/>
      <c r="CD60" s="395"/>
      <c r="CE60" s="395"/>
      <c r="CF60" s="395"/>
      <c r="CG60" s="395"/>
      <c r="CH60" s="395"/>
      <c r="CI60" s="395"/>
      <c r="CJ60" s="395"/>
      <c r="CK60" s="395"/>
      <c r="CL60" s="395"/>
      <c r="CM60" s="395"/>
      <c r="CN60" s="395"/>
      <c r="CO60" s="395"/>
      <c r="CP60" s="395"/>
      <c r="CQ60" s="395"/>
      <c r="CR60" s="395"/>
      <c r="CS60" s="395"/>
      <c r="CT60" s="395"/>
      <c r="CU60" s="395"/>
      <c r="CV60" s="395"/>
      <c r="CW60" s="395"/>
      <c r="CX60" s="395"/>
      <c r="CY60" s="395"/>
      <c r="CZ60" s="395"/>
      <c r="DA60" s="395"/>
      <c r="DB60" s="395"/>
      <c r="DC60" s="395"/>
      <c r="DD60" s="395"/>
      <c r="DE60" s="395"/>
      <c r="DF60" s="395"/>
      <c r="DG60" s="395"/>
      <c r="DH60" s="395"/>
      <c r="DI60" s="395"/>
      <c r="DJ60" s="395"/>
      <c r="DK60" s="395"/>
      <c r="DL60" s="395"/>
      <c r="DM60" s="395"/>
      <c r="DN60" s="395"/>
      <c r="DO60" s="395"/>
      <c r="DP60" s="395"/>
      <c r="DQ60" s="395"/>
      <c r="DR60" s="395"/>
      <c r="DS60" s="395"/>
      <c r="DT60" s="395"/>
      <c r="DU60" s="395"/>
      <c r="DV60" s="395"/>
      <c r="DW60" s="395"/>
      <c r="DX60" s="395"/>
      <c r="DY60" s="395"/>
      <c r="DZ60" s="395"/>
      <c r="EA60" s="395"/>
      <c r="EB60" s="395"/>
      <c r="EC60" s="395"/>
      <c r="ED60" s="395"/>
      <c r="EE60" s="395"/>
      <c r="EF60" s="395"/>
      <c r="EG60" s="395"/>
      <c r="EH60" s="395"/>
      <c r="EI60" s="395"/>
      <c r="EJ60" s="395"/>
      <c r="EK60" s="395"/>
      <c r="EL60" s="395"/>
      <c r="EM60" s="395"/>
      <c r="EN60" s="395"/>
      <c r="EO60" s="395"/>
      <c r="EP60" s="395"/>
      <c r="EQ60" s="395"/>
      <c r="ER60" s="395"/>
      <c r="ES60" s="395"/>
      <c r="ET60" s="395"/>
      <c r="EU60" s="395"/>
      <c r="EV60" s="395"/>
      <c r="EW60" s="395"/>
      <c r="EX60" s="395"/>
      <c r="EY60" s="395"/>
      <c r="EZ60" s="395"/>
      <c r="FA60" s="395"/>
      <c r="FB60" s="395"/>
      <c r="FC60" s="395"/>
      <c r="FD60" s="395"/>
      <c r="FE60" s="395"/>
      <c r="FF60" s="395"/>
      <c r="FG60" s="395"/>
      <c r="FH60" s="395"/>
      <c r="FI60" s="395"/>
      <c r="FJ60" s="395"/>
      <c r="FK60" s="395"/>
      <c r="FL60" s="395"/>
      <c r="FM60" s="395"/>
      <c r="FN60" s="395"/>
      <c r="FO60" s="395"/>
      <c r="FP60" s="395"/>
      <c r="FQ60" s="395"/>
      <c r="FR60" s="395"/>
      <c r="FS60" s="395"/>
      <c r="FT60" s="395"/>
      <c r="FU60" s="395"/>
      <c r="FV60" s="395"/>
      <c r="FW60" s="395"/>
      <c r="FX60" s="395"/>
      <c r="FY60" s="395"/>
      <c r="FZ60" s="395"/>
      <c r="GA60" s="395"/>
      <c r="GB60" s="395"/>
      <c r="GC60" s="395"/>
      <c r="GD60" s="395"/>
      <c r="GE60" s="395"/>
      <c r="GF60" s="395"/>
      <c r="GG60" s="395"/>
      <c r="GH60" s="395"/>
      <c r="GI60" s="395"/>
      <c r="GJ60" s="395"/>
      <c r="GK60" s="395"/>
      <c r="GL60" s="395"/>
      <c r="GM60" s="395"/>
      <c r="GN60" s="395"/>
      <c r="GO60" s="395"/>
      <c r="GP60" s="395"/>
      <c r="GQ60" s="395"/>
      <c r="GR60" s="395"/>
      <c r="GS60" s="395"/>
      <c r="GT60" s="395"/>
      <c r="GU60" s="395"/>
      <c r="GV60" s="395"/>
      <c r="GW60" s="395"/>
      <c r="GX60" s="395"/>
      <c r="GY60" s="395"/>
      <c r="GZ60" s="395"/>
      <c r="HA60" s="395"/>
      <c r="HB60" s="395"/>
      <c r="HC60" s="395"/>
      <c r="HD60" s="395"/>
      <c r="HE60" s="395"/>
      <c r="HF60" s="395"/>
      <c r="HG60" s="395"/>
      <c r="HH60" s="395"/>
      <c r="HI60" s="395"/>
      <c r="HJ60" s="395"/>
      <c r="HK60" s="395"/>
      <c r="HL60" s="395"/>
      <c r="HM60" s="395"/>
      <c r="HN60" s="395"/>
      <c r="HO60" s="395"/>
      <c r="HP60" s="395"/>
      <c r="HQ60" s="395"/>
      <c r="HR60" s="395"/>
    </row>
    <row r="61" spans="1:226" s="866" customFormat="1" ht="15" customHeight="1" x14ac:dyDescent="0.25">
      <c r="A61" s="1607"/>
      <c r="B61" s="1275"/>
      <c r="C61" s="1510"/>
      <c r="D61" s="1517"/>
      <c r="E61" s="1517"/>
      <c r="F61" s="1276">
        <f>IFERROR(INDEX(MD_BUS_SumTable,MATCH($B61,MD_BUS_SumIndex,0),MATCH($K$21,MD_BUS_SumHdr,0)),"")</f>
        <v>0</v>
      </c>
      <c r="G61" s="1635"/>
      <c r="H61" s="2090" t="str">
        <f>IFERROR((VLOOKUP($C61,Homes_LaundryEqpLookup,2,FALSE)+VLOOKUP($C61,Homes_LaundryEqpLookup,6,FALSE)*$F61)*VLOOKUP($C61,Homes_LaundryEqpLookup,12,FALSE)*D61,"")</f>
        <v/>
      </c>
      <c r="I61" s="2090" t="str">
        <f>IFERROR(IF($E61="No",$H61,(VLOOKUP($C61,Homes_LaundryEqpLookup,3,FALSE)+VLOOKUP($C61,Homes_LaundryEqpLookup,6,FALSE)*$F61)*VLOOKUP($C61,Homes_LaundryEqpLookup,12,FALSE))*D61,"")</f>
        <v/>
      </c>
      <c r="J61" s="368" t="str">
        <f>IFERROR(VLOOKUP($C61,Homes_LaundryEqpLookup,4,0),"")</f>
        <v/>
      </c>
      <c r="K61" s="368" t="str">
        <f>IFERROR(VLOOKUP($C61,Homes_LaundryEqpLookup,5,0),"")</f>
        <v/>
      </c>
      <c r="L61" s="1635"/>
      <c r="M61" s="2090" t="str">
        <f>IFERROR((VLOOKUP($C61,Homes_LaundryEqpLookup,7,FALSE)+VLOOKUP($C61,Homes_LaundryEqpLookup,11,FALSE)*$F61)*VLOOKUP($C61,Homes_LaundryEqpLookup,12,FALSE)*D61,"")</f>
        <v/>
      </c>
      <c r="N61" s="2090" t="str">
        <f>IFERROR(IF($E61="No",$M61,(VLOOKUP($C61,Homes_LaundryEqpLookup,8,FALSE)+VLOOKUP($C61,Homes_LaundryEqpLookup,11,FALSE)*$F61)*VLOOKUP($C61,Homes_LaundryEqpLookup,12,FALSE))*D61,"")</f>
        <v/>
      </c>
      <c r="O61" s="368" t="str">
        <f>IFERROR(VLOOKUP($C61,Homes_LaundryEqpLookup,9,0),"")</f>
        <v/>
      </c>
      <c r="P61" s="368" t="str">
        <f>IFERROR(VLOOKUP($C61,Homes_LaundryEqpLookup,10,0),"")</f>
        <v/>
      </c>
      <c r="Q61" s="1635"/>
      <c r="R61" s="2093" t="str">
        <f>IFERROR(VLOOKUP($C61,Homes_LaundryEqpLookup,13,0),"")</f>
        <v/>
      </c>
      <c r="S61" s="2093" t="str">
        <f>IFERROR(VLOOKUP($C61,Homes_LaundryEqpLookup,14,0),"")</f>
        <v/>
      </c>
      <c r="T61" s="2093" t="str">
        <f>IFERROR($R61*$D61,"")</f>
        <v/>
      </c>
      <c r="U61" s="2093" t="str">
        <f>IFERROR($S61*$D61,"")</f>
        <v/>
      </c>
      <c r="V61" s="1498"/>
      <c r="W61" s="395"/>
      <c r="X61" s="395"/>
      <c r="Y61" s="395"/>
      <c r="Z61" s="2142"/>
      <c r="AA61" s="395"/>
      <c r="AB61" s="395"/>
      <c r="AC61" s="395"/>
      <c r="AD61" s="395"/>
      <c r="AE61" s="395"/>
      <c r="AF61" s="395"/>
      <c r="AG61" s="395"/>
      <c r="AH61" s="395"/>
      <c r="AI61" s="395"/>
      <c r="AJ61" s="395"/>
      <c r="AK61" s="395"/>
      <c r="AL61" s="395"/>
      <c r="AM61" s="395"/>
      <c r="AN61" s="395"/>
      <c r="AO61" s="395"/>
      <c r="AP61" s="395"/>
      <c r="AQ61" s="395"/>
      <c r="AR61" s="395"/>
      <c r="AS61" s="395"/>
      <c r="AT61" s="395"/>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5"/>
      <c r="BW61" s="395"/>
      <c r="BX61" s="395"/>
      <c r="BY61" s="395"/>
      <c r="BZ61" s="395"/>
      <c r="CA61" s="395"/>
      <c r="CB61" s="395"/>
      <c r="CC61" s="395"/>
      <c r="CD61" s="395"/>
      <c r="CE61" s="395"/>
      <c r="CF61" s="395"/>
      <c r="CG61" s="395"/>
      <c r="CH61" s="395"/>
      <c r="CI61" s="395"/>
      <c r="CJ61" s="395"/>
      <c r="CK61" s="395"/>
      <c r="CL61" s="395"/>
      <c r="CM61" s="395"/>
      <c r="CN61" s="395"/>
      <c r="CO61" s="395"/>
      <c r="CP61" s="395"/>
      <c r="CQ61" s="395"/>
      <c r="CR61" s="395"/>
      <c r="CS61" s="395"/>
      <c r="CT61" s="395"/>
      <c r="CU61" s="395"/>
      <c r="CV61" s="395"/>
      <c r="CW61" s="395"/>
      <c r="CX61" s="395"/>
      <c r="CY61" s="395"/>
      <c r="CZ61" s="395"/>
      <c r="DA61" s="395"/>
      <c r="DB61" s="395"/>
      <c r="DC61" s="395"/>
      <c r="DD61" s="395"/>
      <c r="DE61" s="395"/>
      <c r="DF61" s="395"/>
      <c r="DG61" s="395"/>
      <c r="DH61" s="395"/>
      <c r="DI61" s="395"/>
      <c r="DJ61" s="395"/>
      <c r="DK61" s="395"/>
      <c r="DL61" s="395"/>
      <c r="DM61" s="395"/>
      <c r="DN61" s="395"/>
      <c r="DO61" s="395"/>
      <c r="DP61" s="395"/>
      <c r="DQ61" s="395"/>
      <c r="DR61" s="395"/>
      <c r="DS61" s="395"/>
      <c r="DT61" s="395"/>
      <c r="DU61" s="395"/>
      <c r="DV61" s="395"/>
      <c r="DW61" s="395"/>
      <c r="DX61" s="395"/>
      <c r="DY61" s="395"/>
      <c r="DZ61" s="395"/>
      <c r="EA61" s="395"/>
      <c r="EB61" s="395"/>
      <c r="EC61" s="395"/>
      <c r="ED61" s="395"/>
      <c r="EE61" s="395"/>
      <c r="EF61" s="395"/>
      <c r="EG61" s="395"/>
      <c r="EH61" s="395"/>
      <c r="EI61" s="395"/>
      <c r="EJ61" s="395"/>
      <c r="EK61" s="395"/>
      <c r="EL61" s="395"/>
      <c r="EM61" s="395"/>
      <c r="EN61" s="395"/>
      <c r="EO61" s="395"/>
      <c r="EP61" s="395"/>
      <c r="EQ61" s="395"/>
      <c r="ER61" s="395"/>
      <c r="ES61" s="395"/>
      <c r="ET61" s="395"/>
      <c r="EU61" s="395"/>
      <c r="EV61" s="395"/>
      <c r="EW61" s="395"/>
      <c r="EX61" s="395"/>
      <c r="EY61" s="395"/>
      <c r="EZ61" s="395"/>
      <c r="FA61" s="395"/>
      <c r="FB61" s="395"/>
      <c r="FC61" s="395"/>
      <c r="FD61" s="395"/>
      <c r="FE61" s="395"/>
      <c r="FF61" s="395"/>
      <c r="FG61" s="395"/>
      <c r="FH61" s="395"/>
      <c r="FI61" s="395"/>
      <c r="FJ61" s="395"/>
      <c r="FK61" s="395"/>
      <c r="FL61" s="395"/>
      <c r="FM61" s="395"/>
      <c r="FN61" s="395"/>
      <c r="FO61" s="395"/>
      <c r="FP61" s="395"/>
      <c r="FQ61" s="395"/>
      <c r="FR61" s="395"/>
      <c r="FS61" s="395"/>
      <c r="FT61" s="395"/>
      <c r="FU61" s="395"/>
      <c r="FV61" s="395"/>
      <c r="FW61" s="395"/>
      <c r="FX61" s="395"/>
      <c r="FY61" s="395"/>
      <c r="FZ61" s="395"/>
      <c r="GA61" s="395"/>
      <c r="GB61" s="395"/>
      <c r="GC61" s="395"/>
      <c r="GD61" s="395"/>
      <c r="GE61" s="395"/>
      <c r="GF61" s="395"/>
      <c r="GG61" s="395"/>
      <c r="GH61" s="395"/>
      <c r="GI61" s="395"/>
      <c r="GJ61" s="395"/>
      <c r="GK61" s="395"/>
      <c r="GL61" s="395"/>
      <c r="GM61" s="395"/>
      <c r="GN61" s="395"/>
      <c r="GO61" s="395"/>
      <c r="GP61" s="395"/>
      <c r="GQ61" s="395"/>
      <c r="GR61" s="395"/>
      <c r="GS61" s="395"/>
      <c r="GT61" s="395"/>
      <c r="GU61" s="395"/>
      <c r="GV61" s="395"/>
      <c r="GW61" s="395"/>
      <c r="GX61" s="395"/>
      <c r="GY61" s="395"/>
      <c r="GZ61" s="395"/>
      <c r="HA61" s="395"/>
      <c r="HB61" s="395"/>
      <c r="HC61" s="395"/>
      <c r="HD61" s="395"/>
      <c r="HE61" s="395"/>
      <c r="HF61" s="395"/>
      <c r="HG61" s="395"/>
      <c r="HH61" s="395"/>
      <c r="HI61" s="395"/>
      <c r="HJ61" s="395"/>
      <c r="HK61" s="395"/>
      <c r="HL61" s="395"/>
      <c r="HM61" s="395"/>
      <c r="HN61" s="395"/>
      <c r="HO61" s="395"/>
      <c r="HP61" s="395"/>
      <c r="HQ61" s="395"/>
      <c r="HR61" s="395"/>
    </row>
    <row r="62" spans="1:226" s="866" customFormat="1" ht="14.25" hidden="1" customHeight="1" x14ac:dyDescent="0.25">
      <c r="A62" s="348" t="s">
        <v>803</v>
      </c>
      <c r="B62" s="1275"/>
      <c r="C62" s="1510"/>
      <c r="D62" s="1517"/>
      <c r="E62" s="1517"/>
      <c r="F62" s="1276">
        <f>IFERROR(INDEX(MD_BUS_SumTable,MATCH($B62,MD_BUS_SumIndex,0),MATCH($K$21,MD_BUS_SumHdr,0)),"")</f>
        <v>0</v>
      </c>
      <c r="G62" s="1634"/>
      <c r="H62" s="2090" t="str">
        <f>IFERROR((VLOOKUP($C62,Homes_LaundryEqpLookup,2,FALSE)+VLOOKUP($C62,Homes_LaundryEqpLookup,6,FALSE)*$F62)*VLOOKUP($C62,Homes_LaundryEqpLookup,12,FALSE)*D62,"")</f>
        <v/>
      </c>
      <c r="I62" s="2090" t="str">
        <f>IFERROR(IF($E62="No",$H62,(VLOOKUP($C62,Homes_LaundryEqpLookup,3,FALSE)+VLOOKUP($C62,Homes_LaundryEqpLookup,6,FALSE)*$F62)*VLOOKUP($C62,Homes_LaundryEqpLookup,12,FALSE))*D62,"")</f>
        <v/>
      </c>
      <c r="J62" s="368" t="str">
        <f>IFERROR(VLOOKUP($C62,Homes_LaundryEqpLookup,4,0),"")</f>
        <v/>
      </c>
      <c r="K62" s="368" t="str">
        <f>IFERROR(VLOOKUP($C62,Homes_LaundryEqpLookup,5,0),"")</f>
        <v/>
      </c>
      <c r="L62" s="1634"/>
      <c r="M62" s="2090" t="str">
        <f>IFERROR((VLOOKUP($C62,Homes_LaundryEqpLookup,7,FALSE)+VLOOKUP($C62,Homes_LaundryEqpLookup,11,FALSE)*$F62)*VLOOKUP($C62,Homes_LaundryEqpLookup,12,FALSE)*D62,"")</f>
        <v/>
      </c>
      <c r="N62" s="2090" t="str">
        <f>IFERROR(IF($E62="No",$M62,(VLOOKUP($C62,Homes_LaundryEqpLookup,8,FALSE)+VLOOKUP($C62,Homes_LaundryEqpLookup,11,FALSE)*$F62)*VLOOKUP($C62,Homes_LaundryEqpLookup,12,FALSE))*D62,"")</f>
        <v/>
      </c>
      <c r="O62" s="368" t="str">
        <f>IFERROR(VLOOKUP($C62,Homes_LaundryEqpLookup,9,0),"")</f>
        <v/>
      </c>
      <c r="P62" s="368" t="str">
        <f>IFERROR(VLOOKUP($C62,Homes_LaundryEqpLookup,10,0),"")</f>
        <v/>
      </c>
      <c r="Q62" s="1634"/>
      <c r="R62" s="2093" t="str">
        <f>IFERROR(VLOOKUP($C62,Homes_LaundryEqpLookup,13,0),"")</f>
        <v/>
      </c>
      <c r="S62" s="2093" t="str">
        <f>IFERROR(VLOOKUP($C62,Homes_LaundryEqpLookup,14,0),"")</f>
        <v/>
      </c>
      <c r="T62" s="1278" t="str">
        <f>IFERROR($R62*$D62,"")</f>
        <v/>
      </c>
      <c r="U62" s="1278" t="str">
        <f>IFERROR($S62*$D62,"")</f>
        <v/>
      </c>
      <c r="V62" s="1498"/>
      <c r="W62" s="395"/>
      <c r="X62" s="395"/>
      <c r="Y62" s="395"/>
      <c r="Z62" s="2142"/>
      <c r="AA62" s="395"/>
      <c r="AB62" s="395"/>
      <c r="AC62" s="395"/>
      <c r="AD62" s="395"/>
      <c r="AE62" s="395"/>
      <c r="AF62" s="395"/>
      <c r="AG62" s="395"/>
      <c r="AH62" s="395"/>
      <c r="AI62" s="395"/>
      <c r="AJ62" s="395"/>
      <c r="AK62" s="395"/>
      <c r="AL62" s="395"/>
      <c r="AM62" s="395"/>
      <c r="AN62" s="395"/>
      <c r="AO62" s="395"/>
      <c r="AP62" s="395"/>
      <c r="AQ62" s="395"/>
      <c r="AR62" s="395"/>
      <c r="AS62" s="395"/>
      <c r="AT62" s="395"/>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5"/>
      <c r="BW62" s="395"/>
      <c r="BX62" s="395"/>
      <c r="BY62" s="395"/>
      <c r="BZ62" s="395"/>
      <c r="CA62" s="395"/>
      <c r="CB62" s="395"/>
      <c r="CC62" s="395"/>
      <c r="CD62" s="395"/>
      <c r="CE62" s="395"/>
      <c r="CF62" s="395"/>
      <c r="CG62" s="395"/>
      <c r="CH62" s="395"/>
      <c r="CI62" s="395"/>
      <c r="CJ62" s="395"/>
      <c r="CK62" s="395"/>
      <c r="CL62" s="395"/>
      <c r="CM62" s="395"/>
      <c r="CN62" s="395"/>
      <c r="CO62" s="395"/>
      <c r="CP62" s="395"/>
      <c r="CQ62" s="395"/>
      <c r="CR62" s="395"/>
      <c r="CS62" s="395"/>
      <c r="CT62" s="395"/>
      <c r="CU62" s="395"/>
      <c r="CV62" s="395"/>
      <c r="CW62" s="395"/>
      <c r="CX62" s="395"/>
      <c r="CY62" s="395"/>
      <c r="CZ62" s="395"/>
      <c r="DA62" s="395"/>
      <c r="DB62" s="395"/>
      <c r="DC62" s="395"/>
      <c r="DD62" s="395"/>
      <c r="DE62" s="395"/>
      <c r="DF62" s="395"/>
      <c r="DG62" s="395"/>
      <c r="DH62" s="395"/>
      <c r="DI62" s="395"/>
      <c r="DJ62" s="395"/>
      <c r="DK62" s="395"/>
      <c r="DL62" s="395"/>
      <c r="DM62" s="395"/>
      <c r="DN62" s="395"/>
      <c r="DO62" s="395"/>
      <c r="DP62" s="395"/>
      <c r="DQ62" s="395"/>
      <c r="DR62" s="395"/>
      <c r="DS62" s="395"/>
      <c r="DT62" s="395"/>
      <c r="DU62" s="395"/>
      <c r="DV62" s="395"/>
      <c r="DW62" s="395"/>
      <c r="DX62" s="395"/>
      <c r="DY62" s="395"/>
      <c r="DZ62" s="395"/>
      <c r="EA62" s="395"/>
      <c r="EB62" s="395"/>
      <c r="EC62" s="395"/>
      <c r="ED62" s="395"/>
      <c r="EE62" s="395"/>
      <c r="EF62" s="395"/>
      <c r="EG62" s="395"/>
      <c r="EH62" s="395"/>
      <c r="EI62" s="395"/>
      <c r="EJ62" s="395"/>
      <c r="EK62" s="395"/>
      <c r="EL62" s="395"/>
      <c r="EM62" s="395"/>
      <c r="EN62" s="395"/>
      <c r="EO62" s="395"/>
      <c r="EP62" s="395"/>
      <c r="EQ62" s="395"/>
      <c r="ER62" s="395"/>
      <c r="ES62" s="395"/>
      <c r="ET62" s="395"/>
      <c r="EU62" s="395"/>
      <c r="EV62" s="395"/>
      <c r="EW62" s="395"/>
      <c r="EX62" s="395"/>
      <c r="EY62" s="395"/>
      <c r="EZ62" s="395"/>
      <c r="FA62" s="395"/>
      <c r="FB62" s="395"/>
      <c r="FC62" s="395"/>
      <c r="FD62" s="395"/>
      <c r="FE62" s="395"/>
      <c r="FF62" s="395"/>
      <c r="FG62" s="395"/>
      <c r="FH62" s="395"/>
      <c r="FI62" s="395"/>
      <c r="FJ62" s="395"/>
      <c r="FK62" s="395"/>
      <c r="FL62" s="395"/>
      <c r="FM62" s="395"/>
      <c r="FN62" s="395"/>
      <c r="FO62" s="395"/>
      <c r="FP62" s="395"/>
      <c r="FQ62" s="395"/>
      <c r="FR62" s="395"/>
      <c r="FS62" s="395"/>
      <c r="FT62" s="395"/>
      <c r="FU62" s="395"/>
      <c r="FV62" s="395"/>
      <c r="FW62" s="395"/>
      <c r="FX62" s="395"/>
      <c r="FY62" s="395"/>
      <c r="FZ62" s="395"/>
      <c r="GA62" s="395"/>
      <c r="GB62" s="395"/>
      <c r="GC62" s="395"/>
      <c r="GD62" s="395"/>
      <c r="GE62" s="395"/>
      <c r="GF62" s="395"/>
      <c r="GG62" s="395"/>
      <c r="GH62" s="395"/>
      <c r="GI62" s="395"/>
      <c r="GJ62" s="395"/>
      <c r="GK62" s="395"/>
      <c r="GL62" s="395"/>
      <c r="GM62" s="395"/>
      <c r="GN62" s="395"/>
      <c r="GO62" s="395"/>
      <c r="GP62" s="395"/>
      <c r="GQ62" s="395"/>
      <c r="GR62" s="395"/>
      <c r="GS62" s="395"/>
      <c r="GT62" s="395"/>
      <c r="GU62" s="395"/>
      <c r="GV62" s="395"/>
      <c r="GW62" s="395"/>
      <c r="GX62" s="395"/>
      <c r="GY62" s="395"/>
      <c r="GZ62" s="395"/>
      <c r="HA62" s="395"/>
      <c r="HB62" s="395"/>
      <c r="HC62" s="395"/>
      <c r="HD62" s="395"/>
      <c r="HE62" s="395"/>
      <c r="HF62" s="395"/>
      <c r="HG62" s="395"/>
      <c r="HH62" s="395"/>
      <c r="HI62" s="395"/>
      <c r="HJ62" s="395"/>
      <c r="HK62" s="395"/>
      <c r="HL62" s="395"/>
      <c r="HM62" s="395"/>
      <c r="HN62" s="395"/>
      <c r="HO62" s="395"/>
      <c r="HP62" s="395"/>
      <c r="HQ62" s="395"/>
      <c r="HR62" s="395"/>
    </row>
    <row r="63" spans="1:226" s="866" customFormat="1" x14ac:dyDescent="0.25">
      <c r="A63" s="348" t="s">
        <v>1038</v>
      </c>
      <c r="B63" s="395"/>
      <c r="C63" s="395"/>
      <c r="D63" s="395"/>
      <c r="E63" s="395"/>
      <c r="F63" s="395"/>
      <c r="G63" s="395"/>
      <c r="H63" s="2094"/>
      <c r="I63" s="2094"/>
      <c r="J63" s="2094"/>
      <c r="K63" s="2094"/>
      <c r="L63" s="2094"/>
      <c r="M63" s="2094"/>
      <c r="N63" s="2094"/>
      <c r="O63" s="2094"/>
      <c r="P63" s="2094"/>
      <c r="Q63" s="2094"/>
      <c r="R63" s="2094"/>
      <c r="S63" s="2094"/>
      <c r="T63" s="395"/>
      <c r="U63" s="395"/>
      <c r="V63" s="1608"/>
      <c r="W63" s="395"/>
      <c r="X63" s="395"/>
      <c r="Y63" s="395"/>
      <c r="Z63" s="2140"/>
      <c r="AA63" s="395"/>
      <c r="AB63" s="395"/>
      <c r="AC63" s="395"/>
      <c r="AD63" s="395"/>
      <c r="AE63" s="395"/>
      <c r="AF63" s="395"/>
      <c r="AG63" s="395"/>
      <c r="AH63" s="395"/>
      <c r="AI63" s="395"/>
      <c r="AJ63" s="395"/>
      <c r="AK63" s="395"/>
      <c r="AL63" s="395"/>
      <c r="AM63" s="395"/>
      <c r="AN63" s="395"/>
      <c r="AO63" s="395"/>
      <c r="AP63" s="395"/>
      <c r="AQ63" s="395"/>
      <c r="AR63" s="395"/>
      <c r="AS63" s="395"/>
      <c r="AT63" s="395"/>
      <c r="AU63" s="395"/>
      <c r="AV63" s="395"/>
      <c r="AW63" s="395"/>
      <c r="AX63" s="395"/>
      <c r="AY63" s="395"/>
      <c r="AZ63" s="395"/>
      <c r="BA63" s="395"/>
      <c r="BB63" s="395"/>
      <c r="BC63" s="395"/>
      <c r="BD63" s="395"/>
      <c r="BE63" s="395"/>
      <c r="BF63" s="395"/>
      <c r="BG63" s="395"/>
      <c r="BH63" s="395"/>
      <c r="BI63" s="395"/>
      <c r="BJ63" s="395"/>
      <c r="BK63" s="395"/>
      <c r="BL63" s="395"/>
      <c r="BM63" s="395"/>
      <c r="BN63" s="395"/>
      <c r="BO63" s="395"/>
      <c r="BP63" s="395"/>
      <c r="BQ63" s="395"/>
      <c r="BR63" s="395"/>
      <c r="BS63" s="395"/>
      <c r="BT63" s="395"/>
      <c r="BU63" s="395"/>
      <c r="BV63" s="395"/>
      <c r="BW63" s="395"/>
      <c r="BX63" s="395"/>
      <c r="BY63" s="395"/>
      <c r="BZ63" s="395"/>
      <c r="CA63" s="395"/>
      <c r="CB63" s="395"/>
      <c r="CC63" s="395"/>
      <c r="CD63" s="395"/>
      <c r="CE63" s="395"/>
      <c r="CF63" s="395"/>
      <c r="CG63" s="395"/>
      <c r="CH63" s="395"/>
      <c r="CI63" s="395"/>
      <c r="CJ63" s="395"/>
      <c r="CK63" s="395"/>
      <c r="CL63" s="395"/>
      <c r="CM63" s="395"/>
      <c r="CN63" s="395"/>
      <c r="CO63" s="395"/>
      <c r="CP63" s="395"/>
      <c r="CQ63" s="395"/>
      <c r="CR63" s="395"/>
      <c r="CS63" s="395"/>
      <c r="CT63" s="395"/>
      <c r="CU63" s="395"/>
      <c r="CV63" s="395"/>
      <c r="CW63" s="395"/>
      <c r="CX63" s="395"/>
      <c r="CY63" s="395"/>
      <c r="CZ63" s="395"/>
      <c r="DA63" s="395"/>
      <c r="DB63" s="395"/>
      <c r="DC63" s="395"/>
      <c r="DD63" s="395"/>
      <c r="DE63" s="395"/>
      <c r="DF63" s="395"/>
      <c r="DG63" s="395"/>
      <c r="DH63" s="395"/>
      <c r="DI63" s="395"/>
      <c r="DJ63" s="395"/>
      <c r="DK63" s="395"/>
      <c r="DL63" s="395"/>
      <c r="DM63" s="395"/>
      <c r="DN63" s="395"/>
      <c r="DO63" s="395"/>
      <c r="DP63" s="395"/>
      <c r="DQ63" s="395"/>
      <c r="DR63" s="395"/>
      <c r="DS63" s="395"/>
      <c r="DT63" s="395"/>
      <c r="DU63" s="395"/>
      <c r="DV63" s="395"/>
      <c r="DW63" s="395"/>
      <c r="DX63" s="395"/>
      <c r="DY63" s="395"/>
      <c r="DZ63" s="395"/>
      <c r="EA63" s="395"/>
      <c r="EB63" s="395"/>
      <c r="EC63" s="395"/>
      <c r="ED63" s="395"/>
      <c r="EE63" s="395"/>
      <c r="EF63" s="395"/>
      <c r="EG63" s="395"/>
      <c r="EH63" s="395"/>
      <c r="EI63" s="395"/>
      <c r="EJ63" s="395"/>
      <c r="EK63" s="395"/>
      <c r="EL63" s="395"/>
      <c r="EM63" s="395"/>
      <c r="EN63" s="395"/>
      <c r="EO63" s="395"/>
      <c r="EP63" s="395"/>
      <c r="EQ63" s="395"/>
      <c r="ER63" s="395"/>
      <c r="ES63" s="395"/>
      <c r="ET63" s="395"/>
      <c r="EU63" s="395"/>
      <c r="EV63" s="395"/>
      <c r="EW63" s="395"/>
      <c r="EX63" s="395"/>
      <c r="EY63" s="395"/>
      <c r="EZ63" s="395"/>
      <c r="FA63" s="395"/>
      <c r="FB63" s="395"/>
      <c r="FC63" s="395"/>
      <c r="FD63" s="395"/>
      <c r="FE63" s="395"/>
      <c r="FF63" s="395"/>
      <c r="FG63" s="395"/>
      <c r="FH63" s="395"/>
      <c r="FI63" s="395"/>
      <c r="FJ63" s="395"/>
      <c r="FK63" s="395"/>
      <c r="FL63" s="395"/>
      <c r="FM63" s="395"/>
      <c r="FN63" s="395"/>
      <c r="FO63" s="395"/>
      <c r="FP63" s="395"/>
      <c r="FQ63" s="395"/>
      <c r="FR63" s="395"/>
      <c r="FS63" s="395"/>
      <c r="FT63" s="395"/>
      <c r="FU63" s="395"/>
      <c r="FV63" s="395"/>
      <c r="FW63" s="395"/>
      <c r="FX63" s="395"/>
      <c r="FY63" s="395"/>
      <c r="FZ63" s="395"/>
      <c r="GA63" s="395"/>
      <c r="GB63" s="395"/>
      <c r="GC63" s="395"/>
      <c r="GD63" s="395"/>
      <c r="GE63" s="395"/>
      <c r="GF63" s="395"/>
      <c r="GG63" s="395"/>
      <c r="GH63" s="395"/>
      <c r="GI63" s="395"/>
      <c r="GJ63" s="395"/>
      <c r="GK63" s="395"/>
      <c r="GL63" s="395"/>
      <c r="GM63" s="395"/>
      <c r="GN63" s="395"/>
      <c r="GO63" s="395"/>
      <c r="GP63" s="395"/>
      <c r="GQ63" s="395"/>
      <c r="GR63" s="395"/>
      <c r="GS63" s="395"/>
      <c r="GT63" s="395"/>
      <c r="GU63" s="395"/>
      <c r="GV63" s="395"/>
      <c r="GW63" s="395"/>
      <c r="GX63" s="395"/>
      <c r="GY63" s="395"/>
      <c r="GZ63" s="395"/>
      <c r="HA63" s="395"/>
      <c r="HB63" s="395"/>
      <c r="HC63" s="395"/>
      <c r="HD63" s="395"/>
      <c r="HE63" s="395"/>
      <c r="HF63" s="395"/>
      <c r="HG63" s="395"/>
      <c r="HH63" s="395"/>
      <c r="HI63" s="395"/>
      <c r="HJ63" s="395"/>
      <c r="HK63" s="395"/>
      <c r="HL63" s="395"/>
      <c r="HM63" s="395"/>
      <c r="HN63" s="395"/>
      <c r="HO63" s="395"/>
      <c r="HP63" s="395"/>
      <c r="HQ63" s="395"/>
      <c r="HR63" s="395"/>
    </row>
    <row r="64" spans="1:226" s="866" customFormat="1" x14ac:dyDescent="0.25">
      <c r="A64" s="348" t="s">
        <v>1038</v>
      </c>
      <c r="B64" s="395"/>
      <c r="C64" s="395"/>
      <c r="D64" s="395"/>
      <c r="E64" s="395"/>
      <c r="F64" s="395"/>
      <c r="G64" s="395"/>
      <c r="H64" s="2094"/>
      <c r="I64" s="2094"/>
      <c r="J64" s="395"/>
      <c r="K64" s="395"/>
      <c r="L64" s="395"/>
      <c r="M64" s="395"/>
      <c r="N64" s="395"/>
      <c r="O64" s="395"/>
      <c r="P64" s="395"/>
      <c r="Q64" s="395"/>
      <c r="R64" s="2094"/>
      <c r="S64" s="2094"/>
      <c r="T64" s="395"/>
      <c r="U64" s="395"/>
      <c r="V64" s="1608"/>
      <c r="W64" s="395"/>
      <c r="X64" s="395"/>
      <c r="Y64" s="395"/>
      <c r="Z64" s="2140"/>
      <c r="AA64" s="395"/>
      <c r="AB64" s="395"/>
      <c r="AC64" s="395"/>
      <c r="AD64" s="395"/>
      <c r="AE64" s="395"/>
      <c r="AF64" s="395"/>
      <c r="AG64" s="395"/>
      <c r="AH64" s="395"/>
      <c r="AI64" s="395"/>
      <c r="AJ64" s="395"/>
      <c r="AK64" s="395"/>
      <c r="AL64" s="395"/>
      <c r="AM64" s="395"/>
      <c r="AN64" s="395"/>
      <c r="AO64" s="395"/>
      <c r="AP64" s="395"/>
      <c r="AQ64" s="395"/>
      <c r="AR64" s="395"/>
      <c r="AS64" s="395"/>
      <c r="AT64" s="395"/>
      <c r="AU64" s="395"/>
      <c r="AV64" s="395"/>
      <c r="AW64" s="395"/>
      <c r="AX64" s="395"/>
      <c r="AY64" s="395"/>
      <c r="AZ64" s="395"/>
      <c r="BA64" s="395"/>
      <c r="BB64" s="395"/>
      <c r="BC64" s="395"/>
      <c r="BD64" s="395"/>
      <c r="BE64" s="395"/>
      <c r="BF64" s="395"/>
      <c r="BG64" s="395"/>
      <c r="BH64" s="395"/>
      <c r="BI64" s="395"/>
      <c r="BJ64" s="395"/>
      <c r="BK64" s="395"/>
      <c r="BL64" s="395"/>
      <c r="BM64" s="395"/>
      <c r="BN64" s="395"/>
      <c r="BO64" s="395"/>
      <c r="BP64" s="395"/>
      <c r="BQ64" s="395"/>
      <c r="BR64" s="395"/>
      <c r="BS64" s="395"/>
      <c r="BT64" s="395"/>
      <c r="BU64" s="395"/>
      <c r="BV64" s="395"/>
      <c r="BW64" s="395"/>
      <c r="BX64" s="395"/>
      <c r="BY64" s="395"/>
      <c r="BZ64" s="395"/>
      <c r="CA64" s="395"/>
      <c r="CB64" s="395"/>
      <c r="CC64" s="395"/>
      <c r="CD64" s="395"/>
      <c r="CE64" s="395"/>
      <c r="CF64" s="395"/>
      <c r="CG64" s="395"/>
      <c r="CH64" s="395"/>
      <c r="CI64" s="395"/>
      <c r="CJ64" s="395"/>
      <c r="CK64" s="395"/>
      <c r="CL64" s="395"/>
      <c r="CM64" s="395"/>
      <c r="CN64" s="395"/>
      <c r="CO64" s="395"/>
      <c r="CP64" s="395"/>
      <c r="CQ64" s="395"/>
      <c r="CR64" s="395"/>
      <c r="CS64" s="395"/>
      <c r="CT64" s="395"/>
      <c r="CU64" s="395"/>
      <c r="CV64" s="395"/>
      <c r="CW64" s="395"/>
      <c r="CX64" s="395"/>
      <c r="CY64" s="395"/>
      <c r="CZ64" s="395"/>
      <c r="DA64" s="395"/>
      <c r="DB64" s="395"/>
      <c r="DC64" s="395"/>
      <c r="DD64" s="395"/>
      <c r="DE64" s="395"/>
      <c r="DF64" s="395"/>
      <c r="DG64" s="395"/>
      <c r="DH64" s="395"/>
      <c r="DI64" s="395"/>
      <c r="DJ64" s="395"/>
      <c r="DK64" s="395"/>
      <c r="DL64" s="395"/>
      <c r="DM64" s="395"/>
      <c r="DN64" s="395"/>
      <c r="DO64" s="395"/>
      <c r="DP64" s="395"/>
      <c r="DQ64" s="395"/>
      <c r="DR64" s="395"/>
      <c r="DS64" s="395"/>
      <c r="DT64" s="395"/>
      <c r="DU64" s="395"/>
      <c r="DV64" s="395"/>
      <c r="DW64" s="395"/>
      <c r="DX64" s="395"/>
      <c r="DY64" s="395"/>
      <c r="DZ64" s="395"/>
      <c r="EA64" s="395"/>
      <c r="EB64" s="395"/>
      <c r="EC64" s="395"/>
      <c r="ED64" s="395"/>
      <c r="EE64" s="395"/>
      <c r="EF64" s="395"/>
      <c r="EG64" s="395"/>
      <c r="EH64" s="395"/>
      <c r="EI64" s="395"/>
      <c r="EJ64" s="395"/>
      <c r="EK64" s="395"/>
      <c r="EL64" s="395"/>
      <c r="EM64" s="395"/>
      <c r="EN64" s="395"/>
      <c r="EO64" s="395"/>
      <c r="EP64" s="395"/>
      <c r="EQ64" s="395"/>
      <c r="ER64" s="395"/>
      <c r="ES64" s="395"/>
      <c r="ET64" s="395"/>
      <c r="EU64" s="395"/>
      <c r="EV64" s="395"/>
      <c r="EW64" s="395"/>
      <c r="EX64" s="395"/>
      <c r="EY64" s="395"/>
      <c r="EZ64" s="395"/>
      <c r="FA64" s="395"/>
      <c r="FB64" s="395"/>
      <c r="FC64" s="395"/>
      <c r="FD64" s="395"/>
      <c r="FE64" s="395"/>
      <c r="FF64" s="395"/>
      <c r="FG64" s="395"/>
      <c r="FH64" s="395"/>
      <c r="FI64" s="395"/>
      <c r="FJ64" s="395"/>
      <c r="FK64" s="395"/>
      <c r="FL64" s="395"/>
      <c r="FM64" s="395"/>
      <c r="FN64" s="395"/>
      <c r="FO64" s="395"/>
      <c r="FP64" s="395"/>
      <c r="FQ64" s="395"/>
      <c r="FR64" s="395"/>
      <c r="FS64" s="395"/>
      <c r="FT64" s="395"/>
      <c r="FU64" s="395"/>
      <c r="FV64" s="395"/>
      <c r="FW64" s="395"/>
      <c r="FX64" s="395"/>
      <c r="FY64" s="395"/>
      <c r="FZ64" s="395"/>
      <c r="GA64" s="395"/>
      <c r="GB64" s="395"/>
      <c r="GC64" s="395"/>
      <c r="GD64" s="395"/>
      <c r="GE64" s="395"/>
      <c r="GF64" s="395"/>
      <c r="GG64" s="395"/>
      <c r="GH64" s="395"/>
      <c r="GI64" s="395"/>
      <c r="GJ64" s="395"/>
      <c r="GK64" s="395"/>
      <c r="GL64" s="395"/>
      <c r="GM64" s="395"/>
      <c r="GN64" s="395"/>
      <c r="GO64" s="395"/>
      <c r="GP64" s="395"/>
      <c r="GQ64" s="395"/>
      <c r="GR64" s="395"/>
      <c r="GS64" s="395"/>
      <c r="GT64" s="395"/>
      <c r="GU64" s="395"/>
      <c r="GV64" s="395"/>
      <c r="GW64" s="395"/>
      <c r="GX64" s="395"/>
      <c r="GY64" s="395"/>
      <c r="GZ64" s="395"/>
      <c r="HA64" s="395"/>
      <c r="HB64" s="395"/>
      <c r="HC64" s="395"/>
      <c r="HD64" s="395"/>
      <c r="HE64" s="395"/>
      <c r="HF64" s="395"/>
      <c r="HG64" s="395"/>
      <c r="HH64" s="395"/>
      <c r="HI64" s="395"/>
      <c r="HJ64" s="395"/>
      <c r="HK64" s="395"/>
      <c r="HL64" s="395"/>
      <c r="HM64" s="395"/>
      <c r="HN64" s="395"/>
      <c r="HO64" s="395"/>
      <c r="HP64" s="395"/>
      <c r="HQ64" s="395"/>
      <c r="HR64" s="395"/>
    </row>
    <row r="65" spans="1:226" s="866" customFormat="1" x14ac:dyDescent="0.25">
      <c r="A65" s="348" t="s">
        <v>1038</v>
      </c>
      <c r="B65" s="395"/>
      <c r="C65" s="395"/>
      <c r="D65" s="395"/>
      <c r="E65" s="395"/>
      <c r="F65" s="395"/>
      <c r="G65" s="395"/>
      <c r="H65" s="395"/>
      <c r="I65" s="395"/>
      <c r="J65" s="395"/>
      <c r="K65" s="395"/>
      <c r="L65" s="395"/>
      <c r="M65" s="395"/>
      <c r="N65" s="395"/>
      <c r="O65" s="395"/>
      <c r="P65" s="395"/>
      <c r="Q65" s="395"/>
      <c r="R65" s="395"/>
      <c r="S65" s="395"/>
      <c r="T65" s="395"/>
      <c r="U65" s="395"/>
      <c r="V65" s="1608"/>
      <c r="W65" s="395"/>
      <c r="X65" s="395"/>
      <c r="Y65" s="395"/>
      <c r="Z65" s="2140"/>
      <c r="AA65" s="395"/>
      <c r="AB65" s="395"/>
      <c r="AC65" s="395"/>
      <c r="AD65" s="395"/>
      <c r="AE65" s="395"/>
      <c r="AF65" s="395"/>
      <c r="AG65" s="395"/>
      <c r="AH65" s="395"/>
      <c r="AI65" s="395"/>
      <c r="AJ65" s="395"/>
      <c r="AK65" s="395"/>
      <c r="AL65" s="395"/>
      <c r="AM65" s="395"/>
      <c r="AN65" s="395"/>
      <c r="AO65" s="395"/>
      <c r="AP65" s="395"/>
      <c r="AQ65" s="395"/>
      <c r="AR65" s="395"/>
      <c r="AS65" s="395"/>
      <c r="AT65" s="395"/>
      <c r="AU65" s="395"/>
      <c r="AV65" s="395"/>
      <c r="AW65" s="395"/>
      <c r="AX65" s="395"/>
      <c r="AY65" s="395"/>
      <c r="AZ65" s="395"/>
      <c r="BA65" s="395"/>
      <c r="BB65" s="395"/>
      <c r="BC65" s="395"/>
      <c r="BD65" s="395"/>
      <c r="BE65" s="395"/>
      <c r="BF65" s="395"/>
      <c r="BG65" s="395"/>
      <c r="BH65" s="395"/>
      <c r="BI65" s="395"/>
      <c r="BJ65" s="395"/>
      <c r="BK65" s="395"/>
      <c r="BL65" s="395"/>
      <c r="BM65" s="395"/>
      <c r="BN65" s="395"/>
      <c r="BO65" s="395"/>
      <c r="BP65" s="395"/>
      <c r="BQ65" s="395"/>
      <c r="BR65" s="395"/>
      <c r="BS65" s="395"/>
      <c r="BT65" s="395"/>
      <c r="BU65" s="395"/>
      <c r="BV65" s="395"/>
      <c r="BW65" s="395"/>
      <c r="BX65" s="395"/>
      <c r="BY65" s="395"/>
      <c r="BZ65" s="395"/>
      <c r="CA65" s="395"/>
      <c r="CB65" s="395"/>
      <c r="CC65" s="395"/>
      <c r="CD65" s="395"/>
      <c r="CE65" s="395"/>
      <c r="CF65" s="395"/>
      <c r="CG65" s="395"/>
      <c r="CH65" s="395"/>
      <c r="CI65" s="395"/>
      <c r="CJ65" s="395"/>
      <c r="CK65" s="395"/>
      <c r="CL65" s="395"/>
      <c r="CM65" s="395"/>
      <c r="CN65" s="395"/>
      <c r="CO65" s="395"/>
      <c r="CP65" s="395"/>
      <c r="CQ65" s="395"/>
      <c r="CR65" s="395"/>
      <c r="CS65" s="395"/>
      <c r="CT65" s="395"/>
      <c r="CU65" s="395"/>
      <c r="CV65" s="395"/>
      <c r="CW65" s="395"/>
      <c r="CX65" s="395"/>
      <c r="CY65" s="395"/>
      <c r="CZ65" s="395"/>
      <c r="DA65" s="395"/>
      <c r="DB65" s="395"/>
      <c r="DC65" s="395"/>
      <c r="DD65" s="395"/>
      <c r="DE65" s="395"/>
      <c r="DF65" s="395"/>
      <c r="DG65" s="395"/>
      <c r="DH65" s="395"/>
      <c r="DI65" s="395"/>
      <c r="DJ65" s="395"/>
      <c r="DK65" s="395"/>
      <c r="DL65" s="395"/>
      <c r="DM65" s="395"/>
      <c r="DN65" s="395"/>
      <c r="DO65" s="395"/>
      <c r="DP65" s="395"/>
      <c r="DQ65" s="395"/>
      <c r="DR65" s="395"/>
      <c r="DS65" s="395"/>
      <c r="DT65" s="395"/>
      <c r="DU65" s="395"/>
      <c r="DV65" s="395"/>
      <c r="DW65" s="395"/>
      <c r="DX65" s="395"/>
      <c r="DY65" s="395"/>
      <c r="DZ65" s="395"/>
      <c r="EA65" s="395"/>
      <c r="EB65" s="395"/>
      <c r="EC65" s="395"/>
      <c r="ED65" s="395"/>
      <c r="EE65" s="395"/>
      <c r="EF65" s="395"/>
      <c r="EG65" s="395"/>
      <c r="EH65" s="395"/>
      <c r="EI65" s="395"/>
      <c r="EJ65" s="395"/>
      <c r="EK65" s="395"/>
      <c r="EL65" s="395"/>
      <c r="EM65" s="395"/>
      <c r="EN65" s="395"/>
      <c r="EO65" s="395"/>
      <c r="EP65" s="395"/>
      <c r="EQ65" s="395"/>
      <c r="ER65" s="395"/>
      <c r="ES65" s="395"/>
      <c r="ET65" s="395"/>
      <c r="EU65" s="395"/>
      <c r="EV65" s="395"/>
      <c r="EW65" s="395"/>
      <c r="EX65" s="395"/>
      <c r="EY65" s="395"/>
      <c r="EZ65" s="395"/>
      <c r="FA65" s="395"/>
      <c r="FB65" s="395"/>
      <c r="FC65" s="395"/>
      <c r="FD65" s="395"/>
      <c r="FE65" s="395"/>
      <c r="FF65" s="395"/>
      <c r="FG65" s="395"/>
      <c r="FH65" s="395"/>
      <c r="FI65" s="395"/>
      <c r="FJ65" s="395"/>
      <c r="FK65" s="395"/>
      <c r="FL65" s="395"/>
      <c r="FM65" s="395"/>
      <c r="FN65" s="395"/>
      <c r="FO65" s="395"/>
      <c r="FP65" s="395"/>
      <c r="FQ65" s="395"/>
      <c r="FR65" s="395"/>
      <c r="FS65" s="395"/>
      <c r="FT65" s="395"/>
      <c r="FU65" s="395"/>
      <c r="FV65" s="395"/>
      <c r="FW65" s="395"/>
      <c r="FX65" s="395"/>
      <c r="FY65" s="395"/>
      <c r="FZ65" s="395"/>
      <c r="GA65" s="395"/>
      <c r="GB65" s="395"/>
      <c r="GC65" s="395"/>
      <c r="GD65" s="395"/>
      <c r="GE65" s="395"/>
      <c r="GF65" s="395"/>
      <c r="GG65" s="395"/>
      <c r="GH65" s="395"/>
      <c r="GI65" s="395"/>
      <c r="GJ65" s="395"/>
      <c r="GK65" s="395"/>
      <c r="GL65" s="395"/>
      <c r="GM65" s="395"/>
      <c r="GN65" s="395"/>
      <c r="GO65" s="395"/>
      <c r="GP65" s="395"/>
      <c r="GQ65" s="395"/>
      <c r="GR65" s="395"/>
      <c r="GS65" s="395"/>
      <c r="GT65" s="395"/>
      <c r="GU65" s="395"/>
      <c r="GV65" s="395"/>
      <c r="GW65" s="395"/>
      <c r="GX65" s="395"/>
      <c r="GY65" s="395"/>
      <c r="GZ65" s="395"/>
      <c r="HA65" s="395"/>
      <c r="HB65" s="395"/>
      <c r="HC65" s="395"/>
      <c r="HD65" s="395"/>
      <c r="HE65" s="395"/>
      <c r="HF65" s="395"/>
      <c r="HG65" s="395"/>
      <c r="HH65" s="395"/>
      <c r="HI65" s="395"/>
      <c r="HJ65" s="395"/>
      <c r="HK65" s="395"/>
      <c r="HL65" s="395"/>
      <c r="HM65" s="395"/>
      <c r="HN65" s="395"/>
      <c r="HO65" s="395"/>
      <c r="HP65" s="395"/>
      <c r="HQ65" s="395"/>
      <c r="HR65" s="395"/>
    </row>
    <row r="66" spans="1:226" s="866" customFormat="1" x14ac:dyDescent="0.25">
      <c r="A66" s="348" t="s">
        <v>1038</v>
      </c>
      <c r="B66" s="395"/>
      <c r="C66" s="395"/>
      <c r="D66" s="395"/>
      <c r="E66" s="395"/>
      <c r="F66" s="395"/>
      <c r="G66" s="395"/>
      <c r="H66" s="395"/>
      <c r="I66" s="395"/>
      <c r="J66" s="395"/>
      <c r="K66" s="395"/>
      <c r="L66" s="395"/>
      <c r="M66" s="367"/>
      <c r="N66" s="395"/>
      <c r="O66" s="395"/>
      <c r="P66" s="395"/>
      <c r="Q66" s="395"/>
      <c r="R66" s="395"/>
      <c r="S66" s="395"/>
      <c r="T66" s="395"/>
      <c r="U66" s="395"/>
      <c r="V66" s="1608"/>
      <c r="W66" s="395"/>
      <c r="X66" s="395"/>
      <c r="Y66" s="395"/>
      <c r="Z66" s="2140"/>
      <c r="AA66" s="395"/>
      <c r="AB66" s="395"/>
      <c r="AC66" s="395"/>
      <c r="AD66" s="395"/>
      <c r="AE66" s="395"/>
      <c r="AF66" s="395"/>
      <c r="AG66" s="395"/>
      <c r="AH66" s="395"/>
      <c r="AI66" s="395"/>
      <c r="AJ66" s="395"/>
      <c r="AK66" s="395"/>
      <c r="AL66" s="395"/>
      <c r="AM66" s="395"/>
      <c r="AN66" s="395"/>
      <c r="AO66" s="395"/>
      <c r="AP66" s="395"/>
      <c r="AQ66" s="395"/>
      <c r="AR66" s="395"/>
      <c r="AS66" s="395"/>
      <c r="AT66" s="395"/>
      <c r="AU66" s="395"/>
      <c r="AV66" s="395"/>
      <c r="AW66" s="395"/>
      <c r="AX66" s="395"/>
      <c r="AY66" s="395"/>
      <c r="AZ66" s="395"/>
      <c r="BA66" s="395"/>
      <c r="BB66" s="395"/>
      <c r="BC66" s="395"/>
      <c r="BD66" s="395"/>
      <c r="BE66" s="395"/>
      <c r="BF66" s="395"/>
      <c r="BG66" s="395"/>
      <c r="BH66" s="395"/>
      <c r="BI66" s="395"/>
      <c r="BJ66" s="395"/>
      <c r="BK66" s="395"/>
      <c r="BL66" s="395"/>
      <c r="BM66" s="395"/>
      <c r="BN66" s="395"/>
      <c r="BO66" s="395"/>
      <c r="BP66" s="395"/>
      <c r="BQ66" s="395"/>
      <c r="BR66" s="395"/>
      <c r="BS66" s="395"/>
      <c r="BT66" s="395"/>
      <c r="BU66" s="395"/>
      <c r="BV66" s="395"/>
      <c r="BW66" s="395"/>
      <c r="BX66" s="395"/>
      <c r="BY66" s="395"/>
      <c r="BZ66" s="395"/>
      <c r="CA66" s="395"/>
      <c r="CB66" s="395"/>
      <c r="CC66" s="395"/>
      <c r="CD66" s="395"/>
      <c r="CE66" s="395"/>
      <c r="CF66" s="395"/>
      <c r="CG66" s="395"/>
      <c r="CH66" s="395"/>
      <c r="CI66" s="395"/>
      <c r="CJ66" s="395"/>
      <c r="CK66" s="395"/>
      <c r="CL66" s="395"/>
      <c r="CM66" s="395"/>
      <c r="CN66" s="395"/>
      <c r="CO66" s="395"/>
      <c r="CP66" s="395"/>
      <c r="CQ66" s="395"/>
      <c r="CR66" s="395"/>
      <c r="CS66" s="395"/>
      <c r="CT66" s="395"/>
      <c r="CU66" s="395"/>
      <c r="CV66" s="395"/>
      <c r="CW66" s="395"/>
      <c r="CX66" s="395"/>
      <c r="CY66" s="395"/>
      <c r="CZ66" s="395"/>
      <c r="DA66" s="395"/>
      <c r="DB66" s="395"/>
      <c r="DC66" s="395"/>
      <c r="DD66" s="395"/>
      <c r="DE66" s="395"/>
      <c r="DF66" s="395"/>
      <c r="DG66" s="395"/>
      <c r="DH66" s="395"/>
      <c r="DI66" s="395"/>
      <c r="DJ66" s="395"/>
      <c r="DK66" s="395"/>
      <c r="DL66" s="395"/>
      <c r="DM66" s="395"/>
      <c r="DN66" s="395"/>
      <c r="DO66" s="395"/>
      <c r="DP66" s="395"/>
      <c r="DQ66" s="395"/>
      <c r="DR66" s="395"/>
      <c r="DS66" s="395"/>
      <c r="DT66" s="395"/>
      <c r="DU66" s="395"/>
      <c r="DV66" s="395"/>
      <c r="DW66" s="395"/>
      <c r="DX66" s="395"/>
      <c r="DY66" s="395"/>
      <c r="DZ66" s="395"/>
      <c r="EA66" s="395"/>
      <c r="EB66" s="395"/>
      <c r="EC66" s="395"/>
      <c r="ED66" s="395"/>
      <c r="EE66" s="395"/>
      <c r="EF66" s="395"/>
      <c r="EG66" s="395"/>
      <c r="EH66" s="395"/>
      <c r="EI66" s="395"/>
      <c r="EJ66" s="395"/>
      <c r="EK66" s="395"/>
      <c r="EL66" s="395"/>
      <c r="EM66" s="395"/>
      <c r="EN66" s="395"/>
      <c r="EO66" s="395"/>
      <c r="EP66" s="395"/>
      <c r="EQ66" s="395"/>
      <c r="ER66" s="395"/>
      <c r="ES66" s="395"/>
      <c r="ET66" s="395"/>
      <c r="EU66" s="395"/>
      <c r="EV66" s="395"/>
      <c r="EW66" s="395"/>
      <c r="EX66" s="395"/>
      <c r="EY66" s="395"/>
      <c r="EZ66" s="395"/>
      <c r="FA66" s="395"/>
      <c r="FB66" s="395"/>
      <c r="FC66" s="395"/>
      <c r="FD66" s="395"/>
      <c r="FE66" s="395"/>
      <c r="FF66" s="395"/>
      <c r="FG66" s="395"/>
      <c r="FH66" s="395"/>
      <c r="FI66" s="395"/>
      <c r="FJ66" s="395"/>
      <c r="FK66" s="395"/>
      <c r="FL66" s="395"/>
      <c r="FM66" s="395"/>
      <c r="FN66" s="395"/>
      <c r="FO66" s="395"/>
      <c r="FP66" s="395"/>
      <c r="FQ66" s="395"/>
      <c r="FR66" s="395"/>
      <c r="FS66" s="395"/>
      <c r="FT66" s="395"/>
      <c r="FU66" s="395"/>
      <c r="FV66" s="395"/>
      <c r="FW66" s="395"/>
      <c r="FX66" s="395"/>
      <c r="FY66" s="395"/>
      <c r="FZ66" s="395"/>
      <c r="GA66" s="395"/>
      <c r="GB66" s="395"/>
      <c r="GC66" s="395"/>
      <c r="GD66" s="395"/>
      <c r="GE66" s="395"/>
      <c r="GF66" s="395"/>
      <c r="GG66" s="395"/>
      <c r="GH66" s="395"/>
      <c r="GI66" s="395"/>
      <c r="GJ66" s="395"/>
      <c r="GK66" s="395"/>
      <c r="GL66" s="395"/>
      <c r="GM66" s="395"/>
      <c r="GN66" s="395"/>
      <c r="GO66" s="395"/>
      <c r="GP66" s="395"/>
      <c r="GQ66" s="395"/>
      <c r="GR66" s="395"/>
      <c r="GS66" s="395"/>
      <c r="GT66" s="395"/>
      <c r="GU66" s="395"/>
      <c r="GV66" s="395"/>
      <c r="GW66" s="395"/>
      <c r="GX66" s="395"/>
      <c r="GY66" s="395"/>
      <c r="GZ66" s="395"/>
      <c r="HA66" s="395"/>
      <c r="HB66" s="395"/>
      <c r="HC66" s="395"/>
      <c r="HD66" s="395"/>
      <c r="HE66" s="395"/>
      <c r="HF66" s="395"/>
      <c r="HG66" s="395"/>
      <c r="HH66" s="395"/>
      <c r="HI66" s="395"/>
      <c r="HJ66" s="395"/>
      <c r="HK66" s="395"/>
      <c r="HL66" s="395"/>
      <c r="HM66" s="395"/>
      <c r="HN66" s="395"/>
      <c r="HO66" s="395"/>
      <c r="HP66" s="395"/>
      <c r="HQ66" s="395"/>
      <c r="HR66" s="395"/>
    </row>
    <row r="67" spans="1:226" s="866" customFormat="1" ht="15.6" x14ac:dyDescent="0.25">
      <c r="A67" s="348" t="s">
        <v>1038</v>
      </c>
      <c r="B67" s="357" t="s">
        <v>2376</v>
      </c>
      <c r="C67" s="357"/>
      <c r="D67" s="395"/>
      <c r="E67" s="395"/>
      <c r="F67" s="395"/>
      <c r="G67" s="395"/>
      <c r="H67" s="395"/>
      <c r="I67" s="395"/>
      <c r="J67" s="395"/>
      <c r="K67" s="395"/>
      <c r="L67" s="395"/>
      <c r="M67" s="395"/>
      <c r="N67" s="395"/>
      <c r="O67" s="395"/>
      <c r="P67" s="395"/>
      <c r="Q67" s="395"/>
      <c r="R67" s="395"/>
      <c r="S67" s="395"/>
      <c r="T67" s="395"/>
      <c r="U67" s="395"/>
      <c r="V67" s="1608"/>
      <c r="W67" s="395"/>
      <c r="X67" s="395"/>
      <c r="Y67" s="395"/>
      <c r="Z67" s="2140"/>
      <c r="AA67" s="395"/>
      <c r="AB67" s="395"/>
      <c r="AC67" s="395"/>
      <c r="AD67" s="395"/>
      <c r="AE67" s="395"/>
      <c r="AF67" s="395"/>
      <c r="AG67" s="395"/>
      <c r="AH67" s="395"/>
      <c r="AI67" s="395"/>
      <c r="AJ67" s="395"/>
      <c r="AK67" s="395"/>
      <c r="AL67" s="395"/>
      <c r="AM67" s="395"/>
      <c r="AN67" s="395"/>
      <c r="AO67" s="395"/>
      <c r="AP67" s="395"/>
      <c r="AQ67" s="395"/>
      <c r="AR67" s="395"/>
      <c r="AS67" s="395"/>
      <c r="AT67" s="395"/>
      <c r="AU67" s="395"/>
      <c r="AV67" s="395"/>
      <c r="AW67" s="395"/>
      <c r="AX67" s="395"/>
      <c r="AY67" s="395"/>
      <c r="AZ67" s="395"/>
      <c r="BA67" s="395"/>
      <c r="BB67" s="395"/>
      <c r="BC67" s="395"/>
      <c r="BD67" s="395"/>
      <c r="BE67" s="395"/>
      <c r="BF67" s="395"/>
      <c r="BG67" s="395"/>
      <c r="BH67" s="395"/>
      <c r="BI67" s="395"/>
      <c r="BJ67" s="395"/>
      <c r="BK67" s="395"/>
      <c r="BL67" s="395"/>
      <c r="BM67" s="395"/>
      <c r="BN67" s="395"/>
      <c r="BO67" s="395"/>
      <c r="BP67" s="395"/>
      <c r="BQ67" s="395"/>
      <c r="BR67" s="395"/>
      <c r="BS67" s="395"/>
      <c r="BT67" s="395"/>
      <c r="BU67" s="395"/>
      <c r="BV67" s="395"/>
      <c r="BW67" s="395"/>
      <c r="BX67" s="395"/>
      <c r="BY67" s="395"/>
      <c r="BZ67" s="395"/>
      <c r="CA67" s="395"/>
      <c r="CB67" s="395"/>
      <c r="CC67" s="395"/>
      <c r="CD67" s="395"/>
      <c r="CE67" s="395"/>
      <c r="CF67" s="395"/>
      <c r="CG67" s="395"/>
      <c r="CH67" s="395"/>
      <c r="CI67" s="395"/>
      <c r="CJ67" s="395"/>
      <c r="CK67" s="395"/>
      <c r="CL67" s="395"/>
      <c r="CM67" s="395"/>
      <c r="CN67" s="395"/>
      <c r="CO67" s="395"/>
      <c r="CP67" s="395"/>
      <c r="CQ67" s="395"/>
      <c r="CR67" s="395"/>
      <c r="CS67" s="395"/>
      <c r="CT67" s="395"/>
      <c r="CU67" s="395"/>
      <c r="CV67" s="395"/>
      <c r="CW67" s="395"/>
      <c r="CX67" s="395"/>
      <c r="CY67" s="395"/>
      <c r="CZ67" s="395"/>
      <c r="DA67" s="395"/>
      <c r="DB67" s="395"/>
      <c r="DC67" s="395"/>
      <c r="DD67" s="395"/>
      <c r="DE67" s="395"/>
      <c r="DF67" s="395"/>
      <c r="DG67" s="395"/>
      <c r="DH67" s="395"/>
      <c r="DI67" s="395"/>
      <c r="DJ67" s="395"/>
      <c r="DK67" s="395"/>
      <c r="DL67" s="395"/>
      <c r="DM67" s="395"/>
      <c r="DN67" s="395"/>
      <c r="DO67" s="395"/>
      <c r="DP67" s="395"/>
      <c r="DQ67" s="395"/>
      <c r="DR67" s="395"/>
      <c r="DS67" s="395"/>
      <c r="DT67" s="395"/>
      <c r="DU67" s="395"/>
      <c r="DV67" s="395"/>
      <c r="DW67" s="395"/>
      <c r="DX67" s="395"/>
      <c r="DY67" s="395"/>
      <c r="DZ67" s="395"/>
      <c r="EA67" s="395"/>
      <c r="EB67" s="395"/>
      <c r="EC67" s="395"/>
      <c r="ED67" s="395"/>
      <c r="EE67" s="395"/>
      <c r="EF67" s="395"/>
      <c r="EG67" s="395"/>
      <c r="EH67" s="395"/>
      <c r="EI67" s="395"/>
      <c r="EJ67" s="395"/>
      <c r="EK67" s="395"/>
      <c r="EL67" s="395"/>
      <c r="EM67" s="395"/>
      <c r="EN67" s="395"/>
      <c r="EO67" s="395"/>
      <c r="EP67" s="395"/>
      <c r="EQ67" s="395"/>
      <c r="ER67" s="395"/>
      <c r="ES67" s="395"/>
      <c r="ET67" s="395"/>
      <c r="EU67" s="395"/>
      <c r="EV67" s="395"/>
      <c r="EW67" s="395"/>
      <c r="EX67" s="395"/>
      <c r="EY67" s="395"/>
      <c r="EZ67" s="395"/>
      <c r="FA67" s="395"/>
      <c r="FB67" s="395"/>
      <c r="FC67" s="395"/>
      <c r="FD67" s="395"/>
      <c r="FE67" s="395"/>
      <c r="FF67" s="395"/>
      <c r="FG67" s="395"/>
      <c r="FH67" s="395"/>
      <c r="FI67" s="395"/>
      <c r="FJ67" s="395"/>
      <c r="FK67" s="395"/>
      <c r="FL67" s="395"/>
      <c r="FM67" s="395"/>
      <c r="FN67" s="395"/>
      <c r="FO67" s="395"/>
      <c r="FP67" s="395"/>
      <c r="FQ67" s="395"/>
      <c r="FR67" s="395"/>
      <c r="FS67" s="395"/>
      <c r="FT67" s="395"/>
      <c r="FU67" s="395"/>
      <c r="FV67" s="395"/>
      <c r="FW67" s="395"/>
      <c r="FX67" s="395"/>
      <c r="FY67" s="395"/>
      <c r="FZ67" s="395"/>
      <c r="GA67" s="395"/>
      <c r="GB67" s="395"/>
      <c r="GC67" s="395"/>
      <c r="GD67" s="395"/>
      <c r="GE67" s="395"/>
      <c r="GF67" s="395"/>
      <c r="GG67" s="395"/>
      <c r="GH67" s="395"/>
      <c r="GI67" s="395"/>
      <c r="GJ67" s="395"/>
      <c r="GK67" s="395"/>
      <c r="GL67" s="395"/>
      <c r="GM67" s="395"/>
      <c r="GN67" s="395"/>
      <c r="GO67" s="395"/>
      <c r="GP67" s="395"/>
      <c r="GQ67" s="395"/>
      <c r="GR67" s="395"/>
      <c r="GS67" s="395"/>
      <c r="GT67" s="395"/>
      <c r="GU67" s="395"/>
      <c r="GV67" s="395"/>
      <c r="GW67" s="395"/>
      <c r="GX67" s="395"/>
      <c r="GY67" s="395"/>
      <c r="GZ67" s="395"/>
      <c r="HA67" s="395"/>
      <c r="HB67" s="395"/>
      <c r="HC67" s="395"/>
      <c r="HD67" s="395"/>
      <c r="HE67" s="395"/>
      <c r="HF67" s="395"/>
      <c r="HG67" s="395"/>
      <c r="HH67" s="395"/>
      <c r="HI67" s="395"/>
      <c r="HJ67" s="395"/>
      <c r="HK67" s="395"/>
      <c r="HL67" s="395"/>
      <c r="HM67" s="395"/>
      <c r="HN67" s="395"/>
      <c r="HO67" s="395"/>
      <c r="HP67" s="395"/>
      <c r="HQ67" s="395"/>
      <c r="HR67" s="395"/>
    </row>
    <row r="68" spans="1:226" s="866" customFormat="1" x14ac:dyDescent="0.25">
      <c r="A68" s="348" t="s">
        <v>1038</v>
      </c>
      <c r="B68" s="395"/>
      <c r="C68" s="395"/>
      <c r="D68" s="395"/>
      <c r="E68" s="395"/>
      <c r="F68" s="395"/>
      <c r="G68" s="395"/>
      <c r="H68" s="395"/>
      <c r="I68" s="395"/>
      <c r="J68" s="395"/>
      <c r="K68" s="1600"/>
      <c r="L68" s="395"/>
      <c r="M68" s="395"/>
      <c r="N68" s="395"/>
      <c r="O68" s="395"/>
      <c r="P68" s="395"/>
      <c r="Q68" s="395"/>
      <c r="R68" s="395"/>
      <c r="S68" s="395"/>
      <c r="T68" s="395"/>
      <c r="U68" s="395"/>
      <c r="V68" s="1608"/>
      <c r="W68" s="395"/>
      <c r="X68" s="395"/>
      <c r="Y68" s="395"/>
      <c r="Z68" s="2140"/>
      <c r="AA68" s="395"/>
      <c r="AB68" s="395"/>
      <c r="AC68" s="395"/>
      <c r="AD68" s="395"/>
      <c r="AE68" s="395"/>
      <c r="AF68" s="395"/>
      <c r="AG68" s="395"/>
      <c r="AH68" s="395"/>
      <c r="AI68" s="395"/>
      <c r="AJ68" s="395"/>
      <c r="AK68" s="395"/>
      <c r="AL68" s="395"/>
      <c r="AM68" s="395"/>
      <c r="AN68" s="395"/>
      <c r="AO68" s="395"/>
      <c r="AP68" s="395"/>
      <c r="AQ68" s="395"/>
      <c r="AR68" s="395"/>
      <c r="AS68" s="395"/>
      <c r="AT68" s="395"/>
      <c r="AU68" s="395"/>
      <c r="AV68" s="395"/>
      <c r="AW68" s="395"/>
      <c r="AX68" s="395"/>
      <c r="AY68" s="395"/>
      <c r="AZ68" s="395"/>
      <c r="BA68" s="395"/>
      <c r="BB68" s="395"/>
      <c r="BC68" s="395"/>
      <c r="BD68" s="395"/>
      <c r="BE68" s="395"/>
      <c r="BF68" s="395"/>
      <c r="BG68" s="395"/>
      <c r="BH68" s="395"/>
      <c r="BI68" s="395"/>
      <c r="BJ68" s="395"/>
      <c r="BK68" s="395"/>
      <c r="BL68" s="395"/>
      <c r="BM68" s="395"/>
      <c r="BN68" s="395"/>
      <c r="BO68" s="395"/>
      <c r="BP68" s="395"/>
      <c r="BQ68" s="395"/>
      <c r="BR68" s="395"/>
      <c r="BS68" s="395"/>
      <c r="BT68" s="395"/>
      <c r="BU68" s="395"/>
      <c r="BV68" s="395"/>
      <c r="BW68" s="395"/>
      <c r="BX68" s="395"/>
      <c r="BY68" s="395"/>
      <c r="BZ68" s="395"/>
      <c r="CA68" s="395"/>
      <c r="CB68" s="395"/>
      <c r="CC68" s="395"/>
      <c r="CD68" s="395"/>
      <c r="CE68" s="395"/>
      <c r="CF68" s="395"/>
      <c r="CG68" s="395"/>
      <c r="CH68" s="395"/>
      <c r="CI68" s="395"/>
      <c r="CJ68" s="395"/>
      <c r="CK68" s="395"/>
      <c r="CL68" s="395"/>
      <c r="CM68" s="395"/>
      <c r="CN68" s="395"/>
      <c r="CO68" s="395"/>
      <c r="CP68" s="395"/>
      <c r="CQ68" s="395"/>
      <c r="CR68" s="395"/>
      <c r="CS68" s="395"/>
      <c r="CT68" s="395"/>
      <c r="CU68" s="395"/>
      <c r="CV68" s="395"/>
      <c r="CW68" s="395"/>
      <c r="CX68" s="395"/>
      <c r="CY68" s="395"/>
      <c r="CZ68" s="395"/>
      <c r="DA68" s="395"/>
      <c r="DB68" s="395"/>
      <c r="DC68" s="395"/>
      <c r="DD68" s="395"/>
      <c r="DE68" s="395"/>
      <c r="DF68" s="395"/>
      <c r="DG68" s="395"/>
      <c r="DH68" s="395"/>
      <c r="DI68" s="395"/>
      <c r="DJ68" s="395"/>
      <c r="DK68" s="395"/>
      <c r="DL68" s="395"/>
      <c r="DM68" s="395"/>
      <c r="DN68" s="395"/>
      <c r="DO68" s="395"/>
      <c r="DP68" s="395"/>
      <c r="DQ68" s="395"/>
      <c r="DR68" s="395"/>
      <c r="DS68" s="395"/>
      <c r="DT68" s="395"/>
      <c r="DU68" s="395"/>
      <c r="DV68" s="395"/>
      <c r="DW68" s="395"/>
      <c r="DX68" s="395"/>
      <c r="DY68" s="395"/>
      <c r="DZ68" s="395"/>
      <c r="EA68" s="395"/>
      <c r="EB68" s="395"/>
      <c r="EC68" s="395"/>
      <c r="ED68" s="395"/>
      <c r="EE68" s="395"/>
      <c r="EF68" s="395"/>
      <c r="EG68" s="395"/>
      <c r="EH68" s="395"/>
      <c r="EI68" s="395"/>
      <c r="EJ68" s="395"/>
      <c r="EK68" s="395"/>
      <c r="EL68" s="395"/>
      <c r="EM68" s="395"/>
      <c r="EN68" s="395"/>
      <c r="EO68" s="395"/>
      <c r="EP68" s="395"/>
      <c r="EQ68" s="395"/>
      <c r="ER68" s="395"/>
      <c r="ES68" s="395"/>
      <c r="ET68" s="395"/>
      <c r="EU68" s="395"/>
      <c r="EV68" s="395"/>
      <c r="EW68" s="395"/>
      <c r="EX68" s="395"/>
      <c r="EY68" s="395"/>
      <c r="EZ68" s="395"/>
      <c r="FA68" s="395"/>
      <c r="FB68" s="395"/>
      <c r="FC68" s="395"/>
      <c r="FD68" s="395"/>
      <c r="FE68" s="395"/>
      <c r="FF68" s="395"/>
      <c r="FG68" s="395"/>
      <c r="FH68" s="395"/>
      <c r="FI68" s="395"/>
      <c r="FJ68" s="395"/>
      <c r="FK68" s="395"/>
      <c r="FL68" s="395"/>
      <c r="FM68" s="395"/>
      <c r="FN68" s="395"/>
      <c r="FO68" s="395"/>
      <c r="FP68" s="395"/>
      <c r="FQ68" s="395"/>
      <c r="FR68" s="395"/>
      <c r="FS68" s="395"/>
      <c r="FT68" s="395"/>
      <c r="FU68" s="395"/>
      <c r="FV68" s="395"/>
      <c r="FW68" s="395"/>
      <c r="FX68" s="395"/>
      <c r="FY68" s="395"/>
      <c r="FZ68" s="395"/>
      <c r="GA68" s="395"/>
      <c r="GB68" s="395"/>
      <c r="GC68" s="395"/>
      <c r="GD68" s="395"/>
      <c r="GE68" s="395"/>
      <c r="GF68" s="395"/>
      <c r="GG68" s="395"/>
      <c r="GH68" s="395"/>
      <c r="GI68" s="395"/>
      <c r="GJ68" s="395"/>
      <c r="GK68" s="395"/>
      <c r="GL68" s="395"/>
      <c r="GM68" s="395"/>
      <c r="GN68" s="395"/>
      <c r="GO68" s="395"/>
      <c r="GP68" s="395"/>
      <c r="GQ68" s="395"/>
      <c r="GR68" s="395"/>
      <c r="GS68" s="395"/>
      <c r="GT68" s="395"/>
      <c r="GU68" s="395"/>
      <c r="GV68" s="395"/>
      <c r="GW68" s="395"/>
      <c r="GX68" s="395"/>
      <c r="GY68" s="395"/>
      <c r="GZ68" s="395"/>
      <c r="HA68" s="395"/>
      <c r="HB68" s="395"/>
      <c r="HC68" s="395"/>
      <c r="HD68" s="395"/>
      <c r="HE68" s="395"/>
      <c r="HF68" s="395"/>
      <c r="HG68" s="395"/>
      <c r="HH68" s="395"/>
      <c r="HI68" s="395"/>
      <c r="HJ68" s="395"/>
      <c r="HK68" s="395"/>
      <c r="HL68" s="395"/>
      <c r="HM68" s="395"/>
      <c r="HN68" s="395"/>
      <c r="HO68" s="395"/>
      <c r="HP68" s="395"/>
      <c r="HQ68" s="395"/>
      <c r="HR68" s="395"/>
    </row>
    <row r="69" spans="1:226" s="866" customFormat="1" ht="53.25" customHeight="1" x14ac:dyDescent="0.25">
      <c r="A69" s="348" t="s">
        <v>1038</v>
      </c>
      <c r="B69" s="3409" t="str">
        <f xml:space="preserve"> CONCATENATE("Identify the equivalent full load hours of operation and building area for the landury room(s) below. ","In the energy model(s), use the values below for the Baseline and Proposed Miscellaneous Equipment Loads in the Laundry Rooms. These loads include ",IF(SI_IP_Units="IP","0.2 Watts per square foot ","2.15 Watts per square meter"), "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f>
        <v>Identify the equivalent full load hours of operation and building area for the landury room(s) below. In the energy model(s), use the values below for the Baseline and Proposed Miscellaneous Equipment Loads in the Laundry Rooms. These loads include 0.2 Watts per square foot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v>
      </c>
      <c r="C69" s="3410"/>
      <c r="D69" s="3410"/>
      <c r="E69" s="3410"/>
      <c r="F69" s="3410"/>
      <c r="G69" s="3410"/>
      <c r="H69" s="3410"/>
      <c r="I69" s="3410"/>
      <c r="J69" s="3410"/>
      <c r="K69" s="3410"/>
      <c r="L69" s="3410"/>
      <c r="M69" s="3410"/>
      <c r="N69" s="3410"/>
      <c r="O69" s="3410"/>
      <c r="P69" s="3410"/>
      <c r="Q69" s="3410"/>
      <c r="R69" s="3410"/>
      <c r="S69" s="3410"/>
      <c r="T69" s="3410"/>
      <c r="U69" s="3410"/>
      <c r="V69" s="1608"/>
      <c r="W69" s="395"/>
      <c r="X69" s="395"/>
      <c r="Y69" s="395"/>
      <c r="Z69" s="2140"/>
      <c r="AA69" s="395"/>
      <c r="AB69" s="395"/>
      <c r="AC69" s="395"/>
      <c r="AD69" s="395"/>
      <c r="AE69" s="395"/>
      <c r="AF69" s="395"/>
      <c r="AG69" s="395"/>
      <c r="AH69" s="395"/>
      <c r="AI69" s="395"/>
      <c r="AJ69" s="395"/>
      <c r="AK69" s="395"/>
      <c r="AL69" s="395"/>
      <c r="AM69" s="395"/>
      <c r="AN69" s="395"/>
      <c r="AO69" s="395"/>
      <c r="AP69" s="395"/>
      <c r="AQ69" s="395"/>
      <c r="AR69" s="395"/>
      <c r="AS69" s="395"/>
      <c r="AT69" s="395"/>
      <c r="AU69" s="395"/>
      <c r="AV69" s="395"/>
      <c r="AW69" s="395"/>
      <c r="AX69" s="395"/>
      <c r="AY69" s="395"/>
      <c r="AZ69" s="395"/>
      <c r="BA69" s="395"/>
      <c r="BB69" s="395"/>
      <c r="BC69" s="395"/>
      <c r="BD69" s="395"/>
      <c r="BE69" s="395"/>
      <c r="BF69" s="395"/>
      <c r="BG69" s="395"/>
      <c r="BH69" s="395"/>
      <c r="BI69" s="395"/>
      <c r="BJ69" s="395"/>
      <c r="BK69" s="395"/>
      <c r="BL69" s="395"/>
      <c r="BM69" s="395"/>
      <c r="BN69" s="395"/>
      <c r="BO69" s="395"/>
      <c r="BP69" s="395"/>
      <c r="BQ69" s="395"/>
      <c r="BR69" s="395"/>
      <c r="BS69" s="395"/>
      <c r="BT69" s="395"/>
      <c r="BU69" s="395"/>
      <c r="BV69" s="395"/>
      <c r="BW69" s="395"/>
      <c r="BX69" s="395"/>
      <c r="BY69" s="395"/>
      <c r="BZ69" s="395"/>
      <c r="CA69" s="395"/>
      <c r="CB69" s="395"/>
      <c r="CC69" s="395"/>
      <c r="CD69" s="395"/>
      <c r="CE69" s="395"/>
      <c r="CF69" s="395"/>
      <c r="CG69" s="395"/>
      <c r="CH69" s="395"/>
      <c r="CI69" s="395"/>
      <c r="CJ69" s="395"/>
      <c r="CK69" s="395"/>
      <c r="CL69" s="395"/>
      <c r="CM69" s="395"/>
      <c r="CN69" s="395"/>
      <c r="CO69" s="395"/>
      <c r="CP69" s="395"/>
      <c r="CQ69" s="395"/>
      <c r="CR69" s="395"/>
      <c r="CS69" s="395"/>
      <c r="CT69" s="395"/>
      <c r="CU69" s="395"/>
      <c r="CV69" s="395"/>
      <c r="CW69" s="395"/>
      <c r="CX69" s="395"/>
      <c r="CY69" s="395"/>
      <c r="CZ69" s="395"/>
      <c r="DA69" s="395"/>
      <c r="DB69" s="395"/>
      <c r="DC69" s="395"/>
      <c r="DD69" s="395"/>
      <c r="DE69" s="395"/>
      <c r="DF69" s="395"/>
      <c r="DG69" s="395"/>
      <c r="DH69" s="395"/>
      <c r="DI69" s="395"/>
      <c r="DJ69" s="395"/>
      <c r="DK69" s="395"/>
      <c r="DL69" s="395"/>
      <c r="DM69" s="395"/>
      <c r="DN69" s="395"/>
      <c r="DO69" s="395"/>
      <c r="DP69" s="395"/>
      <c r="DQ69" s="395"/>
      <c r="DR69" s="395"/>
      <c r="DS69" s="395"/>
      <c r="DT69" s="395"/>
      <c r="DU69" s="395"/>
      <c r="DV69" s="395"/>
      <c r="DW69" s="395"/>
      <c r="DX69" s="395"/>
      <c r="DY69" s="395"/>
      <c r="DZ69" s="395"/>
      <c r="EA69" s="395"/>
      <c r="EB69" s="395"/>
      <c r="EC69" s="395"/>
      <c r="ED69" s="395"/>
      <c r="EE69" s="395"/>
      <c r="EF69" s="395"/>
      <c r="EG69" s="395"/>
      <c r="EH69" s="395"/>
      <c r="EI69" s="395"/>
      <c r="EJ69" s="395"/>
      <c r="EK69" s="395"/>
      <c r="EL69" s="395"/>
      <c r="EM69" s="395"/>
      <c r="EN69" s="395"/>
      <c r="EO69" s="395"/>
      <c r="EP69" s="395"/>
      <c r="EQ69" s="395"/>
      <c r="ER69" s="395"/>
      <c r="ES69" s="395"/>
      <c r="ET69" s="395"/>
      <c r="EU69" s="395"/>
      <c r="EV69" s="395"/>
      <c r="EW69" s="395"/>
      <c r="EX69" s="395"/>
      <c r="EY69" s="395"/>
      <c r="EZ69" s="395"/>
      <c r="FA69" s="395"/>
      <c r="FB69" s="395"/>
      <c r="FC69" s="395"/>
      <c r="FD69" s="395"/>
      <c r="FE69" s="395"/>
      <c r="FF69" s="395"/>
      <c r="FG69" s="395"/>
      <c r="FH69" s="395"/>
      <c r="FI69" s="395"/>
      <c r="FJ69" s="395"/>
      <c r="FK69" s="395"/>
      <c r="FL69" s="395"/>
      <c r="FM69" s="395"/>
      <c r="FN69" s="395"/>
      <c r="FO69" s="395"/>
      <c r="FP69" s="395"/>
      <c r="FQ69" s="395"/>
      <c r="FR69" s="395"/>
      <c r="FS69" s="395"/>
      <c r="FT69" s="395"/>
      <c r="FU69" s="395"/>
      <c r="FV69" s="395"/>
      <c r="FW69" s="395"/>
      <c r="FX69" s="395"/>
      <c r="FY69" s="395"/>
      <c r="FZ69" s="395"/>
      <c r="GA69" s="395"/>
      <c r="GB69" s="395"/>
      <c r="GC69" s="395"/>
      <c r="GD69" s="395"/>
      <c r="GE69" s="395"/>
      <c r="GF69" s="395"/>
      <c r="GG69" s="395"/>
      <c r="GH69" s="395"/>
      <c r="GI69" s="395"/>
      <c r="GJ69" s="395"/>
      <c r="GK69" s="395"/>
      <c r="GL69" s="395"/>
      <c r="GM69" s="395"/>
      <c r="GN69" s="395"/>
      <c r="GO69" s="395"/>
      <c r="GP69" s="395"/>
      <c r="GQ69" s="395"/>
      <c r="GR69" s="395"/>
      <c r="GS69" s="395"/>
      <c r="GT69" s="395"/>
      <c r="GU69" s="395"/>
      <c r="GV69" s="395"/>
      <c r="GW69" s="395"/>
      <c r="GX69" s="395"/>
      <c r="GY69" s="395"/>
      <c r="GZ69" s="395"/>
      <c r="HA69" s="395"/>
      <c r="HB69" s="395"/>
      <c r="HC69" s="395"/>
      <c r="HD69" s="395"/>
      <c r="HE69" s="395"/>
      <c r="HF69" s="395"/>
      <c r="HG69" s="395"/>
      <c r="HH69" s="395"/>
      <c r="HI69" s="395"/>
      <c r="HJ69" s="395"/>
      <c r="HK69" s="395"/>
      <c r="HL69" s="395"/>
      <c r="HM69" s="395"/>
      <c r="HN69" s="395"/>
      <c r="HO69" s="395"/>
      <c r="HP69" s="395"/>
      <c r="HQ69" s="395"/>
      <c r="HR69" s="395"/>
    </row>
    <row r="70" spans="1:226" s="866" customFormat="1" x14ac:dyDescent="0.25">
      <c r="A70" s="348" t="s">
        <v>1038</v>
      </c>
      <c r="B70" s="395"/>
      <c r="C70" s="395"/>
      <c r="D70" s="395"/>
      <c r="E70" s="395"/>
      <c r="F70" s="395"/>
      <c r="G70" s="395"/>
      <c r="H70" s="395"/>
      <c r="I70" s="395"/>
      <c r="J70" s="395"/>
      <c r="K70" s="395"/>
      <c r="L70" s="395"/>
      <c r="M70" s="395"/>
      <c r="N70" s="395"/>
      <c r="O70" s="395"/>
      <c r="P70" s="395"/>
      <c r="Q70" s="395"/>
      <c r="R70" s="395"/>
      <c r="S70" s="395"/>
      <c r="T70" s="395"/>
      <c r="U70" s="395"/>
      <c r="V70" s="1608"/>
      <c r="W70" s="395"/>
      <c r="X70" s="395"/>
      <c r="Y70" s="395"/>
      <c r="Z70" s="2140"/>
      <c r="AA70" s="395"/>
      <c r="AB70" s="395"/>
      <c r="AC70" s="395"/>
      <c r="AD70" s="395"/>
      <c r="AE70" s="395"/>
      <c r="AF70" s="395"/>
      <c r="AG70" s="395"/>
      <c r="AH70" s="395"/>
      <c r="AI70" s="395"/>
      <c r="AJ70" s="395"/>
      <c r="AK70" s="395"/>
      <c r="AL70" s="395"/>
      <c r="AM70" s="395"/>
      <c r="AN70" s="395"/>
      <c r="AO70" s="395"/>
      <c r="AP70" s="395"/>
      <c r="AQ70" s="395"/>
      <c r="AR70" s="395"/>
      <c r="AS70" s="395"/>
      <c r="AT70" s="395"/>
      <c r="AU70" s="395"/>
      <c r="AV70" s="395"/>
      <c r="AW70" s="395"/>
      <c r="AX70" s="395"/>
      <c r="AY70" s="395"/>
      <c r="AZ70" s="395"/>
      <c r="BA70" s="395"/>
      <c r="BB70" s="395"/>
      <c r="BC70" s="395"/>
      <c r="BD70" s="395"/>
      <c r="BE70" s="395"/>
      <c r="BF70" s="395"/>
      <c r="BG70" s="395"/>
      <c r="BH70" s="395"/>
      <c r="BI70" s="395"/>
      <c r="BJ70" s="395"/>
      <c r="BK70" s="395"/>
      <c r="BL70" s="395"/>
      <c r="BM70" s="395"/>
      <c r="BN70" s="395"/>
      <c r="BO70" s="395"/>
      <c r="BP70" s="395"/>
      <c r="BQ70" s="395"/>
      <c r="BR70" s="395"/>
      <c r="BS70" s="395"/>
      <c r="BT70" s="395"/>
      <c r="BU70" s="395"/>
      <c r="BV70" s="395"/>
      <c r="BW70" s="395"/>
      <c r="BX70" s="395"/>
      <c r="BY70" s="395"/>
      <c r="BZ70" s="395"/>
      <c r="CA70" s="395"/>
      <c r="CB70" s="395"/>
      <c r="CC70" s="395"/>
      <c r="CD70" s="395"/>
      <c r="CE70" s="395"/>
      <c r="CF70" s="395"/>
      <c r="CG70" s="395"/>
      <c r="CH70" s="395"/>
      <c r="CI70" s="395"/>
      <c r="CJ70" s="395"/>
      <c r="CK70" s="395"/>
      <c r="CL70" s="395"/>
      <c r="CM70" s="395"/>
      <c r="CN70" s="395"/>
      <c r="CO70" s="395"/>
      <c r="CP70" s="395"/>
      <c r="CQ70" s="395"/>
      <c r="CR70" s="395"/>
      <c r="CS70" s="395"/>
      <c r="CT70" s="395"/>
      <c r="CU70" s="395"/>
      <c r="CV70" s="395"/>
      <c r="CW70" s="395"/>
      <c r="CX70" s="395"/>
      <c r="CY70" s="395"/>
      <c r="CZ70" s="395"/>
      <c r="DA70" s="395"/>
      <c r="DB70" s="395"/>
      <c r="DC70" s="395"/>
      <c r="DD70" s="395"/>
      <c r="DE70" s="395"/>
      <c r="DF70" s="395"/>
      <c r="DG70" s="395"/>
      <c r="DH70" s="395"/>
      <c r="DI70" s="395"/>
      <c r="DJ70" s="395"/>
      <c r="DK70" s="395"/>
      <c r="DL70" s="395"/>
      <c r="DM70" s="395"/>
      <c r="DN70" s="395"/>
      <c r="DO70" s="395"/>
      <c r="DP70" s="395"/>
      <c r="DQ70" s="395"/>
      <c r="DR70" s="395"/>
      <c r="DS70" s="395"/>
      <c r="DT70" s="395"/>
      <c r="DU70" s="395"/>
      <c r="DV70" s="395"/>
      <c r="DW70" s="395"/>
      <c r="DX70" s="395"/>
      <c r="DY70" s="395"/>
      <c r="DZ70" s="395"/>
      <c r="EA70" s="395"/>
      <c r="EB70" s="395"/>
      <c r="EC70" s="395"/>
      <c r="ED70" s="395"/>
      <c r="EE70" s="395"/>
      <c r="EF70" s="395"/>
      <c r="EG70" s="395"/>
      <c r="EH70" s="395"/>
      <c r="EI70" s="395"/>
      <c r="EJ70" s="395"/>
      <c r="EK70" s="395"/>
      <c r="EL70" s="395"/>
      <c r="EM70" s="395"/>
      <c r="EN70" s="395"/>
      <c r="EO70" s="395"/>
      <c r="EP70" s="395"/>
      <c r="EQ70" s="395"/>
      <c r="ER70" s="395"/>
      <c r="ES70" s="395"/>
      <c r="ET70" s="395"/>
      <c r="EU70" s="395"/>
      <c r="EV70" s="395"/>
      <c r="EW70" s="395"/>
      <c r="EX70" s="395"/>
      <c r="EY70" s="395"/>
      <c r="EZ70" s="395"/>
      <c r="FA70" s="395"/>
      <c r="FB70" s="395"/>
      <c r="FC70" s="395"/>
      <c r="FD70" s="395"/>
      <c r="FE70" s="395"/>
      <c r="FF70" s="395"/>
      <c r="FG70" s="395"/>
      <c r="FH70" s="395"/>
      <c r="FI70" s="395"/>
      <c r="FJ70" s="395"/>
      <c r="FK70" s="395"/>
      <c r="FL70" s="395"/>
      <c r="FM70" s="395"/>
      <c r="FN70" s="395"/>
      <c r="FO70" s="395"/>
      <c r="FP70" s="395"/>
      <c r="FQ70" s="395"/>
      <c r="FR70" s="395"/>
      <c r="FS70" s="395"/>
      <c r="FT70" s="395"/>
      <c r="FU70" s="395"/>
      <c r="FV70" s="395"/>
      <c r="FW70" s="395"/>
      <c r="FX70" s="395"/>
      <c r="FY70" s="395"/>
      <c r="FZ70" s="395"/>
      <c r="GA70" s="395"/>
      <c r="GB70" s="395"/>
      <c r="GC70" s="395"/>
      <c r="GD70" s="395"/>
      <c r="GE70" s="395"/>
      <c r="GF70" s="395"/>
      <c r="GG70" s="395"/>
      <c r="GH70" s="395"/>
      <c r="GI70" s="395"/>
      <c r="GJ70" s="395"/>
      <c r="GK70" s="395"/>
      <c r="GL70" s="395"/>
      <c r="GM70" s="395"/>
      <c r="GN70" s="395"/>
      <c r="GO70" s="395"/>
      <c r="GP70" s="395"/>
      <c r="GQ70" s="395"/>
      <c r="GR70" s="395"/>
      <c r="GS70" s="395"/>
      <c r="GT70" s="395"/>
      <c r="GU70" s="395"/>
      <c r="GV70" s="395"/>
      <c r="GW70" s="395"/>
      <c r="GX70" s="395"/>
      <c r="GY70" s="395"/>
      <c r="GZ70" s="395"/>
      <c r="HA70" s="395"/>
      <c r="HB70" s="395"/>
      <c r="HC70" s="395"/>
      <c r="HD70" s="395"/>
      <c r="HE70" s="395"/>
      <c r="HF70" s="395"/>
      <c r="HG70" s="395"/>
      <c r="HH70" s="395"/>
      <c r="HI70" s="395"/>
      <c r="HJ70" s="395"/>
      <c r="HK70" s="395"/>
      <c r="HL70" s="395"/>
      <c r="HM70" s="395"/>
      <c r="HN70" s="395"/>
      <c r="HO70" s="395"/>
      <c r="HP70" s="395"/>
      <c r="HQ70" s="395"/>
      <c r="HR70" s="395"/>
    </row>
    <row r="71" spans="1:226" s="866" customFormat="1" ht="27" customHeight="1" x14ac:dyDescent="0.25">
      <c r="A71" s="348" t="s">
        <v>1038</v>
      </c>
      <c r="B71" s="3357" t="s">
        <v>1087</v>
      </c>
      <c r="C71" s="3395" t="s">
        <v>1236</v>
      </c>
      <c r="D71" s="3345" t="str">
        <f>CONCATENATE("Total Area of Laundry Rooms",IF(SI_IP_Units="IP"," (square feet)"," (square meters)"))</f>
        <v>Total Area of Laundry Rooms (square feet)</v>
      </c>
      <c r="E71" s="3411"/>
      <c r="F71" s="3401" t="s">
        <v>1270</v>
      </c>
      <c r="G71" s="3411"/>
      <c r="H71" s="3411"/>
      <c r="I71" s="3411"/>
      <c r="J71" s="3411"/>
      <c r="K71" s="3411"/>
      <c r="L71" s="3411"/>
      <c r="M71" s="3401" t="s">
        <v>1271</v>
      </c>
      <c r="N71" s="3411"/>
      <c r="O71" s="3411"/>
      <c r="P71" s="3411"/>
      <c r="Q71" s="3411"/>
      <c r="R71" s="3411"/>
      <c r="S71" s="3411"/>
      <c r="T71" s="3401" t="str">
        <f>CONCATENATE("Laundry Room Equipment Hot Water Loads ",IF(SI_IP_Units="IP","(gallons/year)","(Liters/year)"))</f>
        <v>Laundry Room Equipment Hot Water Loads (gallons/year)</v>
      </c>
      <c r="U71" s="3401"/>
      <c r="V71" s="3390" t="s">
        <v>2544</v>
      </c>
      <c r="W71" s="395"/>
      <c r="X71" s="395"/>
      <c r="Y71" s="395"/>
      <c r="Z71" s="2140"/>
      <c r="AA71" s="395"/>
      <c r="AB71" s="395"/>
      <c r="AC71" s="395"/>
      <c r="AD71" s="395"/>
      <c r="AE71" s="395"/>
      <c r="AF71" s="395"/>
      <c r="AG71" s="395"/>
      <c r="AH71" s="395"/>
      <c r="AI71" s="395"/>
      <c r="AJ71" s="395"/>
      <c r="AK71" s="395"/>
      <c r="AL71" s="395"/>
      <c r="AM71" s="395"/>
      <c r="AN71" s="395"/>
      <c r="AO71" s="395"/>
      <c r="AP71" s="395"/>
      <c r="AQ71" s="395"/>
      <c r="AR71" s="395"/>
      <c r="AS71" s="395"/>
      <c r="AT71" s="395"/>
      <c r="AU71" s="395"/>
      <c r="AV71" s="395"/>
      <c r="AW71" s="395"/>
      <c r="AX71" s="395"/>
      <c r="AY71" s="395"/>
      <c r="AZ71" s="395"/>
      <c r="BA71" s="395"/>
      <c r="BB71" s="395"/>
      <c r="BC71" s="395"/>
      <c r="BD71" s="395"/>
      <c r="BE71" s="395"/>
      <c r="BF71" s="395"/>
      <c r="BG71" s="395"/>
      <c r="BH71" s="395"/>
      <c r="BI71" s="395"/>
      <c r="BJ71" s="395"/>
      <c r="BK71" s="395"/>
      <c r="BL71" s="395"/>
      <c r="BM71" s="395"/>
      <c r="BN71" s="395"/>
      <c r="BO71" s="395"/>
      <c r="BP71" s="395"/>
      <c r="BQ71" s="395"/>
      <c r="BR71" s="395"/>
      <c r="BS71" s="395"/>
      <c r="BT71" s="395"/>
      <c r="BU71" s="395"/>
      <c r="BV71" s="395"/>
      <c r="BW71" s="395"/>
      <c r="BX71" s="395"/>
      <c r="BY71" s="395"/>
      <c r="BZ71" s="395"/>
      <c r="CA71" s="395"/>
      <c r="CB71" s="395"/>
      <c r="CC71" s="395"/>
      <c r="CD71" s="395"/>
      <c r="CE71" s="395"/>
      <c r="CF71" s="395"/>
      <c r="CG71" s="395"/>
      <c r="CH71" s="395"/>
      <c r="CI71" s="395"/>
      <c r="CJ71" s="395"/>
      <c r="CK71" s="395"/>
      <c r="CL71" s="395"/>
      <c r="CM71" s="395"/>
      <c r="CN71" s="395"/>
      <c r="CO71" s="395"/>
      <c r="CP71" s="395"/>
      <c r="CQ71" s="395"/>
      <c r="CR71" s="395"/>
      <c r="CS71" s="395"/>
      <c r="CT71" s="395"/>
      <c r="CU71" s="395"/>
      <c r="CV71" s="395"/>
      <c r="CW71" s="395"/>
      <c r="CX71" s="395"/>
      <c r="CY71" s="395"/>
      <c r="CZ71" s="395"/>
      <c r="DA71" s="395"/>
      <c r="DB71" s="395"/>
      <c r="DC71" s="395"/>
      <c r="DD71" s="395"/>
      <c r="DE71" s="395"/>
      <c r="DF71" s="395"/>
      <c r="DG71" s="395"/>
      <c r="DH71" s="395"/>
      <c r="DI71" s="395"/>
      <c r="DJ71" s="395"/>
      <c r="DK71" s="395"/>
      <c r="DL71" s="395"/>
      <c r="DM71" s="395"/>
      <c r="DN71" s="395"/>
      <c r="DO71" s="395"/>
      <c r="DP71" s="395"/>
      <c r="DQ71" s="395"/>
      <c r="DR71" s="395"/>
      <c r="DS71" s="395"/>
      <c r="DT71" s="395"/>
      <c r="DU71" s="395"/>
      <c r="DV71" s="395"/>
      <c r="DW71" s="395"/>
      <c r="DX71" s="395"/>
      <c r="DY71" s="395"/>
      <c r="DZ71" s="395"/>
      <c r="EA71" s="395"/>
      <c r="EB71" s="395"/>
      <c r="EC71" s="395"/>
      <c r="ED71" s="395"/>
      <c r="EE71" s="395"/>
      <c r="EF71" s="395"/>
      <c r="EG71" s="395"/>
      <c r="EH71" s="395"/>
      <c r="EI71" s="395"/>
      <c r="EJ71" s="395"/>
      <c r="EK71" s="395"/>
      <c r="EL71" s="395"/>
      <c r="EM71" s="395"/>
      <c r="EN71" s="395"/>
      <c r="EO71" s="395"/>
      <c r="EP71" s="395"/>
      <c r="EQ71" s="395"/>
      <c r="ER71" s="395"/>
      <c r="ES71" s="395"/>
      <c r="ET71" s="395"/>
      <c r="EU71" s="395"/>
      <c r="EV71" s="395"/>
      <c r="EW71" s="395"/>
      <c r="EX71" s="395"/>
      <c r="EY71" s="395"/>
      <c r="EZ71" s="395"/>
      <c r="FA71" s="395"/>
      <c r="FB71" s="395"/>
      <c r="FC71" s="395"/>
      <c r="FD71" s="395"/>
      <c r="FE71" s="395"/>
      <c r="FF71" s="395"/>
      <c r="FG71" s="395"/>
      <c r="FH71" s="395"/>
      <c r="FI71" s="395"/>
      <c r="FJ71" s="395"/>
      <c r="FK71" s="395"/>
      <c r="FL71" s="395"/>
      <c r="FM71" s="395"/>
      <c r="FN71" s="395"/>
      <c r="FO71" s="395"/>
      <c r="FP71" s="395"/>
      <c r="FQ71" s="395"/>
      <c r="FR71" s="395"/>
      <c r="FS71" s="395"/>
      <c r="FT71" s="395"/>
      <c r="FU71" s="395"/>
      <c r="FV71" s="395"/>
      <c r="FW71" s="395"/>
      <c r="FX71" s="395"/>
      <c r="FY71" s="395"/>
      <c r="FZ71" s="395"/>
      <c r="GA71" s="395"/>
      <c r="GB71" s="395"/>
      <c r="GC71" s="395"/>
      <c r="GD71" s="395"/>
      <c r="GE71" s="395"/>
      <c r="GF71" s="395"/>
      <c r="GG71" s="395"/>
      <c r="GH71" s="395"/>
      <c r="GI71" s="395"/>
      <c r="GJ71" s="395"/>
      <c r="GK71" s="395"/>
      <c r="GL71" s="395"/>
      <c r="GM71" s="395"/>
      <c r="GN71" s="395"/>
      <c r="GO71" s="395"/>
      <c r="GP71" s="395"/>
      <c r="GQ71" s="395"/>
      <c r="GR71" s="395"/>
      <c r="GS71" s="395"/>
      <c r="GT71" s="395"/>
      <c r="GU71" s="395"/>
      <c r="GV71" s="395"/>
      <c r="GW71" s="395"/>
      <c r="GX71" s="395"/>
      <c r="GY71" s="395"/>
      <c r="GZ71" s="395"/>
      <c r="HA71" s="395"/>
      <c r="HB71" s="395"/>
      <c r="HC71" s="395"/>
      <c r="HD71" s="395"/>
      <c r="HE71" s="395"/>
      <c r="HF71" s="395"/>
      <c r="HG71" s="395"/>
      <c r="HH71" s="395"/>
      <c r="HI71" s="395"/>
      <c r="HJ71" s="395"/>
      <c r="HK71" s="395"/>
      <c r="HL71" s="395"/>
      <c r="HM71" s="395"/>
      <c r="HN71" s="395"/>
      <c r="HO71" s="395"/>
      <c r="HP71" s="395"/>
      <c r="HQ71" s="395"/>
      <c r="HR71" s="395"/>
    </row>
    <row r="72" spans="1:226" s="866" customFormat="1" x14ac:dyDescent="0.25">
      <c r="A72" s="348" t="s">
        <v>1038</v>
      </c>
      <c r="B72" s="3411"/>
      <c r="C72" s="3411"/>
      <c r="D72" s="3345"/>
      <c r="E72" s="3411"/>
      <c r="F72" s="3401" t="s">
        <v>272</v>
      </c>
      <c r="G72" s="3401"/>
      <c r="H72" s="3401"/>
      <c r="I72" s="3401" t="s">
        <v>273</v>
      </c>
      <c r="J72" s="3411"/>
      <c r="K72" s="3411"/>
      <c r="L72" s="3411"/>
      <c r="M72" s="3401" t="s">
        <v>272</v>
      </c>
      <c r="N72" s="3401"/>
      <c r="O72" s="3401"/>
      <c r="P72" s="3401" t="s">
        <v>273</v>
      </c>
      <c r="Q72" s="3401"/>
      <c r="R72" s="3401"/>
      <c r="S72" s="3411"/>
      <c r="T72" s="3401"/>
      <c r="U72" s="3401"/>
      <c r="V72" s="3391"/>
      <c r="W72" s="395"/>
      <c r="X72" s="395"/>
      <c r="Y72" s="395"/>
      <c r="Z72" s="2140"/>
      <c r="AA72" s="395"/>
      <c r="AB72" s="395"/>
      <c r="AC72" s="395"/>
      <c r="AD72" s="395"/>
      <c r="AE72" s="395"/>
      <c r="AF72" s="395"/>
      <c r="AG72" s="395"/>
      <c r="AH72" s="395"/>
      <c r="AI72" s="395"/>
      <c r="AJ72" s="395"/>
      <c r="AK72" s="395"/>
      <c r="AL72" s="395"/>
      <c r="AM72" s="395"/>
      <c r="AN72" s="395"/>
      <c r="AO72" s="395"/>
      <c r="AP72" s="395"/>
      <c r="AQ72" s="395"/>
      <c r="AR72" s="395"/>
      <c r="AS72" s="395"/>
      <c r="AT72" s="395"/>
      <c r="AU72" s="395"/>
      <c r="AV72" s="395"/>
      <c r="AW72" s="395"/>
      <c r="AX72" s="395"/>
      <c r="AY72" s="395"/>
      <c r="AZ72" s="395"/>
      <c r="BA72" s="395"/>
      <c r="BB72" s="395"/>
      <c r="BC72" s="395"/>
      <c r="BD72" s="395"/>
      <c r="BE72" s="395"/>
      <c r="BF72" s="395"/>
      <c r="BG72" s="395"/>
      <c r="BH72" s="395"/>
      <c r="BI72" s="395"/>
      <c r="BJ72" s="395"/>
      <c r="BK72" s="395"/>
      <c r="BL72" s="395"/>
      <c r="BM72" s="395"/>
      <c r="BN72" s="395"/>
      <c r="BO72" s="395"/>
      <c r="BP72" s="395"/>
      <c r="BQ72" s="395"/>
      <c r="BR72" s="395"/>
      <c r="BS72" s="395"/>
      <c r="BT72" s="395"/>
      <c r="BU72" s="395"/>
      <c r="BV72" s="395"/>
      <c r="BW72" s="395"/>
      <c r="BX72" s="395"/>
      <c r="BY72" s="395"/>
      <c r="BZ72" s="395"/>
      <c r="CA72" s="395"/>
      <c r="CB72" s="395"/>
      <c r="CC72" s="395"/>
      <c r="CD72" s="395"/>
      <c r="CE72" s="395"/>
      <c r="CF72" s="395"/>
      <c r="CG72" s="395"/>
      <c r="CH72" s="395"/>
      <c r="CI72" s="395"/>
      <c r="CJ72" s="395"/>
      <c r="CK72" s="395"/>
      <c r="CL72" s="395"/>
      <c r="CM72" s="395"/>
      <c r="CN72" s="395"/>
      <c r="CO72" s="395"/>
      <c r="CP72" s="395"/>
      <c r="CQ72" s="395"/>
      <c r="CR72" s="395"/>
      <c r="CS72" s="395"/>
      <c r="CT72" s="395"/>
      <c r="CU72" s="395"/>
      <c r="CV72" s="395"/>
      <c r="CW72" s="395"/>
      <c r="CX72" s="395"/>
      <c r="CY72" s="395"/>
      <c r="CZ72" s="395"/>
      <c r="DA72" s="395"/>
      <c r="DB72" s="395"/>
      <c r="DC72" s="395"/>
      <c r="DD72" s="395"/>
      <c r="DE72" s="395"/>
      <c r="DF72" s="395"/>
      <c r="DG72" s="395"/>
      <c r="DH72" s="395"/>
      <c r="DI72" s="395"/>
      <c r="DJ72" s="395"/>
      <c r="DK72" s="395"/>
      <c r="DL72" s="395"/>
      <c r="DM72" s="395"/>
      <c r="DN72" s="395"/>
      <c r="DO72" s="395"/>
      <c r="DP72" s="395"/>
      <c r="DQ72" s="395"/>
      <c r="DR72" s="395"/>
      <c r="DS72" s="395"/>
      <c r="DT72" s="395"/>
      <c r="DU72" s="395"/>
      <c r="DV72" s="395"/>
      <c r="DW72" s="395"/>
      <c r="DX72" s="395"/>
      <c r="DY72" s="395"/>
      <c r="DZ72" s="395"/>
      <c r="EA72" s="395"/>
      <c r="EB72" s="395"/>
      <c r="EC72" s="395"/>
      <c r="ED72" s="395"/>
      <c r="EE72" s="395"/>
      <c r="EF72" s="395"/>
      <c r="EG72" s="395"/>
      <c r="EH72" s="395"/>
      <c r="EI72" s="395"/>
      <c r="EJ72" s="395"/>
      <c r="EK72" s="395"/>
      <c r="EL72" s="395"/>
      <c r="EM72" s="395"/>
      <c r="EN72" s="395"/>
      <c r="EO72" s="395"/>
      <c r="EP72" s="395"/>
      <c r="EQ72" s="395"/>
      <c r="ER72" s="395"/>
      <c r="ES72" s="395"/>
      <c r="ET72" s="395"/>
      <c r="EU72" s="395"/>
      <c r="EV72" s="395"/>
      <c r="EW72" s="395"/>
      <c r="EX72" s="395"/>
      <c r="EY72" s="395"/>
      <c r="EZ72" s="395"/>
      <c r="FA72" s="395"/>
      <c r="FB72" s="395"/>
      <c r="FC72" s="395"/>
      <c r="FD72" s="395"/>
      <c r="FE72" s="395"/>
      <c r="FF72" s="395"/>
      <c r="FG72" s="395"/>
      <c r="FH72" s="395"/>
      <c r="FI72" s="395"/>
      <c r="FJ72" s="395"/>
      <c r="FK72" s="395"/>
      <c r="FL72" s="395"/>
      <c r="FM72" s="395"/>
      <c r="FN72" s="395"/>
      <c r="FO72" s="395"/>
      <c r="FP72" s="395"/>
      <c r="FQ72" s="395"/>
      <c r="FR72" s="395"/>
      <c r="FS72" s="395"/>
      <c r="FT72" s="395"/>
      <c r="FU72" s="395"/>
      <c r="FV72" s="395"/>
      <c r="FW72" s="395"/>
      <c r="FX72" s="395"/>
      <c r="FY72" s="395"/>
      <c r="FZ72" s="395"/>
      <c r="GA72" s="395"/>
      <c r="GB72" s="395"/>
      <c r="GC72" s="395"/>
      <c r="GD72" s="395"/>
      <c r="GE72" s="395"/>
      <c r="GF72" s="395"/>
      <c r="GG72" s="395"/>
      <c r="GH72" s="395"/>
      <c r="GI72" s="395"/>
      <c r="GJ72" s="395"/>
      <c r="GK72" s="395"/>
      <c r="GL72" s="395"/>
      <c r="GM72" s="395"/>
      <c r="GN72" s="395"/>
      <c r="GO72" s="395"/>
      <c r="GP72" s="395"/>
      <c r="GQ72" s="395"/>
      <c r="GR72" s="395"/>
      <c r="GS72" s="395"/>
      <c r="GT72" s="395"/>
      <c r="GU72" s="395"/>
      <c r="GV72" s="395"/>
      <c r="GW72" s="395"/>
      <c r="GX72" s="395"/>
      <c r="GY72" s="395"/>
      <c r="GZ72" s="395"/>
      <c r="HA72" s="395"/>
      <c r="HB72" s="395"/>
      <c r="HC72" s="395"/>
      <c r="HD72" s="395"/>
      <c r="HE72" s="395"/>
      <c r="HF72" s="395"/>
      <c r="HG72" s="395"/>
      <c r="HH72" s="395"/>
      <c r="HI72" s="395"/>
      <c r="HJ72" s="395"/>
      <c r="HK72" s="395"/>
      <c r="HL72" s="395"/>
      <c r="HM72" s="395"/>
      <c r="HN72" s="395"/>
      <c r="HO72" s="395"/>
      <c r="HP72" s="395"/>
      <c r="HQ72" s="395"/>
      <c r="HR72" s="395"/>
    </row>
    <row r="73" spans="1:226" s="866" customFormat="1" ht="66" x14ac:dyDescent="0.25">
      <c r="A73" s="348" t="s">
        <v>1038</v>
      </c>
      <c r="B73" s="3411"/>
      <c r="C73" s="3411"/>
      <c r="D73" s="3345"/>
      <c r="E73" s="3411"/>
      <c r="F73" s="1491" t="str">
        <f>CONCATENATE("Equipment Power Density ", IF(SI_IP_Units="IP","(Watts/ sq ft)","(Watts/ sq m)"))</f>
        <v>Equipment Power Density (Watts/ sq ft)</v>
      </c>
      <c r="G73" s="1354" t="s">
        <v>1193</v>
      </c>
      <c r="H73" s="1354" t="s">
        <v>1192</v>
      </c>
      <c r="I73" s="1491" t="str">
        <f>CONCATENATE("Equipment Power Density ", IF(SI_IP_Units="IP","(Watts/ sq ft)","(Watts/ sq m)"))</f>
        <v>Equipment Power Density (Watts/ sq ft)</v>
      </c>
      <c r="J73" s="1354" t="s">
        <v>1193</v>
      </c>
      <c r="K73" s="1354" t="s">
        <v>1192</v>
      </c>
      <c r="L73" s="3411"/>
      <c r="M73" s="1491" t="str">
        <f>CONCATENATE("Equipment Power Density ",  IF(SI_IP_Units="IP","(Btu/ sq ft)","(Watts/ sq m)"))</f>
        <v>Equipment Power Density (Btu/ sq ft)</v>
      </c>
      <c r="N73" s="1354" t="s">
        <v>1193</v>
      </c>
      <c r="O73" s="1354" t="s">
        <v>1192</v>
      </c>
      <c r="P73" s="1491" t="str">
        <f>CONCATENATE("Equipment Power Density ", IF(SI_IP_Units="IP","(Btu/ sq ft)","(Watts/ sq m)"))</f>
        <v>Equipment Power Density (Btu/ sq ft)</v>
      </c>
      <c r="Q73" s="1354" t="s">
        <v>1193</v>
      </c>
      <c r="R73" s="1354" t="s">
        <v>1192</v>
      </c>
      <c r="S73" s="3411"/>
      <c r="T73" s="1354" t="s">
        <v>1267</v>
      </c>
      <c r="U73" s="1491" t="s">
        <v>273</v>
      </c>
      <c r="V73" s="3392"/>
      <c r="W73" s="395"/>
      <c r="X73" s="395"/>
      <c r="Y73" s="395"/>
      <c r="Z73" s="2140"/>
      <c r="AA73" s="395"/>
      <c r="AB73" s="395"/>
      <c r="AC73" s="395"/>
      <c r="AD73" s="395"/>
      <c r="AE73" s="395"/>
      <c r="AF73" s="395"/>
      <c r="AG73" s="395"/>
      <c r="AH73" s="395"/>
      <c r="AI73" s="395"/>
      <c r="AJ73" s="395"/>
      <c r="AK73" s="395"/>
      <c r="AL73" s="395"/>
      <c r="AM73" s="395"/>
      <c r="AN73" s="395"/>
      <c r="AO73" s="395"/>
      <c r="AP73" s="395"/>
      <c r="AQ73" s="395"/>
      <c r="AR73" s="395"/>
      <c r="AS73" s="395"/>
      <c r="AT73" s="395"/>
      <c r="AU73" s="395"/>
      <c r="AV73" s="395"/>
      <c r="AW73" s="395"/>
      <c r="AX73" s="395"/>
      <c r="AY73" s="395"/>
      <c r="AZ73" s="395"/>
      <c r="BA73" s="395"/>
      <c r="BB73" s="395"/>
      <c r="BC73" s="395"/>
      <c r="BD73" s="395"/>
      <c r="BE73" s="395"/>
      <c r="BF73" s="395"/>
      <c r="BG73" s="395"/>
      <c r="BH73" s="395"/>
      <c r="BI73" s="395"/>
      <c r="BJ73" s="395"/>
      <c r="BK73" s="395"/>
      <c r="BL73" s="395"/>
      <c r="BM73" s="395"/>
      <c r="BN73" s="395"/>
      <c r="BO73" s="395"/>
      <c r="BP73" s="395"/>
      <c r="BQ73" s="395"/>
      <c r="BR73" s="395"/>
      <c r="BS73" s="395"/>
      <c r="BT73" s="395"/>
      <c r="BU73" s="395"/>
      <c r="BV73" s="395"/>
      <c r="BW73" s="395"/>
      <c r="BX73" s="395"/>
      <c r="BY73" s="395"/>
      <c r="BZ73" s="395"/>
      <c r="CA73" s="395"/>
      <c r="CB73" s="395"/>
      <c r="CC73" s="395"/>
      <c r="CD73" s="395"/>
      <c r="CE73" s="395"/>
      <c r="CF73" s="395"/>
      <c r="CG73" s="395"/>
      <c r="CH73" s="395"/>
      <c r="CI73" s="395"/>
      <c r="CJ73" s="395"/>
      <c r="CK73" s="395"/>
      <c r="CL73" s="395"/>
      <c r="CM73" s="395"/>
      <c r="CN73" s="395"/>
      <c r="CO73" s="395"/>
      <c r="CP73" s="395"/>
      <c r="CQ73" s="395"/>
      <c r="CR73" s="395"/>
      <c r="CS73" s="395"/>
      <c r="CT73" s="395"/>
      <c r="CU73" s="395"/>
      <c r="CV73" s="395"/>
      <c r="CW73" s="395"/>
      <c r="CX73" s="395"/>
      <c r="CY73" s="395"/>
      <c r="CZ73" s="395"/>
      <c r="DA73" s="395"/>
      <c r="DB73" s="395"/>
      <c r="DC73" s="395"/>
      <c r="DD73" s="395"/>
      <c r="DE73" s="395"/>
      <c r="DF73" s="395"/>
      <c r="DG73" s="395"/>
      <c r="DH73" s="395"/>
      <c r="DI73" s="395"/>
      <c r="DJ73" s="395"/>
      <c r="DK73" s="395"/>
      <c r="DL73" s="395"/>
      <c r="DM73" s="395"/>
      <c r="DN73" s="395"/>
      <c r="DO73" s="395"/>
      <c r="DP73" s="395"/>
      <c r="DQ73" s="395"/>
      <c r="DR73" s="395"/>
      <c r="DS73" s="395"/>
      <c r="DT73" s="395"/>
      <c r="DU73" s="395"/>
      <c r="DV73" s="395"/>
      <c r="DW73" s="395"/>
      <c r="DX73" s="395"/>
      <c r="DY73" s="395"/>
      <c r="DZ73" s="395"/>
      <c r="EA73" s="395"/>
      <c r="EB73" s="395"/>
      <c r="EC73" s="395"/>
      <c r="ED73" s="395"/>
      <c r="EE73" s="395"/>
      <c r="EF73" s="395"/>
      <c r="EG73" s="395"/>
      <c r="EH73" s="395"/>
      <c r="EI73" s="395"/>
      <c r="EJ73" s="395"/>
      <c r="EK73" s="395"/>
      <c r="EL73" s="395"/>
      <c r="EM73" s="395"/>
      <c r="EN73" s="395"/>
      <c r="EO73" s="395"/>
      <c r="EP73" s="395"/>
      <c r="EQ73" s="395"/>
      <c r="ER73" s="395"/>
      <c r="ES73" s="395"/>
      <c r="ET73" s="395"/>
      <c r="EU73" s="395"/>
      <c r="EV73" s="395"/>
      <c r="EW73" s="395"/>
      <c r="EX73" s="395"/>
      <c r="EY73" s="395"/>
      <c r="EZ73" s="395"/>
      <c r="FA73" s="395"/>
      <c r="FB73" s="395"/>
      <c r="FC73" s="395"/>
      <c r="FD73" s="395"/>
      <c r="FE73" s="395"/>
      <c r="FF73" s="395"/>
      <c r="FG73" s="395"/>
      <c r="FH73" s="395"/>
      <c r="FI73" s="395"/>
      <c r="FJ73" s="395"/>
      <c r="FK73" s="395"/>
      <c r="FL73" s="395"/>
      <c r="FM73" s="395"/>
      <c r="FN73" s="395"/>
      <c r="FO73" s="395"/>
      <c r="FP73" s="395"/>
      <c r="FQ73" s="395"/>
      <c r="FR73" s="395"/>
      <c r="FS73" s="395"/>
      <c r="FT73" s="395"/>
      <c r="FU73" s="395"/>
      <c r="FV73" s="395"/>
      <c r="FW73" s="395"/>
      <c r="FX73" s="395"/>
      <c r="FY73" s="395"/>
      <c r="FZ73" s="395"/>
      <c r="GA73" s="395"/>
      <c r="GB73" s="395"/>
      <c r="GC73" s="395"/>
      <c r="GD73" s="395"/>
      <c r="GE73" s="395"/>
      <c r="GF73" s="395"/>
      <c r="GG73" s="395"/>
      <c r="GH73" s="395"/>
      <c r="GI73" s="395"/>
      <c r="GJ73" s="395"/>
      <c r="GK73" s="395"/>
      <c r="GL73" s="395"/>
      <c r="GM73" s="395"/>
      <c r="GN73" s="395"/>
      <c r="GO73" s="395"/>
      <c r="GP73" s="395"/>
      <c r="GQ73" s="395"/>
      <c r="GR73" s="395"/>
      <c r="GS73" s="395"/>
      <c r="GT73" s="395"/>
      <c r="GU73" s="395"/>
      <c r="GV73" s="395"/>
      <c r="GW73" s="395"/>
      <c r="GX73" s="395"/>
      <c r="GY73" s="395"/>
      <c r="GZ73" s="395"/>
      <c r="HA73" s="395"/>
      <c r="HB73" s="395"/>
      <c r="HC73" s="395"/>
      <c r="HD73" s="395"/>
      <c r="HE73" s="395"/>
      <c r="HF73" s="395"/>
      <c r="HG73" s="395"/>
      <c r="HH73" s="395"/>
      <c r="HI73" s="395"/>
      <c r="HJ73" s="395"/>
      <c r="HK73" s="395"/>
      <c r="HL73" s="395"/>
      <c r="HM73" s="395"/>
      <c r="HN73" s="395"/>
      <c r="HO73" s="395"/>
      <c r="HP73" s="395"/>
      <c r="HQ73" s="395"/>
      <c r="HR73" s="395"/>
    </row>
    <row r="74" spans="1:226" s="866" customFormat="1" ht="41.4" hidden="1" x14ac:dyDescent="0.25">
      <c r="A74" s="348" t="s">
        <v>1038</v>
      </c>
      <c r="B74" s="1368" t="s">
        <v>1087</v>
      </c>
      <c r="C74" s="1368" t="s">
        <v>1113</v>
      </c>
      <c r="D74" s="1363" t="s">
        <v>1253</v>
      </c>
      <c r="E74" s="1369" t="s">
        <v>1231</v>
      </c>
      <c r="F74" s="1367" t="s">
        <v>1257</v>
      </c>
      <c r="G74" s="1367" t="s">
        <v>1255</v>
      </c>
      <c r="H74" s="1605" t="s">
        <v>1256</v>
      </c>
      <c r="I74" s="1367" t="s">
        <v>1258</v>
      </c>
      <c r="J74" s="1367" t="s">
        <v>1259</v>
      </c>
      <c r="K74" s="1605" t="s">
        <v>1260</v>
      </c>
      <c r="L74" s="1367" t="s">
        <v>1232</v>
      </c>
      <c r="M74" s="1367" t="s">
        <v>1261</v>
      </c>
      <c r="N74" s="1605" t="s">
        <v>1262</v>
      </c>
      <c r="O74" s="1605" t="s">
        <v>1263</v>
      </c>
      <c r="P74" s="1367" t="s">
        <v>1264</v>
      </c>
      <c r="Q74" s="1605" t="s">
        <v>1265</v>
      </c>
      <c r="R74" s="1605" t="s">
        <v>1266</v>
      </c>
      <c r="S74" s="1367" t="s">
        <v>1233</v>
      </c>
      <c r="T74" s="1605" t="s">
        <v>1268</v>
      </c>
      <c r="U74" s="1605" t="s">
        <v>1269</v>
      </c>
      <c r="V74" s="1498"/>
      <c r="W74" s="395"/>
      <c r="X74" s="395"/>
      <c r="Y74" s="395"/>
      <c r="Z74" s="2140"/>
      <c r="AA74" s="395"/>
      <c r="AB74" s="395"/>
      <c r="AC74" s="395"/>
      <c r="AD74" s="395"/>
      <c r="AE74" s="395"/>
      <c r="AF74" s="395"/>
      <c r="AG74" s="395"/>
      <c r="AH74" s="395"/>
      <c r="AI74" s="395"/>
      <c r="AJ74" s="395"/>
      <c r="AK74" s="395"/>
      <c r="AL74" s="395"/>
      <c r="AM74" s="395"/>
      <c r="AN74" s="395"/>
      <c r="AO74" s="395"/>
      <c r="AP74" s="395"/>
      <c r="AQ74" s="395"/>
      <c r="AR74" s="395"/>
      <c r="AS74" s="395"/>
      <c r="AT74" s="395"/>
      <c r="AU74" s="395"/>
      <c r="AV74" s="395"/>
      <c r="AW74" s="395"/>
      <c r="AX74" s="395"/>
      <c r="AY74" s="395"/>
      <c r="AZ74" s="395"/>
      <c r="BA74" s="395"/>
      <c r="BB74" s="395"/>
      <c r="BC74" s="395"/>
      <c r="BD74" s="395"/>
      <c r="BE74" s="395"/>
      <c r="BF74" s="395"/>
      <c r="BG74" s="395"/>
      <c r="BH74" s="395"/>
      <c r="BI74" s="395"/>
      <c r="BJ74" s="395"/>
      <c r="BK74" s="395"/>
      <c r="BL74" s="395"/>
      <c r="BM74" s="395"/>
      <c r="BN74" s="395"/>
      <c r="BO74" s="395"/>
      <c r="BP74" s="395"/>
      <c r="BQ74" s="395"/>
      <c r="BR74" s="395"/>
      <c r="BS74" s="395"/>
      <c r="BT74" s="395"/>
      <c r="BU74" s="395"/>
      <c r="BV74" s="395"/>
      <c r="BW74" s="395"/>
      <c r="BX74" s="395"/>
      <c r="BY74" s="395"/>
      <c r="BZ74" s="395"/>
      <c r="CA74" s="395"/>
      <c r="CB74" s="395"/>
      <c r="CC74" s="395"/>
      <c r="CD74" s="395"/>
      <c r="CE74" s="395"/>
      <c r="CF74" s="395"/>
      <c r="CG74" s="395"/>
      <c r="CH74" s="395"/>
      <c r="CI74" s="395"/>
      <c r="CJ74" s="395"/>
      <c r="CK74" s="395"/>
      <c r="CL74" s="395"/>
      <c r="CM74" s="395"/>
      <c r="CN74" s="395"/>
      <c r="CO74" s="395"/>
      <c r="CP74" s="395"/>
      <c r="CQ74" s="395"/>
      <c r="CR74" s="395"/>
      <c r="CS74" s="395"/>
      <c r="CT74" s="395"/>
      <c r="CU74" s="395"/>
      <c r="CV74" s="395"/>
      <c r="CW74" s="395"/>
      <c r="CX74" s="395"/>
      <c r="CY74" s="395"/>
      <c r="CZ74" s="395"/>
      <c r="DA74" s="395"/>
      <c r="DB74" s="395"/>
      <c r="DC74" s="395"/>
      <c r="DD74" s="395"/>
      <c r="DE74" s="395"/>
      <c r="DF74" s="395"/>
      <c r="DG74" s="395"/>
      <c r="DH74" s="395"/>
      <c r="DI74" s="395"/>
      <c r="DJ74" s="395"/>
      <c r="DK74" s="395"/>
      <c r="DL74" s="395"/>
      <c r="DM74" s="395"/>
      <c r="DN74" s="395"/>
      <c r="DO74" s="395"/>
      <c r="DP74" s="395"/>
      <c r="DQ74" s="395"/>
      <c r="DR74" s="395"/>
      <c r="DS74" s="395"/>
      <c r="DT74" s="395"/>
      <c r="DU74" s="395"/>
      <c r="DV74" s="395"/>
      <c r="DW74" s="395"/>
      <c r="DX74" s="395"/>
      <c r="DY74" s="395"/>
      <c r="DZ74" s="395"/>
      <c r="EA74" s="395"/>
      <c r="EB74" s="395"/>
      <c r="EC74" s="395"/>
      <c r="ED74" s="395"/>
      <c r="EE74" s="395"/>
      <c r="EF74" s="395"/>
      <c r="EG74" s="395"/>
      <c r="EH74" s="395"/>
      <c r="EI74" s="395"/>
      <c r="EJ74" s="395"/>
      <c r="EK74" s="395"/>
      <c r="EL74" s="395"/>
      <c r="EM74" s="395"/>
      <c r="EN74" s="395"/>
      <c r="EO74" s="395"/>
      <c r="EP74" s="395"/>
      <c r="EQ74" s="395"/>
      <c r="ER74" s="395"/>
      <c r="ES74" s="395"/>
      <c r="ET74" s="395"/>
      <c r="EU74" s="395"/>
      <c r="EV74" s="395"/>
      <c r="EW74" s="395"/>
      <c r="EX74" s="395"/>
      <c r="EY74" s="395"/>
      <c r="EZ74" s="395"/>
      <c r="FA74" s="395"/>
      <c r="FB74" s="395"/>
      <c r="FC74" s="395"/>
      <c r="FD74" s="395"/>
      <c r="FE74" s="395"/>
      <c r="FF74" s="395"/>
      <c r="FG74" s="395"/>
      <c r="FH74" s="395"/>
      <c r="FI74" s="395"/>
      <c r="FJ74" s="395"/>
      <c r="FK74" s="395"/>
      <c r="FL74" s="395"/>
      <c r="FM74" s="395"/>
      <c r="FN74" s="395"/>
      <c r="FO74" s="395"/>
      <c r="FP74" s="395"/>
      <c r="FQ74" s="395"/>
      <c r="FR74" s="395"/>
      <c r="FS74" s="395"/>
      <c r="FT74" s="395"/>
      <c r="FU74" s="395"/>
      <c r="FV74" s="395"/>
      <c r="FW74" s="395"/>
      <c r="FX74" s="395"/>
      <c r="FY74" s="395"/>
      <c r="FZ74" s="395"/>
      <c r="GA74" s="395"/>
      <c r="GB74" s="395"/>
      <c r="GC74" s="395"/>
      <c r="GD74" s="395"/>
      <c r="GE74" s="395"/>
      <c r="GF74" s="395"/>
      <c r="GG74" s="395"/>
      <c r="GH74" s="395"/>
      <c r="GI74" s="395"/>
      <c r="GJ74" s="395"/>
      <c r="GK74" s="395"/>
      <c r="GL74" s="395"/>
      <c r="GM74" s="395"/>
      <c r="GN74" s="395"/>
      <c r="GO74" s="395"/>
      <c r="GP74" s="395"/>
      <c r="GQ74" s="395"/>
      <c r="GR74" s="395"/>
      <c r="GS74" s="395"/>
      <c r="GT74" s="395"/>
      <c r="GU74" s="395"/>
      <c r="GV74" s="395"/>
      <c r="GW74" s="395"/>
      <c r="GX74" s="395"/>
      <c r="GY74" s="395"/>
      <c r="GZ74" s="395"/>
      <c r="HA74" s="395"/>
      <c r="HB74" s="395"/>
      <c r="HC74" s="395"/>
      <c r="HD74" s="395"/>
      <c r="HE74" s="395"/>
      <c r="HF74" s="395"/>
      <c r="HG74" s="395"/>
      <c r="HH74" s="395"/>
      <c r="HI74" s="395"/>
      <c r="HJ74" s="395"/>
      <c r="HK74" s="395"/>
      <c r="HL74" s="395"/>
      <c r="HM74" s="395"/>
      <c r="HN74" s="395"/>
      <c r="HO74" s="395"/>
      <c r="HP74" s="395"/>
      <c r="HQ74" s="395"/>
      <c r="HR74" s="395"/>
    </row>
    <row r="75" spans="1:226" s="866" customFormat="1" ht="13.95" customHeight="1" x14ac:dyDescent="0.25">
      <c r="A75" s="348" t="s">
        <v>1038</v>
      </c>
      <c r="B75" s="1274">
        <f>'1 - Multiple Buildings Details'!B24</f>
        <v>0</v>
      </c>
      <c r="C75" s="1771"/>
      <c r="D75" s="2095"/>
      <c r="E75" s="1635"/>
      <c r="F75" s="368" t="str">
        <f ca="1">IFERROR(SUMIF(MD_Laundry_Index,$B75,OFFSET(MD_Laundry_Index,0,MATCH($H$58,MD_Laundry_Hdr,0)-1,ROWS(MD_Laundry_Index),1))/$D75*1000/$C75+0.2*(IF(SI_IP_Units="IP",1,2.15)),"")</f>
        <v/>
      </c>
      <c r="G75" s="368" t="str">
        <f ca="1">IFERROR((SUMPRODUCT(OFFSET(MD_Laundry_Index,0,MATCH($H$58,MD_Laundry_Hdr,0)-1,ROWS(MD_Laundry_Index),1),OFFSET(MD_Laundry_Index,0,MATCH($J$58,MD_Laundry_Hdr,0)-1,ROWS(MD_Laundry_Index),1),--(MD_Laundry_Index=$B75))*1000/$C75+IF(SI_IP_Units="IP",0.2,0.2*10.76)*$D75*1)/(SUMIF(MD_Laundry_Index,$B75,(OFFSET(MD_Laundry_Index,0,MATCH($H$58,MD_Laundry_Hdr,0)-1,ROWS(MD_Laundry_Index),1)))*1000/$C75+IF(SI_IP_Units="IP",0.2,0.2*10.76)*$D75),"")</f>
        <v/>
      </c>
      <c r="H75" s="368" t="str">
        <f ca="1">IFERROR((SUMPRODUCT(OFFSET(MD_Laundry_Index,0,MATCH($H$58,MD_Laundry_Hdr,0)-1,ROWS(MD_Laundry_Index),1),OFFSET(MD_Laundry_Index,0,MATCH($K$58,MD_Laundry_Hdr,0)-1,ROWS(MD_Laundry_Index),1),--(MD_Laundry_Index=$B75))*1000/$C75+IF(SI_IP_Units="IP",0.2,0.2*10.76)*$D75*0)/(SUMIF(MD_Laundry_Index,$B75,(OFFSET(MD_Laundry_Index,0,MATCH($H$58,MD_Laundry_Hdr,0)-1,ROWS(MD_Laundry_Index),1)))*1000/$C75+IF(SI_IP_Units="IP",0.2,0.2*10.76)*$D75),"")</f>
        <v/>
      </c>
      <c r="I75" s="368" t="str">
        <f ca="1">IFERROR(SUMIF(MD_Laundry_Index,$B75,OFFSET(MD_Laundry_Index,0,MATCH($I$58,MD_Laundry_Hdr,0)-1,ROWS(MD_Laundry_Index),1))/$D75*1000/$C75+0.2*(IF(SI_IP_Units="IP",1,10.76)),"")</f>
        <v/>
      </c>
      <c r="J75" s="368" t="str">
        <f ca="1">IFERROR((SUMPRODUCT(OFFSET(MD_Laundry_Index,0,MATCH($I$58,MD_Laundry_Hdr,0)-1,ROWS(MD_Laundry_Index),1),OFFSET(MD_Laundry_Index,0,MATCH($J$58,MD_Laundry_Hdr,0)-1,ROWS(MD_Laundry_Index),1),--(MD_Laundry_Index=$B75))*1000/$C75+IF(SI_IP_Units="IP",0.2,0.2*10.76)*$D75*1)/(SUMIF(MD_Laundry_Index,$B75,(OFFSET(MD_Laundry_Index,0,MATCH($I$58,MD_Laundry_Hdr,0)-1,ROWS(MD_Laundry_Index),1)))*1000/$C75+IF(SI_IP_Units="IP",0.2,0.2*10.76)*$D75),"")</f>
        <v/>
      </c>
      <c r="K75" s="368" t="str">
        <f ca="1">IFERROR((SUMPRODUCT(OFFSET(MD_Laundry_Index,0,MATCH($I$58,MD_Laundry_Hdr,0)-1,ROWS(MD_Laundry_Index),1),OFFSET(MD_Laundry_Index,0,MATCH($K$58,MD_Laundry_Hdr,0)-1,ROWS(MD_Laundry_Index),1),--(MD_Laundry_Index=$B75))*1000/$C75+IF(SI_IP_Units="IP",0.2,0.2*10.76)*$D75*0)/(SUMIF(MD_Laundry_Index,$B75,(OFFSET(MD_Laundry_Index,0,MATCH($I$58,MD_Laundry_Hdr,0)-1,ROWS(MD_Laundry_Index),1)))*1000/$C75+IF(SI_IP_Units="IP",0.2,0.2*10.76)*$D75),"")</f>
        <v/>
      </c>
      <c r="L75" s="1635"/>
      <c r="M75" s="368" t="str">
        <f ca="1">IFERROR(SUMIF(MD_Laundry_Index,$B75,OFFSET(MD_Laundry_Index,0,MATCH($M$58,MD_Laundry_Hdr,0)-1,ROWS(MD_Laundry_Index),1))/$D75/$C75*IF(SI_IP_Units="IP",100000,1000),"")</f>
        <v/>
      </c>
      <c r="N75" s="368" t="str">
        <f ca="1">IFERROR(SUMPRODUCT(OFFSET(MD_Laundry_Index,0,MATCH($M$58,MD_Laundry_Hdr,0)-1,ROWS(MD_Laundry_Index),1),OFFSET(MD_Laundry_Index,0,MATCH($O$58,MD_Laundry_Hdr,0)-1,ROWS(MD_Laundry_Index),1),--(MD_Laundry_Index=$B75))/SUMIF(MD_Laundry_Index,$B75,OFFSET(MD_Laundry_Index,0,MATCH($M$58,MD_Laundry_Hdr,0)-1)),"")</f>
        <v/>
      </c>
      <c r="O75" s="368" t="str">
        <f ca="1">IFERROR(SUMPRODUCT(OFFSET(MD_Laundry_Index,0,MATCH($M$58,MD_Laundry_Hdr,0)-1,ROWS(MD_Laundry_Index),1),OFFSET(MD_Laundry_Index,0,MATCH($P$58,MD_Laundry_Hdr,0)-1,ROWS(MD_Laundry_Index),1),--(MD_Laundry_Index=$B75))/SUMIF(MD_Laundry_Index,$B75,OFFSET(MD_Laundry_Index,0,MATCH($M$58,MD_Laundry_Hdr,0)-1)),"")</f>
        <v/>
      </c>
      <c r="P75" s="368" t="str">
        <f ca="1">IFERROR(SUMIF(MD_Laundry_Index,$B75,OFFSET(MD_Laundry_Index,0,MATCH($N$58,MD_Laundry_Hdr,0)-1,ROWS(MD_Laundry_Index),1))/$D75/$C75*IF(SI_IP_Units="IP",100000,1000),"")</f>
        <v/>
      </c>
      <c r="Q75" s="368" t="str">
        <f ca="1">IFERROR(SUMPRODUCT(OFFSET(MD_Laundry_Index,0,MATCH($N$58,MD_Laundry_Hdr,0)-1,ROWS(MD_Laundry_Index),1),OFFSET(MD_Laundry_Index,0,MATCH($O$58,MD_Laundry_Hdr,0)-1,ROWS(MD_Laundry_Index),1),--(MD_Laundry_Index=$B75))/SUMIF(MD_Laundry_Index,$B75,OFFSET(MD_Laundry_Index,0,MATCH($N$58,MD_Laundry_Hdr,0)-1)),"")</f>
        <v/>
      </c>
      <c r="R75" s="368" t="str">
        <f ca="1">IFERROR(SUMPRODUCT(OFFSET(MD_Laundry_Index,0,MATCH($N$58,MD_Laundry_Hdr,0)-1,ROWS(MD_Laundry_Index),1),OFFSET(MD_Laundry_Index,0,MATCH($P$58,MD_Laundry_Hdr,0)-1,ROWS(MD_Laundry_Index),1),--(MD_Laundry_Index=$B75))/SUMIF(MD_Laundry_Index,$B75,OFFSET(MD_Laundry_Index,0,MATCH($N$58,MD_Laundry_Hdr,0)-1)),"")</f>
        <v/>
      </c>
      <c r="S75" s="1635"/>
      <c r="T75" s="2090">
        <f ca="1">IFERROR(SUMIF(MD_Laundry_Index,$B75,OFFSET(MD_Laundry_Index,0,MATCH($T$58,MD_Laundry_Hdr,0)-1,ROWS(MD_Laundry_Index),1)),"")</f>
        <v>0</v>
      </c>
      <c r="U75" s="2090">
        <f ca="1">IFERROR(SUMIF(MD_Laundry_Index,$B75,OFFSET(MD_Laundry_Index,0,MATCH($U$58,MD_Laundry_Hdr,0)-1,ROWS(MD_Laundry_Index),1)),"")</f>
        <v>0</v>
      </c>
      <c r="V75" s="1498"/>
      <c r="W75" s="395"/>
      <c r="X75" s="395"/>
      <c r="Y75" s="395"/>
      <c r="Z75" s="2142"/>
      <c r="AA75" s="395"/>
      <c r="AB75" s="395"/>
      <c r="AC75" s="395"/>
      <c r="AD75" s="395"/>
      <c r="AE75" s="395"/>
      <c r="AF75" s="395"/>
      <c r="AG75" s="395"/>
      <c r="AH75" s="395"/>
      <c r="AI75" s="395"/>
      <c r="AJ75" s="395"/>
      <c r="AK75" s="395"/>
      <c r="AL75" s="395"/>
      <c r="AM75" s="395"/>
      <c r="AN75" s="395"/>
      <c r="AO75" s="395"/>
      <c r="AP75" s="395"/>
      <c r="AQ75" s="395"/>
      <c r="AR75" s="395"/>
      <c r="AS75" s="395"/>
      <c r="AT75" s="395"/>
      <c r="AU75" s="395"/>
      <c r="AV75" s="395"/>
      <c r="AW75" s="395"/>
      <c r="AX75" s="395"/>
      <c r="AY75" s="395"/>
      <c r="AZ75" s="395"/>
      <c r="BA75" s="395"/>
      <c r="BB75" s="395"/>
      <c r="BC75" s="395"/>
      <c r="BD75" s="395"/>
      <c r="BE75" s="395"/>
      <c r="BF75" s="395"/>
      <c r="BG75" s="395"/>
      <c r="BH75" s="395"/>
      <c r="BI75" s="395"/>
      <c r="BJ75" s="395"/>
      <c r="BK75" s="395"/>
      <c r="BL75" s="395"/>
      <c r="BM75" s="395"/>
      <c r="BN75" s="395"/>
      <c r="BO75" s="395"/>
      <c r="BP75" s="395"/>
      <c r="BQ75" s="395"/>
      <c r="BR75" s="395"/>
      <c r="BS75" s="395"/>
      <c r="BT75" s="395"/>
      <c r="BU75" s="395"/>
      <c r="BV75" s="395"/>
      <c r="BW75" s="395"/>
      <c r="BX75" s="395"/>
      <c r="BY75" s="395"/>
      <c r="BZ75" s="395"/>
      <c r="CA75" s="395"/>
      <c r="CB75" s="395"/>
      <c r="CC75" s="395"/>
      <c r="CD75" s="395"/>
      <c r="CE75" s="395"/>
      <c r="CF75" s="395"/>
      <c r="CG75" s="395"/>
      <c r="CH75" s="395"/>
      <c r="CI75" s="395"/>
      <c r="CJ75" s="395"/>
      <c r="CK75" s="395"/>
      <c r="CL75" s="395"/>
      <c r="CM75" s="395"/>
      <c r="CN75" s="395"/>
      <c r="CO75" s="395"/>
      <c r="CP75" s="395"/>
      <c r="CQ75" s="395"/>
      <c r="CR75" s="395"/>
      <c r="CS75" s="395"/>
      <c r="CT75" s="395"/>
      <c r="CU75" s="395"/>
      <c r="CV75" s="395"/>
      <c r="CW75" s="395"/>
      <c r="CX75" s="395"/>
      <c r="CY75" s="395"/>
      <c r="CZ75" s="395"/>
      <c r="DA75" s="395"/>
      <c r="DB75" s="395"/>
      <c r="DC75" s="395"/>
      <c r="DD75" s="395"/>
      <c r="DE75" s="395"/>
      <c r="DF75" s="395"/>
      <c r="DG75" s="395"/>
      <c r="DH75" s="395"/>
      <c r="DI75" s="395"/>
      <c r="DJ75" s="395"/>
      <c r="DK75" s="395"/>
      <c r="DL75" s="395"/>
      <c r="DM75" s="395"/>
      <c r="DN75" s="395"/>
      <c r="DO75" s="395"/>
      <c r="DP75" s="395"/>
      <c r="DQ75" s="395"/>
      <c r="DR75" s="395"/>
      <c r="DS75" s="395"/>
      <c r="DT75" s="395"/>
      <c r="DU75" s="395"/>
      <c r="DV75" s="395"/>
      <c r="DW75" s="395"/>
      <c r="DX75" s="395"/>
      <c r="DY75" s="395"/>
      <c r="DZ75" s="395"/>
      <c r="EA75" s="395"/>
      <c r="EB75" s="395"/>
      <c r="EC75" s="395"/>
      <c r="ED75" s="395"/>
      <c r="EE75" s="395"/>
      <c r="EF75" s="395"/>
      <c r="EG75" s="395"/>
      <c r="EH75" s="395"/>
      <c r="EI75" s="395"/>
      <c r="EJ75" s="395"/>
      <c r="EK75" s="395"/>
      <c r="EL75" s="395"/>
      <c r="EM75" s="395"/>
      <c r="EN75" s="395"/>
      <c r="EO75" s="395"/>
      <c r="EP75" s="395"/>
      <c r="EQ75" s="395"/>
      <c r="ER75" s="395"/>
      <c r="ES75" s="395"/>
      <c r="ET75" s="395"/>
      <c r="EU75" s="395"/>
      <c r="EV75" s="395"/>
      <c r="EW75" s="395"/>
      <c r="EX75" s="395"/>
      <c r="EY75" s="395"/>
      <c r="EZ75" s="395"/>
      <c r="FA75" s="395"/>
      <c r="FB75" s="395"/>
      <c r="FC75" s="395"/>
      <c r="FD75" s="395"/>
      <c r="FE75" s="395"/>
      <c r="FF75" s="395"/>
      <c r="FG75" s="395"/>
      <c r="FH75" s="395"/>
      <c r="FI75" s="395"/>
      <c r="FJ75" s="395"/>
      <c r="FK75" s="395"/>
      <c r="FL75" s="395"/>
      <c r="FM75" s="395"/>
      <c r="FN75" s="395"/>
      <c r="FO75" s="395"/>
      <c r="FP75" s="395"/>
      <c r="FQ75" s="395"/>
      <c r="FR75" s="395"/>
      <c r="FS75" s="395"/>
      <c r="FT75" s="395"/>
      <c r="FU75" s="395"/>
      <c r="FV75" s="395"/>
      <c r="FW75" s="395"/>
      <c r="FX75" s="395"/>
      <c r="FY75" s="395"/>
      <c r="FZ75" s="395"/>
      <c r="GA75" s="395"/>
      <c r="GB75" s="395"/>
      <c r="GC75" s="395"/>
      <c r="GD75" s="395"/>
      <c r="GE75" s="395"/>
      <c r="GF75" s="395"/>
      <c r="GG75" s="395"/>
      <c r="GH75" s="395"/>
      <c r="GI75" s="395"/>
      <c r="GJ75" s="395"/>
      <c r="GK75" s="395"/>
      <c r="GL75" s="395"/>
      <c r="GM75" s="395"/>
      <c r="GN75" s="395"/>
      <c r="GO75" s="395"/>
      <c r="GP75" s="395"/>
      <c r="GQ75" s="395"/>
      <c r="GR75" s="395"/>
      <c r="GS75" s="395"/>
      <c r="GT75" s="395"/>
      <c r="GU75" s="395"/>
      <c r="GV75" s="395"/>
      <c r="GW75" s="395"/>
      <c r="GX75" s="395"/>
      <c r="GY75" s="395"/>
      <c r="GZ75" s="395"/>
      <c r="HA75" s="395"/>
      <c r="HB75" s="395"/>
      <c r="HC75" s="395"/>
      <c r="HD75" s="395"/>
      <c r="HE75" s="395"/>
      <c r="HF75" s="395"/>
      <c r="HG75" s="395"/>
      <c r="HH75" s="395"/>
      <c r="HI75" s="395"/>
      <c r="HJ75" s="395"/>
      <c r="HK75" s="395"/>
      <c r="HL75" s="395"/>
      <c r="HM75" s="395"/>
      <c r="HN75" s="395"/>
      <c r="HO75" s="395"/>
      <c r="HP75" s="395"/>
      <c r="HQ75" s="395"/>
      <c r="HR75" s="395"/>
    </row>
    <row r="76" spans="1:226" s="866" customFormat="1" hidden="1" x14ac:dyDescent="0.25">
      <c r="A76" s="348" t="s">
        <v>804</v>
      </c>
      <c r="B76" s="1274">
        <f>'1 - Multiple Buildings Details'!B24</f>
        <v>0</v>
      </c>
      <c r="C76" s="1664"/>
      <c r="D76" s="1664"/>
      <c r="E76" s="1635"/>
      <c r="F76" s="368" t="str">
        <f ca="1">IFERROR(SUMIF(MD_Laundry_Index,$B76,OFFSET(MD_Laundry_Index,0,MATCH($H$58,MD_Laundry_Hdr,0)-1,ROWS(MD_Laundry_Index),1))/$D76*1000/$C76+0.2*(IF(SI_IP_Units="IP",1,2.15)),"")</f>
        <v/>
      </c>
      <c r="G76" s="368" t="str">
        <f ca="1">IFERROR((SUMPRODUCT(OFFSET(MD_Laundry_Index,0,MATCH($H$58,MD_Laundry_Hdr,0)-1,ROWS(MD_Laundry_Index),1),OFFSET(MD_Laundry_Index,0,MATCH($J$58,MD_Laundry_Hdr,0)-1,ROWS(MD_Laundry_Index),1),--(MD_Laundry_Index=$B76))*1000/$C76+IF(SI_IP_Units="IP",0.2,0.2*10.76)*$D76*1)/(SUMIF(MD_Laundry_Index,$B76,(OFFSET(MD_Laundry_Index,0,MATCH($H$58,MD_Laundry_Hdr,0)-1,ROWS(MD_Laundry_Index),1)))*1000/$C76+IF(SI_IP_Units="IP",0.2,0.2*10.76)*$D76),"")</f>
        <v/>
      </c>
      <c r="H76" s="368" t="str">
        <f ca="1">IFERROR((SUMPRODUCT(OFFSET(MD_Laundry_Index,0,MATCH($H$58,MD_Laundry_Hdr,0)-1,ROWS(MD_Laundry_Index),1),OFFSET(MD_Laundry_Index,0,MATCH($K$58,MD_Laundry_Hdr,0)-1,ROWS(MD_Laundry_Index),1),--(MD_Laundry_Index=$B76))*1000/$C76+IF(SI_IP_Units="IP",0.2,0.2*10.76)*$D76*0)/(SUMIF(MD_Laundry_Index,$B76,(OFFSET(MD_Laundry_Index,0,MATCH($H$58,MD_Laundry_Hdr,0)-1,ROWS(MD_Laundry_Index),1)))*1000/$C76+IF(SI_IP_Units="IP",0.2,0.2*10.76)*$D76),"")</f>
        <v/>
      </c>
      <c r="I76" s="368" t="str">
        <f ca="1">IFERROR(SUMIF(MD_Laundry_Index,$B76,OFFSET(MD_Laundry_Index,0,MATCH($I$58,MD_Laundry_Hdr,0)-1,ROWS(MD_Laundry_Index),1))/$D76*1000/$C76+0.2*(IF(SI_IP_Units="IP",1,10.76)),"")</f>
        <v/>
      </c>
      <c r="J76" s="368" t="str">
        <f ca="1">IFERROR((SUMPRODUCT(OFFSET(MD_Laundry_Index,0,MATCH($I$58,MD_Laundry_Hdr,0)-1,ROWS(MD_Laundry_Index),1),OFFSET(MD_Laundry_Index,0,MATCH($J$58,MD_Laundry_Hdr,0)-1,ROWS(MD_Laundry_Index),1),--(MD_Laundry_Index=$B76))*1000/$C76+IF(SI_IP_Units="IP",0.2,0.2*10.76)*$D76*1)/(SUMIF(MD_Laundry_Index,$B76,(OFFSET(MD_Laundry_Index,0,MATCH($I$58,MD_Laundry_Hdr,0)-1,ROWS(MD_Laundry_Index),1)))*1000/$C76+IF(SI_IP_Units="IP",0.2,0.2*10.76)*$D76),"")</f>
        <v/>
      </c>
      <c r="K76" s="368" t="str">
        <f ca="1">IFERROR((SUMPRODUCT(OFFSET(MD_Laundry_Index,0,MATCH($I$58,MD_Laundry_Hdr,0)-1,ROWS(MD_Laundry_Index),1),OFFSET(MD_Laundry_Index,0,MATCH($K$58,MD_Laundry_Hdr,0)-1,ROWS(MD_Laundry_Index),1),--(MD_Laundry_Index=$B76))*1000/$C76+IF(SI_IP_Units="IP",0.2,0.2*10.76)*$D76*0)/(SUMIF(MD_Laundry_Index,$B76,(OFFSET(MD_Laundry_Index,0,MATCH($I$58,MD_Laundry_Hdr,0)-1,ROWS(MD_Laundry_Index),1)))*1000/$C76+IF(SI_IP_Units="IP",0.2,0.2*10.76)*$D76),"")</f>
        <v/>
      </c>
      <c r="L76" s="1635"/>
      <c r="M76" s="368" t="str">
        <f ca="1">IFERROR(SUMIF(MD_Laundry_Index,$B76,OFFSET(MD_Laundry_Index,0,MATCH($M$58,MD_Laundry_Hdr,0)-1,ROWS(MD_Laundry_Index),1))/$D76/$C76*IF(SI_IP_Units="IP",100000,1000),"")</f>
        <v/>
      </c>
      <c r="N76" s="368" t="str">
        <f ca="1">IFERROR(SUMPRODUCT(OFFSET(MD_Laundry_Index,0,MATCH($M$58,MD_Laundry_Hdr,0)-1,ROWS(MD_Laundry_Index),1),OFFSET(MD_Laundry_Index,0,MATCH($O$58,MD_Laundry_Hdr,0)-1,ROWS(MD_Laundry_Index),1),--(MD_Laundry_Index=$B76))/SUMIF(MD_Laundry_Index,$B76,OFFSET(MD_Laundry_Index,0,MATCH($M$58,MD_Laundry_Hdr,0)-1)),"")</f>
        <v/>
      </c>
      <c r="O76" s="368" t="str">
        <f ca="1">IFERROR(SUMPRODUCT(OFFSET(MD_Laundry_Index,0,MATCH($M$58,MD_Laundry_Hdr,0)-1,ROWS(MD_Laundry_Index),1),OFFSET(MD_Laundry_Index,0,MATCH($P$58,MD_Laundry_Hdr,0)-1,ROWS(MD_Laundry_Index),1),--(MD_Laundry_Index=$B76))/SUMIF(MD_Laundry_Index,$B76,OFFSET(MD_Laundry_Index,0,MATCH($M$58,MD_Laundry_Hdr,0)-1)),"")</f>
        <v/>
      </c>
      <c r="P76" s="368" t="str">
        <f ca="1">IFERROR(SUMIF(MD_Laundry_Index,$B76,OFFSET(MD_Laundry_Index,0,MATCH($N$58,MD_Laundry_Hdr,0)-1,ROWS(MD_Laundry_Index),1))/$D76/$C76*IF(SI_IP_Units="IP",100000,1000),"")</f>
        <v/>
      </c>
      <c r="Q76" s="368" t="str">
        <f ca="1">IFERROR(SUMPRODUCT(OFFSET(MD_Laundry_Index,0,MATCH($N$58,MD_Laundry_Hdr,0)-1,ROWS(MD_Laundry_Index),1),OFFSET(MD_Laundry_Index,0,MATCH($O$58,MD_Laundry_Hdr,0)-1,ROWS(MD_Laundry_Index),1),--(MD_Laundry_Index=$B76))/SUMIF(MD_Laundry_Index,$B76,OFFSET(MD_Laundry_Index,0,MATCH($N$58,MD_Laundry_Hdr,0)-1)),"")</f>
        <v/>
      </c>
      <c r="R76" s="368" t="str">
        <f ca="1">IFERROR(SUMPRODUCT(OFFSET(MD_Laundry_Index,0,MATCH($N$58,MD_Laundry_Hdr,0)-1,ROWS(MD_Laundry_Index),1),OFFSET(MD_Laundry_Index,0,MATCH($P$58,MD_Laundry_Hdr,0)-1,ROWS(MD_Laundry_Index),1),--(MD_Laundry_Index=$B76))/SUMIF(MD_Laundry_Index,$B76,OFFSET(MD_Laundry_Index,0,MATCH($N$58,MD_Laundry_Hdr,0)-1)),"")</f>
        <v/>
      </c>
      <c r="S76" s="1635"/>
      <c r="T76" s="2090">
        <f ca="1">IFERROR(SUMIF(MD_Laundry_Index,$B76,OFFSET(MD_Laundry_Index,0,MATCH($T$58,MD_Laundry_Hdr,0)-1,ROWS(MD_Laundry_Index),1)),"")</f>
        <v>0</v>
      </c>
      <c r="U76" s="2090">
        <f ca="1">IFERROR(SUMIF(MD_Laundry_Index,$B76,OFFSET(MD_Laundry_Index,0,MATCH($U$58,MD_Laundry_Hdr,0)-1,ROWS(MD_Laundry_Index),1)),"")</f>
        <v>0</v>
      </c>
      <c r="V76" s="1498"/>
      <c r="W76" s="395"/>
      <c r="X76" s="395"/>
      <c r="Y76" s="395"/>
      <c r="Z76" s="2142"/>
      <c r="AA76" s="395"/>
      <c r="AB76" s="395"/>
      <c r="AC76" s="395"/>
      <c r="AD76" s="395"/>
      <c r="AE76" s="395"/>
      <c r="AF76" s="395"/>
      <c r="AG76" s="395"/>
      <c r="AH76" s="395"/>
      <c r="AI76" s="395"/>
      <c r="AJ76" s="395"/>
      <c r="AK76" s="395"/>
      <c r="AL76" s="395"/>
      <c r="AM76" s="395"/>
      <c r="AN76" s="395"/>
      <c r="AO76" s="395"/>
      <c r="AP76" s="395"/>
      <c r="AQ76" s="395"/>
      <c r="AR76" s="395"/>
      <c r="AS76" s="395"/>
      <c r="AT76" s="395"/>
      <c r="AU76" s="395"/>
      <c r="AV76" s="395"/>
      <c r="AW76" s="395"/>
      <c r="AX76" s="395"/>
      <c r="AY76" s="395"/>
      <c r="AZ76" s="395"/>
      <c r="BA76" s="395"/>
      <c r="BB76" s="395"/>
      <c r="BC76" s="395"/>
      <c r="BD76" s="395"/>
      <c r="BE76" s="395"/>
      <c r="BF76" s="395"/>
      <c r="BG76" s="395"/>
      <c r="BH76" s="395"/>
      <c r="BI76" s="395"/>
      <c r="BJ76" s="395"/>
      <c r="BK76" s="395"/>
      <c r="BL76" s="395"/>
      <c r="BM76" s="395"/>
      <c r="BN76" s="395"/>
      <c r="BO76" s="395"/>
      <c r="BP76" s="395"/>
      <c r="BQ76" s="395"/>
      <c r="BR76" s="395"/>
      <c r="BS76" s="395"/>
      <c r="BT76" s="395"/>
      <c r="BU76" s="395"/>
      <c r="BV76" s="395"/>
      <c r="BW76" s="395"/>
      <c r="BX76" s="395"/>
      <c r="BY76" s="395"/>
      <c r="BZ76" s="395"/>
      <c r="CA76" s="395"/>
      <c r="CB76" s="395"/>
      <c r="CC76" s="395"/>
      <c r="CD76" s="395"/>
      <c r="CE76" s="395"/>
      <c r="CF76" s="395"/>
      <c r="CG76" s="395"/>
      <c r="CH76" s="395"/>
      <c r="CI76" s="395"/>
      <c r="CJ76" s="395"/>
      <c r="CK76" s="395"/>
      <c r="CL76" s="395"/>
      <c r="CM76" s="395"/>
      <c r="CN76" s="395"/>
      <c r="CO76" s="395"/>
      <c r="CP76" s="395"/>
      <c r="CQ76" s="395"/>
      <c r="CR76" s="395"/>
      <c r="CS76" s="395"/>
      <c r="CT76" s="395"/>
      <c r="CU76" s="395"/>
      <c r="CV76" s="395"/>
      <c r="CW76" s="395"/>
      <c r="CX76" s="395"/>
      <c r="CY76" s="395"/>
      <c r="CZ76" s="395"/>
      <c r="DA76" s="395"/>
      <c r="DB76" s="395"/>
      <c r="DC76" s="395"/>
      <c r="DD76" s="395"/>
      <c r="DE76" s="395"/>
      <c r="DF76" s="395"/>
      <c r="DG76" s="395"/>
      <c r="DH76" s="395"/>
      <c r="DI76" s="395"/>
      <c r="DJ76" s="395"/>
      <c r="DK76" s="395"/>
      <c r="DL76" s="395"/>
      <c r="DM76" s="395"/>
      <c r="DN76" s="395"/>
      <c r="DO76" s="395"/>
      <c r="DP76" s="395"/>
      <c r="DQ76" s="395"/>
      <c r="DR76" s="395"/>
      <c r="DS76" s="395"/>
      <c r="DT76" s="395"/>
      <c r="DU76" s="395"/>
      <c r="DV76" s="395"/>
      <c r="DW76" s="395"/>
      <c r="DX76" s="395"/>
      <c r="DY76" s="395"/>
      <c r="DZ76" s="395"/>
      <c r="EA76" s="395"/>
      <c r="EB76" s="395"/>
      <c r="EC76" s="395"/>
      <c r="ED76" s="395"/>
      <c r="EE76" s="395"/>
      <c r="EF76" s="395"/>
      <c r="EG76" s="395"/>
      <c r="EH76" s="395"/>
      <c r="EI76" s="395"/>
      <c r="EJ76" s="395"/>
      <c r="EK76" s="395"/>
      <c r="EL76" s="395"/>
      <c r="EM76" s="395"/>
      <c r="EN76" s="395"/>
      <c r="EO76" s="395"/>
      <c r="EP76" s="395"/>
      <c r="EQ76" s="395"/>
      <c r="ER76" s="395"/>
      <c r="ES76" s="395"/>
      <c r="ET76" s="395"/>
      <c r="EU76" s="395"/>
      <c r="EV76" s="395"/>
      <c r="EW76" s="395"/>
      <c r="EX76" s="395"/>
      <c r="EY76" s="395"/>
      <c r="EZ76" s="395"/>
      <c r="FA76" s="395"/>
      <c r="FB76" s="395"/>
      <c r="FC76" s="395"/>
      <c r="FD76" s="395"/>
      <c r="FE76" s="395"/>
      <c r="FF76" s="395"/>
      <c r="FG76" s="395"/>
      <c r="FH76" s="395"/>
      <c r="FI76" s="395"/>
      <c r="FJ76" s="395"/>
      <c r="FK76" s="395"/>
      <c r="FL76" s="395"/>
      <c r="FM76" s="395"/>
      <c r="FN76" s="395"/>
      <c r="FO76" s="395"/>
      <c r="FP76" s="395"/>
      <c r="FQ76" s="395"/>
      <c r="FR76" s="395"/>
      <c r="FS76" s="395"/>
      <c r="FT76" s="395"/>
      <c r="FU76" s="395"/>
      <c r="FV76" s="395"/>
      <c r="FW76" s="395"/>
      <c r="FX76" s="395"/>
      <c r="FY76" s="395"/>
      <c r="FZ76" s="395"/>
      <c r="GA76" s="395"/>
      <c r="GB76" s="395"/>
      <c r="GC76" s="395"/>
      <c r="GD76" s="395"/>
      <c r="GE76" s="395"/>
      <c r="GF76" s="395"/>
      <c r="GG76" s="395"/>
      <c r="GH76" s="395"/>
      <c r="GI76" s="395"/>
      <c r="GJ76" s="395"/>
      <c r="GK76" s="395"/>
      <c r="GL76" s="395"/>
      <c r="GM76" s="395"/>
      <c r="GN76" s="395"/>
      <c r="GO76" s="395"/>
      <c r="GP76" s="395"/>
      <c r="GQ76" s="395"/>
      <c r="GR76" s="395"/>
      <c r="GS76" s="395"/>
      <c r="GT76" s="395"/>
      <c r="GU76" s="395"/>
      <c r="GV76" s="395"/>
      <c r="GW76" s="395"/>
      <c r="GX76" s="395"/>
      <c r="GY76" s="395"/>
      <c r="GZ76" s="395"/>
      <c r="HA76" s="395"/>
      <c r="HB76" s="395"/>
      <c r="HC76" s="395"/>
      <c r="HD76" s="395"/>
      <c r="HE76" s="395"/>
      <c r="HF76" s="395"/>
      <c r="HG76" s="395"/>
      <c r="HH76" s="395"/>
      <c r="HI76" s="395"/>
      <c r="HJ76" s="395"/>
      <c r="HK76" s="395"/>
      <c r="HL76" s="395"/>
      <c r="HM76" s="395"/>
      <c r="HN76" s="395"/>
      <c r="HO76" s="395"/>
      <c r="HP76" s="395"/>
      <c r="HQ76" s="395"/>
      <c r="HR76" s="395"/>
    </row>
    <row r="77" spans="1:226" s="866" customFormat="1" x14ac:dyDescent="0.25">
      <c r="A77" s="348" t="s">
        <v>1038</v>
      </c>
      <c r="B77" s="395"/>
      <c r="C77" s="395"/>
      <c r="D77" s="395"/>
      <c r="E77" s="395"/>
      <c r="F77" s="395"/>
      <c r="G77" s="395"/>
      <c r="H77" s="395"/>
      <c r="I77" s="395"/>
      <c r="J77" s="395"/>
      <c r="K77" s="395"/>
      <c r="L77" s="395"/>
      <c r="M77" s="395"/>
      <c r="N77" s="395"/>
      <c r="O77" s="395"/>
      <c r="P77" s="395"/>
      <c r="Q77" s="395"/>
      <c r="R77" s="395"/>
      <c r="S77" s="395"/>
      <c r="T77" s="395"/>
      <c r="U77" s="395"/>
      <c r="V77" s="1608"/>
      <c r="W77" s="395"/>
      <c r="X77" s="395"/>
      <c r="Y77" s="395"/>
      <c r="Z77" s="2140"/>
      <c r="AA77" s="395"/>
      <c r="AB77" s="395"/>
      <c r="AC77" s="395"/>
      <c r="AD77" s="395"/>
      <c r="AE77" s="395"/>
      <c r="AF77" s="395"/>
      <c r="AG77" s="395"/>
      <c r="AH77" s="395"/>
      <c r="AI77" s="395"/>
      <c r="AJ77" s="395"/>
      <c r="AK77" s="395"/>
      <c r="AL77" s="395"/>
      <c r="AM77" s="395"/>
      <c r="AN77" s="395"/>
      <c r="AO77" s="395"/>
      <c r="AP77" s="395"/>
      <c r="AQ77" s="395"/>
      <c r="AR77" s="395"/>
      <c r="AS77" s="395"/>
      <c r="AT77" s="395"/>
      <c r="AU77" s="395"/>
      <c r="AV77" s="395"/>
      <c r="AW77" s="395"/>
      <c r="AX77" s="395"/>
      <c r="AY77" s="395"/>
      <c r="AZ77" s="395"/>
      <c r="BA77" s="395"/>
      <c r="BB77" s="395"/>
      <c r="BC77" s="395"/>
      <c r="BD77" s="395"/>
      <c r="BE77" s="395"/>
      <c r="BF77" s="395"/>
      <c r="BG77" s="395"/>
      <c r="BH77" s="395"/>
      <c r="BI77" s="395"/>
      <c r="BJ77" s="395"/>
      <c r="BK77" s="395"/>
      <c r="BL77" s="395"/>
      <c r="BM77" s="395"/>
      <c r="BN77" s="395"/>
      <c r="BO77" s="395"/>
      <c r="BP77" s="395"/>
      <c r="BQ77" s="395"/>
      <c r="BR77" s="395"/>
      <c r="BS77" s="395"/>
      <c r="BT77" s="395"/>
      <c r="BU77" s="395"/>
      <c r="BV77" s="395"/>
      <c r="BW77" s="395"/>
      <c r="BX77" s="395"/>
      <c r="BY77" s="395"/>
      <c r="BZ77" s="395"/>
      <c r="CA77" s="395"/>
      <c r="CB77" s="395"/>
      <c r="CC77" s="395"/>
      <c r="CD77" s="395"/>
      <c r="CE77" s="395"/>
      <c r="CF77" s="395"/>
      <c r="CG77" s="395"/>
      <c r="CH77" s="395"/>
      <c r="CI77" s="395"/>
      <c r="CJ77" s="395"/>
      <c r="CK77" s="395"/>
      <c r="CL77" s="395"/>
      <c r="CM77" s="395"/>
      <c r="CN77" s="395"/>
      <c r="CO77" s="395"/>
      <c r="CP77" s="395"/>
      <c r="CQ77" s="395"/>
      <c r="CR77" s="395"/>
      <c r="CS77" s="395"/>
      <c r="CT77" s="395"/>
      <c r="CU77" s="395"/>
      <c r="CV77" s="395"/>
      <c r="CW77" s="395"/>
      <c r="CX77" s="395"/>
      <c r="CY77" s="395"/>
      <c r="CZ77" s="395"/>
      <c r="DA77" s="395"/>
      <c r="DB77" s="395"/>
      <c r="DC77" s="395"/>
      <c r="DD77" s="395"/>
      <c r="DE77" s="395"/>
      <c r="DF77" s="395"/>
      <c r="DG77" s="395"/>
      <c r="DH77" s="395"/>
      <c r="DI77" s="395"/>
      <c r="DJ77" s="395"/>
      <c r="DK77" s="395"/>
      <c r="DL77" s="395"/>
      <c r="DM77" s="395"/>
      <c r="DN77" s="395"/>
      <c r="DO77" s="395"/>
      <c r="DP77" s="395"/>
      <c r="DQ77" s="395"/>
      <c r="DR77" s="395"/>
      <c r="DS77" s="395"/>
      <c r="DT77" s="395"/>
      <c r="DU77" s="395"/>
      <c r="DV77" s="395"/>
      <c r="DW77" s="395"/>
      <c r="DX77" s="395"/>
      <c r="DY77" s="395"/>
      <c r="DZ77" s="395"/>
      <c r="EA77" s="395"/>
      <c r="EB77" s="395"/>
      <c r="EC77" s="395"/>
      <c r="ED77" s="395"/>
      <c r="EE77" s="395"/>
      <c r="EF77" s="395"/>
      <c r="EG77" s="395"/>
      <c r="EH77" s="395"/>
      <c r="EI77" s="395"/>
      <c r="EJ77" s="395"/>
      <c r="EK77" s="395"/>
      <c r="EL77" s="395"/>
      <c r="EM77" s="395"/>
      <c r="EN77" s="395"/>
      <c r="EO77" s="395"/>
      <c r="EP77" s="395"/>
      <c r="EQ77" s="395"/>
      <c r="ER77" s="395"/>
      <c r="ES77" s="395"/>
      <c r="ET77" s="395"/>
      <c r="EU77" s="395"/>
      <c r="EV77" s="395"/>
      <c r="EW77" s="395"/>
      <c r="EX77" s="395"/>
      <c r="EY77" s="395"/>
      <c r="EZ77" s="395"/>
      <c r="FA77" s="395"/>
      <c r="FB77" s="395"/>
      <c r="FC77" s="395"/>
      <c r="FD77" s="395"/>
      <c r="FE77" s="395"/>
      <c r="FF77" s="395"/>
      <c r="FG77" s="395"/>
      <c r="FH77" s="395"/>
      <c r="FI77" s="395"/>
      <c r="FJ77" s="395"/>
      <c r="FK77" s="395"/>
      <c r="FL77" s="395"/>
      <c r="FM77" s="395"/>
      <c r="FN77" s="395"/>
      <c r="FO77" s="395"/>
      <c r="FP77" s="395"/>
      <c r="FQ77" s="395"/>
      <c r="FR77" s="395"/>
      <c r="FS77" s="395"/>
      <c r="FT77" s="395"/>
      <c r="FU77" s="395"/>
      <c r="FV77" s="395"/>
      <c r="FW77" s="395"/>
      <c r="FX77" s="395"/>
      <c r="FY77" s="395"/>
      <c r="FZ77" s="395"/>
      <c r="GA77" s="395"/>
      <c r="GB77" s="395"/>
      <c r="GC77" s="395"/>
      <c r="GD77" s="395"/>
      <c r="GE77" s="395"/>
      <c r="GF77" s="395"/>
      <c r="GG77" s="395"/>
      <c r="GH77" s="395"/>
      <c r="GI77" s="395"/>
      <c r="GJ77" s="395"/>
      <c r="GK77" s="395"/>
      <c r="GL77" s="395"/>
      <c r="GM77" s="395"/>
      <c r="GN77" s="395"/>
      <c r="GO77" s="395"/>
      <c r="GP77" s="395"/>
      <c r="GQ77" s="395"/>
      <c r="GR77" s="395"/>
      <c r="GS77" s="395"/>
      <c r="GT77" s="395"/>
      <c r="GU77" s="395"/>
      <c r="GV77" s="395"/>
      <c r="GW77" s="395"/>
      <c r="GX77" s="395"/>
      <c r="GY77" s="395"/>
      <c r="GZ77" s="395"/>
      <c r="HA77" s="395"/>
      <c r="HB77" s="395"/>
      <c r="HC77" s="395"/>
      <c r="HD77" s="395"/>
      <c r="HE77" s="395"/>
      <c r="HF77" s="395"/>
      <c r="HG77" s="395"/>
      <c r="HH77" s="395"/>
      <c r="HI77" s="395"/>
      <c r="HJ77" s="395"/>
      <c r="HK77" s="395"/>
      <c r="HL77" s="395"/>
      <c r="HM77" s="395"/>
      <c r="HN77" s="395"/>
      <c r="HO77" s="395"/>
      <c r="HP77" s="395"/>
      <c r="HQ77" s="395"/>
      <c r="HR77" s="395"/>
    </row>
    <row r="78" spans="1:226" s="866" customFormat="1" x14ac:dyDescent="0.25">
      <c r="A78" s="348" t="s">
        <v>1038</v>
      </c>
      <c r="B78" s="395"/>
      <c r="C78" s="395"/>
      <c r="D78" s="395"/>
      <c r="E78" s="395"/>
      <c r="F78" s="395"/>
      <c r="G78" s="395"/>
      <c r="H78" s="395"/>
      <c r="I78" s="395"/>
      <c r="J78" s="395"/>
      <c r="K78" s="395"/>
      <c r="L78" s="395"/>
      <c r="M78" s="395"/>
      <c r="N78" s="395"/>
      <c r="O78" s="395"/>
      <c r="P78" s="395"/>
      <c r="Q78" s="395"/>
      <c r="R78" s="395"/>
      <c r="S78" s="395"/>
      <c r="T78" s="395"/>
      <c r="U78" s="395"/>
      <c r="V78" s="1608"/>
      <c r="W78" s="395"/>
      <c r="X78" s="395"/>
      <c r="Y78" s="395"/>
      <c r="Z78" s="2140"/>
      <c r="AA78" s="395"/>
      <c r="AB78" s="395"/>
      <c r="AC78" s="395"/>
      <c r="AD78" s="395"/>
      <c r="AE78" s="395"/>
      <c r="AF78" s="395"/>
      <c r="AG78" s="395"/>
      <c r="AH78" s="395"/>
      <c r="AI78" s="395"/>
      <c r="AJ78" s="395"/>
      <c r="AK78" s="395"/>
      <c r="AL78" s="395"/>
      <c r="AM78" s="395"/>
      <c r="AN78" s="395"/>
      <c r="AO78" s="395"/>
      <c r="AP78" s="395"/>
      <c r="AQ78" s="395"/>
      <c r="AR78" s="395"/>
      <c r="AS78" s="395"/>
      <c r="AT78" s="395"/>
      <c r="AU78" s="395"/>
      <c r="AV78" s="395"/>
      <c r="AW78" s="395"/>
      <c r="AX78" s="395"/>
      <c r="AY78" s="395"/>
      <c r="AZ78" s="395"/>
      <c r="BA78" s="395"/>
      <c r="BB78" s="395"/>
      <c r="BC78" s="395"/>
      <c r="BD78" s="395"/>
      <c r="BE78" s="395"/>
      <c r="BF78" s="395"/>
      <c r="BG78" s="395"/>
      <c r="BH78" s="395"/>
      <c r="BI78" s="395"/>
      <c r="BJ78" s="395"/>
      <c r="BK78" s="395"/>
      <c r="BL78" s="395"/>
      <c r="BM78" s="395"/>
      <c r="BN78" s="395"/>
      <c r="BO78" s="395"/>
      <c r="BP78" s="395"/>
      <c r="BQ78" s="395"/>
      <c r="BR78" s="395"/>
      <c r="BS78" s="395"/>
      <c r="BT78" s="395"/>
      <c r="BU78" s="395"/>
      <c r="BV78" s="395"/>
      <c r="BW78" s="395"/>
      <c r="BX78" s="395"/>
      <c r="BY78" s="395"/>
      <c r="BZ78" s="395"/>
      <c r="CA78" s="395"/>
      <c r="CB78" s="395"/>
      <c r="CC78" s="395"/>
      <c r="CD78" s="395"/>
      <c r="CE78" s="395"/>
      <c r="CF78" s="395"/>
      <c r="CG78" s="395"/>
      <c r="CH78" s="395"/>
      <c r="CI78" s="395"/>
      <c r="CJ78" s="395"/>
      <c r="CK78" s="395"/>
      <c r="CL78" s="395"/>
      <c r="CM78" s="395"/>
      <c r="CN78" s="395"/>
      <c r="CO78" s="395"/>
      <c r="CP78" s="395"/>
      <c r="CQ78" s="395"/>
      <c r="CR78" s="395"/>
      <c r="CS78" s="395"/>
      <c r="CT78" s="395"/>
      <c r="CU78" s="395"/>
      <c r="CV78" s="395"/>
      <c r="CW78" s="395"/>
      <c r="CX78" s="395"/>
      <c r="CY78" s="395"/>
      <c r="CZ78" s="395"/>
      <c r="DA78" s="395"/>
      <c r="DB78" s="395"/>
      <c r="DC78" s="395"/>
      <c r="DD78" s="395"/>
      <c r="DE78" s="395"/>
      <c r="DF78" s="395"/>
      <c r="DG78" s="395"/>
      <c r="DH78" s="395"/>
      <c r="DI78" s="395"/>
      <c r="DJ78" s="395"/>
      <c r="DK78" s="395"/>
      <c r="DL78" s="395"/>
      <c r="DM78" s="395"/>
      <c r="DN78" s="395"/>
      <c r="DO78" s="395"/>
      <c r="DP78" s="395"/>
      <c r="DQ78" s="395"/>
      <c r="DR78" s="395"/>
      <c r="DS78" s="395"/>
      <c r="DT78" s="395"/>
      <c r="DU78" s="395"/>
      <c r="DV78" s="395"/>
      <c r="DW78" s="395"/>
      <c r="DX78" s="395"/>
      <c r="DY78" s="395"/>
      <c r="DZ78" s="395"/>
      <c r="EA78" s="395"/>
      <c r="EB78" s="395"/>
      <c r="EC78" s="395"/>
      <c r="ED78" s="395"/>
      <c r="EE78" s="395"/>
      <c r="EF78" s="395"/>
      <c r="EG78" s="395"/>
      <c r="EH78" s="395"/>
      <c r="EI78" s="395"/>
      <c r="EJ78" s="395"/>
      <c r="EK78" s="395"/>
      <c r="EL78" s="395"/>
      <c r="EM78" s="395"/>
      <c r="EN78" s="395"/>
      <c r="EO78" s="395"/>
      <c r="EP78" s="395"/>
      <c r="EQ78" s="395"/>
      <c r="ER78" s="395"/>
      <c r="ES78" s="395"/>
      <c r="ET78" s="395"/>
      <c r="EU78" s="395"/>
      <c r="EV78" s="395"/>
      <c r="EW78" s="395"/>
      <c r="EX78" s="395"/>
      <c r="EY78" s="395"/>
      <c r="EZ78" s="395"/>
      <c r="FA78" s="395"/>
      <c r="FB78" s="395"/>
      <c r="FC78" s="395"/>
      <c r="FD78" s="395"/>
      <c r="FE78" s="395"/>
      <c r="FF78" s="395"/>
      <c r="FG78" s="395"/>
      <c r="FH78" s="395"/>
      <c r="FI78" s="395"/>
      <c r="FJ78" s="395"/>
      <c r="FK78" s="395"/>
      <c r="FL78" s="395"/>
      <c r="FM78" s="395"/>
      <c r="FN78" s="395"/>
      <c r="FO78" s="395"/>
      <c r="FP78" s="395"/>
      <c r="FQ78" s="395"/>
      <c r="FR78" s="395"/>
      <c r="FS78" s="395"/>
      <c r="FT78" s="395"/>
      <c r="FU78" s="395"/>
      <c r="FV78" s="395"/>
      <c r="FW78" s="395"/>
      <c r="FX78" s="395"/>
      <c r="FY78" s="395"/>
      <c r="FZ78" s="395"/>
      <c r="GA78" s="395"/>
      <c r="GB78" s="395"/>
      <c r="GC78" s="395"/>
      <c r="GD78" s="395"/>
      <c r="GE78" s="395"/>
      <c r="GF78" s="395"/>
      <c r="GG78" s="395"/>
      <c r="GH78" s="395"/>
      <c r="GI78" s="395"/>
      <c r="GJ78" s="395"/>
      <c r="GK78" s="395"/>
      <c r="GL78" s="395"/>
      <c r="GM78" s="395"/>
      <c r="GN78" s="395"/>
      <c r="GO78" s="395"/>
      <c r="GP78" s="395"/>
      <c r="GQ78" s="395"/>
      <c r="GR78" s="395"/>
      <c r="GS78" s="395"/>
      <c r="GT78" s="395"/>
      <c r="GU78" s="395"/>
      <c r="GV78" s="395"/>
      <c r="GW78" s="395"/>
      <c r="GX78" s="395"/>
      <c r="GY78" s="395"/>
      <c r="GZ78" s="395"/>
      <c r="HA78" s="395"/>
      <c r="HB78" s="395"/>
      <c r="HC78" s="395"/>
      <c r="HD78" s="395"/>
      <c r="HE78" s="395"/>
      <c r="HF78" s="395"/>
      <c r="HG78" s="395"/>
      <c r="HH78" s="395"/>
      <c r="HI78" s="395"/>
      <c r="HJ78" s="395"/>
      <c r="HK78" s="395"/>
      <c r="HL78" s="395"/>
      <c r="HM78" s="395"/>
      <c r="HN78" s="395"/>
      <c r="HO78" s="395"/>
      <c r="HP78" s="395"/>
      <c r="HQ78" s="395"/>
      <c r="HR78" s="395"/>
    </row>
    <row r="79" spans="1:226" s="866" customFormat="1" ht="15.6" x14ac:dyDescent="0.25">
      <c r="A79" s="348" t="s">
        <v>1038</v>
      </c>
      <c r="B79" s="357" t="s">
        <v>2377</v>
      </c>
      <c r="C79" s="395"/>
      <c r="D79" s="395"/>
      <c r="E79" s="395"/>
      <c r="F79" s="395"/>
      <c r="G79" s="395"/>
      <c r="H79" s="395"/>
      <c r="I79" s="395"/>
      <c r="J79" s="395"/>
      <c r="K79" s="395"/>
      <c r="L79" s="395"/>
      <c r="M79" s="395"/>
      <c r="N79" s="395"/>
      <c r="O79" s="395"/>
      <c r="P79" s="395"/>
      <c r="Q79" s="395"/>
      <c r="R79" s="395"/>
      <c r="S79" s="395"/>
      <c r="T79" s="395"/>
      <c r="U79" s="395"/>
      <c r="V79" s="1608"/>
      <c r="W79" s="395"/>
      <c r="X79" s="395"/>
      <c r="Y79" s="395"/>
      <c r="Z79" s="2140"/>
      <c r="AA79" s="395"/>
      <c r="AB79" s="395"/>
      <c r="AC79" s="395"/>
      <c r="AD79" s="395"/>
      <c r="AE79" s="395"/>
      <c r="AF79" s="395"/>
      <c r="AG79" s="395"/>
      <c r="AH79" s="395"/>
      <c r="AI79" s="395"/>
      <c r="AJ79" s="395"/>
      <c r="AK79" s="395"/>
      <c r="AL79" s="395"/>
      <c r="AM79" s="395"/>
      <c r="AN79" s="395"/>
      <c r="AO79" s="395"/>
      <c r="AP79" s="395"/>
      <c r="AQ79" s="395"/>
      <c r="AR79" s="395"/>
      <c r="AS79" s="395"/>
      <c r="AT79" s="395"/>
      <c r="AU79" s="395"/>
      <c r="AV79" s="395"/>
      <c r="AW79" s="395"/>
      <c r="AX79" s="395"/>
      <c r="AY79" s="395"/>
      <c r="AZ79" s="395"/>
      <c r="BA79" s="395"/>
      <c r="BB79" s="395"/>
      <c r="BC79" s="395"/>
      <c r="BD79" s="395"/>
      <c r="BE79" s="395"/>
      <c r="BF79" s="395"/>
      <c r="BG79" s="395"/>
      <c r="BH79" s="395"/>
      <c r="BI79" s="395"/>
      <c r="BJ79" s="395"/>
      <c r="BK79" s="395"/>
      <c r="BL79" s="395"/>
      <c r="BM79" s="395"/>
      <c r="BN79" s="395"/>
      <c r="BO79" s="395"/>
      <c r="BP79" s="395"/>
      <c r="BQ79" s="395"/>
      <c r="BR79" s="395"/>
      <c r="BS79" s="395"/>
      <c r="BT79" s="395"/>
      <c r="BU79" s="395"/>
      <c r="BV79" s="395"/>
      <c r="BW79" s="395"/>
      <c r="BX79" s="395"/>
      <c r="BY79" s="395"/>
      <c r="BZ79" s="395"/>
      <c r="CA79" s="395"/>
      <c r="CB79" s="395"/>
      <c r="CC79" s="395"/>
      <c r="CD79" s="395"/>
      <c r="CE79" s="395"/>
      <c r="CF79" s="395"/>
      <c r="CG79" s="395"/>
      <c r="CH79" s="395"/>
      <c r="CI79" s="395"/>
      <c r="CJ79" s="395"/>
      <c r="CK79" s="395"/>
      <c r="CL79" s="395"/>
      <c r="CM79" s="395"/>
      <c r="CN79" s="395"/>
      <c r="CO79" s="395"/>
      <c r="CP79" s="395"/>
      <c r="CQ79" s="395"/>
      <c r="CR79" s="395"/>
      <c r="CS79" s="395"/>
      <c r="CT79" s="395"/>
      <c r="CU79" s="395"/>
      <c r="CV79" s="395"/>
      <c r="CW79" s="395"/>
      <c r="CX79" s="395"/>
      <c r="CY79" s="395"/>
      <c r="CZ79" s="395"/>
      <c r="DA79" s="395"/>
      <c r="DB79" s="395"/>
      <c r="DC79" s="395"/>
      <c r="DD79" s="395"/>
      <c r="DE79" s="395"/>
      <c r="DF79" s="395"/>
      <c r="DG79" s="395"/>
      <c r="DH79" s="395"/>
      <c r="DI79" s="395"/>
      <c r="DJ79" s="395"/>
      <c r="DK79" s="395"/>
      <c r="DL79" s="395"/>
      <c r="DM79" s="395"/>
      <c r="DN79" s="395"/>
      <c r="DO79" s="395"/>
      <c r="DP79" s="395"/>
      <c r="DQ79" s="395"/>
      <c r="DR79" s="395"/>
      <c r="DS79" s="395"/>
      <c r="DT79" s="395"/>
      <c r="DU79" s="395"/>
      <c r="DV79" s="395"/>
      <c r="DW79" s="395"/>
      <c r="DX79" s="395"/>
      <c r="DY79" s="395"/>
      <c r="DZ79" s="395"/>
      <c r="EA79" s="395"/>
      <c r="EB79" s="395"/>
      <c r="EC79" s="395"/>
      <c r="ED79" s="395"/>
      <c r="EE79" s="395"/>
      <c r="EF79" s="395"/>
      <c r="EG79" s="395"/>
      <c r="EH79" s="395"/>
      <c r="EI79" s="395"/>
      <c r="EJ79" s="395"/>
      <c r="EK79" s="395"/>
      <c r="EL79" s="395"/>
      <c r="EM79" s="395"/>
      <c r="EN79" s="395"/>
      <c r="EO79" s="395"/>
      <c r="EP79" s="395"/>
      <c r="EQ79" s="395"/>
      <c r="ER79" s="395"/>
      <c r="ES79" s="395"/>
      <c r="ET79" s="395"/>
      <c r="EU79" s="395"/>
      <c r="EV79" s="395"/>
      <c r="EW79" s="395"/>
      <c r="EX79" s="395"/>
      <c r="EY79" s="395"/>
      <c r="EZ79" s="395"/>
      <c r="FA79" s="395"/>
      <c r="FB79" s="395"/>
      <c r="FC79" s="395"/>
      <c r="FD79" s="395"/>
      <c r="FE79" s="395"/>
      <c r="FF79" s="395"/>
      <c r="FG79" s="395"/>
      <c r="FH79" s="395"/>
      <c r="FI79" s="395"/>
      <c r="FJ79" s="395"/>
      <c r="FK79" s="395"/>
      <c r="FL79" s="395"/>
      <c r="FM79" s="395"/>
      <c r="FN79" s="395"/>
      <c r="FO79" s="395"/>
      <c r="FP79" s="395"/>
      <c r="FQ79" s="395"/>
      <c r="FR79" s="395"/>
      <c r="FS79" s="395"/>
      <c r="FT79" s="395"/>
      <c r="FU79" s="395"/>
      <c r="FV79" s="395"/>
      <c r="FW79" s="395"/>
      <c r="FX79" s="395"/>
      <c r="FY79" s="395"/>
      <c r="FZ79" s="395"/>
      <c r="GA79" s="395"/>
      <c r="GB79" s="395"/>
      <c r="GC79" s="395"/>
      <c r="GD79" s="395"/>
      <c r="GE79" s="395"/>
      <c r="GF79" s="395"/>
      <c r="GG79" s="395"/>
      <c r="GH79" s="395"/>
      <c r="GI79" s="395"/>
      <c r="GJ79" s="395"/>
      <c r="GK79" s="395"/>
      <c r="GL79" s="395"/>
      <c r="GM79" s="395"/>
      <c r="GN79" s="395"/>
      <c r="GO79" s="395"/>
      <c r="GP79" s="395"/>
      <c r="GQ79" s="395"/>
      <c r="GR79" s="395"/>
      <c r="GS79" s="395"/>
      <c r="GT79" s="395"/>
      <c r="GU79" s="395"/>
      <c r="GV79" s="395"/>
      <c r="GW79" s="395"/>
      <c r="GX79" s="395"/>
      <c r="GY79" s="395"/>
      <c r="GZ79" s="395"/>
      <c r="HA79" s="395"/>
      <c r="HB79" s="395"/>
      <c r="HC79" s="395"/>
      <c r="HD79" s="395"/>
      <c r="HE79" s="395"/>
      <c r="HF79" s="395"/>
      <c r="HG79" s="395"/>
      <c r="HH79" s="395"/>
      <c r="HI79" s="395"/>
      <c r="HJ79" s="395"/>
      <c r="HK79" s="395"/>
      <c r="HL79" s="395"/>
      <c r="HM79" s="395"/>
      <c r="HN79" s="395"/>
      <c r="HO79" s="395"/>
      <c r="HP79" s="395"/>
      <c r="HQ79" s="395"/>
      <c r="HR79" s="395"/>
    </row>
    <row r="80" spans="1:226" s="866" customFormat="1" x14ac:dyDescent="0.25">
      <c r="A80" s="348" t="s">
        <v>1038</v>
      </c>
      <c r="C80" s="395"/>
      <c r="D80" s="395"/>
      <c r="E80" s="395"/>
      <c r="F80" s="395"/>
      <c r="G80" s="395"/>
      <c r="H80" s="395"/>
      <c r="I80" s="395"/>
      <c r="J80" s="395"/>
      <c r="K80" s="395"/>
      <c r="L80" s="395"/>
      <c r="M80" s="395"/>
      <c r="N80" s="395"/>
      <c r="O80" s="395"/>
      <c r="P80" s="395"/>
      <c r="Q80" s="395"/>
      <c r="R80" s="395"/>
      <c r="S80" s="395"/>
      <c r="T80" s="395"/>
      <c r="U80" s="395"/>
      <c r="V80" s="1608"/>
      <c r="W80" s="395"/>
      <c r="X80" s="395"/>
      <c r="Y80" s="395"/>
      <c r="Z80" s="2140"/>
      <c r="AA80" s="395"/>
      <c r="AB80" s="395"/>
      <c r="AC80" s="395"/>
      <c r="AD80" s="395"/>
      <c r="AE80" s="395"/>
      <c r="AF80" s="395"/>
      <c r="AG80" s="395"/>
      <c r="AH80" s="395"/>
      <c r="AI80" s="395"/>
      <c r="AJ80" s="395"/>
      <c r="AK80" s="395"/>
      <c r="AL80" s="395"/>
      <c r="AM80" s="395"/>
      <c r="AN80" s="395"/>
      <c r="AO80" s="395"/>
      <c r="AP80" s="395"/>
      <c r="AQ80" s="395"/>
      <c r="AR80" s="395"/>
      <c r="AS80" s="395"/>
      <c r="AT80" s="395"/>
      <c r="AU80" s="395"/>
      <c r="AV80" s="395"/>
      <c r="AW80" s="395"/>
      <c r="AX80" s="395"/>
      <c r="AY80" s="395"/>
      <c r="AZ80" s="395"/>
      <c r="BA80" s="395"/>
      <c r="BB80" s="395"/>
      <c r="BC80" s="395"/>
      <c r="BD80" s="395"/>
      <c r="BE80" s="395"/>
      <c r="BF80" s="395"/>
      <c r="BG80" s="395"/>
      <c r="BH80" s="395"/>
      <c r="BI80" s="395"/>
      <c r="BJ80" s="395"/>
      <c r="BK80" s="395"/>
      <c r="BL80" s="395"/>
      <c r="BM80" s="395"/>
      <c r="BN80" s="395"/>
      <c r="BO80" s="395"/>
      <c r="BP80" s="395"/>
      <c r="BQ80" s="395"/>
      <c r="BR80" s="395"/>
      <c r="BS80" s="395"/>
      <c r="BT80" s="395"/>
      <c r="BU80" s="395"/>
      <c r="BV80" s="395"/>
      <c r="BW80" s="395"/>
      <c r="BX80" s="395"/>
      <c r="BY80" s="395"/>
      <c r="BZ80" s="395"/>
      <c r="CA80" s="395"/>
      <c r="CB80" s="395"/>
      <c r="CC80" s="395"/>
      <c r="CD80" s="395"/>
      <c r="CE80" s="395"/>
      <c r="CF80" s="395"/>
      <c r="CG80" s="395"/>
      <c r="CH80" s="395"/>
      <c r="CI80" s="395"/>
      <c r="CJ80" s="395"/>
      <c r="CK80" s="395"/>
      <c r="CL80" s="395"/>
      <c r="CM80" s="395"/>
      <c r="CN80" s="395"/>
      <c r="CO80" s="395"/>
      <c r="CP80" s="395"/>
      <c r="CQ80" s="395"/>
      <c r="CR80" s="395"/>
      <c r="CS80" s="395"/>
      <c r="CT80" s="395"/>
      <c r="CU80" s="395"/>
      <c r="CV80" s="395"/>
      <c r="CW80" s="395"/>
      <c r="CX80" s="395"/>
      <c r="CY80" s="395"/>
      <c r="CZ80" s="395"/>
      <c r="DA80" s="395"/>
      <c r="DB80" s="395"/>
      <c r="DC80" s="395"/>
      <c r="DD80" s="395"/>
      <c r="DE80" s="395"/>
      <c r="DF80" s="395"/>
      <c r="DG80" s="395"/>
      <c r="DH80" s="395"/>
      <c r="DI80" s="395"/>
      <c r="DJ80" s="395"/>
      <c r="DK80" s="395"/>
      <c r="DL80" s="395"/>
      <c r="DM80" s="395"/>
      <c r="DN80" s="395"/>
      <c r="DO80" s="395"/>
      <c r="DP80" s="395"/>
      <c r="DQ80" s="395"/>
      <c r="DR80" s="395"/>
      <c r="DS80" s="395"/>
      <c r="DT80" s="395"/>
      <c r="DU80" s="395"/>
      <c r="DV80" s="395"/>
      <c r="DW80" s="395"/>
      <c r="DX80" s="395"/>
      <c r="DY80" s="395"/>
      <c r="DZ80" s="395"/>
      <c r="EA80" s="395"/>
      <c r="EB80" s="395"/>
      <c r="EC80" s="395"/>
      <c r="ED80" s="395"/>
      <c r="EE80" s="395"/>
      <c r="EF80" s="395"/>
      <c r="EG80" s="395"/>
      <c r="EH80" s="395"/>
      <c r="EI80" s="395"/>
      <c r="EJ80" s="395"/>
      <c r="EK80" s="395"/>
      <c r="EL80" s="395"/>
      <c r="EM80" s="395"/>
      <c r="EN80" s="395"/>
      <c r="EO80" s="395"/>
      <c r="EP80" s="395"/>
      <c r="EQ80" s="395"/>
      <c r="ER80" s="395"/>
      <c r="ES80" s="395"/>
      <c r="ET80" s="395"/>
      <c r="EU80" s="395"/>
      <c r="EV80" s="395"/>
      <c r="EW80" s="395"/>
      <c r="EX80" s="395"/>
      <c r="EY80" s="395"/>
      <c r="EZ80" s="395"/>
      <c r="FA80" s="395"/>
      <c r="FB80" s="395"/>
      <c r="FC80" s="395"/>
      <c r="FD80" s="395"/>
      <c r="FE80" s="395"/>
      <c r="FF80" s="395"/>
      <c r="FG80" s="395"/>
      <c r="FH80" s="395"/>
      <c r="FI80" s="395"/>
      <c r="FJ80" s="395"/>
      <c r="FK80" s="395"/>
      <c r="FL80" s="395"/>
      <c r="FM80" s="395"/>
      <c r="FN80" s="395"/>
      <c r="FO80" s="395"/>
      <c r="FP80" s="395"/>
      <c r="FQ80" s="395"/>
      <c r="FR80" s="395"/>
      <c r="FS80" s="395"/>
      <c r="FT80" s="395"/>
      <c r="FU80" s="395"/>
      <c r="FV80" s="395"/>
      <c r="FW80" s="395"/>
      <c r="FX80" s="395"/>
      <c r="FY80" s="395"/>
      <c r="FZ80" s="395"/>
      <c r="GA80" s="395"/>
      <c r="GB80" s="395"/>
      <c r="GC80" s="395"/>
      <c r="GD80" s="395"/>
      <c r="GE80" s="395"/>
      <c r="GF80" s="395"/>
      <c r="GG80" s="395"/>
      <c r="GH80" s="395"/>
      <c r="GI80" s="395"/>
      <c r="GJ80" s="395"/>
      <c r="GK80" s="395"/>
      <c r="GL80" s="395"/>
      <c r="GM80" s="395"/>
      <c r="GN80" s="395"/>
      <c r="GO80" s="395"/>
      <c r="GP80" s="395"/>
      <c r="GQ80" s="395"/>
      <c r="GR80" s="395"/>
      <c r="GS80" s="395"/>
      <c r="GT80" s="395"/>
      <c r="GU80" s="395"/>
      <c r="GV80" s="395"/>
      <c r="GW80" s="395"/>
      <c r="GX80" s="395"/>
      <c r="GY80" s="395"/>
      <c r="GZ80" s="395"/>
      <c r="HA80" s="395"/>
      <c r="HB80" s="395"/>
      <c r="HC80" s="395"/>
      <c r="HD80" s="395"/>
      <c r="HE80" s="395"/>
      <c r="HF80" s="395"/>
      <c r="HG80" s="395"/>
      <c r="HH80" s="395"/>
      <c r="HI80" s="395"/>
      <c r="HJ80" s="395"/>
      <c r="HK80" s="395"/>
      <c r="HL80" s="395"/>
      <c r="HM80" s="395"/>
      <c r="HN80" s="395"/>
      <c r="HO80" s="395"/>
      <c r="HP80" s="395"/>
      <c r="HQ80" s="395"/>
      <c r="HR80" s="395"/>
    </row>
    <row r="81" spans="1:226" s="866" customFormat="1" ht="27" customHeight="1" x14ac:dyDescent="0.25">
      <c r="A81" s="348" t="s">
        <v>1038</v>
      </c>
      <c r="B81" s="3395" t="s">
        <v>1272</v>
      </c>
      <c r="C81" s="3395"/>
      <c r="D81" s="3395"/>
      <c r="E81" s="3413"/>
      <c r="F81" s="3413"/>
      <c r="G81" s="3413"/>
      <c r="H81" s="3413"/>
      <c r="I81" s="3413"/>
      <c r="J81" s="3402"/>
      <c r="K81" s="3402"/>
      <c r="L81" s="3402"/>
      <c r="M81" s="3402"/>
      <c r="N81" s="3402"/>
      <c r="O81" s="3402"/>
      <c r="P81" s="3402"/>
      <c r="Q81" s="3402"/>
      <c r="R81" s="3345" t="s">
        <v>1097</v>
      </c>
      <c r="S81" s="3413"/>
      <c r="T81" s="3413"/>
      <c r="U81" s="3414"/>
      <c r="V81" s="1608"/>
      <c r="W81" s="395"/>
      <c r="X81" s="395"/>
      <c r="Y81" s="395"/>
      <c r="Z81" s="2140"/>
      <c r="AA81" s="395"/>
      <c r="AB81" s="395"/>
      <c r="AC81" s="395"/>
      <c r="AD81" s="395"/>
      <c r="AE81" s="395"/>
      <c r="AF81" s="395"/>
      <c r="AG81" s="395"/>
      <c r="AH81" s="395"/>
      <c r="AI81" s="395"/>
      <c r="AJ81" s="395"/>
      <c r="AK81" s="395"/>
      <c r="AL81" s="395"/>
      <c r="AM81" s="395"/>
      <c r="AN81" s="395"/>
      <c r="AO81" s="395"/>
      <c r="AP81" s="395"/>
      <c r="AQ81" s="395"/>
      <c r="AR81" s="395"/>
      <c r="AS81" s="395"/>
      <c r="AT81" s="395"/>
      <c r="AU81" s="395"/>
      <c r="AV81" s="395"/>
      <c r="AW81" s="395"/>
      <c r="AX81" s="395"/>
      <c r="AY81" s="395"/>
      <c r="AZ81" s="395"/>
      <c r="BA81" s="395"/>
      <c r="BB81" s="395"/>
      <c r="BC81" s="395"/>
      <c r="BD81" s="395"/>
      <c r="BE81" s="395"/>
      <c r="BF81" s="395"/>
      <c r="BG81" s="395"/>
      <c r="BH81" s="395"/>
      <c r="BI81" s="395"/>
      <c r="BJ81" s="395"/>
      <c r="BK81" s="395"/>
      <c r="BL81" s="395"/>
      <c r="BM81" s="395"/>
      <c r="BN81" s="395"/>
      <c r="BO81" s="395"/>
      <c r="BP81" s="395"/>
      <c r="BQ81" s="395"/>
      <c r="BR81" s="395"/>
      <c r="BS81" s="395"/>
      <c r="BT81" s="395"/>
      <c r="BU81" s="395"/>
      <c r="BV81" s="395"/>
      <c r="BW81" s="395"/>
      <c r="BX81" s="395"/>
      <c r="BY81" s="395"/>
      <c r="BZ81" s="395"/>
      <c r="CA81" s="395"/>
      <c r="CB81" s="395"/>
      <c r="CC81" s="395"/>
      <c r="CD81" s="395"/>
      <c r="CE81" s="395"/>
      <c r="CF81" s="395"/>
      <c r="CG81" s="395"/>
      <c r="CH81" s="395"/>
      <c r="CI81" s="395"/>
      <c r="CJ81" s="395"/>
      <c r="CK81" s="395"/>
      <c r="CL81" s="395"/>
      <c r="CM81" s="395"/>
      <c r="CN81" s="395"/>
      <c r="CO81" s="395"/>
      <c r="CP81" s="395"/>
      <c r="CQ81" s="395"/>
      <c r="CR81" s="395"/>
      <c r="CS81" s="395"/>
      <c r="CT81" s="395"/>
      <c r="CU81" s="395"/>
      <c r="CV81" s="395"/>
      <c r="CW81" s="395"/>
      <c r="CX81" s="395"/>
      <c r="CY81" s="395"/>
      <c r="CZ81" s="395"/>
      <c r="DA81" s="395"/>
      <c r="DB81" s="395"/>
      <c r="DC81" s="395"/>
      <c r="DD81" s="395"/>
      <c r="DE81" s="395"/>
      <c r="DF81" s="395"/>
      <c r="DG81" s="395"/>
      <c r="DH81" s="395"/>
      <c r="DI81" s="395"/>
      <c r="DJ81" s="395"/>
      <c r="DK81" s="395"/>
      <c r="DL81" s="395"/>
      <c r="DM81" s="395"/>
      <c r="DN81" s="395"/>
      <c r="DO81" s="395"/>
      <c r="DP81" s="395"/>
      <c r="DQ81" s="395"/>
      <c r="DR81" s="395"/>
      <c r="DS81" s="395"/>
      <c r="DT81" s="395"/>
      <c r="DU81" s="395"/>
      <c r="DV81" s="395"/>
      <c r="DW81" s="395"/>
      <c r="DX81" s="395"/>
      <c r="DY81" s="395"/>
      <c r="DZ81" s="395"/>
      <c r="EA81" s="395"/>
      <c r="EB81" s="395"/>
      <c r="EC81" s="395"/>
      <c r="ED81" s="395"/>
      <c r="EE81" s="395"/>
      <c r="EF81" s="395"/>
      <c r="EG81" s="395"/>
      <c r="EH81" s="395"/>
      <c r="EI81" s="395"/>
      <c r="EJ81" s="395"/>
      <c r="EK81" s="395"/>
      <c r="EL81" s="395"/>
      <c r="EM81" s="395"/>
      <c r="EN81" s="395"/>
      <c r="EO81" s="395"/>
      <c r="EP81" s="395"/>
      <c r="EQ81" s="395"/>
      <c r="ER81" s="395"/>
      <c r="ES81" s="395"/>
      <c r="ET81" s="395"/>
      <c r="EU81" s="395"/>
      <c r="EV81" s="395"/>
      <c r="EW81" s="395"/>
      <c r="EX81" s="395"/>
      <c r="EY81" s="395"/>
      <c r="EZ81" s="395"/>
      <c r="FA81" s="395"/>
      <c r="FB81" s="395"/>
      <c r="FC81" s="395"/>
      <c r="FD81" s="395"/>
      <c r="FE81" s="395"/>
      <c r="FF81" s="395"/>
      <c r="FG81" s="395"/>
      <c r="FH81" s="395"/>
      <c r="FI81" s="395"/>
      <c r="FJ81" s="395"/>
      <c r="FK81" s="395"/>
      <c r="FL81" s="395"/>
      <c r="FM81" s="395"/>
      <c r="FN81" s="395"/>
      <c r="FO81" s="395"/>
      <c r="FP81" s="395"/>
      <c r="FQ81" s="395"/>
      <c r="FR81" s="395"/>
      <c r="FS81" s="395"/>
      <c r="FT81" s="395"/>
      <c r="FU81" s="395"/>
      <c r="FV81" s="395"/>
      <c r="FW81" s="395"/>
      <c r="FX81" s="395"/>
      <c r="FY81" s="395"/>
      <c r="FZ81" s="395"/>
      <c r="GA81" s="395"/>
      <c r="GB81" s="395"/>
      <c r="GC81" s="395"/>
      <c r="GD81" s="395"/>
      <c r="GE81" s="395"/>
      <c r="GF81" s="395"/>
      <c r="GG81" s="395"/>
      <c r="GH81" s="395"/>
      <c r="GI81" s="395"/>
      <c r="GJ81" s="395"/>
      <c r="GK81" s="395"/>
      <c r="GL81" s="395"/>
      <c r="GM81" s="395"/>
      <c r="GN81" s="395"/>
      <c r="GO81" s="395"/>
      <c r="GP81" s="395"/>
      <c r="GQ81" s="395"/>
      <c r="GR81" s="395"/>
      <c r="GS81" s="395"/>
      <c r="GT81" s="395"/>
      <c r="GU81" s="395"/>
      <c r="GV81" s="395"/>
      <c r="GW81" s="395"/>
      <c r="GX81" s="395"/>
      <c r="GY81" s="395"/>
      <c r="GZ81" s="395"/>
      <c r="HA81" s="395"/>
      <c r="HB81" s="395"/>
      <c r="HC81" s="395"/>
      <c r="HD81" s="395"/>
      <c r="HE81" s="395"/>
      <c r="HF81" s="395"/>
      <c r="HG81" s="395"/>
      <c r="HH81" s="395"/>
      <c r="HI81" s="395"/>
      <c r="HJ81" s="395"/>
      <c r="HK81" s="395"/>
      <c r="HL81" s="395"/>
      <c r="HM81" s="395"/>
      <c r="HN81" s="395"/>
      <c r="HO81" s="395"/>
      <c r="HP81" s="395"/>
      <c r="HQ81" s="395"/>
      <c r="HR81" s="395"/>
    </row>
    <row r="82" spans="1:226" s="866" customFormat="1" x14ac:dyDescent="0.25">
      <c r="A82" s="348" t="s">
        <v>1038</v>
      </c>
      <c r="B82" s="1493" t="s">
        <v>1098</v>
      </c>
      <c r="C82" s="3404" t="s">
        <v>1099</v>
      </c>
      <c r="D82" s="3405"/>
      <c r="E82" s="3405"/>
      <c r="F82" s="3405"/>
      <c r="G82" s="3405"/>
      <c r="H82" s="3405"/>
      <c r="I82" s="3405"/>
      <c r="J82" s="3406"/>
      <c r="K82" s="3406"/>
      <c r="L82" s="3406"/>
      <c r="M82" s="3406"/>
      <c r="N82" s="3406"/>
      <c r="O82" s="3406"/>
      <c r="P82" s="3406"/>
      <c r="Q82" s="3406"/>
      <c r="R82" s="1272"/>
      <c r="S82" s="1494">
        <f>IF(SI_IP_Units="IP",12,45)</f>
        <v>12</v>
      </c>
      <c r="T82" s="3407" t="str">
        <f>IF(SI_IP_Units="IP","gallons/day","liters/day")</f>
        <v>gallons/day</v>
      </c>
      <c r="U82" s="3408"/>
      <c r="V82" s="1608"/>
      <c r="W82" s="395"/>
      <c r="X82" s="395"/>
      <c r="Y82" s="395"/>
      <c r="Z82" s="2142"/>
      <c r="AA82" s="395"/>
      <c r="AB82" s="395"/>
      <c r="AC82" s="395"/>
      <c r="AD82" s="395"/>
      <c r="AE82" s="395"/>
      <c r="AF82" s="395"/>
      <c r="AG82" s="395"/>
      <c r="AH82" s="395"/>
      <c r="AI82" s="395"/>
      <c r="AJ82" s="395"/>
      <c r="AK82" s="395"/>
      <c r="AL82" s="395"/>
      <c r="AM82" s="395"/>
      <c r="AN82" s="395"/>
      <c r="AO82" s="395"/>
      <c r="AP82" s="395"/>
      <c r="AQ82" s="395"/>
      <c r="AR82" s="395"/>
      <c r="AS82" s="395"/>
      <c r="AT82" s="395"/>
      <c r="AU82" s="395"/>
      <c r="AV82" s="395"/>
      <c r="AW82" s="395"/>
      <c r="AX82" s="395"/>
      <c r="AY82" s="395"/>
      <c r="AZ82" s="395"/>
      <c r="BA82" s="395"/>
      <c r="BB82" s="395"/>
      <c r="BC82" s="395"/>
      <c r="BD82" s="395"/>
      <c r="BE82" s="395"/>
      <c r="BF82" s="395"/>
      <c r="BG82" s="395"/>
      <c r="BH82" s="395"/>
      <c r="BI82" s="395"/>
      <c r="BJ82" s="395"/>
      <c r="BK82" s="395"/>
      <c r="BL82" s="395"/>
      <c r="BM82" s="395"/>
      <c r="BN82" s="395"/>
      <c r="BO82" s="395"/>
      <c r="BP82" s="395"/>
      <c r="BQ82" s="395"/>
      <c r="BR82" s="395"/>
      <c r="BS82" s="395"/>
      <c r="BT82" s="395"/>
      <c r="BU82" s="395"/>
      <c r="BV82" s="395"/>
      <c r="BW82" s="395"/>
      <c r="BX82" s="395"/>
      <c r="BY82" s="395"/>
      <c r="BZ82" s="395"/>
      <c r="CA82" s="395"/>
      <c r="CB82" s="395"/>
      <c r="CC82" s="395"/>
      <c r="CD82" s="395"/>
      <c r="CE82" s="395"/>
      <c r="CF82" s="395"/>
      <c r="CG82" s="395"/>
      <c r="CH82" s="395"/>
      <c r="CI82" s="395"/>
      <c r="CJ82" s="395"/>
      <c r="CK82" s="395"/>
      <c r="CL82" s="395"/>
      <c r="CM82" s="395"/>
      <c r="CN82" s="395"/>
      <c r="CO82" s="395"/>
      <c r="CP82" s="395"/>
      <c r="CQ82" s="395"/>
      <c r="CR82" s="395"/>
      <c r="CS82" s="395"/>
      <c r="CT82" s="395"/>
      <c r="CU82" s="395"/>
      <c r="CV82" s="395"/>
      <c r="CW82" s="395"/>
      <c r="CX82" s="395"/>
      <c r="CY82" s="395"/>
      <c r="CZ82" s="395"/>
      <c r="DA82" s="395"/>
      <c r="DB82" s="395"/>
      <c r="DC82" s="395"/>
      <c r="DD82" s="395"/>
      <c r="DE82" s="395"/>
      <c r="DF82" s="395"/>
      <c r="DG82" s="395"/>
      <c r="DH82" s="395"/>
      <c r="DI82" s="395"/>
      <c r="DJ82" s="395"/>
      <c r="DK82" s="395"/>
      <c r="DL82" s="395"/>
      <c r="DM82" s="395"/>
      <c r="DN82" s="395"/>
      <c r="DO82" s="395"/>
      <c r="DP82" s="395"/>
      <c r="DQ82" s="395"/>
      <c r="DR82" s="395"/>
      <c r="DS82" s="395"/>
      <c r="DT82" s="395"/>
      <c r="DU82" s="395"/>
      <c r="DV82" s="395"/>
      <c r="DW82" s="395"/>
      <c r="DX82" s="395"/>
      <c r="DY82" s="395"/>
      <c r="DZ82" s="395"/>
      <c r="EA82" s="395"/>
      <c r="EB82" s="395"/>
      <c r="EC82" s="395"/>
      <c r="ED82" s="395"/>
      <c r="EE82" s="395"/>
      <c r="EF82" s="395"/>
      <c r="EG82" s="395"/>
      <c r="EH82" s="395"/>
      <c r="EI82" s="395"/>
      <c r="EJ82" s="395"/>
      <c r="EK82" s="395"/>
      <c r="EL82" s="395"/>
      <c r="EM82" s="395"/>
      <c r="EN82" s="395"/>
      <c r="EO82" s="395"/>
      <c r="EP82" s="395"/>
      <c r="EQ82" s="395"/>
      <c r="ER82" s="395"/>
      <c r="ES82" s="395"/>
      <c r="ET82" s="395"/>
      <c r="EU82" s="395"/>
      <c r="EV82" s="395"/>
      <c r="EW82" s="395"/>
      <c r="EX82" s="395"/>
      <c r="EY82" s="395"/>
      <c r="EZ82" s="395"/>
      <c r="FA82" s="395"/>
      <c r="FB82" s="395"/>
      <c r="FC82" s="395"/>
      <c r="FD82" s="395"/>
      <c r="FE82" s="395"/>
      <c r="FF82" s="395"/>
      <c r="FG82" s="395"/>
      <c r="FH82" s="395"/>
      <c r="FI82" s="395"/>
      <c r="FJ82" s="395"/>
      <c r="FK82" s="395"/>
      <c r="FL82" s="395"/>
      <c r="FM82" s="395"/>
      <c r="FN82" s="395"/>
      <c r="FO82" s="395"/>
      <c r="FP82" s="395"/>
      <c r="FQ82" s="395"/>
      <c r="FR82" s="395"/>
      <c r="FS82" s="395"/>
      <c r="FT82" s="395"/>
      <c r="FU82" s="395"/>
      <c r="FV82" s="395"/>
      <c r="FW82" s="395"/>
      <c r="FX82" s="395"/>
      <c r="FY82" s="395"/>
      <c r="FZ82" s="395"/>
      <c r="GA82" s="395"/>
      <c r="GB82" s="395"/>
      <c r="GC82" s="395"/>
      <c r="GD82" s="395"/>
      <c r="GE82" s="395"/>
      <c r="GF82" s="395"/>
      <c r="GG82" s="395"/>
      <c r="GH82" s="395"/>
      <c r="GI82" s="395"/>
      <c r="GJ82" s="395"/>
      <c r="GK82" s="395"/>
      <c r="GL82" s="395"/>
      <c r="GM82" s="395"/>
      <c r="GN82" s="395"/>
      <c r="GO82" s="395"/>
      <c r="GP82" s="395"/>
      <c r="GQ82" s="395"/>
      <c r="GR82" s="395"/>
      <c r="GS82" s="395"/>
      <c r="GT82" s="395"/>
      <c r="GU82" s="395"/>
      <c r="GV82" s="395"/>
      <c r="GW82" s="395"/>
      <c r="GX82" s="395"/>
      <c r="GY82" s="395"/>
      <c r="GZ82" s="395"/>
      <c r="HA82" s="395"/>
      <c r="HB82" s="395"/>
      <c r="HC82" s="395"/>
      <c r="HD82" s="395"/>
      <c r="HE82" s="395"/>
      <c r="HF82" s="395"/>
      <c r="HG82" s="395"/>
      <c r="HH82" s="395"/>
      <c r="HI82" s="395"/>
      <c r="HJ82" s="395"/>
      <c r="HK82" s="395"/>
      <c r="HL82" s="395"/>
      <c r="HM82" s="395"/>
      <c r="HN82" s="395"/>
      <c r="HO82" s="395"/>
      <c r="HP82" s="395"/>
      <c r="HQ82" s="395"/>
      <c r="HR82" s="395"/>
    </row>
    <row r="83" spans="1:226" s="866" customFormat="1" x14ac:dyDescent="0.25">
      <c r="A83" s="348" t="s">
        <v>1038</v>
      </c>
      <c r="B83" s="1273" t="s">
        <v>1100</v>
      </c>
      <c r="C83" s="3404" t="s">
        <v>1101</v>
      </c>
      <c r="D83" s="3405"/>
      <c r="E83" s="3405"/>
      <c r="F83" s="3405"/>
      <c r="G83" s="3405"/>
      <c r="H83" s="3405"/>
      <c r="I83" s="3405"/>
      <c r="J83" s="3406"/>
      <c r="K83" s="3406"/>
      <c r="L83" s="3406"/>
      <c r="M83" s="3406"/>
      <c r="N83" s="3406"/>
      <c r="O83" s="3406"/>
      <c r="P83" s="3406"/>
      <c r="Q83" s="3406"/>
      <c r="R83" s="1272"/>
      <c r="S83" s="1494">
        <f>IF(SI_IP_Units="IP",25,95)</f>
        <v>25</v>
      </c>
      <c r="T83" s="3407" t="str">
        <f>IF(SI_IP_Units="IP","gallons/day","liters/day")</f>
        <v>gallons/day</v>
      </c>
      <c r="U83" s="3408"/>
      <c r="V83" s="1608"/>
      <c r="W83" s="395"/>
      <c r="X83" s="395"/>
      <c r="Y83" s="395"/>
      <c r="Z83" s="2142"/>
      <c r="AA83" s="395"/>
      <c r="AB83" s="395"/>
      <c r="AC83" s="395"/>
      <c r="AD83" s="395"/>
      <c r="AE83" s="395"/>
      <c r="AF83" s="395"/>
      <c r="AG83" s="395"/>
      <c r="AH83" s="395"/>
      <c r="AI83" s="395"/>
      <c r="AJ83" s="395"/>
      <c r="AK83" s="395"/>
      <c r="AL83" s="395"/>
      <c r="AM83" s="395"/>
      <c r="AN83" s="395"/>
      <c r="AO83" s="395"/>
      <c r="AP83" s="395"/>
      <c r="AQ83" s="395"/>
      <c r="AR83" s="395"/>
      <c r="AS83" s="395"/>
      <c r="AT83" s="395"/>
      <c r="AU83" s="395"/>
      <c r="AV83" s="395"/>
      <c r="AW83" s="395"/>
      <c r="AX83" s="395"/>
      <c r="AY83" s="395"/>
      <c r="AZ83" s="395"/>
      <c r="BA83" s="395"/>
      <c r="BB83" s="395"/>
      <c r="BC83" s="395"/>
      <c r="BD83" s="395"/>
      <c r="BE83" s="395"/>
      <c r="BF83" s="395"/>
      <c r="BG83" s="395"/>
      <c r="BH83" s="395"/>
      <c r="BI83" s="395"/>
      <c r="BJ83" s="395"/>
      <c r="BK83" s="395"/>
      <c r="BL83" s="395"/>
      <c r="BM83" s="395"/>
      <c r="BN83" s="395"/>
      <c r="BO83" s="395"/>
      <c r="BP83" s="395"/>
      <c r="BQ83" s="395"/>
      <c r="BR83" s="395"/>
      <c r="BS83" s="395"/>
      <c r="BT83" s="395"/>
      <c r="BU83" s="395"/>
      <c r="BV83" s="395"/>
      <c r="BW83" s="395"/>
      <c r="BX83" s="395"/>
      <c r="BY83" s="395"/>
      <c r="BZ83" s="395"/>
      <c r="CA83" s="395"/>
      <c r="CB83" s="395"/>
      <c r="CC83" s="395"/>
      <c r="CD83" s="395"/>
      <c r="CE83" s="395"/>
      <c r="CF83" s="395"/>
      <c r="CG83" s="395"/>
      <c r="CH83" s="395"/>
      <c r="CI83" s="395"/>
      <c r="CJ83" s="395"/>
      <c r="CK83" s="395"/>
      <c r="CL83" s="395"/>
      <c r="CM83" s="395"/>
      <c r="CN83" s="395"/>
      <c r="CO83" s="395"/>
      <c r="CP83" s="395"/>
      <c r="CQ83" s="395"/>
      <c r="CR83" s="395"/>
      <c r="CS83" s="395"/>
      <c r="CT83" s="395"/>
      <c r="CU83" s="395"/>
      <c r="CV83" s="395"/>
      <c r="CW83" s="395"/>
      <c r="CX83" s="395"/>
      <c r="CY83" s="395"/>
      <c r="CZ83" s="395"/>
      <c r="DA83" s="395"/>
      <c r="DB83" s="395"/>
      <c r="DC83" s="395"/>
      <c r="DD83" s="395"/>
      <c r="DE83" s="395"/>
      <c r="DF83" s="395"/>
      <c r="DG83" s="395"/>
      <c r="DH83" s="395"/>
      <c r="DI83" s="395"/>
      <c r="DJ83" s="395"/>
      <c r="DK83" s="395"/>
      <c r="DL83" s="395"/>
      <c r="DM83" s="395"/>
      <c r="DN83" s="395"/>
      <c r="DO83" s="395"/>
      <c r="DP83" s="395"/>
      <c r="DQ83" s="395"/>
      <c r="DR83" s="395"/>
      <c r="DS83" s="395"/>
      <c r="DT83" s="395"/>
      <c r="DU83" s="395"/>
      <c r="DV83" s="395"/>
      <c r="DW83" s="395"/>
      <c r="DX83" s="395"/>
      <c r="DY83" s="395"/>
      <c r="DZ83" s="395"/>
      <c r="EA83" s="395"/>
      <c r="EB83" s="395"/>
      <c r="EC83" s="395"/>
      <c r="ED83" s="395"/>
      <c r="EE83" s="395"/>
      <c r="EF83" s="395"/>
      <c r="EG83" s="395"/>
      <c r="EH83" s="395"/>
      <c r="EI83" s="395"/>
      <c r="EJ83" s="395"/>
      <c r="EK83" s="395"/>
      <c r="EL83" s="395"/>
      <c r="EM83" s="395"/>
      <c r="EN83" s="395"/>
      <c r="EO83" s="395"/>
      <c r="EP83" s="395"/>
      <c r="EQ83" s="395"/>
      <c r="ER83" s="395"/>
      <c r="ES83" s="395"/>
      <c r="ET83" s="395"/>
      <c r="EU83" s="395"/>
      <c r="EV83" s="395"/>
      <c r="EW83" s="395"/>
      <c r="EX83" s="395"/>
      <c r="EY83" s="395"/>
      <c r="EZ83" s="395"/>
      <c r="FA83" s="395"/>
      <c r="FB83" s="395"/>
      <c r="FC83" s="395"/>
      <c r="FD83" s="395"/>
      <c r="FE83" s="395"/>
      <c r="FF83" s="395"/>
      <c r="FG83" s="395"/>
      <c r="FH83" s="395"/>
      <c r="FI83" s="395"/>
      <c r="FJ83" s="395"/>
      <c r="FK83" s="395"/>
      <c r="FL83" s="395"/>
      <c r="FM83" s="395"/>
      <c r="FN83" s="395"/>
      <c r="FO83" s="395"/>
      <c r="FP83" s="395"/>
      <c r="FQ83" s="395"/>
      <c r="FR83" s="395"/>
      <c r="FS83" s="395"/>
      <c r="FT83" s="395"/>
      <c r="FU83" s="395"/>
      <c r="FV83" s="395"/>
      <c r="FW83" s="395"/>
      <c r="FX83" s="395"/>
      <c r="FY83" s="395"/>
      <c r="FZ83" s="395"/>
      <c r="GA83" s="395"/>
      <c r="GB83" s="395"/>
      <c r="GC83" s="395"/>
      <c r="GD83" s="395"/>
      <c r="GE83" s="395"/>
      <c r="GF83" s="395"/>
      <c r="GG83" s="395"/>
      <c r="GH83" s="395"/>
      <c r="GI83" s="395"/>
      <c r="GJ83" s="395"/>
      <c r="GK83" s="395"/>
      <c r="GL83" s="395"/>
      <c r="GM83" s="395"/>
      <c r="GN83" s="395"/>
      <c r="GO83" s="395"/>
      <c r="GP83" s="395"/>
      <c r="GQ83" s="395"/>
      <c r="GR83" s="395"/>
      <c r="GS83" s="395"/>
      <c r="GT83" s="395"/>
      <c r="GU83" s="395"/>
      <c r="GV83" s="395"/>
      <c r="GW83" s="395"/>
      <c r="GX83" s="395"/>
      <c r="GY83" s="395"/>
      <c r="GZ83" s="395"/>
      <c r="HA83" s="395"/>
      <c r="HB83" s="395"/>
      <c r="HC83" s="395"/>
      <c r="HD83" s="395"/>
      <c r="HE83" s="395"/>
      <c r="HF83" s="395"/>
      <c r="HG83" s="395"/>
      <c r="HH83" s="395"/>
      <c r="HI83" s="395"/>
      <c r="HJ83" s="395"/>
      <c r="HK83" s="395"/>
      <c r="HL83" s="395"/>
      <c r="HM83" s="395"/>
      <c r="HN83" s="395"/>
      <c r="HO83" s="395"/>
      <c r="HP83" s="395"/>
      <c r="HQ83" s="395"/>
      <c r="HR83" s="395"/>
    </row>
    <row r="84" spans="1:226" s="866" customFormat="1" x14ac:dyDescent="0.25">
      <c r="A84" s="348" t="s">
        <v>1038</v>
      </c>
      <c r="B84" s="1273" t="s">
        <v>1102</v>
      </c>
      <c r="C84" s="3404" t="s">
        <v>1103</v>
      </c>
      <c r="D84" s="3405"/>
      <c r="E84" s="3405"/>
      <c r="F84" s="3405"/>
      <c r="G84" s="3405"/>
      <c r="H84" s="3405"/>
      <c r="I84" s="3405"/>
      <c r="J84" s="3406"/>
      <c r="K84" s="3406"/>
      <c r="L84" s="3406"/>
      <c r="M84" s="3406"/>
      <c r="N84" s="3406"/>
      <c r="O84" s="3406"/>
      <c r="P84" s="3406"/>
      <c r="Q84" s="3406"/>
      <c r="R84" s="1272"/>
      <c r="S84" s="1494">
        <f>IF(SI_IP_Units="IP",44,167)</f>
        <v>44</v>
      </c>
      <c r="T84" s="3407" t="str">
        <f>IF(SI_IP_Units="IP","gallons/day","liters/day")</f>
        <v>gallons/day</v>
      </c>
      <c r="U84" s="3408"/>
      <c r="V84" s="1608"/>
      <c r="W84" s="395"/>
      <c r="X84" s="395"/>
      <c r="Y84" s="395"/>
      <c r="Z84" s="2142"/>
      <c r="AA84" s="395"/>
      <c r="AB84" s="395"/>
      <c r="AC84" s="395"/>
      <c r="AD84" s="395"/>
      <c r="AE84" s="395"/>
      <c r="AF84" s="395"/>
      <c r="AG84" s="395"/>
      <c r="AH84" s="395"/>
      <c r="AI84" s="395"/>
      <c r="AJ84" s="395"/>
      <c r="AK84" s="395"/>
      <c r="AL84" s="395"/>
      <c r="AM84" s="395"/>
      <c r="AN84" s="395"/>
      <c r="AO84" s="395"/>
      <c r="AP84" s="395"/>
      <c r="AQ84" s="395"/>
      <c r="AR84" s="395"/>
      <c r="AS84" s="395"/>
      <c r="AT84" s="395"/>
      <c r="AU84" s="395"/>
      <c r="AV84" s="395"/>
      <c r="AW84" s="395"/>
      <c r="AX84" s="395"/>
      <c r="AY84" s="395"/>
      <c r="AZ84" s="395"/>
      <c r="BA84" s="395"/>
      <c r="BB84" s="395"/>
      <c r="BC84" s="395"/>
      <c r="BD84" s="395"/>
      <c r="BE84" s="395"/>
      <c r="BF84" s="395"/>
      <c r="BG84" s="395"/>
      <c r="BH84" s="395"/>
      <c r="BI84" s="395"/>
      <c r="BJ84" s="395"/>
      <c r="BK84" s="395"/>
      <c r="BL84" s="395"/>
      <c r="BM84" s="395"/>
      <c r="BN84" s="395"/>
      <c r="BO84" s="395"/>
      <c r="BP84" s="395"/>
      <c r="BQ84" s="395"/>
      <c r="BR84" s="395"/>
      <c r="BS84" s="395"/>
      <c r="BT84" s="395"/>
      <c r="BU84" s="395"/>
      <c r="BV84" s="395"/>
      <c r="BW84" s="395"/>
      <c r="BX84" s="395"/>
      <c r="BY84" s="395"/>
      <c r="BZ84" s="395"/>
      <c r="CA84" s="395"/>
      <c r="CB84" s="395"/>
      <c r="CC84" s="395"/>
      <c r="CD84" s="395"/>
      <c r="CE84" s="395"/>
      <c r="CF84" s="395"/>
      <c r="CG84" s="395"/>
      <c r="CH84" s="395"/>
      <c r="CI84" s="395"/>
      <c r="CJ84" s="395"/>
      <c r="CK84" s="395"/>
      <c r="CL84" s="395"/>
      <c r="CM84" s="395"/>
      <c r="CN84" s="395"/>
      <c r="CO84" s="395"/>
      <c r="CP84" s="395"/>
      <c r="CQ84" s="395"/>
      <c r="CR84" s="395"/>
      <c r="CS84" s="395"/>
      <c r="CT84" s="395"/>
      <c r="CU84" s="395"/>
      <c r="CV84" s="395"/>
      <c r="CW84" s="395"/>
      <c r="CX84" s="395"/>
      <c r="CY84" s="395"/>
      <c r="CZ84" s="395"/>
      <c r="DA84" s="395"/>
      <c r="DB84" s="395"/>
      <c r="DC84" s="395"/>
      <c r="DD84" s="395"/>
      <c r="DE84" s="395"/>
      <c r="DF84" s="395"/>
      <c r="DG84" s="395"/>
      <c r="DH84" s="395"/>
      <c r="DI84" s="395"/>
      <c r="DJ84" s="395"/>
      <c r="DK84" s="395"/>
      <c r="DL84" s="395"/>
      <c r="DM84" s="395"/>
      <c r="DN84" s="395"/>
      <c r="DO84" s="395"/>
      <c r="DP84" s="395"/>
      <c r="DQ84" s="395"/>
      <c r="DR84" s="395"/>
      <c r="DS84" s="395"/>
      <c r="DT84" s="395"/>
      <c r="DU84" s="395"/>
      <c r="DV84" s="395"/>
      <c r="DW84" s="395"/>
      <c r="DX84" s="395"/>
      <c r="DY84" s="395"/>
      <c r="DZ84" s="395"/>
      <c r="EA84" s="395"/>
      <c r="EB84" s="395"/>
      <c r="EC84" s="395"/>
      <c r="ED84" s="395"/>
      <c r="EE84" s="395"/>
      <c r="EF84" s="395"/>
      <c r="EG84" s="395"/>
      <c r="EH84" s="395"/>
      <c r="EI84" s="395"/>
      <c r="EJ84" s="395"/>
      <c r="EK84" s="395"/>
      <c r="EL84" s="395"/>
      <c r="EM84" s="395"/>
      <c r="EN84" s="395"/>
      <c r="EO84" s="395"/>
      <c r="EP84" s="395"/>
      <c r="EQ84" s="395"/>
      <c r="ER84" s="395"/>
      <c r="ES84" s="395"/>
      <c r="ET84" s="395"/>
      <c r="EU84" s="395"/>
      <c r="EV84" s="395"/>
      <c r="EW84" s="395"/>
      <c r="EX84" s="395"/>
      <c r="EY84" s="395"/>
      <c r="EZ84" s="395"/>
      <c r="FA84" s="395"/>
      <c r="FB84" s="395"/>
      <c r="FC84" s="395"/>
      <c r="FD84" s="395"/>
      <c r="FE84" s="395"/>
      <c r="FF84" s="395"/>
      <c r="FG84" s="395"/>
      <c r="FH84" s="395"/>
      <c r="FI84" s="395"/>
      <c r="FJ84" s="395"/>
      <c r="FK84" s="395"/>
      <c r="FL84" s="395"/>
      <c r="FM84" s="395"/>
      <c r="FN84" s="395"/>
      <c r="FO84" s="395"/>
      <c r="FP84" s="395"/>
      <c r="FQ84" s="395"/>
      <c r="FR84" s="395"/>
      <c r="FS84" s="395"/>
      <c r="FT84" s="395"/>
      <c r="FU84" s="395"/>
      <c r="FV84" s="395"/>
      <c r="FW84" s="395"/>
      <c r="FX84" s="395"/>
      <c r="FY84" s="395"/>
      <c r="FZ84" s="395"/>
      <c r="GA84" s="395"/>
      <c r="GB84" s="395"/>
      <c r="GC84" s="395"/>
      <c r="GD84" s="395"/>
      <c r="GE84" s="395"/>
      <c r="GF84" s="395"/>
      <c r="GG84" s="395"/>
      <c r="GH84" s="395"/>
      <c r="GI84" s="395"/>
      <c r="GJ84" s="395"/>
      <c r="GK84" s="395"/>
      <c r="GL84" s="395"/>
      <c r="GM84" s="395"/>
      <c r="GN84" s="395"/>
      <c r="GO84" s="395"/>
      <c r="GP84" s="395"/>
      <c r="GQ84" s="395"/>
      <c r="GR84" s="395"/>
      <c r="GS84" s="395"/>
      <c r="GT84" s="395"/>
      <c r="GU84" s="395"/>
      <c r="GV84" s="395"/>
      <c r="GW84" s="395"/>
      <c r="GX84" s="395"/>
      <c r="GY84" s="395"/>
      <c r="GZ84" s="395"/>
      <c r="HA84" s="395"/>
      <c r="HB84" s="395"/>
      <c r="HC84" s="395"/>
      <c r="HD84" s="395"/>
      <c r="HE84" s="395"/>
      <c r="HF84" s="395"/>
      <c r="HG84" s="395"/>
      <c r="HH84" s="395"/>
      <c r="HI84" s="395"/>
      <c r="HJ84" s="395"/>
      <c r="HK84" s="395"/>
      <c r="HL84" s="395"/>
      <c r="HM84" s="395"/>
      <c r="HN84" s="395"/>
      <c r="HO84" s="395"/>
      <c r="HP84" s="395"/>
      <c r="HQ84" s="395"/>
      <c r="HR84" s="395"/>
    </row>
    <row r="85" spans="1:226" s="866" customFormat="1" x14ac:dyDescent="0.25">
      <c r="A85" s="348" t="s">
        <v>1038</v>
      </c>
      <c r="B85" s="395"/>
      <c r="C85" s="395"/>
      <c r="D85" s="395"/>
      <c r="E85" s="395"/>
      <c r="F85" s="395"/>
      <c r="G85" s="395"/>
      <c r="H85" s="395"/>
      <c r="I85" s="395"/>
      <c r="J85" s="395"/>
      <c r="K85" s="395"/>
      <c r="L85" s="395"/>
      <c r="M85" s="395"/>
      <c r="N85" s="395"/>
      <c r="O85" s="395"/>
      <c r="P85" s="395"/>
      <c r="Q85" s="395"/>
      <c r="R85" s="395"/>
      <c r="S85" s="395"/>
      <c r="T85" s="395"/>
      <c r="U85" s="395"/>
      <c r="V85" s="1608"/>
      <c r="W85" s="395"/>
      <c r="X85" s="395"/>
      <c r="Y85" s="395"/>
      <c r="Z85" s="2140"/>
      <c r="AA85" s="395"/>
      <c r="AB85" s="395"/>
      <c r="AC85" s="395"/>
      <c r="AD85" s="395"/>
      <c r="AE85" s="395"/>
      <c r="AF85" s="395"/>
      <c r="AG85" s="395"/>
      <c r="AH85" s="395"/>
      <c r="AI85" s="395"/>
      <c r="AJ85" s="395"/>
      <c r="AK85" s="395"/>
      <c r="AL85" s="395"/>
      <c r="AM85" s="395"/>
      <c r="AN85" s="395"/>
      <c r="AO85" s="395"/>
      <c r="AP85" s="395"/>
      <c r="AQ85" s="395"/>
      <c r="AR85" s="395"/>
      <c r="AS85" s="395"/>
      <c r="AT85" s="395"/>
      <c r="AU85" s="395"/>
      <c r="AV85" s="395"/>
      <c r="AW85" s="395"/>
      <c r="AX85" s="395"/>
      <c r="AY85" s="395"/>
      <c r="AZ85" s="395"/>
      <c r="BA85" s="395"/>
      <c r="BB85" s="395"/>
      <c r="BC85" s="395"/>
      <c r="BD85" s="395"/>
      <c r="BE85" s="395"/>
      <c r="BF85" s="395"/>
      <c r="BG85" s="395"/>
      <c r="BH85" s="395"/>
      <c r="BI85" s="395"/>
      <c r="BJ85" s="395"/>
      <c r="BK85" s="395"/>
      <c r="BL85" s="395"/>
      <c r="BM85" s="395"/>
      <c r="BN85" s="395"/>
      <c r="BO85" s="395"/>
      <c r="BP85" s="395"/>
      <c r="BQ85" s="395"/>
      <c r="BR85" s="395"/>
      <c r="BS85" s="395"/>
      <c r="BT85" s="395"/>
      <c r="BU85" s="395"/>
      <c r="BV85" s="395"/>
      <c r="BW85" s="395"/>
      <c r="BX85" s="395"/>
      <c r="BY85" s="395"/>
      <c r="BZ85" s="395"/>
      <c r="CA85" s="395"/>
      <c r="CB85" s="395"/>
      <c r="CC85" s="395"/>
      <c r="CD85" s="395"/>
      <c r="CE85" s="395"/>
      <c r="CF85" s="395"/>
      <c r="CG85" s="395"/>
      <c r="CH85" s="395"/>
      <c r="CI85" s="395"/>
      <c r="CJ85" s="395"/>
      <c r="CK85" s="395"/>
      <c r="CL85" s="395"/>
      <c r="CM85" s="395"/>
      <c r="CN85" s="395"/>
      <c r="CO85" s="395"/>
      <c r="CP85" s="395"/>
      <c r="CQ85" s="395"/>
      <c r="CR85" s="395"/>
      <c r="CS85" s="395"/>
      <c r="CT85" s="395"/>
      <c r="CU85" s="395"/>
      <c r="CV85" s="395"/>
      <c r="CW85" s="395"/>
      <c r="CX85" s="395"/>
      <c r="CY85" s="395"/>
      <c r="CZ85" s="395"/>
      <c r="DA85" s="395"/>
      <c r="DB85" s="395"/>
      <c r="DC85" s="395"/>
      <c r="DD85" s="395"/>
      <c r="DE85" s="395"/>
      <c r="DF85" s="395"/>
      <c r="DG85" s="395"/>
      <c r="DH85" s="395"/>
      <c r="DI85" s="395"/>
      <c r="DJ85" s="395"/>
      <c r="DK85" s="395"/>
      <c r="DL85" s="395"/>
      <c r="DM85" s="395"/>
      <c r="DN85" s="395"/>
      <c r="DO85" s="395"/>
      <c r="DP85" s="395"/>
      <c r="DQ85" s="395"/>
      <c r="DR85" s="395"/>
      <c r="DS85" s="395"/>
      <c r="DT85" s="395"/>
      <c r="DU85" s="395"/>
      <c r="DV85" s="395"/>
      <c r="DW85" s="395"/>
      <c r="DX85" s="395"/>
      <c r="DY85" s="395"/>
      <c r="DZ85" s="395"/>
      <c r="EA85" s="395"/>
      <c r="EB85" s="395"/>
      <c r="EC85" s="395"/>
      <c r="ED85" s="395"/>
      <c r="EE85" s="395"/>
      <c r="EF85" s="395"/>
      <c r="EG85" s="395"/>
      <c r="EH85" s="395"/>
      <c r="EI85" s="395"/>
      <c r="EJ85" s="395"/>
      <c r="EK85" s="395"/>
      <c r="EL85" s="395"/>
      <c r="EM85" s="395"/>
      <c r="EN85" s="395"/>
      <c r="EO85" s="395"/>
      <c r="EP85" s="395"/>
      <c r="EQ85" s="395"/>
      <c r="ER85" s="395"/>
      <c r="ES85" s="395"/>
      <c r="ET85" s="395"/>
      <c r="EU85" s="395"/>
      <c r="EV85" s="395"/>
      <c r="EW85" s="395"/>
      <c r="EX85" s="395"/>
      <c r="EY85" s="395"/>
      <c r="EZ85" s="395"/>
      <c r="FA85" s="395"/>
      <c r="FB85" s="395"/>
      <c r="FC85" s="395"/>
      <c r="FD85" s="395"/>
      <c r="FE85" s="395"/>
      <c r="FF85" s="395"/>
      <c r="FG85" s="395"/>
      <c r="FH85" s="395"/>
      <c r="FI85" s="395"/>
      <c r="FJ85" s="395"/>
      <c r="FK85" s="395"/>
      <c r="FL85" s="395"/>
      <c r="FM85" s="395"/>
      <c r="FN85" s="395"/>
      <c r="FO85" s="395"/>
      <c r="FP85" s="395"/>
      <c r="FQ85" s="395"/>
      <c r="FR85" s="395"/>
      <c r="FS85" s="395"/>
      <c r="FT85" s="395"/>
      <c r="FU85" s="395"/>
      <c r="FV85" s="395"/>
      <c r="FW85" s="395"/>
      <c r="FX85" s="395"/>
      <c r="FY85" s="395"/>
      <c r="FZ85" s="395"/>
      <c r="GA85" s="395"/>
      <c r="GB85" s="395"/>
      <c r="GC85" s="395"/>
      <c r="GD85" s="395"/>
      <c r="GE85" s="395"/>
      <c r="GF85" s="395"/>
      <c r="GG85" s="395"/>
      <c r="GH85" s="395"/>
      <c r="GI85" s="395"/>
      <c r="GJ85" s="395"/>
      <c r="GK85" s="395"/>
      <c r="GL85" s="395"/>
      <c r="GM85" s="395"/>
      <c r="GN85" s="395"/>
      <c r="GO85" s="395"/>
      <c r="GP85" s="395"/>
      <c r="GQ85" s="395"/>
      <c r="GR85" s="395"/>
      <c r="GS85" s="395"/>
      <c r="GT85" s="395"/>
      <c r="GU85" s="395"/>
      <c r="GV85" s="395"/>
      <c r="GW85" s="395"/>
      <c r="GX85" s="395"/>
      <c r="GY85" s="395"/>
      <c r="GZ85" s="395"/>
      <c r="HA85" s="395"/>
      <c r="HB85" s="395"/>
      <c r="HC85" s="395"/>
      <c r="HD85" s="395"/>
      <c r="HE85" s="395"/>
      <c r="HF85" s="395"/>
      <c r="HG85" s="395"/>
      <c r="HH85" s="395"/>
      <c r="HI85" s="395"/>
      <c r="HJ85" s="395"/>
      <c r="HK85" s="395"/>
      <c r="HL85" s="395"/>
      <c r="HM85" s="395"/>
      <c r="HN85" s="395"/>
      <c r="HO85" s="395"/>
      <c r="HP85" s="395"/>
      <c r="HQ85" s="395"/>
      <c r="HR85" s="395"/>
    </row>
    <row r="86" spans="1:226" s="866" customFormat="1" ht="90" customHeight="1" x14ac:dyDescent="0.25">
      <c r="A86" s="348" t="s">
        <v>1038</v>
      </c>
      <c r="B86" s="3409" t="str">
        <f>CONCATENATE("Report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weighted average fixture flows for sink and shower fixtures. Supply temperature at fixture point of use shall be ",IF(SI_IP_Units="IP","120 degrees F","49 degrees C"),".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f>
        <v>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weighted average fixture flows for sink and shower fixtures. Supply temperature at fixture point of use shall be 120 degrees F.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v>
      </c>
      <c r="C86" s="3410"/>
      <c r="D86" s="3410"/>
      <c r="E86" s="3410"/>
      <c r="F86" s="3410"/>
      <c r="G86" s="3410"/>
      <c r="H86" s="3410"/>
      <c r="I86" s="3410"/>
      <c r="J86" s="3410"/>
      <c r="K86" s="3410"/>
      <c r="L86" s="3410"/>
      <c r="M86" s="3410"/>
      <c r="N86" s="3410"/>
      <c r="O86" s="3410"/>
      <c r="P86" s="3410"/>
      <c r="Q86" s="3410"/>
      <c r="R86" s="3410"/>
      <c r="S86" s="3410"/>
      <c r="T86" s="3410"/>
      <c r="U86" s="3410"/>
      <c r="V86" s="1608"/>
      <c r="W86" s="395"/>
      <c r="X86" s="395"/>
      <c r="Y86" s="395"/>
      <c r="Z86" s="2140"/>
      <c r="AA86" s="395"/>
      <c r="AB86" s="395"/>
      <c r="AC86" s="395"/>
      <c r="AD86" s="395"/>
      <c r="AE86" s="395"/>
      <c r="AF86" s="395"/>
      <c r="AG86" s="395"/>
      <c r="AH86" s="395"/>
      <c r="AI86" s="395"/>
      <c r="AJ86" s="395"/>
      <c r="AK86" s="395"/>
      <c r="AL86" s="395"/>
      <c r="AM86" s="395"/>
      <c r="AN86" s="395"/>
      <c r="AO86" s="395"/>
      <c r="AP86" s="395"/>
      <c r="AQ86" s="395"/>
      <c r="AR86" s="395"/>
      <c r="AS86" s="395"/>
      <c r="AT86" s="395"/>
      <c r="AU86" s="395"/>
      <c r="AV86" s="395"/>
      <c r="AW86" s="395"/>
      <c r="AX86" s="395"/>
      <c r="AY86" s="395"/>
      <c r="AZ86" s="395"/>
      <c r="BA86" s="395"/>
      <c r="BB86" s="395"/>
      <c r="BC86" s="395"/>
      <c r="BD86" s="395"/>
      <c r="BE86" s="395"/>
      <c r="BF86" s="395"/>
      <c r="BG86" s="395"/>
      <c r="BH86" s="395"/>
      <c r="BI86" s="395"/>
      <c r="BJ86" s="395"/>
      <c r="BK86" s="395"/>
      <c r="BL86" s="395"/>
      <c r="BM86" s="395"/>
      <c r="BN86" s="395"/>
      <c r="BO86" s="395"/>
      <c r="BP86" s="395"/>
      <c r="BQ86" s="395"/>
      <c r="BR86" s="395"/>
      <c r="BS86" s="395"/>
      <c r="BT86" s="395"/>
      <c r="BU86" s="395"/>
      <c r="BV86" s="395"/>
      <c r="BW86" s="395"/>
      <c r="BX86" s="395"/>
      <c r="BY86" s="395"/>
      <c r="BZ86" s="395"/>
      <c r="CA86" s="395"/>
      <c r="CB86" s="395"/>
      <c r="CC86" s="395"/>
      <c r="CD86" s="395"/>
      <c r="CE86" s="395"/>
      <c r="CF86" s="395"/>
      <c r="CG86" s="395"/>
      <c r="CH86" s="395"/>
      <c r="CI86" s="395"/>
      <c r="CJ86" s="395"/>
      <c r="CK86" s="395"/>
      <c r="CL86" s="395"/>
      <c r="CM86" s="395"/>
      <c r="CN86" s="395"/>
      <c r="CO86" s="395"/>
      <c r="CP86" s="395"/>
      <c r="CQ86" s="395"/>
      <c r="CR86" s="395"/>
      <c r="CS86" s="395"/>
      <c r="CT86" s="395"/>
      <c r="CU86" s="395"/>
      <c r="CV86" s="395"/>
      <c r="CW86" s="395"/>
      <c r="CX86" s="395"/>
      <c r="CY86" s="395"/>
      <c r="CZ86" s="395"/>
      <c r="DA86" s="395"/>
      <c r="DB86" s="395"/>
      <c r="DC86" s="395"/>
      <c r="DD86" s="395"/>
      <c r="DE86" s="395"/>
      <c r="DF86" s="395"/>
      <c r="DG86" s="395"/>
      <c r="DH86" s="395"/>
      <c r="DI86" s="395"/>
      <c r="DJ86" s="395"/>
      <c r="DK86" s="395"/>
      <c r="DL86" s="395"/>
      <c r="DM86" s="395"/>
      <c r="DN86" s="395"/>
      <c r="DO86" s="395"/>
      <c r="DP86" s="395"/>
      <c r="DQ86" s="395"/>
      <c r="DR86" s="395"/>
      <c r="DS86" s="395"/>
      <c r="DT86" s="395"/>
      <c r="DU86" s="395"/>
      <c r="DV86" s="395"/>
      <c r="DW86" s="395"/>
      <c r="DX86" s="395"/>
      <c r="DY86" s="395"/>
      <c r="DZ86" s="395"/>
      <c r="EA86" s="395"/>
      <c r="EB86" s="395"/>
      <c r="EC86" s="395"/>
      <c r="ED86" s="395"/>
      <c r="EE86" s="395"/>
      <c r="EF86" s="395"/>
      <c r="EG86" s="395"/>
      <c r="EH86" s="395"/>
      <c r="EI86" s="395"/>
      <c r="EJ86" s="395"/>
      <c r="EK86" s="395"/>
      <c r="EL86" s="395"/>
      <c r="EM86" s="395"/>
      <c r="EN86" s="395"/>
      <c r="EO86" s="395"/>
      <c r="EP86" s="395"/>
      <c r="EQ86" s="395"/>
      <c r="ER86" s="395"/>
      <c r="ES86" s="395"/>
      <c r="ET86" s="395"/>
      <c r="EU86" s="395"/>
      <c r="EV86" s="395"/>
      <c r="EW86" s="395"/>
      <c r="EX86" s="395"/>
      <c r="EY86" s="395"/>
      <c r="EZ86" s="395"/>
      <c r="FA86" s="395"/>
      <c r="FB86" s="395"/>
      <c r="FC86" s="395"/>
      <c r="FD86" s="395"/>
      <c r="FE86" s="395"/>
      <c r="FF86" s="395"/>
      <c r="FG86" s="395"/>
      <c r="FH86" s="395"/>
      <c r="FI86" s="395"/>
      <c r="FJ86" s="395"/>
      <c r="FK86" s="395"/>
      <c r="FL86" s="395"/>
      <c r="FM86" s="395"/>
      <c r="FN86" s="395"/>
      <c r="FO86" s="395"/>
      <c r="FP86" s="395"/>
      <c r="FQ86" s="395"/>
      <c r="FR86" s="395"/>
      <c r="FS86" s="395"/>
      <c r="FT86" s="395"/>
      <c r="FU86" s="395"/>
      <c r="FV86" s="395"/>
      <c r="FW86" s="395"/>
      <c r="FX86" s="395"/>
      <c r="FY86" s="395"/>
      <c r="FZ86" s="395"/>
      <c r="GA86" s="395"/>
      <c r="GB86" s="395"/>
      <c r="GC86" s="395"/>
      <c r="GD86" s="395"/>
      <c r="GE86" s="395"/>
      <c r="GF86" s="395"/>
      <c r="GG86" s="395"/>
      <c r="GH86" s="395"/>
      <c r="GI86" s="395"/>
      <c r="GJ86" s="395"/>
      <c r="GK86" s="395"/>
      <c r="GL86" s="395"/>
      <c r="GM86" s="395"/>
      <c r="GN86" s="395"/>
      <c r="GO86" s="395"/>
      <c r="GP86" s="395"/>
      <c r="GQ86" s="395"/>
      <c r="GR86" s="395"/>
      <c r="GS86" s="395"/>
      <c r="GT86" s="395"/>
      <c r="GU86" s="395"/>
      <c r="GV86" s="395"/>
      <c r="GW86" s="395"/>
      <c r="GX86" s="395"/>
      <c r="GY86" s="395"/>
      <c r="GZ86" s="395"/>
      <c r="HA86" s="395"/>
      <c r="HB86" s="395"/>
      <c r="HC86" s="395"/>
      <c r="HD86" s="395"/>
      <c r="HE86" s="395"/>
      <c r="HF86" s="395"/>
      <c r="HG86" s="395"/>
      <c r="HH86" s="395"/>
      <c r="HI86" s="395"/>
      <c r="HJ86" s="395"/>
      <c r="HK86" s="395"/>
      <c r="HL86" s="395"/>
      <c r="HM86" s="395"/>
      <c r="HN86" s="395"/>
      <c r="HO86" s="395"/>
      <c r="HP86" s="395"/>
      <c r="HQ86" s="395"/>
      <c r="HR86" s="395"/>
    </row>
    <row r="87" spans="1:226" s="866" customFormat="1" x14ac:dyDescent="0.25">
      <c r="A87" s="348" t="s">
        <v>1038</v>
      </c>
      <c r="B87" s="395"/>
      <c r="C87" s="395"/>
      <c r="D87" s="395"/>
      <c r="E87" s="395"/>
      <c r="F87" s="395"/>
      <c r="G87" s="395"/>
      <c r="H87" s="395"/>
      <c r="I87" s="395"/>
      <c r="J87" s="395"/>
      <c r="K87" s="395"/>
      <c r="L87" s="395"/>
      <c r="M87" s="395"/>
      <c r="N87" s="395"/>
      <c r="O87" s="395"/>
      <c r="P87" s="395"/>
      <c r="Q87" s="395"/>
      <c r="R87" s="395"/>
      <c r="S87" s="395"/>
      <c r="T87" s="395"/>
      <c r="U87" s="395"/>
      <c r="V87" s="1608"/>
      <c r="W87" s="395"/>
      <c r="X87" s="395"/>
      <c r="Y87" s="395"/>
      <c r="Z87" s="2140"/>
      <c r="AA87" s="395"/>
      <c r="AB87" s="395"/>
      <c r="AC87" s="395"/>
      <c r="AD87" s="395"/>
      <c r="AE87" s="395"/>
      <c r="AF87" s="395"/>
      <c r="AG87" s="395"/>
      <c r="AH87" s="395"/>
      <c r="AI87" s="395"/>
      <c r="AJ87" s="395"/>
      <c r="AK87" s="395"/>
      <c r="AL87" s="395"/>
      <c r="AM87" s="395"/>
      <c r="AN87" s="395"/>
      <c r="AO87" s="395"/>
      <c r="AP87" s="395"/>
      <c r="AQ87" s="395"/>
      <c r="AR87" s="395"/>
      <c r="AS87" s="395"/>
      <c r="AT87" s="395"/>
      <c r="AU87" s="395"/>
      <c r="AV87" s="395"/>
      <c r="AW87" s="395"/>
      <c r="AX87" s="395"/>
      <c r="AY87" s="395"/>
      <c r="AZ87" s="395"/>
      <c r="BA87" s="395"/>
      <c r="BB87" s="395"/>
      <c r="BC87" s="395"/>
      <c r="BD87" s="395"/>
      <c r="BE87" s="395"/>
      <c r="BF87" s="395"/>
      <c r="BG87" s="395"/>
      <c r="BH87" s="395"/>
      <c r="BI87" s="395"/>
      <c r="BJ87" s="395"/>
      <c r="BK87" s="395"/>
      <c r="BL87" s="395"/>
      <c r="BM87" s="395"/>
      <c r="BN87" s="395"/>
      <c r="BO87" s="395"/>
      <c r="BP87" s="395"/>
      <c r="BQ87" s="395"/>
      <c r="BR87" s="395"/>
      <c r="BS87" s="395"/>
      <c r="BT87" s="395"/>
      <c r="BU87" s="395"/>
      <c r="BV87" s="395"/>
      <c r="BW87" s="395"/>
      <c r="BX87" s="395"/>
      <c r="BY87" s="395"/>
      <c r="BZ87" s="395"/>
      <c r="CA87" s="395"/>
      <c r="CB87" s="395"/>
      <c r="CC87" s="395"/>
      <c r="CD87" s="395"/>
      <c r="CE87" s="395"/>
      <c r="CF87" s="395"/>
      <c r="CG87" s="395"/>
      <c r="CH87" s="395"/>
      <c r="CI87" s="395"/>
      <c r="CJ87" s="395"/>
      <c r="CK87" s="395"/>
      <c r="CL87" s="395"/>
      <c r="CM87" s="395"/>
      <c r="CN87" s="395"/>
      <c r="CO87" s="395"/>
      <c r="CP87" s="395"/>
      <c r="CQ87" s="395"/>
      <c r="CR87" s="395"/>
      <c r="CS87" s="395"/>
      <c r="CT87" s="395"/>
      <c r="CU87" s="395"/>
      <c r="CV87" s="395"/>
      <c r="CW87" s="395"/>
      <c r="CX87" s="395"/>
      <c r="CY87" s="395"/>
      <c r="CZ87" s="395"/>
      <c r="DA87" s="395"/>
      <c r="DB87" s="395"/>
      <c r="DC87" s="395"/>
      <c r="DD87" s="395"/>
      <c r="DE87" s="395"/>
      <c r="DF87" s="395"/>
      <c r="DG87" s="395"/>
      <c r="DH87" s="395"/>
      <c r="DI87" s="395"/>
      <c r="DJ87" s="395"/>
      <c r="DK87" s="395"/>
      <c r="DL87" s="395"/>
      <c r="DM87" s="395"/>
      <c r="DN87" s="395"/>
      <c r="DO87" s="395"/>
      <c r="DP87" s="395"/>
      <c r="DQ87" s="395"/>
      <c r="DR87" s="395"/>
      <c r="DS87" s="395"/>
      <c r="DT87" s="395"/>
      <c r="DU87" s="395"/>
      <c r="DV87" s="395"/>
      <c r="DW87" s="395"/>
      <c r="DX87" s="395"/>
      <c r="DY87" s="395"/>
      <c r="DZ87" s="395"/>
      <c r="EA87" s="395"/>
      <c r="EB87" s="395"/>
      <c r="EC87" s="395"/>
      <c r="ED87" s="395"/>
      <c r="EE87" s="395"/>
      <c r="EF87" s="395"/>
      <c r="EG87" s="395"/>
      <c r="EH87" s="395"/>
      <c r="EI87" s="395"/>
      <c r="EJ87" s="395"/>
      <c r="EK87" s="395"/>
      <c r="EL87" s="395"/>
      <c r="EM87" s="395"/>
      <c r="EN87" s="395"/>
      <c r="EO87" s="395"/>
      <c r="EP87" s="395"/>
      <c r="EQ87" s="395"/>
      <c r="ER87" s="395"/>
      <c r="ES87" s="395"/>
      <c r="ET87" s="395"/>
      <c r="EU87" s="395"/>
      <c r="EV87" s="395"/>
      <c r="EW87" s="395"/>
      <c r="EX87" s="395"/>
      <c r="EY87" s="395"/>
      <c r="EZ87" s="395"/>
      <c r="FA87" s="395"/>
      <c r="FB87" s="395"/>
      <c r="FC87" s="395"/>
      <c r="FD87" s="395"/>
      <c r="FE87" s="395"/>
      <c r="FF87" s="395"/>
      <c r="FG87" s="395"/>
      <c r="FH87" s="395"/>
      <c r="FI87" s="395"/>
      <c r="FJ87" s="395"/>
      <c r="FK87" s="395"/>
      <c r="FL87" s="395"/>
      <c r="FM87" s="395"/>
      <c r="FN87" s="395"/>
      <c r="FO87" s="395"/>
      <c r="FP87" s="395"/>
      <c r="FQ87" s="395"/>
      <c r="FR87" s="395"/>
      <c r="FS87" s="395"/>
      <c r="FT87" s="395"/>
      <c r="FU87" s="395"/>
      <c r="FV87" s="395"/>
      <c r="FW87" s="395"/>
      <c r="FX87" s="395"/>
      <c r="FY87" s="395"/>
      <c r="FZ87" s="395"/>
      <c r="GA87" s="395"/>
      <c r="GB87" s="395"/>
      <c r="GC87" s="395"/>
      <c r="GD87" s="395"/>
      <c r="GE87" s="395"/>
      <c r="GF87" s="395"/>
      <c r="GG87" s="395"/>
      <c r="GH87" s="395"/>
      <c r="GI87" s="395"/>
      <c r="GJ87" s="395"/>
      <c r="GK87" s="395"/>
      <c r="GL87" s="395"/>
      <c r="GM87" s="395"/>
      <c r="GN87" s="395"/>
      <c r="GO87" s="395"/>
      <c r="GP87" s="395"/>
      <c r="GQ87" s="395"/>
      <c r="GR87" s="395"/>
      <c r="GS87" s="395"/>
      <c r="GT87" s="395"/>
      <c r="GU87" s="395"/>
      <c r="GV87" s="395"/>
      <c r="GW87" s="395"/>
      <c r="GX87" s="395"/>
      <c r="GY87" s="395"/>
      <c r="GZ87" s="395"/>
      <c r="HA87" s="395"/>
      <c r="HB87" s="395"/>
      <c r="HC87" s="395"/>
      <c r="HD87" s="395"/>
      <c r="HE87" s="395"/>
      <c r="HF87" s="395"/>
      <c r="HG87" s="395"/>
      <c r="HH87" s="395"/>
      <c r="HI87" s="395"/>
      <c r="HJ87" s="395"/>
      <c r="HK87" s="395"/>
      <c r="HL87" s="395"/>
      <c r="HM87" s="395"/>
      <c r="HN87" s="395"/>
      <c r="HO87" s="395"/>
      <c r="HP87" s="395"/>
      <c r="HQ87" s="395"/>
      <c r="HR87" s="395"/>
    </row>
    <row r="88" spans="1:226" s="866" customFormat="1" ht="27.75" customHeight="1" x14ac:dyDescent="0.25">
      <c r="A88" s="348" t="s">
        <v>1038</v>
      </c>
      <c r="B88" s="3357" t="s">
        <v>1087</v>
      </c>
      <c r="C88" s="3395" t="s">
        <v>1276</v>
      </c>
      <c r="D88" s="3375" t="str">
        <f>CONCATENATE("Average Fixture Flows ",IF(SI_IP_Units="IP","(gallons/minute)","(Liters/second)"))</f>
        <v>Average Fixture Flows (gallons/minute)</v>
      </c>
      <c r="E88" s="3376"/>
      <c r="F88" s="3376"/>
      <c r="G88" s="3377"/>
      <c r="H88" s="3375" t="str">
        <f>CONCATENATE("DHW Temperature Settings ",IF(SI_IP_Units="IP","(degrees F)","(degrees C)"))</f>
        <v>DHW Temperature Settings (degrees F)</v>
      </c>
      <c r="I88" s="3376"/>
      <c r="J88" s="3377"/>
      <c r="K88" s="3371" t="str">
        <f>CONCATENATE("DHW Sink and Shower Fixture Loads at Point of Use",IF(SI_IP_Units="IP"," (gallons / year)", "(Liters / year)"))</f>
        <v>DHW Sink and Shower Fixture Loads at Point of Use (gallons / year)</v>
      </c>
      <c r="L88" s="3372"/>
      <c r="M88" s="3371" t="str">
        <f>CONCATENATE("DHW In-Unit Appliance Loads at Point of Use",IF(SI_IP_Units="IP"," (gallons / year)", "(Liters / year)"))</f>
        <v>DHW In-Unit Appliance Loads at Point of Use (gallons / year)</v>
      </c>
      <c r="N88" s="3372"/>
      <c r="O88" s="3371" t="str">
        <f>CONCATENATE("DHW Laundry Room Equipment Loads at Point of Use",IF(SI_IP_Units="IP"," (gallons / year)", "(Liters / year)"))</f>
        <v>DHW Laundry Room Equipment Loads at Point of Use (gallons / year)</v>
      </c>
      <c r="P88" s="3372"/>
      <c r="Q88" s="3371" t="str">
        <f>CONCATENATE("DHW Total Residential Loads at Point of Use",IF(SI_IP_Units="IP"," (gallons / year)", "(Liters / year)"))</f>
        <v>DHW Total Residential Loads at Point of Use (gallons / year)</v>
      </c>
      <c r="R88" s="3372"/>
      <c r="S88" s="3371" t="str">
        <f>CONCATENATE("DHW Total Residential Loads at DHW Heater",IF(SI_IP_Units="IP"," (gallons / year)", "(Liters / year)"))</f>
        <v>DHW Total Residential Loads at DHW Heater (gallons / year)</v>
      </c>
      <c r="T88" s="3372"/>
      <c r="U88" s="3380" t="s">
        <v>1277</v>
      </c>
      <c r="V88" s="3371" t="str">
        <f>CONCATENATE("DHW Modeled Peak Residential Flow at DHW Heater",IF(SI_IP_Units="IP"," (gallons / minute)", "(Liters / second)"))</f>
        <v>DHW Modeled Peak Residential Flow at DHW Heater (gallons / minute)</v>
      </c>
      <c r="W88" s="3372"/>
      <c r="X88" s="1826" t="s">
        <v>2544</v>
      </c>
      <c r="Y88" s="395"/>
      <c r="Z88" s="2140"/>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395"/>
      <c r="BC88" s="395"/>
      <c r="BD88" s="395"/>
      <c r="BE88" s="395"/>
      <c r="BF88" s="395"/>
      <c r="BG88" s="395"/>
      <c r="BH88" s="395"/>
      <c r="BI88" s="395"/>
      <c r="BJ88" s="395"/>
      <c r="BK88" s="395"/>
      <c r="BL88" s="395"/>
      <c r="BM88" s="395"/>
      <c r="BN88" s="395"/>
      <c r="BO88" s="395"/>
      <c r="BP88" s="395"/>
      <c r="BQ88" s="395"/>
      <c r="BR88" s="395"/>
      <c r="BS88" s="395"/>
      <c r="BT88" s="395"/>
      <c r="BU88" s="395"/>
      <c r="BV88" s="395"/>
      <c r="BW88" s="395"/>
      <c r="BX88" s="395"/>
      <c r="BY88" s="395"/>
      <c r="BZ88" s="395"/>
      <c r="CA88" s="395"/>
      <c r="CB88" s="395"/>
      <c r="CC88" s="395"/>
      <c r="CD88" s="395"/>
      <c r="CE88" s="395"/>
      <c r="CF88" s="395"/>
      <c r="CG88" s="395"/>
      <c r="CH88" s="395"/>
      <c r="CI88" s="395"/>
      <c r="CJ88" s="395"/>
      <c r="CK88" s="395"/>
      <c r="CL88" s="395"/>
      <c r="CM88" s="395"/>
      <c r="CN88" s="395"/>
      <c r="CO88" s="395"/>
      <c r="CP88" s="395"/>
      <c r="CQ88" s="395"/>
      <c r="CR88" s="395"/>
      <c r="CS88" s="395"/>
      <c r="CT88" s="395"/>
      <c r="CU88" s="395"/>
      <c r="CV88" s="395"/>
      <c r="CW88" s="395"/>
      <c r="CX88" s="395"/>
      <c r="CY88" s="395"/>
      <c r="CZ88" s="395"/>
      <c r="DA88" s="395"/>
      <c r="DB88" s="395"/>
      <c r="DC88" s="395"/>
      <c r="DD88" s="395"/>
      <c r="DE88" s="395"/>
      <c r="DF88" s="395"/>
      <c r="DG88" s="395"/>
      <c r="DH88" s="395"/>
      <c r="DI88" s="395"/>
      <c r="DJ88" s="395"/>
      <c r="DK88" s="395"/>
      <c r="DL88" s="395"/>
      <c r="DM88" s="395"/>
      <c r="DN88" s="395"/>
      <c r="DO88" s="395"/>
      <c r="DP88" s="395"/>
      <c r="DQ88" s="395"/>
      <c r="DR88" s="395"/>
      <c r="DS88" s="395"/>
      <c r="DT88" s="395"/>
      <c r="DU88" s="395"/>
      <c r="DV88" s="395"/>
      <c r="DW88" s="395"/>
      <c r="DX88" s="395"/>
      <c r="DY88" s="395"/>
      <c r="DZ88" s="395"/>
      <c r="EA88" s="395"/>
      <c r="EB88" s="395"/>
      <c r="EC88" s="395"/>
      <c r="ED88" s="395"/>
      <c r="EE88" s="395"/>
      <c r="EF88" s="395"/>
      <c r="EG88" s="395"/>
      <c r="EH88" s="395"/>
      <c r="EI88" s="395"/>
      <c r="EJ88" s="395"/>
      <c r="EK88" s="395"/>
      <c r="EL88" s="395"/>
      <c r="EM88" s="395"/>
      <c r="EN88" s="395"/>
      <c r="EO88" s="395"/>
      <c r="EP88" s="395"/>
      <c r="EQ88" s="395"/>
      <c r="ER88" s="395"/>
      <c r="ES88" s="395"/>
      <c r="ET88" s="395"/>
      <c r="EU88" s="395"/>
      <c r="EV88" s="395"/>
      <c r="EW88" s="395"/>
      <c r="EX88" s="395"/>
      <c r="EY88" s="395"/>
      <c r="EZ88" s="395"/>
      <c r="FA88" s="395"/>
      <c r="FB88" s="395"/>
      <c r="FC88" s="395"/>
      <c r="FD88" s="395"/>
      <c r="FE88" s="395"/>
      <c r="FF88" s="395"/>
      <c r="FG88" s="395"/>
      <c r="FH88" s="395"/>
      <c r="FI88" s="395"/>
      <c r="FJ88" s="395"/>
      <c r="FK88" s="395"/>
      <c r="FL88" s="395"/>
      <c r="FM88" s="395"/>
      <c r="FN88" s="395"/>
      <c r="FO88" s="395"/>
      <c r="FP88" s="395"/>
      <c r="FQ88" s="395"/>
      <c r="FR88" s="395"/>
      <c r="FS88" s="395"/>
      <c r="FT88" s="395"/>
      <c r="FU88" s="395"/>
      <c r="FV88" s="395"/>
      <c r="FW88" s="395"/>
      <c r="FX88" s="395"/>
      <c r="FY88" s="395"/>
      <c r="FZ88" s="395"/>
      <c r="GA88" s="395"/>
      <c r="GB88" s="395"/>
      <c r="GC88" s="395"/>
      <c r="GD88" s="395"/>
      <c r="GE88" s="395"/>
      <c r="GF88" s="395"/>
      <c r="GG88" s="395"/>
      <c r="GH88" s="395"/>
      <c r="GI88" s="395"/>
      <c r="GJ88" s="395"/>
      <c r="GK88" s="395"/>
      <c r="GL88" s="395"/>
      <c r="GM88" s="395"/>
      <c r="GN88" s="395"/>
      <c r="GO88" s="395"/>
      <c r="GP88" s="395"/>
      <c r="GQ88" s="395"/>
      <c r="GR88" s="395"/>
      <c r="GS88" s="395"/>
      <c r="GT88" s="395"/>
      <c r="GU88" s="395"/>
      <c r="GV88" s="395"/>
      <c r="GW88" s="395"/>
      <c r="GX88" s="395"/>
      <c r="GY88" s="395"/>
      <c r="GZ88" s="395"/>
      <c r="HA88" s="395"/>
      <c r="HB88" s="395"/>
      <c r="HC88" s="395"/>
      <c r="HD88" s="395"/>
      <c r="HE88" s="395"/>
      <c r="HF88" s="395"/>
      <c r="HG88" s="395"/>
      <c r="HH88" s="395"/>
      <c r="HI88" s="395"/>
      <c r="HJ88" s="395"/>
      <c r="HK88" s="395"/>
      <c r="HL88" s="395"/>
      <c r="HM88" s="395"/>
      <c r="HN88" s="395"/>
      <c r="HO88" s="395"/>
      <c r="HP88" s="395"/>
      <c r="HQ88" s="395"/>
      <c r="HR88" s="395"/>
    </row>
    <row r="89" spans="1:226" s="866" customFormat="1" ht="27.75" customHeight="1" x14ac:dyDescent="0.25">
      <c r="A89" s="348" t="s">
        <v>1038</v>
      </c>
      <c r="B89" s="3357"/>
      <c r="C89" s="3395"/>
      <c r="D89" s="3378" t="s">
        <v>272</v>
      </c>
      <c r="E89" s="3379"/>
      <c r="F89" s="3378" t="s">
        <v>273</v>
      </c>
      <c r="G89" s="3379"/>
      <c r="H89" s="3345" t="s">
        <v>1278</v>
      </c>
      <c r="I89" s="3345" t="s">
        <v>1279</v>
      </c>
      <c r="J89" s="3380" t="s">
        <v>1280</v>
      </c>
      <c r="K89" s="3373"/>
      <c r="L89" s="3374"/>
      <c r="M89" s="3373"/>
      <c r="N89" s="3374"/>
      <c r="O89" s="3373"/>
      <c r="P89" s="3374"/>
      <c r="Q89" s="3373"/>
      <c r="R89" s="3374"/>
      <c r="S89" s="3373"/>
      <c r="T89" s="3374"/>
      <c r="U89" s="3382"/>
      <c r="V89" s="3373"/>
      <c r="W89" s="3374"/>
      <c r="X89" s="1371"/>
      <c r="Y89" s="395"/>
      <c r="Z89" s="2140"/>
      <c r="AA89" s="395"/>
      <c r="AB89" s="395"/>
      <c r="AC89" s="395"/>
      <c r="AD89" s="395"/>
      <c r="AE89" s="395"/>
      <c r="AF89" s="395"/>
      <c r="AG89" s="395"/>
      <c r="AH89" s="395"/>
      <c r="AI89" s="395"/>
      <c r="AJ89" s="395"/>
      <c r="AK89" s="395"/>
      <c r="AL89" s="395"/>
      <c r="AM89" s="395"/>
      <c r="AN89" s="395"/>
      <c r="AO89" s="395"/>
      <c r="AP89" s="395"/>
      <c r="AQ89" s="395"/>
      <c r="AR89" s="395"/>
      <c r="AS89" s="395"/>
      <c r="AT89" s="395"/>
      <c r="AU89" s="395"/>
      <c r="AV89" s="395"/>
      <c r="AW89" s="395"/>
      <c r="AX89" s="395"/>
      <c r="AY89" s="395"/>
      <c r="AZ89" s="395"/>
      <c r="BA89" s="395"/>
      <c r="BB89" s="395"/>
      <c r="BC89" s="395"/>
      <c r="BD89" s="395"/>
      <c r="BE89" s="395"/>
      <c r="BF89" s="395"/>
      <c r="BG89" s="395"/>
      <c r="BH89" s="395"/>
      <c r="BI89" s="395"/>
      <c r="BJ89" s="395"/>
      <c r="BK89" s="395"/>
      <c r="BL89" s="395"/>
      <c r="BM89" s="395"/>
      <c r="BN89" s="395"/>
      <c r="BO89" s="395"/>
      <c r="BP89" s="395"/>
      <c r="BQ89" s="395"/>
      <c r="BR89" s="395"/>
      <c r="BS89" s="395"/>
      <c r="BT89" s="395"/>
      <c r="BU89" s="395"/>
      <c r="BV89" s="395"/>
      <c r="BW89" s="395"/>
      <c r="BX89" s="395"/>
      <c r="BY89" s="395"/>
      <c r="BZ89" s="395"/>
      <c r="CA89" s="395"/>
      <c r="CB89" s="395"/>
      <c r="CC89" s="395"/>
      <c r="CD89" s="395"/>
      <c r="CE89" s="395"/>
      <c r="CF89" s="395"/>
      <c r="CG89" s="395"/>
      <c r="CH89" s="395"/>
      <c r="CI89" s="395"/>
      <c r="CJ89" s="395"/>
      <c r="CK89" s="395"/>
      <c r="CL89" s="395"/>
      <c r="CM89" s="395"/>
      <c r="CN89" s="395"/>
      <c r="CO89" s="395"/>
      <c r="CP89" s="395"/>
      <c r="CQ89" s="395"/>
      <c r="CR89" s="395"/>
      <c r="CS89" s="395"/>
      <c r="CT89" s="395"/>
      <c r="CU89" s="395"/>
      <c r="CV89" s="395"/>
      <c r="CW89" s="395"/>
      <c r="CX89" s="395"/>
      <c r="CY89" s="395"/>
      <c r="CZ89" s="395"/>
      <c r="DA89" s="395"/>
      <c r="DB89" s="395"/>
      <c r="DC89" s="395"/>
      <c r="DD89" s="395"/>
      <c r="DE89" s="395"/>
      <c r="DF89" s="395"/>
      <c r="DG89" s="395"/>
      <c r="DH89" s="395"/>
      <c r="DI89" s="395"/>
      <c r="DJ89" s="395"/>
      <c r="DK89" s="395"/>
      <c r="DL89" s="395"/>
      <c r="DM89" s="395"/>
      <c r="DN89" s="395"/>
      <c r="DO89" s="395"/>
      <c r="DP89" s="395"/>
      <c r="DQ89" s="395"/>
      <c r="DR89" s="395"/>
      <c r="DS89" s="395"/>
      <c r="DT89" s="395"/>
      <c r="DU89" s="395"/>
      <c r="DV89" s="395"/>
      <c r="DW89" s="395"/>
      <c r="DX89" s="395"/>
      <c r="DY89" s="395"/>
      <c r="DZ89" s="395"/>
      <c r="EA89" s="395"/>
      <c r="EB89" s="395"/>
      <c r="EC89" s="395"/>
      <c r="ED89" s="395"/>
      <c r="EE89" s="395"/>
      <c r="EF89" s="395"/>
      <c r="EG89" s="395"/>
      <c r="EH89" s="395"/>
      <c r="EI89" s="395"/>
      <c r="EJ89" s="395"/>
      <c r="EK89" s="395"/>
      <c r="EL89" s="395"/>
      <c r="EM89" s="395"/>
      <c r="EN89" s="395"/>
      <c r="EO89" s="395"/>
      <c r="EP89" s="395"/>
      <c r="EQ89" s="395"/>
      <c r="ER89" s="395"/>
      <c r="ES89" s="395"/>
      <c r="ET89" s="395"/>
      <c r="EU89" s="395"/>
      <c r="EV89" s="395"/>
      <c r="EW89" s="395"/>
      <c r="EX89" s="395"/>
      <c r="EY89" s="395"/>
      <c r="EZ89" s="395"/>
      <c r="FA89" s="395"/>
      <c r="FB89" s="395"/>
      <c r="FC89" s="395"/>
      <c r="FD89" s="395"/>
      <c r="FE89" s="395"/>
      <c r="FF89" s="395"/>
      <c r="FG89" s="395"/>
      <c r="FH89" s="395"/>
      <c r="FI89" s="395"/>
      <c r="FJ89" s="395"/>
      <c r="FK89" s="395"/>
      <c r="FL89" s="395"/>
      <c r="FM89" s="395"/>
      <c r="FN89" s="395"/>
      <c r="FO89" s="395"/>
      <c r="FP89" s="395"/>
      <c r="FQ89" s="395"/>
      <c r="FR89" s="395"/>
      <c r="FS89" s="395"/>
      <c r="FT89" s="395"/>
      <c r="FU89" s="395"/>
      <c r="FV89" s="395"/>
      <c r="FW89" s="395"/>
      <c r="FX89" s="395"/>
      <c r="FY89" s="395"/>
      <c r="FZ89" s="395"/>
      <c r="GA89" s="395"/>
      <c r="GB89" s="395"/>
      <c r="GC89" s="395"/>
      <c r="GD89" s="395"/>
      <c r="GE89" s="395"/>
      <c r="GF89" s="395"/>
      <c r="GG89" s="395"/>
      <c r="GH89" s="395"/>
      <c r="GI89" s="395"/>
      <c r="GJ89" s="395"/>
      <c r="GK89" s="395"/>
      <c r="GL89" s="395"/>
      <c r="GM89" s="395"/>
      <c r="GN89" s="395"/>
      <c r="GO89" s="395"/>
      <c r="GP89" s="395"/>
      <c r="GQ89" s="395"/>
      <c r="GR89" s="395"/>
      <c r="GS89" s="395"/>
      <c r="GT89" s="395"/>
      <c r="GU89" s="395"/>
      <c r="GV89" s="395"/>
      <c r="GW89" s="395"/>
      <c r="GX89" s="395"/>
      <c r="GY89" s="395"/>
      <c r="GZ89" s="395"/>
      <c r="HA89" s="395"/>
      <c r="HB89" s="395"/>
      <c r="HC89" s="395"/>
      <c r="HD89" s="395"/>
      <c r="HE89" s="395"/>
      <c r="HF89" s="395"/>
      <c r="HG89" s="395"/>
      <c r="HH89" s="395"/>
      <c r="HI89" s="395"/>
      <c r="HJ89" s="395"/>
      <c r="HK89" s="395"/>
      <c r="HL89" s="395"/>
      <c r="HM89" s="395"/>
      <c r="HN89" s="395"/>
      <c r="HO89" s="395"/>
      <c r="HP89" s="395"/>
      <c r="HQ89" s="395"/>
      <c r="HR89" s="395"/>
    </row>
    <row r="90" spans="1:226" s="866" customFormat="1" ht="38.25" customHeight="1" x14ac:dyDescent="0.25">
      <c r="A90" s="348" t="s">
        <v>1038</v>
      </c>
      <c r="B90" s="3361"/>
      <c r="C90" s="3413"/>
      <c r="D90" s="1354" t="s">
        <v>1281</v>
      </c>
      <c r="E90" s="1354" t="s">
        <v>1282</v>
      </c>
      <c r="F90" s="1354" t="s">
        <v>1281</v>
      </c>
      <c r="G90" s="1354" t="s">
        <v>1282</v>
      </c>
      <c r="H90" s="3413"/>
      <c r="I90" s="3413"/>
      <c r="J90" s="3381"/>
      <c r="K90" s="1354" t="s">
        <v>272</v>
      </c>
      <c r="L90" s="1354" t="s">
        <v>273</v>
      </c>
      <c r="M90" s="1354" t="s">
        <v>272</v>
      </c>
      <c r="N90" s="1354" t="s">
        <v>273</v>
      </c>
      <c r="O90" s="1354" t="s">
        <v>272</v>
      </c>
      <c r="P90" s="1354" t="s">
        <v>273</v>
      </c>
      <c r="Q90" s="1354" t="s">
        <v>272</v>
      </c>
      <c r="R90" s="1354" t="s">
        <v>273</v>
      </c>
      <c r="S90" s="1354" t="s">
        <v>272</v>
      </c>
      <c r="T90" s="1354" t="s">
        <v>273</v>
      </c>
      <c r="U90" s="3381"/>
      <c r="V90" s="1354" t="s">
        <v>272</v>
      </c>
      <c r="W90" s="1354" t="s">
        <v>273</v>
      </c>
      <c r="X90" s="1863"/>
      <c r="Y90" s="395"/>
      <c r="Z90" s="2140"/>
      <c r="AA90" s="395"/>
      <c r="AB90" s="395"/>
      <c r="AC90" s="395"/>
      <c r="AD90" s="395"/>
      <c r="AE90" s="395"/>
      <c r="AF90" s="395"/>
      <c r="AG90" s="395"/>
      <c r="AH90" s="395"/>
      <c r="AI90" s="395"/>
      <c r="AJ90" s="395"/>
      <c r="AK90" s="395"/>
      <c r="AL90" s="395"/>
      <c r="AM90" s="395"/>
      <c r="AN90" s="395"/>
      <c r="AO90" s="395"/>
      <c r="AP90" s="395"/>
      <c r="AQ90" s="395"/>
      <c r="AR90" s="395"/>
      <c r="AS90" s="395"/>
      <c r="AT90" s="395"/>
      <c r="AU90" s="395"/>
      <c r="AV90" s="395"/>
      <c r="AW90" s="395"/>
      <c r="AX90" s="395"/>
      <c r="AY90" s="395"/>
      <c r="AZ90" s="395"/>
      <c r="BA90" s="395"/>
      <c r="BB90" s="395"/>
      <c r="BC90" s="395"/>
      <c r="BD90" s="395"/>
      <c r="BE90" s="395"/>
      <c r="BF90" s="395"/>
      <c r="BG90" s="395"/>
      <c r="BH90" s="395"/>
      <c r="BI90" s="395"/>
      <c r="BJ90" s="395"/>
      <c r="BK90" s="395"/>
      <c r="BL90" s="395"/>
      <c r="BM90" s="395"/>
      <c r="BN90" s="395"/>
      <c r="BO90" s="395"/>
      <c r="BP90" s="395"/>
      <c r="BQ90" s="395"/>
      <c r="BR90" s="395"/>
      <c r="BS90" s="395"/>
      <c r="BT90" s="395"/>
      <c r="BU90" s="395"/>
      <c r="BV90" s="395"/>
      <c r="BW90" s="395"/>
      <c r="BX90" s="395"/>
      <c r="BY90" s="395"/>
      <c r="BZ90" s="395"/>
      <c r="CA90" s="395"/>
      <c r="CB90" s="395"/>
      <c r="CC90" s="395"/>
      <c r="CD90" s="395"/>
      <c r="CE90" s="395"/>
      <c r="CF90" s="395"/>
      <c r="CG90" s="395"/>
      <c r="CH90" s="395"/>
      <c r="CI90" s="395"/>
      <c r="CJ90" s="395"/>
      <c r="CK90" s="395"/>
      <c r="CL90" s="395"/>
      <c r="CM90" s="395"/>
      <c r="CN90" s="395"/>
      <c r="CO90" s="395"/>
      <c r="CP90" s="395"/>
      <c r="CQ90" s="395"/>
      <c r="CR90" s="395"/>
      <c r="CS90" s="395"/>
      <c r="CT90" s="395"/>
      <c r="CU90" s="395"/>
      <c r="CV90" s="395"/>
      <c r="CW90" s="395"/>
      <c r="CX90" s="395"/>
      <c r="CY90" s="395"/>
      <c r="CZ90" s="395"/>
      <c r="DA90" s="395"/>
      <c r="DB90" s="395"/>
      <c r="DC90" s="395"/>
      <c r="DD90" s="395"/>
      <c r="DE90" s="395"/>
      <c r="DF90" s="395"/>
      <c r="DG90" s="395"/>
      <c r="DH90" s="395"/>
      <c r="DI90" s="395"/>
      <c r="DJ90" s="395"/>
      <c r="DK90" s="395"/>
      <c r="DL90" s="395"/>
      <c r="DM90" s="395"/>
      <c r="DN90" s="395"/>
      <c r="DO90" s="395"/>
      <c r="DP90" s="395"/>
      <c r="DQ90" s="395"/>
      <c r="DR90" s="395"/>
      <c r="DS90" s="395"/>
      <c r="DT90" s="395"/>
      <c r="DU90" s="395"/>
      <c r="DV90" s="395"/>
      <c r="DW90" s="395"/>
      <c r="DX90" s="395"/>
      <c r="DY90" s="395"/>
      <c r="DZ90" s="395"/>
      <c r="EA90" s="395"/>
      <c r="EB90" s="395"/>
      <c r="EC90" s="395"/>
      <c r="ED90" s="395"/>
      <c r="EE90" s="395"/>
      <c r="EF90" s="395"/>
      <c r="EG90" s="395"/>
      <c r="EH90" s="395"/>
      <c r="EI90" s="395"/>
      <c r="EJ90" s="395"/>
      <c r="EK90" s="395"/>
      <c r="EL90" s="395"/>
      <c r="EM90" s="395"/>
      <c r="EN90" s="395"/>
      <c r="EO90" s="395"/>
      <c r="EP90" s="395"/>
      <c r="EQ90" s="395"/>
      <c r="ER90" s="395"/>
      <c r="ES90" s="395"/>
      <c r="ET90" s="395"/>
      <c r="EU90" s="395"/>
      <c r="EV90" s="395"/>
      <c r="EW90" s="395"/>
      <c r="EX90" s="395"/>
      <c r="EY90" s="395"/>
      <c r="EZ90" s="395"/>
      <c r="FA90" s="395"/>
      <c r="FB90" s="395"/>
      <c r="FC90" s="395"/>
      <c r="FD90" s="395"/>
      <c r="FE90" s="395"/>
      <c r="FF90" s="395"/>
      <c r="FG90" s="395"/>
      <c r="FH90" s="395"/>
      <c r="FI90" s="395"/>
      <c r="FJ90" s="395"/>
      <c r="FK90" s="395"/>
      <c r="FL90" s="395"/>
      <c r="FM90" s="395"/>
      <c r="FN90" s="395"/>
      <c r="FO90" s="395"/>
      <c r="FP90" s="395"/>
      <c r="FQ90" s="395"/>
      <c r="FR90" s="395"/>
      <c r="FS90" s="395"/>
      <c r="FT90" s="395"/>
      <c r="FU90" s="395"/>
      <c r="FV90" s="395"/>
      <c r="FW90" s="395"/>
      <c r="FX90" s="395"/>
      <c r="FY90" s="395"/>
      <c r="FZ90" s="395"/>
      <c r="GA90" s="395"/>
      <c r="GB90" s="395"/>
      <c r="GC90" s="395"/>
      <c r="GD90" s="395"/>
      <c r="GE90" s="395"/>
      <c r="GF90" s="395"/>
      <c r="GG90" s="395"/>
      <c r="GH90" s="395"/>
      <c r="GI90" s="395"/>
      <c r="GJ90" s="395"/>
      <c r="GK90" s="395"/>
      <c r="GL90" s="395"/>
      <c r="GM90" s="395"/>
      <c r="GN90" s="395"/>
      <c r="GO90" s="395"/>
      <c r="GP90" s="395"/>
      <c r="GQ90" s="395"/>
      <c r="GR90" s="395"/>
      <c r="GS90" s="395"/>
      <c r="GT90" s="395"/>
      <c r="GU90" s="395"/>
      <c r="GV90" s="395"/>
      <c r="GW90" s="395"/>
      <c r="GX90" s="395"/>
      <c r="GY90" s="395"/>
      <c r="GZ90" s="395"/>
      <c r="HA90" s="395"/>
      <c r="HB90" s="395"/>
      <c r="HC90" s="395"/>
      <c r="HD90" s="395"/>
      <c r="HE90" s="395"/>
      <c r="HF90" s="395"/>
      <c r="HG90" s="395"/>
      <c r="HH90" s="395"/>
      <c r="HI90" s="395"/>
      <c r="HJ90" s="395"/>
      <c r="HK90" s="395"/>
      <c r="HL90" s="395"/>
      <c r="HM90" s="395"/>
      <c r="HN90" s="395"/>
      <c r="HO90" s="395"/>
      <c r="HP90" s="395"/>
      <c r="HQ90" s="395"/>
      <c r="HR90" s="395"/>
    </row>
    <row r="91" spans="1:226" s="866" customFormat="1" ht="51" hidden="1" customHeight="1" x14ac:dyDescent="0.25">
      <c r="A91" s="348" t="s">
        <v>1038</v>
      </c>
      <c r="B91" s="1368" t="s">
        <v>1087</v>
      </c>
      <c r="C91" s="1368" t="s">
        <v>1283</v>
      </c>
      <c r="D91" s="1363" t="s">
        <v>1284</v>
      </c>
      <c r="E91" s="1368" t="s">
        <v>1285</v>
      </c>
      <c r="F91" s="1363" t="s">
        <v>1284</v>
      </c>
      <c r="G91" s="1368" t="s">
        <v>1285</v>
      </c>
      <c r="H91" s="1497" t="s">
        <v>1286</v>
      </c>
      <c r="I91" s="1370" t="s">
        <v>1287</v>
      </c>
      <c r="J91" s="1370" t="s">
        <v>1288</v>
      </c>
      <c r="K91" s="1497" t="s">
        <v>1289</v>
      </c>
      <c r="L91" s="1370" t="s">
        <v>1290</v>
      </c>
      <c r="M91" s="1370" t="s">
        <v>1291</v>
      </c>
      <c r="N91" s="1363" t="s">
        <v>1292</v>
      </c>
      <c r="O91" s="1497" t="s">
        <v>1293</v>
      </c>
      <c r="P91" s="1370" t="s">
        <v>1294</v>
      </c>
      <c r="Q91" s="1370" t="s">
        <v>1295</v>
      </c>
      <c r="R91" s="1497" t="s">
        <v>1296</v>
      </c>
      <c r="S91" s="1370" t="s">
        <v>1297</v>
      </c>
      <c r="T91" s="1370" t="s">
        <v>1298</v>
      </c>
      <c r="U91" s="1363" t="s">
        <v>1299</v>
      </c>
      <c r="V91" s="1370" t="s">
        <v>1300</v>
      </c>
      <c r="W91" s="1497" t="s">
        <v>1301</v>
      </c>
      <c r="X91" s="1498"/>
      <c r="Y91" s="395"/>
      <c r="Z91" s="2140"/>
      <c r="AA91" s="395"/>
      <c r="AB91" s="395"/>
      <c r="AC91" s="395"/>
      <c r="AD91" s="395"/>
      <c r="AE91" s="395"/>
      <c r="AF91" s="395"/>
      <c r="AG91" s="395"/>
      <c r="AH91" s="395"/>
      <c r="AI91" s="395"/>
      <c r="AJ91" s="395"/>
      <c r="AK91" s="395"/>
      <c r="AL91" s="395"/>
      <c r="AM91" s="395"/>
      <c r="AN91" s="395"/>
      <c r="AO91" s="395"/>
      <c r="AP91" s="395"/>
      <c r="AQ91" s="395"/>
      <c r="AR91" s="395"/>
      <c r="AS91" s="395"/>
      <c r="AT91" s="395"/>
      <c r="AU91" s="395"/>
      <c r="AV91" s="395"/>
      <c r="AW91" s="395"/>
      <c r="AX91" s="395"/>
      <c r="AY91" s="395"/>
      <c r="AZ91" s="395"/>
      <c r="BA91" s="395"/>
      <c r="BB91" s="395"/>
      <c r="BC91" s="395"/>
      <c r="BD91" s="395"/>
      <c r="BE91" s="395"/>
      <c r="BF91" s="395"/>
      <c r="BG91" s="395"/>
      <c r="BH91" s="395"/>
      <c r="BI91" s="395"/>
      <c r="BJ91" s="395"/>
      <c r="BK91" s="395"/>
      <c r="BL91" s="395"/>
      <c r="BM91" s="395"/>
      <c r="BN91" s="395"/>
      <c r="BO91" s="395"/>
      <c r="BP91" s="395"/>
      <c r="BQ91" s="395"/>
      <c r="BR91" s="395"/>
      <c r="BS91" s="395"/>
      <c r="BT91" s="395"/>
      <c r="BU91" s="395"/>
      <c r="BV91" s="395"/>
      <c r="BW91" s="395"/>
      <c r="BX91" s="395"/>
      <c r="BY91" s="395"/>
      <c r="BZ91" s="395"/>
      <c r="CA91" s="395"/>
      <c r="CB91" s="395"/>
      <c r="CC91" s="395"/>
      <c r="CD91" s="395"/>
      <c r="CE91" s="395"/>
      <c r="CF91" s="395"/>
      <c r="CG91" s="395"/>
      <c r="CH91" s="395"/>
      <c r="CI91" s="395"/>
      <c r="CJ91" s="395"/>
      <c r="CK91" s="395"/>
      <c r="CL91" s="395"/>
      <c r="CM91" s="395"/>
      <c r="CN91" s="395"/>
      <c r="CO91" s="395"/>
      <c r="CP91" s="395"/>
      <c r="CQ91" s="395"/>
      <c r="CR91" s="395"/>
      <c r="CS91" s="395"/>
      <c r="CT91" s="395"/>
      <c r="CU91" s="395"/>
      <c r="CV91" s="395"/>
      <c r="CW91" s="395"/>
      <c r="CX91" s="395"/>
      <c r="CY91" s="395"/>
      <c r="CZ91" s="395"/>
      <c r="DA91" s="395"/>
      <c r="DB91" s="395"/>
      <c r="DC91" s="395"/>
      <c r="DD91" s="395"/>
      <c r="DE91" s="395"/>
      <c r="DF91" s="395"/>
      <c r="DG91" s="395"/>
      <c r="DH91" s="395"/>
      <c r="DI91" s="395"/>
      <c r="DJ91" s="395"/>
      <c r="DK91" s="395"/>
      <c r="DL91" s="395"/>
      <c r="DM91" s="395"/>
      <c r="DN91" s="395"/>
      <c r="DO91" s="395"/>
      <c r="DP91" s="395"/>
      <c r="DQ91" s="395"/>
      <c r="DR91" s="395"/>
      <c r="DS91" s="395"/>
      <c r="DT91" s="395"/>
      <c r="DU91" s="395"/>
      <c r="DV91" s="395"/>
      <c r="DW91" s="395"/>
      <c r="DX91" s="395"/>
      <c r="DY91" s="395"/>
      <c r="DZ91" s="395"/>
      <c r="EA91" s="395"/>
      <c r="EB91" s="395"/>
      <c r="EC91" s="395"/>
      <c r="ED91" s="395"/>
      <c r="EE91" s="395"/>
      <c r="EF91" s="395"/>
      <c r="EG91" s="395"/>
      <c r="EH91" s="395"/>
      <c r="EI91" s="395"/>
      <c r="EJ91" s="395"/>
      <c r="EK91" s="395"/>
      <c r="EL91" s="395"/>
      <c r="EM91" s="395"/>
      <c r="EN91" s="395"/>
      <c r="EO91" s="395"/>
      <c r="EP91" s="395"/>
      <c r="EQ91" s="395"/>
      <c r="ER91" s="395"/>
      <c r="ES91" s="395"/>
      <c r="ET91" s="395"/>
      <c r="EU91" s="395"/>
      <c r="EV91" s="395"/>
      <c r="EW91" s="395"/>
      <c r="EX91" s="395"/>
      <c r="EY91" s="395"/>
      <c r="EZ91" s="395"/>
      <c r="FA91" s="395"/>
      <c r="FB91" s="395"/>
      <c r="FC91" s="395"/>
      <c r="FD91" s="395"/>
      <c r="FE91" s="395"/>
      <c r="FF91" s="395"/>
      <c r="FG91" s="395"/>
      <c r="FH91" s="395"/>
      <c r="FI91" s="395"/>
      <c r="FJ91" s="395"/>
      <c r="FK91" s="395"/>
      <c r="FL91" s="395"/>
      <c r="FM91" s="395"/>
      <c r="FN91" s="395"/>
      <c r="FO91" s="395"/>
      <c r="FP91" s="395"/>
      <c r="FQ91" s="395"/>
      <c r="FR91" s="395"/>
      <c r="FS91" s="395"/>
      <c r="FT91" s="395"/>
      <c r="FU91" s="395"/>
      <c r="FV91" s="395"/>
      <c r="FW91" s="395"/>
      <c r="FX91" s="395"/>
      <c r="FY91" s="395"/>
      <c r="FZ91" s="395"/>
      <c r="GA91" s="395"/>
      <c r="GB91" s="395"/>
      <c r="GC91" s="395"/>
      <c r="GD91" s="395"/>
      <c r="GE91" s="395"/>
      <c r="GF91" s="395"/>
      <c r="GG91" s="395"/>
      <c r="GH91" s="395"/>
      <c r="GI91" s="395"/>
      <c r="GJ91" s="395"/>
      <c r="GK91" s="395"/>
      <c r="GL91" s="395"/>
      <c r="GM91" s="395"/>
      <c r="GN91" s="395"/>
      <c r="GO91" s="395"/>
      <c r="GP91" s="395"/>
      <c r="GQ91" s="395"/>
      <c r="GR91" s="395"/>
      <c r="GS91" s="395"/>
      <c r="GT91" s="395"/>
      <c r="GU91" s="395"/>
      <c r="GV91" s="395"/>
      <c r="GW91" s="395"/>
      <c r="GX91" s="395"/>
      <c r="GY91" s="395"/>
      <c r="GZ91" s="395"/>
      <c r="HA91" s="395"/>
      <c r="HB91" s="395"/>
      <c r="HC91" s="395"/>
      <c r="HD91" s="395"/>
      <c r="HE91" s="395"/>
      <c r="HF91" s="395"/>
      <c r="HG91" s="395"/>
      <c r="HH91" s="395"/>
      <c r="HI91" s="395"/>
      <c r="HJ91" s="395"/>
      <c r="HK91" s="395"/>
      <c r="HL91" s="395"/>
      <c r="HM91" s="395"/>
      <c r="HN91" s="395"/>
      <c r="HO91" s="395"/>
      <c r="HP91" s="395"/>
      <c r="HQ91" s="395"/>
      <c r="HR91" s="395"/>
    </row>
    <row r="92" spans="1:226" s="866" customFormat="1" x14ac:dyDescent="0.25">
      <c r="A92" s="348" t="s">
        <v>1038</v>
      </c>
      <c r="B92" s="371">
        <f>'1 - Multiple Buildings Details'!B24</f>
        <v>0</v>
      </c>
      <c r="C92" s="1498"/>
      <c r="D92" s="1636">
        <f>IF('General Information'!K14="IP Units",2.5,0.16)</f>
        <v>0.16</v>
      </c>
      <c r="E92" s="1636">
        <f>IF('General Information'!K14="IP Units",2.5,0.14)</f>
        <v>0.14000000000000001</v>
      </c>
      <c r="F92" s="1636"/>
      <c r="G92" s="1636"/>
      <c r="H92" s="1667"/>
      <c r="I92" s="2096"/>
      <c r="J92" s="2097">
        <f>IF(SI_IP_Units="IP",120,CONVERT(120,"F","C"))</f>
        <v>120</v>
      </c>
      <c r="K92" s="2090" t="str">
        <f>IFERROR(VLOOKUP($C92,Res_Usage_Profile_Table,18,FALSE)*365*INDEX(MD_BUS_SumTable,MATCH($B92,MD_BUS_SumIndex,0),MATCH($F$21,MD_BUS_SumHdr,0)),"N/A")</f>
        <v>N/A</v>
      </c>
      <c r="L92" s="2090" t="str">
        <f>IF(ISERROR(1/$F92/$G92),$K92,IFERROR($K92*IF(SI_IP_Units="IP",(0.36+0.54*$F92/D92+0.1*$G92/E92),(0.36+0.54*$F92/D92+0.1*$G92/E92)),$K92))</f>
        <v>N/A</v>
      </c>
      <c r="M92" s="2098">
        <f ca="1">IFERROR(SUMIF(MD_HDUEC_Index1,$B92,OFFSET(MD_HDUEC_Index1,0,MATCH($T$31,MD_HDUEC_Hdr,0)-1,ROWS(MD_HDUEC_Index1),1)),"N/A")</f>
        <v>0</v>
      </c>
      <c r="N92" s="2098">
        <f ca="1">IFERROR(SUMIF(MD_HDUEC_Index1,$B92,OFFSET(MD_HDUEC_Index1,0,MATCH($U$31,MD_HDUEC_Hdr,0)-1,ROWS(MD_HDUEC_Index1),1)),"N/A")</f>
        <v>0</v>
      </c>
      <c r="O92" s="2099">
        <f ca="1">IFERROR(SUMIF(MD_Laundry_Index,$B92,OFFSET(MD_Laundry_Index,0,MATCH($T$58,MD_Laundry_Hdr,0)-1,ROWS(MD_Laundry_Index),1)),"N/A")</f>
        <v>0</v>
      </c>
      <c r="P92" s="2090">
        <f ca="1">IFERROR(SUMIF(MD_Laundry_Index,$B92,OFFSET(MD_Laundry_Index,0,MATCH($U$58,MD_Laundry_Hdr,0)-1,ROWS(MD_Laundry_Index),1)),"N/A")</f>
        <v>0</v>
      </c>
      <c r="Q92" s="2098">
        <f ca="1">IFERROR(SUM(K92,M92,O92),0)</f>
        <v>0</v>
      </c>
      <c r="R92" s="2098">
        <f ca="1">IFERROR(SUM(L92,N92,P92),0)</f>
        <v>0</v>
      </c>
      <c r="S92" s="2090">
        <f ca="1">IFERROR(IF(ISERROR(1/$I92),Q92,($J92-$I92)/($H92-$I92)*Q92),Q92)</f>
        <v>0</v>
      </c>
      <c r="T92" s="2090">
        <f ca="1">IFERROR(IF(ISERROR(1/$I92),R92,($J92-$I92)/($H92-$I92)*R92),R92)</f>
        <v>0</v>
      </c>
      <c r="U92" s="1983">
        <f>'2a - Schedules'!$E$12</f>
        <v>2628</v>
      </c>
      <c r="V92" s="2098">
        <f ca="1">IFERROR(IF(SI_IP_Units="IP",S92/$U92/60,S92/$U92/60/60),"N/A")</f>
        <v>0</v>
      </c>
      <c r="W92" s="2098">
        <f ca="1">IFERROR(IF(SI_IP_Units="IP",T92/$U92/60,T92/$U92/60/60),"N/A")</f>
        <v>0</v>
      </c>
      <c r="X92" s="1498"/>
      <c r="Y92" s="395"/>
      <c r="Z92" s="2142"/>
      <c r="AA92" s="395"/>
      <c r="AB92" s="395"/>
      <c r="AC92" s="395"/>
      <c r="AD92" s="395"/>
      <c r="AE92" s="395"/>
      <c r="AF92" s="395"/>
      <c r="AG92" s="395"/>
      <c r="AH92" s="395"/>
      <c r="AI92" s="395"/>
      <c r="AJ92" s="395"/>
      <c r="AK92" s="395"/>
      <c r="AL92" s="395"/>
      <c r="AM92" s="395"/>
      <c r="AN92" s="395"/>
      <c r="AO92" s="395"/>
      <c r="AP92" s="395"/>
      <c r="AQ92" s="395"/>
      <c r="AR92" s="395"/>
      <c r="AS92" s="395"/>
      <c r="AT92" s="395"/>
      <c r="AU92" s="395"/>
      <c r="AV92" s="395"/>
      <c r="AW92" s="395"/>
      <c r="AX92" s="395"/>
      <c r="AY92" s="395"/>
      <c r="AZ92" s="395"/>
      <c r="BA92" s="395"/>
      <c r="BB92" s="395"/>
      <c r="BC92" s="395"/>
      <c r="BD92" s="395"/>
      <c r="BE92" s="395"/>
      <c r="BF92" s="395"/>
      <c r="BG92" s="395"/>
      <c r="BH92" s="395"/>
      <c r="BI92" s="395"/>
      <c r="BJ92" s="395"/>
      <c r="BK92" s="395"/>
      <c r="BL92" s="395"/>
      <c r="BM92" s="395"/>
      <c r="BN92" s="395"/>
      <c r="BO92" s="395"/>
      <c r="BP92" s="395"/>
      <c r="BQ92" s="395"/>
      <c r="BR92" s="395"/>
      <c r="BS92" s="395"/>
      <c r="BT92" s="395"/>
      <c r="BU92" s="395"/>
      <c r="BV92" s="395"/>
      <c r="BW92" s="395"/>
      <c r="BX92" s="395"/>
      <c r="BY92" s="395"/>
      <c r="BZ92" s="395"/>
      <c r="CA92" s="395"/>
      <c r="CB92" s="395"/>
      <c r="CC92" s="395"/>
      <c r="CD92" s="395"/>
      <c r="CE92" s="395"/>
      <c r="CF92" s="395"/>
      <c r="CG92" s="395"/>
      <c r="CH92" s="395"/>
      <c r="CI92" s="395"/>
      <c r="CJ92" s="395"/>
      <c r="CK92" s="395"/>
      <c r="CL92" s="395"/>
      <c r="CM92" s="395"/>
      <c r="CN92" s="395"/>
      <c r="CO92" s="395"/>
      <c r="CP92" s="395"/>
      <c r="CQ92" s="395"/>
      <c r="CR92" s="395"/>
      <c r="CS92" s="395"/>
      <c r="CT92" s="395"/>
      <c r="CU92" s="395"/>
      <c r="CV92" s="395"/>
      <c r="CW92" s="395"/>
      <c r="CX92" s="395"/>
      <c r="CY92" s="395"/>
      <c r="CZ92" s="395"/>
      <c r="DA92" s="395"/>
      <c r="DB92" s="395"/>
      <c r="DC92" s="395"/>
      <c r="DD92" s="395"/>
      <c r="DE92" s="395"/>
      <c r="DF92" s="395"/>
      <c r="DG92" s="395"/>
      <c r="DH92" s="395"/>
      <c r="DI92" s="395"/>
      <c r="DJ92" s="395"/>
      <c r="DK92" s="395"/>
      <c r="DL92" s="395"/>
      <c r="DM92" s="395"/>
      <c r="DN92" s="395"/>
      <c r="DO92" s="395"/>
      <c r="DP92" s="395"/>
      <c r="DQ92" s="395"/>
      <c r="DR92" s="395"/>
      <c r="DS92" s="395"/>
      <c r="DT92" s="395"/>
      <c r="DU92" s="395"/>
      <c r="DV92" s="395"/>
      <c r="DW92" s="395"/>
      <c r="DX92" s="395"/>
      <c r="DY92" s="395"/>
      <c r="DZ92" s="395"/>
      <c r="EA92" s="395"/>
      <c r="EB92" s="395"/>
      <c r="EC92" s="395"/>
      <c r="ED92" s="395"/>
      <c r="EE92" s="395"/>
      <c r="EF92" s="395"/>
      <c r="EG92" s="395"/>
      <c r="EH92" s="395"/>
      <c r="EI92" s="395"/>
      <c r="EJ92" s="395"/>
      <c r="EK92" s="395"/>
      <c r="EL92" s="395"/>
      <c r="EM92" s="395"/>
      <c r="EN92" s="395"/>
      <c r="EO92" s="395"/>
      <c r="EP92" s="395"/>
      <c r="EQ92" s="395"/>
      <c r="ER92" s="395"/>
      <c r="ES92" s="395"/>
      <c r="ET92" s="395"/>
      <c r="EU92" s="395"/>
      <c r="EV92" s="395"/>
      <c r="EW92" s="395"/>
      <c r="EX92" s="395"/>
      <c r="EY92" s="395"/>
      <c r="EZ92" s="395"/>
      <c r="FA92" s="395"/>
      <c r="FB92" s="395"/>
      <c r="FC92" s="395"/>
      <c r="FD92" s="395"/>
      <c r="FE92" s="395"/>
      <c r="FF92" s="395"/>
      <c r="FG92" s="395"/>
      <c r="FH92" s="395"/>
      <c r="FI92" s="395"/>
      <c r="FJ92" s="395"/>
      <c r="FK92" s="395"/>
      <c r="FL92" s="395"/>
      <c r="FM92" s="395"/>
      <c r="FN92" s="395"/>
      <c r="FO92" s="395"/>
      <c r="FP92" s="395"/>
      <c r="FQ92" s="395"/>
      <c r="FR92" s="395"/>
      <c r="FS92" s="395"/>
      <c r="FT92" s="395"/>
      <c r="FU92" s="395"/>
      <c r="FV92" s="395"/>
      <c r="FW92" s="395"/>
      <c r="FX92" s="395"/>
      <c r="FY92" s="395"/>
      <c r="FZ92" s="395"/>
      <c r="GA92" s="395"/>
      <c r="GB92" s="395"/>
      <c r="GC92" s="395"/>
      <c r="GD92" s="395"/>
      <c r="GE92" s="395"/>
      <c r="GF92" s="395"/>
      <c r="GG92" s="395"/>
      <c r="GH92" s="395"/>
      <c r="GI92" s="395"/>
      <c r="GJ92" s="395"/>
      <c r="GK92" s="395"/>
      <c r="GL92" s="395"/>
      <c r="GM92" s="395"/>
      <c r="GN92" s="395"/>
      <c r="GO92" s="395"/>
      <c r="GP92" s="395"/>
      <c r="GQ92" s="395"/>
      <c r="GR92" s="395"/>
      <c r="GS92" s="395"/>
      <c r="GT92" s="395"/>
      <c r="GU92" s="395"/>
      <c r="GV92" s="395"/>
      <c r="GW92" s="395"/>
      <c r="GX92" s="395"/>
      <c r="GY92" s="395"/>
      <c r="GZ92" s="395"/>
      <c r="HA92" s="395"/>
      <c r="HB92" s="395"/>
      <c r="HC92" s="395"/>
      <c r="HD92" s="395"/>
      <c r="HE92" s="395"/>
      <c r="HF92" s="395"/>
      <c r="HG92" s="395"/>
      <c r="HH92" s="395"/>
      <c r="HI92" s="395"/>
      <c r="HJ92" s="395"/>
      <c r="HK92" s="395"/>
      <c r="HL92" s="395"/>
      <c r="HM92" s="395"/>
      <c r="HN92" s="395"/>
      <c r="HO92" s="395"/>
      <c r="HP92" s="395"/>
      <c r="HQ92" s="395"/>
      <c r="HR92" s="395"/>
    </row>
    <row r="93" spans="1:226" s="866" customFormat="1" x14ac:dyDescent="0.25">
      <c r="A93" s="348" t="s">
        <v>1038</v>
      </c>
      <c r="B93" s="775" t="s">
        <v>1302</v>
      </c>
      <c r="C93" s="395"/>
      <c r="D93" s="395"/>
      <c r="E93" s="395"/>
      <c r="F93" s="395"/>
      <c r="G93" s="395"/>
      <c r="H93" s="395"/>
      <c r="I93" s="395"/>
      <c r="J93" s="395"/>
      <c r="K93" s="395"/>
      <c r="L93" s="395"/>
      <c r="M93" s="395"/>
      <c r="N93" s="395"/>
      <c r="O93" s="395"/>
      <c r="P93" s="395"/>
      <c r="Q93" s="395"/>
      <c r="R93" s="395"/>
      <c r="S93" s="395"/>
      <c r="T93" s="395"/>
      <c r="U93" s="395"/>
      <c r="V93" s="1608"/>
      <c r="W93" s="395"/>
      <c r="X93" s="395"/>
      <c r="Y93" s="395"/>
      <c r="Z93" s="2140"/>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395"/>
      <c r="BC93" s="395"/>
      <c r="BD93" s="395"/>
      <c r="BE93" s="395"/>
      <c r="BF93" s="395"/>
      <c r="BG93" s="395"/>
      <c r="BH93" s="395"/>
      <c r="BI93" s="395"/>
      <c r="BJ93" s="395"/>
      <c r="BK93" s="395"/>
      <c r="BL93" s="395"/>
      <c r="BM93" s="395"/>
      <c r="BN93" s="395"/>
      <c r="BO93" s="395"/>
      <c r="BP93" s="395"/>
      <c r="BQ93" s="395"/>
      <c r="BR93" s="395"/>
      <c r="BS93" s="395"/>
      <c r="BT93" s="395"/>
      <c r="BU93" s="395"/>
      <c r="BV93" s="395"/>
      <c r="BW93" s="395"/>
      <c r="BX93" s="395"/>
      <c r="BY93" s="395"/>
      <c r="BZ93" s="395"/>
      <c r="CA93" s="395"/>
      <c r="CB93" s="395"/>
      <c r="CC93" s="395"/>
      <c r="CD93" s="395"/>
      <c r="CE93" s="395"/>
      <c r="CF93" s="395"/>
      <c r="CG93" s="395"/>
      <c r="CH93" s="395"/>
      <c r="CI93" s="395"/>
      <c r="CJ93" s="395"/>
      <c r="CK93" s="395"/>
      <c r="CL93" s="395"/>
      <c r="CM93" s="395"/>
      <c r="CN93" s="395"/>
      <c r="CO93" s="395"/>
      <c r="CP93" s="395"/>
      <c r="CQ93" s="395"/>
      <c r="CR93" s="395"/>
      <c r="CS93" s="395"/>
      <c r="CT93" s="395"/>
      <c r="CU93" s="395"/>
      <c r="CV93" s="395"/>
      <c r="CW93" s="395"/>
      <c r="CX93" s="395"/>
      <c r="CY93" s="395"/>
      <c r="CZ93" s="395"/>
      <c r="DA93" s="395"/>
      <c r="DB93" s="395"/>
      <c r="DC93" s="395"/>
      <c r="DD93" s="395"/>
      <c r="DE93" s="395"/>
      <c r="DF93" s="395"/>
      <c r="DG93" s="395"/>
      <c r="DH93" s="395"/>
      <c r="DI93" s="395"/>
      <c r="DJ93" s="395"/>
      <c r="DK93" s="395"/>
      <c r="DL93" s="395"/>
      <c r="DM93" s="395"/>
      <c r="DN93" s="395"/>
      <c r="DO93" s="395"/>
      <c r="DP93" s="395"/>
      <c r="DQ93" s="395"/>
      <c r="DR93" s="395"/>
      <c r="DS93" s="395"/>
      <c r="DT93" s="395"/>
      <c r="DU93" s="395"/>
      <c r="DV93" s="395"/>
      <c r="DW93" s="395"/>
      <c r="DX93" s="395"/>
      <c r="DY93" s="395"/>
      <c r="DZ93" s="395"/>
      <c r="EA93" s="395"/>
      <c r="EB93" s="395"/>
      <c r="EC93" s="395"/>
      <c r="ED93" s="395"/>
      <c r="EE93" s="395"/>
      <c r="EF93" s="395"/>
      <c r="EG93" s="395"/>
      <c r="EH93" s="395"/>
      <c r="EI93" s="395"/>
      <c r="EJ93" s="395"/>
      <c r="EK93" s="395"/>
      <c r="EL93" s="395"/>
      <c r="EM93" s="395"/>
      <c r="EN93" s="395"/>
      <c r="EO93" s="395"/>
      <c r="EP93" s="395"/>
      <c r="EQ93" s="395"/>
      <c r="ER93" s="395"/>
      <c r="ES93" s="395"/>
      <c r="ET93" s="395"/>
      <c r="EU93" s="395"/>
      <c r="EV93" s="395"/>
      <c r="EW93" s="395"/>
      <c r="EX93" s="395"/>
      <c r="EY93" s="395"/>
      <c r="EZ93" s="395"/>
      <c r="FA93" s="395"/>
      <c r="FB93" s="395"/>
      <c r="FC93" s="395"/>
      <c r="FD93" s="395"/>
      <c r="FE93" s="395"/>
      <c r="FF93" s="395"/>
      <c r="FG93" s="395"/>
      <c r="FH93" s="395"/>
      <c r="FI93" s="395"/>
      <c r="FJ93" s="395"/>
      <c r="FK93" s="395"/>
      <c r="FL93" s="395"/>
      <c r="FM93" s="395"/>
      <c r="FN93" s="395"/>
      <c r="FO93" s="395"/>
      <c r="FP93" s="395"/>
      <c r="FQ93" s="395"/>
      <c r="FR93" s="395"/>
      <c r="FS93" s="395"/>
      <c r="FT93" s="395"/>
      <c r="FU93" s="395"/>
      <c r="FV93" s="395"/>
      <c r="FW93" s="395"/>
      <c r="FX93" s="395"/>
      <c r="FY93" s="395"/>
      <c r="FZ93" s="395"/>
      <c r="GA93" s="395"/>
      <c r="GB93" s="395"/>
      <c r="GC93" s="395"/>
      <c r="GD93" s="395"/>
      <c r="GE93" s="395"/>
      <c r="GF93" s="395"/>
      <c r="GG93" s="395"/>
      <c r="GH93" s="395"/>
      <c r="GI93" s="395"/>
      <c r="GJ93" s="395"/>
      <c r="GK93" s="395"/>
      <c r="GL93" s="395"/>
      <c r="GM93" s="395"/>
      <c r="GN93" s="395"/>
      <c r="GO93" s="395"/>
      <c r="GP93" s="395"/>
      <c r="GQ93" s="395"/>
      <c r="GR93" s="395"/>
      <c r="GS93" s="395"/>
      <c r="GT93" s="395"/>
      <c r="GU93" s="395"/>
      <c r="GV93" s="395"/>
      <c r="GW93" s="395"/>
      <c r="GX93" s="395"/>
      <c r="GY93" s="395"/>
      <c r="GZ93" s="395"/>
      <c r="HA93" s="395"/>
      <c r="HB93" s="395"/>
      <c r="HC93" s="395"/>
      <c r="HD93" s="395"/>
      <c r="HE93" s="395"/>
      <c r="HF93" s="395"/>
      <c r="HG93" s="395"/>
      <c r="HH93" s="395"/>
      <c r="HI93" s="395"/>
      <c r="HJ93" s="395"/>
      <c r="HK93" s="395"/>
      <c r="HL93" s="395"/>
      <c r="HM93" s="395"/>
      <c r="HN93" s="395"/>
      <c r="HO93" s="395"/>
      <c r="HP93" s="395"/>
      <c r="HQ93" s="395"/>
      <c r="HR93" s="395"/>
    </row>
    <row r="94" spans="1:226" s="866" customFormat="1" x14ac:dyDescent="0.25">
      <c r="A94" s="1607"/>
      <c r="B94" s="395"/>
      <c r="C94" s="395"/>
      <c r="D94" s="395"/>
      <c r="E94" s="395"/>
      <c r="F94" s="395"/>
      <c r="G94" s="395"/>
      <c r="H94" s="395"/>
      <c r="I94" s="1598"/>
      <c r="J94" s="395"/>
      <c r="K94" s="395"/>
      <c r="L94" s="395"/>
      <c r="M94" s="395"/>
      <c r="N94" s="395"/>
      <c r="O94" s="395"/>
      <c r="P94" s="395"/>
      <c r="Q94" s="395"/>
      <c r="R94" s="395"/>
      <c r="S94" s="395"/>
      <c r="T94" s="395"/>
      <c r="U94" s="395"/>
      <c r="V94" s="1608"/>
      <c r="W94" s="395"/>
      <c r="X94" s="395"/>
      <c r="Y94" s="395"/>
      <c r="Z94" s="2140"/>
      <c r="AA94" s="395"/>
      <c r="AB94" s="395"/>
      <c r="AC94" s="395"/>
      <c r="AD94" s="395"/>
      <c r="AE94" s="395"/>
      <c r="AF94" s="395"/>
      <c r="AG94" s="395"/>
      <c r="AH94" s="395"/>
      <c r="AI94" s="395"/>
      <c r="AJ94" s="395"/>
      <c r="AK94" s="395"/>
      <c r="AL94" s="395"/>
      <c r="AM94" s="395"/>
      <c r="AN94" s="395"/>
      <c r="AO94" s="395"/>
      <c r="AP94" s="395"/>
      <c r="AQ94" s="395"/>
      <c r="AR94" s="395"/>
      <c r="AS94" s="395"/>
      <c r="AT94" s="395"/>
      <c r="AU94" s="395"/>
      <c r="AV94" s="395"/>
      <c r="AW94" s="395"/>
      <c r="AX94" s="395"/>
      <c r="AY94" s="395"/>
      <c r="AZ94" s="395"/>
      <c r="BA94" s="395"/>
      <c r="BB94" s="395"/>
      <c r="BC94" s="395"/>
      <c r="BD94" s="395"/>
      <c r="BE94" s="395"/>
      <c r="BF94" s="395"/>
      <c r="BG94" s="395"/>
      <c r="BH94" s="395"/>
      <c r="BI94" s="395"/>
      <c r="BJ94" s="395"/>
      <c r="BK94" s="395"/>
      <c r="BL94" s="395"/>
      <c r="BM94" s="395"/>
      <c r="BN94" s="395"/>
      <c r="BO94" s="395"/>
      <c r="BP94" s="395"/>
      <c r="BQ94" s="395"/>
      <c r="BR94" s="395"/>
      <c r="BS94" s="395"/>
      <c r="BT94" s="395"/>
      <c r="BU94" s="395"/>
      <c r="BV94" s="395"/>
      <c r="BW94" s="395"/>
      <c r="BX94" s="395"/>
      <c r="BY94" s="395"/>
      <c r="BZ94" s="395"/>
      <c r="CA94" s="395"/>
      <c r="CB94" s="395"/>
      <c r="CC94" s="395"/>
      <c r="CD94" s="395"/>
      <c r="CE94" s="395"/>
      <c r="CF94" s="395"/>
      <c r="CG94" s="395"/>
      <c r="CH94" s="395"/>
      <c r="CI94" s="395"/>
      <c r="CJ94" s="395"/>
      <c r="CK94" s="395"/>
      <c r="CL94" s="395"/>
      <c r="CM94" s="395"/>
      <c r="CN94" s="395"/>
      <c r="CO94" s="395"/>
      <c r="CP94" s="395"/>
      <c r="CQ94" s="395"/>
      <c r="CR94" s="395"/>
      <c r="CS94" s="395"/>
      <c r="CT94" s="395"/>
      <c r="CU94" s="395"/>
      <c r="CV94" s="395"/>
      <c r="CW94" s="395"/>
      <c r="CX94" s="395"/>
      <c r="CY94" s="395"/>
      <c r="CZ94" s="395"/>
      <c r="DA94" s="395"/>
      <c r="DB94" s="395"/>
      <c r="DC94" s="395"/>
      <c r="DD94" s="395"/>
      <c r="DE94" s="395"/>
      <c r="DF94" s="395"/>
      <c r="DG94" s="395"/>
      <c r="DH94" s="395"/>
      <c r="DI94" s="395"/>
      <c r="DJ94" s="395"/>
      <c r="DK94" s="395"/>
      <c r="DL94" s="395"/>
      <c r="DM94" s="395"/>
      <c r="DN94" s="395"/>
      <c r="DO94" s="395"/>
      <c r="DP94" s="395"/>
      <c r="DQ94" s="395"/>
      <c r="DR94" s="395"/>
      <c r="DS94" s="395"/>
      <c r="DT94" s="395"/>
      <c r="DU94" s="395"/>
      <c r="DV94" s="395"/>
      <c r="DW94" s="395"/>
      <c r="DX94" s="395"/>
      <c r="DY94" s="395"/>
      <c r="DZ94" s="395"/>
      <c r="EA94" s="395"/>
      <c r="EB94" s="395"/>
      <c r="EC94" s="395"/>
      <c r="ED94" s="395"/>
      <c r="EE94" s="395"/>
      <c r="EF94" s="395"/>
      <c r="EG94" s="395"/>
      <c r="EH94" s="395"/>
      <c r="EI94" s="395"/>
      <c r="EJ94" s="395"/>
      <c r="EK94" s="395"/>
      <c r="EL94" s="395"/>
      <c r="EM94" s="395"/>
      <c r="EN94" s="395"/>
      <c r="EO94" s="395"/>
      <c r="EP94" s="395"/>
      <c r="EQ94" s="395"/>
      <c r="ER94" s="395"/>
      <c r="ES94" s="395"/>
      <c r="ET94" s="395"/>
      <c r="EU94" s="395"/>
      <c r="EV94" s="395"/>
      <c r="EW94" s="395"/>
      <c r="EX94" s="395"/>
      <c r="EY94" s="395"/>
      <c r="EZ94" s="395"/>
      <c r="FA94" s="395"/>
      <c r="FB94" s="395"/>
      <c r="FC94" s="395"/>
      <c r="FD94" s="395"/>
      <c r="FE94" s="395"/>
      <c r="FF94" s="395"/>
      <c r="FG94" s="395"/>
      <c r="FH94" s="395"/>
      <c r="FI94" s="395"/>
      <c r="FJ94" s="395"/>
      <c r="FK94" s="395"/>
      <c r="FL94" s="395"/>
      <c r="FM94" s="395"/>
      <c r="FN94" s="395"/>
      <c r="FO94" s="395"/>
      <c r="FP94" s="395"/>
      <c r="FQ94" s="395"/>
      <c r="FR94" s="395"/>
      <c r="FS94" s="395"/>
      <c r="FT94" s="395"/>
      <c r="FU94" s="395"/>
      <c r="FV94" s="395"/>
      <c r="FW94" s="395"/>
      <c r="FX94" s="395"/>
      <c r="FY94" s="395"/>
      <c r="FZ94" s="395"/>
      <c r="GA94" s="395"/>
      <c r="GB94" s="395"/>
      <c r="GC94" s="395"/>
      <c r="GD94" s="395"/>
      <c r="GE94" s="395"/>
      <c r="GF94" s="395"/>
      <c r="GG94" s="395"/>
      <c r="GH94" s="395"/>
      <c r="GI94" s="395"/>
      <c r="GJ94" s="395"/>
      <c r="GK94" s="395"/>
      <c r="GL94" s="395"/>
      <c r="GM94" s="395"/>
      <c r="GN94" s="395"/>
      <c r="GO94" s="395"/>
      <c r="GP94" s="395"/>
      <c r="GQ94" s="395"/>
      <c r="GR94" s="395"/>
      <c r="GS94" s="395"/>
      <c r="GT94" s="395"/>
      <c r="GU94" s="395"/>
      <c r="GV94" s="395"/>
      <c r="GW94" s="395"/>
      <c r="GX94" s="395"/>
      <c r="GY94" s="395"/>
      <c r="GZ94" s="395"/>
      <c r="HA94" s="395"/>
      <c r="HB94" s="395"/>
      <c r="HC94" s="395"/>
      <c r="HD94" s="395"/>
      <c r="HE94" s="395"/>
      <c r="HF94" s="395"/>
      <c r="HG94" s="395"/>
      <c r="HH94" s="395"/>
      <c r="HI94" s="395"/>
      <c r="HJ94" s="395"/>
      <c r="HK94" s="395"/>
      <c r="HL94" s="395"/>
      <c r="HM94" s="395"/>
      <c r="HN94" s="395"/>
      <c r="HO94" s="395"/>
      <c r="HP94" s="395"/>
      <c r="HQ94" s="395"/>
      <c r="HR94" s="395"/>
    </row>
    <row r="95" spans="1:226" s="866" customFormat="1" x14ac:dyDescent="0.25">
      <c r="A95" s="1607"/>
      <c r="B95" s="395"/>
      <c r="C95" s="395"/>
      <c r="D95" s="395"/>
      <c r="E95" s="395"/>
      <c r="F95" s="395"/>
      <c r="G95" s="395"/>
      <c r="H95" s="395"/>
      <c r="I95" s="395"/>
      <c r="J95" s="395"/>
      <c r="K95" s="395"/>
      <c r="L95" s="395"/>
      <c r="M95" s="395"/>
      <c r="N95" s="395"/>
      <c r="O95" s="395"/>
      <c r="P95" s="395"/>
      <c r="Q95" s="395"/>
      <c r="R95" s="395"/>
      <c r="S95" s="395"/>
      <c r="T95" s="395"/>
      <c r="U95" s="395"/>
      <c r="V95" s="1608"/>
      <c r="W95" s="395"/>
      <c r="X95" s="395"/>
      <c r="Y95" s="395"/>
      <c r="Z95" s="2140"/>
      <c r="AA95" s="395"/>
      <c r="AB95" s="395"/>
      <c r="AC95" s="395"/>
      <c r="AD95" s="395"/>
      <c r="AE95" s="395"/>
      <c r="AF95" s="395"/>
      <c r="AG95" s="395"/>
      <c r="AH95" s="395"/>
      <c r="AI95" s="395"/>
      <c r="AJ95" s="395"/>
      <c r="AK95" s="395"/>
      <c r="AL95" s="395"/>
      <c r="AM95" s="395"/>
      <c r="AN95" s="395"/>
      <c r="AO95" s="395"/>
      <c r="AP95" s="395"/>
      <c r="AQ95" s="395"/>
      <c r="AR95" s="395"/>
      <c r="AS95" s="395"/>
      <c r="AT95" s="395"/>
      <c r="AU95" s="395"/>
      <c r="AV95" s="395"/>
      <c r="AW95" s="395"/>
      <c r="AX95" s="395"/>
      <c r="AY95" s="395"/>
      <c r="AZ95" s="395"/>
      <c r="BA95" s="395"/>
      <c r="BB95" s="395"/>
      <c r="BC95" s="395"/>
      <c r="BD95" s="395"/>
      <c r="BE95" s="395"/>
      <c r="BF95" s="395"/>
      <c r="BG95" s="395"/>
      <c r="BH95" s="395"/>
      <c r="BI95" s="395"/>
      <c r="BJ95" s="395"/>
      <c r="BK95" s="395"/>
      <c r="BL95" s="395"/>
      <c r="BM95" s="395"/>
      <c r="BN95" s="395"/>
      <c r="BO95" s="395"/>
      <c r="BP95" s="395"/>
      <c r="BQ95" s="395"/>
      <c r="BR95" s="395"/>
      <c r="BS95" s="395"/>
      <c r="BT95" s="395"/>
      <c r="BU95" s="395"/>
      <c r="BV95" s="395"/>
      <c r="BW95" s="395"/>
      <c r="BX95" s="395"/>
      <c r="BY95" s="395"/>
      <c r="BZ95" s="395"/>
      <c r="CA95" s="395"/>
      <c r="CB95" s="395"/>
      <c r="CC95" s="395"/>
      <c r="CD95" s="395"/>
      <c r="CE95" s="395"/>
      <c r="CF95" s="395"/>
      <c r="CG95" s="395"/>
      <c r="CH95" s="395"/>
      <c r="CI95" s="395"/>
      <c r="CJ95" s="395"/>
      <c r="CK95" s="395"/>
      <c r="CL95" s="395"/>
      <c r="CM95" s="395"/>
      <c r="CN95" s="395"/>
      <c r="CO95" s="395"/>
      <c r="CP95" s="395"/>
      <c r="CQ95" s="395"/>
      <c r="CR95" s="395"/>
      <c r="CS95" s="395"/>
      <c r="CT95" s="395"/>
      <c r="CU95" s="395"/>
      <c r="CV95" s="395"/>
      <c r="CW95" s="395"/>
      <c r="CX95" s="395"/>
      <c r="CY95" s="395"/>
      <c r="CZ95" s="395"/>
      <c r="DA95" s="395"/>
      <c r="DB95" s="395"/>
      <c r="DC95" s="395"/>
      <c r="DD95" s="395"/>
      <c r="DE95" s="395"/>
      <c r="DF95" s="395"/>
      <c r="DG95" s="395"/>
      <c r="DH95" s="395"/>
      <c r="DI95" s="395"/>
      <c r="DJ95" s="395"/>
      <c r="DK95" s="395"/>
      <c r="DL95" s="395"/>
      <c r="DM95" s="395"/>
      <c r="DN95" s="395"/>
      <c r="DO95" s="395"/>
      <c r="DP95" s="395"/>
      <c r="DQ95" s="395"/>
      <c r="DR95" s="395"/>
      <c r="DS95" s="395"/>
      <c r="DT95" s="395"/>
      <c r="DU95" s="395"/>
      <c r="DV95" s="395"/>
      <c r="DW95" s="395"/>
      <c r="DX95" s="395"/>
      <c r="DY95" s="395"/>
      <c r="DZ95" s="395"/>
      <c r="EA95" s="395"/>
      <c r="EB95" s="395"/>
      <c r="EC95" s="395"/>
      <c r="ED95" s="395"/>
      <c r="EE95" s="395"/>
      <c r="EF95" s="395"/>
      <c r="EG95" s="395"/>
      <c r="EH95" s="395"/>
      <c r="EI95" s="395"/>
      <c r="EJ95" s="395"/>
      <c r="EK95" s="395"/>
      <c r="EL95" s="395"/>
      <c r="EM95" s="395"/>
      <c r="EN95" s="395"/>
      <c r="EO95" s="395"/>
      <c r="EP95" s="395"/>
      <c r="EQ95" s="395"/>
      <c r="ER95" s="395"/>
      <c r="ES95" s="395"/>
      <c r="ET95" s="395"/>
      <c r="EU95" s="395"/>
      <c r="EV95" s="395"/>
      <c r="EW95" s="395"/>
      <c r="EX95" s="395"/>
      <c r="EY95" s="395"/>
      <c r="EZ95" s="395"/>
      <c r="FA95" s="395"/>
      <c r="FB95" s="395"/>
      <c r="FC95" s="395"/>
      <c r="FD95" s="395"/>
      <c r="FE95" s="395"/>
      <c r="FF95" s="395"/>
      <c r="FG95" s="395"/>
      <c r="FH95" s="395"/>
      <c r="FI95" s="395"/>
      <c r="FJ95" s="395"/>
      <c r="FK95" s="395"/>
      <c r="FL95" s="395"/>
      <c r="FM95" s="395"/>
      <c r="FN95" s="395"/>
      <c r="FO95" s="395"/>
      <c r="FP95" s="395"/>
      <c r="FQ95" s="395"/>
      <c r="FR95" s="395"/>
      <c r="FS95" s="395"/>
      <c r="FT95" s="395"/>
      <c r="FU95" s="395"/>
      <c r="FV95" s="395"/>
      <c r="FW95" s="395"/>
      <c r="FX95" s="395"/>
      <c r="FY95" s="395"/>
      <c r="FZ95" s="395"/>
      <c r="GA95" s="395"/>
      <c r="GB95" s="395"/>
      <c r="GC95" s="395"/>
      <c r="GD95" s="395"/>
      <c r="GE95" s="395"/>
      <c r="GF95" s="395"/>
      <c r="GG95" s="395"/>
      <c r="GH95" s="395"/>
      <c r="GI95" s="395"/>
      <c r="GJ95" s="395"/>
      <c r="GK95" s="395"/>
      <c r="GL95" s="395"/>
      <c r="GM95" s="395"/>
      <c r="GN95" s="395"/>
      <c r="GO95" s="395"/>
      <c r="GP95" s="395"/>
      <c r="GQ95" s="395"/>
      <c r="GR95" s="395"/>
      <c r="GS95" s="395"/>
      <c r="GT95" s="395"/>
      <c r="GU95" s="395"/>
      <c r="GV95" s="395"/>
      <c r="GW95" s="395"/>
      <c r="GX95" s="395"/>
      <c r="GY95" s="395"/>
      <c r="GZ95" s="395"/>
      <c r="HA95" s="395"/>
      <c r="HB95" s="395"/>
      <c r="HC95" s="395"/>
      <c r="HD95" s="395"/>
      <c r="HE95" s="395"/>
      <c r="HF95" s="395"/>
      <c r="HG95" s="395"/>
      <c r="HH95" s="395"/>
      <c r="HI95" s="395"/>
      <c r="HJ95" s="395"/>
      <c r="HK95" s="395"/>
      <c r="HL95" s="395"/>
      <c r="HM95" s="395"/>
      <c r="HN95" s="395"/>
      <c r="HO95" s="395"/>
      <c r="HP95" s="395"/>
      <c r="HQ95" s="395"/>
      <c r="HR95" s="395"/>
    </row>
    <row r="96" spans="1:226" s="866" customFormat="1" ht="15.6" x14ac:dyDescent="0.25">
      <c r="A96" s="395"/>
      <c r="B96" s="357" t="s">
        <v>2562</v>
      </c>
      <c r="C96" s="395"/>
      <c r="D96" s="395"/>
      <c r="E96" s="395"/>
      <c r="F96" s="395"/>
      <c r="G96" s="395"/>
      <c r="H96" s="395"/>
      <c r="I96" s="395"/>
      <c r="J96" s="395"/>
      <c r="K96" s="395"/>
      <c r="L96" s="395"/>
      <c r="M96" s="395"/>
      <c r="N96" s="395"/>
      <c r="O96" s="395"/>
      <c r="P96" s="395"/>
      <c r="Q96" s="395"/>
      <c r="R96" s="395"/>
      <c r="S96" s="395"/>
      <c r="T96" s="395"/>
      <c r="U96" s="395"/>
      <c r="V96" s="1608"/>
      <c r="W96" s="395"/>
      <c r="X96" s="395"/>
      <c r="Y96" s="395"/>
      <c r="Z96" s="2140"/>
      <c r="AA96" s="395"/>
      <c r="AB96" s="395"/>
      <c r="AC96" s="395"/>
      <c r="AD96" s="395"/>
      <c r="AE96" s="395"/>
      <c r="AF96" s="395"/>
      <c r="AG96" s="395"/>
      <c r="AH96" s="395"/>
      <c r="AI96" s="395"/>
      <c r="AJ96" s="395"/>
      <c r="AK96" s="395"/>
      <c r="AL96" s="395"/>
      <c r="AM96" s="395"/>
      <c r="AN96" s="395"/>
      <c r="AO96" s="395"/>
      <c r="AP96" s="395"/>
      <c r="AQ96" s="395"/>
      <c r="AR96" s="395"/>
      <c r="AS96" s="395"/>
      <c r="AT96" s="395"/>
      <c r="AU96" s="395"/>
      <c r="AV96" s="395"/>
      <c r="AW96" s="395"/>
      <c r="AX96" s="395"/>
      <c r="AY96" s="395"/>
      <c r="AZ96" s="395"/>
      <c r="BA96" s="395"/>
      <c r="BB96" s="395"/>
      <c r="BC96" s="395"/>
      <c r="BD96" s="395"/>
      <c r="BE96" s="395"/>
      <c r="BF96" s="395"/>
      <c r="BG96" s="395"/>
      <c r="BH96" s="395"/>
      <c r="BI96" s="395"/>
      <c r="BJ96" s="395"/>
      <c r="BK96" s="395"/>
      <c r="BL96" s="395"/>
      <c r="BM96" s="395"/>
      <c r="BN96" s="395"/>
      <c r="BO96" s="395"/>
      <c r="BP96" s="395"/>
      <c r="BQ96" s="395"/>
      <c r="BR96" s="395"/>
      <c r="BS96" s="395"/>
      <c r="BT96" s="395"/>
      <c r="BU96" s="395"/>
      <c r="BV96" s="395"/>
      <c r="BW96" s="395"/>
      <c r="BX96" s="395"/>
      <c r="BY96" s="395"/>
      <c r="BZ96" s="395"/>
      <c r="CA96" s="395"/>
      <c r="CB96" s="395"/>
      <c r="CC96" s="395"/>
      <c r="CD96" s="395"/>
      <c r="CE96" s="395"/>
      <c r="CF96" s="395"/>
      <c r="CG96" s="395"/>
      <c r="CH96" s="395"/>
      <c r="CI96" s="395"/>
      <c r="CJ96" s="395"/>
      <c r="CK96" s="395"/>
      <c r="CL96" s="395"/>
      <c r="CM96" s="395"/>
      <c r="CN96" s="395"/>
      <c r="CO96" s="395"/>
      <c r="CP96" s="395"/>
      <c r="CQ96" s="395"/>
      <c r="CR96" s="395"/>
      <c r="CS96" s="395"/>
      <c r="CT96" s="395"/>
      <c r="CU96" s="395"/>
      <c r="CV96" s="395"/>
      <c r="CW96" s="395"/>
      <c r="CX96" s="395"/>
      <c r="CY96" s="395"/>
      <c r="CZ96" s="395"/>
      <c r="DA96" s="395"/>
      <c r="DB96" s="395"/>
      <c r="DC96" s="395"/>
      <c r="DD96" s="395"/>
      <c r="DE96" s="395"/>
      <c r="DF96" s="395"/>
      <c r="DG96" s="395"/>
      <c r="DH96" s="395"/>
      <c r="DI96" s="395"/>
      <c r="DJ96" s="395"/>
      <c r="DK96" s="395"/>
      <c r="DL96" s="395"/>
      <c r="DM96" s="395"/>
      <c r="DN96" s="395"/>
      <c r="DO96" s="395"/>
      <c r="DP96" s="395"/>
      <c r="DQ96" s="395"/>
      <c r="DR96" s="395"/>
      <c r="DS96" s="395"/>
      <c r="DT96" s="395"/>
      <c r="DU96" s="395"/>
      <c r="DV96" s="395"/>
      <c r="DW96" s="395"/>
      <c r="DX96" s="395"/>
      <c r="DY96" s="395"/>
      <c r="DZ96" s="395"/>
      <c r="EA96" s="395"/>
      <c r="EB96" s="395"/>
      <c r="EC96" s="395"/>
      <c r="ED96" s="395"/>
      <c r="EE96" s="395"/>
      <c r="EF96" s="395"/>
      <c r="EG96" s="395"/>
      <c r="EH96" s="395"/>
      <c r="EI96" s="395"/>
      <c r="EJ96" s="395"/>
      <c r="EK96" s="395"/>
      <c r="EL96" s="395"/>
      <c r="EM96" s="395"/>
      <c r="EN96" s="395"/>
      <c r="EO96" s="395"/>
      <c r="EP96" s="395"/>
      <c r="EQ96" s="395"/>
      <c r="ER96" s="395"/>
      <c r="ES96" s="395"/>
      <c r="ET96" s="395"/>
      <c r="EU96" s="395"/>
      <c r="EV96" s="395"/>
      <c r="EW96" s="395"/>
      <c r="EX96" s="395"/>
      <c r="EY96" s="395"/>
      <c r="EZ96" s="395"/>
      <c r="FA96" s="395"/>
      <c r="FB96" s="395"/>
      <c r="FC96" s="395"/>
      <c r="FD96" s="395"/>
      <c r="FE96" s="395"/>
      <c r="FF96" s="395"/>
      <c r="FG96" s="395"/>
      <c r="FH96" s="395"/>
      <c r="FI96" s="395"/>
      <c r="FJ96" s="395"/>
      <c r="FK96" s="395"/>
      <c r="FL96" s="395"/>
      <c r="FM96" s="395"/>
      <c r="FN96" s="395"/>
      <c r="FO96" s="395"/>
      <c r="FP96" s="395"/>
      <c r="FQ96" s="395"/>
      <c r="FR96" s="395"/>
      <c r="FS96" s="395"/>
      <c r="FT96" s="395"/>
      <c r="FU96" s="395"/>
      <c r="FV96" s="395"/>
      <c r="FW96" s="395"/>
      <c r="FX96" s="395"/>
      <c r="FY96" s="395"/>
      <c r="FZ96" s="395"/>
      <c r="GA96" s="395"/>
      <c r="GB96" s="395"/>
      <c r="GC96" s="395"/>
      <c r="GD96" s="395"/>
      <c r="GE96" s="395"/>
      <c r="GF96" s="395"/>
      <c r="GG96" s="395"/>
      <c r="GH96" s="395"/>
      <c r="GI96" s="395"/>
      <c r="GJ96" s="395"/>
      <c r="GK96" s="395"/>
      <c r="GL96" s="395"/>
      <c r="GM96" s="395"/>
      <c r="GN96" s="395"/>
      <c r="GO96" s="395"/>
      <c r="GP96" s="395"/>
      <c r="GQ96" s="395"/>
      <c r="GR96" s="395"/>
      <c r="GS96" s="395"/>
      <c r="GT96" s="395"/>
      <c r="GU96" s="395"/>
      <c r="GV96" s="395"/>
      <c r="GW96" s="395"/>
      <c r="GX96" s="395"/>
      <c r="GY96" s="395"/>
      <c r="GZ96" s="395"/>
      <c r="HA96" s="395"/>
      <c r="HB96" s="395"/>
      <c r="HC96" s="395"/>
      <c r="HD96" s="395"/>
      <c r="HE96" s="395"/>
      <c r="HF96" s="395"/>
      <c r="HG96" s="395"/>
      <c r="HH96" s="395"/>
      <c r="HI96" s="395"/>
      <c r="HJ96" s="395"/>
      <c r="HK96" s="395"/>
      <c r="HL96" s="395"/>
      <c r="HM96" s="395"/>
      <c r="HN96" s="395"/>
      <c r="HO96" s="395"/>
      <c r="HP96" s="395"/>
      <c r="HQ96" s="395"/>
      <c r="HR96" s="395"/>
    </row>
    <row r="97" spans="1:226" s="866" customFormat="1" x14ac:dyDescent="0.25">
      <c r="A97" s="395"/>
      <c r="B97" s="395"/>
      <c r="C97" s="395"/>
      <c r="D97" s="395"/>
      <c r="E97" s="395"/>
      <c r="F97" s="395"/>
      <c r="G97" s="395"/>
      <c r="H97" s="395"/>
      <c r="I97" s="395"/>
      <c r="J97" s="395"/>
      <c r="K97" s="395"/>
      <c r="L97" s="395"/>
      <c r="M97" s="395"/>
      <c r="N97" s="395"/>
      <c r="O97" s="395"/>
      <c r="P97" s="395"/>
      <c r="Q97" s="395"/>
      <c r="R97" s="395"/>
      <c r="S97" s="395"/>
      <c r="T97" s="395"/>
      <c r="U97" s="395"/>
      <c r="V97" s="1608"/>
      <c r="W97" s="395"/>
      <c r="X97" s="395"/>
      <c r="Y97" s="395"/>
      <c r="Z97" s="2140"/>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395"/>
      <c r="BC97" s="395"/>
      <c r="BD97" s="395"/>
      <c r="BE97" s="395"/>
      <c r="BF97" s="395"/>
      <c r="BG97" s="395"/>
      <c r="BH97" s="395"/>
      <c r="BI97" s="395"/>
      <c r="BJ97" s="395"/>
      <c r="BK97" s="395"/>
      <c r="BL97" s="395"/>
      <c r="BM97" s="395"/>
      <c r="BN97" s="395"/>
      <c r="BO97" s="395"/>
      <c r="BP97" s="395"/>
      <c r="BQ97" s="395"/>
      <c r="BR97" s="395"/>
      <c r="BS97" s="395"/>
      <c r="BT97" s="395"/>
      <c r="BU97" s="395"/>
      <c r="BV97" s="395"/>
      <c r="BW97" s="395"/>
      <c r="BX97" s="395"/>
      <c r="BY97" s="395"/>
      <c r="BZ97" s="395"/>
      <c r="CA97" s="395"/>
      <c r="CB97" s="395"/>
      <c r="CC97" s="395"/>
      <c r="CD97" s="395"/>
      <c r="CE97" s="395"/>
      <c r="CF97" s="395"/>
      <c r="CG97" s="395"/>
      <c r="CH97" s="395"/>
      <c r="CI97" s="395"/>
      <c r="CJ97" s="395"/>
      <c r="CK97" s="395"/>
      <c r="CL97" s="395"/>
      <c r="CM97" s="395"/>
      <c r="CN97" s="395"/>
      <c r="CO97" s="395"/>
      <c r="CP97" s="395"/>
      <c r="CQ97" s="395"/>
      <c r="CR97" s="395"/>
      <c r="CS97" s="395"/>
      <c r="CT97" s="395"/>
      <c r="CU97" s="395"/>
      <c r="CV97" s="395"/>
      <c r="CW97" s="395"/>
      <c r="CX97" s="395"/>
      <c r="CY97" s="395"/>
      <c r="CZ97" s="395"/>
      <c r="DA97" s="395"/>
      <c r="DB97" s="395"/>
      <c r="DC97" s="395"/>
      <c r="DD97" s="395"/>
      <c r="DE97" s="395"/>
      <c r="DF97" s="395"/>
      <c r="DG97" s="395"/>
      <c r="DH97" s="395"/>
      <c r="DI97" s="395"/>
      <c r="DJ97" s="395"/>
      <c r="DK97" s="395"/>
      <c r="DL97" s="395"/>
      <c r="DM97" s="395"/>
      <c r="DN97" s="395"/>
      <c r="DO97" s="395"/>
      <c r="DP97" s="395"/>
      <c r="DQ97" s="395"/>
      <c r="DR97" s="395"/>
      <c r="DS97" s="395"/>
      <c r="DT97" s="395"/>
      <c r="DU97" s="395"/>
      <c r="DV97" s="395"/>
      <c r="DW97" s="395"/>
      <c r="DX97" s="395"/>
      <c r="DY97" s="395"/>
      <c r="DZ97" s="395"/>
      <c r="EA97" s="395"/>
      <c r="EB97" s="395"/>
      <c r="EC97" s="395"/>
      <c r="ED97" s="395"/>
      <c r="EE97" s="395"/>
      <c r="EF97" s="395"/>
      <c r="EG97" s="395"/>
      <c r="EH97" s="395"/>
      <c r="EI97" s="395"/>
      <c r="EJ97" s="395"/>
      <c r="EK97" s="395"/>
      <c r="EL97" s="395"/>
      <c r="EM97" s="395"/>
      <c r="EN97" s="395"/>
      <c r="EO97" s="395"/>
      <c r="EP97" s="395"/>
      <c r="EQ97" s="395"/>
      <c r="ER97" s="395"/>
      <c r="ES97" s="395"/>
      <c r="ET97" s="395"/>
      <c r="EU97" s="395"/>
      <c r="EV97" s="395"/>
      <c r="EW97" s="395"/>
      <c r="EX97" s="395"/>
      <c r="EY97" s="395"/>
      <c r="EZ97" s="395"/>
      <c r="FA97" s="395"/>
      <c r="FB97" s="395"/>
      <c r="FC97" s="395"/>
      <c r="FD97" s="395"/>
      <c r="FE97" s="395"/>
      <c r="FF97" s="395"/>
      <c r="FG97" s="395"/>
      <c r="FH97" s="395"/>
      <c r="FI97" s="395"/>
      <c r="FJ97" s="395"/>
      <c r="FK97" s="395"/>
      <c r="FL97" s="395"/>
      <c r="FM97" s="395"/>
      <c r="FN97" s="395"/>
      <c r="FO97" s="395"/>
      <c r="FP97" s="395"/>
      <c r="FQ97" s="395"/>
      <c r="FR97" s="395"/>
      <c r="FS97" s="395"/>
      <c r="FT97" s="395"/>
      <c r="FU97" s="395"/>
      <c r="FV97" s="395"/>
      <c r="FW97" s="395"/>
      <c r="FX97" s="395"/>
      <c r="FY97" s="395"/>
      <c r="FZ97" s="395"/>
      <c r="GA97" s="395"/>
      <c r="GB97" s="395"/>
      <c r="GC97" s="395"/>
      <c r="GD97" s="395"/>
      <c r="GE97" s="395"/>
      <c r="GF97" s="395"/>
      <c r="GG97" s="395"/>
      <c r="GH97" s="395"/>
      <c r="GI97" s="395"/>
      <c r="GJ97" s="395"/>
      <c r="GK97" s="395"/>
      <c r="GL97" s="395"/>
      <c r="GM97" s="395"/>
      <c r="GN97" s="395"/>
      <c r="GO97" s="395"/>
      <c r="GP97" s="395"/>
      <c r="GQ97" s="395"/>
      <c r="GR97" s="395"/>
      <c r="GS97" s="395"/>
      <c r="GT97" s="395"/>
      <c r="GU97" s="395"/>
      <c r="GV97" s="395"/>
      <c r="GW97" s="395"/>
      <c r="GX97" s="395"/>
      <c r="GY97" s="395"/>
      <c r="GZ97" s="395"/>
      <c r="HA97" s="395"/>
      <c r="HB97" s="395"/>
      <c r="HC97" s="395"/>
      <c r="HD97" s="395"/>
      <c r="HE97" s="395"/>
      <c r="HF97" s="395"/>
      <c r="HG97" s="395"/>
      <c r="HH97" s="395"/>
      <c r="HI97" s="395"/>
      <c r="HJ97" s="395"/>
      <c r="HK97" s="395"/>
      <c r="HL97" s="395"/>
      <c r="HM97" s="395"/>
      <c r="HN97" s="395"/>
      <c r="HO97" s="395"/>
      <c r="HP97" s="395"/>
      <c r="HQ97" s="395"/>
      <c r="HR97" s="395"/>
    </row>
    <row r="98" spans="1:226" s="866" customFormat="1" x14ac:dyDescent="0.25">
      <c r="A98" s="395"/>
      <c r="B98" s="390" t="s">
        <v>2571</v>
      </c>
      <c r="C98" s="395"/>
      <c r="D98" s="395"/>
      <c r="E98" s="395"/>
      <c r="F98" s="395"/>
      <c r="G98" s="395"/>
      <c r="H98" s="395"/>
      <c r="I98" s="395"/>
      <c r="J98" s="395"/>
      <c r="K98" s="395"/>
      <c r="L98" s="395"/>
      <c r="M98" s="395"/>
      <c r="N98" s="395"/>
      <c r="O98" s="395"/>
      <c r="P98" s="395"/>
      <c r="Q98" s="395"/>
      <c r="R98" s="395"/>
      <c r="S98" s="395"/>
      <c r="T98" s="395"/>
      <c r="U98" s="395"/>
      <c r="V98" s="1608"/>
      <c r="W98" s="395"/>
      <c r="X98" s="395"/>
      <c r="Y98" s="395"/>
      <c r="Z98" s="2140"/>
      <c r="AA98" s="395"/>
      <c r="AB98" s="395"/>
      <c r="AC98" s="395"/>
      <c r="AD98" s="395"/>
      <c r="AE98" s="395"/>
      <c r="AF98" s="395"/>
      <c r="AG98" s="395"/>
      <c r="AH98" s="395"/>
      <c r="AI98" s="395"/>
      <c r="AJ98" s="395"/>
      <c r="AK98" s="395"/>
      <c r="AL98" s="395"/>
      <c r="AM98" s="395"/>
      <c r="AN98" s="395"/>
      <c r="AO98" s="395"/>
      <c r="AP98" s="395"/>
      <c r="AQ98" s="395"/>
      <c r="AR98" s="395"/>
      <c r="AS98" s="395"/>
      <c r="AT98" s="395"/>
      <c r="AU98" s="395"/>
      <c r="AV98" s="395"/>
      <c r="AW98" s="395"/>
      <c r="AX98" s="395"/>
      <c r="AY98" s="395"/>
      <c r="AZ98" s="395"/>
      <c r="BA98" s="395"/>
      <c r="BB98" s="395"/>
      <c r="BC98" s="395"/>
      <c r="BD98" s="395"/>
      <c r="BE98" s="395"/>
      <c r="BF98" s="395"/>
      <c r="BG98" s="395"/>
      <c r="BH98" s="395"/>
      <c r="BI98" s="395"/>
      <c r="BJ98" s="395"/>
      <c r="BK98" s="395"/>
      <c r="BL98" s="395"/>
      <c r="BM98" s="395"/>
      <c r="BN98" s="395"/>
      <c r="BO98" s="395"/>
      <c r="BP98" s="395"/>
      <c r="BQ98" s="395"/>
      <c r="BR98" s="395"/>
      <c r="BS98" s="395"/>
      <c r="BT98" s="395"/>
      <c r="BU98" s="395"/>
      <c r="BV98" s="395"/>
      <c r="BW98" s="395"/>
      <c r="BX98" s="395"/>
      <c r="BY98" s="395"/>
      <c r="BZ98" s="395"/>
      <c r="CA98" s="395"/>
      <c r="CB98" s="395"/>
      <c r="CC98" s="395"/>
      <c r="CD98" s="395"/>
      <c r="CE98" s="395"/>
      <c r="CF98" s="395"/>
      <c r="CG98" s="395"/>
      <c r="CH98" s="395"/>
      <c r="CI98" s="395"/>
      <c r="CJ98" s="395"/>
      <c r="CK98" s="395"/>
      <c r="CL98" s="395"/>
      <c r="CM98" s="395"/>
      <c r="CN98" s="395"/>
      <c r="CO98" s="395"/>
      <c r="CP98" s="395"/>
      <c r="CQ98" s="395"/>
      <c r="CR98" s="395"/>
      <c r="CS98" s="395"/>
      <c r="CT98" s="395"/>
      <c r="CU98" s="395"/>
      <c r="CV98" s="395"/>
      <c r="CW98" s="395"/>
      <c r="CX98" s="395"/>
      <c r="CY98" s="395"/>
      <c r="CZ98" s="395"/>
      <c r="DA98" s="395"/>
      <c r="DB98" s="395"/>
      <c r="DC98" s="395"/>
      <c r="DD98" s="395"/>
      <c r="DE98" s="395"/>
      <c r="DF98" s="395"/>
      <c r="DG98" s="395"/>
      <c r="DH98" s="395"/>
      <c r="DI98" s="395"/>
      <c r="DJ98" s="395"/>
      <c r="DK98" s="395"/>
      <c r="DL98" s="395"/>
      <c r="DM98" s="395"/>
      <c r="DN98" s="395"/>
      <c r="DO98" s="395"/>
      <c r="DP98" s="395"/>
      <c r="DQ98" s="395"/>
      <c r="DR98" s="395"/>
      <c r="DS98" s="395"/>
      <c r="DT98" s="395"/>
      <c r="DU98" s="395"/>
      <c r="DV98" s="395"/>
      <c r="DW98" s="395"/>
      <c r="DX98" s="395"/>
      <c r="DY98" s="395"/>
      <c r="DZ98" s="395"/>
      <c r="EA98" s="395"/>
      <c r="EB98" s="395"/>
      <c r="EC98" s="395"/>
      <c r="ED98" s="395"/>
      <c r="EE98" s="395"/>
      <c r="EF98" s="395"/>
      <c r="EG98" s="395"/>
      <c r="EH98" s="395"/>
      <c r="EI98" s="395"/>
      <c r="EJ98" s="395"/>
      <c r="EK98" s="395"/>
      <c r="EL98" s="395"/>
      <c r="EM98" s="395"/>
      <c r="EN98" s="395"/>
      <c r="EO98" s="395"/>
      <c r="EP98" s="395"/>
      <c r="EQ98" s="395"/>
      <c r="ER98" s="395"/>
      <c r="ES98" s="395"/>
      <c r="ET98" s="395"/>
      <c r="EU98" s="395"/>
      <c r="EV98" s="395"/>
      <c r="EW98" s="395"/>
      <c r="EX98" s="395"/>
      <c r="EY98" s="395"/>
      <c r="EZ98" s="395"/>
      <c r="FA98" s="395"/>
      <c r="FB98" s="395"/>
      <c r="FC98" s="395"/>
      <c r="FD98" s="395"/>
      <c r="FE98" s="395"/>
      <c r="FF98" s="395"/>
      <c r="FG98" s="395"/>
      <c r="FH98" s="395"/>
      <c r="FI98" s="395"/>
      <c r="FJ98" s="395"/>
      <c r="FK98" s="395"/>
      <c r="FL98" s="395"/>
      <c r="FM98" s="395"/>
      <c r="FN98" s="395"/>
      <c r="FO98" s="395"/>
      <c r="FP98" s="395"/>
      <c r="FQ98" s="395"/>
      <c r="FR98" s="395"/>
      <c r="FS98" s="395"/>
      <c r="FT98" s="395"/>
      <c r="FU98" s="395"/>
      <c r="FV98" s="395"/>
      <c r="FW98" s="395"/>
      <c r="FX98" s="395"/>
      <c r="FY98" s="395"/>
      <c r="FZ98" s="395"/>
      <c r="GA98" s="395"/>
      <c r="GB98" s="395"/>
      <c r="GC98" s="395"/>
      <c r="GD98" s="395"/>
      <c r="GE98" s="395"/>
      <c r="GF98" s="395"/>
      <c r="GG98" s="395"/>
      <c r="GH98" s="395"/>
      <c r="GI98" s="395"/>
      <c r="GJ98" s="395"/>
      <c r="GK98" s="395"/>
      <c r="GL98" s="395"/>
      <c r="GM98" s="395"/>
      <c r="GN98" s="395"/>
      <c r="GO98" s="395"/>
      <c r="GP98" s="395"/>
      <c r="GQ98" s="395"/>
      <c r="GR98" s="395"/>
      <c r="GS98" s="395"/>
      <c r="GT98" s="395"/>
      <c r="GU98" s="395"/>
      <c r="GV98" s="395"/>
      <c r="GW98" s="395"/>
      <c r="GX98" s="395"/>
      <c r="GY98" s="395"/>
      <c r="GZ98" s="395"/>
      <c r="HA98" s="395"/>
      <c r="HB98" s="395"/>
      <c r="HC98" s="395"/>
      <c r="HD98" s="395"/>
      <c r="HE98" s="395"/>
      <c r="HF98" s="395"/>
      <c r="HG98" s="395"/>
      <c r="HH98" s="395"/>
      <c r="HI98" s="395"/>
      <c r="HJ98" s="395"/>
      <c r="HK98" s="395"/>
      <c r="HL98" s="395"/>
      <c r="HM98" s="395"/>
      <c r="HN98" s="395"/>
      <c r="HO98" s="395"/>
      <c r="HP98" s="395"/>
      <c r="HQ98" s="395"/>
      <c r="HR98" s="395"/>
    </row>
    <row r="99" spans="1:226" s="866" customFormat="1" x14ac:dyDescent="0.25">
      <c r="A99" s="395"/>
      <c r="B99" s="395"/>
      <c r="C99" s="395"/>
      <c r="D99" s="395"/>
      <c r="E99" s="395"/>
      <c r="F99" s="395"/>
      <c r="G99" s="395"/>
      <c r="H99" s="395"/>
      <c r="I99" s="395"/>
      <c r="J99" s="395"/>
      <c r="K99" s="395"/>
      <c r="L99" s="395"/>
      <c r="M99" s="395"/>
      <c r="N99" s="395"/>
      <c r="O99" s="395"/>
      <c r="P99" s="395"/>
      <c r="Q99" s="395"/>
      <c r="R99" s="395"/>
      <c r="S99" s="395"/>
      <c r="T99" s="395"/>
      <c r="U99" s="395"/>
      <c r="V99" s="1608"/>
      <c r="W99" s="395"/>
      <c r="X99" s="395"/>
      <c r="Y99" s="395"/>
      <c r="Z99" s="2140"/>
      <c r="AA99" s="395"/>
      <c r="AB99" s="395"/>
      <c r="AC99" s="395"/>
      <c r="AD99" s="395"/>
      <c r="AE99" s="395"/>
      <c r="AF99" s="395"/>
      <c r="AG99" s="395"/>
      <c r="AH99" s="395"/>
      <c r="AI99" s="395"/>
      <c r="AJ99" s="395"/>
      <c r="AK99" s="395"/>
      <c r="AL99" s="395"/>
      <c r="AM99" s="395"/>
      <c r="AN99" s="395"/>
      <c r="AO99" s="395"/>
      <c r="AP99" s="395"/>
      <c r="AQ99" s="395"/>
      <c r="AR99" s="395"/>
      <c r="AS99" s="395"/>
      <c r="AT99" s="395"/>
      <c r="AU99" s="395"/>
      <c r="AV99" s="395"/>
      <c r="AW99" s="395"/>
      <c r="AX99" s="395"/>
      <c r="AY99" s="395"/>
      <c r="AZ99" s="395"/>
      <c r="BA99" s="395"/>
      <c r="BB99" s="395"/>
      <c r="BC99" s="395"/>
      <c r="BD99" s="395"/>
      <c r="BE99" s="395"/>
      <c r="BF99" s="395"/>
      <c r="BG99" s="395"/>
      <c r="BH99" s="395"/>
      <c r="BI99" s="395"/>
      <c r="BJ99" s="395"/>
      <c r="BK99" s="395"/>
      <c r="BL99" s="395"/>
      <c r="BM99" s="395"/>
      <c r="BN99" s="395"/>
      <c r="BO99" s="395"/>
      <c r="BP99" s="395"/>
      <c r="BQ99" s="395"/>
      <c r="BR99" s="395"/>
      <c r="BS99" s="395"/>
      <c r="BT99" s="395"/>
      <c r="BU99" s="395"/>
      <c r="BV99" s="395"/>
      <c r="BW99" s="395"/>
      <c r="BX99" s="395"/>
      <c r="BY99" s="395"/>
      <c r="BZ99" s="395"/>
      <c r="CA99" s="395"/>
      <c r="CB99" s="395"/>
      <c r="CC99" s="395"/>
      <c r="CD99" s="395"/>
      <c r="CE99" s="395"/>
      <c r="CF99" s="395"/>
      <c r="CG99" s="395"/>
      <c r="CH99" s="395"/>
      <c r="CI99" s="395"/>
      <c r="CJ99" s="395"/>
      <c r="CK99" s="395"/>
      <c r="CL99" s="395"/>
      <c r="CM99" s="395"/>
      <c r="CN99" s="395"/>
      <c r="CO99" s="395"/>
      <c r="CP99" s="395"/>
      <c r="CQ99" s="395"/>
      <c r="CR99" s="395"/>
      <c r="CS99" s="395"/>
      <c r="CT99" s="395"/>
      <c r="CU99" s="395"/>
      <c r="CV99" s="395"/>
      <c r="CW99" s="395"/>
      <c r="CX99" s="395"/>
      <c r="CY99" s="395"/>
      <c r="CZ99" s="395"/>
      <c r="DA99" s="395"/>
      <c r="DB99" s="395"/>
      <c r="DC99" s="395"/>
      <c r="DD99" s="395"/>
      <c r="DE99" s="395"/>
      <c r="DF99" s="395"/>
      <c r="DG99" s="395"/>
      <c r="DH99" s="395"/>
      <c r="DI99" s="395"/>
      <c r="DJ99" s="395"/>
      <c r="DK99" s="395"/>
      <c r="DL99" s="395"/>
      <c r="DM99" s="395"/>
      <c r="DN99" s="395"/>
      <c r="DO99" s="395"/>
      <c r="DP99" s="395"/>
      <c r="DQ99" s="395"/>
      <c r="DR99" s="395"/>
      <c r="DS99" s="395"/>
      <c r="DT99" s="395"/>
      <c r="DU99" s="395"/>
      <c r="DV99" s="395"/>
      <c r="DW99" s="395"/>
      <c r="DX99" s="395"/>
      <c r="DY99" s="395"/>
      <c r="DZ99" s="395"/>
      <c r="EA99" s="395"/>
      <c r="EB99" s="395"/>
      <c r="EC99" s="395"/>
      <c r="ED99" s="395"/>
      <c r="EE99" s="395"/>
      <c r="EF99" s="395"/>
      <c r="EG99" s="395"/>
      <c r="EH99" s="395"/>
      <c r="EI99" s="395"/>
      <c r="EJ99" s="395"/>
      <c r="EK99" s="395"/>
      <c r="EL99" s="395"/>
      <c r="EM99" s="395"/>
      <c r="EN99" s="395"/>
      <c r="EO99" s="395"/>
      <c r="EP99" s="395"/>
      <c r="EQ99" s="395"/>
      <c r="ER99" s="395"/>
      <c r="ES99" s="395"/>
      <c r="ET99" s="395"/>
      <c r="EU99" s="395"/>
      <c r="EV99" s="395"/>
      <c r="EW99" s="395"/>
      <c r="EX99" s="395"/>
      <c r="EY99" s="395"/>
      <c r="EZ99" s="395"/>
      <c r="FA99" s="395"/>
      <c r="FB99" s="395"/>
      <c r="FC99" s="395"/>
      <c r="FD99" s="395"/>
      <c r="FE99" s="395"/>
      <c r="FF99" s="395"/>
      <c r="FG99" s="395"/>
      <c r="FH99" s="395"/>
      <c r="FI99" s="395"/>
      <c r="FJ99" s="395"/>
      <c r="FK99" s="395"/>
      <c r="FL99" s="395"/>
      <c r="FM99" s="395"/>
      <c r="FN99" s="395"/>
      <c r="FO99" s="395"/>
      <c r="FP99" s="395"/>
      <c r="FQ99" s="395"/>
      <c r="FR99" s="395"/>
      <c r="FS99" s="395"/>
      <c r="FT99" s="395"/>
      <c r="FU99" s="395"/>
      <c r="FV99" s="395"/>
      <c r="FW99" s="395"/>
      <c r="FX99" s="395"/>
      <c r="FY99" s="395"/>
      <c r="FZ99" s="395"/>
      <c r="GA99" s="395"/>
      <c r="GB99" s="395"/>
      <c r="GC99" s="395"/>
      <c r="GD99" s="395"/>
      <c r="GE99" s="395"/>
      <c r="GF99" s="395"/>
      <c r="GG99" s="395"/>
      <c r="GH99" s="395"/>
      <c r="GI99" s="395"/>
      <c r="GJ99" s="395"/>
      <c r="GK99" s="395"/>
      <c r="GL99" s="395"/>
      <c r="GM99" s="395"/>
      <c r="GN99" s="395"/>
      <c r="GO99" s="395"/>
      <c r="GP99" s="395"/>
      <c r="GQ99" s="395"/>
      <c r="GR99" s="395"/>
      <c r="GS99" s="395"/>
      <c r="GT99" s="395"/>
      <c r="GU99" s="395"/>
      <c r="GV99" s="395"/>
      <c r="GW99" s="395"/>
      <c r="GX99" s="395"/>
      <c r="GY99" s="395"/>
      <c r="GZ99" s="395"/>
      <c r="HA99" s="395"/>
      <c r="HB99" s="395"/>
      <c r="HC99" s="395"/>
      <c r="HD99" s="395"/>
      <c r="HE99" s="395"/>
      <c r="HF99" s="395"/>
      <c r="HG99" s="395"/>
      <c r="HH99" s="395"/>
      <c r="HI99" s="395"/>
      <c r="HJ99" s="395"/>
      <c r="HK99" s="395"/>
      <c r="HL99" s="395"/>
      <c r="HM99" s="395"/>
      <c r="HN99" s="395"/>
      <c r="HO99" s="395"/>
      <c r="HP99" s="395"/>
      <c r="HQ99" s="395"/>
      <c r="HR99" s="395"/>
    </row>
    <row r="100" spans="1:226" s="866" customFormat="1" x14ac:dyDescent="0.25">
      <c r="A100" s="395"/>
      <c r="B100" s="395"/>
      <c r="C100" s="395"/>
      <c r="D100" s="3357" t="s">
        <v>1088</v>
      </c>
      <c r="E100" s="3357"/>
      <c r="F100" s="3357" t="s">
        <v>1089</v>
      </c>
      <c r="G100" s="3357"/>
      <c r="H100" s="3357" t="s">
        <v>1090</v>
      </c>
      <c r="I100" s="3357"/>
      <c r="J100" s="3357" t="s">
        <v>1091</v>
      </c>
      <c r="K100" s="3357"/>
      <c r="L100" s="3357" t="s">
        <v>1092</v>
      </c>
      <c r="M100" s="3357"/>
      <c r="N100" s="3357" t="s">
        <v>1093</v>
      </c>
      <c r="O100" s="3357"/>
      <c r="P100" s="3357" t="s">
        <v>1094</v>
      </c>
      <c r="Q100" s="3357"/>
      <c r="R100" s="3357" t="s">
        <v>1105</v>
      </c>
      <c r="S100" s="3357"/>
      <c r="T100" s="3357" t="s">
        <v>1106</v>
      </c>
      <c r="U100" s="3357"/>
      <c r="V100" s="395"/>
      <c r="W100" s="395"/>
      <c r="X100" s="395"/>
      <c r="Y100" s="395"/>
      <c r="Z100" s="2140"/>
      <c r="AA100" s="395"/>
      <c r="AB100" s="395"/>
      <c r="AC100" s="395"/>
      <c r="AD100" s="395"/>
      <c r="AE100" s="395"/>
      <c r="AF100" s="395"/>
      <c r="AG100" s="395"/>
      <c r="AH100" s="395"/>
      <c r="AI100" s="395"/>
      <c r="AJ100" s="395"/>
      <c r="AK100" s="395"/>
      <c r="AL100" s="395"/>
      <c r="AM100" s="395"/>
      <c r="AN100" s="395"/>
      <c r="AO100" s="395"/>
      <c r="AP100" s="395"/>
      <c r="AQ100" s="395"/>
      <c r="AR100" s="395"/>
      <c r="AS100" s="395"/>
      <c r="AT100" s="395"/>
      <c r="AU100" s="395"/>
      <c r="AV100" s="395"/>
      <c r="AW100" s="395"/>
      <c r="AX100" s="395"/>
      <c r="AY100" s="395"/>
      <c r="AZ100" s="395"/>
      <c r="BA100" s="395"/>
      <c r="BB100" s="395"/>
      <c r="BC100" s="395"/>
      <c r="BD100" s="395"/>
      <c r="BE100" s="395"/>
      <c r="BF100" s="395"/>
      <c r="BG100" s="395"/>
      <c r="BH100" s="395"/>
      <c r="BI100" s="395"/>
      <c r="BJ100" s="395"/>
      <c r="BK100" s="395"/>
      <c r="BL100" s="395"/>
      <c r="BM100" s="395"/>
      <c r="BN100" s="395"/>
      <c r="BO100" s="395"/>
      <c r="BP100" s="395"/>
      <c r="BQ100" s="395"/>
      <c r="BR100" s="395"/>
      <c r="BS100" s="395"/>
      <c r="BT100" s="395"/>
      <c r="BU100" s="395"/>
      <c r="BV100" s="395"/>
      <c r="BW100" s="395"/>
      <c r="BX100" s="395"/>
      <c r="BY100" s="395"/>
      <c r="BZ100" s="395"/>
      <c r="CA100" s="395"/>
      <c r="CB100" s="395"/>
      <c r="CC100" s="395"/>
      <c r="CD100" s="395"/>
      <c r="CE100" s="395"/>
      <c r="CF100" s="395"/>
      <c r="CG100" s="395"/>
      <c r="CH100" s="395"/>
      <c r="CI100" s="395"/>
      <c r="CJ100" s="395"/>
      <c r="CK100" s="395"/>
      <c r="CL100" s="395"/>
      <c r="CM100" s="395"/>
      <c r="CN100" s="395"/>
      <c r="CO100" s="395"/>
      <c r="CP100" s="395"/>
      <c r="CQ100" s="395"/>
      <c r="CR100" s="395"/>
      <c r="CS100" s="395"/>
      <c r="CT100" s="395"/>
      <c r="CU100" s="395"/>
      <c r="CV100" s="395"/>
      <c r="CW100" s="395"/>
      <c r="CX100" s="395"/>
      <c r="CY100" s="395"/>
      <c r="CZ100" s="395"/>
      <c r="DA100" s="395"/>
      <c r="DB100" s="395"/>
      <c r="DC100" s="395"/>
      <c r="DD100" s="395"/>
      <c r="DE100" s="395"/>
      <c r="DF100" s="395"/>
      <c r="DG100" s="395"/>
      <c r="DH100" s="395"/>
      <c r="DI100" s="395"/>
      <c r="DJ100" s="395"/>
      <c r="DK100" s="395"/>
      <c r="DL100" s="395"/>
      <c r="DM100" s="395"/>
      <c r="DN100" s="395"/>
      <c r="DO100" s="395"/>
      <c r="DP100" s="395"/>
      <c r="DQ100" s="395"/>
      <c r="DR100" s="395"/>
      <c r="DS100" s="395"/>
      <c r="DT100" s="395"/>
      <c r="DU100" s="395"/>
      <c r="DV100" s="395"/>
      <c r="DW100" s="395"/>
      <c r="DX100" s="395"/>
      <c r="DY100" s="395"/>
      <c r="DZ100" s="395"/>
      <c r="EA100" s="395"/>
      <c r="EB100" s="395"/>
      <c r="EC100" s="395"/>
      <c r="ED100" s="395"/>
      <c r="EE100" s="395"/>
      <c r="EF100" s="395"/>
      <c r="EG100" s="395"/>
      <c r="EH100" s="395"/>
      <c r="EI100" s="395"/>
      <c r="EJ100" s="395"/>
      <c r="EK100" s="395"/>
      <c r="EL100" s="395"/>
      <c r="EM100" s="395"/>
      <c r="EN100" s="395"/>
      <c r="EO100" s="395"/>
      <c r="EP100" s="395"/>
      <c r="EQ100" s="395"/>
      <c r="ER100" s="395"/>
      <c r="ES100" s="395"/>
      <c r="ET100" s="395"/>
      <c r="EU100" s="395"/>
      <c r="EV100" s="395"/>
      <c r="EW100" s="395"/>
      <c r="EX100" s="395"/>
      <c r="EY100" s="395"/>
      <c r="EZ100" s="395"/>
      <c r="FA100" s="395"/>
      <c r="FB100" s="395"/>
      <c r="FC100" s="395"/>
      <c r="FD100" s="395"/>
      <c r="FE100" s="395"/>
      <c r="FF100" s="395"/>
      <c r="FG100" s="395"/>
      <c r="FH100" s="395"/>
      <c r="FI100" s="395"/>
      <c r="FJ100" s="395"/>
      <c r="FK100" s="395"/>
      <c r="FL100" s="395"/>
      <c r="FM100" s="395"/>
      <c r="FN100" s="395"/>
      <c r="FO100" s="395"/>
      <c r="FP100" s="395"/>
      <c r="FQ100" s="395"/>
      <c r="FR100" s="395"/>
      <c r="FS100" s="395"/>
      <c r="FT100" s="395"/>
      <c r="FU100" s="395"/>
      <c r="FV100" s="395"/>
      <c r="FW100" s="395"/>
      <c r="FX100" s="395"/>
      <c r="FY100" s="395"/>
      <c r="FZ100" s="395"/>
      <c r="GA100" s="395"/>
      <c r="GB100" s="395"/>
      <c r="GC100" s="395"/>
      <c r="GD100" s="395"/>
      <c r="GE100" s="395"/>
      <c r="GF100" s="395"/>
      <c r="GG100" s="395"/>
      <c r="GH100" s="395"/>
      <c r="GI100" s="395"/>
      <c r="GJ100" s="395"/>
      <c r="GK100" s="395"/>
      <c r="GL100" s="395"/>
      <c r="GM100" s="395"/>
      <c r="GN100" s="395"/>
      <c r="GO100" s="395"/>
      <c r="GP100" s="395"/>
      <c r="GQ100" s="395"/>
      <c r="GR100" s="395"/>
      <c r="GS100" s="395"/>
      <c r="GT100" s="395"/>
      <c r="GU100" s="395"/>
      <c r="GV100" s="395"/>
      <c r="GW100" s="395"/>
      <c r="GX100" s="395"/>
      <c r="GY100" s="395"/>
      <c r="GZ100" s="395"/>
      <c r="HA100" s="395"/>
      <c r="HB100" s="395"/>
      <c r="HC100" s="395"/>
      <c r="HD100" s="395"/>
      <c r="HE100" s="395"/>
      <c r="HF100" s="395"/>
      <c r="HG100" s="395"/>
      <c r="HH100" s="395"/>
      <c r="HI100" s="395"/>
      <c r="HJ100" s="395"/>
      <c r="HK100" s="395"/>
      <c r="HL100" s="395"/>
      <c r="HM100" s="395"/>
      <c r="HN100" s="395"/>
      <c r="HO100" s="395"/>
      <c r="HP100" s="395"/>
      <c r="HQ100" s="395"/>
      <c r="HR100" s="395"/>
    </row>
    <row r="101" spans="1:226" s="866" customFormat="1" ht="39.6" x14ac:dyDescent="0.25">
      <c r="A101" s="395"/>
      <c r="B101" s="395"/>
      <c r="C101" s="395"/>
      <c r="D101" s="780" t="s">
        <v>1132</v>
      </c>
      <c r="E101" s="780" t="str">
        <f>CONCATENATE("Average Floor Area",IF(SI_IP_Units="IP"," (sq ft)"," (sq m)"))</f>
        <v>Average Floor Area (sq ft)</v>
      </c>
      <c r="F101" s="780" t="s">
        <v>1132</v>
      </c>
      <c r="G101" s="780" t="str">
        <f>CONCATENATE("Average Floor Area",IF(SI_IP_Units="IP"," (sq ft)"," (sq m)"))</f>
        <v>Average Floor Area (sq ft)</v>
      </c>
      <c r="H101" s="780" t="s">
        <v>1132</v>
      </c>
      <c r="I101" s="780" t="str">
        <f>CONCATENATE("Average Floor Area",IF(SI_IP_Units="IP"," (sq ft)"," (sq m)"))</f>
        <v>Average Floor Area (sq ft)</v>
      </c>
      <c r="J101" s="780" t="s">
        <v>1132</v>
      </c>
      <c r="K101" s="780" t="str">
        <f>CONCATENATE("Average Floor Area",IF(SI_IP_Units="IP"," (sq ft)"," (sq m)"))</f>
        <v>Average Floor Area (sq ft)</v>
      </c>
      <c r="L101" s="780" t="s">
        <v>1132</v>
      </c>
      <c r="M101" s="780" t="str">
        <f>CONCATENATE("Average Floor Area",IF(SI_IP_Units="IP"," (sq ft)"," (sq m)"))</f>
        <v>Average Floor Area (sq ft)</v>
      </c>
      <c r="N101" s="780" t="s">
        <v>1132</v>
      </c>
      <c r="O101" s="780" t="str">
        <f>CONCATENATE("Average Floor Area",IF(SI_IP_Units="IP"," (sq ft)"," (sq m)"))</f>
        <v>Average Floor Area (sq ft)</v>
      </c>
      <c r="P101" s="780" t="s">
        <v>1132</v>
      </c>
      <c r="Q101" s="780" t="str">
        <f>CONCATENATE("Average Floor Area",IF(SI_IP_Units="IP"," (sq ft)"," (sq m)"))</f>
        <v>Average Floor Area (sq ft)</v>
      </c>
      <c r="R101" s="780" t="s">
        <v>1132</v>
      </c>
      <c r="S101" s="780" t="str">
        <f>CONCATENATE("Average Floor Area",IF(SI_IP_Units="IP"," (sq ft)"," (sq m)"))</f>
        <v>Average Floor Area (sq ft)</v>
      </c>
      <c r="T101" s="780" t="s">
        <v>1132</v>
      </c>
      <c r="U101" s="780" t="str">
        <f>CONCATENATE("Average Floor Area",IF(SI_IP_Units="IP"," (sq ft)"," (sq m)"))</f>
        <v>Average Floor Area (sq ft)</v>
      </c>
      <c r="V101" s="395"/>
      <c r="W101" s="395"/>
      <c r="X101" s="395"/>
      <c r="Y101" s="395"/>
      <c r="Z101" s="2140"/>
      <c r="AA101" s="395"/>
      <c r="AB101" s="395"/>
      <c r="AC101" s="395"/>
      <c r="AD101" s="395"/>
      <c r="AE101" s="395"/>
      <c r="AF101" s="395"/>
      <c r="AG101" s="395"/>
      <c r="AH101" s="395"/>
      <c r="AI101" s="395"/>
      <c r="AJ101" s="395"/>
      <c r="AK101" s="395"/>
      <c r="AL101" s="395"/>
      <c r="AM101" s="395"/>
      <c r="AN101" s="395"/>
      <c r="AO101" s="395"/>
      <c r="AP101" s="395"/>
      <c r="AQ101" s="395"/>
      <c r="AR101" s="395"/>
      <c r="AS101" s="395"/>
      <c r="AT101" s="395"/>
      <c r="AU101" s="395"/>
      <c r="AV101" s="395"/>
      <c r="AW101" s="395"/>
      <c r="AX101" s="395"/>
      <c r="AY101" s="395"/>
      <c r="AZ101" s="395"/>
      <c r="BA101" s="395"/>
      <c r="BB101" s="395"/>
      <c r="BC101" s="395"/>
      <c r="BD101" s="395"/>
      <c r="BE101" s="395"/>
      <c r="BF101" s="395"/>
      <c r="BG101" s="395"/>
      <c r="BH101" s="395"/>
      <c r="BI101" s="395"/>
      <c r="BJ101" s="395"/>
      <c r="BK101" s="395"/>
      <c r="BL101" s="395"/>
      <c r="BM101" s="395"/>
      <c r="BN101" s="395"/>
      <c r="BO101" s="395"/>
      <c r="BP101" s="395"/>
      <c r="BQ101" s="395"/>
      <c r="BR101" s="395"/>
      <c r="BS101" s="395"/>
      <c r="BT101" s="395"/>
      <c r="BU101" s="395"/>
      <c r="BV101" s="395"/>
      <c r="BW101" s="395"/>
      <c r="BX101" s="395"/>
      <c r="BY101" s="395"/>
      <c r="BZ101" s="395"/>
      <c r="CA101" s="395"/>
      <c r="CB101" s="395"/>
      <c r="CC101" s="395"/>
      <c r="CD101" s="395"/>
      <c r="CE101" s="395"/>
      <c r="CF101" s="395"/>
      <c r="CG101" s="395"/>
      <c r="CH101" s="395"/>
      <c r="CI101" s="395"/>
      <c r="CJ101" s="395"/>
      <c r="CK101" s="395"/>
      <c r="CL101" s="395"/>
      <c r="CM101" s="395"/>
      <c r="CN101" s="395"/>
      <c r="CO101" s="395"/>
      <c r="CP101" s="395"/>
      <c r="CQ101" s="395"/>
      <c r="CR101" s="395"/>
      <c r="CS101" s="395"/>
      <c r="CT101" s="395"/>
      <c r="CU101" s="395"/>
      <c r="CV101" s="395"/>
      <c r="CW101" s="395"/>
      <c r="CX101" s="395"/>
      <c r="CY101" s="395"/>
      <c r="CZ101" s="395"/>
      <c r="DA101" s="395"/>
      <c r="DB101" s="395"/>
      <c r="DC101" s="395"/>
      <c r="DD101" s="395"/>
      <c r="DE101" s="395"/>
      <c r="DF101" s="395"/>
      <c r="DG101" s="395"/>
      <c r="DH101" s="395"/>
      <c r="DI101" s="395"/>
      <c r="DJ101" s="395"/>
      <c r="DK101" s="395"/>
      <c r="DL101" s="395"/>
      <c r="DM101" s="395"/>
      <c r="DN101" s="395"/>
      <c r="DO101" s="395"/>
      <c r="DP101" s="395"/>
      <c r="DQ101" s="395"/>
      <c r="DR101" s="395"/>
      <c r="DS101" s="395"/>
      <c r="DT101" s="395"/>
      <c r="DU101" s="395"/>
      <c r="DV101" s="395"/>
      <c r="DW101" s="395"/>
      <c r="DX101" s="395"/>
      <c r="DY101" s="395"/>
      <c r="DZ101" s="395"/>
      <c r="EA101" s="395"/>
      <c r="EB101" s="395"/>
      <c r="EC101" s="395"/>
      <c r="ED101" s="395"/>
      <c r="EE101" s="395"/>
      <c r="EF101" s="395"/>
      <c r="EG101" s="395"/>
      <c r="EH101" s="395"/>
      <c r="EI101" s="395"/>
      <c r="EJ101" s="395"/>
      <c r="EK101" s="395"/>
      <c r="EL101" s="395"/>
      <c r="EM101" s="395"/>
      <c r="EN101" s="395"/>
      <c r="EO101" s="395"/>
      <c r="EP101" s="395"/>
      <c r="EQ101" s="395"/>
      <c r="ER101" s="395"/>
      <c r="ES101" s="395"/>
      <c r="ET101" s="395"/>
      <c r="EU101" s="395"/>
      <c r="EV101" s="395"/>
      <c r="EW101" s="395"/>
      <c r="EX101" s="395"/>
      <c r="EY101" s="395"/>
      <c r="EZ101" s="395"/>
      <c r="FA101" s="395"/>
      <c r="FB101" s="395"/>
      <c r="FC101" s="395"/>
      <c r="FD101" s="395"/>
      <c r="FE101" s="395"/>
      <c r="FF101" s="395"/>
      <c r="FG101" s="395"/>
      <c r="FH101" s="395"/>
      <c r="FI101" s="395"/>
      <c r="FJ101" s="395"/>
      <c r="FK101" s="395"/>
      <c r="FL101" s="395"/>
      <c r="FM101" s="395"/>
      <c r="FN101" s="395"/>
      <c r="FO101" s="395"/>
      <c r="FP101" s="395"/>
      <c r="FQ101" s="395"/>
      <c r="FR101" s="395"/>
      <c r="FS101" s="395"/>
      <c r="FT101" s="395"/>
      <c r="FU101" s="395"/>
      <c r="FV101" s="395"/>
      <c r="FW101" s="395"/>
      <c r="FX101" s="395"/>
      <c r="FY101" s="395"/>
      <c r="FZ101" s="395"/>
      <c r="GA101" s="395"/>
      <c r="GB101" s="395"/>
      <c r="GC101" s="395"/>
      <c r="GD101" s="395"/>
      <c r="GE101" s="395"/>
      <c r="GF101" s="395"/>
      <c r="GG101" s="395"/>
      <c r="GH101" s="395"/>
      <c r="GI101" s="395"/>
      <c r="GJ101" s="395"/>
      <c r="GK101" s="395"/>
      <c r="GL101" s="395"/>
      <c r="GM101" s="395"/>
      <c r="GN101" s="395"/>
      <c r="GO101" s="395"/>
      <c r="GP101" s="395"/>
      <c r="GQ101" s="395"/>
      <c r="GR101" s="395"/>
      <c r="GS101" s="395"/>
      <c r="GT101" s="395"/>
      <c r="GU101" s="395"/>
      <c r="GV101" s="395"/>
      <c r="GW101" s="395"/>
      <c r="GX101" s="395"/>
      <c r="GY101" s="395"/>
      <c r="GZ101" s="395"/>
      <c r="HA101" s="395"/>
      <c r="HB101" s="395"/>
      <c r="HC101" s="395"/>
      <c r="HD101" s="395"/>
      <c r="HE101" s="395"/>
      <c r="HF101" s="395"/>
      <c r="HG101" s="395"/>
      <c r="HH101" s="395"/>
      <c r="HI101" s="395"/>
      <c r="HJ101" s="395"/>
      <c r="HK101" s="395"/>
      <c r="HL101" s="395"/>
      <c r="HM101" s="395"/>
      <c r="HN101" s="395"/>
      <c r="HO101" s="395"/>
      <c r="HP101" s="395"/>
      <c r="HQ101" s="395"/>
      <c r="HR101" s="395"/>
    </row>
    <row r="102" spans="1:226" s="866" customFormat="1" x14ac:dyDescent="0.25">
      <c r="A102" s="395"/>
      <c r="B102" s="395"/>
      <c r="C102" s="395"/>
      <c r="D102" s="1278" t="str">
        <f t="shared" ref="D102:U102" si="0">IF(D12="","-",D12)</f>
        <v>-</v>
      </c>
      <c r="E102" s="1278" t="str">
        <f t="shared" si="0"/>
        <v>-</v>
      </c>
      <c r="F102" s="1278" t="str">
        <f t="shared" si="0"/>
        <v>-</v>
      </c>
      <c r="G102" s="1278" t="str">
        <f t="shared" si="0"/>
        <v>-</v>
      </c>
      <c r="H102" s="1278" t="str">
        <f t="shared" si="0"/>
        <v>-</v>
      </c>
      <c r="I102" s="1278" t="str">
        <f t="shared" si="0"/>
        <v>-</v>
      </c>
      <c r="J102" s="1278" t="str">
        <f t="shared" si="0"/>
        <v>-</v>
      </c>
      <c r="K102" s="1278" t="str">
        <f t="shared" si="0"/>
        <v>-</v>
      </c>
      <c r="L102" s="1278" t="str">
        <f t="shared" si="0"/>
        <v>-</v>
      </c>
      <c r="M102" s="1278" t="str">
        <f t="shared" si="0"/>
        <v>-</v>
      </c>
      <c r="N102" s="1278" t="str">
        <f t="shared" si="0"/>
        <v>-</v>
      </c>
      <c r="O102" s="1278" t="str">
        <f t="shared" si="0"/>
        <v>-</v>
      </c>
      <c r="P102" s="1278" t="str">
        <f t="shared" si="0"/>
        <v>-</v>
      </c>
      <c r="Q102" s="1278" t="str">
        <f t="shared" si="0"/>
        <v>-</v>
      </c>
      <c r="R102" s="1278" t="str">
        <f t="shared" si="0"/>
        <v>-</v>
      </c>
      <c r="S102" s="1278" t="str">
        <f t="shared" si="0"/>
        <v>-</v>
      </c>
      <c r="T102" s="1278" t="str">
        <f t="shared" si="0"/>
        <v>-</v>
      </c>
      <c r="U102" s="1278" t="str">
        <f t="shared" si="0"/>
        <v>-</v>
      </c>
      <c r="V102" s="395"/>
      <c r="W102" s="395"/>
      <c r="X102" s="395"/>
      <c r="Y102" s="395"/>
      <c r="Z102" s="2140"/>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395"/>
      <c r="BC102" s="395"/>
      <c r="BD102" s="395"/>
      <c r="BE102" s="395"/>
      <c r="BF102" s="395"/>
      <c r="BG102" s="395"/>
      <c r="BH102" s="395"/>
      <c r="BI102" s="395"/>
      <c r="BJ102" s="395"/>
      <c r="BK102" s="395"/>
      <c r="BL102" s="395"/>
      <c r="BM102" s="395"/>
      <c r="BN102" s="395"/>
      <c r="BO102" s="395"/>
      <c r="BP102" s="395"/>
      <c r="BQ102" s="395"/>
      <c r="BR102" s="395"/>
      <c r="BS102" s="395"/>
      <c r="BT102" s="395"/>
      <c r="BU102" s="395"/>
      <c r="BV102" s="395"/>
      <c r="BW102" s="395"/>
      <c r="BX102" s="395"/>
      <c r="BY102" s="395"/>
      <c r="BZ102" s="395"/>
      <c r="CA102" s="395"/>
      <c r="CB102" s="395"/>
      <c r="CC102" s="395"/>
      <c r="CD102" s="395"/>
      <c r="CE102" s="395"/>
      <c r="CF102" s="395"/>
      <c r="CG102" s="395"/>
      <c r="CH102" s="395"/>
      <c r="CI102" s="395"/>
      <c r="CJ102" s="395"/>
      <c r="CK102" s="395"/>
      <c r="CL102" s="395"/>
      <c r="CM102" s="395"/>
      <c r="CN102" s="395"/>
      <c r="CO102" s="395"/>
      <c r="CP102" s="395"/>
      <c r="CQ102" s="395"/>
      <c r="CR102" s="395"/>
      <c r="CS102" s="395"/>
      <c r="CT102" s="395"/>
      <c r="CU102" s="395"/>
      <c r="CV102" s="395"/>
      <c r="CW102" s="395"/>
      <c r="CX102" s="395"/>
      <c r="CY102" s="395"/>
      <c r="CZ102" s="395"/>
      <c r="DA102" s="395"/>
      <c r="DB102" s="395"/>
      <c r="DC102" s="395"/>
      <c r="DD102" s="395"/>
      <c r="DE102" s="395"/>
      <c r="DF102" s="395"/>
      <c r="DG102" s="395"/>
      <c r="DH102" s="395"/>
      <c r="DI102" s="395"/>
      <c r="DJ102" s="395"/>
      <c r="DK102" s="395"/>
      <c r="DL102" s="395"/>
      <c r="DM102" s="395"/>
      <c r="DN102" s="395"/>
      <c r="DO102" s="395"/>
      <c r="DP102" s="395"/>
      <c r="DQ102" s="395"/>
      <c r="DR102" s="395"/>
      <c r="DS102" s="395"/>
      <c r="DT102" s="395"/>
      <c r="DU102" s="395"/>
      <c r="DV102" s="395"/>
      <c r="DW102" s="395"/>
      <c r="DX102" s="395"/>
      <c r="DY102" s="395"/>
      <c r="DZ102" s="395"/>
      <c r="EA102" s="395"/>
      <c r="EB102" s="395"/>
      <c r="EC102" s="395"/>
      <c r="ED102" s="395"/>
      <c r="EE102" s="395"/>
      <c r="EF102" s="395"/>
      <c r="EG102" s="395"/>
      <c r="EH102" s="395"/>
      <c r="EI102" s="395"/>
      <c r="EJ102" s="395"/>
      <c r="EK102" s="395"/>
      <c r="EL102" s="395"/>
      <c r="EM102" s="395"/>
      <c r="EN102" s="395"/>
      <c r="EO102" s="395"/>
      <c r="EP102" s="395"/>
      <c r="EQ102" s="395"/>
      <c r="ER102" s="395"/>
      <c r="ES102" s="395"/>
      <c r="ET102" s="395"/>
      <c r="EU102" s="395"/>
      <c r="EV102" s="395"/>
      <c r="EW102" s="395"/>
      <c r="EX102" s="395"/>
      <c r="EY102" s="395"/>
      <c r="EZ102" s="395"/>
      <c r="FA102" s="395"/>
      <c r="FB102" s="395"/>
      <c r="FC102" s="395"/>
      <c r="FD102" s="395"/>
      <c r="FE102" s="395"/>
      <c r="FF102" s="395"/>
      <c r="FG102" s="395"/>
      <c r="FH102" s="395"/>
      <c r="FI102" s="395"/>
      <c r="FJ102" s="395"/>
      <c r="FK102" s="395"/>
      <c r="FL102" s="395"/>
      <c r="FM102" s="395"/>
      <c r="FN102" s="395"/>
      <c r="FO102" s="395"/>
      <c r="FP102" s="395"/>
      <c r="FQ102" s="395"/>
      <c r="FR102" s="395"/>
      <c r="FS102" s="395"/>
      <c r="FT102" s="395"/>
      <c r="FU102" s="395"/>
      <c r="FV102" s="395"/>
      <c r="FW102" s="395"/>
      <c r="FX102" s="395"/>
      <c r="FY102" s="395"/>
      <c r="FZ102" s="395"/>
      <c r="GA102" s="395"/>
      <c r="GB102" s="395"/>
      <c r="GC102" s="395"/>
      <c r="GD102" s="395"/>
      <c r="GE102" s="395"/>
      <c r="GF102" s="395"/>
      <c r="GG102" s="395"/>
      <c r="GH102" s="395"/>
      <c r="GI102" s="395"/>
      <c r="GJ102" s="395"/>
      <c r="GK102" s="395"/>
      <c r="GL102" s="395"/>
      <c r="GM102" s="395"/>
      <c r="GN102" s="395"/>
      <c r="GO102" s="395"/>
      <c r="GP102" s="395"/>
      <c r="GQ102" s="395"/>
      <c r="GR102" s="395"/>
      <c r="GS102" s="395"/>
      <c r="GT102" s="395"/>
      <c r="GU102" s="395"/>
      <c r="GV102" s="395"/>
      <c r="GW102" s="395"/>
      <c r="GX102" s="395"/>
      <c r="GY102" s="395"/>
      <c r="GZ102" s="395"/>
      <c r="HA102" s="395"/>
      <c r="HB102" s="395"/>
      <c r="HC102" s="395"/>
      <c r="HD102" s="395"/>
      <c r="HE102" s="395"/>
      <c r="HF102" s="395"/>
      <c r="HG102" s="395"/>
      <c r="HH102" s="395"/>
      <c r="HI102" s="395"/>
      <c r="HJ102" s="395"/>
      <c r="HK102" s="395"/>
      <c r="HL102" s="395"/>
      <c r="HM102" s="395"/>
      <c r="HN102" s="395"/>
      <c r="HO102" s="395"/>
      <c r="HP102" s="395"/>
      <c r="HQ102" s="395"/>
      <c r="HR102" s="395"/>
    </row>
    <row r="103" spans="1:226" s="866" customFormat="1" x14ac:dyDescent="0.25">
      <c r="A103" s="395"/>
      <c r="B103" s="3417" t="s">
        <v>2569</v>
      </c>
      <c r="C103" s="3418"/>
      <c r="D103" s="3418"/>
      <c r="E103" s="3418"/>
      <c r="F103" s="3418"/>
      <c r="G103" s="3418"/>
      <c r="H103" s="3418"/>
      <c r="I103" s="3418"/>
      <c r="J103" s="3418"/>
      <c r="K103" s="3418"/>
      <c r="L103" s="3418"/>
      <c r="M103" s="3418"/>
      <c r="N103" s="3418"/>
      <c r="O103" s="3418"/>
      <c r="P103" s="3418"/>
      <c r="Q103" s="3418"/>
      <c r="R103" s="3418"/>
      <c r="S103" s="3418"/>
      <c r="T103" s="3418"/>
      <c r="U103" s="3419"/>
      <c r="V103" s="395"/>
      <c r="W103" s="395"/>
      <c r="X103" s="395"/>
      <c r="Y103" s="395"/>
      <c r="Z103" s="2140"/>
      <c r="AA103" s="395"/>
      <c r="AB103" s="395"/>
      <c r="AC103" s="395"/>
      <c r="AD103" s="395"/>
      <c r="AE103" s="395"/>
      <c r="AF103" s="395"/>
      <c r="AG103" s="395"/>
      <c r="AH103" s="395"/>
      <c r="AI103" s="395"/>
      <c r="AJ103" s="395"/>
      <c r="AK103" s="395"/>
      <c r="AL103" s="395"/>
      <c r="AM103" s="395"/>
      <c r="AN103" s="395"/>
      <c r="AO103" s="395"/>
      <c r="AP103" s="395"/>
      <c r="AQ103" s="395"/>
      <c r="AR103" s="395"/>
      <c r="AS103" s="395"/>
      <c r="AT103" s="395"/>
      <c r="AU103" s="395"/>
      <c r="AV103" s="395"/>
      <c r="AW103" s="395"/>
      <c r="AX103" s="395"/>
      <c r="AY103" s="395"/>
      <c r="AZ103" s="395"/>
      <c r="BA103" s="395"/>
      <c r="BB103" s="395"/>
      <c r="BC103" s="395"/>
      <c r="BD103" s="395"/>
      <c r="BE103" s="395"/>
      <c r="BF103" s="395"/>
      <c r="BG103" s="395"/>
      <c r="BH103" s="395"/>
      <c r="BI103" s="395"/>
      <c r="BJ103" s="395"/>
      <c r="BK103" s="395"/>
      <c r="BL103" s="395"/>
      <c r="BM103" s="395"/>
      <c r="BN103" s="395"/>
      <c r="BO103" s="395"/>
      <c r="BP103" s="395"/>
      <c r="BQ103" s="395"/>
      <c r="BR103" s="395"/>
      <c r="BS103" s="395"/>
      <c r="BT103" s="395"/>
      <c r="BU103" s="395"/>
      <c r="BV103" s="395"/>
      <c r="BW103" s="395"/>
      <c r="BX103" s="395"/>
      <c r="BY103" s="395"/>
      <c r="BZ103" s="395"/>
      <c r="CA103" s="395"/>
      <c r="CB103" s="395"/>
      <c r="CC103" s="395"/>
      <c r="CD103" s="395"/>
      <c r="CE103" s="395"/>
      <c r="CF103" s="395"/>
      <c r="CG103" s="395"/>
      <c r="CH103" s="395"/>
      <c r="CI103" s="395"/>
      <c r="CJ103" s="395"/>
      <c r="CK103" s="395"/>
      <c r="CL103" s="395"/>
      <c r="CM103" s="395"/>
      <c r="CN103" s="395"/>
      <c r="CO103" s="395"/>
      <c r="CP103" s="395"/>
      <c r="CQ103" s="395"/>
      <c r="CR103" s="395"/>
      <c r="CS103" s="395"/>
      <c r="CT103" s="395"/>
      <c r="CU103" s="395"/>
      <c r="CV103" s="395"/>
      <c r="CW103" s="395"/>
      <c r="CX103" s="395"/>
      <c r="CY103" s="395"/>
      <c r="CZ103" s="395"/>
      <c r="DA103" s="395"/>
      <c r="DB103" s="395"/>
      <c r="DC103" s="395"/>
      <c r="DD103" s="395"/>
      <c r="DE103" s="395"/>
      <c r="DF103" s="395"/>
      <c r="DG103" s="395"/>
      <c r="DH103" s="395"/>
      <c r="DI103" s="395"/>
      <c r="DJ103" s="395"/>
      <c r="DK103" s="395"/>
      <c r="DL103" s="395"/>
      <c r="DM103" s="395"/>
      <c r="DN103" s="395"/>
      <c r="DO103" s="395"/>
      <c r="DP103" s="395"/>
      <c r="DQ103" s="395"/>
      <c r="DR103" s="395"/>
      <c r="DS103" s="395"/>
      <c r="DT103" s="395"/>
      <c r="DU103" s="395"/>
      <c r="DV103" s="395"/>
      <c r="DW103" s="395"/>
      <c r="DX103" s="395"/>
      <c r="DY103" s="395"/>
      <c r="DZ103" s="395"/>
      <c r="EA103" s="395"/>
      <c r="EB103" s="395"/>
      <c r="EC103" s="395"/>
      <c r="ED103" s="395"/>
      <c r="EE103" s="395"/>
      <c r="EF103" s="395"/>
      <c r="EG103" s="395"/>
      <c r="EH103" s="395"/>
      <c r="EI103" s="395"/>
      <c r="EJ103" s="395"/>
      <c r="EK103" s="395"/>
      <c r="EL103" s="395"/>
      <c r="EM103" s="395"/>
      <c r="EN103" s="395"/>
      <c r="EO103" s="395"/>
      <c r="EP103" s="395"/>
      <c r="EQ103" s="395"/>
      <c r="ER103" s="395"/>
      <c r="ES103" s="395"/>
      <c r="ET103" s="395"/>
      <c r="EU103" s="395"/>
      <c r="EV103" s="395"/>
      <c r="EW103" s="395"/>
      <c r="EX103" s="395"/>
      <c r="EY103" s="395"/>
      <c r="EZ103" s="395"/>
      <c r="FA103" s="395"/>
      <c r="FB103" s="395"/>
      <c r="FC103" s="395"/>
      <c r="FD103" s="395"/>
      <c r="FE103" s="395"/>
      <c r="FF103" s="395"/>
      <c r="FG103" s="395"/>
      <c r="FH103" s="395"/>
      <c r="FI103" s="395"/>
      <c r="FJ103" s="395"/>
      <c r="FK103" s="395"/>
      <c r="FL103" s="395"/>
      <c r="FM103" s="395"/>
      <c r="FN103" s="395"/>
      <c r="FO103" s="395"/>
      <c r="FP103" s="395"/>
      <c r="FQ103" s="395"/>
      <c r="FR103" s="395"/>
      <c r="FS103" s="395"/>
      <c r="FT103" s="395"/>
      <c r="FU103" s="395"/>
      <c r="FV103" s="395"/>
      <c r="FW103" s="395"/>
      <c r="FX103" s="395"/>
      <c r="FY103" s="395"/>
      <c r="FZ103" s="395"/>
      <c r="GA103" s="395"/>
      <c r="GB103" s="395"/>
      <c r="GC103" s="395"/>
      <c r="GD103" s="395"/>
      <c r="GE103" s="395"/>
      <c r="GF103" s="395"/>
      <c r="GG103" s="395"/>
      <c r="GH103" s="395"/>
      <c r="GI103" s="395"/>
      <c r="GJ103" s="395"/>
      <c r="GK103" s="395"/>
      <c r="GL103" s="395"/>
      <c r="GM103" s="395"/>
      <c r="GN103" s="395"/>
      <c r="GO103" s="395"/>
      <c r="GP103" s="395"/>
      <c r="GQ103" s="395"/>
      <c r="GR103" s="395"/>
      <c r="GS103" s="395"/>
      <c r="GT103" s="395"/>
      <c r="GU103" s="395"/>
      <c r="GV103" s="395"/>
      <c r="GW103" s="395"/>
      <c r="GX103" s="395"/>
      <c r="GY103" s="395"/>
      <c r="GZ103" s="395"/>
      <c r="HA103" s="395"/>
      <c r="HB103" s="395"/>
      <c r="HC103" s="395"/>
      <c r="HD103" s="395"/>
      <c r="HE103" s="395"/>
      <c r="HF103" s="395"/>
      <c r="HG103" s="395"/>
      <c r="HH103" s="395"/>
      <c r="HI103" s="395"/>
      <c r="HJ103" s="395"/>
      <c r="HK103" s="395"/>
      <c r="HL103" s="395"/>
      <c r="HM103" s="395"/>
      <c r="HN103" s="395"/>
      <c r="HO103" s="395"/>
      <c r="HP103" s="395"/>
      <c r="HQ103" s="395"/>
      <c r="HR103" s="395"/>
    </row>
    <row r="104" spans="1:226" s="866" customFormat="1" x14ac:dyDescent="0.25">
      <c r="A104" s="395"/>
      <c r="B104" s="3393" t="str">
        <f>CONCATENATE("Kitchen Area",IF(SI_IP_Units="IP"," (sq ft)"," (sq m)"))</f>
        <v>Kitchen Area (sq ft)</v>
      </c>
      <c r="C104" s="3394"/>
      <c r="D104" s="3387"/>
      <c r="E104" s="3388"/>
      <c r="F104" s="3387"/>
      <c r="G104" s="3388"/>
      <c r="H104" s="3387"/>
      <c r="I104" s="3388"/>
      <c r="J104" s="3387"/>
      <c r="K104" s="3388"/>
      <c r="L104" s="3387"/>
      <c r="M104" s="3388"/>
      <c r="N104" s="3387"/>
      <c r="O104" s="3388"/>
      <c r="P104" s="3387"/>
      <c r="Q104" s="3388"/>
      <c r="R104" s="3387"/>
      <c r="S104" s="3388"/>
      <c r="T104" s="3387"/>
      <c r="U104" s="3388"/>
      <c r="V104" s="395"/>
      <c r="W104" s="395"/>
      <c r="X104" s="395"/>
      <c r="Y104" s="395"/>
      <c r="Z104" s="2142"/>
      <c r="AA104" s="395"/>
      <c r="AB104" s="395"/>
      <c r="AC104" s="395"/>
      <c r="AD104" s="395"/>
      <c r="AE104" s="395"/>
      <c r="AF104" s="395"/>
      <c r="AG104" s="395"/>
      <c r="AH104" s="395"/>
      <c r="AI104" s="395"/>
      <c r="AJ104" s="395"/>
      <c r="AK104" s="395"/>
      <c r="AL104" s="395"/>
      <c r="AM104" s="395"/>
      <c r="AN104" s="395"/>
      <c r="AO104" s="395"/>
      <c r="AP104" s="395"/>
      <c r="AQ104" s="395"/>
      <c r="AR104" s="395"/>
      <c r="AS104" s="395"/>
      <c r="AT104" s="395"/>
      <c r="AU104" s="395"/>
      <c r="AV104" s="395"/>
      <c r="AW104" s="395"/>
      <c r="AX104" s="395"/>
      <c r="AY104" s="395"/>
      <c r="AZ104" s="395"/>
      <c r="BA104" s="395"/>
      <c r="BB104" s="395"/>
      <c r="BC104" s="395"/>
      <c r="BD104" s="395"/>
      <c r="BE104" s="395"/>
      <c r="BF104" s="395"/>
      <c r="BG104" s="395"/>
      <c r="BH104" s="395"/>
      <c r="BI104" s="395"/>
      <c r="BJ104" s="395"/>
      <c r="BK104" s="395"/>
      <c r="BL104" s="395"/>
      <c r="BM104" s="395"/>
      <c r="BN104" s="395"/>
      <c r="BO104" s="395"/>
      <c r="BP104" s="395"/>
      <c r="BQ104" s="395"/>
      <c r="BR104" s="395"/>
      <c r="BS104" s="395"/>
      <c r="BT104" s="395"/>
      <c r="BU104" s="395"/>
      <c r="BV104" s="395"/>
      <c r="BW104" s="395"/>
      <c r="BX104" s="395"/>
      <c r="BY104" s="395"/>
      <c r="BZ104" s="395"/>
      <c r="CA104" s="395"/>
      <c r="CB104" s="395"/>
      <c r="CC104" s="395"/>
      <c r="CD104" s="395"/>
      <c r="CE104" s="395"/>
      <c r="CF104" s="395"/>
      <c r="CG104" s="395"/>
      <c r="CH104" s="395"/>
      <c r="CI104" s="395"/>
      <c r="CJ104" s="395"/>
      <c r="CK104" s="395"/>
      <c r="CL104" s="395"/>
      <c r="CM104" s="395"/>
      <c r="CN104" s="395"/>
      <c r="CO104" s="395"/>
      <c r="CP104" s="395"/>
      <c r="CQ104" s="395"/>
      <c r="CR104" s="395"/>
      <c r="CS104" s="395"/>
      <c r="CT104" s="395"/>
      <c r="CU104" s="395"/>
      <c r="CV104" s="395"/>
      <c r="CW104" s="395"/>
      <c r="CX104" s="395"/>
      <c r="CY104" s="395"/>
      <c r="CZ104" s="395"/>
      <c r="DA104" s="395"/>
      <c r="DB104" s="395"/>
      <c r="DC104" s="395"/>
      <c r="DD104" s="395"/>
      <c r="DE104" s="395"/>
      <c r="DF104" s="395"/>
      <c r="DG104" s="395"/>
      <c r="DH104" s="395"/>
      <c r="DI104" s="395"/>
      <c r="DJ104" s="395"/>
      <c r="DK104" s="395"/>
      <c r="DL104" s="395"/>
      <c r="DM104" s="395"/>
      <c r="DN104" s="395"/>
      <c r="DO104" s="395"/>
      <c r="DP104" s="395"/>
      <c r="DQ104" s="395"/>
      <c r="DR104" s="395"/>
      <c r="DS104" s="395"/>
      <c r="DT104" s="395"/>
      <c r="DU104" s="395"/>
      <c r="DV104" s="395"/>
      <c r="DW104" s="395"/>
      <c r="DX104" s="395"/>
      <c r="DY104" s="395"/>
      <c r="DZ104" s="395"/>
      <c r="EA104" s="395"/>
      <c r="EB104" s="395"/>
      <c r="EC104" s="395"/>
      <c r="ED104" s="395"/>
      <c r="EE104" s="395"/>
      <c r="EF104" s="395"/>
      <c r="EG104" s="395"/>
      <c r="EH104" s="395"/>
      <c r="EI104" s="395"/>
      <c r="EJ104" s="395"/>
      <c r="EK104" s="395"/>
      <c r="EL104" s="395"/>
      <c r="EM104" s="395"/>
      <c r="EN104" s="395"/>
      <c r="EO104" s="395"/>
      <c r="EP104" s="395"/>
      <c r="EQ104" s="395"/>
      <c r="ER104" s="395"/>
      <c r="ES104" s="395"/>
      <c r="ET104" s="395"/>
      <c r="EU104" s="395"/>
      <c r="EV104" s="395"/>
      <c r="EW104" s="395"/>
      <c r="EX104" s="395"/>
      <c r="EY104" s="395"/>
      <c r="EZ104" s="395"/>
      <c r="FA104" s="395"/>
      <c r="FB104" s="395"/>
      <c r="FC104" s="395"/>
      <c r="FD104" s="395"/>
      <c r="FE104" s="395"/>
      <c r="FF104" s="395"/>
      <c r="FG104" s="395"/>
      <c r="FH104" s="395"/>
      <c r="FI104" s="395"/>
      <c r="FJ104" s="395"/>
      <c r="FK104" s="395"/>
      <c r="FL104" s="395"/>
      <c r="FM104" s="395"/>
      <c r="FN104" s="395"/>
      <c r="FO104" s="395"/>
      <c r="FP104" s="395"/>
      <c r="FQ104" s="395"/>
      <c r="FR104" s="395"/>
      <c r="FS104" s="395"/>
      <c r="FT104" s="395"/>
      <c r="FU104" s="395"/>
      <c r="FV104" s="395"/>
      <c r="FW104" s="395"/>
      <c r="FX104" s="395"/>
      <c r="FY104" s="395"/>
      <c r="FZ104" s="395"/>
      <c r="GA104" s="395"/>
      <c r="GB104" s="395"/>
      <c r="GC104" s="395"/>
      <c r="GD104" s="395"/>
      <c r="GE104" s="395"/>
      <c r="GF104" s="395"/>
      <c r="GG104" s="395"/>
      <c r="GH104" s="395"/>
      <c r="GI104" s="395"/>
      <c r="GJ104" s="395"/>
      <c r="GK104" s="395"/>
      <c r="GL104" s="395"/>
      <c r="GM104" s="395"/>
      <c r="GN104" s="395"/>
      <c r="GO104" s="395"/>
      <c r="GP104" s="395"/>
      <c r="GQ104" s="395"/>
      <c r="GR104" s="395"/>
      <c r="GS104" s="395"/>
      <c r="GT104" s="395"/>
      <c r="GU104" s="395"/>
      <c r="GV104" s="395"/>
      <c r="GW104" s="395"/>
      <c r="GX104" s="395"/>
      <c r="GY104" s="395"/>
      <c r="GZ104" s="395"/>
      <c r="HA104" s="395"/>
      <c r="HB104" s="395"/>
      <c r="HC104" s="395"/>
      <c r="HD104" s="395"/>
      <c r="HE104" s="395"/>
      <c r="HF104" s="395"/>
      <c r="HG104" s="395"/>
      <c r="HH104" s="395"/>
      <c r="HI104" s="395"/>
      <c r="HJ104" s="395"/>
      <c r="HK104" s="395"/>
      <c r="HL104" s="395"/>
      <c r="HM104" s="395"/>
      <c r="HN104" s="395"/>
      <c r="HO104" s="395"/>
      <c r="HP104" s="395"/>
      <c r="HQ104" s="395"/>
      <c r="HR104" s="395"/>
    </row>
    <row r="105" spans="1:226" s="866" customFormat="1" x14ac:dyDescent="0.25">
      <c r="A105" s="395"/>
      <c r="B105" s="3393" t="str">
        <f>CONCATENATE("Kitchen Ceiling Height",IF(SI_IP_Units="IP"," (ft)"," (m)"))</f>
        <v>Kitchen Ceiling Height (ft)</v>
      </c>
      <c r="C105" s="3394"/>
      <c r="D105" s="3387"/>
      <c r="E105" s="3388"/>
      <c r="F105" s="3387"/>
      <c r="G105" s="3388"/>
      <c r="H105" s="3387"/>
      <c r="I105" s="3388"/>
      <c r="J105" s="3387"/>
      <c r="K105" s="3388"/>
      <c r="L105" s="3387"/>
      <c r="M105" s="3388"/>
      <c r="N105" s="3387"/>
      <c r="O105" s="3388"/>
      <c r="P105" s="3387"/>
      <c r="Q105" s="3388"/>
      <c r="R105" s="3387"/>
      <c r="S105" s="3388"/>
      <c r="T105" s="3387"/>
      <c r="U105" s="3388"/>
      <c r="V105" s="395"/>
      <c r="W105" s="395"/>
      <c r="X105" s="395"/>
      <c r="Y105" s="395"/>
      <c r="Z105" s="2142"/>
      <c r="AA105" s="395"/>
      <c r="AB105" s="395"/>
      <c r="AC105" s="395"/>
      <c r="AD105" s="395"/>
      <c r="AE105" s="395"/>
      <c r="AF105" s="395"/>
      <c r="AG105" s="395"/>
      <c r="AH105" s="395"/>
      <c r="AI105" s="395"/>
      <c r="AJ105" s="395"/>
      <c r="AK105" s="395"/>
      <c r="AL105" s="395"/>
      <c r="AM105" s="395"/>
      <c r="AN105" s="395"/>
      <c r="AO105" s="395"/>
      <c r="AP105" s="395"/>
      <c r="AQ105" s="395"/>
      <c r="AR105" s="395"/>
      <c r="AS105" s="395"/>
      <c r="AT105" s="395"/>
      <c r="AU105" s="395"/>
      <c r="AV105" s="395"/>
      <c r="AW105" s="395"/>
      <c r="AX105" s="395"/>
      <c r="AY105" s="395"/>
      <c r="AZ105" s="395"/>
      <c r="BA105" s="395"/>
      <c r="BB105" s="395"/>
      <c r="BC105" s="395"/>
      <c r="BD105" s="395"/>
      <c r="BE105" s="395"/>
      <c r="BF105" s="395"/>
      <c r="BG105" s="395"/>
      <c r="BH105" s="395"/>
      <c r="BI105" s="395"/>
      <c r="BJ105" s="395"/>
      <c r="BK105" s="395"/>
      <c r="BL105" s="395"/>
      <c r="BM105" s="395"/>
      <c r="BN105" s="395"/>
      <c r="BO105" s="395"/>
      <c r="BP105" s="395"/>
      <c r="BQ105" s="395"/>
      <c r="BR105" s="395"/>
      <c r="BS105" s="395"/>
      <c r="BT105" s="395"/>
      <c r="BU105" s="395"/>
      <c r="BV105" s="395"/>
      <c r="BW105" s="395"/>
      <c r="BX105" s="395"/>
      <c r="BY105" s="395"/>
      <c r="BZ105" s="395"/>
      <c r="CA105" s="395"/>
      <c r="CB105" s="395"/>
      <c r="CC105" s="395"/>
      <c r="CD105" s="395"/>
      <c r="CE105" s="395"/>
      <c r="CF105" s="395"/>
      <c r="CG105" s="395"/>
      <c r="CH105" s="395"/>
      <c r="CI105" s="395"/>
      <c r="CJ105" s="395"/>
      <c r="CK105" s="395"/>
      <c r="CL105" s="395"/>
      <c r="CM105" s="395"/>
      <c r="CN105" s="395"/>
      <c r="CO105" s="395"/>
      <c r="CP105" s="395"/>
      <c r="CQ105" s="395"/>
      <c r="CR105" s="395"/>
      <c r="CS105" s="395"/>
      <c r="CT105" s="395"/>
      <c r="CU105" s="395"/>
      <c r="CV105" s="395"/>
      <c r="CW105" s="395"/>
      <c r="CX105" s="395"/>
      <c r="CY105" s="395"/>
      <c r="CZ105" s="395"/>
      <c r="DA105" s="395"/>
      <c r="DB105" s="395"/>
      <c r="DC105" s="395"/>
      <c r="DD105" s="395"/>
      <c r="DE105" s="395"/>
      <c r="DF105" s="395"/>
      <c r="DG105" s="395"/>
      <c r="DH105" s="395"/>
      <c r="DI105" s="395"/>
      <c r="DJ105" s="395"/>
      <c r="DK105" s="395"/>
      <c r="DL105" s="395"/>
      <c r="DM105" s="395"/>
      <c r="DN105" s="395"/>
      <c r="DO105" s="395"/>
      <c r="DP105" s="395"/>
      <c r="DQ105" s="395"/>
      <c r="DR105" s="395"/>
      <c r="DS105" s="395"/>
      <c r="DT105" s="395"/>
      <c r="DU105" s="395"/>
      <c r="DV105" s="395"/>
      <c r="DW105" s="395"/>
      <c r="DX105" s="395"/>
      <c r="DY105" s="395"/>
      <c r="DZ105" s="395"/>
      <c r="EA105" s="395"/>
      <c r="EB105" s="395"/>
      <c r="EC105" s="395"/>
      <c r="ED105" s="395"/>
      <c r="EE105" s="395"/>
      <c r="EF105" s="395"/>
      <c r="EG105" s="395"/>
      <c r="EH105" s="395"/>
      <c r="EI105" s="395"/>
      <c r="EJ105" s="395"/>
      <c r="EK105" s="395"/>
      <c r="EL105" s="395"/>
      <c r="EM105" s="395"/>
      <c r="EN105" s="395"/>
      <c r="EO105" s="395"/>
      <c r="EP105" s="395"/>
      <c r="EQ105" s="395"/>
      <c r="ER105" s="395"/>
      <c r="ES105" s="395"/>
      <c r="ET105" s="395"/>
      <c r="EU105" s="395"/>
      <c r="EV105" s="395"/>
      <c r="EW105" s="395"/>
      <c r="EX105" s="395"/>
      <c r="EY105" s="395"/>
      <c r="EZ105" s="395"/>
      <c r="FA105" s="395"/>
      <c r="FB105" s="395"/>
      <c r="FC105" s="395"/>
      <c r="FD105" s="395"/>
      <c r="FE105" s="395"/>
      <c r="FF105" s="395"/>
      <c r="FG105" s="395"/>
      <c r="FH105" s="395"/>
      <c r="FI105" s="395"/>
      <c r="FJ105" s="395"/>
      <c r="FK105" s="395"/>
      <c r="FL105" s="395"/>
      <c r="FM105" s="395"/>
      <c r="FN105" s="395"/>
      <c r="FO105" s="395"/>
      <c r="FP105" s="395"/>
      <c r="FQ105" s="395"/>
      <c r="FR105" s="395"/>
      <c r="FS105" s="395"/>
      <c r="FT105" s="395"/>
      <c r="FU105" s="395"/>
      <c r="FV105" s="395"/>
      <c r="FW105" s="395"/>
      <c r="FX105" s="395"/>
      <c r="FY105" s="395"/>
      <c r="FZ105" s="395"/>
      <c r="GA105" s="395"/>
      <c r="GB105" s="395"/>
      <c r="GC105" s="395"/>
      <c r="GD105" s="395"/>
      <c r="GE105" s="395"/>
      <c r="GF105" s="395"/>
      <c r="GG105" s="395"/>
      <c r="GH105" s="395"/>
      <c r="GI105" s="395"/>
      <c r="GJ105" s="395"/>
      <c r="GK105" s="395"/>
      <c r="GL105" s="395"/>
      <c r="GM105" s="395"/>
      <c r="GN105" s="395"/>
      <c r="GO105" s="395"/>
      <c r="GP105" s="395"/>
      <c r="GQ105" s="395"/>
      <c r="GR105" s="395"/>
      <c r="GS105" s="395"/>
      <c r="GT105" s="395"/>
      <c r="GU105" s="395"/>
      <c r="GV105" s="395"/>
      <c r="GW105" s="395"/>
      <c r="GX105" s="395"/>
      <c r="GY105" s="395"/>
      <c r="GZ105" s="395"/>
      <c r="HA105" s="395"/>
      <c r="HB105" s="395"/>
      <c r="HC105" s="395"/>
      <c r="HD105" s="395"/>
      <c r="HE105" s="395"/>
      <c r="HF105" s="395"/>
      <c r="HG105" s="395"/>
      <c r="HH105" s="395"/>
      <c r="HI105" s="395"/>
      <c r="HJ105" s="395"/>
      <c r="HK105" s="395"/>
      <c r="HL105" s="395"/>
      <c r="HM105" s="395"/>
      <c r="HN105" s="395"/>
      <c r="HO105" s="395"/>
      <c r="HP105" s="395"/>
      <c r="HQ105" s="395"/>
      <c r="HR105" s="395"/>
    </row>
    <row r="106" spans="1:226" s="866" customFormat="1" ht="14.25" hidden="1" customHeight="1" x14ac:dyDescent="0.25">
      <c r="A106" s="395"/>
      <c r="B106" s="3393" t="s">
        <v>2563</v>
      </c>
      <c r="C106" s="3394"/>
      <c r="D106" s="3383">
        <f t="shared" ref="D106:F106" si="1">ROUNDUP(5*D104*D105/60,0)</f>
        <v>0</v>
      </c>
      <c r="E106" s="3384"/>
      <c r="F106" s="3383">
        <f t="shared" si="1"/>
        <v>0</v>
      </c>
      <c r="G106" s="3384"/>
      <c r="H106" s="3383">
        <f t="shared" ref="H106" si="2">ROUNDUP(5*H104*H105/60,0)</f>
        <v>0</v>
      </c>
      <c r="I106" s="3384"/>
      <c r="J106" s="3383">
        <f t="shared" ref="J106" si="3">ROUNDUP(5*J104*J105/60,0)</f>
        <v>0</v>
      </c>
      <c r="K106" s="3384"/>
      <c r="L106" s="3383">
        <f t="shared" ref="L106" si="4">ROUNDUP(5*L104*L105/60,0)</f>
        <v>0</v>
      </c>
      <c r="M106" s="3384"/>
      <c r="N106" s="3383">
        <f t="shared" ref="N106" si="5">ROUNDUP(5*N104*N105/60,0)</f>
        <v>0</v>
      </c>
      <c r="O106" s="3384"/>
      <c r="P106" s="3383">
        <f t="shared" ref="P106" si="6">ROUNDUP(5*P104*P105/60,0)</f>
        <v>0</v>
      </c>
      <c r="Q106" s="3384"/>
      <c r="R106" s="3383">
        <f t="shared" ref="R106" si="7">ROUNDUP(5*R104*R105/60,0)</f>
        <v>0</v>
      </c>
      <c r="S106" s="3384"/>
      <c r="T106" s="3383">
        <f t="shared" ref="T106" si="8">ROUNDUP(5*T104*T105/60,0)</f>
        <v>0</v>
      </c>
      <c r="U106" s="3384"/>
      <c r="V106" s="395"/>
      <c r="W106" s="395"/>
      <c r="X106" s="395"/>
      <c r="Y106" s="395"/>
      <c r="Z106" s="2142"/>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395"/>
      <c r="BC106" s="395"/>
      <c r="BD106" s="395"/>
      <c r="BE106" s="395"/>
      <c r="BF106" s="395"/>
      <c r="BG106" s="395"/>
      <c r="BH106" s="395"/>
      <c r="BI106" s="395"/>
      <c r="BJ106" s="395"/>
      <c r="BK106" s="395"/>
      <c r="BL106" s="395"/>
      <c r="BM106" s="395"/>
      <c r="BN106" s="395"/>
      <c r="BO106" s="395"/>
      <c r="BP106" s="395"/>
      <c r="BQ106" s="395"/>
      <c r="BR106" s="395"/>
      <c r="BS106" s="395"/>
      <c r="BT106" s="395"/>
      <c r="BU106" s="395"/>
      <c r="BV106" s="395"/>
      <c r="BW106" s="395"/>
      <c r="BX106" s="395"/>
      <c r="BY106" s="395"/>
      <c r="BZ106" s="395"/>
      <c r="CA106" s="395"/>
      <c r="CB106" s="395"/>
      <c r="CC106" s="395"/>
      <c r="CD106" s="395"/>
      <c r="CE106" s="395"/>
      <c r="CF106" s="395"/>
      <c r="CG106" s="395"/>
      <c r="CH106" s="395"/>
      <c r="CI106" s="395"/>
      <c r="CJ106" s="395"/>
      <c r="CK106" s="395"/>
      <c r="CL106" s="395"/>
      <c r="CM106" s="395"/>
      <c r="CN106" s="395"/>
      <c r="CO106" s="395"/>
      <c r="CP106" s="395"/>
      <c r="CQ106" s="395"/>
      <c r="CR106" s="395"/>
      <c r="CS106" s="395"/>
      <c r="CT106" s="395"/>
      <c r="CU106" s="395"/>
      <c r="CV106" s="395"/>
      <c r="CW106" s="395"/>
      <c r="CX106" s="395"/>
      <c r="CY106" s="395"/>
      <c r="CZ106" s="395"/>
      <c r="DA106" s="395"/>
      <c r="DB106" s="395"/>
      <c r="DC106" s="395"/>
      <c r="DD106" s="395"/>
      <c r="DE106" s="395"/>
      <c r="DF106" s="395"/>
      <c r="DG106" s="395"/>
      <c r="DH106" s="395"/>
      <c r="DI106" s="395"/>
      <c r="DJ106" s="395"/>
      <c r="DK106" s="395"/>
      <c r="DL106" s="395"/>
      <c r="DM106" s="395"/>
      <c r="DN106" s="395"/>
      <c r="DO106" s="395"/>
      <c r="DP106" s="395"/>
      <c r="DQ106" s="395"/>
      <c r="DR106" s="395"/>
      <c r="DS106" s="395"/>
      <c r="DT106" s="395"/>
      <c r="DU106" s="395"/>
      <c r="DV106" s="395"/>
      <c r="DW106" s="395"/>
      <c r="DX106" s="395"/>
      <c r="DY106" s="395"/>
      <c r="DZ106" s="395"/>
      <c r="EA106" s="395"/>
      <c r="EB106" s="395"/>
      <c r="EC106" s="395"/>
      <c r="ED106" s="395"/>
      <c r="EE106" s="395"/>
      <c r="EF106" s="395"/>
      <c r="EG106" s="395"/>
      <c r="EH106" s="395"/>
      <c r="EI106" s="395"/>
      <c r="EJ106" s="395"/>
      <c r="EK106" s="395"/>
      <c r="EL106" s="395"/>
      <c r="EM106" s="395"/>
      <c r="EN106" s="395"/>
      <c r="EO106" s="395"/>
      <c r="EP106" s="395"/>
      <c r="EQ106" s="395"/>
      <c r="ER106" s="395"/>
      <c r="ES106" s="395"/>
      <c r="ET106" s="395"/>
      <c r="EU106" s="395"/>
      <c r="EV106" s="395"/>
      <c r="EW106" s="395"/>
      <c r="EX106" s="395"/>
      <c r="EY106" s="395"/>
      <c r="EZ106" s="395"/>
      <c r="FA106" s="395"/>
      <c r="FB106" s="395"/>
      <c r="FC106" s="395"/>
      <c r="FD106" s="395"/>
      <c r="FE106" s="395"/>
      <c r="FF106" s="395"/>
      <c r="FG106" s="395"/>
      <c r="FH106" s="395"/>
      <c r="FI106" s="395"/>
      <c r="FJ106" s="395"/>
      <c r="FK106" s="395"/>
      <c r="FL106" s="395"/>
      <c r="FM106" s="395"/>
      <c r="FN106" s="395"/>
      <c r="FO106" s="395"/>
      <c r="FP106" s="395"/>
      <c r="FQ106" s="395"/>
      <c r="FR106" s="395"/>
      <c r="FS106" s="395"/>
      <c r="FT106" s="395"/>
      <c r="FU106" s="395"/>
      <c r="FV106" s="395"/>
      <c r="FW106" s="395"/>
      <c r="FX106" s="395"/>
      <c r="FY106" s="395"/>
      <c r="FZ106" s="395"/>
      <c r="GA106" s="395"/>
      <c r="GB106" s="395"/>
      <c r="GC106" s="395"/>
      <c r="GD106" s="395"/>
      <c r="GE106" s="395"/>
      <c r="GF106" s="395"/>
      <c r="GG106" s="395"/>
      <c r="GH106" s="395"/>
      <c r="GI106" s="395"/>
      <c r="GJ106" s="395"/>
      <c r="GK106" s="395"/>
      <c r="GL106" s="395"/>
      <c r="GM106" s="395"/>
      <c r="GN106" s="395"/>
      <c r="GO106" s="395"/>
      <c r="GP106" s="395"/>
      <c r="GQ106" s="395"/>
      <c r="GR106" s="395"/>
      <c r="GS106" s="395"/>
      <c r="GT106" s="395"/>
      <c r="GU106" s="395"/>
      <c r="GV106" s="395"/>
      <c r="GW106" s="395"/>
      <c r="GX106" s="395"/>
      <c r="GY106" s="395"/>
      <c r="GZ106" s="395"/>
      <c r="HA106" s="395"/>
      <c r="HB106" s="395"/>
      <c r="HC106" s="395"/>
      <c r="HD106" s="395"/>
      <c r="HE106" s="395"/>
      <c r="HF106" s="395"/>
      <c r="HG106" s="395"/>
      <c r="HH106" s="395"/>
      <c r="HI106" s="395"/>
      <c r="HJ106" s="395"/>
      <c r="HK106" s="395"/>
      <c r="HL106" s="395"/>
      <c r="HM106" s="395"/>
      <c r="HN106" s="395"/>
      <c r="HO106" s="395"/>
      <c r="HP106" s="395"/>
      <c r="HQ106" s="395"/>
      <c r="HR106" s="395"/>
    </row>
    <row r="107" spans="1:226" s="866" customFormat="1" x14ac:dyDescent="0.25">
      <c r="A107" s="395"/>
      <c r="B107" s="3163" t="s">
        <v>2566</v>
      </c>
      <c r="C107" s="1844" t="s">
        <v>2567</v>
      </c>
      <c r="D107" s="3385"/>
      <c r="E107" s="3386"/>
      <c r="F107" s="3385"/>
      <c r="G107" s="3386"/>
      <c r="H107" s="3385"/>
      <c r="I107" s="3386"/>
      <c r="J107" s="3385"/>
      <c r="K107" s="3386"/>
      <c r="L107" s="3385"/>
      <c r="M107" s="3386"/>
      <c r="N107" s="3385"/>
      <c r="O107" s="3386"/>
      <c r="P107" s="3385"/>
      <c r="Q107" s="3386"/>
      <c r="R107" s="3385"/>
      <c r="S107" s="3386"/>
      <c r="T107" s="3385"/>
      <c r="U107" s="3386"/>
      <c r="V107" s="395"/>
      <c r="W107" s="395"/>
      <c r="X107" s="395"/>
      <c r="Y107" s="395"/>
      <c r="Z107" s="2142"/>
      <c r="AA107" s="395"/>
      <c r="AB107" s="395"/>
      <c r="AC107" s="395"/>
      <c r="AD107" s="395"/>
      <c r="AE107" s="395"/>
      <c r="AF107" s="395"/>
      <c r="AG107" s="395"/>
      <c r="AH107" s="395"/>
      <c r="AI107" s="395"/>
      <c r="AJ107" s="395"/>
      <c r="AK107" s="395"/>
      <c r="AL107" s="395"/>
      <c r="AM107" s="395"/>
      <c r="AN107" s="395"/>
      <c r="AO107" s="395"/>
      <c r="AP107" s="395"/>
      <c r="AQ107" s="395"/>
      <c r="AR107" s="395"/>
      <c r="AS107" s="395"/>
      <c r="AT107" s="395"/>
      <c r="AU107" s="395"/>
      <c r="AV107" s="395"/>
      <c r="AW107" s="395"/>
      <c r="AX107" s="395"/>
      <c r="AY107" s="395"/>
      <c r="AZ107" s="395"/>
      <c r="BA107" s="395"/>
      <c r="BB107" s="395"/>
      <c r="BC107" s="395"/>
      <c r="BD107" s="395"/>
      <c r="BE107" s="395"/>
      <c r="BF107" s="395"/>
      <c r="BG107" s="395"/>
      <c r="BH107" s="395"/>
      <c r="BI107" s="395"/>
      <c r="BJ107" s="395"/>
      <c r="BK107" s="395"/>
      <c r="BL107" s="395"/>
      <c r="BM107" s="395"/>
      <c r="BN107" s="395"/>
      <c r="BO107" s="395"/>
      <c r="BP107" s="395"/>
      <c r="BQ107" s="395"/>
      <c r="BR107" s="395"/>
      <c r="BS107" s="395"/>
      <c r="BT107" s="395"/>
      <c r="BU107" s="395"/>
      <c r="BV107" s="395"/>
      <c r="BW107" s="395"/>
      <c r="BX107" s="395"/>
      <c r="BY107" s="395"/>
      <c r="BZ107" s="395"/>
      <c r="CA107" s="395"/>
      <c r="CB107" s="395"/>
      <c r="CC107" s="395"/>
      <c r="CD107" s="395"/>
      <c r="CE107" s="395"/>
      <c r="CF107" s="395"/>
      <c r="CG107" s="395"/>
      <c r="CH107" s="395"/>
      <c r="CI107" s="395"/>
      <c r="CJ107" s="395"/>
      <c r="CK107" s="395"/>
      <c r="CL107" s="395"/>
      <c r="CM107" s="395"/>
      <c r="CN107" s="395"/>
      <c r="CO107" s="395"/>
      <c r="CP107" s="395"/>
      <c r="CQ107" s="395"/>
      <c r="CR107" s="395"/>
      <c r="CS107" s="395"/>
      <c r="CT107" s="395"/>
      <c r="CU107" s="395"/>
      <c r="CV107" s="395"/>
      <c r="CW107" s="395"/>
      <c r="CX107" s="395"/>
      <c r="CY107" s="395"/>
      <c r="CZ107" s="395"/>
      <c r="DA107" s="395"/>
      <c r="DB107" s="395"/>
      <c r="DC107" s="395"/>
      <c r="DD107" s="395"/>
      <c r="DE107" s="395"/>
      <c r="DF107" s="395"/>
      <c r="DG107" s="395"/>
      <c r="DH107" s="395"/>
      <c r="DI107" s="395"/>
      <c r="DJ107" s="395"/>
      <c r="DK107" s="395"/>
      <c r="DL107" s="395"/>
      <c r="DM107" s="395"/>
      <c r="DN107" s="395"/>
      <c r="DO107" s="395"/>
      <c r="DP107" s="395"/>
      <c r="DQ107" s="395"/>
      <c r="DR107" s="395"/>
      <c r="DS107" s="395"/>
      <c r="DT107" s="395"/>
      <c r="DU107" s="395"/>
      <c r="DV107" s="395"/>
      <c r="DW107" s="395"/>
      <c r="DX107" s="395"/>
      <c r="DY107" s="395"/>
      <c r="DZ107" s="395"/>
      <c r="EA107" s="395"/>
      <c r="EB107" s="395"/>
      <c r="EC107" s="395"/>
      <c r="ED107" s="395"/>
      <c r="EE107" s="395"/>
      <c r="EF107" s="395"/>
      <c r="EG107" s="395"/>
      <c r="EH107" s="395"/>
      <c r="EI107" s="395"/>
      <c r="EJ107" s="395"/>
      <c r="EK107" s="395"/>
      <c r="EL107" s="395"/>
      <c r="EM107" s="395"/>
      <c r="EN107" s="395"/>
      <c r="EO107" s="395"/>
      <c r="EP107" s="395"/>
      <c r="EQ107" s="395"/>
      <c r="ER107" s="395"/>
      <c r="ES107" s="395"/>
      <c r="ET107" s="395"/>
      <c r="EU107" s="395"/>
      <c r="EV107" s="395"/>
      <c r="EW107" s="395"/>
      <c r="EX107" s="395"/>
      <c r="EY107" s="395"/>
      <c r="EZ107" s="395"/>
      <c r="FA107" s="395"/>
      <c r="FB107" s="395"/>
      <c r="FC107" s="395"/>
      <c r="FD107" s="395"/>
      <c r="FE107" s="395"/>
      <c r="FF107" s="395"/>
      <c r="FG107" s="395"/>
      <c r="FH107" s="395"/>
      <c r="FI107" s="395"/>
      <c r="FJ107" s="395"/>
      <c r="FK107" s="395"/>
      <c r="FL107" s="395"/>
      <c r="FM107" s="395"/>
      <c r="FN107" s="395"/>
      <c r="FO107" s="395"/>
      <c r="FP107" s="395"/>
      <c r="FQ107" s="395"/>
      <c r="FR107" s="395"/>
      <c r="FS107" s="395"/>
      <c r="FT107" s="395"/>
      <c r="FU107" s="395"/>
      <c r="FV107" s="395"/>
      <c r="FW107" s="395"/>
      <c r="FX107" s="395"/>
      <c r="FY107" s="395"/>
      <c r="FZ107" s="395"/>
      <c r="GA107" s="395"/>
      <c r="GB107" s="395"/>
      <c r="GC107" s="395"/>
      <c r="GD107" s="395"/>
      <c r="GE107" s="395"/>
      <c r="GF107" s="395"/>
      <c r="GG107" s="395"/>
      <c r="GH107" s="395"/>
      <c r="GI107" s="395"/>
      <c r="GJ107" s="395"/>
      <c r="GK107" s="395"/>
      <c r="GL107" s="395"/>
      <c r="GM107" s="395"/>
      <c r="GN107" s="395"/>
      <c r="GO107" s="395"/>
      <c r="GP107" s="395"/>
      <c r="GQ107" s="395"/>
      <c r="GR107" s="395"/>
      <c r="GS107" s="395"/>
      <c r="GT107" s="395"/>
      <c r="GU107" s="395"/>
      <c r="GV107" s="395"/>
      <c r="GW107" s="395"/>
      <c r="GX107" s="395"/>
      <c r="GY107" s="395"/>
      <c r="GZ107" s="395"/>
      <c r="HA107" s="395"/>
      <c r="HB107" s="395"/>
      <c r="HC107" s="395"/>
      <c r="HD107" s="395"/>
      <c r="HE107" s="395"/>
      <c r="HF107" s="395"/>
      <c r="HG107" s="395"/>
      <c r="HH107" s="395"/>
      <c r="HI107" s="395"/>
      <c r="HJ107" s="395"/>
      <c r="HK107" s="395"/>
      <c r="HL107" s="395"/>
      <c r="HM107" s="395"/>
      <c r="HN107" s="395"/>
      <c r="HO107" s="395"/>
      <c r="HP107" s="395"/>
      <c r="HQ107" s="395"/>
      <c r="HR107" s="395"/>
    </row>
    <row r="108" spans="1:226" s="866" customFormat="1" x14ac:dyDescent="0.25">
      <c r="A108" s="395"/>
      <c r="B108" s="3165"/>
      <c r="C108" s="1844" t="s">
        <v>2568</v>
      </c>
      <c r="D108" s="3385"/>
      <c r="E108" s="3386"/>
      <c r="F108" s="3385"/>
      <c r="G108" s="3386"/>
      <c r="H108" s="3385"/>
      <c r="I108" s="3386"/>
      <c r="J108" s="3385"/>
      <c r="K108" s="3386"/>
      <c r="L108" s="3385"/>
      <c r="M108" s="3386"/>
      <c r="N108" s="3385"/>
      <c r="O108" s="3386"/>
      <c r="P108" s="3385"/>
      <c r="Q108" s="3386"/>
      <c r="R108" s="3385"/>
      <c r="S108" s="3386"/>
      <c r="T108" s="3385"/>
      <c r="U108" s="3386"/>
      <c r="V108" s="395"/>
      <c r="W108" s="395"/>
      <c r="X108" s="395"/>
      <c r="Y108" s="395"/>
      <c r="Z108" s="2142"/>
      <c r="AA108" s="395"/>
      <c r="AB108" s="395"/>
      <c r="AC108" s="395"/>
      <c r="AD108" s="395"/>
      <c r="AE108" s="395"/>
      <c r="AF108" s="395"/>
      <c r="AG108" s="395"/>
      <c r="AH108" s="395"/>
      <c r="AI108" s="395"/>
      <c r="AJ108" s="395"/>
      <c r="AK108" s="395"/>
      <c r="AL108" s="395"/>
      <c r="AM108" s="395"/>
      <c r="AN108" s="395"/>
      <c r="AO108" s="395"/>
      <c r="AP108" s="395"/>
      <c r="AQ108" s="395"/>
      <c r="AR108" s="395"/>
      <c r="AS108" s="395"/>
      <c r="AT108" s="395"/>
      <c r="AU108" s="395"/>
      <c r="AV108" s="395"/>
      <c r="AW108" s="395"/>
      <c r="AX108" s="395"/>
      <c r="AY108" s="395"/>
      <c r="AZ108" s="395"/>
      <c r="BA108" s="395"/>
      <c r="BB108" s="395"/>
      <c r="BC108" s="395"/>
      <c r="BD108" s="395"/>
      <c r="BE108" s="395"/>
      <c r="BF108" s="395"/>
      <c r="BG108" s="395"/>
      <c r="BH108" s="395"/>
      <c r="BI108" s="395"/>
      <c r="BJ108" s="395"/>
      <c r="BK108" s="395"/>
      <c r="BL108" s="395"/>
      <c r="BM108" s="395"/>
      <c r="BN108" s="395"/>
      <c r="BO108" s="395"/>
      <c r="BP108" s="395"/>
      <c r="BQ108" s="395"/>
      <c r="BR108" s="395"/>
      <c r="BS108" s="395"/>
      <c r="BT108" s="395"/>
      <c r="BU108" s="395"/>
      <c r="BV108" s="395"/>
      <c r="BW108" s="395"/>
      <c r="BX108" s="395"/>
      <c r="BY108" s="395"/>
      <c r="BZ108" s="395"/>
      <c r="CA108" s="395"/>
      <c r="CB108" s="395"/>
      <c r="CC108" s="395"/>
      <c r="CD108" s="395"/>
      <c r="CE108" s="395"/>
      <c r="CF108" s="395"/>
      <c r="CG108" s="395"/>
      <c r="CH108" s="395"/>
      <c r="CI108" s="395"/>
      <c r="CJ108" s="395"/>
      <c r="CK108" s="395"/>
      <c r="CL108" s="395"/>
      <c r="CM108" s="395"/>
      <c r="CN108" s="395"/>
      <c r="CO108" s="395"/>
      <c r="CP108" s="395"/>
      <c r="CQ108" s="395"/>
      <c r="CR108" s="395"/>
      <c r="CS108" s="395"/>
      <c r="CT108" s="395"/>
      <c r="CU108" s="395"/>
      <c r="CV108" s="395"/>
      <c r="CW108" s="395"/>
      <c r="CX108" s="395"/>
      <c r="CY108" s="395"/>
      <c r="CZ108" s="395"/>
      <c r="DA108" s="395"/>
      <c r="DB108" s="395"/>
      <c r="DC108" s="395"/>
      <c r="DD108" s="395"/>
      <c r="DE108" s="395"/>
      <c r="DF108" s="395"/>
      <c r="DG108" s="395"/>
      <c r="DH108" s="395"/>
      <c r="DI108" s="395"/>
      <c r="DJ108" s="395"/>
      <c r="DK108" s="395"/>
      <c r="DL108" s="395"/>
      <c r="DM108" s="395"/>
      <c r="DN108" s="395"/>
      <c r="DO108" s="395"/>
      <c r="DP108" s="395"/>
      <c r="DQ108" s="395"/>
      <c r="DR108" s="395"/>
      <c r="DS108" s="395"/>
      <c r="DT108" s="395"/>
      <c r="DU108" s="395"/>
      <c r="DV108" s="395"/>
      <c r="DW108" s="395"/>
      <c r="DX108" s="395"/>
      <c r="DY108" s="395"/>
      <c r="DZ108" s="395"/>
      <c r="EA108" s="395"/>
      <c r="EB108" s="395"/>
      <c r="EC108" s="395"/>
      <c r="ED108" s="395"/>
      <c r="EE108" s="395"/>
      <c r="EF108" s="395"/>
      <c r="EG108" s="395"/>
      <c r="EH108" s="395"/>
      <c r="EI108" s="395"/>
      <c r="EJ108" s="395"/>
      <c r="EK108" s="395"/>
      <c r="EL108" s="395"/>
      <c r="EM108" s="395"/>
      <c r="EN108" s="395"/>
      <c r="EO108" s="395"/>
      <c r="EP108" s="395"/>
      <c r="EQ108" s="395"/>
      <c r="ER108" s="395"/>
      <c r="ES108" s="395"/>
      <c r="ET108" s="395"/>
      <c r="EU108" s="395"/>
      <c r="EV108" s="395"/>
      <c r="EW108" s="395"/>
      <c r="EX108" s="395"/>
      <c r="EY108" s="395"/>
      <c r="EZ108" s="395"/>
      <c r="FA108" s="395"/>
      <c r="FB108" s="395"/>
      <c r="FC108" s="395"/>
      <c r="FD108" s="395"/>
      <c r="FE108" s="395"/>
      <c r="FF108" s="395"/>
      <c r="FG108" s="395"/>
      <c r="FH108" s="395"/>
      <c r="FI108" s="395"/>
      <c r="FJ108" s="395"/>
      <c r="FK108" s="395"/>
      <c r="FL108" s="395"/>
      <c r="FM108" s="395"/>
      <c r="FN108" s="395"/>
      <c r="FO108" s="395"/>
      <c r="FP108" s="395"/>
      <c r="FQ108" s="395"/>
      <c r="FR108" s="395"/>
      <c r="FS108" s="395"/>
      <c r="FT108" s="395"/>
      <c r="FU108" s="395"/>
      <c r="FV108" s="395"/>
      <c r="FW108" s="395"/>
      <c r="FX108" s="395"/>
      <c r="FY108" s="395"/>
      <c r="FZ108" s="395"/>
      <c r="GA108" s="395"/>
      <c r="GB108" s="395"/>
      <c r="GC108" s="395"/>
      <c r="GD108" s="395"/>
      <c r="GE108" s="395"/>
      <c r="GF108" s="395"/>
      <c r="GG108" s="395"/>
      <c r="GH108" s="395"/>
      <c r="GI108" s="395"/>
      <c r="GJ108" s="395"/>
      <c r="GK108" s="395"/>
      <c r="GL108" s="395"/>
      <c r="GM108" s="395"/>
      <c r="GN108" s="395"/>
      <c r="GO108" s="395"/>
      <c r="GP108" s="395"/>
      <c r="GQ108" s="395"/>
      <c r="GR108" s="395"/>
      <c r="GS108" s="395"/>
      <c r="GT108" s="395"/>
      <c r="GU108" s="395"/>
      <c r="GV108" s="395"/>
      <c r="GW108" s="395"/>
      <c r="GX108" s="395"/>
      <c r="GY108" s="395"/>
      <c r="GZ108" s="395"/>
      <c r="HA108" s="395"/>
      <c r="HB108" s="395"/>
      <c r="HC108" s="395"/>
      <c r="HD108" s="395"/>
      <c r="HE108" s="395"/>
      <c r="HF108" s="395"/>
      <c r="HG108" s="395"/>
      <c r="HH108" s="395"/>
      <c r="HI108" s="395"/>
      <c r="HJ108" s="395"/>
      <c r="HK108" s="395"/>
      <c r="HL108" s="395"/>
      <c r="HM108" s="395"/>
      <c r="HN108" s="395"/>
      <c r="HO108" s="395"/>
      <c r="HP108" s="395"/>
      <c r="HQ108" s="395"/>
      <c r="HR108" s="395"/>
    </row>
    <row r="109" spans="1:226" s="866" customFormat="1" ht="30" hidden="1" customHeight="1" x14ac:dyDescent="0.25">
      <c r="A109" s="395"/>
      <c r="B109" s="3357" t="str">
        <f>"ASHRAE 62.2-2013 Requirements: "&amp;D107&amp;
" Baseline Exhaust Ventilation"</f>
        <v>ASHRAE 62.2-2013 Requirements:  Baseline Exhaust Ventilation</v>
      </c>
      <c r="C109" s="780" t="s">
        <v>2564</v>
      </c>
      <c r="D109" s="3383"/>
      <c r="E109" s="3384"/>
      <c r="F109" s="3383" t="str">
        <f t="shared" ref="F109" si="9">IF(F107="Continuous",F106,IF(F107="Intermittent",100,"-"))</f>
        <v>-</v>
      </c>
      <c r="G109" s="3384"/>
      <c r="H109" s="3383" t="str">
        <f t="shared" ref="H109" si="10">IF(H107="Continuous",H106,IF(H107="Intermittent",100,"-"))</f>
        <v>-</v>
      </c>
      <c r="I109" s="3384"/>
      <c r="J109" s="3383" t="str">
        <f t="shared" ref="J109" si="11">IF(J107="Continuous",J106,IF(J107="Intermittent",100,"-"))</f>
        <v>-</v>
      </c>
      <c r="K109" s="3384"/>
      <c r="L109" s="3383" t="str">
        <f t="shared" ref="L109" si="12">IF(L107="Continuous",L106,IF(L107="Intermittent",100,"-"))</f>
        <v>-</v>
      </c>
      <c r="M109" s="3384"/>
      <c r="N109" s="3383" t="str">
        <f t="shared" ref="N109" si="13">IF(N107="Continuous",N106,IF(N107="Intermittent",100,"-"))</f>
        <v>-</v>
      </c>
      <c r="O109" s="3384"/>
      <c r="P109" s="3383" t="str">
        <f t="shared" ref="P109" si="14">IF(P107="Continuous",P106,IF(P107="Intermittent",100,"-"))</f>
        <v>-</v>
      </c>
      <c r="Q109" s="3384"/>
      <c r="R109" s="3383" t="str">
        <f t="shared" ref="R109" si="15">IF(R107="Continuous",R106,IF(R107="Intermittent",100,"-"))</f>
        <v>-</v>
      </c>
      <c r="S109" s="3384"/>
      <c r="T109" s="3383" t="str">
        <f t="shared" ref="T109" si="16">IF(T107="Continuous",T106,IF(T107="Intermittent",100,"-"))</f>
        <v>-</v>
      </c>
      <c r="U109" s="3384"/>
      <c r="V109" s="395"/>
      <c r="W109" s="395"/>
      <c r="X109" s="395"/>
      <c r="Y109" s="395"/>
      <c r="Z109" s="2142"/>
      <c r="AA109" s="395"/>
      <c r="AB109" s="395"/>
      <c r="AC109" s="395"/>
      <c r="AD109" s="395"/>
      <c r="AE109" s="395"/>
      <c r="AF109" s="395"/>
      <c r="AG109" s="395"/>
      <c r="AH109" s="395"/>
      <c r="AI109" s="395"/>
      <c r="AJ109" s="395"/>
      <c r="AK109" s="395"/>
      <c r="AL109" s="395"/>
      <c r="AM109" s="395"/>
      <c r="AN109" s="395"/>
      <c r="AO109" s="395"/>
      <c r="AP109" s="395"/>
      <c r="AQ109" s="395"/>
      <c r="AR109" s="395"/>
      <c r="AS109" s="395"/>
      <c r="AT109" s="395"/>
      <c r="AU109" s="395"/>
      <c r="AV109" s="395"/>
      <c r="AW109" s="395"/>
      <c r="AX109" s="395"/>
      <c r="AY109" s="395"/>
      <c r="AZ109" s="395"/>
      <c r="BA109" s="395"/>
      <c r="BB109" s="395"/>
      <c r="BC109" s="395"/>
      <c r="BD109" s="395"/>
      <c r="BE109" s="395"/>
      <c r="BF109" s="395"/>
      <c r="BG109" s="395"/>
      <c r="BH109" s="395"/>
      <c r="BI109" s="395"/>
      <c r="BJ109" s="395"/>
      <c r="BK109" s="395"/>
      <c r="BL109" s="395"/>
      <c r="BM109" s="395"/>
      <c r="BN109" s="395"/>
      <c r="BO109" s="395"/>
      <c r="BP109" s="395"/>
      <c r="BQ109" s="395"/>
      <c r="BR109" s="395"/>
      <c r="BS109" s="395"/>
      <c r="BT109" s="395"/>
      <c r="BU109" s="395"/>
      <c r="BV109" s="395"/>
      <c r="BW109" s="395"/>
      <c r="BX109" s="395"/>
      <c r="BY109" s="395"/>
      <c r="BZ109" s="395"/>
      <c r="CA109" s="395"/>
      <c r="CB109" s="395"/>
      <c r="CC109" s="395"/>
      <c r="CD109" s="395"/>
      <c r="CE109" s="395"/>
      <c r="CF109" s="395"/>
      <c r="CG109" s="395"/>
      <c r="CH109" s="395"/>
      <c r="CI109" s="395"/>
      <c r="CJ109" s="395"/>
      <c r="CK109" s="395"/>
      <c r="CL109" s="395"/>
      <c r="CM109" s="395"/>
      <c r="CN109" s="395"/>
      <c r="CO109" s="395"/>
      <c r="CP109" s="395"/>
      <c r="CQ109" s="395"/>
      <c r="CR109" s="395"/>
      <c r="CS109" s="395"/>
      <c r="CT109" s="395"/>
      <c r="CU109" s="395"/>
      <c r="CV109" s="395"/>
      <c r="CW109" s="395"/>
      <c r="CX109" s="395"/>
      <c r="CY109" s="395"/>
      <c r="CZ109" s="395"/>
      <c r="DA109" s="395"/>
      <c r="DB109" s="395"/>
      <c r="DC109" s="395"/>
      <c r="DD109" s="395"/>
      <c r="DE109" s="395"/>
      <c r="DF109" s="395"/>
      <c r="DG109" s="395"/>
      <c r="DH109" s="395"/>
      <c r="DI109" s="395"/>
      <c r="DJ109" s="395"/>
      <c r="DK109" s="395"/>
      <c r="DL109" s="395"/>
      <c r="DM109" s="395"/>
      <c r="DN109" s="395"/>
      <c r="DO109" s="395"/>
      <c r="DP109" s="395"/>
      <c r="DQ109" s="395"/>
      <c r="DR109" s="395"/>
      <c r="DS109" s="395"/>
      <c r="DT109" s="395"/>
      <c r="DU109" s="395"/>
      <c r="DV109" s="395"/>
      <c r="DW109" s="395"/>
      <c r="DX109" s="395"/>
      <c r="DY109" s="395"/>
      <c r="DZ109" s="395"/>
      <c r="EA109" s="395"/>
      <c r="EB109" s="395"/>
      <c r="EC109" s="395"/>
      <c r="ED109" s="395"/>
      <c r="EE109" s="395"/>
      <c r="EF109" s="395"/>
      <c r="EG109" s="395"/>
      <c r="EH109" s="395"/>
      <c r="EI109" s="395"/>
      <c r="EJ109" s="395"/>
      <c r="EK109" s="395"/>
      <c r="EL109" s="395"/>
      <c r="EM109" s="395"/>
      <c r="EN109" s="395"/>
      <c r="EO109" s="395"/>
      <c r="EP109" s="395"/>
      <c r="EQ109" s="395"/>
      <c r="ER109" s="395"/>
      <c r="ES109" s="395"/>
      <c r="ET109" s="395"/>
      <c r="EU109" s="395"/>
      <c r="EV109" s="395"/>
      <c r="EW109" s="395"/>
      <c r="EX109" s="395"/>
      <c r="EY109" s="395"/>
      <c r="EZ109" s="395"/>
      <c r="FA109" s="395"/>
      <c r="FB109" s="395"/>
      <c r="FC109" s="395"/>
      <c r="FD109" s="395"/>
      <c r="FE109" s="395"/>
      <c r="FF109" s="395"/>
      <c r="FG109" s="395"/>
      <c r="FH109" s="395"/>
      <c r="FI109" s="395"/>
      <c r="FJ109" s="395"/>
      <c r="FK109" s="395"/>
      <c r="FL109" s="395"/>
      <c r="FM109" s="395"/>
      <c r="FN109" s="395"/>
      <c r="FO109" s="395"/>
      <c r="FP109" s="395"/>
      <c r="FQ109" s="395"/>
      <c r="FR109" s="395"/>
      <c r="FS109" s="395"/>
      <c r="FT109" s="395"/>
      <c r="FU109" s="395"/>
      <c r="FV109" s="395"/>
      <c r="FW109" s="395"/>
      <c r="FX109" s="395"/>
      <c r="FY109" s="395"/>
      <c r="FZ109" s="395"/>
      <c r="GA109" s="395"/>
      <c r="GB109" s="395"/>
      <c r="GC109" s="395"/>
      <c r="GD109" s="395"/>
      <c r="GE109" s="395"/>
      <c r="GF109" s="395"/>
      <c r="GG109" s="395"/>
      <c r="GH109" s="395"/>
      <c r="GI109" s="395"/>
      <c r="GJ109" s="395"/>
      <c r="GK109" s="395"/>
      <c r="GL109" s="395"/>
      <c r="GM109" s="395"/>
      <c r="GN109" s="395"/>
      <c r="GO109" s="395"/>
      <c r="GP109" s="395"/>
      <c r="GQ109" s="395"/>
      <c r="GR109" s="395"/>
      <c r="GS109" s="395"/>
      <c r="GT109" s="395"/>
      <c r="GU109" s="395"/>
      <c r="GV109" s="395"/>
      <c r="GW109" s="395"/>
      <c r="GX109" s="395"/>
      <c r="GY109" s="395"/>
      <c r="GZ109" s="395"/>
      <c r="HA109" s="395"/>
      <c r="HB109" s="395"/>
      <c r="HC109" s="395"/>
      <c r="HD109" s="395"/>
      <c r="HE109" s="395"/>
      <c r="HF109" s="395"/>
      <c r="HG109" s="395"/>
      <c r="HH109" s="395"/>
      <c r="HI109" s="395"/>
      <c r="HJ109" s="395"/>
      <c r="HK109" s="395"/>
      <c r="HL109" s="395"/>
      <c r="HM109" s="395"/>
      <c r="HN109" s="395"/>
      <c r="HO109" s="395"/>
      <c r="HP109" s="395"/>
      <c r="HQ109" s="395"/>
      <c r="HR109" s="395"/>
    </row>
    <row r="110" spans="1:226" s="866" customFormat="1" ht="30" hidden="1" customHeight="1" x14ac:dyDescent="0.25">
      <c r="A110" s="395"/>
      <c r="B110" s="3357"/>
      <c r="C110" s="780" t="s">
        <v>2565</v>
      </c>
      <c r="D110" s="3383"/>
      <c r="E110" s="3384"/>
      <c r="F110" s="3383" t="str">
        <f t="shared" ref="F110" si="17">IF(F108="Continuous",20,IF(F108="Intermittent",50,"-"))</f>
        <v>-</v>
      </c>
      <c r="G110" s="3384"/>
      <c r="H110" s="3383" t="str">
        <f t="shared" ref="H110" si="18">IF(H108="Continuous",20,IF(H108="Intermittent",50,"-"))</f>
        <v>-</v>
      </c>
      <c r="I110" s="3384"/>
      <c r="J110" s="3383" t="str">
        <f t="shared" ref="J110" si="19">IF(J108="Continuous",20,IF(J108="Intermittent",50,"-"))</f>
        <v>-</v>
      </c>
      <c r="K110" s="3384"/>
      <c r="L110" s="3383" t="str">
        <f t="shared" ref="L110" si="20">IF(L108="Continuous",20,IF(L108="Intermittent",50,"-"))</f>
        <v>-</v>
      </c>
      <c r="M110" s="3384"/>
      <c r="N110" s="3383" t="str">
        <f t="shared" ref="N110" si="21">IF(N108="Continuous",20,IF(N108="Intermittent",50,"-"))</f>
        <v>-</v>
      </c>
      <c r="O110" s="3384"/>
      <c r="P110" s="3383" t="str">
        <f t="shared" ref="P110" si="22">IF(P108="Continuous",20,IF(P108="Intermittent",50,"-"))</f>
        <v>-</v>
      </c>
      <c r="Q110" s="3384"/>
      <c r="R110" s="3383" t="str">
        <f t="shared" ref="R110" si="23">IF(R108="Continuous",20,IF(R108="Intermittent",50,"-"))</f>
        <v>-</v>
      </c>
      <c r="S110" s="3384"/>
      <c r="T110" s="3383" t="str">
        <f t="shared" ref="T110" si="24">IF(T108="Continuous",20,IF(T108="Intermittent",50,"-"))</f>
        <v>-</v>
      </c>
      <c r="U110" s="3384"/>
      <c r="V110" s="395"/>
      <c r="W110" s="395"/>
      <c r="X110" s="395"/>
      <c r="Y110" s="395"/>
      <c r="Z110" s="2142"/>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395"/>
      <c r="BC110" s="395"/>
      <c r="BD110" s="395"/>
      <c r="BE110" s="395"/>
      <c r="BF110" s="395"/>
      <c r="BG110" s="395"/>
      <c r="BH110" s="395"/>
      <c r="BI110" s="395"/>
      <c r="BJ110" s="395"/>
      <c r="BK110" s="395"/>
      <c r="BL110" s="395"/>
      <c r="BM110" s="395"/>
      <c r="BN110" s="395"/>
      <c r="BO110" s="395"/>
      <c r="BP110" s="395"/>
      <c r="BQ110" s="395"/>
      <c r="BR110" s="395"/>
      <c r="BS110" s="395"/>
      <c r="BT110" s="395"/>
      <c r="BU110" s="395"/>
      <c r="BV110" s="395"/>
      <c r="BW110" s="395"/>
      <c r="BX110" s="395"/>
      <c r="BY110" s="395"/>
      <c r="BZ110" s="395"/>
      <c r="CA110" s="395"/>
      <c r="CB110" s="395"/>
      <c r="CC110" s="395"/>
      <c r="CD110" s="395"/>
      <c r="CE110" s="395"/>
      <c r="CF110" s="395"/>
      <c r="CG110" s="395"/>
      <c r="CH110" s="395"/>
      <c r="CI110" s="395"/>
      <c r="CJ110" s="395"/>
      <c r="CK110" s="395"/>
      <c r="CL110" s="395"/>
      <c r="CM110" s="395"/>
      <c r="CN110" s="395"/>
      <c r="CO110" s="395"/>
      <c r="CP110" s="395"/>
      <c r="CQ110" s="395"/>
      <c r="CR110" s="395"/>
      <c r="CS110" s="395"/>
      <c r="CT110" s="395"/>
      <c r="CU110" s="395"/>
      <c r="CV110" s="395"/>
      <c r="CW110" s="395"/>
      <c r="CX110" s="395"/>
      <c r="CY110" s="395"/>
      <c r="CZ110" s="395"/>
      <c r="DA110" s="395"/>
      <c r="DB110" s="395"/>
      <c r="DC110" s="395"/>
      <c r="DD110" s="395"/>
      <c r="DE110" s="395"/>
      <c r="DF110" s="395"/>
      <c r="DG110" s="395"/>
      <c r="DH110" s="395"/>
      <c r="DI110" s="395"/>
      <c r="DJ110" s="395"/>
      <c r="DK110" s="395"/>
      <c r="DL110" s="395"/>
      <c r="DM110" s="395"/>
      <c r="DN110" s="395"/>
      <c r="DO110" s="395"/>
      <c r="DP110" s="395"/>
      <c r="DQ110" s="395"/>
      <c r="DR110" s="395"/>
      <c r="DS110" s="395"/>
      <c r="DT110" s="395"/>
      <c r="DU110" s="395"/>
      <c r="DV110" s="395"/>
      <c r="DW110" s="395"/>
      <c r="DX110" s="395"/>
      <c r="DY110" s="395"/>
      <c r="DZ110" s="395"/>
      <c r="EA110" s="395"/>
      <c r="EB110" s="395"/>
      <c r="EC110" s="395"/>
      <c r="ED110" s="395"/>
      <c r="EE110" s="395"/>
      <c r="EF110" s="395"/>
      <c r="EG110" s="395"/>
      <c r="EH110" s="395"/>
      <c r="EI110" s="395"/>
      <c r="EJ110" s="395"/>
      <c r="EK110" s="395"/>
      <c r="EL110" s="395"/>
      <c r="EM110" s="395"/>
      <c r="EN110" s="395"/>
      <c r="EO110" s="395"/>
      <c r="EP110" s="395"/>
      <c r="EQ110" s="395"/>
      <c r="ER110" s="395"/>
      <c r="ES110" s="395"/>
      <c r="ET110" s="395"/>
      <c r="EU110" s="395"/>
      <c r="EV110" s="395"/>
      <c r="EW110" s="395"/>
      <c r="EX110" s="395"/>
      <c r="EY110" s="395"/>
      <c r="EZ110" s="395"/>
      <c r="FA110" s="395"/>
      <c r="FB110" s="395"/>
      <c r="FC110" s="395"/>
      <c r="FD110" s="395"/>
      <c r="FE110" s="395"/>
      <c r="FF110" s="395"/>
      <c r="FG110" s="395"/>
      <c r="FH110" s="395"/>
      <c r="FI110" s="395"/>
      <c r="FJ110" s="395"/>
      <c r="FK110" s="395"/>
      <c r="FL110" s="395"/>
      <c r="FM110" s="395"/>
      <c r="FN110" s="395"/>
      <c r="FO110" s="395"/>
      <c r="FP110" s="395"/>
      <c r="FQ110" s="395"/>
      <c r="FR110" s="395"/>
      <c r="FS110" s="395"/>
      <c r="FT110" s="395"/>
      <c r="FU110" s="395"/>
      <c r="FV110" s="395"/>
      <c r="FW110" s="395"/>
      <c r="FX110" s="395"/>
      <c r="FY110" s="395"/>
      <c r="FZ110" s="395"/>
      <c r="GA110" s="395"/>
      <c r="GB110" s="395"/>
      <c r="GC110" s="395"/>
      <c r="GD110" s="395"/>
      <c r="GE110" s="395"/>
      <c r="GF110" s="395"/>
      <c r="GG110" s="395"/>
      <c r="GH110" s="395"/>
      <c r="GI110" s="395"/>
      <c r="GJ110" s="395"/>
      <c r="GK110" s="395"/>
      <c r="GL110" s="395"/>
      <c r="GM110" s="395"/>
      <c r="GN110" s="395"/>
      <c r="GO110" s="395"/>
      <c r="GP110" s="395"/>
      <c r="GQ110" s="395"/>
      <c r="GR110" s="395"/>
      <c r="GS110" s="395"/>
      <c r="GT110" s="395"/>
      <c r="GU110" s="395"/>
      <c r="GV110" s="395"/>
      <c r="GW110" s="395"/>
      <c r="GX110" s="395"/>
      <c r="GY110" s="395"/>
      <c r="GZ110" s="395"/>
      <c r="HA110" s="395"/>
      <c r="HB110" s="395"/>
      <c r="HC110" s="395"/>
      <c r="HD110" s="395"/>
      <c r="HE110" s="395"/>
      <c r="HF110" s="395"/>
      <c r="HG110" s="395"/>
      <c r="HH110" s="395"/>
      <c r="HI110" s="395"/>
      <c r="HJ110" s="395"/>
      <c r="HK110" s="395"/>
      <c r="HL110" s="395"/>
      <c r="HM110" s="395"/>
      <c r="HN110" s="395"/>
      <c r="HO110" s="395"/>
      <c r="HP110" s="395"/>
      <c r="HQ110" s="395"/>
      <c r="HR110" s="395"/>
    </row>
    <row r="111" spans="1:226" s="866" customFormat="1" x14ac:dyDescent="0.25">
      <c r="A111" s="395"/>
      <c r="B111" s="3163" t="s">
        <v>2679</v>
      </c>
      <c r="C111" s="1844" t="s">
        <v>2567</v>
      </c>
      <c r="D111" s="3385"/>
      <c r="E111" s="3386"/>
      <c r="F111" s="3385"/>
      <c r="G111" s="3386"/>
      <c r="H111" s="3385"/>
      <c r="I111" s="3386"/>
      <c r="J111" s="3385"/>
      <c r="K111" s="3386"/>
      <c r="L111" s="3385"/>
      <c r="M111" s="3386"/>
      <c r="N111" s="3385"/>
      <c r="O111" s="3386"/>
      <c r="P111" s="3385"/>
      <c r="Q111" s="3386"/>
      <c r="R111" s="3385"/>
      <c r="S111" s="3386"/>
      <c r="T111" s="3385"/>
      <c r="U111" s="3386"/>
      <c r="V111" s="395"/>
      <c r="W111" s="395"/>
      <c r="X111" s="395"/>
      <c r="Y111" s="395"/>
      <c r="Z111" s="2142"/>
      <c r="AA111" s="395"/>
      <c r="AB111" s="395"/>
      <c r="AC111" s="395"/>
      <c r="AD111" s="395"/>
      <c r="AE111" s="395"/>
      <c r="AF111" s="395"/>
      <c r="AG111" s="395"/>
      <c r="AH111" s="395"/>
      <c r="AI111" s="395"/>
      <c r="AJ111" s="395"/>
      <c r="AK111" s="395"/>
      <c r="AL111" s="395"/>
      <c r="AM111" s="395"/>
      <c r="AN111" s="395"/>
      <c r="AO111" s="395"/>
      <c r="AP111" s="395"/>
      <c r="AQ111" s="395"/>
      <c r="AR111" s="395"/>
      <c r="AS111" s="395"/>
      <c r="AT111" s="395"/>
      <c r="AU111" s="395"/>
      <c r="AV111" s="395"/>
      <c r="AW111" s="395"/>
      <c r="AX111" s="395"/>
      <c r="AY111" s="395"/>
      <c r="AZ111" s="395"/>
      <c r="BA111" s="395"/>
      <c r="BB111" s="395"/>
      <c r="BC111" s="395"/>
      <c r="BD111" s="395"/>
      <c r="BE111" s="395"/>
      <c r="BF111" s="395"/>
      <c r="BG111" s="395"/>
      <c r="BH111" s="395"/>
      <c r="BI111" s="395"/>
      <c r="BJ111" s="395"/>
      <c r="BK111" s="395"/>
      <c r="BL111" s="395"/>
      <c r="BM111" s="395"/>
      <c r="BN111" s="395"/>
      <c r="BO111" s="395"/>
      <c r="BP111" s="395"/>
      <c r="BQ111" s="395"/>
      <c r="BR111" s="395"/>
      <c r="BS111" s="395"/>
      <c r="BT111" s="395"/>
      <c r="BU111" s="395"/>
      <c r="BV111" s="395"/>
      <c r="BW111" s="395"/>
      <c r="BX111" s="395"/>
      <c r="BY111" s="395"/>
      <c r="BZ111" s="395"/>
      <c r="CA111" s="395"/>
      <c r="CB111" s="395"/>
      <c r="CC111" s="395"/>
      <c r="CD111" s="395"/>
      <c r="CE111" s="395"/>
      <c r="CF111" s="395"/>
      <c r="CG111" s="395"/>
      <c r="CH111" s="395"/>
      <c r="CI111" s="395"/>
      <c r="CJ111" s="395"/>
      <c r="CK111" s="395"/>
      <c r="CL111" s="395"/>
      <c r="CM111" s="395"/>
      <c r="CN111" s="395"/>
      <c r="CO111" s="395"/>
      <c r="CP111" s="395"/>
      <c r="CQ111" s="395"/>
      <c r="CR111" s="395"/>
      <c r="CS111" s="395"/>
      <c r="CT111" s="395"/>
      <c r="CU111" s="395"/>
      <c r="CV111" s="395"/>
      <c r="CW111" s="395"/>
      <c r="CX111" s="395"/>
      <c r="CY111" s="395"/>
      <c r="CZ111" s="395"/>
      <c r="DA111" s="395"/>
      <c r="DB111" s="395"/>
      <c r="DC111" s="395"/>
      <c r="DD111" s="395"/>
      <c r="DE111" s="395"/>
      <c r="DF111" s="395"/>
      <c r="DG111" s="395"/>
      <c r="DH111" s="395"/>
      <c r="DI111" s="395"/>
      <c r="DJ111" s="395"/>
      <c r="DK111" s="395"/>
      <c r="DL111" s="395"/>
      <c r="DM111" s="395"/>
      <c r="DN111" s="395"/>
      <c r="DO111" s="395"/>
      <c r="DP111" s="395"/>
      <c r="DQ111" s="395"/>
      <c r="DR111" s="395"/>
      <c r="DS111" s="395"/>
      <c r="DT111" s="395"/>
      <c r="DU111" s="395"/>
      <c r="DV111" s="395"/>
      <c r="DW111" s="395"/>
      <c r="DX111" s="395"/>
      <c r="DY111" s="395"/>
      <c r="DZ111" s="395"/>
      <c r="EA111" s="395"/>
      <c r="EB111" s="395"/>
      <c r="EC111" s="395"/>
      <c r="ED111" s="395"/>
      <c r="EE111" s="395"/>
      <c r="EF111" s="395"/>
      <c r="EG111" s="395"/>
      <c r="EH111" s="395"/>
      <c r="EI111" s="395"/>
      <c r="EJ111" s="395"/>
      <c r="EK111" s="395"/>
      <c r="EL111" s="395"/>
      <c r="EM111" s="395"/>
      <c r="EN111" s="395"/>
      <c r="EO111" s="395"/>
      <c r="EP111" s="395"/>
      <c r="EQ111" s="395"/>
      <c r="ER111" s="395"/>
      <c r="ES111" s="395"/>
      <c r="ET111" s="395"/>
      <c r="EU111" s="395"/>
      <c r="EV111" s="395"/>
      <c r="EW111" s="395"/>
      <c r="EX111" s="395"/>
      <c r="EY111" s="395"/>
      <c r="EZ111" s="395"/>
      <c r="FA111" s="395"/>
      <c r="FB111" s="395"/>
      <c r="FC111" s="395"/>
      <c r="FD111" s="395"/>
      <c r="FE111" s="395"/>
      <c r="FF111" s="395"/>
      <c r="FG111" s="395"/>
      <c r="FH111" s="395"/>
      <c r="FI111" s="395"/>
      <c r="FJ111" s="395"/>
      <c r="FK111" s="395"/>
      <c r="FL111" s="395"/>
      <c r="FM111" s="395"/>
      <c r="FN111" s="395"/>
      <c r="FO111" s="395"/>
      <c r="FP111" s="395"/>
      <c r="FQ111" s="395"/>
      <c r="FR111" s="395"/>
      <c r="FS111" s="395"/>
      <c r="FT111" s="395"/>
      <c r="FU111" s="395"/>
      <c r="FV111" s="395"/>
      <c r="FW111" s="395"/>
      <c r="FX111" s="395"/>
      <c r="FY111" s="395"/>
      <c r="FZ111" s="395"/>
      <c r="GA111" s="395"/>
      <c r="GB111" s="395"/>
      <c r="GC111" s="395"/>
      <c r="GD111" s="395"/>
      <c r="GE111" s="395"/>
      <c r="GF111" s="395"/>
      <c r="GG111" s="395"/>
      <c r="GH111" s="395"/>
      <c r="GI111" s="395"/>
      <c r="GJ111" s="395"/>
      <c r="GK111" s="395"/>
      <c r="GL111" s="395"/>
      <c r="GM111" s="395"/>
      <c r="GN111" s="395"/>
      <c r="GO111" s="395"/>
      <c r="GP111" s="395"/>
      <c r="GQ111" s="395"/>
      <c r="GR111" s="395"/>
      <c r="GS111" s="395"/>
      <c r="GT111" s="395"/>
      <c r="GU111" s="395"/>
      <c r="GV111" s="395"/>
      <c r="GW111" s="395"/>
      <c r="GX111" s="395"/>
      <c r="GY111" s="395"/>
      <c r="GZ111" s="395"/>
      <c r="HA111" s="395"/>
      <c r="HB111" s="395"/>
      <c r="HC111" s="395"/>
      <c r="HD111" s="395"/>
      <c r="HE111" s="395"/>
      <c r="HF111" s="395"/>
      <c r="HG111" s="395"/>
      <c r="HH111" s="395"/>
      <c r="HI111" s="395"/>
      <c r="HJ111" s="395"/>
      <c r="HK111" s="395"/>
      <c r="HL111" s="395"/>
      <c r="HM111" s="395"/>
      <c r="HN111" s="395"/>
      <c r="HO111" s="395"/>
      <c r="HP111" s="395"/>
      <c r="HQ111" s="395"/>
      <c r="HR111" s="395"/>
    </row>
    <row r="112" spans="1:226" s="866" customFormat="1" x14ac:dyDescent="0.25">
      <c r="A112" s="395"/>
      <c r="B112" s="3165"/>
      <c r="C112" s="1844" t="s">
        <v>2568</v>
      </c>
      <c r="D112" s="3385"/>
      <c r="E112" s="3386"/>
      <c r="F112" s="3385"/>
      <c r="G112" s="3386"/>
      <c r="H112" s="3385"/>
      <c r="I112" s="3386"/>
      <c r="J112" s="3385"/>
      <c r="K112" s="3386"/>
      <c r="L112" s="3385"/>
      <c r="M112" s="3386"/>
      <c r="N112" s="3385"/>
      <c r="O112" s="3386"/>
      <c r="P112" s="3385"/>
      <c r="Q112" s="3386"/>
      <c r="R112" s="3385"/>
      <c r="S112" s="3386"/>
      <c r="T112" s="3385"/>
      <c r="U112" s="3386"/>
      <c r="V112" s="395"/>
      <c r="W112" s="395"/>
      <c r="X112" s="395"/>
      <c r="Y112" s="395"/>
      <c r="Z112" s="2142"/>
      <c r="AA112" s="395"/>
      <c r="AB112" s="395"/>
      <c r="AC112" s="395"/>
      <c r="AD112" s="395"/>
      <c r="AE112" s="395"/>
      <c r="AF112" s="395"/>
      <c r="AG112" s="395"/>
      <c r="AH112" s="395"/>
      <c r="AI112" s="395"/>
      <c r="AJ112" s="395"/>
      <c r="AK112" s="395"/>
      <c r="AL112" s="395"/>
      <c r="AM112" s="395"/>
      <c r="AN112" s="395"/>
      <c r="AO112" s="395"/>
      <c r="AP112" s="395"/>
      <c r="AQ112" s="395"/>
      <c r="AR112" s="395"/>
      <c r="AS112" s="395"/>
      <c r="AT112" s="395"/>
      <c r="AU112" s="395"/>
      <c r="AV112" s="395"/>
      <c r="AW112" s="395"/>
      <c r="AX112" s="395"/>
      <c r="AY112" s="395"/>
      <c r="AZ112" s="395"/>
      <c r="BA112" s="395"/>
      <c r="BB112" s="395"/>
      <c r="BC112" s="395"/>
      <c r="BD112" s="395"/>
      <c r="BE112" s="395"/>
      <c r="BF112" s="395"/>
      <c r="BG112" s="395"/>
      <c r="BH112" s="395"/>
      <c r="BI112" s="395"/>
      <c r="BJ112" s="395"/>
      <c r="BK112" s="395"/>
      <c r="BL112" s="395"/>
      <c r="BM112" s="395"/>
      <c r="BN112" s="395"/>
      <c r="BO112" s="395"/>
      <c r="BP112" s="395"/>
      <c r="BQ112" s="395"/>
      <c r="BR112" s="395"/>
      <c r="BS112" s="395"/>
      <c r="BT112" s="395"/>
      <c r="BU112" s="395"/>
      <c r="BV112" s="395"/>
      <c r="BW112" s="395"/>
      <c r="BX112" s="395"/>
      <c r="BY112" s="395"/>
      <c r="BZ112" s="395"/>
      <c r="CA112" s="395"/>
      <c r="CB112" s="395"/>
      <c r="CC112" s="395"/>
      <c r="CD112" s="395"/>
      <c r="CE112" s="395"/>
      <c r="CF112" s="395"/>
      <c r="CG112" s="395"/>
      <c r="CH112" s="395"/>
      <c r="CI112" s="395"/>
      <c r="CJ112" s="395"/>
      <c r="CK112" s="395"/>
      <c r="CL112" s="395"/>
      <c r="CM112" s="395"/>
      <c r="CN112" s="395"/>
      <c r="CO112" s="395"/>
      <c r="CP112" s="395"/>
      <c r="CQ112" s="395"/>
      <c r="CR112" s="395"/>
      <c r="CS112" s="395"/>
      <c r="CT112" s="395"/>
      <c r="CU112" s="395"/>
      <c r="CV112" s="395"/>
      <c r="CW112" s="395"/>
      <c r="CX112" s="395"/>
      <c r="CY112" s="395"/>
      <c r="CZ112" s="395"/>
      <c r="DA112" s="395"/>
      <c r="DB112" s="395"/>
      <c r="DC112" s="395"/>
      <c r="DD112" s="395"/>
      <c r="DE112" s="395"/>
      <c r="DF112" s="395"/>
      <c r="DG112" s="395"/>
      <c r="DH112" s="395"/>
      <c r="DI112" s="395"/>
      <c r="DJ112" s="395"/>
      <c r="DK112" s="395"/>
      <c r="DL112" s="395"/>
      <c r="DM112" s="395"/>
      <c r="DN112" s="395"/>
      <c r="DO112" s="395"/>
      <c r="DP112" s="395"/>
      <c r="DQ112" s="395"/>
      <c r="DR112" s="395"/>
      <c r="DS112" s="395"/>
      <c r="DT112" s="395"/>
      <c r="DU112" s="395"/>
      <c r="DV112" s="395"/>
      <c r="DW112" s="395"/>
      <c r="DX112" s="395"/>
      <c r="DY112" s="395"/>
      <c r="DZ112" s="395"/>
      <c r="EA112" s="395"/>
      <c r="EB112" s="395"/>
      <c r="EC112" s="395"/>
      <c r="ED112" s="395"/>
      <c r="EE112" s="395"/>
      <c r="EF112" s="395"/>
      <c r="EG112" s="395"/>
      <c r="EH112" s="395"/>
      <c r="EI112" s="395"/>
      <c r="EJ112" s="395"/>
      <c r="EK112" s="395"/>
      <c r="EL112" s="395"/>
      <c r="EM112" s="395"/>
      <c r="EN112" s="395"/>
      <c r="EO112" s="395"/>
      <c r="EP112" s="395"/>
      <c r="EQ112" s="395"/>
      <c r="ER112" s="395"/>
      <c r="ES112" s="395"/>
      <c r="ET112" s="395"/>
      <c r="EU112" s="395"/>
      <c r="EV112" s="395"/>
      <c r="EW112" s="395"/>
      <c r="EX112" s="395"/>
      <c r="EY112" s="395"/>
      <c r="EZ112" s="395"/>
      <c r="FA112" s="395"/>
      <c r="FB112" s="395"/>
      <c r="FC112" s="395"/>
      <c r="FD112" s="395"/>
      <c r="FE112" s="395"/>
      <c r="FF112" s="395"/>
      <c r="FG112" s="395"/>
      <c r="FH112" s="395"/>
      <c r="FI112" s="395"/>
      <c r="FJ112" s="395"/>
      <c r="FK112" s="395"/>
      <c r="FL112" s="395"/>
      <c r="FM112" s="395"/>
      <c r="FN112" s="395"/>
      <c r="FO112" s="395"/>
      <c r="FP112" s="395"/>
      <c r="FQ112" s="395"/>
      <c r="FR112" s="395"/>
      <c r="FS112" s="395"/>
      <c r="FT112" s="395"/>
      <c r="FU112" s="395"/>
      <c r="FV112" s="395"/>
      <c r="FW112" s="395"/>
      <c r="FX112" s="395"/>
      <c r="FY112" s="395"/>
      <c r="FZ112" s="395"/>
      <c r="GA112" s="395"/>
      <c r="GB112" s="395"/>
      <c r="GC112" s="395"/>
      <c r="GD112" s="395"/>
      <c r="GE112" s="395"/>
      <c r="GF112" s="395"/>
      <c r="GG112" s="395"/>
      <c r="GH112" s="395"/>
      <c r="GI112" s="395"/>
      <c r="GJ112" s="395"/>
      <c r="GK112" s="395"/>
      <c r="GL112" s="395"/>
      <c r="GM112" s="395"/>
      <c r="GN112" s="395"/>
      <c r="GO112" s="395"/>
      <c r="GP112" s="395"/>
      <c r="GQ112" s="395"/>
      <c r="GR112" s="395"/>
      <c r="GS112" s="395"/>
      <c r="GT112" s="395"/>
      <c r="GU112" s="395"/>
      <c r="GV112" s="395"/>
      <c r="GW112" s="395"/>
      <c r="GX112" s="395"/>
      <c r="GY112" s="395"/>
      <c r="GZ112" s="395"/>
      <c r="HA112" s="395"/>
      <c r="HB112" s="395"/>
      <c r="HC112" s="395"/>
      <c r="HD112" s="395"/>
      <c r="HE112" s="395"/>
      <c r="HF112" s="395"/>
      <c r="HG112" s="395"/>
      <c r="HH112" s="395"/>
      <c r="HI112" s="395"/>
      <c r="HJ112" s="395"/>
      <c r="HK112" s="395"/>
      <c r="HL112" s="395"/>
      <c r="HM112" s="395"/>
      <c r="HN112" s="395"/>
      <c r="HO112" s="395"/>
      <c r="HP112" s="395"/>
      <c r="HQ112" s="395"/>
      <c r="HR112" s="395"/>
    </row>
    <row r="113" spans="1:226" s="866" customFormat="1" x14ac:dyDescent="0.25">
      <c r="A113" s="395"/>
      <c r="B113" s="3163" t="s">
        <v>3433</v>
      </c>
      <c r="C113" s="1844" t="str">
        <f>CONCATENATE("Kitchen",IF(SI_IP_Units="IP"," (CFM)"," (L/s)"))</f>
        <v>Kitchen (CFM)</v>
      </c>
      <c r="D113" s="3387"/>
      <c r="E113" s="3388"/>
      <c r="F113" s="3387"/>
      <c r="G113" s="3388"/>
      <c r="H113" s="3387"/>
      <c r="I113" s="3388"/>
      <c r="J113" s="3387"/>
      <c r="K113" s="3388"/>
      <c r="L113" s="3387"/>
      <c r="M113" s="3388"/>
      <c r="N113" s="3387"/>
      <c r="O113" s="3388"/>
      <c r="P113" s="3387"/>
      <c r="Q113" s="3388"/>
      <c r="R113" s="3387"/>
      <c r="S113" s="3388"/>
      <c r="T113" s="3387"/>
      <c r="U113" s="3388"/>
      <c r="V113" s="395"/>
      <c r="W113" s="395"/>
      <c r="X113" s="395"/>
      <c r="Y113" s="395"/>
      <c r="Z113" s="2142"/>
      <c r="AA113" s="395"/>
      <c r="AB113" s="395"/>
      <c r="AC113" s="395"/>
      <c r="AD113" s="395"/>
      <c r="AE113" s="395"/>
      <c r="AF113" s="395"/>
      <c r="AG113" s="395"/>
      <c r="AH113" s="395"/>
      <c r="AI113" s="395"/>
      <c r="AJ113" s="395"/>
      <c r="AK113" s="395"/>
      <c r="AL113" s="395"/>
      <c r="AM113" s="395"/>
      <c r="AN113" s="395"/>
      <c r="AO113" s="395"/>
      <c r="AP113" s="395"/>
      <c r="AQ113" s="395"/>
      <c r="AR113" s="395"/>
      <c r="AS113" s="395"/>
      <c r="AT113" s="395"/>
      <c r="AU113" s="395"/>
      <c r="AV113" s="395"/>
      <c r="AW113" s="395"/>
      <c r="AX113" s="395"/>
      <c r="AY113" s="395"/>
      <c r="AZ113" s="395"/>
      <c r="BA113" s="395"/>
      <c r="BB113" s="395"/>
      <c r="BC113" s="395"/>
      <c r="BD113" s="395"/>
      <c r="BE113" s="395"/>
      <c r="BF113" s="395"/>
      <c r="BG113" s="395"/>
      <c r="BH113" s="395"/>
      <c r="BI113" s="395"/>
      <c r="BJ113" s="395"/>
      <c r="BK113" s="395"/>
      <c r="BL113" s="395"/>
      <c r="BM113" s="395"/>
      <c r="BN113" s="395"/>
      <c r="BO113" s="395"/>
      <c r="BP113" s="395"/>
      <c r="BQ113" s="395"/>
      <c r="BR113" s="395"/>
      <c r="BS113" s="395"/>
      <c r="BT113" s="395"/>
      <c r="BU113" s="395"/>
      <c r="BV113" s="395"/>
      <c r="BW113" s="395"/>
      <c r="BX113" s="395"/>
      <c r="BY113" s="395"/>
      <c r="BZ113" s="395"/>
      <c r="CA113" s="395"/>
      <c r="CB113" s="395"/>
      <c r="CC113" s="395"/>
      <c r="CD113" s="395"/>
      <c r="CE113" s="395"/>
      <c r="CF113" s="395"/>
      <c r="CG113" s="395"/>
      <c r="CH113" s="395"/>
      <c r="CI113" s="395"/>
      <c r="CJ113" s="395"/>
      <c r="CK113" s="395"/>
      <c r="CL113" s="395"/>
      <c r="CM113" s="395"/>
      <c r="CN113" s="395"/>
      <c r="CO113" s="395"/>
      <c r="CP113" s="395"/>
      <c r="CQ113" s="395"/>
      <c r="CR113" s="395"/>
      <c r="CS113" s="395"/>
      <c r="CT113" s="395"/>
      <c r="CU113" s="395"/>
      <c r="CV113" s="395"/>
      <c r="CW113" s="395"/>
      <c r="CX113" s="395"/>
      <c r="CY113" s="395"/>
      <c r="CZ113" s="395"/>
      <c r="DA113" s="395"/>
      <c r="DB113" s="395"/>
      <c r="DC113" s="395"/>
      <c r="DD113" s="395"/>
      <c r="DE113" s="395"/>
      <c r="DF113" s="395"/>
      <c r="DG113" s="395"/>
      <c r="DH113" s="395"/>
      <c r="DI113" s="395"/>
      <c r="DJ113" s="395"/>
      <c r="DK113" s="395"/>
      <c r="DL113" s="395"/>
      <c r="DM113" s="395"/>
      <c r="DN113" s="395"/>
      <c r="DO113" s="395"/>
      <c r="DP113" s="395"/>
      <c r="DQ113" s="395"/>
      <c r="DR113" s="395"/>
      <c r="DS113" s="395"/>
      <c r="DT113" s="395"/>
      <c r="DU113" s="395"/>
      <c r="DV113" s="395"/>
      <c r="DW113" s="395"/>
      <c r="DX113" s="395"/>
      <c r="DY113" s="395"/>
      <c r="DZ113" s="395"/>
      <c r="EA113" s="395"/>
      <c r="EB113" s="395"/>
      <c r="EC113" s="395"/>
      <c r="ED113" s="395"/>
      <c r="EE113" s="395"/>
      <c r="EF113" s="395"/>
      <c r="EG113" s="395"/>
      <c r="EH113" s="395"/>
      <c r="EI113" s="395"/>
      <c r="EJ113" s="395"/>
      <c r="EK113" s="395"/>
      <c r="EL113" s="395"/>
      <c r="EM113" s="395"/>
      <c r="EN113" s="395"/>
      <c r="EO113" s="395"/>
      <c r="EP113" s="395"/>
      <c r="EQ113" s="395"/>
      <c r="ER113" s="395"/>
      <c r="ES113" s="395"/>
      <c r="ET113" s="395"/>
      <c r="EU113" s="395"/>
      <c r="EV113" s="395"/>
      <c r="EW113" s="395"/>
      <c r="EX113" s="395"/>
      <c r="EY113" s="395"/>
      <c r="EZ113" s="395"/>
      <c r="FA113" s="395"/>
      <c r="FB113" s="395"/>
      <c r="FC113" s="395"/>
      <c r="FD113" s="395"/>
      <c r="FE113" s="395"/>
      <c r="FF113" s="395"/>
      <c r="FG113" s="395"/>
      <c r="FH113" s="395"/>
      <c r="FI113" s="395"/>
      <c r="FJ113" s="395"/>
      <c r="FK113" s="395"/>
      <c r="FL113" s="395"/>
      <c r="FM113" s="395"/>
      <c r="FN113" s="395"/>
      <c r="FO113" s="395"/>
      <c r="FP113" s="395"/>
      <c r="FQ113" s="395"/>
      <c r="FR113" s="395"/>
      <c r="FS113" s="395"/>
      <c r="FT113" s="395"/>
      <c r="FU113" s="395"/>
      <c r="FV113" s="395"/>
      <c r="FW113" s="395"/>
      <c r="FX113" s="395"/>
      <c r="FY113" s="395"/>
      <c r="FZ113" s="395"/>
      <c r="GA113" s="395"/>
      <c r="GB113" s="395"/>
      <c r="GC113" s="395"/>
      <c r="GD113" s="395"/>
      <c r="GE113" s="395"/>
      <c r="GF113" s="395"/>
      <c r="GG113" s="395"/>
      <c r="GH113" s="395"/>
      <c r="GI113" s="395"/>
      <c r="GJ113" s="395"/>
      <c r="GK113" s="395"/>
      <c r="GL113" s="395"/>
      <c r="GM113" s="395"/>
      <c r="GN113" s="395"/>
      <c r="GO113" s="395"/>
      <c r="GP113" s="395"/>
      <c r="GQ113" s="395"/>
      <c r="GR113" s="395"/>
      <c r="GS113" s="395"/>
      <c r="GT113" s="395"/>
      <c r="GU113" s="395"/>
      <c r="GV113" s="395"/>
      <c r="GW113" s="395"/>
      <c r="GX113" s="395"/>
      <c r="GY113" s="395"/>
      <c r="GZ113" s="395"/>
      <c r="HA113" s="395"/>
      <c r="HB113" s="395"/>
      <c r="HC113" s="395"/>
      <c r="HD113" s="395"/>
      <c r="HE113" s="395"/>
      <c r="HF113" s="395"/>
      <c r="HG113" s="395"/>
      <c r="HH113" s="395"/>
      <c r="HI113" s="395"/>
      <c r="HJ113" s="395"/>
      <c r="HK113" s="395"/>
      <c r="HL113" s="395"/>
      <c r="HM113" s="395"/>
      <c r="HN113" s="395"/>
      <c r="HO113" s="395"/>
      <c r="HP113" s="395"/>
      <c r="HQ113" s="395"/>
      <c r="HR113" s="395"/>
    </row>
    <row r="114" spans="1:226" s="866" customFormat="1" x14ac:dyDescent="0.25">
      <c r="A114" s="395"/>
      <c r="B114" s="3165"/>
      <c r="C114" s="1844" t="str">
        <f>CONCATENATE("Bathroom",IF(SI_IP_Units="IP"," (CFM)"," (L/s)"))</f>
        <v>Bathroom (CFM)</v>
      </c>
      <c r="D114" s="3387"/>
      <c r="E114" s="3388"/>
      <c r="F114" s="3387"/>
      <c r="G114" s="3388"/>
      <c r="H114" s="3387"/>
      <c r="I114" s="3388"/>
      <c r="J114" s="3387"/>
      <c r="K114" s="3388"/>
      <c r="L114" s="3387"/>
      <c r="M114" s="3388"/>
      <c r="N114" s="3387"/>
      <c r="O114" s="3388"/>
      <c r="P114" s="3387"/>
      <c r="Q114" s="3388"/>
      <c r="R114" s="3387"/>
      <c r="S114" s="3388"/>
      <c r="T114" s="3387"/>
      <c r="U114" s="3388"/>
      <c r="V114" s="395"/>
      <c r="W114" s="395"/>
      <c r="X114" s="395"/>
      <c r="Y114" s="395"/>
      <c r="Z114" s="2142"/>
      <c r="AA114" s="395"/>
      <c r="AB114" s="395"/>
      <c r="AC114" s="395"/>
      <c r="AD114" s="395"/>
      <c r="AE114" s="395"/>
      <c r="AF114" s="395"/>
      <c r="AG114" s="395"/>
      <c r="AH114" s="395"/>
      <c r="AI114" s="395"/>
      <c r="AJ114" s="395"/>
      <c r="AK114" s="395"/>
      <c r="AL114" s="395"/>
      <c r="AM114" s="395"/>
      <c r="AN114" s="395"/>
      <c r="AO114" s="395"/>
      <c r="AP114" s="395"/>
      <c r="AQ114" s="395"/>
      <c r="AR114" s="395"/>
      <c r="AS114" s="395"/>
      <c r="AT114" s="395"/>
      <c r="AU114" s="395"/>
      <c r="AV114" s="395"/>
      <c r="AW114" s="395"/>
      <c r="AX114" s="395"/>
      <c r="AY114" s="395"/>
      <c r="AZ114" s="395"/>
      <c r="BA114" s="395"/>
      <c r="BB114" s="395"/>
      <c r="BC114" s="395"/>
      <c r="BD114" s="395"/>
      <c r="BE114" s="395"/>
      <c r="BF114" s="395"/>
      <c r="BG114" s="395"/>
      <c r="BH114" s="395"/>
      <c r="BI114" s="395"/>
      <c r="BJ114" s="395"/>
      <c r="BK114" s="395"/>
      <c r="BL114" s="395"/>
      <c r="BM114" s="395"/>
      <c r="BN114" s="395"/>
      <c r="BO114" s="395"/>
      <c r="BP114" s="395"/>
      <c r="BQ114" s="395"/>
      <c r="BR114" s="395"/>
      <c r="BS114" s="395"/>
      <c r="BT114" s="395"/>
      <c r="BU114" s="395"/>
      <c r="BV114" s="395"/>
      <c r="BW114" s="395"/>
      <c r="BX114" s="395"/>
      <c r="BY114" s="395"/>
      <c r="BZ114" s="395"/>
      <c r="CA114" s="395"/>
      <c r="CB114" s="395"/>
      <c r="CC114" s="395"/>
      <c r="CD114" s="395"/>
      <c r="CE114" s="395"/>
      <c r="CF114" s="395"/>
      <c r="CG114" s="395"/>
      <c r="CH114" s="395"/>
      <c r="CI114" s="395"/>
      <c r="CJ114" s="395"/>
      <c r="CK114" s="395"/>
      <c r="CL114" s="395"/>
      <c r="CM114" s="395"/>
      <c r="CN114" s="395"/>
      <c r="CO114" s="395"/>
      <c r="CP114" s="395"/>
      <c r="CQ114" s="395"/>
      <c r="CR114" s="395"/>
      <c r="CS114" s="395"/>
      <c r="CT114" s="395"/>
      <c r="CU114" s="395"/>
      <c r="CV114" s="395"/>
      <c r="CW114" s="395"/>
      <c r="CX114" s="395"/>
      <c r="CY114" s="395"/>
      <c r="CZ114" s="395"/>
      <c r="DA114" s="395"/>
      <c r="DB114" s="395"/>
      <c r="DC114" s="395"/>
      <c r="DD114" s="395"/>
      <c r="DE114" s="395"/>
      <c r="DF114" s="395"/>
      <c r="DG114" s="395"/>
      <c r="DH114" s="395"/>
      <c r="DI114" s="395"/>
      <c r="DJ114" s="395"/>
      <c r="DK114" s="395"/>
      <c r="DL114" s="395"/>
      <c r="DM114" s="395"/>
      <c r="DN114" s="395"/>
      <c r="DO114" s="395"/>
      <c r="DP114" s="395"/>
      <c r="DQ114" s="395"/>
      <c r="DR114" s="395"/>
      <c r="DS114" s="395"/>
      <c r="DT114" s="395"/>
      <c r="DU114" s="395"/>
      <c r="DV114" s="395"/>
      <c r="DW114" s="395"/>
      <c r="DX114" s="395"/>
      <c r="DY114" s="395"/>
      <c r="DZ114" s="395"/>
      <c r="EA114" s="395"/>
      <c r="EB114" s="395"/>
      <c r="EC114" s="395"/>
      <c r="ED114" s="395"/>
      <c r="EE114" s="395"/>
      <c r="EF114" s="395"/>
      <c r="EG114" s="395"/>
      <c r="EH114" s="395"/>
      <c r="EI114" s="395"/>
      <c r="EJ114" s="395"/>
      <c r="EK114" s="395"/>
      <c r="EL114" s="395"/>
      <c r="EM114" s="395"/>
      <c r="EN114" s="395"/>
      <c r="EO114" s="395"/>
      <c r="EP114" s="395"/>
      <c r="EQ114" s="395"/>
      <c r="ER114" s="395"/>
      <c r="ES114" s="395"/>
      <c r="ET114" s="395"/>
      <c r="EU114" s="395"/>
      <c r="EV114" s="395"/>
      <c r="EW114" s="395"/>
      <c r="EX114" s="395"/>
      <c r="EY114" s="395"/>
      <c r="EZ114" s="395"/>
      <c r="FA114" s="395"/>
      <c r="FB114" s="395"/>
      <c r="FC114" s="395"/>
      <c r="FD114" s="395"/>
      <c r="FE114" s="395"/>
      <c r="FF114" s="395"/>
      <c r="FG114" s="395"/>
      <c r="FH114" s="395"/>
      <c r="FI114" s="395"/>
      <c r="FJ114" s="395"/>
      <c r="FK114" s="395"/>
      <c r="FL114" s="395"/>
      <c r="FM114" s="395"/>
      <c r="FN114" s="395"/>
      <c r="FO114" s="395"/>
      <c r="FP114" s="395"/>
      <c r="FQ114" s="395"/>
      <c r="FR114" s="395"/>
      <c r="FS114" s="395"/>
      <c r="FT114" s="395"/>
      <c r="FU114" s="395"/>
      <c r="FV114" s="395"/>
      <c r="FW114" s="395"/>
      <c r="FX114" s="395"/>
      <c r="FY114" s="395"/>
      <c r="FZ114" s="395"/>
      <c r="GA114" s="395"/>
      <c r="GB114" s="395"/>
      <c r="GC114" s="395"/>
      <c r="GD114" s="395"/>
      <c r="GE114" s="395"/>
      <c r="GF114" s="395"/>
      <c r="GG114" s="395"/>
      <c r="GH114" s="395"/>
      <c r="GI114" s="395"/>
      <c r="GJ114" s="395"/>
      <c r="GK114" s="395"/>
      <c r="GL114" s="395"/>
      <c r="GM114" s="395"/>
      <c r="GN114" s="395"/>
      <c r="GO114" s="395"/>
      <c r="GP114" s="395"/>
      <c r="GQ114" s="395"/>
      <c r="GR114" s="395"/>
      <c r="GS114" s="395"/>
      <c r="GT114" s="395"/>
      <c r="GU114" s="395"/>
      <c r="GV114" s="395"/>
      <c r="GW114" s="395"/>
      <c r="GX114" s="395"/>
      <c r="GY114" s="395"/>
      <c r="GZ114" s="395"/>
      <c r="HA114" s="395"/>
      <c r="HB114" s="395"/>
      <c r="HC114" s="395"/>
      <c r="HD114" s="395"/>
      <c r="HE114" s="395"/>
      <c r="HF114" s="395"/>
      <c r="HG114" s="395"/>
      <c r="HH114" s="395"/>
      <c r="HI114" s="395"/>
      <c r="HJ114" s="395"/>
      <c r="HK114" s="395"/>
      <c r="HL114" s="395"/>
      <c r="HM114" s="395"/>
      <c r="HN114" s="395"/>
      <c r="HO114" s="395"/>
      <c r="HP114" s="395"/>
      <c r="HQ114" s="395"/>
      <c r="HR114" s="395"/>
    </row>
    <row r="115" spans="1:226" s="866" customFormat="1" x14ac:dyDescent="0.25">
      <c r="A115" s="395"/>
      <c r="B115" s="3163" t="s">
        <v>3434</v>
      </c>
      <c r="C115" s="1844" t="str">
        <f>CONCATENATE("Kitchen",IF(SI_IP_Units="IP"," (CFM)"," (L/s)"))</f>
        <v>Kitchen (CFM)</v>
      </c>
      <c r="D115" s="3383" t="str">
        <f>IFERROR(D113*D102,"-")</f>
        <v>-</v>
      </c>
      <c r="E115" s="3384"/>
      <c r="F115" s="3383" t="str">
        <f>IFERROR(F113*F102,"-")</f>
        <v>-</v>
      </c>
      <c r="G115" s="3384"/>
      <c r="H115" s="3383" t="str">
        <f>IFERROR(H113*H102,"-")</f>
        <v>-</v>
      </c>
      <c r="I115" s="3384"/>
      <c r="J115" s="3383" t="str">
        <f>IFERROR(J113*J102,"-")</f>
        <v>-</v>
      </c>
      <c r="K115" s="3384"/>
      <c r="L115" s="3383" t="str">
        <f>IFERROR(L113*L102,"-")</f>
        <v>-</v>
      </c>
      <c r="M115" s="3384"/>
      <c r="N115" s="3383" t="str">
        <f>IFERROR(N113*N102,"-")</f>
        <v>-</v>
      </c>
      <c r="O115" s="3384"/>
      <c r="P115" s="3383" t="str">
        <f>IFERROR(P113*P102,"-")</f>
        <v>-</v>
      </c>
      <c r="Q115" s="3384"/>
      <c r="R115" s="3383" t="str">
        <f>IFERROR(R113*R102,"-")</f>
        <v>-</v>
      </c>
      <c r="S115" s="3384"/>
      <c r="T115" s="3383" t="str">
        <f>IFERROR(T113*T102,"-")</f>
        <v>-</v>
      </c>
      <c r="U115" s="3384"/>
      <c r="V115" s="395"/>
      <c r="W115" s="395"/>
      <c r="X115" s="395"/>
      <c r="Y115" s="395"/>
      <c r="Z115" s="2142"/>
      <c r="AA115" s="395"/>
      <c r="AB115" s="395"/>
      <c r="AC115" s="395"/>
      <c r="AD115" s="395"/>
      <c r="AE115" s="395"/>
      <c r="AF115" s="395"/>
      <c r="AG115" s="395"/>
      <c r="AH115" s="395"/>
      <c r="AI115" s="395"/>
      <c r="AJ115" s="395"/>
      <c r="AK115" s="395"/>
      <c r="AL115" s="395"/>
      <c r="AM115" s="395"/>
      <c r="AN115" s="395"/>
      <c r="AO115" s="395"/>
      <c r="AP115" s="395"/>
      <c r="AQ115" s="395"/>
      <c r="AR115" s="395"/>
      <c r="AS115" s="395"/>
      <c r="AT115" s="395"/>
      <c r="AU115" s="395"/>
      <c r="AV115" s="395"/>
      <c r="AW115" s="395"/>
      <c r="AX115" s="395"/>
      <c r="AY115" s="395"/>
      <c r="AZ115" s="395"/>
      <c r="BA115" s="395"/>
      <c r="BB115" s="395"/>
      <c r="BC115" s="395"/>
      <c r="BD115" s="395"/>
      <c r="BE115" s="395"/>
      <c r="BF115" s="395"/>
      <c r="BG115" s="395"/>
      <c r="BH115" s="395"/>
      <c r="BI115" s="395"/>
      <c r="BJ115" s="395"/>
      <c r="BK115" s="395"/>
      <c r="BL115" s="395"/>
      <c r="BM115" s="395"/>
      <c r="BN115" s="395"/>
      <c r="BO115" s="395"/>
      <c r="BP115" s="395"/>
      <c r="BQ115" s="395"/>
      <c r="BR115" s="395"/>
      <c r="BS115" s="395"/>
      <c r="BT115" s="395"/>
      <c r="BU115" s="395"/>
      <c r="BV115" s="395"/>
      <c r="BW115" s="395"/>
      <c r="BX115" s="395"/>
      <c r="BY115" s="395"/>
      <c r="BZ115" s="395"/>
      <c r="CA115" s="395"/>
      <c r="CB115" s="395"/>
      <c r="CC115" s="395"/>
      <c r="CD115" s="395"/>
      <c r="CE115" s="395"/>
      <c r="CF115" s="395"/>
      <c r="CG115" s="395"/>
      <c r="CH115" s="395"/>
      <c r="CI115" s="395"/>
      <c r="CJ115" s="395"/>
      <c r="CK115" s="395"/>
      <c r="CL115" s="395"/>
      <c r="CM115" s="395"/>
      <c r="CN115" s="395"/>
      <c r="CO115" s="395"/>
      <c r="CP115" s="395"/>
      <c r="CQ115" s="395"/>
      <c r="CR115" s="395"/>
      <c r="CS115" s="395"/>
      <c r="CT115" s="395"/>
      <c r="CU115" s="395"/>
      <c r="CV115" s="395"/>
      <c r="CW115" s="395"/>
      <c r="CX115" s="395"/>
      <c r="CY115" s="395"/>
      <c r="CZ115" s="395"/>
      <c r="DA115" s="395"/>
      <c r="DB115" s="395"/>
      <c r="DC115" s="395"/>
      <c r="DD115" s="395"/>
      <c r="DE115" s="395"/>
      <c r="DF115" s="395"/>
      <c r="DG115" s="395"/>
      <c r="DH115" s="395"/>
      <c r="DI115" s="395"/>
      <c r="DJ115" s="395"/>
      <c r="DK115" s="395"/>
      <c r="DL115" s="395"/>
      <c r="DM115" s="395"/>
      <c r="DN115" s="395"/>
      <c r="DO115" s="395"/>
      <c r="DP115" s="395"/>
      <c r="DQ115" s="395"/>
      <c r="DR115" s="395"/>
      <c r="DS115" s="395"/>
      <c r="DT115" s="395"/>
      <c r="DU115" s="395"/>
      <c r="DV115" s="395"/>
      <c r="DW115" s="395"/>
      <c r="DX115" s="395"/>
      <c r="DY115" s="395"/>
      <c r="DZ115" s="395"/>
      <c r="EA115" s="395"/>
      <c r="EB115" s="395"/>
      <c r="EC115" s="395"/>
      <c r="ED115" s="395"/>
      <c r="EE115" s="395"/>
      <c r="EF115" s="395"/>
      <c r="EG115" s="395"/>
      <c r="EH115" s="395"/>
      <c r="EI115" s="395"/>
      <c r="EJ115" s="395"/>
      <c r="EK115" s="395"/>
      <c r="EL115" s="395"/>
      <c r="EM115" s="395"/>
      <c r="EN115" s="395"/>
      <c r="EO115" s="395"/>
      <c r="EP115" s="395"/>
      <c r="EQ115" s="395"/>
      <c r="ER115" s="395"/>
      <c r="ES115" s="395"/>
      <c r="ET115" s="395"/>
      <c r="EU115" s="395"/>
      <c r="EV115" s="395"/>
      <c r="EW115" s="395"/>
      <c r="EX115" s="395"/>
      <c r="EY115" s="395"/>
      <c r="EZ115" s="395"/>
      <c r="FA115" s="395"/>
      <c r="FB115" s="395"/>
      <c r="FC115" s="395"/>
      <c r="FD115" s="395"/>
      <c r="FE115" s="395"/>
      <c r="FF115" s="395"/>
      <c r="FG115" s="395"/>
      <c r="FH115" s="395"/>
      <c r="FI115" s="395"/>
      <c r="FJ115" s="395"/>
      <c r="FK115" s="395"/>
      <c r="FL115" s="395"/>
      <c r="FM115" s="395"/>
      <c r="FN115" s="395"/>
      <c r="FO115" s="395"/>
      <c r="FP115" s="395"/>
      <c r="FQ115" s="395"/>
      <c r="FR115" s="395"/>
      <c r="FS115" s="395"/>
      <c r="FT115" s="395"/>
      <c r="FU115" s="395"/>
      <c r="FV115" s="395"/>
      <c r="FW115" s="395"/>
      <c r="FX115" s="395"/>
      <c r="FY115" s="395"/>
      <c r="FZ115" s="395"/>
      <c r="GA115" s="395"/>
      <c r="GB115" s="395"/>
      <c r="GC115" s="395"/>
      <c r="GD115" s="395"/>
      <c r="GE115" s="395"/>
      <c r="GF115" s="395"/>
      <c r="GG115" s="395"/>
      <c r="GH115" s="395"/>
      <c r="GI115" s="395"/>
      <c r="GJ115" s="395"/>
      <c r="GK115" s="395"/>
      <c r="GL115" s="395"/>
      <c r="GM115" s="395"/>
      <c r="GN115" s="395"/>
      <c r="GO115" s="395"/>
      <c r="GP115" s="395"/>
      <c r="GQ115" s="395"/>
      <c r="GR115" s="395"/>
      <c r="GS115" s="395"/>
      <c r="GT115" s="395"/>
      <c r="GU115" s="395"/>
      <c r="GV115" s="395"/>
      <c r="GW115" s="395"/>
      <c r="GX115" s="395"/>
      <c r="GY115" s="395"/>
      <c r="GZ115" s="395"/>
      <c r="HA115" s="395"/>
      <c r="HB115" s="395"/>
      <c r="HC115" s="395"/>
      <c r="HD115" s="395"/>
      <c r="HE115" s="395"/>
      <c r="HF115" s="395"/>
      <c r="HG115" s="395"/>
      <c r="HH115" s="395"/>
      <c r="HI115" s="395"/>
      <c r="HJ115" s="395"/>
      <c r="HK115" s="395"/>
      <c r="HL115" s="395"/>
      <c r="HM115" s="395"/>
      <c r="HN115" s="395"/>
      <c r="HO115" s="395"/>
      <c r="HP115" s="395"/>
      <c r="HQ115" s="395"/>
      <c r="HR115" s="395"/>
    </row>
    <row r="116" spans="1:226" s="866" customFormat="1" x14ac:dyDescent="0.25">
      <c r="A116" s="395"/>
      <c r="B116" s="3165"/>
      <c r="C116" s="1844" t="str">
        <f>CONCATENATE("Bathroom",IF(SI_IP_Units="IP"," (CFM)"," (L/s)"))</f>
        <v>Bathroom (CFM)</v>
      </c>
      <c r="D116" s="3383" t="str">
        <f>IFERROR(D114*D102,"-")</f>
        <v>-</v>
      </c>
      <c r="E116" s="3384"/>
      <c r="F116" s="3383" t="str">
        <f>IFERROR(F114*F102,"-")</f>
        <v>-</v>
      </c>
      <c r="G116" s="3384"/>
      <c r="H116" s="3383" t="str">
        <f>IFERROR(H114*H102,"-")</f>
        <v>-</v>
      </c>
      <c r="I116" s="3384"/>
      <c r="J116" s="3383" t="str">
        <f>IFERROR(J114*J102,"-")</f>
        <v>-</v>
      </c>
      <c r="K116" s="3384"/>
      <c r="L116" s="3383" t="str">
        <f>IFERROR(L114*L102,"-")</f>
        <v>-</v>
      </c>
      <c r="M116" s="3384"/>
      <c r="N116" s="3383" t="str">
        <f>IFERROR(N114*N102,"-")</f>
        <v>-</v>
      </c>
      <c r="O116" s="3384"/>
      <c r="P116" s="3383" t="str">
        <f>IFERROR(P114*P102,"-")</f>
        <v>-</v>
      </c>
      <c r="Q116" s="3384"/>
      <c r="R116" s="3383" t="str">
        <f>IFERROR(R114*R102,"-")</f>
        <v>-</v>
      </c>
      <c r="S116" s="3384"/>
      <c r="T116" s="3383" t="str">
        <f>IFERROR(T114*T102,"-")</f>
        <v>-</v>
      </c>
      <c r="U116" s="3384"/>
      <c r="V116" s="395"/>
      <c r="W116" s="395"/>
      <c r="X116" s="395"/>
      <c r="Y116" s="395"/>
      <c r="Z116" s="2142"/>
      <c r="AA116" s="395"/>
      <c r="AB116" s="395"/>
      <c r="AC116" s="395"/>
      <c r="AD116" s="395"/>
      <c r="AE116" s="395"/>
      <c r="AF116" s="395"/>
      <c r="AG116" s="395"/>
      <c r="AH116" s="395"/>
      <c r="AI116" s="395"/>
      <c r="AJ116" s="395"/>
      <c r="AK116" s="395"/>
      <c r="AL116" s="395"/>
      <c r="AM116" s="395"/>
      <c r="AN116" s="395"/>
      <c r="AO116" s="395"/>
      <c r="AP116" s="395"/>
      <c r="AQ116" s="395"/>
      <c r="AR116" s="395"/>
      <c r="AS116" s="395"/>
      <c r="AT116" s="395"/>
      <c r="AU116" s="395"/>
      <c r="AV116" s="395"/>
      <c r="AW116" s="395"/>
      <c r="AX116" s="395"/>
      <c r="AY116" s="395"/>
      <c r="AZ116" s="395"/>
      <c r="BA116" s="395"/>
      <c r="BB116" s="395"/>
      <c r="BC116" s="395"/>
      <c r="BD116" s="395"/>
      <c r="BE116" s="395"/>
      <c r="BF116" s="395"/>
      <c r="BG116" s="395"/>
      <c r="BH116" s="395"/>
      <c r="BI116" s="395"/>
      <c r="BJ116" s="395"/>
      <c r="BK116" s="395"/>
      <c r="BL116" s="395"/>
      <c r="BM116" s="395"/>
      <c r="BN116" s="395"/>
      <c r="BO116" s="395"/>
      <c r="BP116" s="395"/>
      <c r="BQ116" s="395"/>
      <c r="BR116" s="395"/>
      <c r="BS116" s="395"/>
      <c r="BT116" s="395"/>
      <c r="BU116" s="395"/>
      <c r="BV116" s="395"/>
      <c r="BW116" s="395"/>
      <c r="BX116" s="395"/>
      <c r="BY116" s="395"/>
      <c r="BZ116" s="395"/>
      <c r="CA116" s="395"/>
      <c r="CB116" s="395"/>
      <c r="CC116" s="395"/>
      <c r="CD116" s="395"/>
      <c r="CE116" s="395"/>
      <c r="CF116" s="395"/>
      <c r="CG116" s="395"/>
      <c r="CH116" s="395"/>
      <c r="CI116" s="395"/>
      <c r="CJ116" s="395"/>
      <c r="CK116" s="395"/>
      <c r="CL116" s="395"/>
      <c r="CM116" s="395"/>
      <c r="CN116" s="395"/>
      <c r="CO116" s="395"/>
      <c r="CP116" s="395"/>
      <c r="CQ116" s="395"/>
      <c r="CR116" s="395"/>
      <c r="CS116" s="395"/>
      <c r="CT116" s="395"/>
      <c r="CU116" s="395"/>
      <c r="CV116" s="395"/>
      <c r="CW116" s="395"/>
      <c r="CX116" s="395"/>
      <c r="CY116" s="395"/>
      <c r="CZ116" s="395"/>
      <c r="DA116" s="395"/>
      <c r="DB116" s="395"/>
      <c r="DC116" s="395"/>
      <c r="DD116" s="395"/>
      <c r="DE116" s="395"/>
      <c r="DF116" s="395"/>
      <c r="DG116" s="395"/>
      <c r="DH116" s="395"/>
      <c r="DI116" s="395"/>
      <c r="DJ116" s="395"/>
      <c r="DK116" s="395"/>
      <c r="DL116" s="395"/>
      <c r="DM116" s="395"/>
      <c r="DN116" s="395"/>
      <c r="DO116" s="395"/>
      <c r="DP116" s="395"/>
      <c r="DQ116" s="395"/>
      <c r="DR116" s="395"/>
      <c r="DS116" s="395"/>
      <c r="DT116" s="395"/>
      <c r="DU116" s="395"/>
      <c r="DV116" s="395"/>
      <c r="DW116" s="395"/>
      <c r="DX116" s="395"/>
      <c r="DY116" s="395"/>
      <c r="DZ116" s="395"/>
      <c r="EA116" s="395"/>
      <c r="EB116" s="395"/>
      <c r="EC116" s="395"/>
      <c r="ED116" s="395"/>
      <c r="EE116" s="395"/>
      <c r="EF116" s="395"/>
      <c r="EG116" s="395"/>
      <c r="EH116" s="395"/>
      <c r="EI116" s="395"/>
      <c r="EJ116" s="395"/>
      <c r="EK116" s="395"/>
      <c r="EL116" s="395"/>
      <c r="EM116" s="395"/>
      <c r="EN116" s="395"/>
      <c r="EO116" s="395"/>
      <c r="EP116" s="395"/>
      <c r="EQ116" s="395"/>
      <c r="ER116" s="395"/>
      <c r="ES116" s="395"/>
      <c r="ET116" s="395"/>
      <c r="EU116" s="395"/>
      <c r="EV116" s="395"/>
      <c r="EW116" s="395"/>
      <c r="EX116" s="395"/>
      <c r="EY116" s="395"/>
      <c r="EZ116" s="395"/>
      <c r="FA116" s="395"/>
      <c r="FB116" s="395"/>
      <c r="FC116" s="395"/>
      <c r="FD116" s="395"/>
      <c r="FE116" s="395"/>
      <c r="FF116" s="395"/>
      <c r="FG116" s="395"/>
      <c r="FH116" s="395"/>
      <c r="FI116" s="395"/>
      <c r="FJ116" s="395"/>
      <c r="FK116" s="395"/>
      <c r="FL116" s="395"/>
      <c r="FM116" s="395"/>
      <c r="FN116" s="395"/>
      <c r="FO116" s="395"/>
      <c r="FP116" s="395"/>
      <c r="FQ116" s="395"/>
      <c r="FR116" s="395"/>
      <c r="FS116" s="395"/>
      <c r="FT116" s="395"/>
      <c r="FU116" s="395"/>
      <c r="FV116" s="395"/>
      <c r="FW116" s="395"/>
      <c r="FX116" s="395"/>
      <c r="FY116" s="395"/>
      <c r="FZ116" s="395"/>
      <c r="GA116" s="395"/>
      <c r="GB116" s="395"/>
      <c r="GC116" s="395"/>
      <c r="GD116" s="395"/>
      <c r="GE116" s="395"/>
      <c r="GF116" s="395"/>
      <c r="GG116" s="395"/>
      <c r="GH116" s="395"/>
      <c r="GI116" s="395"/>
      <c r="GJ116" s="395"/>
      <c r="GK116" s="395"/>
      <c r="GL116" s="395"/>
      <c r="GM116" s="395"/>
      <c r="GN116" s="395"/>
      <c r="GO116" s="395"/>
      <c r="GP116" s="395"/>
      <c r="GQ116" s="395"/>
      <c r="GR116" s="395"/>
      <c r="GS116" s="395"/>
      <c r="GT116" s="395"/>
      <c r="GU116" s="395"/>
      <c r="GV116" s="395"/>
      <c r="GW116" s="395"/>
      <c r="GX116" s="395"/>
      <c r="GY116" s="395"/>
      <c r="GZ116" s="395"/>
      <c r="HA116" s="395"/>
      <c r="HB116" s="395"/>
      <c r="HC116" s="395"/>
      <c r="HD116" s="395"/>
      <c r="HE116" s="395"/>
      <c r="HF116" s="395"/>
      <c r="HG116" s="395"/>
      <c r="HH116" s="395"/>
      <c r="HI116" s="395"/>
      <c r="HJ116" s="395"/>
      <c r="HK116" s="395"/>
      <c r="HL116" s="395"/>
      <c r="HM116" s="395"/>
      <c r="HN116" s="395"/>
      <c r="HO116" s="395"/>
      <c r="HP116" s="395"/>
      <c r="HQ116" s="395"/>
      <c r="HR116" s="395"/>
    </row>
    <row r="117" spans="1:226" s="866" customFormat="1" ht="25.5" customHeight="1" x14ac:dyDescent="0.25">
      <c r="A117" s="395"/>
      <c r="B117" s="3163" t="s">
        <v>3435</v>
      </c>
      <c r="C117" s="1844" t="str">
        <f>CONCATENATE("Per Kitchen",IF(SI_IP_Units="IP"," (CFM)"," (L/s)"))</f>
        <v>Per Kitchen (CFM)</v>
      </c>
      <c r="D117" s="3383">
        <f>IFERROR(IF(D113&lt;D109,D113,D109),"-")</f>
        <v>0</v>
      </c>
      <c r="E117" s="3384"/>
      <c r="F117" s="3383">
        <f>IFERROR(IF(F113&lt;F109,F113,F109),"-")</f>
        <v>0</v>
      </c>
      <c r="G117" s="3384"/>
      <c r="H117" s="3383">
        <f>IFERROR(IF(H113&lt;H109,H113,H109),"-")</f>
        <v>0</v>
      </c>
      <c r="I117" s="3384"/>
      <c r="J117" s="3383">
        <f>IFERROR(IF(J113&lt;J109,J113,J109),"-")</f>
        <v>0</v>
      </c>
      <c r="K117" s="3384"/>
      <c r="L117" s="3383">
        <f>IFERROR(IF(L113&lt;L109,L113,L109),"-")</f>
        <v>0</v>
      </c>
      <c r="M117" s="3384"/>
      <c r="N117" s="3383">
        <f>IFERROR(IF(N113&lt;N109,N113,N109),"-")</f>
        <v>0</v>
      </c>
      <c r="O117" s="3384"/>
      <c r="P117" s="3383">
        <f>IFERROR(IF(P113&lt;P109,P113,P109),"-")</f>
        <v>0</v>
      </c>
      <c r="Q117" s="3384"/>
      <c r="R117" s="3383">
        <f>IFERROR(IF(R113&lt;R109,R113,R109),"-")</f>
        <v>0</v>
      </c>
      <c r="S117" s="3384"/>
      <c r="T117" s="3383">
        <f>IFERROR(IF(T113&lt;T109,T113,T109),"-")</f>
        <v>0</v>
      </c>
      <c r="U117" s="3384"/>
      <c r="V117" s="395"/>
      <c r="W117" s="395"/>
      <c r="X117" s="395"/>
      <c r="Y117" s="395"/>
      <c r="Z117" s="2142"/>
      <c r="AA117" s="395"/>
      <c r="AB117" s="395"/>
      <c r="AC117" s="395"/>
      <c r="AD117" s="395"/>
      <c r="AE117" s="395"/>
      <c r="AF117" s="395"/>
      <c r="AG117" s="395"/>
      <c r="AH117" s="395"/>
      <c r="AI117" s="395"/>
      <c r="AJ117" s="395"/>
      <c r="AK117" s="395"/>
      <c r="AL117" s="395"/>
      <c r="AM117" s="395"/>
      <c r="AN117" s="395"/>
      <c r="AO117" s="395"/>
      <c r="AP117" s="395"/>
      <c r="AQ117" s="395"/>
      <c r="AR117" s="395"/>
      <c r="AS117" s="395"/>
      <c r="AT117" s="395"/>
      <c r="AU117" s="395"/>
      <c r="AV117" s="395"/>
      <c r="AW117" s="395"/>
      <c r="AX117" s="395"/>
      <c r="AY117" s="395"/>
      <c r="AZ117" s="395"/>
      <c r="BA117" s="395"/>
      <c r="BB117" s="395"/>
      <c r="BC117" s="395"/>
      <c r="BD117" s="395"/>
      <c r="BE117" s="395"/>
      <c r="BF117" s="395"/>
      <c r="BG117" s="395"/>
      <c r="BH117" s="395"/>
      <c r="BI117" s="395"/>
      <c r="BJ117" s="395"/>
      <c r="BK117" s="395"/>
      <c r="BL117" s="395"/>
      <c r="BM117" s="395"/>
      <c r="BN117" s="395"/>
      <c r="BO117" s="395"/>
      <c r="BP117" s="395"/>
      <c r="BQ117" s="395"/>
      <c r="BR117" s="395"/>
      <c r="BS117" s="395"/>
      <c r="BT117" s="395"/>
      <c r="BU117" s="395"/>
      <c r="BV117" s="395"/>
      <c r="BW117" s="395"/>
      <c r="BX117" s="395"/>
      <c r="BY117" s="395"/>
      <c r="BZ117" s="395"/>
      <c r="CA117" s="395"/>
      <c r="CB117" s="395"/>
      <c r="CC117" s="395"/>
      <c r="CD117" s="395"/>
      <c r="CE117" s="395"/>
      <c r="CF117" s="395"/>
      <c r="CG117" s="395"/>
      <c r="CH117" s="395"/>
      <c r="CI117" s="395"/>
      <c r="CJ117" s="395"/>
      <c r="CK117" s="395"/>
      <c r="CL117" s="395"/>
      <c r="CM117" s="395"/>
      <c r="CN117" s="395"/>
      <c r="CO117" s="395"/>
      <c r="CP117" s="395"/>
      <c r="CQ117" s="395"/>
      <c r="CR117" s="395"/>
      <c r="CS117" s="395"/>
      <c r="CT117" s="395"/>
      <c r="CU117" s="395"/>
      <c r="CV117" s="395"/>
      <c r="CW117" s="395"/>
      <c r="CX117" s="395"/>
      <c r="CY117" s="395"/>
      <c r="CZ117" s="395"/>
      <c r="DA117" s="395"/>
      <c r="DB117" s="395"/>
      <c r="DC117" s="395"/>
      <c r="DD117" s="395"/>
      <c r="DE117" s="395"/>
      <c r="DF117" s="395"/>
      <c r="DG117" s="395"/>
      <c r="DH117" s="395"/>
      <c r="DI117" s="395"/>
      <c r="DJ117" s="395"/>
      <c r="DK117" s="395"/>
      <c r="DL117" s="395"/>
      <c r="DM117" s="395"/>
      <c r="DN117" s="395"/>
      <c r="DO117" s="395"/>
      <c r="DP117" s="395"/>
      <c r="DQ117" s="395"/>
      <c r="DR117" s="395"/>
      <c r="DS117" s="395"/>
      <c r="DT117" s="395"/>
      <c r="DU117" s="395"/>
      <c r="DV117" s="395"/>
      <c r="DW117" s="395"/>
      <c r="DX117" s="395"/>
      <c r="DY117" s="395"/>
      <c r="DZ117" s="395"/>
      <c r="EA117" s="395"/>
      <c r="EB117" s="395"/>
      <c r="EC117" s="395"/>
      <c r="ED117" s="395"/>
      <c r="EE117" s="395"/>
      <c r="EF117" s="395"/>
      <c r="EG117" s="395"/>
      <c r="EH117" s="395"/>
      <c r="EI117" s="395"/>
      <c r="EJ117" s="395"/>
      <c r="EK117" s="395"/>
      <c r="EL117" s="395"/>
      <c r="EM117" s="395"/>
      <c r="EN117" s="395"/>
      <c r="EO117" s="395"/>
      <c r="EP117" s="395"/>
      <c r="EQ117" s="395"/>
      <c r="ER117" s="395"/>
      <c r="ES117" s="395"/>
      <c r="ET117" s="395"/>
      <c r="EU117" s="395"/>
      <c r="EV117" s="395"/>
      <c r="EW117" s="395"/>
      <c r="EX117" s="395"/>
      <c r="EY117" s="395"/>
      <c r="EZ117" s="395"/>
      <c r="FA117" s="395"/>
      <c r="FB117" s="395"/>
      <c r="FC117" s="395"/>
      <c r="FD117" s="395"/>
      <c r="FE117" s="395"/>
      <c r="FF117" s="395"/>
      <c r="FG117" s="395"/>
      <c r="FH117" s="395"/>
      <c r="FI117" s="395"/>
      <c r="FJ117" s="395"/>
      <c r="FK117" s="395"/>
      <c r="FL117" s="395"/>
      <c r="FM117" s="395"/>
      <c r="FN117" s="395"/>
      <c r="FO117" s="395"/>
      <c r="FP117" s="395"/>
      <c r="FQ117" s="395"/>
      <c r="FR117" s="395"/>
      <c r="FS117" s="395"/>
      <c r="FT117" s="395"/>
      <c r="FU117" s="395"/>
      <c r="FV117" s="395"/>
      <c r="FW117" s="395"/>
      <c r="FX117" s="395"/>
      <c r="FY117" s="395"/>
      <c r="FZ117" s="395"/>
      <c r="GA117" s="395"/>
      <c r="GB117" s="395"/>
      <c r="GC117" s="395"/>
      <c r="GD117" s="395"/>
      <c r="GE117" s="395"/>
      <c r="GF117" s="395"/>
      <c r="GG117" s="395"/>
      <c r="GH117" s="395"/>
      <c r="GI117" s="395"/>
      <c r="GJ117" s="395"/>
      <c r="GK117" s="395"/>
      <c r="GL117" s="395"/>
      <c r="GM117" s="395"/>
      <c r="GN117" s="395"/>
      <c r="GO117" s="395"/>
      <c r="GP117" s="395"/>
      <c r="GQ117" s="395"/>
      <c r="GR117" s="395"/>
      <c r="GS117" s="395"/>
      <c r="GT117" s="395"/>
      <c r="GU117" s="395"/>
      <c r="GV117" s="395"/>
      <c r="GW117" s="395"/>
      <c r="GX117" s="395"/>
      <c r="GY117" s="395"/>
      <c r="GZ117" s="395"/>
      <c r="HA117" s="395"/>
      <c r="HB117" s="395"/>
      <c r="HC117" s="395"/>
      <c r="HD117" s="395"/>
      <c r="HE117" s="395"/>
      <c r="HF117" s="395"/>
      <c r="HG117" s="395"/>
      <c r="HH117" s="395"/>
      <c r="HI117" s="395"/>
      <c r="HJ117" s="395"/>
      <c r="HK117" s="395"/>
      <c r="HL117" s="395"/>
      <c r="HM117" s="395"/>
      <c r="HN117" s="395"/>
      <c r="HO117" s="395"/>
      <c r="HP117" s="395"/>
      <c r="HQ117" s="395"/>
      <c r="HR117" s="395"/>
    </row>
    <row r="118" spans="1:226" s="866" customFormat="1" ht="25.5" customHeight="1" x14ac:dyDescent="0.25">
      <c r="A118" s="395"/>
      <c r="B118" s="3165"/>
      <c r="C118" s="1844" t="str">
        <f>CONCATENATE("Per Bathroom",IF(SI_IP_Units="IP"," (CFM)"," (L/s)"))</f>
        <v>Per Bathroom (CFM)</v>
      </c>
      <c r="D118" s="3383">
        <f>IFERROR(IF(D114&lt;D110,D114,D110),"-")</f>
        <v>0</v>
      </c>
      <c r="E118" s="3384"/>
      <c r="F118" s="3383">
        <f>IFERROR(IF(F114&lt;F110,F114,F110),"-")</f>
        <v>0</v>
      </c>
      <c r="G118" s="3384"/>
      <c r="H118" s="3383">
        <f>IFERROR(IF(H114&lt;H110,H114,H110),"-")</f>
        <v>0</v>
      </c>
      <c r="I118" s="3384"/>
      <c r="J118" s="3383">
        <f>IFERROR(IF(J114&lt;J110,J114,J110),"-")</f>
        <v>0</v>
      </c>
      <c r="K118" s="3384"/>
      <c r="L118" s="3383">
        <f>IFERROR(IF(L114&lt;L110,L114,L110),"-")</f>
        <v>0</v>
      </c>
      <c r="M118" s="3384"/>
      <c r="N118" s="3383">
        <f>IFERROR(IF(N114&lt;N110,N114,N110),"-")</f>
        <v>0</v>
      </c>
      <c r="O118" s="3384"/>
      <c r="P118" s="3383">
        <f>IFERROR(IF(P114&lt;P110,P114,P110),"-")</f>
        <v>0</v>
      </c>
      <c r="Q118" s="3384"/>
      <c r="R118" s="3383">
        <f>IFERROR(IF(R114&lt;R110,R114,R110),"-")</f>
        <v>0</v>
      </c>
      <c r="S118" s="3384"/>
      <c r="T118" s="3383">
        <f>IFERROR(IF(T114&lt;T110,T114,T110),"-")</f>
        <v>0</v>
      </c>
      <c r="U118" s="3384"/>
      <c r="V118" s="395"/>
      <c r="W118" s="395"/>
      <c r="X118" s="395"/>
      <c r="Y118" s="395"/>
      <c r="Z118" s="2142"/>
      <c r="AA118" s="395"/>
      <c r="AB118" s="395"/>
      <c r="AC118" s="395"/>
      <c r="AD118" s="395"/>
      <c r="AE118" s="395"/>
      <c r="AF118" s="395"/>
      <c r="AG118" s="395"/>
      <c r="AH118" s="395"/>
      <c r="AI118" s="395"/>
      <c r="AJ118" s="395"/>
      <c r="AK118" s="395"/>
      <c r="AL118" s="395"/>
      <c r="AM118" s="395"/>
      <c r="AN118" s="395"/>
      <c r="AO118" s="395"/>
      <c r="AP118" s="395"/>
      <c r="AQ118" s="395"/>
      <c r="AR118" s="395"/>
      <c r="AS118" s="395"/>
      <c r="AT118" s="395"/>
      <c r="AU118" s="395"/>
      <c r="AV118" s="395"/>
      <c r="AW118" s="395"/>
      <c r="AX118" s="395"/>
      <c r="AY118" s="395"/>
      <c r="AZ118" s="395"/>
      <c r="BA118" s="395"/>
      <c r="BB118" s="395"/>
      <c r="BC118" s="395"/>
      <c r="BD118" s="395"/>
      <c r="BE118" s="395"/>
      <c r="BF118" s="395"/>
      <c r="BG118" s="395"/>
      <c r="BH118" s="395"/>
      <c r="BI118" s="395"/>
      <c r="BJ118" s="395"/>
      <c r="BK118" s="395"/>
      <c r="BL118" s="395"/>
      <c r="BM118" s="395"/>
      <c r="BN118" s="395"/>
      <c r="BO118" s="395"/>
      <c r="BP118" s="395"/>
      <c r="BQ118" s="395"/>
      <c r="BR118" s="395"/>
      <c r="BS118" s="395"/>
      <c r="BT118" s="395"/>
      <c r="BU118" s="395"/>
      <c r="BV118" s="395"/>
      <c r="BW118" s="395"/>
      <c r="BX118" s="395"/>
      <c r="BY118" s="395"/>
      <c r="BZ118" s="395"/>
      <c r="CA118" s="395"/>
      <c r="CB118" s="395"/>
      <c r="CC118" s="395"/>
      <c r="CD118" s="395"/>
      <c r="CE118" s="395"/>
      <c r="CF118" s="395"/>
      <c r="CG118" s="395"/>
      <c r="CH118" s="395"/>
      <c r="CI118" s="395"/>
      <c r="CJ118" s="395"/>
      <c r="CK118" s="395"/>
      <c r="CL118" s="395"/>
      <c r="CM118" s="395"/>
      <c r="CN118" s="395"/>
      <c r="CO118" s="395"/>
      <c r="CP118" s="395"/>
      <c r="CQ118" s="395"/>
      <c r="CR118" s="395"/>
      <c r="CS118" s="395"/>
      <c r="CT118" s="395"/>
      <c r="CU118" s="395"/>
      <c r="CV118" s="395"/>
      <c r="CW118" s="395"/>
      <c r="CX118" s="395"/>
      <c r="CY118" s="395"/>
      <c r="CZ118" s="395"/>
      <c r="DA118" s="395"/>
      <c r="DB118" s="395"/>
      <c r="DC118" s="395"/>
      <c r="DD118" s="395"/>
      <c r="DE118" s="395"/>
      <c r="DF118" s="395"/>
      <c r="DG118" s="395"/>
      <c r="DH118" s="395"/>
      <c r="DI118" s="395"/>
      <c r="DJ118" s="395"/>
      <c r="DK118" s="395"/>
      <c r="DL118" s="395"/>
      <c r="DM118" s="395"/>
      <c r="DN118" s="395"/>
      <c r="DO118" s="395"/>
      <c r="DP118" s="395"/>
      <c r="DQ118" s="395"/>
      <c r="DR118" s="395"/>
      <c r="DS118" s="395"/>
      <c r="DT118" s="395"/>
      <c r="DU118" s="395"/>
      <c r="DV118" s="395"/>
      <c r="DW118" s="395"/>
      <c r="DX118" s="395"/>
      <c r="DY118" s="395"/>
      <c r="DZ118" s="395"/>
      <c r="EA118" s="395"/>
      <c r="EB118" s="395"/>
      <c r="EC118" s="395"/>
      <c r="ED118" s="395"/>
      <c r="EE118" s="395"/>
      <c r="EF118" s="395"/>
      <c r="EG118" s="395"/>
      <c r="EH118" s="395"/>
      <c r="EI118" s="395"/>
      <c r="EJ118" s="395"/>
      <c r="EK118" s="395"/>
      <c r="EL118" s="395"/>
      <c r="EM118" s="395"/>
      <c r="EN118" s="395"/>
      <c r="EO118" s="395"/>
      <c r="EP118" s="395"/>
      <c r="EQ118" s="395"/>
      <c r="ER118" s="395"/>
      <c r="ES118" s="395"/>
      <c r="ET118" s="395"/>
      <c r="EU118" s="395"/>
      <c r="EV118" s="395"/>
      <c r="EW118" s="395"/>
      <c r="EX118" s="395"/>
      <c r="EY118" s="395"/>
      <c r="EZ118" s="395"/>
      <c r="FA118" s="395"/>
      <c r="FB118" s="395"/>
      <c r="FC118" s="395"/>
      <c r="FD118" s="395"/>
      <c r="FE118" s="395"/>
      <c r="FF118" s="395"/>
      <c r="FG118" s="395"/>
      <c r="FH118" s="395"/>
      <c r="FI118" s="395"/>
      <c r="FJ118" s="395"/>
      <c r="FK118" s="395"/>
      <c r="FL118" s="395"/>
      <c r="FM118" s="395"/>
      <c r="FN118" s="395"/>
      <c r="FO118" s="395"/>
      <c r="FP118" s="395"/>
      <c r="FQ118" s="395"/>
      <c r="FR118" s="395"/>
      <c r="FS118" s="395"/>
      <c r="FT118" s="395"/>
      <c r="FU118" s="395"/>
      <c r="FV118" s="395"/>
      <c r="FW118" s="395"/>
      <c r="FX118" s="395"/>
      <c r="FY118" s="395"/>
      <c r="FZ118" s="395"/>
      <c r="GA118" s="395"/>
      <c r="GB118" s="395"/>
      <c r="GC118" s="395"/>
      <c r="GD118" s="395"/>
      <c r="GE118" s="395"/>
      <c r="GF118" s="395"/>
      <c r="GG118" s="395"/>
      <c r="GH118" s="395"/>
      <c r="GI118" s="395"/>
      <c r="GJ118" s="395"/>
      <c r="GK118" s="395"/>
      <c r="GL118" s="395"/>
      <c r="GM118" s="395"/>
      <c r="GN118" s="395"/>
      <c r="GO118" s="395"/>
      <c r="GP118" s="395"/>
      <c r="GQ118" s="395"/>
      <c r="GR118" s="395"/>
      <c r="GS118" s="395"/>
      <c r="GT118" s="395"/>
      <c r="GU118" s="395"/>
      <c r="GV118" s="395"/>
      <c r="GW118" s="395"/>
      <c r="GX118" s="395"/>
      <c r="GY118" s="395"/>
      <c r="GZ118" s="395"/>
      <c r="HA118" s="395"/>
      <c r="HB118" s="395"/>
      <c r="HC118" s="395"/>
      <c r="HD118" s="395"/>
      <c r="HE118" s="395"/>
      <c r="HF118" s="395"/>
      <c r="HG118" s="395"/>
      <c r="HH118" s="395"/>
      <c r="HI118" s="395"/>
      <c r="HJ118" s="395"/>
      <c r="HK118" s="395"/>
      <c r="HL118" s="395"/>
      <c r="HM118" s="395"/>
      <c r="HN118" s="395"/>
      <c r="HO118" s="395"/>
      <c r="HP118" s="395"/>
      <c r="HQ118" s="395"/>
      <c r="HR118" s="395"/>
    </row>
    <row r="119" spans="1:226" s="866" customFormat="1" x14ac:dyDescent="0.25">
      <c r="A119" s="395"/>
      <c r="B119" s="3163" t="s">
        <v>3436</v>
      </c>
      <c r="C119" s="1844" t="str">
        <f>CONCATENATE("Kitchen",IF(SI_IP_Units="IP"," (CFM)"," (L/s)"))</f>
        <v>Kitchen (CFM)</v>
      </c>
      <c r="D119" s="3383" t="str">
        <f>IFERROR(D117*D102,"-")</f>
        <v>-</v>
      </c>
      <c r="E119" s="3384"/>
      <c r="F119" s="3383" t="str">
        <f>IFERROR(F117*F102,"-")</f>
        <v>-</v>
      </c>
      <c r="G119" s="3384"/>
      <c r="H119" s="3383" t="str">
        <f>IFERROR(H117*H102,"-")</f>
        <v>-</v>
      </c>
      <c r="I119" s="3384"/>
      <c r="J119" s="3383" t="str">
        <f>IFERROR(J117*J102,"-")</f>
        <v>-</v>
      </c>
      <c r="K119" s="3384"/>
      <c r="L119" s="3383" t="str">
        <f>IFERROR(L117*L102,"-")</f>
        <v>-</v>
      </c>
      <c r="M119" s="3384"/>
      <c r="N119" s="3383" t="str">
        <f>IFERROR(N117*N102,"-")</f>
        <v>-</v>
      </c>
      <c r="O119" s="3384"/>
      <c r="P119" s="3383" t="str">
        <f>IFERROR(P117*P102,"-")</f>
        <v>-</v>
      </c>
      <c r="Q119" s="3384"/>
      <c r="R119" s="3383" t="str">
        <f>IFERROR(R117*R102,"-")</f>
        <v>-</v>
      </c>
      <c r="S119" s="3384"/>
      <c r="T119" s="3383" t="str">
        <f>IFERROR(T117*T102,"-")</f>
        <v>-</v>
      </c>
      <c r="U119" s="3384"/>
      <c r="V119" s="395"/>
      <c r="W119" s="395"/>
      <c r="X119" s="395"/>
      <c r="Y119" s="395"/>
      <c r="Z119" s="2142"/>
      <c r="AA119" s="395"/>
      <c r="AB119" s="395"/>
      <c r="AC119" s="395"/>
      <c r="AD119" s="395"/>
      <c r="AE119" s="395"/>
      <c r="AF119" s="395"/>
      <c r="AG119" s="395"/>
      <c r="AH119" s="395"/>
      <c r="AI119" s="395"/>
      <c r="AJ119" s="395"/>
      <c r="AK119" s="395"/>
      <c r="AL119" s="395"/>
      <c r="AM119" s="395"/>
      <c r="AN119" s="395"/>
      <c r="AO119" s="395"/>
      <c r="AP119" s="395"/>
      <c r="AQ119" s="395"/>
      <c r="AR119" s="395"/>
      <c r="AS119" s="395"/>
      <c r="AT119" s="395"/>
      <c r="AU119" s="395"/>
      <c r="AV119" s="395"/>
      <c r="AW119" s="395"/>
      <c r="AX119" s="395"/>
      <c r="AY119" s="395"/>
      <c r="AZ119" s="395"/>
      <c r="BA119" s="395"/>
      <c r="BB119" s="395"/>
      <c r="BC119" s="395"/>
      <c r="BD119" s="395"/>
      <c r="BE119" s="395"/>
      <c r="BF119" s="395"/>
      <c r="BG119" s="395"/>
      <c r="BH119" s="395"/>
      <c r="BI119" s="395"/>
      <c r="BJ119" s="395"/>
      <c r="BK119" s="395"/>
      <c r="BL119" s="395"/>
      <c r="BM119" s="395"/>
      <c r="BN119" s="395"/>
      <c r="BO119" s="395"/>
      <c r="BP119" s="395"/>
      <c r="BQ119" s="395"/>
      <c r="BR119" s="395"/>
      <c r="BS119" s="395"/>
      <c r="BT119" s="395"/>
      <c r="BU119" s="395"/>
      <c r="BV119" s="395"/>
      <c r="BW119" s="395"/>
      <c r="BX119" s="395"/>
      <c r="BY119" s="395"/>
      <c r="BZ119" s="395"/>
      <c r="CA119" s="395"/>
      <c r="CB119" s="395"/>
      <c r="CC119" s="395"/>
      <c r="CD119" s="395"/>
      <c r="CE119" s="395"/>
      <c r="CF119" s="395"/>
      <c r="CG119" s="395"/>
      <c r="CH119" s="395"/>
      <c r="CI119" s="395"/>
      <c r="CJ119" s="395"/>
      <c r="CK119" s="395"/>
      <c r="CL119" s="395"/>
      <c r="CM119" s="395"/>
      <c r="CN119" s="395"/>
      <c r="CO119" s="395"/>
      <c r="CP119" s="395"/>
      <c r="CQ119" s="395"/>
      <c r="CR119" s="395"/>
      <c r="CS119" s="395"/>
      <c r="CT119" s="395"/>
      <c r="CU119" s="395"/>
      <c r="CV119" s="395"/>
      <c r="CW119" s="395"/>
      <c r="CX119" s="395"/>
      <c r="CY119" s="395"/>
      <c r="CZ119" s="395"/>
      <c r="DA119" s="395"/>
      <c r="DB119" s="395"/>
      <c r="DC119" s="395"/>
      <c r="DD119" s="395"/>
      <c r="DE119" s="395"/>
      <c r="DF119" s="395"/>
      <c r="DG119" s="395"/>
      <c r="DH119" s="395"/>
      <c r="DI119" s="395"/>
      <c r="DJ119" s="395"/>
      <c r="DK119" s="395"/>
      <c r="DL119" s="395"/>
      <c r="DM119" s="395"/>
      <c r="DN119" s="395"/>
      <c r="DO119" s="395"/>
      <c r="DP119" s="395"/>
      <c r="DQ119" s="395"/>
      <c r="DR119" s="395"/>
      <c r="DS119" s="395"/>
      <c r="DT119" s="395"/>
      <c r="DU119" s="395"/>
      <c r="DV119" s="395"/>
      <c r="DW119" s="395"/>
      <c r="DX119" s="395"/>
      <c r="DY119" s="395"/>
      <c r="DZ119" s="395"/>
      <c r="EA119" s="395"/>
      <c r="EB119" s="395"/>
      <c r="EC119" s="395"/>
      <c r="ED119" s="395"/>
      <c r="EE119" s="395"/>
      <c r="EF119" s="395"/>
      <c r="EG119" s="395"/>
      <c r="EH119" s="395"/>
      <c r="EI119" s="395"/>
      <c r="EJ119" s="395"/>
      <c r="EK119" s="395"/>
      <c r="EL119" s="395"/>
      <c r="EM119" s="395"/>
      <c r="EN119" s="395"/>
      <c r="EO119" s="395"/>
      <c r="EP119" s="395"/>
      <c r="EQ119" s="395"/>
      <c r="ER119" s="395"/>
      <c r="ES119" s="395"/>
      <c r="ET119" s="395"/>
      <c r="EU119" s="395"/>
      <c r="EV119" s="395"/>
      <c r="EW119" s="395"/>
      <c r="EX119" s="395"/>
      <c r="EY119" s="395"/>
      <c r="EZ119" s="395"/>
      <c r="FA119" s="395"/>
      <c r="FB119" s="395"/>
      <c r="FC119" s="395"/>
      <c r="FD119" s="395"/>
      <c r="FE119" s="395"/>
      <c r="FF119" s="395"/>
      <c r="FG119" s="395"/>
      <c r="FH119" s="395"/>
      <c r="FI119" s="395"/>
      <c r="FJ119" s="395"/>
      <c r="FK119" s="395"/>
      <c r="FL119" s="395"/>
      <c r="FM119" s="395"/>
      <c r="FN119" s="395"/>
      <c r="FO119" s="395"/>
      <c r="FP119" s="395"/>
      <c r="FQ119" s="395"/>
      <c r="FR119" s="395"/>
      <c r="FS119" s="395"/>
      <c r="FT119" s="395"/>
      <c r="FU119" s="395"/>
      <c r="FV119" s="395"/>
      <c r="FW119" s="395"/>
      <c r="FX119" s="395"/>
      <c r="FY119" s="395"/>
      <c r="FZ119" s="395"/>
      <c r="GA119" s="395"/>
      <c r="GB119" s="395"/>
      <c r="GC119" s="395"/>
      <c r="GD119" s="395"/>
      <c r="GE119" s="395"/>
      <c r="GF119" s="395"/>
      <c r="GG119" s="395"/>
      <c r="GH119" s="395"/>
      <c r="GI119" s="395"/>
      <c r="GJ119" s="395"/>
      <c r="GK119" s="395"/>
      <c r="GL119" s="395"/>
      <c r="GM119" s="395"/>
      <c r="GN119" s="395"/>
      <c r="GO119" s="395"/>
      <c r="GP119" s="395"/>
      <c r="GQ119" s="395"/>
      <c r="GR119" s="395"/>
      <c r="GS119" s="395"/>
      <c r="GT119" s="395"/>
      <c r="GU119" s="395"/>
      <c r="GV119" s="395"/>
      <c r="GW119" s="395"/>
      <c r="GX119" s="395"/>
      <c r="GY119" s="395"/>
      <c r="GZ119" s="395"/>
      <c r="HA119" s="395"/>
      <c r="HB119" s="395"/>
      <c r="HC119" s="395"/>
      <c r="HD119" s="395"/>
      <c r="HE119" s="395"/>
      <c r="HF119" s="395"/>
      <c r="HG119" s="395"/>
      <c r="HH119" s="395"/>
      <c r="HI119" s="395"/>
      <c r="HJ119" s="395"/>
      <c r="HK119" s="395"/>
      <c r="HL119" s="395"/>
      <c r="HM119" s="395"/>
      <c r="HN119" s="395"/>
      <c r="HO119" s="395"/>
      <c r="HP119" s="395"/>
      <c r="HQ119" s="395"/>
      <c r="HR119" s="395"/>
    </row>
    <row r="120" spans="1:226" s="866" customFormat="1" ht="26.4" x14ac:dyDescent="0.25">
      <c r="A120" s="395"/>
      <c r="B120" s="3165"/>
      <c r="C120" s="1844" t="str">
        <f>CONCATENATE("Bathroom",IF(SI_IP_Units="IP"," (CFM)"," (L/s)"))&amp;"
(Assuming 1 Bathroom)"</f>
        <v>Bathroom (CFM)
(Assuming 1 Bathroom)</v>
      </c>
      <c r="D120" s="3383" t="str">
        <f>IFERROR(D118*D102,"-")</f>
        <v>-</v>
      </c>
      <c r="E120" s="3384"/>
      <c r="F120" s="3383" t="str">
        <f>IFERROR(F118*F102,"-")</f>
        <v>-</v>
      </c>
      <c r="G120" s="3384"/>
      <c r="H120" s="3383" t="str">
        <f>IFERROR(H118*H102,"-")</f>
        <v>-</v>
      </c>
      <c r="I120" s="3384"/>
      <c r="J120" s="3383" t="str">
        <f>IFERROR(J118*J102,"-")</f>
        <v>-</v>
      </c>
      <c r="K120" s="3384"/>
      <c r="L120" s="3383" t="str">
        <f>IFERROR(L118*L102,"-")</f>
        <v>-</v>
      </c>
      <c r="M120" s="3384"/>
      <c r="N120" s="3383" t="str">
        <f>IFERROR(N118*N102,"-")</f>
        <v>-</v>
      </c>
      <c r="O120" s="3384"/>
      <c r="P120" s="3383" t="str">
        <f>IFERROR(P118*P102,"-")</f>
        <v>-</v>
      </c>
      <c r="Q120" s="3384"/>
      <c r="R120" s="3383" t="str">
        <f>IFERROR(R118*R102,"-")</f>
        <v>-</v>
      </c>
      <c r="S120" s="3384"/>
      <c r="T120" s="3383" t="str">
        <f>IFERROR(T118*T102,"-")</f>
        <v>-</v>
      </c>
      <c r="U120" s="3384"/>
      <c r="V120" s="395"/>
      <c r="W120" s="395"/>
      <c r="X120" s="395"/>
      <c r="Y120" s="395"/>
      <c r="Z120" s="2142"/>
      <c r="AA120" s="395"/>
      <c r="AB120" s="395"/>
      <c r="AC120" s="395"/>
      <c r="AD120" s="395"/>
      <c r="AE120" s="395"/>
      <c r="AF120" s="395"/>
      <c r="AG120" s="395"/>
      <c r="AH120" s="395"/>
      <c r="AI120" s="395"/>
      <c r="AJ120" s="395"/>
      <c r="AK120" s="395"/>
      <c r="AL120" s="395"/>
      <c r="AM120" s="395"/>
      <c r="AN120" s="395"/>
      <c r="AO120" s="395"/>
      <c r="AP120" s="395"/>
      <c r="AQ120" s="395"/>
      <c r="AR120" s="395"/>
      <c r="AS120" s="395"/>
      <c r="AT120" s="395"/>
      <c r="AU120" s="395"/>
      <c r="AV120" s="395"/>
      <c r="AW120" s="395"/>
      <c r="AX120" s="395"/>
      <c r="AY120" s="395"/>
      <c r="AZ120" s="395"/>
      <c r="BA120" s="395"/>
      <c r="BB120" s="395"/>
      <c r="BC120" s="395"/>
      <c r="BD120" s="395"/>
      <c r="BE120" s="395"/>
      <c r="BF120" s="395"/>
      <c r="BG120" s="395"/>
      <c r="BH120" s="395"/>
      <c r="BI120" s="395"/>
      <c r="BJ120" s="395"/>
      <c r="BK120" s="395"/>
      <c r="BL120" s="395"/>
      <c r="BM120" s="395"/>
      <c r="BN120" s="395"/>
      <c r="BO120" s="395"/>
      <c r="BP120" s="395"/>
      <c r="BQ120" s="395"/>
      <c r="BR120" s="395"/>
      <c r="BS120" s="395"/>
      <c r="BT120" s="395"/>
      <c r="BU120" s="395"/>
      <c r="BV120" s="395"/>
      <c r="BW120" s="395"/>
      <c r="BX120" s="395"/>
      <c r="BY120" s="395"/>
      <c r="BZ120" s="395"/>
      <c r="CA120" s="395"/>
      <c r="CB120" s="395"/>
      <c r="CC120" s="395"/>
      <c r="CD120" s="395"/>
      <c r="CE120" s="395"/>
      <c r="CF120" s="395"/>
      <c r="CG120" s="395"/>
      <c r="CH120" s="395"/>
      <c r="CI120" s="395"/>
      <c r="CJ120" s="395"/>
      <c r="CK120" s="395"/>
      <c r="CL120" s="395"/>
      <c r="CM120" s="395"/>
      <c r="CN120" s="395"/>
      <c r="CO120" s="395"/>
      <c r="CP120" s="395"/>
      <c r="CQ120" s="395"/>
      <c r="CR120" s="395"/>
      <c r="CS120" s="395"/>
      <c r="CT120" s="395"/>
      <c r="CU120" s="395"/>
      <c r="CV120" s="395"/>
      <c r="CW120" s="395"/>
      <c r="CX120" s="395"/>
      <c r="CY120" s="395"/>
      <c r="CZ120" s="395"/>
      <c r="DA120" s="395"/>
      <c r="DB120" s="395"/>
      <c r="DC120" s="395"/>
      <c r="DD120" s="395"/>
      <c r="DE120" s="395"/>
      <c r="DF120" s="395"/>
      <c r="DG120" s="395"/>
      <c r="DH120" s="395"/>
      <c r="DI120" s="395"/>
      <c r="DJ120" s="395"/>
      <c r="DK120" s="395"/>
      <c r="DL120" s="395"/>
      <c r="DM120" s="395"/>
      <c r="DN120" s="395"/>
      <c r="DO120" s="395"/>
      <c r="DP120" s="395"/>
      <c r="DQ120" s="395"/>
      <c r="DR120" s="395"/>
      <c r="DS120" s="395"/>
      <c r="DT120" s="395"/>
      <c r="DU120" s="395"/>
      <c r="DV120" s="395"/>
      <c r="DW120" s="395"/>
      <c r="DX120" s="395"/>
      <c r="DY120" s="395"/>
      <c r="DZ120" s="395"/>
      <c r="EA120" s="395"/>
      <c r="EB120" s="395"/>
      <c r="EC120" s="395"/>
      <c r="ED120" s="395"/>
      <c r="EE120" s="395"/>
      <c r="EF120" s="395"/>
      <c r="EG120" s="395"/>
      <c r="EH120" s="395"/>
      <c r="EI120" s="395"/>
      <c r="EJ120" s="395"/>
      <c r="EK120" s="395"/>
      <c r="EL120" s="395"/>
      <c r="EM120" s="395"/>
      <c r="EN120" s="395"/>
      <c r="EO120" s="395"/>
      <c r="EP120" s="395"/>
      <c r="EQ120" s="395"/>
      <c r="ER120" s="395"/>
      <c r="ES120" s="395"/>
      <c r="ET120" s="395"/>
      <c r="EU120" s="395"/>
      <c r="EV120" s="395"/>
      <c r="EW120" s="395"/>
      <c r="EX120" s="395"/>
      <c r="EY120" s="395"/>
      <c r="EZ120" s="395"/>
      <c r="FA120" s="395"/>
      <c r="FB120" s="395"/>
      <c r="FC120" s="395"/>
      <c r="FD120" s="395"/>
      <c r="FE120" s="395"/>
      <c r="FF120" s="395"/>
      <c r="FG120" s="395"/>
      <c r="FH120" s="395"/>
      <c r="FI120" s="395"/>
      <c r="FJ120" s="395"/>
      <c r="FK120" s="395"/>
      <c r="FL120" s="395"/>
      <c r="FM120" s="395"/>
      <c r="FN120" s="395"/>
      <c r="FO120" s="395"/>
      <c r="FP120" s="395"/>
      <c r="FQ120" s="395"/>
      <c r="FR120" s="395"/>
      <c r="FS120" s="395"/>
      <c r="FT120" s="395"/>
      <c r="FU120" s="395"/>
      <c r="FV120" s="395"/>
      <c r="FW120" s="395"/>
      <c r="FX120" s="395"/>
      <c r="FY120" s="395"/>
      <c r="FZ120" s="395"/>
      <c r="GA120" s="395"/>
      <c r="GB120" s="395"/>
      <c r="GC120" s="395"/>
      <c r="GD120" s="395"/>
      <c r="GE120" s="395"/>
      <c r="GF120" s="395"/>
      <c r="GG120" s="395"/>
      <c r="GH120" s="395"/>
      <c r="GI120" s="395"/>
      <c r="GJ120" s="395"/>
      <c r="GK120" s="395"/>
      <c r="GL120" s="395"/>
      <c r="GM120" s="395"/>
      <c r="GN120" s="395"/>
      <c r="GO120" s="395"/>
      <c r="GP120" s="395"/>
      <c r="GQ120" s="395"/>
      <c r="GR120" s="395"/>
      <c r="GS120" s="395"/>
      <c r="GT120" s="395"/>
      <c r="GU120" s="395"/>
      <c r="GV120" s="395"/>
      <c r="GW120" s="395"/>
      <c r="GX120" s="395"/>
      <c r="GY120" s="395"/>
      <c r="GZ120" s="395"/>
      <c r="HA120" s="395"/>
      <c r="HB120" s="395"/>
      <c r="HC120" s="395"/>
      <c r="HD120" s="395"/>
      <c r="HE120" s="395"/>
      <c r="HF120" s="395"/>
      <c r="HG120" s="395"/>
      <c r="HH120" s="395"/>
      <c r="HI120" s="395"/>
      <c r="HJ120" s="395"/>
      <c r="HK120" s="395"/>
      <c r="HL120" s="395"/>
      <c r="HM120" s="395"/>
      <c r="HN120" s="395"/>
      <c r="HO120" s="395"/>
      <c r="HP120" s="395"/>
      <c r="HQ120" s="395"/>
      <c r="HR120" s="395"/>
    </row>
    <row r="121" spans="1:226" s="866" customFormat="1" ht="13.5" customHeight="1" x14ac:dyDescent="0.25">
      <c r="A121" s="395"/>
      <c r="B121" s="3417" t="s">
        <v>2570</v>
      </c>
      <c r="C121" s="3418"/>
      <c r="D121" s="3418"/>
      <c r="E121" s="3418"/>
      <c r="F121" s="3418"/>
      <c r="G121" s="3418"/>
      <c r="H121" s="3418"/>
      <c r="I121" s="3418"/>
      <c r="J121" s="3418"/>
      <c r="K121" s="3418"/>
      <c r="L121" s="3418"/>
      <c r="M121" s="3418"/>
      <c r="N121" s="3418"/>
      <c r="O121" s="3418"/>
      <c r="P121" s="3418"/>
      <c r="Q121" s="3418"/>
      <c r="R121" s="3418"/>
      <c r="S121" s="3418"/>
      <c r="T121" s="3418"/>
      <c r="U121" s="3419"/>
      <c r="V121" s="395"/>
      <c r="W121" s="395"/>
      <c r="X121" s="395"/>
      <c r="Y121" s="395"/>
      <c r="Z121" s="1597"/>
      <c r="AA121" s="395"/>
      <c r="AB121" s="395"/>
      <c r="AC121" s="395"/>
      <c r="AD121" s="395"/>
      <c r="AE121" s="395"/>
      <c r="AF121" s="395"/>
      <c r="AG121" s="395"/>
      <c r="AH121" s="395"/>
      <c r="AI121" s="395"/>
      <c r="AJ121" s="395"/>
      <c r="AK121" s="395"/>
      <c r="AL121" s="395"/>
      <c r="AM121" s="395"/>
      <c r="AN121" s="395"/>
      <c r="AO121" s="395"/>
      <c r="AP121" s="395"/>
      <c r="AQ121" s="395"/>
      <c r="AR121" s="395"/>
      <c r="AS121" s="395"/>
      <c r="AT121" s="395"/>
      <c r="AU121" s="395"/>
      <c r="AV121" s="395"/>
      <c r="AW121" s="395"/>
      <c r="AX121" s="395"/>
      <c r="AY121" s="395"/>
      <c r="AZ121" s="395"/>
      <c r="BA121" s="395"/>
      <c r="BB121" s="395"/>
      <c r="BC121" s="395"/>
      <c r="BD121" s="395"/>
      <c r="BE121" s="395"/>
      <c r="BF121" s="395"/>
      <c r="BG121" s="395"/>
      <c r="BH121" s="395"/>
      <c r="BI121" s="395"/>
      <c r="BJ121" s="395"/>
      <c r="BK121" s="395"/>
      <c r="BL121" s="395"/>
      <c r="BM121" s="395"/>
      <c r="BN121" s="395"/>
      <c r="BO121" s="395"/>
      <c r="BP121" s="395"/>
      <c r="BQ121" s="395"/>
      <c r="BR121" s="395"/>
      <c r="BS121" s="395"/>
      <c r="BT121" s="395"/>
      <c r="BU121" s="395"/>
      <c r="BV121" s="395"/>
      <c r="BW121" s="395"/>
      <c r="BX121" s="395"/>
      <c r="BY121" s="395"/>
      <c r="BZ121" s="395"/>
      <c r="CA121" s="395"/>
      <c r="CB121" s="395"/>
      <c r="CC121" s="395"/>
      <c r="CD121" s="395"/>
      <c r="CE121" s="395"/>
      <c r="CF121" s="395"/>
      <c r="CG121" s="395"/>
      <c r="CH121" s="395"/>
      <c r="CI121" s="395"/>
      <c r="CJ121" s="395"/>
      <c r="CK121" s="395"/>
      <c r="CL121" s="395"/>
      <c r="CM121" s="395"/>
      <c r="CN121" s="395"/>
      <c r="CO121" s="395"/>
      <c r="CP121" s="395"/>
      <c r="CQ121" s="395"/>
      <c r="CR121" s="395"/>
      <c r="CS121" s="395"/>
      <c r="CT121" s="395"/>
      <c r="CU121" s="395"/>
      <c r="CV121" s="395"/>
      <c r="CW121" s="395"/>
      <c r="CX121" s="395"/>
      <c r="CY121" s="395"/>
      <c r="CZ121" s="395"/>
      <c r="DA121" s="395"/>
      <c r="DB121" s="395"/>
      <c r="DC121" s="395"/>
      <c r="DD121" s="395"/>
      <c r="DE121" s="395"/>
      <c r="DF121" s="395"/>
      <c r="DG121" s="395"/>
      <c r="DH121" s="395"/>
      <c r="DI121" s="395"/>
      <c r="DJ121" s="395"/>
      <c r="DK121" s="395"/>
      <c r="DL121" s="395"/>
      <c r="DM121" s="395"/>
      <c r="DN121" s="395"/>
      <c r="DO121" s="395"/>
      <c r="DP121" s="395"/>
      <c r="DQ121" s="395"/>
      <c r="DR121" s="395"/>
      <c r="DS121" s="395"/>
      <c r="DT121" s="395"/>
      <c r="DU121" s="395"/>
      <c r="DV121" s="395"/>
      <c r="DW121" s="395"/>
      <c r="DX121" s="395"/>
      <c r="DY121" s="395"/>
      <c r="DZ121" s="395"/>
      <c r="EA121" s="395"/>
      <c r="EB121" s="395"/>
      <c r="EC121" s="395"/>
      <c r="ED121" s="395"/>
      <c r="EE121" s="395"/>
      <c r="EF121" s="395"/>
      <c r="EG121" s="395"/>
      <c r="EH121" s="395"/>
      <c r="EI121" s="395"/>
      <c r="EJ121" s="395"/>
      <c r="EK121" s="395"/>
      <c r="EL121" s="395"/>
      <c r="EM121" s="395"/>
      <c r="EN121" s="395"/>
      <c r="EO121" s="395"/>
      <c r="EP121" s="395"/>
      <c r="EQ121" s="395"/>
      <c r="ER121" s="395"/>
      <c r="ES121" s="395"/>
      <c r="ET121" s="395"/>
      <c r="EU121" s="395"/>
      <c r="EV121" s="395"/>
      <c r="EW121" s="395"/>
      <c r="EX121" s="395"/>
      <c r="EY121" s="395"/>
      <c r="EZ121" s="395"/>
      <c r="FA121" s="395"/>
      <c r="FB121" s="395"/>
      <c r="FC121" s="395"/>
      <c r="FD121" s="395"/>
      <c r="FE121" s="395"/>
      <c r="FF121" s="395"/>
      <c r="FG121" s="395"/>
      <c r="FH121" s="395"/>
      <c r="FI121" s="395"/>
      <c r="FJ121" s="395"/>
      <c r="FK121" s="395"/>
      <c r="FL121" s="395"/>
      <c r="FM121" s="395"/>
      <c r="FN121" s="395"/>
      <c r="FO121" s="395"/>
      <c r="FP121" s="395"/>
      <c r="FQ121" s="395"/>
      <c r="FR121" s="395"/>
      <c r="FS121" s="395"/>
      <c r="FT121" s="395"/>
      <c r="FU121" s="395"/>
      <c r="FV121" s="395"/>
      <c r="FW121" s="395"/>
      <c r="FX121" s="395"/>
      <c r="FY121" s="395"/>
      <c r="FZ121" s="395"/>
      <c r="GA121" s="395"/>
      <c r="GB121" s="395"/>
      <c r="GC121" s="395"/>
      <c r="GD121" s="395"/>
      <c r="GE121" s="395"/>
      <c r="GF121" s="395"/>
      <c r="GG121" s="395"/>
      <c r="GH121" s="395"/>
      <c r="GI121" s="395"/>
      <c r="GJ121" s="395"/>
      <c r="GK121" s="395"/>
      <c r="GL121" s="395"/>
      <c r="GM121" s="395"/>
      <c r="GN121" s="395"/>
      <c r="GO121" s="395"/>
      <c r="GP121" s="395"/>
      <c r="GQ121" s="395"/>
      <c r="GR121" s="395"/>
      <c r="GS121" s="395"/>
      <c r="GT121" s="395"/>
      <c r="GU121" s="395"/>
      <c r="GV121" s="395"/>
      <c r="GW121" s="395"/>
      <c r="GX121" s="395"/>
      <c r="GY121" s="395"/>
      <c r="GZ121" s="395"/>
      <c r="HA121" s="395"/>
      <c r="HB121" s="395"/>
      <c r="HC121" s="395"/>
      <c r="HD121" s="395"/>
      <c r="HE121" s="395"/>
      <c r="HF121" s="395"/>
      <c r="HG121" s="395"/>
      <c r="HH121" s="395"/>
      <c r="HI121" s="395"/>
      <c r="HJ121" s="395"/>
      <c r="HK121" s="395"/>
      <c r="HL121" s="395"/>
      <c r="HM121" s="395"/>
      <c r="HN121" s="395"/>
      <c r="HO121" s="395"/>
      <c r="HP121" s="395"/>
      <c r="HQ121" s="395"/>
      <c r="HR121" s="395"/>
    </row>
    <row r="122" spans="1:226" s="866" customFormat="1" x14ac:dyDescent="0.25">
      <c r="A122" s="395"/>
      <c r="B122" s="3393" t="s">
        <v>2572</v>
      </c>
      <c r="C122" s="3394"/>
      <c r="D122" s="3385"/>
      <c r="E122" s="3386"/>
      <c r="F122" s="3385"/>
      <c r="G122" s="3386"/>
      <c r="H122" s="3385"/>
      <c r="I122" s="3386"/>
      <c r="J122" s="3385"/>
      <c r="K122" s="3386"/>
      <c r="L122" s="3385"/>
      <c r="M122" s="3386"/>
      <c r="N122" s="3385"/>
      <c r="O122" s="3386"/>
      <c r="P122" s="3385"/>
      <c r="Q122" s="3386"/>
      <c r="R122" s="3385"/>
      <c r="S122" s="3386"/>
      <c r="T122" s="3385"/>
      <c r="U122" s="3386"/>
      <c r="V122" s="395"/>
      <c r="W122" s="395"/>
      <c r="X122" s="395"/>
      <c r="Y122" s="395"/>
      <c r="Z122" s="2142"/>
      <c r="AA122" s="395"/>
      <c r="AB122" s="395"/>
      <c r="AC122" s="395"/>
      <c r="AD122" s="395"/>
      <c r="AE122" s="395"/>
      <c r="AF122" s="395"/>
      <c r="AG122" s="395"/>
      <c r="AH122" s="395"/>
      <c r="AI122" s="395"/>
      <c r="AJ122" s="395"/>
      <c r="AK122" s="395"/>
      <c r="AL122" s="395"/>
      <c r="AM122" s="395"/>
      <c r="AN122" s="395"/>
      <c r="AO122" s="395"/>
      <c r="AP122" s="395"/>
      <c r="AQ122" s="395"/>
      <c r="AR122" s="395"/>
      <c r="AS122" s="395"/>
      <c r="AT122" s="395"/>
      <c r="AU122" s="395"/>
      <c r="AV122" s="395"/>
      <c r="AW122" s="395"/>
      <c r="AX122" s="395"/>
      <c r="AY122" s="395"/>
      <c r="AZ122" s="395"/>
      <c r="BA122" s="395"/>
      <c r="BB122" s="395"/>
      <c r="BC122" s="395"/>
      <c r="BD122" s="395"/>
      <c r="BE122" s="395"/>
      <c r="BF122" s="395"/>
      <c r="BG122" s="395"/>
      <c r="BH122" s="395"/>
      <c r="BI122" s="395"/>
      <c r="BJ122" s="395"/>
      <c r="BK122" s="395"/>
      <c r="BL122" s="395"/>
      <c r="BM122" s="395"/>
      <c r="BN122" s="395"/>
      <c r="BO122" s="395"/>
      <c r="BP122" s="395"/>
      <c r="BQ122" s="395"/>
      <c r="BR122" s="395"/>
      <c r="BS122" s="395"/>
      <c r="BT122" s="395"/>
      <c r="BU122" s="395"/>
      <c r="BV122" s="395"/>
      <c r="BW122" s="395"/>
      <c r="BX122" s="395"/>
      <c r="BY122" s="395"/>
      <c r="BZ122" s="395"/>
      <c r="CA122" s="395"/>
      <c r="CB122" s="395"/>
      <c r="CC122" s="395"/>
      <c r="CD122" s="395"/>
      <c r="CE122" s="395"/>
      <c r="CF122" s="395"/>
      <c r="CG122" s="395"/>
      <c r="CH122" s="395"/>
      <c r="CI122" s="395"/>
      <c r="CJ122" s="395"/>
      <c r="CK122" s="395"/>
      <c r="CL122" s="395"/>
      <c r="CM122" s="395"/>
      <c r="CN122" s="395"/>
      <c r="CO122" s="395"/>
      <c r="CP122" s="395"/>
      <c r="CQ122" s="395"/>
      <c r="CR122" s="395"/>
      <c r="CS122" s="395"/>
      <c r="CT122" s="395"/>
      <c r="CU122" s="395"/>
      <c r="CV122" s="395"/>
      <c r="CW122" s="395"/>
      <c r="CX122" s="395"/>
      <c r="CY122" s="395"/>
      <c r="CZ122" s="395"/>
      <c r="DA122" s="395"/>
      <c r="DB122" s="395"/>
      <c r="DC122" s="395"/>
      <c r="DD122" s="395"/>
      <c r="DE122" s="395"/>
      <c r="DF122" s="395"/>
      <c r="DG122" s="395"/>
      <c r="DH122" s="395"/>
      <c r="DI122" s="395"/>
      <c r="DJ122" s="395"/>
      <c r="DK122" s="395"/>
      <c r="DL122" s="395"/>
      <c r="DM122" s="395"/>
      <c r="DN122" s="395"/>
      <c r="DO122" s="395"/>
      <c r="DP122" s="395"/>
      <c r="DQ122" s="395"/>
      <c r="DR122" s="395"/>
      <c r="DS122" s="395"/>
      <c r="DT122" s="395"/>
      <c r="DU122" s="395"/>
      <c r="DV122" s="395"/>
      <c r="DW122" s="395"/>
      <c r="DX122" s="395"/>
      <c r="DY122" s="395"/>
      <c r="DZ122" s="395"/>
      <c r="EA122" s="395"/>
      <c r="EB122" s="395"/>
      <c r="EC122" s="395"/>
      <c r="ED122" s="395"/>
      <c r="EE122" s="395"/>
      <c r="EF122" s="395"/>
      <c r="EG122" s="395"/>
      <c r="EH122" s="395"/>
      <c r="EI122" s="395"/>
      <c r="EJ122" s="395"/>
      <c r="EK122" s="395"/>
      <c r="EL122" s="395"/>
      <c r="EM122" s="395"/>
      <c r="EN122" s="395"/>
      <c r="EO122" s="395"/>
      <c r="EP122" s="395"/>
      <c r="EQ122" s="395"/>
      <c r="ER122" s="395"/>
      <c r="ES122" s="395"/>
      <c r="ET122" s="395"/>
      <c r="EU122" s="395"/>
      <c r="EV122" s="395"/>
      <c r="EW122" s="395"/>
      <c r="EX122" s="395"/>
      <c r="EY122" s="395"/>
      <c r="EZ122" s="395"/>
      <c r="FA122" s="395"/>
      <c r="FB122" s="395"/>
      <c r="FC122" s="395"/>
      <c r="FD122" s="395"/>
      <c r="FE122" s="395"/>
      <c r="FF122" s="395"/>
      <c r="FG122" s="395"/>
      <c r="FH122" s="395"/>
      <c r="FI122" s="395"/>
      <c r="FJ122" s="395"/>
      <c r="FK122" s="395"/>
      <c r="FL122" s="395"/>
      <c r="FM122" s="395"/>
      <c r="FN122" s="395"/>
      <c r="FO122" s="395"/>
      <c r="FP122" s="395"/>
      <c r="FQ122" s="395"/>
      <c r="FR122" s="395"/>
      <c r="FS122" s="395"/>
      <c r="FT122" s="395"/>
      <c r="FU122" s="395"/>
      <c r="FV122" s="395"/>
      <c r="FW122" s="395"/>
      <c r="FX122" s="395"/>
      <c r="FY122" s="395"/>
      <c r="FZ122" s="395"/>
      <c r="GA122" s="395"/>
      <c r="GB122" s="395"/>
      <c r="GC122" s="395"/>
      <c r="GD122" s="395"/>
      <c r="GE122" s="395"/>
      <c r="GF122" s="395"/>
      <c r="GG122" s="395"/>
      <c r="GH122" s="395"/>
      <c r="GI122" s="395"/>
      <c r="GJ122" s="395"/>
      <c r="GK122" s="395"/>
      <c r="GL122" s="395"/>
      <c r="GM122" s="395"/>
      <c r="GN122" s="395"/>
      <c r="GO122" s="395"/>
      <c r="GP122" s="395"/>
      <c r="GQ122" s="395"/>
      <c r="GR122" s="395"/>
      <c r="GS122" s="395"/>
      <c r="GT122" s="395"/>
      <c r="GU122" s="395"/>
      <c r="GV122" s="395"/>
      <c r="GW122" s="395"/>
      <c r="GX122" s="395"/>
      <c r="GY122" s="395"/>
      <c r="GZ122" s="395"/>
      <c r="HA122" s="395"/>
      <c r="HB122" s="395"/>
      <c r="HC122" s="395"/>
      <c r="HD122" s="395"/>
      <c r="HE122" s="395"/>
      <c r="HF122" s="395"/>
      <c r="HG122" s="395"/>
      <c r="HH122" s="395"/>
      <c r="HI122" s="395"/>
      <c r="HJ122" s="395"/>
      <c r="HK122" s="395"/>
      <c r="HL122" s="395"/>
      <c r="HM122" s="395"/>
      <c r="HN122" s="395"/>
      <c r="HO122" s="395"/>
      <c r="HP122" s="395"/>
      <c r="HQ122" s="395"/>
      <c r="HR122" s="395"/>
    </row>
    <row r="123" spans="1:226" s="866" customFormat="1" ht="27.75" customHeight="1" x14ac:dyDescent="0.25">
      <c r="A123" s="395"/>
      <c r="B123" s="3393" t="s">
        <v>2573</v>
      </c>
      <c r="C123" s="3394"/>
      <c r="D123" s="3385"/>
      <c r="E123" s="3386"/>
      <c r="F123" s="3385"/>
      <c r="G123" s="3386"/>
      <c r="H123" s="3385"/>
      <c r="I123" s="3386"/>
      <c r="J123" s="3385"/>
      <c r="K123" s="3386"/>
      <c r="L123" s="3385"/>
      <c r="M123" s="3386"/>
      <c r="N123" s="3385"/>
      <c r="O123" s="3386"/>
      <c r="P123" s="3385"/>
      <c r="Q123" s="3386"/>
      <c r="R123" s="3385"/>
      <c r="S123" s="3386"/>
      <c r="T123" s="3385"/>
      <c r="U123" s="3386"/>
      <c r="V123" s="395"/>
      <c r="W123" s="395"/>
      <c r="X123" s="395"/>
      <c r="Y123" s="395"/>
      <c r="Z123" s="2142"/>
      <c r="AA123" s="395"/>
      <c r="AB123" s="395"/>
      <c r="AC123" s="395"/>
      <c r="AD123" s="395"/>
      <c r="AE123" s="395"/>
      <c r="AF123" s="395"/>
      <c r="AG123" s="395"/>
      <c r="AH123" s="395"/>
      <c r="AI123" s="395"/>
      <c r="AJ123" s="395"/>
      <c r="AK123" s="395"/>
      <c r="AL123" s="395"/>
      <c r="AM123" s="395"/>
      <c r="AN123" s="395"/>
      <c r="AO123" s="395"/>
      <c r="AP123" s="395"/>
      <c r="AQ123" s="395"/>
      <c r="AR123" s="395"/>
      <c r="AS123" s="395"/>
      <c r="AT123" s="395"/>
      <c r="AU123" s="395"/>
      <c r="AV123" s="395"/>
      <c r="AW123" s="395"/>
      <c r="AX123" s="395"/>
      <c r="AY123" s="395"/>
      <c r="AZ123" s="395"/>
      <c r="BA123" s="395"/>
      <c r="BB123" s="395"/>
      <c r="BC123" s="395"/>
      <c r="BD123" s="395"/>
      <c r="BE123" s="395"/>
      <c r="BF123" s="395"/>
      <c r="BG123" s="395"/>
      <c r="BH123" s="395"/>
      <c r="BI123" s="395"/>
      <c r="BJ123" s="395"/>
      <c r="BK123" s="395"/>
      <c r="BL123" s="395"/>
      <c r="BM123" s="395"/>
      <c r="BN123" s="395"/>
      <c r="BO123" s="395"/>
      <c r="BP123" s="395"/>
      <c r="BQ123" s="395"/>
      <c r="BR123" s="395"/>
      <c r="BS123" s="395"/>
      <c r="BT123" s="395"/>
      <c r="BU123" s="395"/>
      <c r="BV123" s="395"/>
      <c r="BW123" s="395"/>
      <c r="BX123" s="395"/>
      <c r="BY123" s="395"/>
      <c r="BZ123" s="395"/>
      <c r="CA123" s="395"/>
      <c r="CB123" s="395"/>
      <c r="CC123" s="395"/>
      <c r="CD123" s="395"/>
      <c r="CE123" s="395"/>
      <c r="CF123" s="395"/>
      <c r="CG123" s="395"/>
      <c r="CH123" s="395"/>
      <c r="CI123" s="395"/>
      <c r="CJ123" s="395"/>
      <c r="CK123" s="395"/>
      <c r="CL123" s="395"/>
      <c r="CM123" s="395"/>
      <c r="CN123" s="395"/>
      <c r="CO123" s="395"/>
      <c r="CP123" s="395"/>
      <c r="CQ123" s="395"/>
      <c r="CR123" s="395"/>
      <c r="CS123" s="395"/>
      <c r="CT123" s="395"/>
      <c r="CU123" s="395"/>
      <c r="CV123" s="395"/>
      <c r="CW123" s="395"/>
      <c r="CX123" s="395"/>
      <c r="CY123" s="395"/>
      <c r="CZ123" s="395"/>
      <c r="DA123" s="395"/>
      <c r="DB123" s="395"/>
      <c r="DC123" s="395"/>
      <c r="DD123" s="395"/>
      <c r="DE123" s="395"/>
      <c r="DF123" s="395"/>
      <c r="DG123" s="395"/>
      <c r="DH123" s="395"/>
      <c r="DI123" s="395"/>
      <c r="DJ123" s="395"/>
      <c r="DK123" s="395"/>
      <c r="DL123" s="395"/>
      <c r="DM123" s="395"/>
      <c r="DN123" s="395"/>
      <c r="DO123" s="395"/>
      <c r="DP123" s="395"/>
      <c r="DQ123" s="395"/>
      <c r="DR123" s="395"/>
      <c r="DS123" s="395"/>
      <c r="DT123" s="395"/>
      <c r="DU123" s="395"/>
      <c r="DV123" s="395"/>
      <c r="DW123" s="395"/>
      <c r="DX123" s="395"/>
      <c r="DY123" s="395"/>
      <c r="DZ123" s="395"/>
      <c r="EA123" s="395"/>
      <c r="EB123" s="395"/>
      <c r="EC123" s="395"/>
      <c r="ED123" s="395"/>
      <c r="EE123" s="395"/>
      <c r="EF123" s="395"/>
      <c r="EG123" s="395"/>
      <c r="EH123" s="395"/>
      <c r="EI123" s="395"/>
      <c r="EJ123" s="395"/>
      <c r="EK123" s="395"/>
      <c r="EL123" s="395"/>
      <c r="EM123" s="395"/>
      <c r="EN123" s="395"/>
      <c r="EO123" s="395"/>
      <c r="EP123" s="395"/>
      <c r="EQ123" s="395"/>
      <c r="ER123" s="395"/>
      <c r="ES123" s="395"/>
      <c r="ET123" s="395"/>
      <c r="EU123" s="395"/>
      <c r="EV123" s="395"/>
      <c r="EW123" s="395"/>
      <c r="EX123" s="395"/>
      <c r="EY123" s="395"/>
      <c r="EZ123" s="395"/>
      <c r="FA123" s="395"/>
      <c r="FB123" s="395"/>
      <c r="FC123" s="395"/>
      <c r="FD123" s="395"/>
      <c r="FE123" s="395"/>
      <c r="FF123" s="395"/>
      <c r="FG123" s="395"/>
      <c r="FH123" s="395"/>
      <c r="FI123" s="395"/>
      <c r="FJ123" s="395"/>
      <c r="FK123" s="395"/>
      <c r="FL123" s="395"/>
      <c r="FM123" s="395"/>
      <c r="FN123" s="395"/>
      <c r="FO123" s="395"/>
      <c r="FP123" s="395"/>
      <c r="FQ123" s="395"/>
      <c r="FR123" s="395"/>
      <c r="FS123" s="395"/>
      <c r="FT123" s="395"/>
      <c r="FU123" s="395"/>
      <c r="FV123" s="395"/>
      <c r="FW123" s="395"/>
      <c r="FX123" s="395"/>
      <c r="FY123" s="395"/>
      <c r="FZ123" s="395"/>
      <c r="GA123" s="395"/>
      <c r="GB123" s="395"/>
      <c r="GC123" s="395"/>
      <c r="GD123" s="395"/>
      <c r="GE123" s="395"/>
      <c r="GF123" s="395"/>
      <c r="GG123" s="395"/>
      <c r="GH123" s="395"/>
      <c r="GI123" s="395"/>
      <c r="GJ123" s="395"/>
      <c r="GK123" s="395"/>
      <c r="GL123" s="395"/>
      <c r="GM123" s="395"/>
      <c r="GN123" s="395"/>
      <c r="GO123" s="395"/>
      <c r="GP123" s="395"/>
      <c r="GQ123" s="395"/>
      <c r="GR123" s="395"/>
      <c r="GS123" s="395"/>
      <c r="GT123" s="395"/>
      <c r="GU123" s="395"/>
      <c r="GV123" s="395"/>
      <c r="GW123" s="395"/>
      <c r="GX123" s="395"/>
      <c r="GY123" s="395"/>
      <c r="GZ123" s="395"/>
      <c r="HA123" s="395"/>
      <c r="HB123" s="395"/>
      <c r="HC123" s="395"/>
      <c r="HD123" s="395"/>
      <c r="HE123" s="395"/>
      <c r="HF123" s="395"/>
      <c r="HG123" s="395"/>
      <c r="HH123" s="395"/>
      <c r="HI123" s="395"/>
      <c r="HJ123" s="395"/>
      <c r="HK123" s="395"/>
      <c r="HL123" s="395"/>
      <c r="HM123" s="395"/>
      <c r="HN123" s="395"/>
      <c r="HO123" s="395"/>
      <c r="HP123" s="395"/>
      <c r="HQ123" s="395"/>
      <c r="HR123" s="395"/>
    </row>
    <row r="124" spans="1:226" s="866" customFormat="1" ht="27" customHeight="1" x14ac:dyDescent="0.25">
      <c r="A124" s="395"/>
      <c r="B124" s="3393" t="s">
        <v>2680</v>
      </c>
      <c r="C124" s="3394"/>
      <c r="D124" s="3387" t="str">
        <f t="shared" ref="D124:F124" si="25">IF(OR(D122="Trickle Vent",D122="Natural Ventilation"),"N/A","")</f>
        <v/>
      </c>
      <c r="E124" s="3388"/>
      <c r="F124" s="3387" t="str">
        <f t="shared" si="25"/>
        <v/>
      </c>
      <c r="G124" s="3388"/>
      <c r="H124" s="3387" t="str">
        <f t="shared" ref="H124" si="26">IF(OR(H122="Trickle Vent",H122="Natural Ventilation"),"N/A","")</f>
        <v/>
      </c>
      <c r="I124" s="3388"/>
      <c r="J124" s="3387" t="str">
        <f t="shared" ref="J124" si="27">IF(OR(J122="Trickle Vent",J122="Natural Ventilation"),"N/A","")</f>
        <v/>
      </c>
      <c r="K124" s="3388"/>
      <c r="L124" s="3387" t="str">
        <f t="shared" ref="L124" si="28">IF(OR(L122="Trickle Vent",L122="Natural Ventilation"),"N/A","")</f>
        <v/>
      </c>
      <c r="M124" s="3388"/>
      <c r="N124" s="3387" t="str">
        <f t="shared" ref="N124" si="29">IF(OR(N122="Trickle Vent",N122="Natural Ventilation"),"N/A","")</f>
        <v/>
      </c>
      <c r="O124" s="3388"/>
      <c r="P124" s="3387" t="str">
        <f t="shared" ref="P124" si="30">IF(OR(P122="Trickle Vent",P122="Natural Ventilation"),"N/A","")</f>
        <v/>
      </c>
      <c r="Q124" s="3388"/>
      <c r="R124" s="3387" t="str">
        <f t="shared" ref="R124" si="31">IF(OR(R122="Trickle Vent",R122="Natural Ventilation"),"N/A","")</f>
        <v/>
      </c>
      <c r="S124" s="3388"/>
      <c r="T124" s="3387" t="str">
        <f t="shared" ref="T124" si="32">IF(OR(T122="Trickle Vent",T122="Natural Ventilation"),"N/A","")</f>
        <v/>
      </c>
      <c r="U124" s="3388"/>
      <c r="V124" s="395"/>
      <c r="W124" s="395"/>
      <c r="X124" s="395"/>
      <c r="Y124" s="395"/>
      <c r="Z124" s="2142"/>
      <c r="AA124" s="395"/>
      <c r="AB124" s="395"/>
      <c r="AC124" s="395"/>
      <c r="AD124" s="395"/>
      <c r="AE124" s="395"/>
      <c r="AF124" s="395"/>
      <c r="AG124" s="395"/>
      <c r="AH124" s="395"/>
      <c r="AI124" s="395"/>
      <c r="AJ124" s="395"/>
      <c r="AK124" s="395"/>
      <c r="AL124" s="395"/>
      <c r="AM124" s="395"/>
      <c r="AN124" s="395"/>
      <c r="AO124" s="395"/>
      <c r="AP124" s="395"/>
      <c r="AQ124" s="395"/>
      <c r="AR124" s="395"/>
      <c r="AS124" s="395"/>
      <c r="AT124" s="395"/>
      <c r="AU124" s="395"/>
      <c r="AV124" s="395"/>
      <c r="AW124" s="395"/>
      <c r="AX124" s="395"/>
      <c r="AY124" s="395"/>
      <c r="AZ124" s="395"/>
      <c r="BA124" s="395"/>
      <c r="BB124" s="395"/>
      <c r="BC124" s="395"/>
      <c r="BD124" s="395"/>
      <c r="BE124" s="395"/>
      <c r="BF124" s="395"/>
      <c r="BG124" s="395"/>
      <c r="BH124" s="395"/>
      <c r="BI124" s="395"/>
      <c r="BJ124" s="395"/>
      <c r="BK124" s="395"/>
      <c r="BL124" s="395"/>
      <c r="BM124" s="395"/>
      <c r="BN124" s="395"/>
      <c r="BO124" s="395"/>
      <c r="BP124" s="395"/>
      <c r="BQ124" s="395"/>
      <c r="BR124" s="395"/>
      <c r="BS124" s="395"/>
      <c r="BT124" s="395"/>
      <c r="BU124" s="395"/>
      <c r="BV124" s="395"/>
      <c r="BW124" s="395"/>
      <c r="BX124" s="395"/>
      <c r="BY124" s="395"/>
      <c r="BZ124" s="395"/>
      <c r="CA124" s="395"/>
      <c r="CB124" s="395"/>
      <c r="CC124" s="395"/>
      <c r="CD124" s="395"/>
      <c r="CE124" s="395"/>
      <c r="CF124" s="395"/>
      <c r="CG124" s="395"/>
      <c r="CH124" s="395"/>
      <c r="CI124" s="395"/>
      <c r="CJ124" s="395"/>
      <c r="CK124" s="395"/>
      <c r="CL124" s="395"/>
      <c r="CM124" s="395"/>
      <c r="CN124" s="395"/>
      <c r="CO124" s="395"/>
      <c r="CP124" s="395"/>
      <c r="CQ124" s="395"/>
      <c r="CR124" s="395"/>
      <c r="CS124" s="395"/>
      <c r="CT124" s="395"/>
      <c r="CU124" s="395"/>
      <c r="CV124" s="395"/>
      <c r="CW124" s="395"/>
      <c r="CX124" s="395"/>
      <c r="CY124" s="395"/>
      <c r="CZ124" s="395"/>
      <c r="DA124" s="395"/>
      <c r="DB124" s="395"/>
      <c r="DC124" s="395"/>
      <c r="DD124" s="395"/>
      <c r="DE124" s="395"/>
      <c r="DF124" s="395"/>
      <c r="DG124" s="395"/>
      <c r="DH124" s="395"/>
      <c r="DI124" s="395"/>
      <c r="DJ124" s="395"/>
      <c r="DK124" s="395"/>
      <c r="DL124" s="395"/>
      <c r="DM124" s="395"/>
      <c r="DN124" s="395"/>
      <c r="DO124" s="395"/>
      <c r="DP124" s="395"/>
      <c r="DQ124" s="395"/>
      <c r="DR124" s="395"/>
      <c r="DS124" s="395"/>
      <c r="DT124" s="395"/>
      <c r="DU124" s="395"/>
      <c r="DV124" s="395"/>
      <c r="DW124" s="395"/>
      <c r="DX124" s="395"/>
      <c r="DY124" s="395"/>
      <c r="DZ124" s="395"/>
      <c r="EA124" s="395"/>
      <c r="EB124" s="395"/>
      <c r="EC124" s="395"/>
      <c r="ED124" s="395"/>
      <c r="EE124" s="395"/>
      <c r="EF124" s="395"/>
      <c r="EG124" s="395"/>
      <c r="EH124" s="395"/>
      <c r="EI124" s="395"/>
      <c r="EJ124" s="395"/>
      <c r="EK124" s="395"/>
      <c r="EL124" s="395"/>
      <c r="EM124" s="395"/>
      <c r="EN124" s="395"/>
      <c r="EO124" s="395"/>
      <c r="EP124" s="395"/>
      <c r="EQ124" s="395"/>
      <c r="ER124" s="395"/>
      <c r="ES124" s="395"/>
      <c r="ET124" s="395"/>
      <c r="EU124" s="395"/>
      <c r="EV124" s="395"/>
      <c r="EW124" s="395"/>
      <c r="EX124" s="395"/>
      <c r="EY124" s="395"/>
      <c r="EZ124" s="395"/>
      <c r="FA124" s="395"/>
      <c r="FB124" s="395"/>
      <c r="FC124" s="395"/>
      <c r="FD124" s="395"/>
      <c r="FE124" s="395"/>
      <c r="FF124" s="395"/>
      <c r="FG124" s="395"/>
      <c r="FH124" s="395"/>
      <c r="FI124" s="395"/>
      <c r="FJ124" s="395"/>
      <c r="FK124" s="395"/>
      <c r="FL124" s="395"/>
      <c r="FM124" s="395"/>
      <c r="FN124" s="395"/>
      <c r="FO124" s="395"/>
      <c r="FP124" s="395"/>
      <c r="FQ124" s="395"/>
      <c r="FR124" s="395"/>
      <c r="FS124" s="395"/>
      <c r="FT124" s="395"/>
      <c r="FU124" s="395"/>
      <c r="FV124" s="395"/>
      <c r="FW124" s="395"/>
      <c r="FX124" s="395"/>
      <c r="FY124" s="395"/>
      <c r="FZ124" s="395"/>
      <c r="GA124" s="395"/>
      <c r="GB124" s="395"/>
      <c r="GC124" s="395"/>
      <c r="GD124" s="395"/>
      <c r="GE124" s="395"/>
      <c r="GF124" s="395"/>
      <c r="GG124" s="395"/>
      <c r="GH124" s="395"/>
      <c r="GI124" s="395"/>
      <c r="GJ124" s="395"/>
      <c r="GK124" s="395"/>
      <c r="GL124" s="395"/>
      <c r="GM124" s="395"/>
      <c r="GN124" s="395"/>
      <c r="GO124" s="395"/>
      <c r="GP124" s="395"/>
      <c r="GQ124" s="395"/>
      <c r="GR124" s="395"/>
      <c r="GS124" s="395"/>
      <c r="GT124" s="395"/>
      <c r="GU124" s="395"/>
      <c r="GV124" s="395"/>
      <c r="GW124" s="395"/>
      <c r="GX124" s="395"/>
      <c r="GY124" s="395"/>
      <c r="GZ124" s="395"/>
      <c r="HA124" s="395"/>
      <c r="HB124" s="395"/>
      <c r="HC124" s="395"/>
      <c r="HD124" s="395"/>
      <c r="HE124" s="395"/>
      <c r="HF124" s="395"/>
      <c r="HG124" s="395"/>
      <c r="HH124" s="395"/>
      <c r="HI124" s="395"/>
      <c r="HJ124" s="395"/>
      <c r="HK124" s="395"/>
      <c r="HL124" s="395"/>
      <c r="HM124" s="395"/>
      <c r="HN124" s="395"/>
      <c r="HO124" s="395"/>
      <c r="HP124" s="395"/>
      <c r="HQ124" s="395"/>
      <c r="HR124" s="395"/>
    </row>
    <row r="125" spans="1:226" s="866" customFormat="1" x14ac:dyDescent="0.25">
      <c r="A125" s="395"/>
      <c r="B125" s="3393" t="s">
        <v>2681</v>
      </c>
      <c r="C125" s="3394"/>
      <c r="D125" s="3383" t="str">
        <f>IFERROR(D124*D102,"")</f>
        <v/>
      </c>
      <c r="E125" s="3384"/>
      <c r="F125" s="3383" t="str">
        <f t="shared" ref="F125" si="33">IFERROR(F124*F102,"")</f>
        <v/>
      </c>
      <c r="G125" s="3384"/>
      <c r="H125" s="3383" t="str">
        <f t="shared" ref="H125" si="34">IFERROR(H124*H102,"")</f>
        <v/>
      </c>
      <c r="I125" s="3384"/>
      <c r="J125" s="3383" t="str">
        <f t="shared" ref="J125" si="35">IFERROR(J124*J102,"")</f>
        <v/>
      </c>
      <c r="K125" s="3384"/>
      <c r="L125" s="3383" t="str">
        <f t="shared" ref="L125" si="36">IFERROR(L124*L102,"")</f>
        <v/>
      </c>
      <c r="M125" s="3384"/>
      <c r="N125" s="3383" t="str">
        <f t="shared" ref="N125" si="37">IFERROR(N124*N102,"")</f>
        <v/>
      </c>
      <c r="O125" s="3384"/>
      <c r="P125" s="3383" t="str">
        <f t="shared" ref="P125" si="38">IFERROR(P124*P102,"")</f>
        <v/>
      </c>
      <c r="Q125" s="3384"/>
      <c r="R125" s="3383" t="str">
        <f t="shared" ref="R125" si="39">IFERROR(R124*R102,"")</f>
        <v/>
      </c>
      <c r="S125" s="3384"/>
      <c r="T125" s="3383" t="str">
        <f t="shared" ref="T125" si="40">IFERROR(T124*T102,"")</f>
        <v/>
      </c>
      <c r="U125" s="3384"/>
      <c r="V125" s="395"/>
      <c r="W125" s="395"/>
      <c r="X125" s="395"/>
      <c r="Y125" s="395"/>
      <c r="Z125" s="2142"/>
      <c r="AA125" s="395"/>
      <c r="AB125" s="395"/>
      <c r="AC125" s="395"/>
      <c r="AD125" s="395"/>
      <c r="AE125" s="395"/>
      <c r="AF125" s="395"/>
      <c r="AG125" s="395"/>
      <c r="AH125" s="395"/>
      <c r="AI125" s="395"/>
      <c r="AJ125" s="395"/>
      <c r="AK125" s="395"/>
      <c r="AL125" s="395"/>
      <c r="AM125" s="395"/>
      <c r="AN125" s="395"/>
      <c r="AO125" s="395"/>
      <c r="AP125" s="395"/>
      <c r="AQ125" s="395"/>
      <c r="AR125" s="395"/>
      <c r="AS125" s="395"/>
      <c r="AT125" s="395"/>
      <c r="AU125" s="395"/>
      <c r="AV125" s="395"/>
      <c r="AW125" s="395"/>
      <c r="AX125" s="395"/>
      <c r="AY125" s="395"/>
      <c r="AZ125" s="395"/>
      <c r="BA125" s="395"/>
      <c r="BB125" s="395"/>
      <c r="BC125" s="395"/>
      <c r="BD125" s="395"/>
      <c r="BE125" s="395"/>
      <c r="BF125" s="395"/>
      <c r="BG125" s="395"/>
      <c r="BH125" s="395"/>
      <c r="BI125" s="395"/>
      <c r="BJ125" s="395"/>
      <c r="BK125" s="395"/>
      <c r="BL125" s="395"/>
      <c r="BM125" s="395"/>
      <c r="BN125" s="395"/>
      <c r="BO125" s="395"/>
      <c r="BP125" s="395"/>
      <c r="BQ125" s="395"/>
      <c r="BR125" s="395"/>
      <c r="BS125" s="395"/>
      <c r="BT125" s="395"/>
      <c r="BU125" s="395"/>
      <c r="BV125" s="395"/>
      <c r="BW125" s="395"/>
      <c r="BX125" s="395"/>
      <c r="BY125" s="395"/>
      <c r="BZ125" s="395"/>
      <c r="CA125" s="395"/>
      <c r="CB125" s="395"/>
      <c r="CC125" s="395"/>
      <c r="CD125" s="395"/>
      <c r="CE125" s="395"/>
      <c r="CF125" s="395"/>
      <c r="CG125" s="395"/>
      <c r="CH125" s="395"/>
      <c r="CI125" s="395"/>
      <c r="CJ125" s="395"/>
      <c r="CK125" s="395"/>
      <c r="CL125" s="395"/>
      <c r="CM125" s="395"/>
      <c r="CN125" s="395"/>
      <c r="CO125" s="395"/>
      <c r="CP125" s="395"/>
      <c r="CQ125" s="395"/>
      <c r="CR125" s="395"/>
      <c r="CS125" s="395"/>
      <c r="CT125" s="395"/>
      <c r="CU125" s="395"/>
      <c r="CV125" s="395"/>
      <c r="CW125" s="395"/>
      <c r="CX125" s="395"/>
      <c r="CY125" s="395"/>
      <c r="CZ125" s="395"/>
      <c r="DA125" s="395"/>
      <c r="DB125" s="395"/>
      <c r="DC125" s="395"/>
      <c r="DD125" s="395"/>
      <c r="DE125" s="395"/>
      <c r="DF125" s="395"/>
      <c r="DG125" s="395"/>
      <c r="DH125" s="395"/>
      <c r="DI125" s="395"/>
      <c r="DJ125" s="395"/>
      <c r="DK125" s="395"/>
      <c r="DL125" s="395"/>
      <c r="DM125" s="395"/>
      <c r="DN125" s="395"/>
      <c r="DO125" s="395"/>
      <c r="DP125" s="395"/>
      <c r="DQ125" s="395"/>
      <c r="DR125" s="395"/>
      <c r="DS125" s="395"/>
      <c r="DT125" s="395"/>
      <c r="DU125" s="395"/>
      <c r="DV125" s="395"/>
      <c r="DW125" s="395"/>
      <c r="DX125" s="395"/>
      <c r="DY125" s="395"/>
      <c r="DZ125" s="395"/>
      <c r="EA125" s="395"/>
      <c r="EB125" s="395"/>
      <c r="EC125" s="395"/>
      <c r="ED125" s="395"/>
      <c r="EE125" s="395"/>
      <c r="EF125" s="395"/>
      <c r="EG125" s="395"/>
      <c r="EH125" s="395"/>
      <c r="EI125" s="395"/>
      <c r="EJ125" s="395"/>
      <c r="EK125" s="395"/>
      <c r="EL125" s="395"/>
      <c r="EM125" s="395"/>
      <c r="EN125" s="395"/>
      <c r="EO125" s="395"/>
      <c r="EP125" s="395"/>
      <c r="EQ125" s="395"/>
      <c r="ER125" s="395"/>
      <c r="ES125" s="395"/>
      <c r="ET125" s="395"/>
      <c r="EU125" s="395"/>
      <c r="EV125" s="395"/>
      <c r="EW125" s="395"/>
      <c r="EX125" s="395"/>
      <c r="EY125" s="395"/>
      <c r="EZ125" s="395"/>
      <c r="FA125" s="395"/>
      <c r="FB125" s="395"/>
      <c r="FC125" s="395"/>
      <c r="FD125" s="395"/>
      <c r="FE125" s="395"/>
      <c r="FF125" s="395"/>
      <c r="FG125" s="395"/>
      <c r="FH125" s="395"/>
      <c r="FI125" s="395"/>
      <c r="FJ125" s="395"/>
      <c r="FK125" s="395"/>
      <c r="FL125" s="395"/>
      <c r="FM125" s="395"/>
      <c r="FN125" s="395"/>
      <c r="FO125" s="395"/>
      <c r="FP125" s="395"/>
      <c r="FQ125" s="395"/>
      <c r="FR125" s="395"/>
      <c r="FS125" s="395"/>
      <c r="FT125" s="395"/>
      <c r="FU125" s="395"/>
      <c r="FV125" s="395"/>
      <c r="FW125" s="395"/>
      <c r="FX125" s="395"/>
      <c r="FY125" s="395"/>
      <c r="FZ125" s="395"/>
      <c r="GA125" s="395"/>
      <c r="GB125" s="395"/>
      <c r="GC125" s="395"/>
      <c r="GD125" s="395"/>
      <c r="GE125" s="395"/>
      <c r="GF125" s="395"/>
      <c r="GG125" s="395"/>
      <c r="GH125" s="395"/>
      <c r="GI125" s="395"/>
      <c r="GJ125" s="395"/>
      <c r="GK125" s="395"/>
      <c r="GL125" s="395"/>
      <c r="GM125" s="395"/>
      <c r="GN125" s="395"/>
      <c r="GO125" s="395"/>
      <c r="GP125" s="395"/>
      <c r="GQ125" s="395"/>
      <c r="GR125" s="395"/>
      <c r="GS125" s="395"/>
      <c r="GT125" s="395"/>
      <c r="GU125" s="395"/>
      <c r="GV125" s="395"/>
      <c r="GW125" s="395"/>
      <c r="GX125" s="395"/>
      <c r="GY125" s="395"/>
      <c r="GZ125" s="395"/>
      <c r="HA125" s="395"/>
      <c r="HB125" s="395"/>
      <c r="HC125" s="395"/>
      <c r="HD125" s="395"/>
      <c r="HE125" s="395"/>
      <c r="HF125" s="395"/>
      <c r="HG125" s="395"/>
      <c r="HH125" s="395"/>
      <c r="HI125" s="395"/>
      <c r="HJ125" s="395"/>
      <c r="HK125" s="395"/>
      <c r="HL125" s="395"/>
      <c r="HM125" s="395"/>
      <c r="HN125" s="395"/>
      <c r="HO125" s="395"/>
      <c r="HP125" s="395"/>
      <c r="HQ125" s="395"/>
      <c r="HR125" s="395"/>
    </row>
    <row r="126" spans="1:226" s="866" customFormat="1" ht="30" customHeight="1" x14ac:dyDescent="0.25">
      <c r="A126" s="395"/>
      <c r="B126" s="3393" t="s">
        <v>2582</v>
      </c>
      <c r="C126" s="3394"/>
      <c r="D126" s="3383" t="str">
        <f>IFERROR(IF(D124="N/A",0,MIN(D124,(0.03*E102+7.5*(1)))),"-")</f>
        <v>-</v>
      </c>
      <c r="E126" s="3384"/>
      <c r="F126" s="3383" t="str">
        <f t="shared" ref="F126" si="41">IFERROR(IF(F124="N/A",0,MIN(F124,(0.03*G102+7.5*(2)))),"-")</f>
        <v>-</v>
      </c>
      <c r="G126" s="3384"/>
      <c r="H126" s="3383" t="str">
        <f>IFERROR(IF(H124="N/A",0,MIN(H124,(0.03*I102+7.5*(3)))),"-")</f>
        <v>-</v>
      </c>
      <c r="I126" s="3384"/>
      <c r="J126" s="3383" t="str">
        <f>IFERROR(IF(J124="N/A",0,MIN(J124,(0.03*K102+7.5*(4)))),"-")</f>
        <v>-</v>
      </c>
      <c r="K126" s="3384"/>
      <c r="L126" s="3383" t="str">
        <f>IFERROR(IF(L124="N/A",0,MIN(L124,(0.03*M102+7.5*(5)))),"-")</f>
        <v>-</v>
      </c>
      <c r="M126" s="3384"/>
      <c r="N126" s="3383" t="str">
        <f>IFERROR(IF(N124="N/A",0,MIN(N124,(0.03*O102+7.5*(6)))),"-")</f>
        <v>-</v>
      </c>
      <c r="O126" s="3384"/>
      <c r="P126" s="3383" t="str">
        <f>IFERROR(IF(P124="N/A",0,MIN(P124,(0.03*Q102+7.5*(7)))),"-")</f>
        <v>-</v>
      </c>
      <c r="Q126" s="3384"/>
      <c r="R126" s="3383" t="str">
        <f>IFERROR(IF(R124="N/A",0,MIN(R124,(0.03*S102+7.5*(8)))),"-")</f>
        <v>-</v>
      </c>
      <c r="S126" s="3384"/>
      <c r="T126" s="3383" t="str">
        <f>IFERROR(IF(T124="N/A",0,MIN(T124,(0.03*U102+7.5*(9)))),"-")</f>
        <v>-</v>
      </c>
      <c r="U126" s="3384"/>
      <c r="V126" s="395"/>
      <c r="W126" s="395"/>
      <c r="X126" s="395"/>
      <c r="Y126" s="395"/>
      <c r="Z126" s="2142"/>
      <c r="AA126" s="395"/>
      <c r="AB126" s="395"/>
      <c r="AC126" s="395"/>
      <c r="AD126" s="395"/>
      <c r="AE126" s="395"/>
      <c r="AF126" s="395"/>
      <c r="AG126" s="395"/>
      <c r="AH126" s="395"/>
      <c r="AI126" s="395"/>
      <c r="AJ126" s="395"/>
      <c r="AK126" s="395"/>
      <c r="AL126" s="395"/>
      <c r="AM126" s="395"/>
      <c r="AN126" s="395"/>
      <c r="AO126" s="395"/>
      <c r="AP126" s="395"/>
      <c r="AQ126" s="395"/>
      <c r="AR126" s="395"/>
      <c r="AS126" s="395"/>
      <c r="AT126" s="395"/>
      <c r="AU126" s="395"/>
      <c r="AV126" s="395"/>
      <c r="AW126" s="395"/>
      <c r="AX126" s="395"/>
      <c r="AY126" s="395"/>
      <c r="AZ126" s="395"/>
      <c r="BA126" s="395"/>
      <c r="BB126" s="395"/>
      <c r="BC126" s="395"/>
      <c r="BD126" s="395"/>
      <c r="BE126" s="395"/>
      <c r="BF126" s="395"/>
      <c r="BG126" s="395"/>
      <c r="BH126" s="395"/>
      <c r="BI126" s="395"/>
      <c r="BJ126" s="395"/>
      <c r="BK126" s="395"/>
      <c r="BL126" s="395"/>
      <c r="BM126" s="395"/>
      <c r="BN126" s="395"/>
      <c r="BO126" s="395"/>
      <c r="BP126" s="395"/>
      <c r="BQ126" s="395"/>
      <c r="BR126" s="395"/>
      <c r="BS126" s="395"/>
      <c r="BT126" s="395"/>
      <c r="BU126" s="395"/>
      <c r="BV126" s="395"/>
      <c r="BW126" s="395"/>
      <c r="BX126" s="395"/>
      <c r="BY126" s="395"/>
      <c r="BZ126" s="395"/>
      <c r="CA126" s="395"/>
      <c r="CB126" s="395"/>
      <c r="CC126" s="395"/>
      <c r="CD126" s="395"/>
      <c r="CE126" s="395"/>
      <c r="CF126" s="395"/>
      <c r="CG126" s="395"/>
      <c r="CH126" s="395"/>
      <c r="CI126" s="395"/>
      <c r="CJ126" s="395"/>
      <c r="CK126" s="395"/>
      <c r="CL126" s="395"/>
      <c r="CM126" s="395"/>
      <c r="CN126" s="395"/>
      <c r="CO126" s="395"/>
      <c r="CP126" s="395"/>
      <c r="CQ126" s="395"/>
      <c r="CR126" s="395"/>
      <c r="CS126" s="395"/>
      <c r="CT126" s="395"/>
      <c r="CU126" s="395"/>
      <c r="CV126" s="395"/>
      <c r="CW126" s="395"/>
      <c r="CX126" s="395"/>
      <c r="CY126" s="395"/>
      <c r="CZ126" s="395"/>
      <c r="DA126" s="395"/>
      <c r="DB126" s="395"/>
      <c r="DC126" s="395"/>
      <c r="DD126" s="395"/>
      <c r="DE126" s="395"/>
      <c r="DF126" s="395"/>
      <c r="DG126" s="395"/>
      <c r="DH126" s="395"/>
      <c r="DI126" s="395"/>
      <c r="DJ126" s="395"/>
      <c r="DK126" s="395"/>
      <c r="DL126" s="395"/>
      <c r="DM126" s="395"/>
      <c r="DN126" s="395"/>
      <c r="DO126" s="395"/>
      <c r="DP126" s="395"/>
      <c r="DQ126" s="395"/>
      <c r="DR126" s="395"/>
      <c r="DS126" s="395"/>
      <c r="DT126" s="395"/>
      <c r="DU126" s="395"/>
      <c r="DV126" s="395"/>
      <c r="DW126" s="395"/>
      <c r="DX126" s="395"/>
      <c r="DY126" s="395"/>
      <c r="DZ126" s="395"/>
      <c r="EA126" s="395"/>
      <c r="EB126" s="395"/>
      <c r="EC126" s="395"/>
      <c r="ED126" s="395"/>
      <c r="EE126" s="395"/>
      <c r="EF126" s="395"/>
      <c r="EG126" s="395"/>
      <c r="EH126" s="395"/>
      <c r="EI126" s="395"/>
      <c r="EJ126" s="395"/>
      <c r="EK126" s="395"/>
      <c r="EL126" s="395"/>
      <c r="EM126" s="395"/>
      <c r="EN126" s="395"/>
      <c r="EO126" s="395"/>
      <c r="EP126" s="395"/>
      <c r="EQ126" s="395"/>
      <c r="ER126" s="395"/>
      <c r="ES126" s="395"/>
      <c r="ET126" s="395"/>
      <c r="EU126" s="395"/>
      <c r="EV126" s="395"/>
      <c r="EW126" s="395"/>
      <c r="EX126" s="395"/>
      <c r="EY126" s="395"/>
      <c r="EZ126" s="395"/>
      <c r="FA126" s="395"/>
      <c r="FB126" s="395"/>
      <c r="FC126" s="395"/>
      <c r="FD126" s="395"/>
      <c r="FE126" s="395"/>
      <c r="FF126" s="395"/>
      <c r="FG126" s="395"/>
      <c r="FH126" s="395"/>
      <c r="FI126" s="395"/>
      <c r="FJ126" s="395"/>
      <c r="FK126" s="395"/>
      <c r="FL126" s="395"/>
      <c r="FM126" s="395"/>
      <c r="FN126" s="395"/>
      <c r="FO126" s="395"/>
      <c r="FP126" s="395"/>
      <c r="FQ126" s="395"/>
      <c r="FR126" s="395"/>
      <c r="FS126" s="395"/>
      <c r="FT126" s="395"/>
      <c r="FU126" s="395"/>
      <c r="FV126" s="395"/>
      <c r="FW126" s="395"/>
      <c r="FX126" s="395"/>
      <c r="FY126" s="395"/>
      <c r="FZ126" s="395"/>
      <c r="GA126" s="395"/>
      <c r="GB126" s="395"/>
      <c r="GC126" s="395"/>
      <c r="GD126" s="395"/>
      <c r="GE126" s="395"/>
      <c r="GF126" s="395"/>
      <c r="GG126" s="395"/>
      <c r="GH126" s="395"/>
      <c r="GI126" s="395"/>
      <c r="GJ126" s="395"/>
      <c r="GK126" s="395"/>
      <c r="GL126" s="395"/>
      <c r="GM126" s="395"/>
      <c r="GN126" s="395"/>
      <c r="GO126" s="395"/>
      <c r="GP126" s="395"/>
      <c r="GQ126" s="395"/>
      <c r="GR126" s="395"/>
      <c r="GS126" s="395"/>
      <c r="GT126" s="395"/>
      <c r="GU126" s="395"/>
      <c r="GV126" s="395"/>
      <c r="GW126" s="395"/>
      <c r="GX126" s="395"/>
      <c r="GY126" s="395"/>
      <c r="GZ126" s="395"/>
      <c r="HA126" s="395"/>
      <c r="HB126" s="395"/>
      <c r="HC126" s="395"/>
      <c r="HD126" s="395"/>
      <c r="HE126" s="395"/>
      <c r="HF126" s="395"/>
      <c r="HG126" s="395"/>
      <c r="HH126" s="395"/>
      <c r="HI126" s="395"/>
      <c r="HJ126" s="395"/>
      <c r="HK126" s="395"/>
      <c r="HL126" s="395"/>
      <c r="HM126" s="395"/>
      <c r="HN126" s="395"/>
      <c r="HO126" s="395"/>
      <c r="HP126" s="395"/>
      <c r="HQ126" s="395"/>
      <c r="HR126" s="395"/>
    </row>
    <row r="127" spans="1:226" s="866" customFormat="1" x14ac:dyDescent="0.25">
      <c r="A127" s="395"/>
      <c r="B127" s="3393" t="s">
        <v>3437</v>
      </c>
      <c r="C127" s="3394"/>
      <c r="D127" s="3383" t="str">
        <f>IFERROR(D102*D126,"-")</f>
        <v>-</v>
      </c>
      <c r="E127" s="3384"/>
      <c r="F127" s="3383" t="str">
        <f>IFERROR(F102*F126,"-")</f>
        <v>-</v>
      </c>
      <c r="G127" s="3384"/>
      <c r="H127" s="3383" t="str">
        <f>IFERROR(H102*H126,"-")</f>
        <v>-</v>
      </c>
      <c r="I127" s="3384"/>
      <c r="J127" s="3383" t="str">
        <f>IFERROR(J102*J126,"-")</f>
        <v>-</v>
      </c>
      <c r="K127" s="3384"/>
      <c r="L127" s="3383" t="str">
        <f>IFERROR(L102*L126,"-")</f>
        <v>-</v>
      </c>
      <c r="M127" s="3384"/>
      <c r="N127" s="3383" t="str">
        <f>IFERROR(N102*N126,"-")</f>
        <v>-</v>
      </c>
      <c r="O127" s="3384"/>
      <c r="P127" s="3383" t="str">
        <f>IFERROR(P102*P126,"-")</f>
        <v>-</v>
      </c>
      <c r="Q127" s="3384"/>
      <c r="R127" s="3383" t="str">
        <f>IFERROR(R102*R126,"-")</f>
        <v>-</v>
      </c>
      <c r="S127" s="3384"/>
      <c r="T127" s="3383" t="str">
        <f>IFERROR(T102*T126,"-")</f>
        <v>-</v>
      </c>
      <c r="U127" s="3384"/>
      <c r="V127" s="395"/>
      <c r="W127" s="395"/>
      <c r="X127" s="395"/>
      <c r="Y127" s="395"/>
      <c r="Z127" s="2142"/>
      <c r="AA127" s="395"/>
      <c r="AB127" s="395"/>
      <c r="AC127" s="395"/>
      <c r="AD127" s="395"/>
      <c r="AE127" s="395"/>
      <c r="AF127" s="395"/>
      <c r="AG127" s="395"/>
      <c r="AH127" s="395"/>
      <c r="AI127" s="395"/>
      <c r="AJ127" s="395"/>
      <c r="AK127" s="395"/>
      <c r="AL127" s="395"/>
      <c r="AM127" s="395"/>
      <c r="AN127" s="395"/>
      <c r="AO127" s="395"/>
      <c r="AP127" s="395"/>
      <c r="AQ127" s="395"/>
      <c r="AR127" s="395"/>
      <c r="AS127" s="395"/>
      <c r="AT127" s="395"/>
      <c r="AU127" s="395"/>
      <c r="AV127" s="395"/>
      <c r="AW127" s="395"/>
      <c r="AX127" s="395"/>
      <c r="AY127" s="395"/>
      <c r="AZ127" s="395"/>
      <c r="BA127" s="395"/>
      <c r="BB127" s="395"/>
      <c r="BC127" s="395"/>
      <c r="BD127" s="395"/>
      <c r="BE127" s="395"/>
      <c r="BF127" s="395"/>
      <c r="BG127" s="395"/>
      <c r="BH127" s="395"/>
      <c r="BI127" s="395"/>
      <c r="BJ127" s="395"/>
      <c r="BK127" s="395"/>
      <c r="BL127" s="395"/>
      <c r="BM127" s="395"/>
      <c r="BN127" s="395"/>
      <c r="BO127" s="395"/>
      <c r="BP127" s="395"/>
      <c r="BQ127" s="395"/>
      <c r="BR127" s="395"/>
      <c r="BS127" s="395"/>
      <c r="BT127" s="395"/>
      <c r="BU127" s="395"/>
      <c r="BV127" s="395"/>
      <c r="BW127" s="395"/>
      <c r="BX127" s="395"/>
      <c r="BY127" s="395"/>
      <c r="BZ127" s="395"/>
      <c r="CA127" s="395"/>
      <c r="CB127" s="395"/>
      <c r="CC127" s="395"/>
      <c r="CD127" s="395"/>
      <c r="CE127" s="395"/>
      <c r="CF127" s="395"/>
      <c r="CG127" s="395"/>
      <c r="CH127" s="395"/>
      <c r="CI127" s="395"/>
      <c r="CJ127" s="395"/>
      <c r="CK127" s="395"/>
      <c r="CL127" s="395"/>
      <c r="CM127" s="395"/>
      <c r="CN127" s="395"/>
      <c r="CO127" s="395"/>
      <c r="CP127" s="395"/>
      <c r="CQ127" s="395"/>
      <c r="CR127" s="395"/>
      <c r="CS127" s="395"/>
      <c r="CT127" s="395"/>
      <c r="CU127" s="395"/>
      <c r="CV127" s="395"/>
      <c r="CW127" s="395"/>
      <c r="CX127" s="395"/>
      <c r="CY127" s="395"/>
      <c r="CZ127" s="395"/>
      <c r="DA127" s="395"/>
      <c r="DB127" s="395"/>
      <c r="DC127" s="395"/>
      <c r="DD127" s="395"/>
      <c r="DE127" s="395"/>
      <c r="DF127" s="395"/>
      <c r="DG127" s="395"/>
      <c r="DH127" s="395"/>
      <c r="DI127" s="395"/>
      <c r="DJ127" s="395"/>
      <c r="DK127" s="395"/>
      <c r="DL127" s="395"/>
      <c r="DM127" s="395"/>
      <c r="DN127" s="395"/>
      <c r="DO127" s="395"/>
      <c r="DP127" s="395"/>
      <c r="DQ127" s="395"/>
      <c r="DR127" s="395"/>
      <c r="DS127" s="395"/>
      <c r="DT127" s="395"/>
      <c r="DU127" s="395"/>
      <c r="DV127" s="395"/>
      <c r="DW127" s="395"/>
      <c r="DX127" s="395"/>
      <c r="DY127" s="395"/>
      <c r="DZ127" s="395"/>
      <c r="EA127" s="395"/>
      <c r="EB127" s="395"/>
      <c r="EC127" s="395"/>
      <c r="ED127" s="395"/>
      <c r="EE127" s="395"/>
      <c r="EF127" s="395"/>
      <c r="EG127" s="395"/>
      <c r="EH127" s="395"/>
      <c r="EI127" s="395"/>
      <c r="EJ127" s="395"/>
      <c r="EK127" s="395"/>
      <c r="EL127" s="395"/>
      <c r="EM127" s="395"/>
      <c r="EN127" s="395"/>
      <c r="EO127" s="395"/>
      <c r="EP127" s="395"/>
      <c r="EQ127" s="395"/>
      <c r="ER127" s="395"/>
      <c r="ES127" s="395"/>
      <c r="ET127" s="395"/>
      <c r="EU127" s="395"/>
      <c r="EV127" s="395"/>
      <c r="EW127" s="395"/>
      <c r="EX127" s="395"/>
      <c r="EY127" s="395"/>
      <c r="EZ127" s="395"/>
      <c r="FA127" s="395"/>
      <c r="FB127" s="395"/>
      <c r="FC127" s="395"/>
      <c r="FD127" s="395"/>
      <c r="FE127" s="395"/>
      <c r="FF127" s="395"/>
      <c r="FG127" s="395"/>
      <c r="FH127" s="395"/>
      <c r="FI127" s="395"/>
      <c r="FJ127" s="395"/>
      <c r="FK127" s="395"/>
      <c r="FL127" s="395"/>
      <c r="FM127" s="395"/>
      <c r="FN127" s="395"/>
      <c r="FO127" s="395"/>
      <c r="FP127" s="395"/>
      <c r="FQ127" s="395"/>
      <c r="FR127" s="395"/>
      <c r="FS127" s="395"/>
      <c r="FT127" s="395"/>
      <c r="FU127" s="395"/>
      <c r="FV127" s="395"/>
      <c r="FW127" s="395"/>
      <c r="FX127" s="395"/>
      <c r="FY127" s="395"/>
      <c r="FZ127" s="395"/>
      <c r="GA127" s="395"/>
      <c r="GB127" s="395"/>
      <c r="GC127" s="395"/>
      <c r="GD127" s="395"/>
      <c r="GE127" s="395"/>
      <c r="GF127" s="395"/>
      <c r="GG127" s="395"/>
      <c r="GH127" s="395"/>
      <c r="GI127" s="395"/>
      <c r="GJ127" s="395"/>
      <c r="GK127" s="395"/>
      <c r="GL127" s="395"/>
      <c r="GM127" s="395"/>
      <c r="GN127" s="395"/>
      <c r="GO127" s="395"/>
      <c r="GP127" s="395"/>
      <c r="GQ127" s="395"/>
      <c r="GR127" s="395"/>
      <c r="GS127" s="395"/>
      <c r="GT127" s="395"/>
      <c r="GU127" s="395"/>
      <c r="GV127" s="395"/>
      <c r="GW127" s="395"/>
      <c r="GX127" s="395"/>
      <c r="GY127" s="395"/>
      <c r="GZ127" s="395"/>
      <c r="HA127" s="395"/>
      <c r="HB127" s="395"/>
      <c r="HC127" s="395"/>
      <c r="HD127" s="395"/>
      <c r="HE127" s="395"/>
      <c r="HF127" s="395"/>
      <c r="HG127" s="395"/>
      <c r="HH127" s="395"/>
      <c r="HI127" s="395"/>
      <c r="HJ127" s="395"/>
      <c r="HK127" s="395"/>
      <c r="HL127" s="395"/>
      <c r="HM127" s="395"/>
      <c r="HN127" s="395"/>
      <c r="HO127" s="395"/>
      <c r="HP127" s="395"/>
      <c r="HQ127" s="395"/>
      <c r="HR127" s="395"/>
    </row>
    <row r="128" spans="1:226" s="866" customFormat="1" ht="72" customHeight="1" x14ac:dyDescent="0.25">
      <c r="A128" s="395"/>
      <c r="B128" s="395"/>
      <c r="C128" s="395"/>
      <c r="D128" s="3389" t="str">
        <f>IF(AND(D130=1,D131&gt;0),"Warning: Proposed Design mechanical OA supply CFM is noted for a non-mechanical system.","")</f>
        <v/>
      </c>
      <c r="E128" s="3389"/>
      <c r="F128" s="3389" t="str">
        <f>IF(AND(F130=1,F131&gt;0),"Warning: Proposed Design mechanical OA supply CFM is noted for a non-mechanical system.","")</f>
        <v/>
      </c>
      <c r="G128" s="3389"/>
      <c r="H128" s="3389" t="str">
        <f>IF(AND(H130=1,H131&gt;0),"Warning: Proposed Design mechanical OA supply CFM is noted for a non-mechanical system.","")</f>
        <v/>
      </c>
      <c r="I128" s="3389"/>
      <c r="J128" s="3389" t="str">
        <f>IF(AND(J130=1,J131&gt;0),"Warning: Proposed Design mechanical OA supply CFM is noted for a non-mechanical system.","")</f>
        <v/>
      </c>
      <c r="K128" s="3389"/>
      <c r="L128" s="3389" t="str">
        <f>IF(AND(L130=1,L131&gt;0),"Warning: Proposed Design mechanical OA supply CFM is noted for a non-mechanical system.","")</f>
        <v/>
      </c>
      <c r="M128" s="3389"/>
      <c r="N128" s="3389" t="str">
        <f>IF(AND(N130=1,N131&gt;0),"Warning: Proposed Design mechanical OA supply CFM is noted for a non-mechanical system.","")</f>
        <v/>
      </c>
      <c r="O128" s="3389"/>
      <c r="P128" s="3389" t="str">
        <f>IF(AND(P130=1,P131&gt;0),"Warning: Proposed Design mechanical OA supply CFM is noted for a non-mechanical system.","")</f>
        <v/>
      </c>
      <c r="Q128" s="3389"/>
      <c r="R128" s="3389" t="str">
        <f>IF(AND(R130=1,R131&gt;0),"Warning: Proposed Design mechanical OA supply CFM is noted for a non-mechanical system.","")</f>
        <v/>
      </c>
      <c r="S128" s="3389"/>
      <c r="T128" s="3389" t="str">
        <f>IF(AND(T130=1,T131&gt;0),"Warning: Proposed Design mechanical OA supply CFM is noted for a non-mechanical system.","")</f>
        <v/>
      </c>
      <c r="U128" s="3389"/>
      <c r="V128" s="395"/>
      <c r="W128" s="395"/>
      <c r="X128" s="395"/>
      <c r="Y128" s="395"/>
      <c r="Z128" s="2140"/>
      <c r="AA128" s="395"/>
      <c r="AB128" s="395"/>
      <c r="AC128" s="395"/>
      <c r="AD128" s="395"/>
      <c r="AE128" s="395"/>
      <c r="AF128" s="395"/>
      <c r="AG128" s="395"/>
      <c r="AH128" s="395"/>
      <c r="AI128" s="395"/>
      <c r="AJ128" s="395"/>
      <c r="AK128" s="395"/>
      <c r="AL128" s="395"/>
      <c r="AM128" s="395"/>
      <c r="AN128" s="395"/>
      <c r="AO128" s="395"/>
      <c r="AP128" s="395"/>
      <c r="AQ128" s="395"/>
      <c r="AR128" s="395"/>
      <c r="AS128" s="395"/>
      <c r="AT128" s="395"/>
      <c r="AU128" s="395"/>
      <c r="AV128" s="395"/>
      <c r="AW128" s="395"/>
      <c r="AX128" s="395"/>
      <c r="AY128" s="395"/>
      <c r="AZ128" s="395"/>
      <c r="BA128" s="395"/>
      <c r="BB128" s="395"/>
      <c r="BC128" s="395"/>
      <c r="BD128" s="395"/>
      <c r="BE128" s="395"/>
      <c r="BF128" s="395"/>
      <c r="BG128" s="395"/>
      <c r="BH128" s="395"/>
      <c r="BI128" s="395"/>
      <c r="BJ128" s="395"/>
      <c r="BK128" s="395"/>
      <c r="BL128" s="395"/>
      <c r="BM128" s="395"/>
      <c r="BN128" s="395"/>
      <c r="BO128" s="395"/>
      <c r="BP128" s="395"/>
      <c r="BQ128" s="395"/>
      <c r="BR128" s="395"/>
      <c r="BS128" s="395"/>
      <c r="BT128" s="395"/>
      <c r="BU128" s="395"/>
      <c r="BV128" s="395"/>
      <c r="BW128" s="395"/>
      <c r="BX128" s="395"/>
      <c r="BY128" s="395"/>
      <c r="BZ128" s="395"/>
      <c r="CA128" s="395"/>
      <c r="CB128" s="395"/>
      <c r="CC128" s="395"/>
      <c r="CD128" s="395"/>
      <c r="CE128" s="395"/>
      <c r="CF128" s="395"/>
      <c r="CG128" s="395"/>
      <c r="CH128" s="395"/>
      <c r="CI128" s="395"/>
      <c r="CJ128" s="395"/>
      <c r="CK128" s="395"/>
      <c r="CL128" s="395"/>
      <c r="CM128" s="395"/>
      <c r="CN128" s="395"/>
      <c r="CO128" s="395"/>
      <c r="CP128" s="395"/>
      <c r="CQ128" s="395"/>
      <c r="CR128" s="395"/>
      <c r="CS128" s="395"/>
      <c r="CT128" s="395"/>
      <c r="CU128" s="395"/>
      <c r="CV128" s="395"/>
      <c r="CW128" s="395"/>
      <c r="CX128" s="395"/>
      <c r="CY128" s="395"/>
      <c r="CZ128" s="395"/>
      <c r="DA128" s="395"/>
      <c r="DB128" s="395"/>
      <c r="DC128" s="395"/>
      <c r="DD128" s="395"/>
      <c r="DE128" s="395"/>
      <c r="DF128" s="395"/>
      <c r="DG128" s="395"/>
      <c r="DH128" s="395"/>
      <c r="DI128" s="395"/>
      <c r="DJ128" s="395"/>
      <c r="DK128" s="395"/>
      <c r="DL128" s="395"/>
      <c r="DM128" s="395"/>
      <c r="DN128" s="395"/>
      <c r="DO128" s="395"/>
      <c r="DP128" s="395"/>
      <c r="DQ128" s="395"/>
      <c r="DR128" s="395"/>
      <c r="DS128" s="395"/>
      <c r="DT128" s="395"/>
      <c r="DU128" s="395"/>
      <c r="DV128" s="395"/>
      <c r="DW128" s="395"/>
      <c r="DX128" s="395"/>
      <c r="DY128" s="395"/>
      <c r="DZ128" s="395"/>
      <c r="EA128" s="395"/>
      <c r="EB128" s="395"/>
      <c r="EC128" s="395"/>
      <c r="ED128" s="395"/>
      <c r="EE128" s="395"/>
      <c r="EF128" s="395"/>
      <c r="EG128" s="395"/>
      <c r="EH128" s="395"/>
      <c r="EI128" s="395"/>
      <c r="EJ128" s="395"/>
      <c r="EK128" s="395"/>
      <c r="EL128" s="395"/>
      <c r="EM128" s="395"/>
      <c r="EN128" s="395"/>
      <c r="EO128" s="395"/>
      <c r="EP128" s="395"/>
      <c r="EQ128" s="395"/>
      <c r="ER128" s="395"/>
      <c r="ES128" s="395"/>
      <c r="ET128" s="395"/>
      <c r="EU128" s="395"/>
      <c r="EV128" s="395"/>
      <c r="EW128" s="395"/>
      <c r="EX128" s="395"/>
      <c r="EY128" s="395"/>
      <c r="EZ128" s="395"/>
      <c r="FA128" s="395"/>
      <c r="FB128" s="395"/>
      <c r="FC128" s="395"/>
      <c r="FD128" s="395"/>
      <c r="FE128" s="395"/>
      <c r="FF128" s="395"/>
      <c r="FG128" s="395"/>
      <c r="FH128" s="395"/>
      <c r="FI128" s="395"/>
      <c r="FJ128" s="395"/>
      <c r="FK128" s="395"/>
      <c r="FL128" s="395"/>
      <c r="FM128" s="395"/>
      <c r="FN128" s="395"/>
      <c r="FO128" s="395"/>
      <c r="FP128" s="395"/>
      <c r="FQ128" s="395"/>
      <c r="FR128" s="395"/>
      <c r="FS128" s="395"/>
      <c r="FT128" s="395"/>
      <c r="FU128" s="395"/>
      <c r="FV128" s="395"/>
      <c r="FW128" s="395"/>
      <c r="FX128" s="395"/>
      <c r="FY128" s="395"/>
      <c r="FZ128" s="395"/>
      <c r="GA128" s="395"/>
      <c r="GB128" s="395"/>
      <c r="GC128" s="395"/>
      <c r="GD128" s="395"/>
      <c r="GE128" s="395"/>
      <c r="GF128" s="395"/>
      <c r="GG128" s="395"/>
      <c r="GH128" s="395"/>
      <c r="GI128" s="395"/>
      <c r="GJ128" s="395"/>
      <c r="GK128" s="395"/>
      <c r="GL128" s="395"/>
      <c r="GM128" s="395"/>
      <c r="GN128" s="395"/>
      <c r="GO128" s="395"/>
      <c r="GP128" s="395"/>
      <c r="GQ128" s="395"/>
      <c r="GR128" s="395"/>
      <c r="GS128" s="395"/>
      <c r="GT128" s="395"/>
      <c r="GU128" s="395"/>
      <c r="GV128" s="395"/>
      <c r="GW128" s="395"/>
      <c r="GX128" s="395"/>
      <c r="GY128" s="395"/>
      <c r="GZ128" s="395"/>
      <c r="HA128" s="395"/>
      <c r="HB128" s="395"/>
      <c r="HC128" s="395"/>
      <c r="HD128" s="395"/>
      <c r="HE128" s="395"/>
      <c r="HF128" s="395"/>
      <c r="HG128" s="395"/>
      <c r="HH128" s="395"/>
      <c r="HI128" s="395"/>
      <c r="HJ128" s="395"/>
      <c r="HK128" s="395"/>
      <c r="HL128" s="395"/>
      <c r="HM128" s="395"/>
      <c r="HN128" s="395"/>
      <c r="HO128" s="395"/>
      <c r="HP128" s="395"/>
      <c r="HQ128" s="395"/>
      <c r="HR128" s="395"/>
    </row>
    <row r="129" spans="1:226" s="866" customFormat="1" x14ac:dyDescent="0.25">
      <c r="A129" s="395"/>
      <c r="B129" s="395"/>
      <c r="C129" s="395"/>
      <c r="D129" s="395"/>
      <c r="E129" s="395"/>
      <c r="F129" s="395"/>
      <c r="G129" s="395"/>
      <c r="H129" s="395"/>
      <c r="I129" s="395"/>
      <c r="J129" s="395"/>
      <c r="K129" s="395"/>
      <c r="L129" s="395"/>
      <c r="M129" s="395"/>
      <c r="N129" s="395"/>
      <c r="O129" s="395"/>
      <c r="P129" s="395"/>
      <c r="Q129" s="395"/>
      <c r="R129" s="395"/>
      <c r="S129" s="395"/>
      <c r="T129" s="395"/>
      <c r="U129" s="395"/>
      <c r="V129" s="395"/>
      <c r="W129" s="395"/>
      <c r="X129" s="395"/>
      <c r="Y129" s="395"/>
      <c r="Z129" s="2140"/>
      <c r="AA129" s="395"/>
      <c r="AB129" s="395"/>
      <c r="AC129" s="395"/>
      <c r="AD129" s="395"/>
      <c r="AE129" s="395"/>
      <c r="AF129" s="395"/>
      <c r="AG129" s="395"/>
      <c r="AH129" s="395"/>
      <c r="AI129" s="395"/>
      <c r="AJ129" s="395"/>
      <c r="AK129" s="395"/>
      <c r="AL129" s="395"/>
      <c r="AM129" s="395"/>
      <c r="AN129" s="395"/>
      <c r="AO129" s="395"/>
      <c r="AP129" s="395"/>
      <c r="AQ129" s="395"/>
      <c r="AR129" s="395"/>
      <c r="AS129" s="395"/>
      <c r="AT129" s="395"/>
      <c r="AU129" s="395"/>
      <c r="AV129" s="395"/>
      <c r="AW129" s="395"/>
      <c r="AX129" s="395"/>
      <c r="AY129" s="395"/>
      <c r="AZ129" s="395"/>
      <c r="BA129" s="395"/>
      <c r="BB129" s="395"/>
      <c r="BC129" s="395"/>
      <c r="BD129" s="395"/>
      <c r="BE129" s="395"/>
      <c r="BF129" s="395"/>
      <c r="BG129" s="395"/>
      <c r="BH129" s="395"/>
      <c r="BI129" s="395"/>
      <c r="BJ129" s="395"/>
      <c r="BK129" s="395"/>
      <c r="BL129" s="395"/>
      <c r="BM129" s="395"/>
      <c r="BN129" s="395"/>
      <c r="BO129" s="395"/>
      <c r="BP129" s="395"/>
      <c r="BQ129" s="395"/>
      <c r="BR129" s="395"/>
      <c r="BS129" s="395"/>
      <c r="BT129" s="395"/>
      <c r="BU129" s="395"/>
      <c r="BV129" s="395"/>
      <c r="BW129" s="395"/>
      <c r="BX129" s="395"/>
      <c r="BY129" s="395"/>
      <c r="BZ129" s="395"/>
      <c r="CA129" s="395"/>
      <c r="CB129" s="395"/>
      <c r="CC129" s="395"/>
      <c r="CD129" s="395"/>
      <c r="CE129" s="395"/>
      <c r="CF129" s="395"/>
      <c r="CG129" s="395"/>
      <c r="CH129" s="395"/>
      <c r="CI129" s="395"/>
      <c r="CJ129" s="395"/>
      <c r="CK129" s="395"/>
      <c r="CL129" s="395"/>
      <c r="CM129" s="395"/>
      <c r="CN129" s="395"/>
      <c r="CO129" s="395"/>
      <c r="CP129" s="395"/>
      <c r="CQ129" s="395"/>
      <c r="CR129" s="395"/>
      <c r="CS129" s="395"/>
      <c r="CT129" s="395"/>
      <c r="CU129" s="395"/>
      <c r="CV129" s="395"/>
      <c r="CW129" s="395"/>
      <c r="CX129" s="395"/>
      <c r="CY129" s="395"/>
      <c r="CZ129" s="395"/>
      <c r="DA129" s="395"/>
      <c r="DB129" s="395"/>
      <c r="DC129" s="395"/>
      <c r="DD129" s="395"/>
      <c r="DE129" s="395"/>
      <c r="DF129" s="395"/>
      <c r="DG129" s="395"/>
      <c r="DH129" s="395"/>
      <c r="DI129" s="395"/>
      <c r="DJ129" s="395"/>
      <c r="DK129" s="395"/>
      <c r="DL129" s="395"/>
      <c r="DM129" s="395"/>
      <c r="DN129" s="395"/>
      <c r="DO129" s="395"/>
      <c r="DP129" s="395"/>
      <c r="DQ129" s="395"/>
      <c r="DR129" s="395"/>
      <c r="DS129" s="395"/>
      <c r="DT129" s="395"/>
      <c r="DU129" s="395"/>
      <c r="DV129" s="395"/>
      <c r="DW129" s="395"/>
      <c r="DX129" s="395"/>
      <c r="DY129" s="395"/>
      <c r="DZ129" s="395"/>
      <c r="EA129" s="395"/>
      <c r="EB129" s="395"/>
      <c r="EC129" s="395"/>
      <c r="ED129" s="395"/>
      <c r="EE129" s="395"/>
      <c r="EF129" s="395"/>
      <c r="EG129" s="395"/>
      <c r="EH129" s="395"/>
      <c r="EI129" s="395"/>
      <c r="EJ129" s="395"/>
      <c r="EK129" s="395"/>
      <c r="EL129" s="395"/>
      <c r="EM129" s="395"/>
      <c r="EN129" s="395"/>
      <c r="EO129" s="395"/>
      <c r="EP129" s="395"/>
      <c r="EQ129" s="395"/>
      <c r="ER129" s="395"/>
      <c r="ES129" s="395"/>
      <c r="ET129" s="395"/>
      <c r="EU129" s="395"/>
      <c r="EV129" s="395"/>
      <c r="EW129" s="395"/>
      <c r="EX129" s="395"/>
      <c r="EY129" s="395"/>
      <c r="EZ129" s="395"/>
      <c r="FA129" s="395"/>
      <c r="FB129" s="395"/>
      <c r="FC129" s="395"/>
      <c r="FD129" s="395"/>
      <c r="FE129" s="395"/>
      <c r="FF129" s="395"/>
      <c r="FG129" s="395"/>
      <c r="FH129" s="395"/>
      <c r="FI129" s="395"/>
      <c r="FJ129" s="395"/>
      <c r="FK129" s="395"/>
      <c r="FL129" s="395"/>
      <c r="FM129" s="395"/>
      <c r="FN129" s="395"/>
      <c r="FO129" s="395"/>
      <c r="FP129" s="395"/>
      <c r="FQ129" s="395"/>
      <c r="FR129" s="395"/>
      <c r="FS129" s="395"/>
      <c r="FT129" s="395"/>
      <c r="FU129" s="395"/>
      <c r="FV129" s="395"/>
      <c r="FW129" s="395"/>
      <c r="FX129" s="395"/>
      <c r="FY129" s="395"/>
      <c r="FZ129" s="395"/>
      <c r="GA129" s="395"/>
      <c r="GB129" s="395"/>
      <c r="GC129" s="395"/>
      <c r="GD129" s="395"/>
      <c r="GE129" s="395"/>
      <c r="GF129" s="395"/>
      <c r="GG129" s="395"/>
      <c r="GH129" s="395"/>
      <c r="GI129" s="395"/>
      <c r="GJ129" s="395"/>
      <c r="GK129" s="395"/>
      <c r="GL129" s="395"/>
      <c r="GM129" s="395"/>
      <c r="GN129" s="395"/>
      <c r="GO129" s="395"/>
      <c r="GP129" s="395"/>
      <c r="GQ129" s="395"/>
      <c r="GR129" s="395"/>
      <c r="GS129" s="395"/>
      <c r="GT129" s="395"/>
      <c r="GU129" s="395"/>
      <c r="GV129" s="395"/>
      <c r="GW129" s="395"/>
      <c r="GX129" s="395"/>
      <c r="GY129" s="395"/>
      <c r="GZ129" s="395"/>
      <c r="HA129" s="395"/>
      <c r="HB129" s="395"/>
      <c r="HC129" s="395"/>
      <c r="HD129" s="395"/>
      <c r="HE129" s="395"/>
      <c r="HF129" s="395"/>
      <c r="HG129" s="395"/>
      <c r="HH129" s="395"/>
      <c r="HI129" s="395"/>
      <c r="HJ129" s="395"/>
      <c r="HK129" s="395"/>
      <c r="HL129" s="395"/>
      <c r="HM129" s="395"/>
      <c r="HN129" s="395"/>
      <c r="HO129" s="395"/>
      <c r="HP129" s="395"/>
      <c r="HQ129" s="395"/>
      <c r="HR129" s="395"/>
    </row>
    <row r="130" spans="1:226" s="866" customFormat="1" hidden="1" x14ac:dyDescent="0.25">
      <c r="A130" s="395"/>
      <c r="B130" s="395"/>
      <c r="C130" s="395"/>
      <c r="D130" s="395">
        <f>IF(OR(D122="Trickle Vent",D122="Natural Ventilation"),1,0)</f>
        <v>0</v>
      </c>
      <c r="E130" s="395">
        <f t="shared" ref="E130:U130" si="42">IF(OR(E122="Trickle Vent",E122="Natural Ventilation"),1,0)</f>
        <v>0</v>
      </c>
      <c r="F130" s="395">
        <f t="shared" si="42"/>
        <v>0</v>
      </c>
      <c r="G130" s="395">
        <f t="shared" si="42"/>
        <v>0</v>
      </c>
      <c r="H130" s="395">
        <f t="shared" si="42"/>
        <v>0</v>
      </c>
      <c r="I130" s="395">
        <f t="shared" si="42"/>
        <v>0</v>
      </c>
      <c r="J130" s="395">
        <f t="shared" si="42"/>
        <v>0</v>
      </c>
      <c r="K130" s="395">
        <f t="shared" si="42"/>
        <v>0</v>
      </c>
      <c r="L130" s="395">
        <f t="shared" si="42"/>
        <v>0</v>
      </c>
      <c r="M130" s="395">
        <f t="shared" si="42"/>
        <v>0</v>
      </c>
      <c r="N130" s="395">
        <f t="shared" si="42"/>
        <v>0</v>
      </c>
      <c r="O130" s="395">
        <f t="shared" si="42"/>
        <v>0</v>
      </c>
      <c r="P130" s="395">
        <f t="shared" si="42"/>
        <v>0</v>
      </c>
      <c r="Q130" s="395">
        <f t="shared" si="42"/>
        <v>0</v>
      </c>
      <c r="R130" s="395">
        <f t="shared" si="42"/>
        <v>0</v>
      </c>
      <c r="S130" s="395">
        <f t="shared" si="42"/>
        <v>0</v>
      </c>
      <c r="T130" s="395">
        <f t="shared" si="42"/>
        <v>0</v>
      </c>
      <c r="U130" s="395">
        <f t="shared" si="42"/>
        <v>0</v>
      </c>
      <c r="V130" s="395"/>
      <c r="W130" s="395"/>
      <c r="X130" s="395"/>
      <c r="Y130" s="395"/>
      <c r="Z130" s="2140"/>
      <c r="AA130" s="395"/>
      <c r="AB130" s="395"/>
      <c r="AC130" s="395"/>
      <c r="AD130" s="395"/>
      <c r="AE130" s="395"/>
      <c r="AF130" s="395"/>
      <c r="AG130" s="395"/>
      <c r="AH130" s="395"/>
      <c r="AI130" s="395"/>
      <c r="AJ130" s="395"/>
      <c r="AK130" s="395"/>
      <c r="AL130" s="395"/>
      <c r="AM130" s="395"/>
      <c r="AN130" s="395"/>
      <c r="AO130" s="395"/>
      <c r="AP130" s="395"/>
      <c r="AQ130" s="395"/>
      <c r="AR130" s="395"/>
      <c r="AS130" s="395"/>
      <c r="AT130" s="395"/>
      <c r="AU130" s="395"/>
      <c r="AV130" s="395"/>
      <c r="AW130" s="395"/>
      <c r="AX130" s="395"/>
      <c r="AY130" s="395"/>
      <c r="AZ130" s="395"/>
      <c r="BA130" s="395"/>
      <c r="BB130" s="395"/>
      <c r="BC130" s="395"/>
      <c r="BD130" s="395"/>
      <c r="BE130" s="395"/>
      <c r="BF130" s="395"/>
      <c r="BG130" s="395"/>
      <c r="BH130" s="395"/>
      <c r="BI130" s="395"/>
      <c r="BJ130" s="395"/>
      <c r="BK130" s="395"/>
      <c r="BL130" s="395"/>
      <c r="BM130" s="395"/>
      <c r="BN130" s="395"/>
      <c r="BO130" s="395"/>
      <c r="BP130" s="395"/>
      <c r="BQ130" s="395"/>
      <c r="BR130" s="395"/>
      <c r="BS130" s="395"/>
      <c r="BT130" s="395"/>
      <c r="BU130" s="395"/>
      <c r="BV130" s="395"/>
      <c r="BW130" s="395"/>
      <c r="BX130" s="395"/>
      <c r="BY130" s="395"/>
      <c r="BZ130" s="395"/>
      <c r="CA130" s="395"/>
      <c r="CB130" s="395"/>
      <c r="CC130" s="395"/>
      <c r="CD130" s="395"/>
      <c r="CE130" s="395"/>
      <c r="CF130" s="395"/>
      <c r="CG130" s="395"/>
      <c r="CH130" s="395"/>
      <c r="CI130" s="395"/>
      <c r="CJ130" s="395"/>
      <c r="CK130" s="395"/>
      <c r="CL130" s="395"/>
      <c r="CM130" s="395"/>
      <c r="CN130" s="395"/>
      <c r="CO130" s="395"/>
      <c r="CP130" s="395"/>
      <c r="CQ130" s="395"/>
      <c r="CR130" s="395"/>
      <c r="CS130" s="395"/>
      <c r="CT130" s="395"/>
      <c r="CU130" s="395"/>
      <c r="CV130" s="395"/>
      <c r="CW130" s="395"/>
      <c r="CX130" s="395"/>
      <c r="CY130" s="395"/>
      <c r="CZ130" s="395"/>
      <c r="DA130" s="395"/>
      <c r="DB130" s="395"/>
      <c r="DC130" s="395"/>
      <c r="DD130" s="395"/>
      <c r="DE130" s="395"/>
      <c r="DF130" s="395"/>
      <c r="DG130" s="395"/>
      <c r="DH130" s="395"/>
      <c r="DI130" s="395"/>
      <c r="DJ130" s="395"/>
      <c r="DK130" s="395"/>
      <c r="DL130" s="395"/>
      <c r="DM130" s="395"/>
      <c r="DN130" s="395"/>
      <c r="DO130" s="395"/>
      <c r="DP130" s="395"/>
      <c r="DQ130" s="395"/>
      <c r="DR130" s="395"/>
      <c r="DS130" s="395"/>
      <c r="DT130" s="395"/>
      <c r="DU130" s="395"/>
      <c r="DV130" s="395"/>
      <c r="DW130" s="395"/>
      <c r="DX130" s="395"/>
      <c r="DY130" s="395"/>
      <c r="DZ130" s="395"/>
      <c r="EA130" s="395"/>
      <c r="EB130" s="395"/>
      <c r="EC130" s="395"/>
      <c r="ED130" s="395"/>
      <c r="EE130" s="395"/>
      <c r="EF130" s="395"/>
      <c r="EG130" s="395"/>
      <c r="EH130" s="395"/>
      <c r="EI130" s="395"/>
      <c r="EJ130" s="395"/>
      <c r="EK130" s="395"/>
      <c r="EL130" s="395"/>
      <c r="EM130" s="395"/>
      <c r="EN130" s="395"/>
      <c r="EO130" s="395"/>
      <c r="EP130" s="395"/>
      <c r="EQ130" s="395"/>
      <c r="ER130" s="395"/>
      <c r="ES130" s="395"/>
      <c r="ET130" s="395"/>
      <c r="EU130" s="395"/>
      <c r="EV130" s="395"/>
      <c r="EW130" s="395"/>
      <c r="EX130" s="395"/>
      <c r="EY130" s="395"/>
      <c r="EZ130" s="395"/>
      <c r="FA130" s="395"/>
      <c r="FB130" s="395"/>
      <c r="FC130" s="395"/>
      <c r="FD130" s="395"/>
      <c r="FE130" s="395"/>
      <c r="FF130" s="395"/>
      <c r="FG130" s="395"/>
      <c r="FH130" s="395"/>
      <c r="FI130" s="395"/>
      <c r="FJ130" s="395"/>
      <c r="FK130" s="395"/>
      <c r="FL130" s="395"/>
      <c r="FM130" s="395"/>
      <c r="FN130" s="395"/>
      <c r="FO130" s="395"/>
      <c r="FP130" s="395"/>
      <c r="FQ130" s="395"/>
      <c r="FR130" s="395"/>
      <c r="FS130" s="395"/>
      <c r="FT130" s="395"/>
      <c r="FU130" s="395"/>
      <c r="FV130" s="395"/>
      <c r="FW130" s="395"/>
      <c r="FX130" s="395"/>
      <c r="FY130" s="395"/>
      <c r="FZ130" s="395"/>
      <c r="GA130" s="395"/>
      <c r="GB130" s="395"/>
      <c r="GC130" s="395"/>
      <c r="GD130" s="395"/>
      <c r="GE130" s="395"/>
      <c r="GF130" s="395"/>
      <c r="GG130" s="395"/>
      <c r="GH130" s="395"/>
      <c r="GI130" s="395"/>
      <c r="GJ130" s="395"/>
      <c r="GK130" s="395"/>
      <c r="GL130" s="395"/>
      <c r="GM130" s="395"/>
      <c r="GN130" s="395"/>
      <c r="GO130" s="395"/>
      <c r="GP130" s="395"/>
      <c r="GQ130" s="395"/>
      <c r="GR130" s="395"/>
      <c r="GS130" s="395"/>
      <c r="GT130" s="395"/>
      <c r="GU130" s="395"/>
      <c r="GV130" s="395"/>
      <c r="GW130" s="395"/>
      <c r="GX130" s="395"/>
      <c r="GY130" s="395"/>
      <c r="GZ130" s="395"/>
      <c r="HA130" s="395"/>
      <c r="HB130" s="395"/>
      <c r="HC130" s="395"/>
      <c r="HD130" s="395"/>
      <c r="HE130" s="395"/>
      <c r="HF130" s="395"/>
      <c r="HG130" s="395"/>
      <c r="HH130" s="395"/>
      <c r="HI130" s="395"/>
      <c r="HJ130" s="395"/>
      <c r="HK130" s="395"/>
      <c r="HL130" s="395"/>
      <c r="HM130" s="395"/>
      <c r="HN130" s="395"/>
      <c r="HO130" s="395"/>
      <c r="HP130" s="395"/>
      <c r="HQ130" s="395"/>
      <c r="HR130" s="395"/>
    </row>
    <row r="131" spans="1:226" s="866" customFormat="1" hidden="1" x14ac:dyDescent="0.25">
      <c r="A131" s="395"/>
      <c r="B131" s="395"/>
      <c r="C131" s="395"/>
      <c r="D131" s="395" t="str">
        <f>IF(D124="N/A",0,D124)</f>
        <v/>
      </c>
      <c r="E131" s="395">
        <f t="shared" ref="E131:U131" si="43">IF(E124="N/A",0,E124)</f>
        <v>0</v>
      </c>
      <c r="F131" s="395" t="str">
        <f t="shared" si="43"/>
        <v/>
      </c>
      <c r="G131" s="395">
        <f t="shared" si="43"/>
        <v>0</v>
      </c>
      <c r="H131" s="395" t="str">
        <f t="shared" si="43"/>
        <v/>
      </c>
      <c r="I131" s="395">
        <f t="shared" si="43"/>
        <v>0</v>
      </c>
      <c r="J131" s="395" t="str">
        <f t="shared" si="43"/>
        <v/>
      </c>
      <c r="K131" s="395">
        <f t="shared" si="43"/>
        <v>0</v>
      </c>
      <c r="L131" s="395" t="str">
        <f t="shared" si="43"/>
        <v/>
      </c>
      <c r="M131" s="395">
        <f t="shared" si="43"/>
        <v>0</v>
      </c>
      <c r="N131" s="395" t="str">
        <f t="shared" si="43"/>
        <v/>
      </c>
      <c r="O131" s="395">
        <f t="shared" si="43"/>
        <v>0</v>
      </c>
      <c r="P131" s="395" t="str">
        <f t="shared" si="43"/>
        <v/>
      </c>
      <c r="Q131" s="395">
        <f t="shared" si="43"/>
        <v>0</v>
      </c>
      <c r="R131" s="395" t="str">
        <f t="shared" si="43"/>
        <v/>
      </c>
      <c r="S131" s="395">
        <f t="shared" si="43"/>
        <v>0</v>
      </c>
      <c r="T131" s="395" t="str">
        <f t="shared" si="43"/>
        <v/>
      </c>
      <c r="U131" s="395">
        <f t="shared" si="43"/>
        <v>0</v>
      </c>
      <c r="V131" s="395"/>
      <c r="W131" s="395"/>
      <c r="X131" s="395"/>
      <c r="Y131" s="395"/>
      <c r="Z131" s="2140"/>
      <c r="AA131" s="395"/>
      <c r="AB131" s="395"/>
      <c r="AC131" s="395"/>
      <c r="AD131" s="395"/>
      <c r="AE131" s="395"/>
      <c r="AF131" s="395"/>
      <c r="AG131" s="395"/>
      <c r="AH131" s="395"/>
      <c r="AI131" s="395"/>
      <c r="AJ131" s="395"/>
      <c r="AK131" s="395"/>
      <c r="AL131" s="395"/>
      <c r="AM131" s="395"/>
      <c r="AN131" s="395"/>
      <c r="AO131" s="395"/>
      <c r="AP131" s="395"/>
      <c r="AQ131" s="395"/>
      <c r="AR131" s="395"/>
      <c r="AS131" s="395"/>
      <c r="AT131" s="395"/>
      <c r="AU131" s="395"/>
      <c r="AV131" s="395"/>
      <c r="AW131" s="395"/>
      <c r="AX131" s="395"/>
      <c r="AY131" s="395"/>
      <c r="AZ131" s="395"/>
      <c r="BA131" s="395"/>
      <c r="BB131" s="395"/>
      <c r="BC131" s="395"/>
      <c r="BD131" s="395"/>
      <c r="BE131" s="395"/>
      <c r="BF131" s="395"/>
      <c r="BG131" s="395"/>
      <c r="BH131" s="395"/>
      <c r="BI131" s="395"/>
      <c r="BJ131" s="395"/>
      <c r="BK131" s="395"/>
      <c r="BL131" s="395"/>
      <c r="BM131" s="395"/>
      <c r="BN131" s="395"/>
      <c r="BO131" s="395"/>
      <c r="BP131" s="395"/>
      <c r="BQ131" s="395"/>
      <c r="BR131" s="395"/>
      <c r="BS131" s="395"/>
      <c r="BT131" s="395"/>
      <c r="BU131" s="395"/>
      <c r="BV131" s="395"/>
      <c r="BW131" s="395"/>
      <c r="BX131" s="395"/>
      <c r="BY131" s="395"/>
      <c r="BZ131" s="395"/>
      <c r="CA131" s="395"/>
      <c r="CB131" s="395"/>
      <c r="CC131" s="395"/>
      <c r="CD131" s="395"/>
      <c r="CE131" s="395"/>
      <c r="CF131" s="395"/>
      <c r="CG131" s="395"/>
      <c r="CH131" s="395"/>
      <c r="CI131" s="395"/>
      <c r="CJ131" s="395"/>
      <c r="CK131" s="395"/>
      <c r="CL131" s="395"/>
      <c r="CM131" s="395"/>
      <c r="CN131" s="395"/>
      <c r="CO131" s="395"/>
      <c r="CP131" s="395"/>
      <c r="CQ131" s="395"/>
      <c r="CR131" s="395"/>
      <c r="CS131" s="395"/>
      <c r="CT131" s="395"/>
      <c r="CU131" s="395"/>
      <c r="CV131" s="395"/>
      <c r="CW131" s="395"/>
      <c r="CX131" s="395"/>
      <c r="CY131" s="395"/>
      <c r="CZ131" s="395"/>
      <c r="DA131" s="395"/>
      <c r="DB131" s="395"/>
      <c r="DC131" s="395"/>
      <c r="DD131" s="395"/>
      <c r="DE131" s="395"/>
      <c r="DF131" s="395"/>
      <c r="DG131" s="395"/>
      <c r="DH131" s="395"/>
      <c r="DI131" s="395"/>
      <c r="DJ131" s="395"/>
      <c r="DK131" s="395"/>
      <c r="DL131" s="395"/>
      <c r="DM131" s="395"/>
      <c r="DN131" s="395"/>
      <c r="DO131" s="395"/>
      <c r="DP131" s="395"/>
      <c r="DQ131" s="395"/>
      <c r="DR131" s="395"/>
      <c r="DS131" s="395"/>
      <c r="DT131" s="395"/>
      <c r="DU131" s="395"/>
      <c r="DV131" s="395"/>
      <c r="DW131" s="395"/>
      <c r="DX131" s="395"/>
      <c r="DY131" s="395"/>
      <c r="DZ131" s="395"/>
      <c r="EA131" s="395"/>
      <c r="EB131" s="395"/>
      <c r="EC131" s="395"/>
      <c r="ED131" s="395"/>
      <c r="EE131" s="395"/>
      <c r="EF131" s="395"/>
      <c r="EG131" s="395"/>
      <c r="EH131" s="395"/>
      <c r="EI131" s="395"/>
      <c r="EJ131" s="395"/>
      <c r="EK131" s="395"/>
      <c r="EL131" s="395"/>
      <c r="EM131" s="395"/>
      <c r="EN131" s="395"/>
      <c r="EO131" s="395"/>
      <c r="EP131" s="395"/>
      <c r="EQ131" s="395"/>
      <c r="ER131" s="395"/>
      <c r="ES131" s="395"/>
      <c r="ET131" s="395"/>
      <c r="EU131" s="395"/>
      <c r="EV131" s="395"/>
      <c r="EW131" s="395"/>
      <c r="EX131" s="395"/>
      <c r="EY131" s="395"/>
      <c r="EZ131" s="395"/>
      <c r="FA131" s="395"/>
      <c r="FB131" s="395"/>
      <c r="FC131" s="395"/>
      <c r="FD131" s="395"/>
      <c r="FE131" s="395"/>
      <c r="FF131" s="395"/>
      <c r="FG131" s="395"/>
      <c r="FH131" s="395"/>
      <c r="FI131" s="395"/>
      <c r="FJ131" s="395"/>
      <c r="FK131" s="395"/>
      <c r="FL131" s="395"/>
      <c r="FM131" s="395"/>
      <c r="FN131" s="395"/>
      <c r="FO131" s="395"/>
      <c r="FP131" s="395"/>
      <c r="FQ131" s="395"/>
      <c r="FR131" s="395"/>
      <c r="FS131" s="395"/>
      <c r="FT131" s="395"/>
      <c r="FU131" s="395"/>
      <c r="FV131" s="395"/>
      <c r="FW131" s="395"/>
      <c r="FX131" s="395"/>
      <c r="FY131" s="395"/>
      <c r="FZ131" s="395"/>
      <c r="GA131" s="395"/>
      <c r="GB131" s="395"/>
      <c r="GC131" s="395"/>
      <c r="GD131" s="395"/>
      <c r="GE131" s="395"/>
      <c r="GF131" s="395"/>
      <c r="GG131" s="395"/>
      <c r="GH131" s="395"/>
      <c r="GI131" s="395"/>
      <c r="GJ131" s="395"/>
      <c r="GK131" s="395"/>
      <c r="GL131" s="395"/>
      <c r="GM131" s="395"/>
      <c r="GN131" s="395"/>
      <c r="GO131" s="395"/>
      <c r="GP131" s="395"/>
      <c r="GQ131" s="395"/>
      <c r="GR131" s="395"/>
      <c r="GS131" s="395"/>
      <c r="GT131" s="395"/>
      <c r="GU131" s="395"/>
      <c r="GV131" s="395"/>
      <c r="GW131" s="395"/>
      <c r="GX131" s="395"/>
      <c r="GY131" s="395"/>
      <c r="GZ131" s="395"/>
      <c r="HA131" s="395"/>
      <c r="HB131" s="395"/>
      <c r="HC131" s="395"/>
      <c r="HD131" s="395"/>
      <c r="HE131" s="395"/>
      <c r="HF131" s="395"/>
      <c r="HG131" s="395"/>
      <c r="HH131" s="395"/>
      <c r="HI131" s="395"/>
      <c r="HJ131" s="395"/>
      <c r="HK131" s="395"/>
      <c r="HL131" s="395"/>
      <c r="HM131" s="395"/>
      <c r="HN131" s="395"/>
      <c r="HO131" s="395"/>
      <c r="HP131" s="395"/>
      <c r="HQ131" s="395"/>
      <c r="HR131" s="395"/>
    </row>
    <row r="132" spans="1:226" s="866" customFormat="1" x14ac:dyDescent="0.25">
      <c r="A132" s="395"/>
      <c r="B132" s="395"/>
      <c r="C132" s="395"/>
      <c r="D132" s="395"/>
      <c r="E132" s="395"/>
      <c r="F132" s="395"/>
      <c r="G132" s="395"/>
      <c r="H132" s="395"/>
      <c r="I132" s="395"/>
      <c r="J132" s="395"/>
      <c r="K132" s="395"/>
      <c r="L132" s="395"/>
      <c r="M132" s="395"/>
      <c r="N132" s="395"/>
      <c r="O132" s="395"/>
      <c r="P132" s="395"/>
      <c r="Q132" s="395"/>
      <c r="R132" s="395"/>
      <c r="S132" s="395"/>
      <c r="T132" s="395"/>
      <c r="U132" s="395"/>
      <c r="V132" s="395"/>
      <c r="W132" s="395"/>
      <c r="X132" s="395"/>
      <c r="Y132" s="395"/>
      <c r="Z132" s="2140"/>
      <c r="AA132" s="395"/>
      <c r="AB132" s="395"/>
      <c r="AC132" s="395"/>
      <c r="AD132" s="395"/>
      <c r="AE132" s="395"/>
      <c r="AF132" s="395"/>
      <c r="AG132" s="395"/>
      <c r="AH132" s="395"/>
      <c r="AI132" s="395"/>
      <c r="AJ132" s="395"/>
      <c r="AK132" s="395"/>
      <c r="AL132" s="395"/>
      <c r="AM132" s="395"/>
      <c r="AN132" s="395"/>
      <c r="AO132" s="395"/>
      <c r="AP132" s="395"/>
      <c r="AQ132" s="395"/>
      <c r="AR132" s="395"/>
      <c r="AS132" s="395"/>
      <c r="AT132" s="395"/>
      <c r="AU132" s="395"/>
      <c r="AV132" s="395"/>
      <c r="AW132" s="395"/>
      <c r="AX132" s="395"/>
      <c r="AY132" s="395"/>
      <c r="AZ132" s="395"/>
      <c r="BA132" s="395"/>
      <c r="BB132" s="395"/>
      <c r="BC132" s="395"/>
      <c r="BD132" s="395"/>
      <c r="BE132" s="395"/>
      <c r="BF132" s="395"/>
      <c r="BG132" s="395"/>
      <c r="BH132" s="395"/>
      <c r="BI132" s="395"/>
      <c r="BJ132" s="395"/>
      <c r="BK132" s="395"/>
      <c r="BL132" s="395"/>
      <c r="BM132" s="395"/>
      <c r="BN132" s="395"/>
      <c r="BO132" s="395"/>
      <c r="BP132" s="395"/>
      <c r="BQ132" s="395"/>
      <c r="BR132" s="395"/>
      <c r="BS132" s="395"/>
      <c r="BT132" s="395"/>
      <c r="BU132" s="395"/>
      <c r="BV132" s="395"/>
      <c r="BW132" s="395"/>
      <c r="BX132" s="395"/>
      <c r="BY132" s="395"/>
      <c r="BZ132" s="395"/>
      <c r="CA132" s="395"/>
      <c r="CB132" s="395"/>
      <c r="CC132" s="395"/>
      <c r="CD132" s="395"/>
      <c r="CE132" s="395"/>
      <c r="CF132" s="395"/>
      <c r="CG132" s="395"/>
      <c r="CH132" s="395"/>
      <c r="CI132" s="395"/>
      <c r="CJ132" s="395"/>
      <c r="CK132" s="395"/>
      <c r="CL132" s="395"/>
      <c r="CM132" s="395"/>
      <c r="CN132" s="395"/>
      <c r="CO132" s="395"/>
      <c r="CP132" s="395"/>
      <c r="CQ132" s="395"/>
      <c r="CR132" s="395"/>
      <c r="CS132" s="395"/>
      <c r="CT132" s="395"/>
      <c r="CU132" s="395"/>
      <c r="CV132" s="395"/>
      <c r="CW132" s="395"/>
      <c r="CX132" s="395"/>
      <c r="CY132" s="395"/>
      <c r="CZ132" s="395"/>
      <c r="DA132" s="395"/>
      <c r="DB132" s="395"/>
      <c r="DC132" s="395"/>
      <c r="DD132" s="395"/>
      <c r="DE132" s="395"/>
      <c r="DF132" s="395"/>
      <c r="DG132" s="395"/>
      <c r="DH132" s="395"/>
      <c r="DI132" s="395"/>
      <c r="DJ132" s="395"/>
      <c r="DK132" s="395"/>
      <c r="DL132" s="395"/>
      <c r="DM132" s="395"/>
      <c r="DN132" s="395"/>
      <c r="DO132" s="395"/>
      <c r="DP132" s="395"/>
      <c r="DQ132" s="395"/>
      <c r="DR132" s="395"/>
      <c r="DS132" s="395"/>
      <c r="DT132" s="395"/>
      <c r="DU132" s="395"/>
      <c r="DV132" s="395"/>
      <c r="DW132" s="395"/>
      <c r="DX132" s="395"/>
      <c r="DY132" s="395"/>
      <c r="DZ132" s="395"/>
      <c r="EA132" s="395"/>
      <c r="EB132" s="395"/>
      <c r="EC132" s="395"/>
      <c r="ED132" s="395"/>
      <c r="EE132" s="395"/>
      <c r="EF132" s="395"/>
      <c r="EG132" s="395"/>
      <c r="EH132" s="395"/>
      <c r="EI132" s="395"/>
      <c r="EJ132" s="395"/>
      <c r="EK132" s="395"/>
      <c r="EL132" s="395"/>
      <c r="EM132" s="395"/>
      <c r="EN132" s="395"/>
      <c r="EO132" s="395"/>
      <c r="EP132" s="395"/>
      <c r="EQ132" s="395"/>
      <c r="ER132" s="395"/>
      <c r="ES132" s="395"/>
      <c r="ET132" s="395"/>
      <c r="EU132" s="395"/>
      <c r="EV132" s="395"/>
      <c r="EW132" s="395"/>
      <c r="EX132" s="395"/>
      <c r="EY132" s="395"/>
      <c r="EZ132" s="395"/>
      <c r="FA132" s="395"/>
      <c r="FB132" s="395"/>
      <c r="FC132" s="395"/>
      <c r="FD132" s="395"/>
      <c r="FE132" s="395"/>
      <c r="FF132" s="395"/>
      <c r="FG132" s="395"/>
      <c r="FH132" s="395"/>
      <c r="FI132" s="395"/>
      <c r="FJ132" s="395"/>
      <c r="FK132" s="395"/>
      <c r="FL132" s="395"/>
      <c r="FM132" s="395"/>
      <c r="FN132" s="395"/>
      <c r="FO132" s="395"/>
      <c r="FP132" s="395"/>
      <c r="FQ132" s="395"/>
      <c r="FR132" s="395"/>
      <c r="FS132" s="395"/>
      <c r="FT132" s="395"/>
      <c r="FU132" s="395"/>
      <c r="FV132" s="395"/>
      <c r="FW132" s="395"/>
      <c r="FX132" s="395"/>
      <c r="FY132" s="395"/>
      <c r="FZ132" s="395"/>
      <c r="GA132" s="395"/>
      <c r="GB132" s="395"/>
      <c r="GC132" s="395"/>
      <c r="GD132" s="395"/>
      <c r="GE132" s="395"/>
      <c r="GF132" s="395"/>
      <c r="GG132" s="395"/>
      <c r="GH132" s="395"/>
      <c r="GI132" s="395"/>
      <c r="GJ132" s="395"/>
      <c r="GK132" s="395"/>
      <c r="GL132" s="395"/>
      <c r="GM132" s="395"/>
      <c r="GN132" s="395"/>
      <c r="GO132" s="395"/>
      <c r="GP132" s="395"/>
      <c r="GQ132" s="395"/>
      <c r="GR132" s="395"/>
      <c r="GS132" s="395"/>
      <c r="GT132" s="395"/>
      <c r="GU132" s="395"/>
      <c r="GV132" s="395"/>
      <c r="GW132" s="395"/>
      <c r="GX132" s="395"/>
      <c r="GY132" s="395"/>
      <c r="GZ132" s="395"/>
      <c r="HA132" s="395"/>
      <c r="HB132" s="395"/>
      <c r="HC132" s="395"/>
      <c r="HD132" s="395"/>
      <c r="HE132" s="395"/>
      <c r="HF132" s="395"/>
      <c r="HG132" s="395"/>
      <c r="HH132" s="395"/>
      <c r="HI132" s="395"/>
      <c r="HJ132" s="395"/>
      <c r="HK132" s="395"/>
      <c r="HL132" s="395"/>
      <c r="HM132" s="395"/>
      <c r="HN132" s="395"/>
      <c r="HO132" s="395"/>
      <c r="HP132" s="395"/>
      <c r="HQ132" s="395"/>
      <c r="HR132" s="395"/>
    </row>
    <row r="133" spans="1:226" s="866" customFormat="1" x14ac:dyDescent="0.25">
      <c r="A133" s="395"/>
      <c r="B133" s="395"/>
      <c r="C133" s="395"/>
      <c r="D133" s="395"/>
      <c r="E133" s="395"/>
      <c r="F133" s="395"/>
      <c r="G133" s="395"/>
      <c r="H133" s="395"/>
      <c r="I133" s="395"/>
      <c r="J133" s="395"/>
      <c r="K133" s="395"/>
      <c r="L133" s="395"/>
      <c r="M133" s="395"/>
      <c r="N133" s="395"/>
      <c r="O133" s="395"/>
      <c r="P133" s="395"/>
      <c r="Q133" s="395"/>
      <c r="R133" s="395"/>
      <c r="S133" s="395"/>
      <c r="T133" s="395"/>
      <c r="U133" s="395"/>
      <c r="V133" s="395"/>
      <c r="W133" s="395"/>
      <c r="X133" s="395"/>
      <c r="Y133" s="395"/>
      <c r="Z133" s="2140"/>
      <c r="AA133" s="395"/>
      <c r="AB133" s="395"/>
      <c r="AC133" s="395"/>
      <c r="AD133" s="395"/>
      <c r="AE133" s="395"/>
      <c r="AF133" s="395"/>
      <c r="AG133" s="395"/>
      <c r="AH133" s="395"/>
      <c r="AI133" s="395"/>
      <c r="AJ133" s="395"/>
      <c r="AK133" s="395"/>
      <c r="AL133" s="395"/>
      <c r="AM133" s="395"/>
      <c r="AN133" s="395"/>
      <c r="AO133" s="395"/>
      <c r="AP133" s="395"/>
      <c r="AQ133" s="395"/>
      <c r="AR133" s="395"/>
      <c r="AS133" s="395"/>
      <c r="AT133" s="395"/>
      <c r="AU133" s="395"/>
      <c r="AV133" s="395"/>
      <c r="AW133" s="395"/>
      <c r="AX133" s="395"/>
      <c r="AY133" s="395"/>
      <c r="AZ133" s="395"/>
      <c r="BA133" s="395"/>
      <c r="BB133" s="395"/>
      <c r="BC133" s="395"/>
      <c r="BD133" s="395"/>
      <c r="BE133" s="395"/>
      <c r="BF133" s="395"/>
      <c r="BG133" s="395"/>
      <c r="BH133" s="395"/>
      <c r="BI133" s="395"/>
      <c r="BJ133" s="395"/>
      <c r="BK133" s="395"/>
      <c r="BL133" s="395"/>
      <c r="BM133" s="395"/>
      <c r="BN133" s="395"/>
      <c r="BO133" s="395"/>
      <c r="BP133" s="395"/>
      <c r="BQ133" s="395"/>
      <c r="BR133" s="395"/>
      <c r="BS133" s="395"/>
      <c r="BT133" s="395"/>
      <c r="BU133" s="395"/>
      <c r="BV133" s="395"/>
      <c r="BW133" s="395"/>
      <c r="BX133" s="395"/>
      <c r="BY133" s="395"/>
      <c r="BZ133" s="395"/>
      <c r="CA133" s="395"/>
      <c r="CB133" s="395"/>
      <c r="CC133" s="395"/>
      <c r="CD133" s="395"/>
      <c r="CE133" s="395"/>
      <c r="CF133" s="395"/>
      <c r="CG133" s="395"/>
      <c r="CH133" s="395"/>
      <c r="CI133" s="395"/>
      <c r="CJ133" s="395"/>
      <c r="CK133" s="395"/>
      <c r="CL133" s="395"/>
      <c r="CM133" s="395"/>
      <c r="CN133" s="395"/>
      <c r="CO133" s="395"/>
      <c r="CP133" s="395"/>
      <c r="CQ133" s="395"/>
      <c r="CR133" s="395"/>
      <c r="CS133" s="395"/>
      <c r="CT133" s="395"/>
      <c r="CU133" s="395"/>
      <c r="CV133" s="395"/>
      <c r="CW133" s="395"/>
      <c r="CX133" s="395"/>
      <c r="CY133" s="395"/>
      <c r="CZ133" s="395"/>
      <c r="DA133" s="395"/>
      <c r="DB133" s="395"/>
      <c r="DC133" s="395"/>
      <c r="DD133" s="395"/>
      <c r="DE133" s="395"/>
      <c r="DF133" s="395"/>
      <c r="DG133" s="395"/>
      <c r="DH133" s="395"/>
      <c r="DI133" s="395"/>
      <c r="DJ133" s="395"/>
      <c r="DK133" s="395"/>
      <c r="DL133" s="395"/>
      <c r="DM133" s="395"/>
      <c r="DN133" s="395"/>
      <c r="DO133" s="395"/>
      <c r="DP133" s="395"/>
      <c r="DQ133" s="395"/>
      <c r="DR133" s="395"/>
      <c r="DS133" s="395"/>
      <c r="DT133" s="395"/>
      <c r="DU133" s="395"/>
      <c r="DV133" s="395"/>
      <c r="DW133" s="395"/>
      <c r="DX133" s="395"/>
      <c r="DY133" s="395"/>
      <c r="DZ133" s="395"/>
      <c r="EA133" s="395"/>
      <c r="EB133" s="395"/>
      <c r="EC133" s="395"/>
      <c r="ED133" s="395"/>
      <c r="EE133" s="395"/>
      <c r="EF133" s="395"/>
      <c r="EG133" s="395"/>
      <c r="EH133" s="395"/>
      <c r="EI133" s="395"/>
      <c r="EJ133" s="395"/>
      <c r="EK133" s="395"/>
      <c r="EL133" s="395"/>
      <c r="EM133" s="395"/>
      <c r="EN133" s="395"/>
      <c r="EO133" s="395"/>
      <c r="EP133" s="395"/>
      <c r="EQ133" s="395"/>
      <c r="ER133" s="395"/>
      <c r="ES133" s="395"/>
      <c r="ET133" s="395"/>
      <c r="EU133" s="395"/>
      <c r="EV133" s="395"/>
      <c r="EW133" s="395"/>
      <c r="EX133" s="395"/>
      <c r="EY133" s="395"/>
      <c r="EZ133" s="395"/>
      <c r="FA133" s="395"/>
      <c r="FB133" s="395"/>
      <c r="FC133" s="395"/>
      <c r="FD133" s="395"/>
      <c r="FE133" s="395"/>
      <c r="FF133" s="395"/>
      <c r="FG133" s="395"/>
      <c r="FH133" s="395"/>
      <c r="FI133" s="395"/>
      <c r="FJ133" s="395"/>
      <c r="FK133" s="395"/>
      <c r="FL133" s="395"/>
      <c r="FM133" s="395"/>
      <c r="FN133" s="395"/>
      <c r="FO133" s="395"/>
      <c r="FP133" s="395"/>
      <c r="FQ133" s="395"/>
      <c r="FR133" s="395"/>
      <c r="FS133" s="395"/>
      <c r="FT133" s="395"/>
      <c r="FU133" s="395"/>
      <c r="FV133" s="395"/>
      <c r="FW133" s="395"/>
      <c r="FX133" s="395"/>
      <c r="FY133" s="395"/>
      <c r="FZ133" s="395"/>
      <c r="GA133" s="395"/>
      <c r="GB133" s="395"/>
      <c r="GC133" s="395"/>
      <c r="GD133" s="395"/>
      <c r="GE133" s="395"/>
      <c r="GF133" s="395"/>
      <c r="GG133" s="395"/>
      <c r="GH133" s="395"/>
      <c r="GI133" s="395"/>
      <c r="GJ133" s="395"/>
      <c r="GK133" s="395"/>
      <c r="GL133" s="395"/>
      <c r="GM133" s="395"/>
      <c r="GN133" s="395"/>
      <c r="GO133" s="395"/>
      <c r="GP133" s="395"/>
      <c r="GQ133" s="395"/>
      <c r="GR133" s="395"/>
      <c r="GS133" s="395"/>
      <c r="GT133" s="395"/>
      <c r="GU133" s="395"/>
      <c r="GV133" s="395"/>
      <c r="GW133" s="395"/>
      <c r="GX133" s="395"/>
      <c r="GY133" s="395"/>
      <c r="GZ133" s="395"/>
      <c r="HA133" s="395"/>
      <c r="HB133" s="395"/>
      <c r="HC133" s="395"/>
      <c r="HD133" s="395"/>
      <c r="HE133" s="395"/>
      <c r="HF133" s="395"/>
      <c r="HG133" s="395"/>
      <c r="HH133" s="395"/>
      <c r="HI133" s="395"/>
      <c r="HJ133" s="395"/>
      <c r="HK133" s="395"/>
      <c r="HL133" s="395"/>
      <c r="HM133" s="395"/>
      <c r="HN133" s="395"/>
      <c r="HO133" s="395"/>
      <c r="HP133" s="395"/>
      <c r="HQ133" s="395"/>
      <c r="HR133" s="395"/>
    </row>
    <row r="134" spans="1:226" s="866" customFormat="1" x14ac:dyDescent="0.25">
      <c r="A134" s="395"/>
      <c r="B134" s="395"/>
      <c r="C134" s="395"/>
      <c r="D134" s="395"/>
      <c r="E134" s="395"/>
      <c r="F134" s="395"/>
      <c r="G134" s="395"/>
      <c r="H134" s="395"/>
      <c r="I134" s="395"/>
      <c r="J134" s="395"/>
      <c r="K134" s="395"/>
      <c r="L134" s="395"/>
      <c r="M134" s="395"/>
      <c r="N134" s="395"/>
      <c r="O134" s="395"/>
      <c r="P134" s="395"/>
      <c r="Q134" s="395"/>
      <c r="R134" s="395"/>
      <c r="S134" s="395"/>
      <c r="T134" s="395"/>
      <c r="U134" s="395"/>
      <c r="V134" s="395"/>
      <c r="W134" s="395"/>
      <c r="X134" s="395"/>
      <c r="Y134" s="395"/>
      <c r="Z134" s="2140"/>
      <c r="AA134" s="395"/>
      <c r="AB134" s="395"/>
      <c r="AC134" s="395"/>
      <c r="AD134" s="395"/>
      <c r="AE134" s="395"/>
      <c r="AF134" s="395"/>
      <c r="AG134" s="395"/>
      <c r="AH134" s="395"/>
      <c r="AI134" s="395"/>
      <c r="AJ134" s="395"/>
      <c r="AK134" s="395"/>
      <c r="AL134" s="395"/>
      <c r="AM134" s="395"/>
      <c r="AN134" s="395"/>
      <c r="AO134" s="395"/>
      <c r="AP134" s="395"/>
      <c r="AQ134" s="395"/>
      <c r="AR134" s="395"/>
      <c r="AS134" s="395"/>
      <c r="AT134" s="395"/>
      <c r="AU134" s="395"/>
      <c r="AV134" s="395"/>
      <c r="AW134" s="395"/>
      <c r="AX134" s="395"/>
      <c r="AY134" s="395"/>
      <c r="AZ134" s="395"/>
      <c r="BA134" s="395"/>
      <c r="BB134" s="395"/>
      <c r="BC134" s="395"/>
      <c r="BD134" s="395"/>
      <c r="BE134" s="395"/>
      <c r="BF134" s="395"/>
      <c r="BG134" s="395"/>
      <c r="BH134" s="395"/>
      <c r="BI134" s="395"/>
      <c r="BJ134" s="395"/>
      <c r="BK134" s="395"/>
      <c r="BL134" s="395"/>
      <c r="BM134" s="395"/>
      <c r="BN134" s="395"/>
      <c r="BO134" s="395"/>
      <c r="BP134" s="395"/>
      <c r="BQ134" s="395"/>
      <c r="BR134" s="395"/>
      <c r="BS134" s="395"/>
      <c r="BT134" s="395"/>
      <c r="BU134" s="395"/>
      <c r="BV134" s="395"/>
      <c r="BW134" s="395"/>
      <c r="BX134" s="395"/>
      <c r="BY134" s="395"/>
      <c r="BZ134" s="395"/>
      <c r="CA134" s="395"/>
      <c r="CB134" s="395"/>
      <c r="CC134" s="395"/>
      <c r="CD134" s="395"/>
      <c r="CE134" s="395"/>
      <c r="CF134" s="395"/>
      <c r="CG134" s="395"/>
      <c r="CH134" s="395"/>
      <c r="CI134" s="395"/>
      <c r="CJ134" s="395"/>
      <c r="CK134" s="395"/>
      <c r="CL134" s="395"/>
      <c r="CM134" s="395"/>
      <c r="CN134" s="395"/>
      <c r="CO134" s="395"/>
      <c r="CP134" s="395"/>
      <c r="CQ134" s="395"/>
      <c r="CR134" s="395"/>
      <c r="CS134" s="395"/>
      <c r="CT134" s="395"/>
      <c r="CU134" s="395"/>
      <c r="CV134" s="395"/>
      <c r="CW134" s="395"/>
      <c r="CX134" s="395"/>
      <c r="CY134" s="395"/>
      <c r="CZ134" s="395"/>
      <c r="DA134" s="395"/>
      <c r="DB134" s="395"/>
      <c r="DC134" s="395"/>
      <c r="DD134" s="395"/>
      <c r="DE134" s="395"/>
      <c r="DF134" s="395"/>
      <c r="DG134" s="395"/>
      <c r="DH134" s="395"/>
      <c r="DI134" s="395"/>
      <c r="DJ134" s="395"/>
      <c r="DK134" s="395"/>
      <c r="DL134" s="395"/>
      <c r="DM134" s="395"/>
      <c r="DN134" s="395"/>
      <c r="DO134" s="395"/>
      <c r="DP134" s="395"/>
      <c r="DQ134" s="395"/>
      <c r="DR134" s="395"/>
      <c r="DS134" s="395"/>
      <c r="DT134" s="395"/>
      <c r="DU134" s="395"/>
      <c r="DV134" s="395"/>
      <c r="DW134" s="395"/>
      <c r="DX134" s="395"/>
      <c r="DY134" s="395"/>
      <c r="DZ134" s="395"/>
      <c r="EA134" s="395"/>
      <c r="EB134" s="395"/>
      <c r="EC134" s="395"/>
      <c r="ED134" s="395"/>
      <c r="EE134" s="395"/>
      <c r="EF134" s="395"/>
      <c r="EG134" s="395"/>
      <c r="EH134" s="395"/>
      <c r="EI134" s="395"/>
      <c r="EJ134" s="395"/>
      <c r="EK134" s="395"/>
      <c r="EL134" s="395"/>
      <c r="EM134" s="395"/>
      <c r="EN134" s="395"/>
      <c r="EO134" s="395"/>
      <c r="EP134" s="395"/>
      <c r="EQ134" s="395"/>
      <c r="ER134" s="395"/>
      <c r="ES134" s="395"/>
      <c r="ET134" s="395"/>
      <c r="EU134" s="395"/>
      <c r="EV134" s="395"/>
      <c r="EW134" s="395"/>
      <c r="EX134" s="395"/>
      <c r="EY134" s="395"/>
      <c r="EZ134" s="395"/>
      <c r="FA134" s="395"/>
      <c r="FB134" s="395"/>
      <c r="FC134" s="395"/>
      <c r="FD134" s="395"/>
      <c r="FE134" s="395"/>
      <c r="FF134" s="395"/>
      <c r="FG134" s="395"/>
      <c r="FH134" s="395"/>
      <c r="FI134" s="395"/>
      <c r="FJ134" s="395"/>
      <c r="FK134" s="395"/>
      <c r="FL134" s="395"/>
      <c r="FM134" s="395"/>
      <c r="FN134" s="395"/>
      <c r="FO134" s="395"/>
      <c r="FP134" s="395"/>
      <c r="FQ134" s="395"/>
      <c r="FR134" s="395"/>
      <c r="FS134" s="395"/>
      <c r="FT134" s="395"/>
      <c r="FU134" s="395"/>
      <c r="FV134" s="395"/>
      <c r="FW134" s="395"/>
      <c r="FX134" s="395"/>
      <c r="FY134" s="395"/>
      <c r="FZ134" s="395"/>
      <c r="GA134" s="395"/>
      <c r="GB134" s="395"/>
      <c r="GC134" s="395"/>
      <c r="GD134" s="395"/>
      <c r="GE134" s="395"/>
      <c r="GF134" s="395"/>
      <c r="GG134" s="395"/>
      <c r="GH134" s="395"/>
      <c r="GI134" s="395"/>
      <c r="GJ134" s="395"/>
      <c r="GK134" s="395"/>
      <c r="GL134" s="395"/>
      <c r="GM134" s="395"/>
      <c r="GN134" s="395"/>
      <c r="GO134" s="395"/>
      <c r="GP134" s="395"/>
      <c r="GQ134" s="395"/>
      <c r="GR134" s="395"/>
      <c r="GS134" s="395"/>
      <c r="GT134" s="395"/>
      <c r="GU134" s="395"/>
      <c r="GV134" s="395"/>
      <c r="GW134" s="395"/>
      <c r="GX134" s="395"/>
      <c r="GY134" s="395"/>
      <c r="GZ134" s="395"/>
      <c r="HA134" s="395"/>
      <c r="HB134" s="395"/>
      <c r="HC134" s="395"/>
      <c r="HD134" s="395"/>
      <c r="HE134" s="395"/>
      <c r="HF134" s="395"/>
      <c r="HG134" s="395"/>
      <c r="HH134" s="395"/>
      <c r="HI134" s="395"/>
      <c r="HJ134" s="395"/>
      <c r="HK134" s="395"/>
      <c r="HL134" s="395"/>
      <c r="HM134" s="395"/>
      <c r="HN134" s="395"/>
      <c r="HO134" s="395"/>
      <c r="HP134" s="395"/>
      <c r="HQ134" s="395"/>
      <c r="HR134" s="395"/>
    </row>
    <row r="135" spans="1:226" s="866" customFormat="1" x14ac:dyDescent="0.25">
      <c r="A135" s="395"/>
      <c r="B135" s="395"/>
      <c r="C135" s="395"/>
      <c r="D135" s="395"/>
      <c r="E135" s="395"/>
      <c r="F135" s="395"/>
      <c r="G135" s="395"/>
      <c r="H135" s="395"/>
      <c r="I135" s="395"/>
      <c r="J135" s="395"/>
      <c r="K135" s="395"/>
      <c r="L135" s="395"/>
      <c r="M135" s="395"/>
      <c r="N135" s="395"/>
      <c r="O135" s="395"/>
      <c r="P135" s="395"/>
      <c r="Q135" s="395"/>
      <c r="R135" s="395"/>
      <c r="S135" s="395"/>
      <c r="T135" s="395"/>
      <c r="U135" s="395"/>
      <c r="V135" s="1608"/>
      <c r="W135" s="395"/>
      <c r="X135" s="395"/>
      <c r="Y135" s="395"/>
      <c r="Z135" s="2140"/>
      <c r="AA135" s="395"/>
      <c r="AB135" s="395"/>
      <c r="AC135" s="395"/>
      <c r="AD135" s="395"/>
      <c r="AE135" s="395"/>
      <c r="AF135" s="395"/>
      <c r="AG135" s="395"/>
      <c r="AH135" s="395"/>
      <c r="AI135" s="395"/>
      <c r="AJ135" s="395"/>
      <c r="AK135" s="395"/>
      <c r="AL135" s="395"/>
      <c r="AM135" s="395"/>
      <c r="AN135" s="395"/>
      <c r="AO135" s="395"/>
      <c r="AP135" s="395"/>
      <c r="AQ135" s="395"/>
      <c r="AR135" s="395"/>
      <c r="AS135" s="395"/>
      <c r="AT135" s="395"/>
      <c r="AU135" s="395"/>
      <c r="AV135" s="395"/>
      <c r="AW135" s="395"/>
      <c r="AX135" s="395"/>
      <c r="AY135" s="395"/>
      <c r="AZ135" s="395"/>
      <c r="BA135" s="395"/>
      <c r="BB135" s="395"/>
      <c r="BC135" s="395"/>
      <c r="BD135" s="395"/>
      <c r="BE135" s="395"/>
      <c r="BF135" s="395"/>
      <c r="BG135" s="395"/>
      <c r="BH135" s="395"/>
      <c r="BI135" s="395"/>
      <c r="BJ135" s="395"/>
      <c r="BK135" s="395"/>
      <c r="BL135" s="395"/>
      <c r="BM135" s="395"/>
      <c r="BN135" s="395"/>
      <c r="BO135" s="395"/>
      <c r="BP135" s="395"/>
      <c r="BQ135" s="395"/>
      <c r="BR135" s="395"/>
      <c r="BS135" s="395"/>
      <c r="BT135" s="395"/>
      <c r="BU135" s="395"/>
      <c r="BV135" s="395"/>
      <c r="BW135" s="395"/>
      <c r="BX135" s="395"/>
      <c r="BY135" s="395"/>
      <c r="BZ135" s="395"/>
      <c r="CA135" s="395"/>
      <c r="CB135" s="395"/>
      <c r="CC135" s="395"/>
      <c r="CD135" s="395"/>
      <c r="CE135" s="395"/>
      <c r="CF135" s="395"/>
      <c r="CG135" s="395"/>
      <c r="CH135" s="395"/>
      <c r="CI135" s="395"/>
      <c r="CJ135" s="395"/>
      <c r="CK135" s="395"/>
      <c r="CL135" s="395"/>
      <c r="CM135" s="395"/>
      <c r="CN135" s="395"/>
      <c r="CO135" s="395"/>
      <c r="CP135" s="395"/>
      <c r="CQ135" s="395"/>
      <c r="CR135" s="395"/>
      <c r="CS135" s="395"/>
      <c r="CT135" s="395"/>
      <c r="CU135" s="395"/>
      <c r="CV135" s="395"/>
      <c r="CW135" s="395"/>
      <c r="CX135" s="395"/>
      <c r="CY135" s="395"/>
      <c r="CZ135" s="395"/>
      <c r="DA135" s="395"/>
      <c r="DB135" s="395"/>
      <c r="DC135" s="395"/>
      <c r="DD135" s="395"/>
      <c r="DE135" s="395"/>
      <c r="DF135" s="395"/>
      <c r="DG135" s="395"/>
      <c r="DH135" s="395"/>
      <c r="DI135" s="395"/>
      <c r="DJ135" s="395"/>
      <c r="DK135" s="395"/>
      <c r="DL135" s="395"/>
      <c r="DM135" s="395"/>
      <c r="DN135" s="395"/>
      <c r="DO135" s="395"/>
      <c r="DP135" s="395"/>
      <c r="DQ135" s="395"/>
      <c r="DR135" s="395"/>
      <c r="DS135" s="395"/>
      <c r="DT135" s="395"/>
      <c r="DU135" s="395"/>
      <c r="DV135" s="395"/>
      <c r="DW135" s="395"/>
      <c r="DX135" s="395"/>
      <c r="DY135" s="395"/>
      <c r="DZ135" s="395"/>
      <c r="EA135" s="395"/>
      <c r="EB135" s="395"/>
      <c r="EC135" s="395"/>
      <c r="ED135" s="395"/>
      <c r="EE135" s="395"/>
      <c r="EF135" s="395"/>
      <c r="EG135" s="395"/>
      <c r="EH135" s="395"/>
      <c r="EI135" s="395"/>
      <c r="EJ135" s="395"/>
      <c r="EK135" s="395"/>
      <c r="EL135" s="395"/>
      <c r="EM135" s="395"/>
      <c r="EN135" s="395"/>
      <c r="EO135" s="395"/>
      <c r="EP135" s="395"/>
      <c r="EQ135" s="395"/>
      <c r="ER135" s="395"/>
      <c r="ES135" s="395"/>
      <c r="ET135" s="395"/>
      <c r="EU135" s="395"/>
      <c r="EV135" s="395"/>
      <c r="EW135" s="395"/>
      <c r="EX135" s="395"/>
      <c r="EY135" s="395"/>
      <c r="EZ135" s="395"/>
      <c r="FA135" s="395"/>
      <c r="FB135" s="395"/>
      <c r="FC135" s="395"/>
      <c r="FD135" s="395"/>
      <c r="FE135" s="395"/>
      <c r="FF135" s="395"/>
      <c r="FG135" s="395"/>
      <c r="FH135" s="395"/>
      <c r="FI135" s="395"/>
      <c r="FJ135" s="395"/>
      <c r="FK135" s="395"/>
      <c r="FL135" s="395"/>
      <c r="FM135" s="395"/>
      <c r="FN135" s="395"/>
      <c r="FO135" s="395"/>
      <c r="FP135" s="395"/>
      <c r="FQ135" s="395"/>
      <c r="FR135" s="395"/>
      <c r="FS135" s="395"/>
      <c r="FT135" s="395"/>
      <c r="FU135" s="395"/>
      <c r="FV135" s="395"/>
      <c r="FW135" s="395"/>
      <c r="FX135" s="395"/>
      <c r="FY135" s="395"/>
      <c r="FZ135" s="395"/>
      <c r="GA135" s="395"/>
      <c r="GB135" s="395"/>
      <c r="GC135" s="395"/>
      <c r="GD135" s="395"/>
      <c r="GE135" s="395"/>
      <c r="GF135" s="395"/>
      <c r="GG135" s="395"/>
      <c r="GH135" s="395"/>
      <c r="GI135" s="395"/>
      <c r="GJ135" s="395"/>
      <c r="GK135" s="395"/>
      <c r="GL135" s="395"/>
      <c r="GM135" s="395"/>
      <c r="GN135" s="395"/>
      <c r="GO135" s="395"/>
      <c r="GP135" s="395"/>
      <c r="GQ135" s="395"/>
      <c r="GR135" s="395"/>
      <c r="GS135" s="395"/>
      <c r="GT135" s="395"/>
      <c r="GU135" s="395"/>
      <c r="GV135" s="395"/>
      <c r="GW135" s="395"/>
      <c r="GX135" s="395"/>
      <c r="GY135" s="395"/>
      <c r="GZ135" s="395"/>
      <c r="HA135" s="395"/>
      <c r="HB135" s="395"/>
      <c r="HC135" s="395"/>
      <c r="HD135" s="395"/>
      <c r="HE135" s="395"/>
      <c r="HF135" s="395"/>
      <c r="HG135" s="395"/>
      <c r="HH135" s="395"/>
      <c r="HI135" s="395"/>
      <c r="HJ135" s="395"/>
      <c r="HK135" s="395"/>
      <c r="HL135" s="395"/>
      <c r="HM135" s="395"/>
      <c r="HN135" s="395"/>
      <c r="HO135" s="395"/>
      <c r="HP135" s="395"/>
      <c r="HQ135" s="395"/>
      <c r="HR135" s="395"/>
    </row>
    <row r="136" spans="1:226" s="866" customFormat="1" x14ac:dyDescent="0.25">
      <c r="A136" s="395"/>
      <c r="B136" s="395"/>
      <c r="C136" s="395"/>
      <c r="D136" s="395"/>
      <c r="E136" s="395"/>
      <c r="F136" s="395"/>
      <c r="G136" s="395"/>
      <c r="H136" s="395"/>
      <c r="I136" s="395"/>
      <c r="J136" s="395"/>
      <c r="K136" s="395"/>
      <c r="L136" s="395"/>
      <c r="M136" s="395"/>
      <c r="N136" s="395"/>
      <c r="O136" s="395"/>
      <c r="P136" s="395"/>
      <c r="Q136" s="395"/>
      <c r="R136" s="395"/>
      <c r="S136" s="395"/>
      <c r="T136" s="395"/>
      <c r="U136" s="395"/>
      <c r="V136" s="1608"/>
      <c r="W136" s="395"/>
      <c r="X136" s="395"/>
      <c r="Y136" s="395"/>
      <c r="Z136" s="2140"/>
      <c r="AA136" s="395"/>
      <c r="AB136" s="395"/>
      <c r="AC136" s="395"/>
      <c r="AD136" s="395"/>
      <c r="AE136" s="395"/>
      <c r="AF136" s="395"/>
      <c r="AG136" s="395"/>
      <c r="AH136" s="395"/>
      <c r="AI136" s="395"/>
      <c r="AJ136" s="395"/>
      <c r="AK136" s="395"/>
      <c r="AL136" s="395"/>
      <c r="AM136" s="395"/>
      <c r="AN136" s="395"/>
      <c r="AO136" s="395"/>
      <c r="AP136" s="395"/>
      <c r="AQ136" s="395"/>
      <c r="AR136" s="395"/>
      <c r="AS136" s="395"/>
      <c r="AT136" s="395"/>
      <c r="AU136" s="395"/>
      <c r="AV136" s="395"/>
      <c r="AW136" s="395"/>
      <c r="AX136" s="395"/>
      <c r="AY136" s="395"/>
      <c r="AZ136" s="395"/>
      <c r="BA136" s="395"/>
      <c r="BB136" s="395"/>
      <c r="BC136" s="395"/>
      <c r="BD136" s="395"/>
      <c r="BE136" s="395"/>
      <c r="BF136" s="395"/>
      <c r="BG136" s="395"/>
      <c r="BH136" s="395"/>
      <c r="BI136" s="395"/>
      <c r="BJ136" s="395"/>
      <c r="BK136" s="395"/>
      <c r="BL136" s="395"/>
      <c r="BM136" s="395"/>
      <c r="BN136" s="395"/>
      <c r="BO136" s="395"/>
      <c r="BP136" s="395"/>
      <c r="BQ136" s="395"/>
      <c r="BR136" s="395"/>
      <c r="BS136" s="395"/>
      <c r="BT136" s="395"/>
      <c r="BU136" s="395"/>
      <c r="BV136" s="395"/>
      <c r="BW136" s="395"/>
      <c r="BX136" s="395"/>
      <c r="BY136" s="395"/>
      <c r="BZ136" s="395"/>
      <c r="CA136" s="395"/>
      <c r="CB136" s="395"/>
      <c r="CC136" s="395"/>
      <c r="CD136" s="395"/>
      <c r="CE136" s="395"/>
      <c r="CF136" s="395"/>
      <c r="CG136" s="395"/>
      <c r="CH136" s="395"/>
      <c r="CI136" s="395"/>
      <c r="CJ136" s="395"/>
      <c r="CK136" s="395"/>
      <c r="CL136" s="395"/>
      <c r="CM136" s="395"/>
      <c r="CN136" s="395"/>
      <c r="CO136" s="395"/>
      <c r="CP136" s="395"/>
      <c r="CQ136" s="395"/>
      <c r="CR136" s="395"/>
      <c r="CS136" s="395"/>
      <c r="CT136" s="395"/>
      <c r="CU136" s="395"/>
      <c r="CV136" s="395"/>
      <c r="CW136" s="395"/>
      <c r="CX136" s="395"/>
      <c r="CY136" s="395"/>
      <c r="CZ136" s="395"/>
      <c r="DA136" s="395"/>
      <c r="DB136" s="395"/>
      <c r="DC136" s="395"/>
      <c r="DD136" s="395"/>
      <c r="DE136" s="395"/>
      <c r="DF136" s="395"/>
      <c r="DG136" s="395"/>
      <c r="DH136" s="395"/>
      <c r="DI136" s="395"/>
      <c r="DJ136" s="395"/>
      <c r="DK136" s="395"/>
      <c r="DL136" s="395"/>
      <c r="DM136" s="395"/>
      <c r="DN136" s="395"/>
      <c r="DO136" s="395"/>
      <c r="DP136" s="395"/>
      <c r="DQ136" s="395"/>
      <c r="DR136" s="395"/>
      <c r="DS136" s="395"/>
      <c r="DT136" s="395"/>
      <c r="DU136" s="395"/>
      <c r="DV136" s="395"/>
      <c r="DW136" s="395"/>
      <c r="DX136" s="395"/>
      <c r="DY136" s="395"/>
      <c r="DZ136" s="395"/>
      <c r="EA136" s="395"/>
      <c r="EB136" s="395"/>
      <c r="EC136" s="395"/>
      <c r="ED136" s="395"/>
      <c r="EE136" s="395"/>
      <c r="EF136" s="395"/>
      <c r="EG136" s="395"/>
      <c r="EH136" s="395"/>
      <c r="EI136" s="395"/>
      <c r="EJ136" s="395"/>
      <c r="EK136" s="395"/>
      <c r="EL136" s="395"/>
      <c r="EM136" s="395"/>
      <c r="EN136" s="395"/>
      <c r="EO136" s="395"/>
      <c r="EP136" s="395"/>
      <c r="EQ136" s="395"/>
      <c r="ER136" s="395"/>
      <c r="ES136" s="395"/>
      <c r="ET136" s="395"/>
      <c r="EU136" s="395"/>
      <c r="EV136" s="395"/>
      <c r="EW136" s="395"/>
      <c r="EX136" s="395"/>
      <c r="EY136" s="395"/>
      <c r="EZ136" s="395"/>
      <c r="FA136" s="395"/>
      <c r="FB136" s="395"/>
      <c r="FC136" s="395"/>
      <c r="FD136" s="395"/>
      <c r="FE136" s="395"/>
      <c r="FF136" s="395"/>
      <c r="FG136" s="395"/>
      <c r="FH136" s="395"/>
      <c r="FI136" s="395"/>
      <c r="FJ136" s="395"/>
      <c r="FK136" s="395"/>
      <c r="FL136" s="395"/>
      <c r="FM136" s="395"/>
      <c r="FN136" s="395"/>
      <c r="FO136" s="395"/>
      <c r="FP136" s="395"/>
      <c r="FQ136" s="395"/>
      <c r="FR136" s="395"/>
      <c r="FS136" s="395"/>
      <c r="FT136" s="395"/>
      <c r="FU136" s="395"/>
      <c r="FV136" s="395"/>
      <c r="FW136" s="395"/>
      <c r="FX136" s="395"/>
      <c r="FY136" s="395"/>
      <c r="FZ136" s="395"/>
      <c r="GA136" s="395"/>
      <c r="GB136" s="395"/>
      <c r="GC136" s="395"/>
      <c r="GD136" s="395"/>
      <c r="GE136" s="395"/>
      <c r="GF136" s="395"/>
      <c r="GG136" s="395"/>
      <c r="GH136" s="395"/>
      <c r="GI136" s="395"/>
      <c r="GJ136" s="395"/>
      <c r="GK136" s="395"/>
      <c r="GL136" s="395"/>
      <c r="GM136" s="395"/>
      <c r="GN136" s="395"/>
      <c r="GO136" s="395"/>
      <c r="GP136" s="395"/>
      <c r="GQ136" s="395"/>
      <c r="GR136" s="395"/>
      <c r="GS136" s="395"/>
      <c r="GT136" s="395"/>
      <c r="GU136" s="395"/>
      <c r="GV136" s="395"/>
      <c r="GW136" s="395"/>
      <c r="GX136" s="395"/>
      <c r="GY136" s="395"/>
      <c r="GZ136" s="395"/>
      <c r="HA136" s="395"/>
      <c r="HB136" s="395"/>
      <c r="HC136" s="395"/>
      <c r="HD136" s="395"/>
      <c r="HE136" s="395"/>
      <c r="HF136" s="395"/>
      <c r="HG136" s="395"/>
      <c r="HH136" s="395"/>
      <c r="HI136" s="395"/>
      <c r="HJ136" s="395"/>
      <c r="HK136" s="395"/>
      <c r="HL136" s="395"/>
      <c r="HM136" s="395"/>
      <c r="HN136" s="395"/>
      <c r="HO136" s="395"/>
      <c r="HP136" s="395"/>
      <c r="HQ136" s="395"/>
      <c r="HR136" s="395"/>
    </row>
    <row r="137" spans="1:226" s="866" customFormat="1" x14ac:dyDescent="0.25">
      <c r="A137" s="395"/>
      <c r="B137" s="395"/>
      <c r="C137" s="395"/>
      <c r="D137" s="395"/>
      <c r="E137" s="395"/>
      <c r="F137" s="395"/>
      <c r="G137" s="395"/>
      <c r="H137" s="395"/>
      <c r="I137" s="395"/>
      <c r="J137" s="395"/>
      <c r="K137" s="395"/>
      <c r="L137" s="395"/>
      <c r="M137" s="395"/>
      <c r="N137" s="395"/>
      <c r="O137" s="395"/>
      <c r="P137" s="395"/>
      <c r="Q137" s="395"/>
      <c r="R137" s="395"/>
      <c r="S137" s="395"/>
      <c r="T137" s="395"/>
      <c r="U137" s="395"/>
      <c r="V137" s="1608"/>
      <c r="W137" s="395"/>
      <c r="X137" s="395"/>
      <c r="Y137" s="395"/>
      <c r="Z137" s="2140"/>
      <c r="AA137" s="395"/>
      <c r="AB137" s="395"/>
      <c r="AC137" s="395"/>
      <c r="AD137" s="395"/>
      <c r="AE137" s="395"/>
      <c r="AF137" s="395"/>
      <c r="AG137" s="395"/>
      <c r="AH137" s="395"/>
      <c r="AI137" s="395"/>
      <c r="AJ137" s="395"/>
      <c r="AK137" s="395"/>
      <c r="AL137" s="395"/>
      <c r="AM137" s="395"/>
      <c r="AN137" s="395"/>
      <c r="AO137" s="395"/>
      <c r="AP137" s="395"/>
      <c r="AQ137" s="395"/>
      <c r="AR137" s="395"/>
      <c r="AS137" s="395"/>
      <c r="AT137" s="395"/>
      <c r="AU137" s="395"/>
      <c r="AV137" s="395"/>
      <c r="AW137" s="395"/>
      <c r="AX137" s="395"/>
      <c r="AY137" s="395"/>
      <c r="AZ137" s="395"/>
      <c r="BA137" s="395"/>
      <c r="BB137" s="395"/>
      <c r="BC137" s="395"/>
      <c r="BD137" s="395"/>
      <c r="BE137" s="395"/>
      <c r="BF137" s="395"/>
      <c r="BG137" s="395"/>
      <c r="BH137" s="395"/>
      <c r="BI137" s="395"/>
      <c r="BJ137" s="395"/>
      <c r="BK137" s="395"/>
      <c r="BL137" s="395"/>
      <c r="BM137" s="395"/>
      <c r="BN137" s="395"/>
      <c r="BO137" s="395"/>
      <c r="BP137" s="395"/>
      <c r="BQ137" s="395"/>
      <c r="BR137" s="395"/>
      <c r="BS137" s="395"/>
      <c r="BT137" s="395"/>
      <c r="BU137" s="395"/>
      <c r="BV137" s="395"/>
      <c r="BW137" s="395"/>
      <c r="BX137" s="395"/>
      <c r="BY137" s="395"/>
      <c r="BZ137" s="395"/>
      <c r="CA137" s="395"/>
      <c r="CB137" s="395"/>
      <c r="CC137" s="395"/>
      <c r="CD137" s="395"/>
      <c r="CE137" s="395"/>
      <c r="CF137" s="395"/>
      <c r="CG137" s="395"/>
      <c r="CH137" s="395"/>
      <c r="CI137" s="395"/>
      <c r="CJ137" s="395"/>
      <c r="CK137" s="395"/>
      <c r="CL137" s="395"/>
      <c r="CM137" s="395"/>
      <c r="CN137" s="395"/>
      <c r="CO137" s="395"/>
      <c r="CP137" s="395"/>
      <c r="CQ137" s="395"/>
      <c r="CR137" s="395"/>
      <c r="CS137" s="395"/>
      <c r="CT137" s="395"/>
      <c r="CU137" s="395"/>
      <c r="CV137" s="395"/>
      <c r="CW137" s="395"/>
      <c r="CX137" s="395"/>
      <c r="CY137" s="395"/>
      <c r="CZ137" s="395"/>
      <c r="DA137" s="395"/>
      <c r="DB137" s="395"/>
      <c r="DC137" s="395"/>
      <c r="DD137" s="395"/>
      <c r="DE137" s="395"/>
      <c r="DF137" s="395"/>
      <c r="DG137" s="395"/>
      <c r="DH137" s="395"/>
      <c r="DI137" s="395"/>
      <c r="DJ137" s="395"/>
      <c r="DK137" s="395"/>
      <c r="DL137" s="395"/>
      <c r="DM137" s="395"/>
      <c r="DN137" s="395"/>
      <c r="DO137" s="395"/>
      <c r="DP137" s="395"/>
      <c r="DQ137" s="395"/>
      <c r="DR137" s="395"/>
      <c r="DS137" s="395"/>
      <c r="DT137" s="395"/>
      <c r="DU137" s="395"/>
      <c r="DV137" s="395"/>
      <c r="DW137" s="395"/>
      <c r="DX137" s="395"/>
      <c r="DY137" s="395"/>
      <c r="DZ137" s="395"/>
      <c r="EA137" s="395"/>
      <c r="EB137" s="395"/>
      <c r="EC137" s="395"/>
      <c r="ED137" s="395"/>
      <c r="EE137" s="395"/>
      <c r="EF137" s="395"/>
      <c r="EG137" s="395"/>
      <c r="EH137" s="395"/>
      <c r="EI137" s="395"/>
      <c r="EJ137" s="395"/>
      <c r="EK137" s="395"/>
      <c r="EL137" s="395"/>
      <c r="EM137" s="395"/>
      <c r="EN137" s="395"/>
      <c r="EO137" s="395"/>
      <c r="EP137" s="395"/>
      <c r="EQ137" s="395"/>
      <c r="ER137" s="395"/>
      <c r="ES137" s="395"/>
      <c r="ET137" s="395"/>
      <c r="EU137" s="395"/>
      <c r="EV137" s="395"/>
      <c r="EW137" s="395"/>
      <c r="EX137" s="395"/>
      <c r="EY137" s="395"/>
      <c r="EZ137" s="395"/>
      <c r="FA137" s="395"/>
      <c r="FB137" s="395"/>
      <c r="FC137" s="395"/>
      <c r="FD137" s="395"/>
      <c r="FE137" s="395"/>
      <c r="FF137" s="395"/>
      <c r="FG137" s="395"/>
      <c r="FH137" s="395"/>
      <c r="FI137" s="395"/>
      <c r="FJ137" s="395"/>
      <c r="FK137" s="395"/>
      <c r="FL137" s="395"/>
      <c r="FM137" s="395"/>
      <c r="FN137" s="395"/>
      <c r="FO137" s="395"/>
      <c r="FP137" s="395"/>
      <c r="FQ137" s="395"/>
      <c r="FR137" s="395"/>
      <c r="FS137" s="395"/>
      <c r="FT137" s="395"/>
      <c r="FU137" s="395"/>
      <c r="FV137" s="395"/>
      <c r="FW137" s="395"/>
      <c r="FX137" s="395"/>
      <c r="FY137" s="395"/>
      <c r="FZ137" s="395"/>
      <c r="GA137" s="395"/>
      <c r="GB137" s="395"/>
      <c r="GC137" s="395"/>
      <c r="GD137" s="395"/>
      <c r="GE137" s="395"/>
      <c r="GF137" s="395"/>
      <c r="GG137" s="395"/>
      <c r="GH137" s="395"/>
      <c r="GI137" s="395"/>
      <c r="GJ137" s="395"/>
      <c r="GK137" s="395"/>
      <c r="GL137" s="395"/>
      <c r="GM137" s="395"/>
      <c r="GN137" s="395"/>
      <c r="GO137" s="395"/>
      <c r="GP137" s="395"/>
      <c r="GQ137" s="395"/>
      <c r="GR137" s="395"/>
      <c r="GS137" s="395"/>
      <c r="GT137" s="395"/>
      <c r="GU137" s="395"/>
      <c r="GV137" s="395"/>
      <c r="GW137" s="395"/>
      <c r="GX137" s="395"/>
      <c r="GY137" s="395"/>
      <c r="GZ137" s="395"/>
      <c r="HA137" s="395"/>
      <c r="HB137" s="395"/>
      <c r="HC137" s="395"/>
      <c r="HD137" s="395"/>
      <c r="HE137" s="395"/>
      <c r="HF137" s="395"/>
      <c r="HG137" s="395"/>
      <c r="HH137" s="395"/>
      <c r="HI137" s="395"/>
      <c r="HJ137" s="395"/>
      <c r="HK137" s="395"/>
      <c r="HL137" s="395"/>
      <c r="HM137" s="395"/>
      <c r="HN137" s="395"/>
      <c r="HO137" s="395"/>
      <c r="HP137" s="395"/>
      <c r="HQ137" s="395"/>
      <c r="HR137" s="395"/>
    </row>
    <row r="138" spans="1:226" s="866" customFormat="1" x14ac:dyDescent="0.25">
      <c r="A138" s="395"/>
      <c r="B138" s="395"/>
      <c r="C138" s="395"/>
      <c r="D138" s="395"/>
      <c r="E138" s="395"/>
      <c r="F138" s="395"/>
      <c r="G138" s="395"/>
      <c r="H138" s="395"/>
      <c r="I138" s="395"/>
      <c r="J138" s="395"/>
      <c r="K138" s="395"/>
      <c r="L138" s="395"/>
      <c r="M138" s="395"/>
      <c r="N138" s="395"/>
      <c r="O138" s="395"/>
      <c r="P138" s="395"/>
      <c r="Q138" s="395"/>
      <c r="R138" s="395"/>
      <c r="S138" s="395"/>
      <c r="T138" s="395"/>
      <c r="U138" s="395"/>
      <c r="V138" s="1608"/>
      <c r="W138" s="395"/>
      <c r="X138" s="395"/>
      <c r="Y138" s="395"/>
      <c r="Z138" s="2140"/>
      <c r="AA138" s="395"/>
      <c r="AB138" s="395"/>
      <c r="AC138" s="395"/>
      <c r="AD138" s="395"/>
      <c r="AE138" s="395"/>
      <c r="AF138" s="395"/>
      <c r="AG138" s="395"/>
      <c r="AH138" s="395"/>
      <c r="AI138" s="395"/>
      <c r="AJ138" s="395"/>
      <c r="AK138" s="395"/>
      <c r="AL138" s="395"/>
      <c r="AM138" s="395"/>
      <c r="AN138" s="395"/>
      <c r="AO138" s="395"/>
      <c r="AP138" s="395"/>
      <c r="AQ138" s="395"/>
      <c r="AR138" s="395"/>
      <c r="AS138" s="395"/>
      <c r="AT138" s="395"/>
      <c r="AU138" s="395"/>
      <c r="AV138" s="395"/>
      <c r="AW138" s="395"/>
      <c r="AX138" s="395"/>
      <c r="AY138" s="395"/>
      <c r="AZ138" s="395"/>
      <c r="BA138" s="395"/>
      <c r="BB138" s="395"/>
      <c r="BC138" s="395"/>
      <c r="BD138" s="395"/>
      <c r="BE138" s="395"/>
      <c r="BF138" s="395"/>
      <c r="BG138" s="395"/>
      <c r="BH138" s="395"/>
      <c r="BI138" s="395"/>
      <c r="BJ138" s="395"/>
      <c r="BK138" s="395"/>
      <c r="BL138" s="395"/>
      <c r="BM138" s="395"/>
      <c r="BN138" s="395"/>
      <c r="BO138" s="395"/>
      <c r="BP138" s="395"/>
      <c r="BQ138" s="395"/>
      <c r="BR138" s="395"/>
      <c r="BS138" s="395"/>
      <c r="BT138" s="395"/>
      <c r="BU138" s="395"/>
      <c r="BV138" s="395"/>
      <c r="BW138" s="395"/>
      <c r="BX138" s="395"/>
      <c r="BY138" s="395"/>
      <c r="BZ138" s="395"/>
      <c r="CA138" s="395"/>
      <c r="CB138" s="395"/>
      <c r="CC138" s="395"/>
      <c r="CD138" s="395"/>
      <c r="CE138" s="395"/>
      <c r="CF138" s="395"/>
      <c r="CG138" s="395"/>
      <c r="CH138" s="395"/>
      <c r="CI138" s="395"/>
      <c r="CJ138" s="395"/>
      <c r="CK138" s="395"/>
      <c r="CL138" s="395"/>
      <c r="CM138" s="395"/>
      <c r="CN138" s="395"/>
      <c r="CO138" s="395"/>
      <c r="CP138" s="395"/>
      <c r="CQ138" s="395"/>
      <c r="CR138" s="395"/>
      <c r="CS138" s="395"/>
      <c r="CT138" s="395"/>
      <c r="CU138" s="395"/>
      <c r="CV138" s="395"/>
      <c r="CW138" s="395"/>
      <c r="CX138" s="395"/>
      <c r="CY138" s="395"/>
      <c r="CZ138" s="395"/>
      <c r="DA138" s="395"/>
      <c r="DB138" s="395"/>
      <c r="DC138" s="395"/>
      <c r="DD138" s="395"/>
      <c r="DE138" s="395"/>
      <c r="DF138" s="395"/>
      <c r="DG138" s="395"/>
      <c r="DH138" s="395"/>
      <c r="DI138" s="395"/>
      <c r="DJ138" s="395"/>
      <c r="DK138" s="395"/>
      <c r="DL138" s="395"/>
      <c r="DM138" s="395"/>
      <c r="DN138" s="395"/>
      <c r="DO138" s="395"/>
      <c r="DP138" s="395"/>
      <c r="DQ138" s="395"/>
      <c r="DR138" s="395"/>
      <c r="DS138" s="395"/>
      <c r="DT138" s="395"/>
      <c r="DU138" s="395"/>
      <c r="DV138" s="395"/>
      <c r="DW138" s="395"/>
      <c r="DX138" s="395"/>
      <c r="DY138" s="395"/>
      <c r="DZ138" s="395"/>
      <c r="EA138" s="395"/>
      <c r="EB138" s="395"/>
      <c r="EC138" s="395"/>
      <c r="ED138" s="395"/>
      <c r="EE138" s="395"/>
      <c r="EF138" s="395"/>
      <c r="EG138" s="395"/>
      <c r="EH138" s="395"/>
      <c r="EI138" s="395"/>
      <c r="EJ138" s="395"/>
      <c r="EK138" s="395"/>
      <c r="EL138" s="395"/>
      <c r="EM138" s="395"/>
      <c r="EN138" s="395"/>
      <c r="EO138" s="395"/>
      <c r="EP138" s="395"/>
      <c r="EQ138" s="395"/>
      <c r="ER138" s="395"/>
      <c r="ES138" s="395"/>
      <c r="ET138" s="395"/>
      <c r="EU138" s="395"/>
      <c r="EV138" s="395"/>
      <c r="EW138" s="395"/>
      <c r="EX138" s="395"/>
      <c r="EY138" s="395"/>
      <c r="EZ138" s="395"/>
      <c r="FA138" s="395"/>
      <c r="FB138" s="395"/>
      <c r="FC138" s="395"/>
      <c r="FD138" s="395"/>
      <c r="FE138" s="395"/>
      <c r="FF138" s="395"/>
      <c r="FG138" s="395"/>
      <c r="FH138" s="395"/>
      <c r="FI138" s="395"/>
      <c r="FJ138" s="395"/>
      <c r="FK138" s="395"/>
      <c r="FL138" s="395"/>
      <c r="FM138" s="395"/>
      <c r="FN138" s="395"/>
      <c r="FO138" s="395"/>
      <c r="FP138" s="395"/>
      <c r="FQ138" s="395"/>
      <c r="FR138" s="395"/>
      <c r="FS138" s="395"/>
      <c r="FT138" s="395"/>
      <c r="FU138" s="395"/>
      <c r="FV138" s="395"/>
      <c r="FW138" s="395"/>
      <c r="FX138" s="395"/>
      <c r="FY138" s="395"/>
      <c r="FZ138" s="395"/>
      <c r="GA138" s="395"/>
      <c r="GB138" s="395"/>
      <c r="GC138" s="395"/>
      <c r="GD138" s="395"/>
      <c r="GE138" s="395"/>
      <c r="GF138" s="395"/>
      <c r="GG138" s="395"/>
      <c r="GH138" s="395"/>
      <c r="GI138" s="395"/>
      <c r="GJ138" s="395"/>
      <c r="GK138" s="395"/>
      <c r="GL138" s="395"/>
      <c r="GM138" s="395"/>
      <c r="GN138" s="395"/>
      <c r="GO138" s="395"/>
      <c r="GP138" s="395"/>
      <c r="GQ138" s="395"/>
      <c r="GR138" s="395"/>
      <c r="GS138" s="395"/>
      <c r="GT138" s="395"/>
      <c r="GU138" s="395"/>
      <c r="GV138" s="395"/>
      <c r="GW138" s="395"/>
      <c r="GX138" s="395"/>
      <c r="GY138" s="395"/>
      <c r="GZ138" s="395"/>
      <c r="HA138" s="395"/>
      <c r="HB138" s="395"/>
      <c r="HC138" s="395"/>
      <c r="HD138" s="395"/>
      <c r="HE138" s="395"/>
      <c r="HF138" s="395"/>
      <c r="HG138" s="395"/>
      <c r="HH138" s="395"/>
      <c r="HI138" s="395"/>
      <c r="HJ138" s="395"/>
      <c r="HK138" s="395"/>
      <c r="HL138" s="395"/>
      <c r="HM138" s="395"/>
      <c r="HN138" s="395"/>
      <c r="HO138" s="395"/>
      <c r="HP138" s="395"/>
      <c r="HQ138" s="395"/>
      <c r="HR138" s="395"/>
    </row>
    <row r="139" spans="1:226" s="866" customFormat="1" x14ac:dyDescent="0.25">
      <c r="A139" s="395"/>
      <c r="B139" s="395"/>
      <c r="C139" s="395"/>
      <c r="D139" s="395"/>
      <c r="E139" s="395"/>
      <c r="F139" s="395"/>
      <c r="G139" s="395"/>
      <c r="H139" s="395"/>
      <c r="I139" s="395"/>
      <c r="J139" s="395"/>
      <c r="K139" s="395"/>
      <c r="L139" s="395"/>
      <c r="M139" s="395"/>
      <c r="N139" s="395"/>
      <c r="O139" s="395"/>
      <c r="P139" s="395"/>
      <c r="Q139" s="395"/>
      <c r="R139" s="395"/>
      <c r="S139" s="395"/>
      <c r="T139" s="395"/>
      <c r="U139" s="395"/>
      <c r="V139" s="1608"/>
      <c r="W139" s="395"/>
      <c r="X139" s="395"/>
      <c r="Y139" s="395"/>
      <c r="Z139" s="2140"/>
      <c r="AA139" s="395"/>
      <c r="AB139" s="395"/>
      <c r="AC139" s="395"/>
      <c r="AD139" s="395"/>
      <c r="AE139" s="395"/>
      <c r="AF139" s="395"/>
      <c r="AG139" s="395"/>
      <c r="AH139" s="395"/>
      <c r="AI139" s="395"/>
      <c r="AJ139" s="395"/>
      <c r="AK139" s="395"/>
      <c r="AL139" s="395"/>
      <c r="AM139" s="395"/>
      <c r="AN139" s="395"/>
      <c r="AO139" s="395"/>
      <c r="AP139" s="395"/>
      <c r="AQ139" s="395"/>
      <c r="AR139" s="395"/>
      <c r="AS139" s="395"/>
      <c r="AT139" s="395"/>
      <c r="AU139" s="395"/>
      <c r="AV139" s="395"/>
      <c r="AW139" s="395"/>
      <c r="AX139" s="395"/>
      <c r="AY139" s="395"/>
      <c r="AZ139" s="395"/>
      <c r="BA139" s="395"/>
      <c r="BB139" s="395"/>
      <c r="BC139" s="395"/>
      <c r="BD139" s="395"/>
      <c r="BE139" s="395"/>
      <c r="BF139" s="395"/>
      <c r="BG139" s="395"/>
      <c r="BH139" s="395"/>
      <c r="BI139" s="395"/>
      <c r="BJ139" s="395"/>
      <c r="BK139" s="395"/>
      <c r="BL139" s="395"/>
      <c r="BM139" s="395"/>
      <c r="BN139" s="395"/>
      <c r="BO139" s="395"/>
      <c r="BP139" s="395"/>
      <c r="BQ139" s="395"/>
      <c r="BR139" s="395"/>
      <c r="BS139" s="395"/>
      <c r="BT139" s="395"/>
      <c r="BU139" s="395"/>
      <c r="BV139" s="395"/>
      <c r="BW139" s="395"/>
      <c r="BX139" s="395"/>
      <c r="BY139" s="395"/>
      <c r="BZ139" s="395"/>
      <c r="CA139" s="395"/>
      <c r="CB139" s="395"/>
      <c r="CC139" s="395"/>
      <c r="CD139" s="395"/>
      <c r="CE139" s="395"/>
      <c r="CF139" s="395"/>
      <c r="CG139" s="395"/>
      <c r="CH139" s="395"/>
      <c r="CI139" s="395"/>
      <c r="CJ139" s="395"/>
      <c r="CK139" s="395"/>
      <c r="CL139" s="395"/>
      <c r="CM139" s="395"/>
      <c r="CN139" s="395"/>
      <c r="CO139" s="395"/>
      <c r="CP139" s="395"/>
      <c r="CQ139" s="395"/>
      <c r="CR139" s="395"/>
      <c r="CS139" s="395"/>
      <c r="CT139" s="395"/>
      <c r="CU139" s="395"/>
      <c r="CV139" s="395"/>
      <c r="CW139" s="395"/>
      <c r="CX139" s="395"/>
      <c r="CY139" s="395"/>
      <c r="CZ139" s="395"/>
      <c r="DA139" s="395"/>
      <c r="DB139" s="395"/>
      <c r="DC139" s="395"/>
      <c r="DD139" s="395"/>
      <c r="DE139" s="395"/>
      <c r="DF139" s="395"/>
      <c r="DG139" s="395"/>
      <c r="DH139" s="395"/>
      <c r="DI139" s="395"/>
      <c r="DJ139" s="395"/>
      <c r="DK139" s="395"/>
      <c r="DL139" s="395"/>
      <c r="DM139" s="395"/>
      <c r="DN139" s="395"/>
      <c r="DO139" s="395"/>
      <c r="DP139" s="395"/>
      <c r="DQ139" s="395"/>
      <c r="DR139" s="395"/>
      <c r="DS139" s="395"/>
      <c r="DT139" s="395"/>
      <c r="DU139" s="395"/>
      <c r="DV139" s="395"/>
      <c r="DW139" s="395"/>
      <c r="DX139" s="395"/>
      <c r="DY139" s="395"/>
      <c r="DZ139" s="395"/>
      <c r="EA139" s="395"/>
      <c r="EB139" s="395"/>
      <c r="EC139" s="395"/>
      <c r="ED139" s="395"/>
      <c r="EE139" s="395"/>
      <c r="EF139" s="395"/>
      <c r="EG139" s="395"/>
      <c r="EH139" s="395"/>
      <c r="EI139" s="395"/>
      <c r="EJ139" s="395"/>
      <c r="EK139" s="395"/>
      <c r="EL139" s="395"/>
      <c r="EM139" s="395"/>
      <c r="EN139" s="395"/>
      <c r="EO139" s="395"/>
      <c r="EP139" s="395"/>
      <c r="EQ139" s="395"/>
      <c r="ER139" s="395"/>
      <c r="ES139" s="395"/>
      <c r="ET139" s="395"/>
      <c r="EU139" s="395"/>
      <c r="EV139" s="395"/>
      <c r="EW139" s="395"/>
      <c r="EX139" s="395"/>
      <c r="EY139" s="395"/>
      <c r="EZ139" s="395"/>
      <c r="FA139" s="395"/>
      <c r="FB139" s="395"/>
      <c r="FC139" s="395"/>
      <c r="FD139" s="395"/>
      <c r="FE139" s="395"/>
      <c r="FF139" s="395"/>
      <c r="FG139" s="395"/>
      <c r="FH139" s="395"/>
      <c r="FI139" s="395"/>
      <c r="FJ139" s="395"/>
      <c r="FK139" s="395"/>
      <c r="FL139" s="395"/>
      <c r="FM139" s="395"/>
      <c r="FN139" s="395"/>
      <c r="FO139" s="395"/>
      <c r="FP139" s="395"/>
      <c r="FQ139" s="395"/>
      <c r="FR139" s="395"/>
      <c r="FS139" s="395"/>
      <c r="FT139" s="395"/>
      <c r="FU139" s="395"/>
      <c r="FV139" s="395"/>
      <c r="FW139" s="395"/>
      <c r="FX139" s="395"/>
      <c r="FY139" s="395"/>
      <c r="FZ139" s="395"/>
      <c r="GA139" s="395"/>
      <c r="GB139" s="395"/>
      <c r="GC139" s="395"/>
      <c r="GD139" s="395"/>
      <c r="GE139" s="395"/>
      <c r="GF139" s="395"/>
      <c r="GG139" s="395"/>
      <c r="GH139" s="395"/>
      <c r="GI139" s="395"/>
      <c r="GJ139" s="395"/>
      <c r="GK139" s="395"/>
      <c r="GL139" s="395"/>
      <c r="GM139" s="395"/>
      <c r="GN139" s="395"/>
      <c r="GO139" s="395"/>
      <c r="GP139" s="395"/>
      <c r="GQ139" s="395"/>
      <c r="GR139" s="395"/>
      <c r="GS139" s="395"/>
      <c r="GT139" s="395"/>
      <c r="GU139" s="395"/>
      <c r="GV139" s="395"/>
      <c r="GW139" s="395"/>
      <c r="GX139" s="395"/>
      <c r="GY139" s="395"/>
      <c r="GZ139" s="395"/>
      <c r="HA139" s="395"/>
      <c r="HB139" s="395"/>
      <c r="HC139" s="395"/>
      <c r="HD139" s="395"/>
      <c r="HE139" s="395"/>
      <c r="HF139" s="395"/>
      <c r="HG139" s="395"/>
      <c r="HH139" s="395"/>
      <c r="HI139" s="395"/>
      <c r="HJ139" s="395"/>
      <c r="HK139" s="395"/>
      <c r="HL139" s="395"/>
      <c r="HM139" s="395"/>
      <c r="HN139" s="395"/>
      <c r="HO139" s="395"/>
      <c r="HP139" s="395"/>
      <c r="HQ139" s="395"/>
      <c r="HR139" s="395"/>
    </row>
    <row r="140" spans="1:226" s="866" customFormat="1" x14ac:dyDescent="0.25">
      <c r="A140" s="395"/>
      <c r="B140" s="395"/>
      <c r="C140" s="395"/>
      <c r="D140" s="395"/>
      <c r="E140" s="395"/>
      <c r="F140" s="395"/>
      <c r="G140" s="395"/>
      <c r="H140" s="395"/>
      <c r="I140" s="395"/>
      <c r="J140" s="395"/>
      <c r="K140" s="395"/>
      <c r="L140" s="395"/>
      <c r="M140" s="395"/>
      <c r="N140" s="395"/>
      <c r="O140" s="395"/>
      <c r="P140" s="395"/>
      <c r="Q140" s="395"/>
      <c r="R140" s="395"/>
      <c r="S140" s="395"/>
      <c r="T140" s="395"/>
      <c r="U140" s="395"/>
      <c r="V140" s="1608"/>
      <c r="W140" s="395"/>
      <c r="X140" s="395"/>
      <c r="Y140" s="395"/>
      <c r="Z140" s="2140"/>
      <c r="AA140" s="395"/>
      <c r="AB140" s="395"/>
      <c r="AC140" s="395"/>
      <c r="AD140" s="395"/>
      <c r="AE140" s="395"/>
      <c r="AF140" s="395"/>
      <c r="AG140" s="395"/>
      <c r="AH140" s="395"/>
      <c r="AI140" s="395"/>
      <c r="AJ140" s="395"/>
      <c r="AK140" s="395"/>
      <c r="AL140" s="395"/>
      <c r="AM140" s="395"/>
      <c r="AN140" s="395"/>
      <c r="AO140" s="395"/>
      <c r="AP140" s="395"/>
      <c r="AQ140" s="395"/>
      <c r="AR140" s="395"/>
      <c r="AS140" s="395"/>
      <c r="AT140" s="395"/>
      <c r="AU140" s="395"/>
      <c r="AV140" s="395"/>
      <c r="AW140" s="395"/>
      <c r="AX140" s="395"/>
      <c r="AY140" s="395"/>
      <c r="AZ140" s="395"/>
      <c r="BA140" s="395"/>
      <c r="BB140" s="395"/>
      <c r="BC140" s="395"/>
      <c r="BD140" s="395"/>
      <c r="BE140" s="395"/>
      <c r="BF140" s="395"/>
      <c r="BG140" s="395"/>
      <c r="BH140" s="395"/>
      <c r="BI140" s="395"/>
      <c r="BJ140" s="395"/>
      <c r="BK140" s="395"/>
      <c r="BL140" s="395"/>
      <c r="BM140" s="395"/>
      <c r="BN140" s="395"/>
      <c r="BO140" s="395"/>
      <c r="BP140" s="395"/>
      <c r="BQ140" s="395"/>
      <c r="BR140" s="395"/>
      <c r="BS140" s="395"/>
      <c r="BT140" s="395"/>
      <c r="BU140" s="395"/>
      <c r="BV140" s="395"/>
      <c r="BW140" s="395"/>
      <c r="BX140" s="395"/>
      <c r="BY140" s="395"/>
      <c r="BZ140" s="395"/>
      <c r="CA140" s="395"/>
      <c r="CB140" s="395"/>
      <c r="CC140" s="395"/>
      <c r="CD140" s="395"/>
      <c r="CE140" s="395"/>
      <c r="CF140" s="395"/>
      <c r="CG140" s="395"/>
      <c r="CH140" s="395"/>
      <c r="CI140" s="395"/>
      <c r="CJ140" s="395"/>
      <c r="CK140" s="395"/>
      <c r="CL140" s="395"/>
      <c r="CM140" s="395"/>
      <c r="CN140" s="395"/>
      <c r="CO140" s="395"/>
      <c r="CP140" s="395"/>
      <c r="CQ140" s="395"/>
      <c r="CR140" s="395"/>
      <c r="CS140" s="395"/>
      <c r="CT140" s="395"/>
      <c r="CU140" s="395"/>
      <c r="CV140" s="395"/>
      <c r="CW140" s="395"/>
      <c r="CX140" s="395"/>
      <c r="CY140" s="395"/>
      <c r="CZ140" s="395"/>
      <c r="DA140" s="395"/>
      <c r="DB140" s="395"/>
      <c r="DC140" s="395"/>
      <c r="DD140" s="395"/>
      <c r="DE140" s="395"/>
      <c r="DF140" s="395"/>
      <c r="DG140" s="395"/>
      <c r="DH140" s="395"/>
      <c r="DI140" s="395"/>
      <c r="DJ140" s="395"/>
      <c r="DK140" s="395"/>
      <c r="DL140" s="395"/>
      <c r="DM140" s="395"/>
      <c r="DN140" s="395"/>
      <c r="DO140" s="395"/>
      <c r="DP140" s="395"/>
      <c r="DQ140" s="395"/>
      <c r="DR140" s="395"/>
      <c r="DS140" s="395"/>
      <c r="DT140" s="395"/>
      <c r="DU140" s="395"/>
      <c r="DV140" s="395"/>
      <c r="DW140" s="395"/>
      <c r="DX140" s="395"/>
      <c r="DY140" s="395"/>
      <c r="DZ140" s="395"/>
      <c r="EA140" s="395"/>
      <c r="EB140" s="395"/>
      <c r="EC140" s="395"/>
      <c r="ED140" s="395"/>
      <c r="EE140" s="395"/>
      <c r="EF140" s="395"/>
      <c r="EG140" s="395"/>
      <c r="EH140" s="395"/>
      <c r="EI140" s="395"/>
      <c r="EJ140" s="395"/>
      <c r="EK140" s="395"/>
      <c r="EL140" s="395"/>
      <c r="EM140" s="395"/>
      <c r="EN140" s="395"/>
      <c r="EO140" s="395"/>
      <c r="EP140" s="395"/>
      <c r="EQ140" s="395"/>
      <c r="ER140" s="395"/>
      <c r="ES140" s="395"/>
      <c r="ET140" s="395"/>
      <c r="EU140" s="395"/>
      <c r="EV140" s="395"/>
      <c r="EW140" s="395"/>
      <c r="EX140" s="395"/>
      <c r="EY140" s="395"/>
      <c r="EZ140" s="395"/>
      <c r="FA140" s="395"/>
      <c r="FB140" s="395"/>
      <c r="FC140" s="395"/>
      <c r="FD140" s="395"/>
      <c r="FE140" s="395"/>
      <c r="FF140" s="395"/>
      <c r="FG140" s="395"/>
      <c r="FH140" s="395"/>
      <c r="FI140" s="395"/>
      <c r="FJ140" s="395"/>
      <c r="FK140" s="395"/>
      <c r="FL140" s="395"/>
      <c r="FM140" s="395"/>
      <c r="FN140" s="395"/>
      <c r="FO140" s="395"/>
      <c r="FP140" s="395"/>
      <c r="FQ140" s="395"/>
      <c r="FR140" s="395"/>
      <c r="FS140" s="395"/>
      <c r="FT140" s="395"/>
      <c r="FU140" s="395"/>
      <c r="FV140" s="395"/>
      <c r="FW140" s="395"/>
      <c r="FX140" s="395"/>
      <c r="FY140" s="395"/>
      <c r="FZ140" s="395"/>
      <c r="GA140" s="395"/>
      <c r="GB140" s="395"/>
      <c r="GC140" s="395"/>
      <c r="GD140" s="395"/>
      <c r="GE140" s="395"/>
      <c r="GF140" s="395"/>
      <c r="GG140" s="395"/>
      <c r="GH140" s="395"/>
      <c r="GI140" s="395"/>
      <c r="GJ140" s="395"/>
      <c r="GK140" s="395"/>
      <c r="GL140" s="395"/>
      <c r="GM140" s="395"/>
      <c r="GN140" s="395"/>
      <c r="GO140" s="395"/>
      <c r="GP140" s="395"/>
      <c r="GQ140" s="395"/>
      <c r="GR140" s="395"/>
      <c r="GS140" s="395"/>
      <c r="GT140" s="395"/>
      <c r="GU140" s="395"/>
      <c r="GV140" s="395"/>
      <c r="GW140" s="395"/>
      <c r="GX140" s="395"/>
      <c r="GY140" s="395"/>
      <c r="GZ140" s="395"/>
      <c r="HA140" s="395"/>
      <c r="HB140" s="395"/>
      <c r="HC140" s="395"/>
      <c r="HD140" s="395"/>
      <c r="HE140" s="395"/>
      <c r="HF140" s="395"/>
      <c r="HG140" s="395"/>
      <c r="HH140" s="395"/>
      <c r="HI140" s="395"/>
      <c r="HJ140" s="395"/>
      <c r="HK140" s="395"/>
      <c r="HL140" s="395"/>
      <c r="HM140" s="395"/>
      <c r="HN140" s="395"/>
      <c r="HO140" s="395"/>
      <c r="HP140" s="395"/>
      <c r="HQ140" s="395"/>
      <c r="HR140" s="395"/>
    </row>
    <row r="141" spans="1:226" s="866" customFormat="1" x14ac:dyDescent="0.25">
      <c r="A141" s="395"/>
      <c r="B141" s="395"/>
      <c r="C141" s="395"/>
      <c r="D141" s="395"/>
      <c r="E141" s="395"/>
      <c r="F141" s="395"/>
      <c r="G141" s="395"/>
      <c r="H141" s="395"/>
      <c r="I141" s="395"/>
      <c r="J141" s="395"/>
      <c r="K141" s="395"/>
      <c r="L141" s="395"/>
      <c r="M141" s="395"/>
      <c r="N141" s="395"/>
      <c r="O141" s="395"/>
      <c r="P141" s="395"/>
      <c r="Q141" s="395"/>
      <c r="R141" s="395"/>
      <c r="S141" s="395"/>
      <c r="T141" s="395"/>
      <c r="U141" s="395"/>
      <c r="V141" s="1608"/>
      <c r="W141" s="395"/>
      <c r="X141" s="395"/>
      <c r="Y141" s="395"/>
      <c r="Z141" s="2140"/>
      <c r="AA141" s="395"/>
      <c r="AB141" s="395"/>
      <c r="AC141" s="395"/>
      <c r="AD141" s="395"/>
      <c r="AE141" s="395"/>
      <c r="AF141" s="395"/>
      <c r="AG141" s="395"/>
      <c r="AH141" s="395"/>
      <c r="AI141" s="395"/>
      <c r="AJ141" s="395"/>
      <c r="AK141" s="395"/>
      <c r="AL141" s="395"/>
      <c r="AM141" s="395"/>
      <c r="AN141" s="395"/>
      <c r="AO141" s="395"/>
      <c r="AP141" s="395"/>
      <c r="AQ141" s="395"/>
      <c r="AR141" s="395"/>
      <c r="AS141" s="395"/>
      <c r="AT141" s="395"/>
      <c r="AU141" s="395"/>
      <c r="AV141" s="395"/>
      <c r="AW141" s="395"/>
      <c r="AX141" s="395"/>
      <c r="AY141" s="395"/>
      <c r="AZ141" s="395"/>
      <c r="BA141" s="395"/>
      <c r="BB141" s="395"/>
      <c r="BC141" s="395"/>
      <c r="BD141" s="395"/>
      <c r="BE141" s="395"/>
      <c r="BF141" s="395"/>
      <c r="BG141" s="395"/>
      <c r="BH141" s="395"/>
      <c r="BI141" s="395"/>
      <c r="BJ141" s="395"/>
      <c r="BK141" s="395"/>
      <c r="BL141" s="395"/>
      <c r="BM141" s="395"/>
      <c r="BN141" s="395"/>
      <c r="BO141" s="395"/>
      <c r="BP141" s="395"/>
      <c r="BQ141" s="395"/>
      <c r="BR141" s="395"/>
      <c r="BS141" s="395"/>
      <c r="BT141" s="395"/>
      <c r="BU141" s="395"/>
      <c r="BV141" s="395"/>
      <c r="BW141" s="395"/>
      <c r="BX141" s="395"/>
      <c r="BY141" s="395"/>
      <c r="BZ141" s="395"/>
      <c r="CA141" s="395"/>
      <c r="CB141" s="395"/>
      <c r="CC141" s="395"/>
      <c r="CD141" s="395"/>
      <c r="CE141" s="395"/>
      <c r="CF141" s="395"/>
      <c r="CG141" s="395"/>
      <c r="CH141" s="395"/>
      <c r="CI141" s="395"/>
      <c r="CJ141" s="395"/>
      <c r="CK141" s="395"/>
      <c r="CL141" s="395"/>
      <c r="CM141" s="395"/>
      <c r="CN141" s="395"/>
      <c r="CO141" s="395"/>
      <c r="CP141" s="395"/>
      <c r="CQ141" s="395"/>
      <c r="CR141" s="395"/>
      <c r="CS141" s="395"/>
      <c r="CT141" s="395"/>
      <c r="CU141" s="395"/>
      <c r="CV141" s="395"/>
      <c r="CW141" s="395"/>
      <c r="CX141" s="395"/>
      <c r="CY141" s="395"/>
      <c r="CZ141" s="395"/>
      <c r="DA141" s="395"/>
      <c r="DB141" s="395"/>
      <c r="DC141" s="395"/>
      <c r="DD141" s="395"/>
      <c r="DE141" s="395"/>
      <c r="DF141" s="395"/>
      <c r="DG141" s="395"/>
      <c r="DH141" s="395"/>
      <c r="DI141" s="395"/>
      <c r="DJ141" s="395"/>
      <c r="DK141" s="395"/>
      <c r="DL141" s="395"/>
      <c r="DM141" s="395"/>
      <c r="DN141" s="395"/>
      <c r="DO141" s="395"/>
      <c r="DP141" s="395"/>
      <c r="DQ141" s="395"/>
      <c r="DR141" s="395"/>
      <c r="DS141" s="395"/>
      <c r="DT141" s="395"/>
      <c r="DU141" s="395"/>
      <c r="DV141" s="395"/>
      <c r="DW141" s="395"/>
      <c r="DX141" s="395"/>
      <c r="DY141" s="395"/>
      <c r="DZ141" s="395"/>
      <c r="EA141" s="395"/>
      <c r="EB141" s="395"/>
      <c r="EC141" s="395"/>
      <c r="ED141" s="395"/>
      <c r="EE141" s="395"/>
      <c r="EF141" s="395"/>
      <c r="EG141" s="395"/>
      <c r="EH141" s="395"/>
      <c r="EI141" s="395"/>
      <c r="EJ141" s="395"/>
      <c r="EK141" s="395"/>
      <c r="EL141" s="395"/>
      <c r="EM141" s="395"/>
      <c r="EN141" s="395"/>
      <c r="EO141" s="395"/>
      <c r="EP141" s="395"/>
      <c r="EQ141" s="395"/>
      <c r="ER141" s="395"/>
      <c r="ES141" s="395"/>
      <c r="ET141" s="395"/>
      <c r="EU141" s="395"/>
      <c r="EV141" s="395"/>
      <c r="EW141" s="395"/>
      <c r="EX141" s="395"/>
      <c r="EY141" s="395"/>
      <c r="EZ141" s="395"/>
      <c r="FA141" s="395"/>
      <c r="FB141" s="395"/>
      <c r="FC141" s="395"/>
      <c r="FD141" s="395"/>
      <c r="FE141" s="395"/>
      <c r="FF141" s="395"/>
      <c r="FG141" s="395"/>
      <c r="FH141" s="395"/>
      <c r="FI141" s="395"/>
      <c r="FJ141" s="395"/>
      <c r="FK141" s="395"/>
      <c r="FL141" s="395"/>
      <c r="FM141" s="395"/>
      <c r="FN141" s="395"/>
      <c r="FO141" s="395"/>
      <c r="FP141" s="395"/>
      <c r="FQ141" s="395"/>
      <c r="FR141" s="395"/>
      <c r="FS141" s="395"/>
      <c r="FT141" s="395"/>
      <c r="FU141" s="395"/>
      <c r="FV141" s="395"/>
      <c r="FW141" s="395"/>
      <c r="FX141" s="395"/>
      <c r="FY141" s="395"/>
      <c r="FZ141" s="395"/>
      <c r="GA141" s="395"/>
      <c r="GB141" s="395"/>
      <c r="GC141" s="395"/>
      <c r="GD141" s="395"/>
      <c r="GE141" s="395"/>
      <c r="GF141" s="395"/>
      <c r="GG141" s="395"/>
      <c r="GH141" s="395"/>
      <c r="GI141" s="395"/>
      <c r="GJ141" s="395"/>
      <c r="GK141" s="395"/>
      <c r="GL141" s="395"/>
      <c r="GM141" s="395"/>
      <c r="GN141" s="395"/>
      <c r="GO141" s="395"/>
      <c r="GP141" s="395"/>
      <c r="GQ141" s="395"/>
      <c r="GR141" s="395"/>
      <c r="GS141" s="395"/>
      <c r="GT141" s="395"/>
      <c r="GU141" s="395"/>
      <c r="GV141" s="395"/>
      <c r="GW141" s="395"/>
      <c r="GX141" s="395"/>
      <c r="GY141" s="395"/>
      <c r="GZ141" s="395"/>
      <c r="HA141" s="395"/>
      <c r="HB141" s="395"/>
      <c r="HC141" s="395"/>
      <c r="HD141" s="395"/>
      <c r="HE141" s="395"/>
      <c r="HF141" s="395"/>
      <c r="HG141" s="395"/>
      <c r="HH141" s="395"/>
      <c r="HI141" s="395"/>
      <c r="HJ141" s="395"/>
      <c r="HK141" s="395"/>
      <c r="HL141" s="395"/>
      <c r="HM141" s="395"/>
      <c r="HN141" s="395"/>
      <c r="HO141" s="395"/>
      <c r="HP141" s="395"/>
      <c r="HQ141" s="395"/>
      <c r="HR141" s="395"/>
    </row>
    <row r="142" spans="1:226" s="866" customFormat="1" x14ac:dyDescent="0.25">
      <c r="A142" s="395"/>
      <c r="B142" s="395"/>
      <c r="C142" s="395"/>
      <c r="D142" s="395"/>
      <c r="E142" s="395"/>
      <c r="F142" s="395"/>
      <c r="G142" s="395"/>
      <c r="H142" s="395"/>
      <c r="I142" s="395"/>
      <c r="J142" s="395"/>
      <c r="K142" s="395"/>
      <c r="L142" s="395"/>
      <c r="M142" s="395"/>
      <c r="N142" s="395"/>
      <c r="O142" s="395"/>
      <c r="P142" s="395"/>
      <c r="Q142" s="395"/>
      <c r="R142" s="395"/>
      <c r="S142" s="395"/>
      <c r="T142" s="395"/>
      <c r="U142" s="395"/>
      <c r="V142" s="1608"/>
      <c r="W142" s="395"/>
      <c r="X142" s="395"/>
      <c r="Y142" s="395"/>
      <c r="Z142" s="2140"/>
      <c r="AA142" s="395"/>
      <c r="AB142" s="395"/>
      <c r="AC142" s="395"/>
      <c r="AD142" s="395"/>
      <c r="AE142" s="395"/>
      <c r="AF142" s="395"/>
      <c r="AG142" s="395"/>
      <c r="AH142" s="395"/>
      <c r="AI142" s="395"/>
      <c r="AJ142" s="395"/>
      <c r="AK142" s="395"/>
      <c r="AL142" s="395"/>
      <c r="AM142" s="395"/>
      <c r="AN142" s="395"/>
      <c r="AO142" s="395"/>
      <c r="AP142" s="395"/>
      <c r="AQ142" s="395"/>
      <c r="AR142" s="395"/>
      <c r="AS142" s="395"/>
      <c r="AT142" s="395"/>
      <c r="AU142" s="395"/>
      <c r="AV142" s="395"/>
      <c r="AW142" s="395"/>
      <c r="AX142" s="395"/>
      <c r="AY142" s="395"/>
      <c r="AZ142" s="395"/>
      <c r="BA142" s="395"/>
      <c r="BB142" s="395"/>
      <c r="BC142" s="395"/>
      <c r="BD142" s="395"/>
      <c r="BE142" s="395"/>
      <c r="BF142" s="395"/>
      <c r="BG142" s="395"/>
      <c r="BH142" s="395"/>
      <c r="BI142" s="395"/>
      <c r="BJ142" s="395"/>
      <c r="BK142" s="395"/>
      <c r="BL142" s="395"/>
      <c r="BM142" s="395"/>
      <c r="BN142" s="395"/>
      <c r="BO142" s="395"/>
      <c r="BP142" s="395"/>
      <c r="BQ142" s="395"/>
      <c r="BR142" s="395"/>
      <c r="BS142" s="395"/>
      <c r="BT142" s="395"/>
      <c r="BU142" s="395"/>
      <c r="BV142" s="395"/>
      <c r="BW142" s="395"/>
      <c r="BX142" s="395"/>
      <c r="BY142" s="395"/>
      <c r="BZ142" s="395"/>
      <c r="CA142" s="395"/>
      <c r="CB142" s="395"/>
      <c r="CC142" s="395"/>
      <c r="CD142" s="395"/>
      <c r="CE142" s="395"/>
      <c r="CF142" s="395"/>
      <c r="CG142" s="395"/>
      <c r="CH142" s="395"/>
      <c r="CI142" s="395"/>
      <c r="CJ142" s="395"/>
      <c r="CK142" s="395"/>
      <c r="CL142" s="395"/>
      <c r="CM142" s="395"/>
      <c r="CN142" s="395"/>
      <c r="CO142" s="395"/>
      <c r="CP142" s="395"/>
      <c r="CQ142" s="395"/>
      <c r="CR142" s="395"/>
      <c r="CS142" s="395"/>
      <c r="CT142" s="395"/>
      <c r="CU142" s="395"/>
      <c r="CV142" s="395"/>
      <c r="CW142" s="395"/>
      <c r="CX142" s="395"/>
      <c r="CY142" s="395"/>
      <c r="CZ142" s="395"/>
      <c r="DA142" s="395"/>
      <c r="DB142" s="395"/>
      <c r="DC142" s="395"/>
      <c r="DD142" s="395"/>
      <c r="DE142" s="395"/>
      <c r="DF142" s="395"/>
      <c r="DG142" s="395"/>
      <c r="DH142" s="395"/>
      <c r="DI142" s="395"/>
      <c r="DJ142" s="395"/>
      <c r="DK142" s="395"/>
      <c r="DL142" s="395"/>
      <c r="DM142" s="395"/>
      <c r="DN142" s="395"/>
      <c r="DO142" s="395"/>
      <c r="DP142" s="395"/>
      <c r="DQ142" s="395"/>
      <c r="DR142" s="395"/>
      <c r="DS142" s="395"/>
      <c r="DT142" s="395"/>
      <c r="DU142" s="395"/>
      <c r="DV142" s="395"/>
      <c r="DW142" s="395"/>
      <c r="DX142" s="395"/>
      <c r="DY142" s="395"/>
      <c r="DZ142" s="395"/>
      <c r="EA142" s="395"/>
      <c r="EB142" s="395"/>
      <c r="EC142" s="395"/>
      <c r="ED142" s="395"/>
      <c r="EE142" s="395"/>
      <c r="EF142" s="395"/>
      <c r="EG142" s="395"/>
      <c r="EH142" s="395"/>
      <c r="EI142" s="395"/>
      <c r="EJ142" s="395"/>
      <c r="EK142" s="395"/>
      <c r="EL142" s="395"/>
      <c r="EM142" s="395"/>
      <c r="EN142" s="395"/>
      <c r="EO142" s="395"/>
      <c r="EP142" s="395"/>
      <c r="EQ142" s="395"/>
      <c r="ER142" s="395"/>
      <c r="ES142" s="395"/>
      <c r="ET142" s="395"/>
      <c r="EU142" s="395"/>
      <c r="EV142" s="395"/>
      <c r="EW142" s="395"/>
      <c r="EX142" s="395"/>
      <c r="EY142" s="395"/>
      <c r="EZ142" s="395"/>
      <c r="FA142" s="395"/>
      <c r="FB142" s="395"/>
      <c r="FC142" s="395"/>
      <c r="FD142" s="395"/>
      <c r="FE142" s="395"/>
      <c r="FF142" s="395"/>
      <c r="FG142" s="395"/>
      <c r="FH142" s="395"/>
      <c r="FI142" s="395"/>
      <c r="FJ142" s="395"/>
      <c r="FK142" s="395"/>
      <c r="FL142" s="395"/>
      <c r="FM142" s="395"/>
      <c r="FN142" s="395"/>
      <c r="FO142" s="395"/>
      <c r="FP142" s="395"/>
      <c r="FQ142" s="395"/>
      <c r="FR142" s="395"/>
      <c r="FS142" s="395"/>
      <c r="FT142" s="395"/>
      <c r="FU142" s="395"/>
      <c r="FV142" s="395"/>
      <c r="FW142" s="395"/>
      <c r="FX142" s="395"/>
      <c r="FY142" s="395"/>
      <c r="FZ142" s="395"/>
      <c r="GA142" s="395"/>
      <c r="GB142" s="395"/>
      <c r="GC142" s="395"/>
      <c r="GD142" s="395"/>
      <c r="GE142" s="395"/>
      <c r="GF142" s="395"/>
      <c r="GG142" s="395"/>
      <c r="GH142" s="395"/>
      <c r="GI142" s="395"/>
      <c r="GJ142" s="395"/>
      <c r="GK142" s="395"/>
      <c r="GL142" s="395"/>
      <c r="GM142" s="395"/>
      <c r="GN142" s="395"/>
      <c r="GO142" s="395"/>
      <c r="GP142" s="395"/>
      <c r="GQ142" s="395"/>
      <c r="GR142" s="395"/>
      <c r="GS142" s="395"/>
      <c r="GT142" s="395"/>
      <c r="GU142" s="395"/>
      <c r="GV142" s="395"/>
      <c r="GW142" s="395"/>
      <c r="GX142" s="395"/>
      <c r="GY142" s="395"/>
      <c r="GZ142" s="395"/>
      <c r="HA142" s="395"/>
      <c r="HB142" s="395"/>
      <c r="HC142" s="395"/>
      <c r="HD142" s="395"/>
      <c r="HE142" s="395"/>
      <c r="HF142" s="395"/>
      <c r="HG142" s="395"/>
      <c r="HH142" s="395"/>
      <c r="HI142" s="395"/>
      <c r="HJ142" s="395"/>
      <c r="HK142" s="395"/>
      <c r="HL142" s="395"/>
      <c r="HM142" s="395"/>
      <c r="HN142" s="395"/>
      <c r="HO142" s="395"/>
      <c r="HP142" s="395"/>
      <c r="HQ142" s="395"/>
      <c r="HR142" s="395"/>
    </row>
    <row r="143" spans="1:226" s="866" customFormat="1" x14ac:dyDescent="0.25">
      <c r="A143" s="395"/>
      <c r="B143" s="395"/>
      <c r="C143" s="395"/>
      <c r="D143" s="395"/>
      <c r="E143" s="395"/>
      <c r="F143" s="395"/>
      <c r="G143" s="395"/>
      <c r="H143" s="395"/>
      <c r="I143" s="395"/>
      <c r="J143" s="395"/>
      <c r="K143" s="395"/>
      <c r="L143" s="395"/>
      <c r="M143" s="395"/>
      <c r="N143" s="395"/>
      <c r="O143" s="395"/>
      <c r="P143" s="395"/>
      <c r="Q143" s="395"/>
      <c r="R143" s="395"/>
      <c r="S143" s="395"/>
      <c r="T143" s="395"/>
      <c r="U143" s="395"/>
      <c r="V143" s="1608"/>
      <c r="W143" s="395"/>
      <c r="X143" s="395"/>
      <c r="Y143" s="395"/>
      <c r="Z143" s="2140"/>
      <c r="AA143" s="395"/>
      <c r="AB143" s="395"/>
      <c r="AC143" s="395"/>
      <c r="AD143" s="395"/>
      <c r="AE143" s="395"/>
      <c r="AF143" s="395"/>
      <c r="AG143" s="395"/>
      <c r="AH143" s="395"/>
      <c r="AI143" s="395"/>
      <c r="AJ143" s="395"/>
      <c r="AK143" s="395"/>
      <c r="AL143" s="395"/>
      <c r="AM143" s="395"/>
      <c r="AN143" s="395"/>
      <c r="AO143" s="395"/>
      <c r="AP143" s="395"/>
      <c r="AQ143" s="395"/>
      <c r="AR143" s="395"/>
      <c r="AS143" s="395"/>
      <c r="AT143" s="395"/>
      <c r="AU143" s="395"/>
      <c r="AV143" s="395"/>
      <c r="AW143" s="395"/>
      <c r="AX143" s="395"/>
      <c r="AY143" s="395"/>
      <c r="AZ143" s="395"/>
      <c r="BA143" s="395"/>
      <c r="BB143" s="395"/>
      <c r="BC143" s="395"/>
      <c r="BD143" s="395"/>
      <c r="BE143" s="395"/>
      <c r="BF143" s="395"/>
      <c r="BG143" s="395"/>
      <c r="BH143" s="395"/>
      <c r="BI143" s="395"/>
      <c r="BJ143" s="395"/>
      <c r="BK143" s="395"/>
      <c r="BL143" s="395"/>
      <c r="BM143" s="395"/>
      <c r="BN143" s="395"/>
      <c r="BO143" s="395"/>
      <c r="BP143" s="395"/>
      <c r="BQ143" s="395"/>
      <c r="BR143" s="395"/>
      <c r="BS143" s="395"/>
      <c r="BT143" s="395"/>
      <c r="BU143" s="395"/>
      <c r="BV143" s="395"/>
      <c r="BW143" s="395"/>
      <c r="BX143" s="395"/>
      <c r="BY143" s="395"/>
      <c r="BZ143" s="395"/>
      <c r="CA143" s="395"/>
      <c r="CB143" s="395"/>
      <c r="CC143" s="395"/>
      <c r="CD143" s="395"/>
      <c r="CE143" s="395"/>
      <c r="CF143" s="395"/>
      <c r="CG143" s="395"/>
      <c r="CH143" s="395"/>
      <c r="CI143" s="395"/>
      <c r="CJ143" s="395"/>
      <c r="CK143" s="395"/>
      <c r="CL143" s="395"/>
      <c r="CM143" s="395"/>
      <c r="CN143" s="395"/>
      <c r="CO143" s="395"/>
      <c r="CP143" s="395"/>
      <c r="CQ143" s="395"/>
      <c r="CR143" s="395"/>
      <c r="CS143" s="395"/>
      <c r="CT143" s="395"/>
      <c r="CU143" s="395"/>
      <c r="CV143" s="395"/>
      <c r="CW143" s="395"/>
      <c r="CX143" s="395"/>
      <c r="CY143" s="395"/>
      <c r="CZ143" s="395"/>
      <c r="DA143" s="395"/>
      <c r="DB143" s="395"/>
      <c r="DC143" s="395"/>
      <c r="DD143" s="395"/>
      <c r="DE143" s="395"/>
      <c r="DF143" s="395"/>
      <c r="DG143" s="395"/>
      <c r="DH143" s="395"/>
      <c r="DI143" s="395"/>
      <c r="DJ143" s="395"/>
      <c r="DK143" s="395"/>
      <c r="DL143" s="395"/>
      <c r="DM143" s="395"/>
      <c r="DN143" s="395"/>
      <c r="DO143" s="395"/>
      <c r="DP143" s="395"/>
      <c r="DQ143" s="395"/>
      <c r="DR143" s="395"/>
      <c r="DS143" s="395"/>
      <c r="DT143" s="395"/>
      <c r="DU143" s="395"/>
      <c r="DV143" s="395"/>
      <c r="DW143" s="395"/>
      <c r="DX143" s="395"/>
      <c r="DY143" s="395"/>
      <c r="DZ143" s="395"/>
      <c r="EA143" s="395"/>
      <c r="EB143" s="395"/>
      <c r="EC143" s="395"/>
      <c r="ED143" s="395"/>
      <c r="EE143" s="395"/>
      <c r="EF143" s="395"/>
      <c r="EG143" s="395"/>
      <c r="EH143" s="395"/>
      <c r="EI143" s="395"/>
      <c r="EJ143" s="395"/>
      <c r="EK143" s="395"/>
      <c r="EL143" s="395"/>
      <c r="EM143" s="395"/>
      <c r="EN143" s="395"/>
      <c r="EO143" s="395"/>
      <c r="EP143" s="395"/>
      <c r="EQ143" s="395"/>
      <c r="ER143" s="395"/>
      <c r="ES143" s="395"/>
      <c r="ET143" s="395"/>
      <c r="EU143" s="395"/>
      <c r="EV143" s="395"/>
      <c r="EW143" s="395"/>
      <c r="EX143" s="395"/>
      <c r="EY143" s="395"/>
      <c r="EZ143" s="395"/>
      <c r="FA143" s="395"/>
      <c r="FB143" s="395"/>
      <c r="FC143" s="395"/>
      <c r="FD143" s="395"/>
      <c r="FE143" s="395"/>
      <c r="FF143" s="395"/>
      <c r="FG143" s="395"/>
      <c r="FH143" s="395"/>
      <c r="FI143" s="395"/>
      <c r="FJ143" s="395"/>
      <c r="FK143" s="395"/>
      <c r="FL143" s="395"/>
      <c r="FM143" s="395"/>
      <c r="FN143" s="395"/>
      <c r="FO143" s="395"/>
      <c r="FP143" s="395"/>
      <c r="FQ143" s="395"/>
      <c r="FR143" s="395"/>
      <c r="FS143" s="395"/>
      <c r="FT143" s="395"/>
      <c r="FU143" s="395"/>
      <c r="FV143" s="395"/>
      <c r="FW143" s="395"/>
      <c r="FX143" s="395"/>
      <c r="FY143" s="395"/>
      <c r="FZ143" s="395"/>
      <c r="GA143" s="395"/>
      <c r="GB143" s="395"/>
      <c r="GC143" s="395"/>
      <c r="GD143" s="395"/>
      <c r="GE143" s="395"/>
      <c r="GF143" s="395"/>
      <c r="GG143" s="395"/>
      <c r="GH143" s="395"/>
      <c r="GI143" s="395"/>
      <c r="GJ143" s="395"/>
      <c r="GK143" s="395"/>
      <c r="GL143" s="395"/>
      <c r="GM143" s="395"/>
      <c r="GN143" s="395"/>
      <c r="GO143" s="395"/>
      <c r="GP143" s="395"/>
      <c r="GQ143" s="395"/>
      <c r="GR143" s="395"/>
      <c r="GS143" s="395"/>
      <c r="GT143" s="395"/>
      <c r="GU143" s="395"/>
      <c r="GV143" s="395"/>
      <c r="GW143" s="395"/>
      <c r="GX143" s="395"/>
      <c r="GY143" s="395"/>
      <c r="GZ143" s="395"/>
      <c r="HA143" s="395"/>
      <c r="HB143" s="395"/>
      <c r="HC143" s="395"/>
      <c r="HD143" s="395"/>
      <c r="HE143" s="395"/>
      <c r="HF143" s="395"/>
      <c r="HG143" s="395"/>
      <c r="HH143" s="395"/>
      <c r="HI143" s="395"/>
      <c r="HJ143" s="395"/>
      <c r="HK143" s="395"/>
      <c r="HL143" s="395"/>
      <c r="HM143" s="395"/>
      <c r="HN143" s="395"/>
      <c r="HO143" s="395"/>
      <c r="HP143" s="395"/>
      <c r="HQ143" s="395"/>
      <c r="HR143" s="395"/>
    </row>
    <row r="144" spans="1:226" s="866" customFormat="1" x14ac:dyDescent="0.25">
      <c r="A144" s="395"/>
      <c r="B144" s="395"/>
      <c r="C144" s="395"/>
      <c r="D144" s="395"/>
      <c r="E144" s="395"/>
      <c r="F144" s="395"/>
      <c r="G144" s="395"/>
      <c r="H144" s="395"/>
      <c r="I144" s="395"/>
      <c r="J144" s="395"/>
      <c r="K144" s="395"/>
      <c r="L144" s="395"/>
      <c r="M144" s="395"/>
      <c r="N144" s="395"/>
      <c r="O144" s="395"/>
      <c r="P144" s="395"/>
      <c r="Q144" s="395"/>
      <c r="R144" s="395"/>
      <c r="S144" s="395"/>
      <c r="T144" s="395"/>
      <c r="U144" s="395"/>
      <c r="V144" s="1608"/>
      <c r="W144" s="395"/>
      <c r="X144" s="395"/>
      <c r="Y144" s="395"/>
      <c r="Z144" s="2140"/>
      <c r="AA144" s="395"/>
      <c r="AB144" s="395"/>
      <c r="AC144" s="395"/>
      <c r="AD144" s="395"/>
      <c r="AE144" s="395"/>
      <c r="AF144" s="395"/>
      <c r="AG144" s="395"/>
      <c r="AH144" s="395"/>
      <c r="AI144" s="395"/>
      <c r="AJ144" s="395"/>
      <c r="AK144" s="395"/>
      <c r="AL144" s="395"/>
      <c r="AM144" s="395"/>
      <c r="AN144" s="395"/>
      <c r="AO144" s="395"/>
      <c r="AP144" s="395"/>
      <c r="AQ144" s="395"/>
      <c r="AR144" s="395"/>
      <c r="AS144" s="395"/>
      <c r="AT144" s="395"/>
      <c r="AU144" s="395"/>
      <c r="AV144" s="395"/>
      <c r="AW144" s="395"/>
      <c r="AX144" s="395"/>
      <c r="AY144" s="395"/>
      <c r="AZ144" s="395"/>
      <c r="BA144" s="395"/>
      <c r="BB144" s="395"/>
      <c r="BC144" s="395"/>
      <c r="BD144" s="395"/>
      <c r="BE144" s="395"/>
      <c r="BF144" s="395"/>
      <c r="BG144" s="395"/>
      <c r="BH144" s="395"/>
      <c r="BI144" s="395"/>
      <c r="BJ144" s="395"/>
      <c r="BK144" s="395"/>
      <c r="BL144" s="395"/>
      <c r="BM144" s="395"/>
      <c r="BN144" s="395"/>
      <c r="BO144" s="395"/>
      <c r="BP144" s="395"/>
      <c r="BQ144" s="395"/>
      <c r="BR144" s="395"/>
      <c r="BS144" s="395"/>
      <c r="BT144" s="395"/>
      <c r="BU144" s="395"/>
      <c r="BV144" s="395"/>
      <c r="BW144" s="395"/>
      <c r="BX144" s="395"/>
      <c r="BY144" s="395"/>
      <c r="BZ144" s="395"/>
      <c r="CA144" s="395"/>
      <c r="CB144" s="395"/>
      <c r="CC144" s="395"/>
      <c r="CD144" s="395"/>
      <c r="CE144" s="395"/>
      <c r="CF144" s="395"/>
      <c r="CG144" s="395"/>
      <c r="CH144" s="395"/>
      <c r="CI144" s="395"/>
      <c r="CJ144" s="395"/>
      <c r="CK144" s="395"/>
      <c r="CL144" s="395"/>
      <c r="CM144" s="395"/>
      <c r="CN144" s="395"/>
      <c r="CO144" s="395"/>
      <c r="CP144" s="395"/>
      <c r="CQ144" s="395"/>
      <c r="CR144" s="395"/>
      <c r="CS144" s="395"/>
      <c r="CT144" s="395"/>
      <c r="CU144" s="395"/>
      <c r="CV144" s="395"/>
      <c r="CW144" s="395"/>
      <c r="CX144" s="395"/>
      <c r="CY144" s="395"/>
      <c r="CZ144" s="395"/>
      <c r="DA144" s="395"/>
      <c r="DB144" s="395"/>
      <c r="DC144" s="395"/>
      <c r="DD144" s="395"/>
      <c r="DE144" s="395"/>
      <c r="DF144" s="395"/>
      <c r="DG144" s="395"/>
      <c r="DH144" s="395"/>
      <c r="DI144" s="395"/>
      <c r="DJ144" s="395"/>
      <c r="DK144" s="395"/>
      <c r="DL144" s="395"/>
      <c r="DM144" s="395"/>
      <c r="DN144" s="395"/>
      <c r="DO144" s="395"/>
      <c r="DP144" s="395"/>
      <c r="DQ144" s="395"/>
      <c r="DR144" s="395"/>
      <c r="DS144" s="395"/>
      <c r="DT144" s="395"/>
      <c r="DU144" s="395"/>
      <c r="DV144" s="395"/>
      <c r="DW144" s="395"/>
      <c r="DX144" s="395"/>
      <c r="DY144" s="395"/>
      <c r="DZ144" s="395"/>
      <c r="EA144" s="395"/>
      <c r="EB144" s="395"/>
      <c r="EC144" s="395"/>
      <c r="ED144" s="395"/>
      <c r="EE144" s="395"/>
      <c r="EF144" s="395"/>
      <c r="EG144" s="395"/>
      <c r="EH144" s="395"/>
      <c r="EI144" s="395"/>
      <c r="EJ144" s="395"/>
      <c r="EK144" s="395"/>
      <c r="EL144" s="395"/>
      <c r="EM144" s="395"/>
      <c r="EN144" s="395"/>
      <c r="EO144" s="395"/>
      <c r="EP144" s="395"/>
      <c r="EQ144" s="395"/>
      <c r="ER144" s="395"/>
      <c r="ES144" s="395"/>
      <c r="ET144" s="395"/>
      <c r="EU144" s="395"/>
      <c r="EV144" s="395"/>
      <c r="EW144" s="395"/>
      <c r="EX144" s="395"/>
      <c r="EY144" s="395"/>
      <c r="EZ144" s="395"/>
      <c r="FA144" s="395"/>
      <c r="FB144" s="395"/>
      <c r="FC144" s="395"/>
      <c r="FD144" s="395"/>
      <c r="FE144" s="395"/>
      <c r="FF144" s="395"/>
      <c r="FG144" s="395"/>
      <c r="FH144" s="395"/>
      <c r="FI144" s="395"/>
      <c r="FJ144" s="395"/>
      <c r="FK144" s="395"/>
      <c r="FL144" s="395"/>
      <c r="FM144" s="395"/>
      <c r="FN144" s="395"/>
      <c r="FO144" s="395"/>
      <c r="FP144" s="395"/>
      <c r="FQ144" s="395"/>
      <c r="FR144" s="395"/>
      <c r="FS144" s="395"/>
      <c r="FT144" s="395"/>
      <c r="FU144" s="395"/>
      <c r="FV144" s="395"/>
      <c r="FW144" s="395"/>
      <c r="FX144" s="395"/>
      <c r="FY144" s="395"/>
      <c r="FZ144" s="395"/>
      <c r="GA144" s="395"/>
      <c r="GB144" s="395"/>
      <c r="GC144" s="395"/>
      <c r="GD144" s="395"/>
      <c r="GE144" s="395"/>
      <c r="GF144" s="395"/>
      <c r="GG144" s="395"/>
      <c r="GH144" s="395"/>
      <c r="GI144" s="395"/>
      <c r="GJ144" s="395"/>
      <c r="GK144" s="395"/>
      <c r="GL144" s="395"/>
      <c r="GM144" s="395"/>
      <c r="GN144" s="395"/>
      <c r="GO144" s="395"/>
      <c r="GP144" s="395"/>
      <c r="GQ144" s="395"/>
      <c r="GR144" s="395"/>
      <c r="GS144" s="395"/>
      <c r="GT144" s="395"/>
      <c r="GU144" s="395"/>
      <c r="GV144" s="395"/>
      <c r="GW144" s="395"/>
      <c r="GX144" s="395"/>
      <c r="GY144" s="395"/>
      <c r="GZ144" s="395"/>
      <c r="HA144" s="395"/>
      <c r="HB144" s="395"/>
      <c r="HC144" s="395"/>
      <c r="HD144" s="395"/>
      <c r="HE144" s="395"/>
      <c r="HF144" s="395"/>
      <c r="HG144" s="395"/>
      <c r="HH144" s="395"/>
      <c r="HI144" s="395"/>
      <c r="HJ144" s="395"/>
      <c r="HK144" s="395"/>
      <c r="HL144" s="395"/>
      <c r="HM144" s="395"/>
      <c r="HN144" s="395"/>
      <c r="HO144" s="395"/>
      <c r="HP144" s="395"/>
      <c r="HQ144" s="395"/>
      <c r="HR144" s="395"/>
    </row>
    <row r="145" spans="1:226" s="866" customFormat="1" x14ac:dyDescent="0.25">
      <c r="A145" s="395"/>
      <c r="B145" s="395"/>
      <c r="C145" s="395"/>
      <c r="D145" s="395"/>
      <c r="E145" s="395"/>
      <c r="F145" s="395"/>
      <c r="G145" s="395"/>
      <c r="H145" s="395"/>
      <c r="I145" s="395"/>
      <c r="J145" s="395"/>
      <c r="K145" s="395"/>
      <c r="L145" s="395"/>
      <c r="M145" s="395"/>
      <c r="N145" s="395"/>
      <c r="O145" s="395"/>
      <c r="P145" s="395"/>
      <c r="Q145" s="395"/>
      <c r="R145" s="395"/>
      <c r="S145" s="395"/>
      <c r="T145" s="395"/>
      <c r="U145" s="395"/>
      <c r="V145" s="1608"/>
      <c r="W145" s="395"/>
      <c r="X145" s="395"/>
      <c r="Y145" s="395"/>
      <c r="Z145" s="2140"/>
      <c r="AA145" s="395"/>
      <c r="AB145" s="395"/>
      <c r="AC145" s="395"/>
      <c r="AD145" s="395"/>
      <c r="AE145" s="395"/>
      <c r="AF145" s="395"/>
      <c r="AG145" s="395"/>
      <c r="AH145" s="395"/>
      <c r="AI145" s="395"/>
      <c r="AJ145" s="395"/>
      <c r="AK145" s="395"/>
      <c r="AL145" s="395"/>
      <c r="AM145" s="395"/>
      <c r="AN145" s="395"/>
      <c r="AO145" s="395"/>
      <c r="AP145" s="395"/>
      <c r="AQ145" s="395"/>
      <c r="AR145" s="395"/>
      <c r="AS145" s="395"/>
      <c r="AT145" s="395"/>
      <c r="AU145" s="395"/>
      <c r="AV145" s="395"/>
      <c r="AW145" s="395"/>
      <c r="AX145" s="395"/>
      <c r="AY145" s="395"/>
      <c r="AZ145" s="395"/>
      <c r="BA145" s="395"/>
      <c r="BB145" s="395"/>
      <c r="BC145" s="395"/>
      <c r="BD145" s="395"/>
      <c r="BE145" s="395"/>
      <c r="BF145" s="395"/>
      <c r="BG145" s="395"/>
      <c r="BH145" s="395"/>
      <c r="BI145" s="395"/>
      <c r="BJ145" s="395"/>
      <c r="BK145" s="395"/>
      <c r="BL145" s="395"/>
      <c r="BM145" s="395"/>
      <c r="BN145" s="395"/>
      <c r="BO145" s="395"/>
      <c r="BP145" s="395"/>
      <c r="BQ145" s="395"/>
      <c r="BR145" s="395"/>
      <c r="BS145" s="395"/>
      <c r="BT145" s="395"/>
      <c r="BU145" s="395"/>
      <c r="BV145" s="395"/>
      <c r="BW145" s="395"/>
      <c r="BX145" s="395"/>
      <c r="BY145" s="395"/>
      <c r="BZ145" s="395"/>
      <c r="CA145" s="395"/>
      <c r="CB145" s="395"/>
      <c r="CC145" s="395"/>
      <c r="CD145" s="395"/>
      <c r="CE145" s="395"/>
      <c r="CF145" s="395"/>
      <c r="CG145" s="395"/>
      <c r="CH145" s="395"/>
      <c r="CI145" s="395"/>
      <c r="CJ145" s="395"/>
      <c r="CK145" s="395"/>
      <c r="CL145" s="395"/>
      <c r="CM145" s="395"/>
      <c r="CN145" s="395"/>
      <c r="CO145" s="395"/>
      <c r="CP145" s="395"/>
      <c r="CQ145" s="395"/>
      <c r="CR145" s="395"/>
      <c r="CS145" s="395"/>
      <c r="CT145" s="395"/>
      <c r="CU145" s="395"/>
      <c r="CV145" s="395"/>
      <c r="CW145" s="395"/>
      <c r="CX145" s="395"/>
      <c r="CY145" s="395"/>
      <c r="CZ145" s="395"/>
      <c r="DA145" s="395"/>
      <c r="DB145" s="395"/>
      <c r="DC145" s="395"/>
      <c r="DD145" s="395"/>
      <c r="DE145" s="395"/>
      <c r="DF145" s="395"/>
      <c r="DG145" s="395"/>
      <c r="DH145" s="395"/>
      <c r="DI145" s="395"/>
      <c r="DJ145" s="395"/>
      <c r="DK145" s="395"/>
      <c r="DL145" s="395"/>
      <c r="DM145" s="395"/>
      <c r="DN145" s="395"/>
      <c r="DO145" s="395"/>
      <c r="DP145" s="395"/>
      <c r="DQ145" s="395"/>
      <c r="DR145" s="395"/>
      <c r="DS145" s="395"/>
      <c r="DT145" s="395"/>
      <c r="DU145" s="395"/>
      <c r="DV145" s="395"/>
      <c r="DW145" s="395"/>
      <c r="DX145" s="395"/>
      <c r="DY145" s="395"/>
      <c r="DZ145" s="395"/>
      <c r="EA145" s="395"/>
      <c r="EB145" s="395"/>
      <c r="EC145" s="395"/>
      <c r="ED145" s="395"/>
      <c r="EE145" s="395"/>
      <c r="EF145" s="395"/>
      <c r="EG145" s="395"/>
      <c r="EH145" s="395"/>
      <c r="EI145" s="395"/>
      <c r="EJ145" s="395"/>
      <c r="EK145" s="395"/>
      <c r="EL145" s="395"/>
      <c r="EM145" s="395"/>
      <c r="EN145" s="395"/>
      <c r="EO145" s="395"/>
      <c r="EP145" s="395"/>
      <c r="EQ145" s="395"/>
      <c r="ER145" s="395"/>
      <c r="ES145" s="395"/>
      <c r="ET145" s="395"/>
      <c r="EU145" s="395"/>
      <c r="EV145" s="395"/>
      <c r="EW145" s="395"/>
      <c r="EX145" s="395"/>
      <c r="EY145" s="395"/>
      <c r="EZ145" s="395"/>
      <c r="FA145" s="395"/>
      <c r="FB145" s="395"/>
      <c r="FC145" s="395"/>
      <c r="FD145" s="395"/>
      <c r="FE145" s="395"/>
      <c r="FF145" s="395"/>
      <c r="FG145" s="395"/>
      <c r="FH145" s="395"/>
      <c r="FI145" s="395"/>
      <c r="FJ145" s="395"/>
      <c r="FK145" s="395"/>
      <c r="FL145" s="395"/>
      <c r="FM145" s="395"/>
      <c r="FN145" s="395"/>
      <c r="FO145" s="395"/>
      <c r="FP145" s="395"/>
      <c r="FQ145" s="395"/>
      <c r="FR145" s="395"/>
      <c r="FS145" s="395"/>
      <c r="FT145" s="395"/>
      <c r="FU145" s="395"/>
      <c r="FV145" s="395"/>
      <c r="FW145" s="395"/>
      <c r="FX145" s="395"/>
      <c r="FY145" s="395"/>
      <c r="FZ145" s="395"/>
      <c r="GA145" s="395"/>
      <c r="GB145" s="395"/>
      <c r="GC145" s="395"/>
      <c r="GD145" s="395"/>
      <c r="GE145" s="395"/>
      <c r="GF145" s="395"/>
      <c r="GG145" s="395"/>
      <c r="GH145" s="395"/>
      <c r="GI145" s="395"/>
      <c r="GJ145" s="395"/>
      <c r="GK145" s="395"/>
      <c r="GL145" s="395"/>
      <c r="GM145" s="395"/>
      <c r="GN145" s="395"/>
      <c r="GO145" s="395"/>
      <c r="GP145" s="395"/>
      <c r="GQ145" s="395"/>
      <c r="GR145" s="395"/>
      <c r="GS145" s="395"/>
      <c r="GT145" s="395"/>
      <c r="GU145" s="395"/>
      <c r="GV145" s="395"/>
      <c r="GW145" s="395"/>
      <c r="GX145" s="395"/>
      <c r="GY145" s="395"/>
      <c r="GZ145" s="395"/>
      <c r="HA145" s="395"/>
      <c r="HB145" s="395"/>
      <c r="HC145" s="395"/>
      <c r="HD145" s="395"/>
      <c r="HE145" s="395"/>
      <c r="HF145" s="395"/>
      <c r="HG145" s="395"/>
      <c r="HH145" s="395"/>
      <c r="HI145" s="395"/>
      <c r="HJ145" s="395"/>
      <c r="HK145" s="395"/>
      <c r="HL145" s="395"/>
      <c r="HM145" s="395"/>
      <c r="HN145" s="395"/>
      <c r="HO145" s="395"/>
      <c r="HP145" s="395"/>
      <c r="HQ145" s="395"/>
      <c r="HR145" s="395"/>
    </row>
    <row r="146" spans="1:226" s="866" customFormat="1" x14ac:dyDescent="0.25">
      <c r="A146" s="395"/>
      <c r="B146" s="395"/>
      <c r="C146" s="395"/>
      <c r="D146" s="395"/>
      <c r="E146" s="395"/>
      <c r="F146" s="395"/>
      <c r="G146" s="395"/>
      <c r="H146" s="395"/>
      <c r="I146" s="395"/>
      <c r="J146" s="395"/>
      <c r="K146" s="395"/>
      <c r="L146" s="395"/>
      <c r="M146" s="395"/>
      <c r="N146" s="395"/>
      <c r="O146" s="395"/>
      <c r="P146" s="395"/>
      <c r="Q146" s="395"/>
      <c r="R146" s="395"/>
      <c r="S146" s="395"/>
      <c r="T146" s="395"/>
      <c r="U146" s="395"/>
      <c r="V146" s="1608"/>
      <c r="W146" s="395"/>
      <c r="X146" s="395"/>
      <c r="Y146" s="395"/>
      <c r="Z146" s="2140"/>
      <c r="AA146" s="395"/>
      <c r="AB146" s="395"/>
      <c r="AC146" s="395"/>
      <c r="AD146" s="395"/>
      <c r="AE146" s="395"/>
      <c r="AF146" s="395"/>
      <c r="AG146" s="395"/>
      <c r="AH146" s="395"/>
      <c r="AI146" s="395"/>
      <c r="AJ146" s="395"/>
      <c r="AK146" s="395"/>
      <c r="AL146" s="395"/>
      <c r="AM146" s="395"/>
      <c r="AN146" s="395"/>
      <c r="AO146" s="395"/>
      <c r="AP146" s="395"/>
      <c r="AQ146" s="395"/>
      <c r="AR146" s="395"/>
      <c r="AS146" s="395"/>
      <c r="AT146" s="395"/>
      <c r="AU146" s="395"/>
      <c r="AV146" s="395"/>
      <c r="AW146" s="395"/>
      <c r="AX146" s="395"/>
      <c r="AY146" s="395"/>
      <c r="AZ146" s="395"/>
      <c r="BA146" s="395"/>
      <c r="BB146" s="395"/>
      <c r="BC146" s="395"/>
      <c r="BD146" s="395"/>
      <c r="BE146" s="395"/>
      <c r="BF146" s="395"/>
      <c r="BG146" s="395"/>
      <c r="BH146" s="395"/>
      <c r="BI146" s="395"/>
      <c r="BJ146" s="395"/>
      <c r="BK146" s="395"/>
      <c r="BL146" s="395"/>
      <c r="BM146" s="395"/>
      <c r="BN146" s="395"/>
      <c r="BO146" s="395"/>
      <c r="BP146" s="395"/>
      <c r="BQ146" s="395"/>
      <c r="BR146" s="395"/>
      <c r="BS146" s="395"/>
      <c r="BT146" s="395"/>
      <c r="BU146" s="395"/>
      <c r="BV146" s="395"/>
      <c r="BW146" s="395"/>
      <c r="BX146" s="395"/>
      <c r="BY146" s="395"/>
      <c r="BZ146" s="395"/>
      <c r="CA146" s="395"/>
      <c r="CB146" s="395"/>
      <c r="CC146" s="395"/>
      <c r="CD146" s="395"/>
      <c r="CE146" s="395"/>
      <c r="CF146" s="395"/>
      <c r="CG146" s="395"/>
      <c r="CH146" s="395"/>
      <c r="CI146" s="395"/>
      <c r="CJ146" s="395"/>
      <c r="CK146" s="395"/>
      <c r="CL146" s="395"/>
      <c r="CM146" s="395"/>
      <c r="CN146" s="395"/>
      <c r="CO146" s="395"/>
      <c r="CP146" s="395"/>
      <c r="CQ146" s="395"/>
      <c r="CR146" s="395"/>
      <c r="CS146" s="395"/>
      <c r="CT146" s="395"/>
      <c r="CU146" s="395"/>
      <c r="CV146" s="395"/>
      <c r="CW146" s="395"/>
      <c r="CX146" s="395"/>
      <c r="CY146" s="395"/>
      <c r="CZ146" s="395"/>
      <c r="DA146" s="395"/>
      <c r="DB146" s="395"/>
      <c r="DC146" s="395"/>
      <c r="DD146" s="395"/>
      <c r="DE146" s="395"/>
      <c r="DF146" s="395"/>
      <c r="DG146" s="395"/>
      <c r="DH146" s="395"/>
      <c r="DI146" s="395"/>
      <c r="DJ146" s="395"/>
      <c r="DK146" s="395"/>
      <c r="DL146" s="395"/>
      <c r="DM146" s="395"/>
      <c r="DN146" s="395"/>
      <c r="DO146" s="395"/>
      <c r="DP146" s="395"/>
      <c r="DQ146" s="395"/>
      <c r="DR146" s="395"/>
      <c r="DS146" s="395"/>
      <c r="DT146" s="395"/>
      <c r="DU146" s="395"/>
      <c r="DV146" s="395"/>
      <c r="DW146" s="395"/>
      <c r="DX146" s="395"/>
      <c r="DY146" s="395"/>
      <c r="DZ146" s="395"/>
      <c r="EA146" s="395"/>
      <c r="EB146" s="395"/>
      <c r="EC146" s="395"/>
      <c r="ED146" s="395"/>
      <c r="EE146" s="395"/>
      <c r="EF146" s="395"/>
      <c r="EG146" s="395"/>
      <c r="EH146" s="395"/>
      <c r="EI146" s="395"/>
      <c r="EJ146" s="395"/>
      <c r="EK146" s="395"/>
      <c r="EL146" s="395"/>
      <c r="EM146" s="395"/>
      <c r="EN146" s="395"/>
      <c r="EO146" s="395"/>
      <c r="EP146" s="395"/>
      <c r="EQ146" s="395"/>
      <c r="ER146" s="395"/>
      <c r="ES146" s="395"/>
      <c r="ET146" s="395"/>
      <c r="EU146" s="395"/>
      <c r="EV146" s="395"/>
      <c r="EW146" s="395"/>
      <c r="EX146" s="395"/>
      <c r="EY146" s="395"/>
      <c r="EZ146" s="395"/>
      <c r="FA146" s="395"/>
      <c r="FB146" s="395"/>
      <c r="FC146" s="395"/>
      <c r="FD146" s="395"/>
      <c r="FE146" s="395"/>
      <c r="FF146" s="395"/>
      <c r="FG146" s="395"/>
      <c r="FH146" s="395"/>
      <c r="FI146" s="395"/>
      <c r="FJ146" s="395"/>
      <c r="FK146" s="395"/>
      <c r="FL146" s="395"/>
      <c r="FM146" s="395"/>
      <c r="FN146" s="395"/>
      <c r="FO146" s="395"/>
      <c r="FP146" s="395"/>
      <c r="FQ146" s="395"/>
      <c r="FR146" s="395"/>
      <c r="FS146" s="395"/>
      <c r="FT146" s="395"/>
      <c r="FU146" s="395"/>
      <c r="FV146" s="395"/>
      <c r="FW146" s="395"/>
      <c r="FX146" s="395"/>
      <c r="FY146" s="395"/>
      <c r="FZ146" s="395"/>
      <c r="GA146" s="395"/>
      <c r="GB146" s="395"/>
      <c r="GC146" s="395"/>
      <c r="GD146" s="395"/>
      <c r="GE146" s="395"/>
      <c r="GF146" s="395"/>
      <c r="GG146" s="395"/>
      <c r="GH146" s="395"/>
      <c r="GI146" s="395"/>
      <c r="GJ146" s="395"/>
      <c r="GK146" s="395"/>
      <c r="GL146" s="395"/>
      <c r="GM146" s="395"/>
      <c r="GN146" s="395"/>
      <c r="GO146" s="395"/>
      <c r="GP146" s="395"/>
      <c r="GQ146" s="395"/>
      <c r="GR146" s="395"/>
      <c r="GS146" s="395"/>
      <c r="GT146" s="395"/>
      <c r="GU146" s="395"/>
      <c r="GV146" s="395"/>
      <c r="GW146" s="395"/>
      <c r="GX146" s="395"/>
      <c r="GY146" s="395"/>
      <c r="GZ146" s="395"/>
      <c r="HA146" s="395"/>
      <c r="HB146" s="395"/>
      <c r="HC146" s="395"/>
      <c r="HD146" s="395"/>
      <c r="HE146" s="395"/>
      <c r="HF146" s="395"/>
      <c r="HG146" s="395"/>
      <c r="HH146" s="395"/>
      <c r="HI146" s="395"/>
      <c r="HJ146" s="395"/>
      <c r="HK146" s="395"/>
      <c r="HL146" s="395"/>
      <c r="HM146" s="395"/>
      <c r="HN146" s="395"/>
      <c r="HO146" s="395"/>
      <c r="HP146" s="395"/>
      <c r="HQ146" s="395"/>
      <c r="HR146" s="395"/>
    </row>
    <row r="147" spans="1:226" s="866" customFormat="1" x14ac:dyDescent="0.25">
      <c r="A147" s="395"/>
      <c r="B147" s="395"/>
      <c r="C147" s="395"/>
      <c r="D147" s="395"/>
      <c r="E147" s="395"/>
      <c r="F147" s="395"/>
      <c r="G147" s="395"/>
      <c r="H147" s="395"/>
      <c r="I147" s="395"/>
      <c r="J147" s="395"/>
      <c r="K147" s="395"/>
      <c r="L147" s="395"/>
      <c r="M147" s="395"/>
      <c r="N147" s="395"/>
      <c r="O147" s="395"/>
      <c r="P147" s="395"/>
      <c r="Q147" s="395"/>
      <c r="R147" s="395"/>
      <c r="S147" s="395"/>
      <c r="T147" s="395"/>
      <c r="U147" s="395"/>
      <c r="V147" s="1608"/>
      <c r="W147" s="395"/>
      <c r="X147" s="395"/>
      <c r="Y147" s="395"/>
      <c r="Z147" s="2140"/>
      <c r="AA147" s="395"/>
      <c r="AB147" s="395"/>
      <c r="AC147" s="395"/>
      <c r="AD147" s="395"/>
      <c r="AE147" s="395"/>
      <c r="AF147" s="395"/>
      <c r="AG147" s="395"/>
      <c r="AH147" s="395"/>
      <c r="AI147" s="395"/>
      <c r="AJ147" s="395"/>
      <c r="AK147" s="395"/>
      <c r="AL147" s="395"/>
      <c r="AM147" s="395"/>
      <c r="AN147" s="395"/>
      <c r="AO147" s="395"/>
      <c r="AP147" s="395"/>
      <c r="AQ147" s="395"/>
      <c r="AR147" s="395"/>
      <c r="AS147" s="395"/>
      <c r="AT147" s="395"/>
      <c r="AU147" s="395"/>
      <c r="AV147" s="395"/>
      <c r="AW147" s="395"/>
      <c r="AX147" s="395"/>
      <c r="AY147" s="395"/>
      <c r="AZ147" s="395"/>
      <c r="BA147" s="395"/>
      <c r="BB147" s="395"/>
      <c r="BC147" s="395"/>
      <c r="BD147" s="395"/>
      <c r="BE147" s="395"/>
      <c r="BF147" s="395"/>
      <c r="BG147" s="395"/>
      <c r="BH147" s="395"/>
      <c r="BI147" s="395"/>
      <c r="BJ147" s="395"/>
      <c r="BK147" s="395"/>
      <c r="BL147" s="395"/>
      <c r="BM147" s="395"/>
      <c r="BN147" s="395"/>
      <c r="BO147" s="395"/>
      <c r="BP147" s="395"/>
      <c r="BQ147" s="395"/>
      <c r="BR147" s="395"/>
      <c r="BS147" s="395"/>
      <c r="BT147" s="395"/>
      <c r="BU147" s="395"/>
      <c r="BV147" s="395"/>
      <c r="BW147" s="395"/>
      <c r="BX147" s="395"/>
      <c r="BY147" s="395"/>
      <c r="BZ147" s="395"/>
      <c r="CA147" s="395"/>
      <c r="CB147" s="395"/>
      <c r="CC147" s="395"/>
      <c r="CD147" s="395"/>
      <c r="CE147" s="395"/>
      <c r="CF147" s="395"/>
      <c r="CG147" s="395"/>
      <c r="CH147" s="395"/>
      <c r="CI147" s="395"/>
      <c r="CJ147" s="395"/>
      <c r="CK147" s="395"/>
      <c r="CL147" s="395"/>
      <c r="CM147" s="395"/>
      <c r="CN147" s="395"/>
      <c r="CO147" s="395"/>
      <c r="CP147" s="395"/>
      <c r="CQ147" s="395"/>
      <c r="CR147" s="395"/>
      <c r="CS147" s="395"/>
      <c r="CT147" s="395"/>
      <c r="CU147" s="395"/>
      <c r="CV147" s="395"/>
      <c r="CW147" s="395"/>
      <c r="CX147" s="395"/>
      <c r="CY147" s="395"/>
      <c r="CZ147" s="395"/>
      <c r="DA147" s="395"/>
      <c r="DB147" s="395"/>
      <c r="DC147" s="395"/>
      <c r="DD147" s="395"/>
      <c r="DE147" s="395"/>
      <c r="DF147" s="395"/>
      <c r="DG147" s="395"/>
      <c r="DH147" s="395"/>
      <c r="DI147" s="395"/>
      <c r="DJ147" s="395"/>
      <c r="DK147" s="395"/>
      <c r="DL147" s="395"/>
      <c r="DM147" s="395"/>
      <c r="DN147" s="395"/>
      <c r="DO147" s="395"/>
      <c r="DP147" s="395"/>
      <c r="DQ147" s="395"/>
      <c r="DR147" s="395"/>
      <c r="DS147" s="395"/>
      <c r="DT147" s="395"/>
      <c r="DU147" s="395"/>
      <c r="DV147" s="395"/>
      <c r="DW147" s="395"/>
      <c r="DX147" s="395"/>
      <c r="DY147" s="395"/>
      <c r="DZ147" s="395"/>
      <c r="EA147" s="395"/>
      <c r="EB147" s="395"/>
      <c r="EC147" s="395"/>
      <c r="ED147" s="395"/>
      <c r="EE147" s="395"/>
      <c r="EF147" s="395"/>
      <c r="EG147" s="395"/>
      <c r="EH147" s="395"/>
      <c r="EI147" s="395"/>
      <c r="EJ147" s="395"/>
      <c r="EK147" s="395"/>
      <c r="EL147" s="395"/>
      <c r="EM147" s="395"/>
      <c r="EN147" s="395"/>
      <c r="EO147" s="395"/>
      <c r="EP147" s="395"/>
      <c r="EQ147" s="395"/>
      <c r="ER147" s="395"/>
      <c r="ES147" s="395"/>
      <c r="ET147" s="395"/>
      <c r="EU147" s="395"/>
      <c r="EV147" s="395"/>
      <c r="EW147" s="395"/>
      <c r="EX147" s="395"/>
      <c r="EY147" s="395"/>
      <c r="EZ147" s="395"/>
      <c r="FA147" s="395"/>
      <c r="FB147" s="395"/>
      <c r="FC147" s="395"/>
      <c r="FD147" s="395"/>
      <c r="FE147" s="395"/>
      <c r="FF147" s="395"/>
      <c r="FG147" s="395"/>
      <c r="FH147" s="395"/>
      <c r="FI147" s="395"/>
      <c r="FJ147" s="395"/>
      <c r="FK147" s="395"/>
      <c r="FL147" s="395"/>
      <c r="FM147" s="395"/>
      <c r="FN147" s="395"/>
      <c r="FO147" s="395"/>
      <c r="FP147" s="395"/>
      <c r="FQ147" s="395"/>
      <c r="FR147" s="395"/>
      <c r="FS147" s="395"/>
      <c r="FT147" s="395"/>
      <c r="FU147" s="395"/>
      <c r="FV147" s="395"/>
      <c r="FW147" s="395"/>
      <c r="FX147" s="395"/>
      <c r="FY147" s="395"/>
      <c r="FZ147" s="395"/>
      <c r="GA147" s="395"/>
      <c r="GB147" s="395"/>
      <c r="GC147" s="395"/>
      <c r="GD147" s="395"/>
      <c r="GE147" s="395"/>
      <c r="GF147" s="395"/>
      <c r="GG147" s="395"/>
      <c r="GH147" s="395"/>
      <c r="GI147" s="395"/>
      <c r="GJ147" s="395"/>
      <c r="GK147" s="395"/>
      <c r="GL147" s="395"/>
      <c r="GM147" s="395"/>
      <c r="GN147" s="395"/>
      <c r="GO147" s="395"/>
      <c r="GP147" s="395"/>
      <c r="GQ147" s="395"/>
      <c r="GR147" s="395"/>
      <c r="GS147" s="395"/>
      <c r="GT147" s="395"/>
      <c r="GU147" s="395"/>
      <c r="GV147" s="395"/>
      <c r="GW147" s="395"/>
      <c r="GX147" s="395"/>
      <c r="GY147" s="395"/>
      <c r="GZ147" s="395"/>
      <c r="HA147" s="395"/>
      <c r="HB147" s="395"/>
      <c r="HC147" s="395"/>
      <c r="HD147" s="395"/>
      <c r="HE147" s="395"/>
      <c r="HF147" s="395"/>
      <c r="HG147" s="395"/>
      <c r="HH147" s="395"/>
      <c r="HI147" s="395"/>
      <c r="HJ147" s="395"/>
      <c r="HK147" s="395"/>
      <c r="HL147" s="395"/>
      <c r="HM147" s="395"/>
      <c r="HN147" s="395"/>
      <c r="HO147" s="395"/>
      <c r="HP147" s="395"/>
      <c r="HQ147" s="395"/>
      <c r="HR147" s="395"/>
    </row>
    <row r="148" spans="1:226" s="866" customFormat="1" x14ac:dyDescent="0.25">
      <c r="A148" s="395"/>
      <c r="B148" s="395"/>
      <c r="C148" s="395"/>
      <c r="D148" s="395"/>
      <c r="E148" s="395"/>
      <c r="F148" s="395"/>
      <c r="G148" s="395"/>
      <c r="H148" s="395"/>
      <c r="I148" s="395"/>
      <c r="J148" s="395"/>
      <c r="K148" s="395"/>
      <c r="L148" s="395"/>
      <c r="M148" s="395"/>
      <c r="N148" s="395"/>
      <c r="O148" s="395"/>
      <c r="P148" s="395"/>
      <c r="Q148" s="395"/>
      <c r="R148" s="395"/>
      <c r="S148" s="395"/>
      <c r="T148" s="395"/>
      <c r="U148" s="395"/>
      <c r="V148" s="1608"/>
      <c r="W148" s="395"/>
      <c r="X148" s="395"/>
      <c r="Y148" s="395"/>
      <c r="Z148" s="2140"/>
      <c r="AA148" s="395"/>
      <c r="AB148" s="395"/>
      <c r="AC148" s="395"/>
      <c r="AD148" s="395"/>
      <c r="AE148" s="395"/>
      <c r="AF148" s="395"/>
      <c r="AG148" s="395"/>
      <c r="AH148" s="395"/>
      <c r="AI148" s="395"/>
      <c r="AJ148" s="395"/>
      <c r="AK148" s="395"/>
      <c r="AL148" s="395"/>
      <c r="AM148" s="395"/>
      <c r="AN148" s="395"/>
      <c r="AO148" s="395"/>
      <c r="AP148" s="395"/>
      <c r="AQ148" s="395"/>
      <c r="AR148" s="395"/>
      <c r="AS148" s="395"/>
      <c r="AT148" s="395"/>
      <c r="AU148" s="395"/>
      <c r="AV148" s="395"/>
      <c r="AW148" s="395"/>
      <c r="AX148" s="395"/>
      <c r="AY148" s="395"/>
      <c r="AZ148" s="395"/>
      <c r="BA148" s="395"/>
      <c r="BB148" s="395"/>
      <c r="BC148" s="395"/>
      <c r="BD148" s="395"/>
      <c r="BE148" s="395"/>
      <c r="BF148" s="395"/>
      <c r="BG148" s="395"/>
      <c r="BH148" s="395"/>
      <c r="BI148" s="395"/>
      <c r="BJ148" s="395"/>
      <c r="BK148" s="395"/>
      <c r="BL148" s="395"/>
      <c r="BM148" s="395"/>
      <c r="BN148" s="395"/>
      <c r="BO148" s="395"/>
      <c r="BP148" s="395"/>
      <c r="BQ148" s="395"/>
      <c r="BR148" s="395"/>
      <c r="BS148" s="395"/>
      <c r="BT148" s="395"/>
      <c r="BU148" s="395"/>
      <c r="BV148" s="395"/>
      <c r="BW148" s="395"/>
      <c r="BX148" s="395"/>
      <c r="BY148" s="395"/>
      <c r="BZ148" s="395"/>
      <c r="CA148" s="395"/>
      <c r="CB148" s="395"/>
      <c r="CC148" s="395"/>
      <c r="CD148" s="395"/>
      <c r="CE148" s="395"/>
      <c r="CF148" s="395"/>
      <c r="CG148" s="395"/>
      <c r="CH148" s="395"/>
      <c r="CI148" s="395"/>
      <c r="CJ148" s="395"/>
      <c r="CK148" s="395"/>
      <c r="CL148" s="395"/>
      <c r="CM148" s="395"/>
      <c r="CN148" s="395"/>
      <c r="CO148" s="395"/>
      <c r="CP148" s="395"/>
      <c r="CQ148" s="395"/>
      <c r="CR148" s="395"/>
      <c r="CS148" s="395"/>
      <c r="CT148" s="395"/>
      <c r="CU148" s="395"/>
      <c r="CV148" s="395"/>
      <c r="CW148" s="395"/>
      <c r="CX148" s="395"/>
      <c r="CY148" s="395"/>
      <c r="CZ148" s="395"/>
      <c r="DA148" s="395"/>
      <c r="DB148" s="395"/>
      <c r="DC148" s="395"/>
      <c r="DD148" s="395"/>
      <c r="DE148" s="395"/>
      <c r="DF148" s="395"/>
      <c r="DG148" s="395"/>
      <c r="DH148" s="395"/>
      <c r="DI148" s="395"/>
      <c r="DJ148" s="395"/>
      <c r="DK148" s="395"/>
      <c r="DL148" s="395"/>
      <c r="DM148" s="395"/>
      <c r="DN148" s="395"/>
      <c r="DO148" s="395"/>
      <c r="DP148" s="395"/>
      <c r="DQ148" s="395"/>
      <c r="DR148" s="395"/>
      <c r="DS148" s="395"/>
      <c r="DT148" s="395"/>
      <c r="DU148" s="395"/>
      <c r="DV148" s="395"/>
      <c r="DW148" s="395"/>
      <c r="DX148" s="395"/>
      <c r="DY148" s="395"/>
      <c r="DZ148" s="395"/>
      <c r="EA148" s="395"/>
      <c r="EB148" s="395"/>
      <c r="EC148" s="395"/>
      <c r="ED148" s="395"/>
      <c r="EE148" s="395"/>
      <c r="EF148" s="395"/>
      <c r="EG148" s="395"/>
      <c r="EH148" s="395"/>
      <c r="EI148" s="395"/>
      <c r="EJ148" s="395"/>
      <c r="EK148" s="395"/>
      <c r="EL148" s="395"/>
      <c r="EM148" s="395"/>
      <c r="EN148" s="395"/>
      <c r="EO148" s="395"/>
      <c r="EP148" s="395"/>
      <c r="EQ148" s="395"/>
      <c r="ER148" s="395"/>
      <c r="ES148" s="395"/>
      <c r="ET148" s="395"/>
      <c r="EU148" s="395"/>
      <c r="EV148" s="395"/>
      <c r="EW148" s="395"/>
      <c r="EX148" s="395"/>
      <c r="EY148" s="395"/>
      <c r="EZ148" s="395"/>
      <c r="FA148" s="395"/>
      <c r="FB148" s="395"/>
      <c r="FC148" s="395"/>
      <c r="FD148" s="395"/>
      <c r="FE148" s="395"/>
      <c r="FF148" s="395"/>
      <c r="FG148" s="395"/>
      <c r="FH148" s="395"/>
      <c r="FI148" s="395"/>
      <c r="FJ148" s="395"/>
      <c r="FK148" s="395"/>
      <c r="FL148" s="395"/>
      <c r="FM148" s="395"/>
      <c r="FN148" s="395"/>
      <c r="FO148" s="395"/>
      <c r="FP148" s="395"/>
      <c r="FQ148" s="395"/>
      <c r="FR148" s="395"/>
      <c r="FS148" s="395"/>
      <c r="FT148" s="395"/>
      <c r="FU148" s="395"/>
      <c r="FV148" s="395"/>
      <c r="FW148" s="395"/>
      <c r="FX148" s="395"/>
      <c r="FY148" s="395"/>
      <c r="FZ148" s="395"/>
      <c r="GA148" s="395"/>
      <c r="GB148" s="395"/>
      <c r="GC148" s="395"/>
      <c r="GD148" s="395"/>
      <c r="GE148" s="395"/>
      <c r="GF148" s="395"/>
      <c r="GG148" s="395"/>
      <c r="GH148" s="395"/>
      <c r="GI148" s="395"/>
      <c r="GJ148" s="395"/>
      <c r="GK148" s="395"/>
      <c r="GL148" s="395"/>
      <c r="GM148" s="395"/>
      <c r="GN148" s="395"/>
      <c r="GO148" s="395"/>
      <c r="GP148" s="395"/>
      <c r="GQ148" s="395"/>
      <c r="GR148" s="395"/>
      <c r="GS148" s="395"/>
      <c r="GT148" s="395"/>
      <c r="GU148" s="395"/>
      <c r="GV148" s="395"/>
      <c r="GW148" s="395"/>
      <c r="GX148" s="395"/>
      <c r="GY148" s="395"/>
      <c r="GZ148" s="395"/>
      <c r="HA148" s="395"/>
      <c r="HB148" s="395"/>
      <c r="HC148" s="395"/>
      <c r="HD148" s="395"/>
      <c r="HE148" s="395"/>
      <c r="HF148" s="395"/>
      <c r="HG148" s="395"/>
      <c r="HH148" s="395"/>
      <c r="HI148" s="395"/>
      <c r="HJ148" s="395"/>
      <c r="HK148" s="395"/>
      <c r="HL148" s="395"/>
      <c r="HM148" s="395"/>
      <c r="HN148" s="395"/>
      <c r="HO148" s="395"/>
      <c r="HP148" s="395"/>
      <c r="HQ148" s="395"/>
      <c r="HR148" s="395"/>
    </row>
    <row r="149" spans="1:226" s="866" customFormat="1" x14ac:dyDescent="0.25">
      <c r="A149" s="395"/>
      <c r="B149" s="395"/>
      <c r="C149" s="395"/>
      <c r="D149" s="395"/>
      <c r="E149" s="395"/>
      <c r="F149" s="395"/>
      <c r="G149" s="395"/>
      <c r="H149" s="395"/>
      <c r="I149" s="395"/>
      <c r="J149" s="395"/>
      <c r="K149" s="395"/>
      <c r="L149" s="395"/>
      <c r="M149" s="395"/>
      <c r="N149" s="395"/>
      <c r="O149" s="395"/>
      <c r="P149" s="395"/>
      <c r="Q149" s="395"/>
      <c r="R149" s="395"/>
      <c r="S149" s="395"/>
      <c r="T149" s="395"/>
      <c r="U149" s="395"/>
      <c r="V149" s="1608"/>
      <c r="W149" s="395"/>
      <c r="X149" s="395"/>
      <c r="Y149" s="395"/>
      <c r="Z149" s="2140"/>
      <c r="AA149" s="395"/>
      <c r="AB149" s="395"/>
      <c r="AC149" s="395"/>
      <c r="AD149" s="395"/>
      <c r="AE149" s="395"/>
      <c r="AF149" s="395"/>
      <c r="AG149" s="395"/>
      <c r="AH149" s="395"/>
      <c r="AI149" s="395"/>
      <c r="AJ149" s="395"/>
      <c r="AK149" s="395"/>
      <c r="AL149" s="395"/>
      <c r="AM149" s="395"/>
      <c r="AN149" s="395"/>
      <c r="AO149" s="395"/>
      <c r="AP149" s="395"/>
      <c r="AQ149" s="395"/>
      <c r="AR149" s="395"/>
      <c r="AS149" s="395"/>
      <c r="AT149" s="395"/>
      <c r="AU149" s="395"/>
      <c r="AV149" s="395"/>
      <c r="AW149" s="395"/>
      <c r="AX149" s="395"/>
      <c r="AY149" s="395"/>
      <c r="AZ149" s="395"/>
      <c r="BA149" s="395"/>
      <c r="BB149" s="395"/>
      <c r="BC149" s="395"/>
      <c r="BD149" s="395"/>
      <c r="BE149" s="395"/>
      <c r="BF149" s="395"/>
      <c r="BG149" s="395"/>
      <c r="BH149" s="395"/>
      <c r="BI149" s="395"/>
      <c r="BJ149" s="395"/>
      <c r="BK149" s="395"/>
      <c r="BL149" s="395"/>
      <c r="BM149" s="395"/>
      <c r="BN149" s="395"/>
      <c r="BO149" s="395"/>
      <c r="BP149" s="395"/>
      <c r="BQ149" s="395"/>
      <c r="BR149" s="395"/>
      <c r="BS149" s="395"/>
      <c r="BT149" s="395"/>
      <c r="BU149" s="395"/>
      <c r="BV149" s="395"/>
      <c r="BW149" s="395"/>
      <c r="BX149" s="395"/>
      <c r="BY149" s="395"/>
      <c r="BZ149" s="395"/>
      <c r="CA149" s="395"/>
      <c r="CB149" s="395"/>
      <c r="CC149" s="395"/>
      <c r="CD149" s="395"/>
      <c r="CE149" s="395"/>
      <c r="CF149" s="395"/>
      <c r="CG149" s="395"/>
      <c r="CH149" s="395"/>
      <c r="CI149" s="395"/>
      <c r="CJ149" s="395"/>
      <c r="CK149" s="395"/>
      <c r="CL149" s="395"/>
      <c r="CM149" s="395"/>
      <c r="CN149" s="395"/>
      <c r="CO149" s="395"/>
      <c r="CP149" s="395"/>
      <c r="CQ149" s="395"/>
      <c r="CR149" s="395"/>
      <c r="CS149" s="395"/>
      <c r="CT149" s="395"/>
      <c r="CU149" s="395"/>
      <c r="CV149" s="395"/>
      <c r="CW149" s="395"/>
      <c r="CX149" s="395"/>
      <c r="CY149" s="395"/>
      <c r="CZ149" s="395"/>
      <c r="DA149" s="395"/>
      <c r="DB149" s="395"/>
      <c r="DC149" s="395"/>
      <c r="DD149" s="395"/>
      <c r="DE149" s="395"/>
      <c r="DF149" s="395"/>
      <c r="DG149" s="395"/>
      <c r="DH149" s="395"/>
      <c r="DI149" s="395"/>
      <c r="DJ149" s="395"/>
      <c r="DK149" s="395"/>
      <c r="DL149" s="395"/>
      <c r="DM149" s="395"/>
      <c r="DN149" s="395"/>
      <c r="DO149" s="395"/>
      <c r="DP149" s="395"/>
      <c r="DQ149" s="395"/>
      <c r="DR149" s="395"/>
      <c r="DS149" s="395"/>
      <c r="DT149" s="395"/>
      <c r="DU149" s="395"/>
      <c r="DV149" s="395"/>
      <c r="DW149" s="395"/>
      <c r="DX149" s="395"/>
      <c r="DY149" s="395"/>
      <c r="DZ149" s="395"/>
      <c r="EA149" s="395"/>
      <c r="EB149" s="395"/>
      <c r="EC149" s="395"/>
      <c r="ED149" s="395"/>
      <c r="EE149" s="395"/>
      <c r="EF149" s="395"/>
      <c r="EG149" s="395"/>
      <c r="EH149" s="395"/>
      <c r="EI149" s="395"/>
      <c r="EJ149" s="395"/>
      <c r="EK149" s="395"/>
      <c r="EL149" s="395"/>
      <c r="EM149" s="395"/>
      <c r="EN149" s="395"/>
      <c r="EO149" s="395"/>
      <c r="EP149" s="395"/>
      <c r="EQ149" s="395"/>
      <c r="ER149" s="395"/>
      <c r="ES149" s="395"/>
      <c r="ET149" s="395"/>
      <c r="EU149" s="395"/>
      <c r="EV149" s="395"/>
      <c r="EW149" s="395"/>
      <c r="EX149" s="395"/>
      <c r="EY149" s="395"/>
      <c r="EZ149" s="395"/>
      <c r="FA149" s="395"/>
      <c r="FB149" s="395"/>
      <c r="FC149" s="395"/>
      <c r="FD149" s="395"/>
      <c r="FE149" s="395"/>
      <c r="FF149" s="395"/>
      <c r="FG149" s="395"/>
      <c r="FH149" s="395"/>
      <c r="FI149" s="395"/>
      <c r="FJ149" s="395"/>
      <c r="FK149" s="395"/>
      <c r="FL149" s="395"/>
      <c r="FM149" s="395"/>
      <c r="FN149" s="395"/>
      <c r="FO149" s="395"/>
      <c r="FP149" s="395"/>
      <c r="FQ149" s="395"/>
      <c r="FR149" s="395"/>
      <c r="FS149" s="395"/>
      <c r="FT149" s="395"/>
      <c r="FU149" s="395"/>
      <c r="FV149" s="395"/>
      <c r="FW149" s="395"/>
      <c r="FX149" s="395"/>
      <c r="FY149" s="395"/>
      <c r="FZ149" s="395"/>
      <c r="GA149" s="395"/>
      <c r="GB149" s="395"/>
      <c r="GC149" s="395"/>
      <c r="GD149" s="395"/>
      <c r="GE149" s="395"/>
      <c r="GF149" s="395"/>
      <c r="GG149" s="395"/>
      <c r="GH149" s="395"/>
      <c r="GI149" s="395"/>
      <c r="GJ149" s="395"/>
      <c r="GK149" s="395"/>
      <c r="GL149" s="395"/>
      <c r="GM149" s="395"/>
      <c r="GN149" s="395"/>
      <c r="GO149" s="395"/>
      <c r="GP149" s="395"/>
      <c r="GQ149" s="395"/>
      <c r="GR149" s="395"/>
      <c r="GS149" s="395"/>
      <c r="GT149" s="395"/>
      <c r="GU149" s="395"/>
      <c r="GV149" s="395"/>
      <c r="GW149" s="395"/>
      <c r="GX149" s="395"/>
      <c r="GY149" s="395"/>
      <c r="GZ149" s="395"/>
      <c r="HA149" s="395"/>
      <c r="HB149" s="395"/>
      <c r="HC149" s="395"/>
      <c r="HD149" s="395"/>
      <c r="HE149" s="395"/>
      <c r="HF149" s="395"/>
      <c r="HG149" s="395"/>
      <c r="HH149" s="395"/>
      <c r="HI149" s="395"/>
      <c r="HJ149" s="395"/>
      <c r="HK149" s="395"/>
      <c r="HL149" s="395"/>
      <c r="HM149" s="395"/>
      <c r="HN149" s="395"/>
      <c r="HO149" s="395"/>
      <c r="HP149" s="395"/>
      <c r="HQ149" s="395"/>
      <c r="HR149" s="395"/>
    </row>
    <row r="150" spans="1:226" s="866" customFormat="1" x14ac:dyDescent="0.25">
      <c r="A150" s="395"/>
      <c r="B150" s="395"/>
      <c r="C150" s="395"/>
      <c r="D150" s="395"/>
      <c r="E150" s="395"/>
      <c r="F150" s="395"/>
      <c r="G150" s="395"/>
      <c r="H150" s="395"/>
      <c r="I150" s="395"/>
      <c r="J150" s="395"/>
      <c r="K150" s="395"/>
      <c r="L150" s="395"/>
      <c r="M150" s="395"/>
      <c r="N150" s="395"/>
      <c r="O150" s="395"/>
      <c r="P150" s="395"/>
      <c r="Q150" s="395"/>
      <c r="R150" s="395"/>
      <c r="S150" s="395"/>
      <c r="T150" s="395"/>
      <c r="U150" s="395"/>
      <c r="V150" s="1608"/>
      <c r="W150" s="395"/>
      <c r="X150" s="395"/>
      <c r="Y150" s="395"/>
      <c r="Z150" s="2140"/>
      <c r="AA150" s="395"/>
      <c r="AB150" s="395"/>
      <c r="AC150" s="395"/>
      <c r="AD150" s="395"/>
      <c r="AE150" s="395"/>
      <c r="AF150" s="395"/>
      <c r="AG150" s="395"/>
      <c r="AH150" s="395"/>
      <c r="AI150" s="395"/>
      <c r="AJ150" s="395"/>
      <c r="AK150" s="395"/>
      <c r="AL150" s="395"/>
      <c r="AM150" s="395"/>
      <c r="AN150" s="395"/>
      <c r="AO150" s="395"/>
      <c r="AP150" s="395"/>
      <c r="AQ150" s="395"/>
      <c r="AR150" s="395"/>
      <c r="AS150" s="395"/>
      <c r="AT150" s="395"/>
      <c r="AU150" s="395"/>
      <c r="AV150" s="395"/>
      <c r="AW150" s="395"/>
      <c r="AX150" s="395"/>
      <c r="AY150" s="395"/>
      <c r="AZ150" s="395"/>
      <c r="BA150" s="395"/>
      <c r="BB150" s="395"/>
      <c r="BC150" s="395"/>
      <c r="BD150" s="395"/>
      <c r="BE150" s="395"/>
      <c r="BF150" s="395"/>
      <c r="BG150" s="395"/>
      <c r="BH150" s="395"/>
      <c r="BI150" s="395"/>
      <c r="BJ150" s="395"/>
      <c r="BK150" s="395"/>
      <c r="BL150" s="395"/>
      <c r="BM150" s="395"/>
      <c r="BN150" s="395"/>
      <c r="BO150" s="395"/>
      <c r="BP150" s="395"/>
      <c r="BQ150" s="395"/>
      <c r="BR150" s="395"/>
      <c r="BS150" s="395"/>
      <c r="BT150" s="395"/>
      <c r="BU150" s="395"/>
      <c r="BV150" s="395"/>
      <c r="BW150" s="395"/>
      <c r="BX150" s="395"/>
      <c r="BY150" s="395"/>
      <c r="BZ150" s="395"/>
      <c r="CA150" s="395"/>
      <c r="CB150" s="395"/>
      <c r="CC150" s="395"/>
      <c r="CD150" s="395"/>
      <c r="CE150" s="395"/>
      <c r="CF150" s="395"/>
      <c r="CG150" s="395"/>
      <c r="CH150" s="395"/>
      <c r="CI150" s="395"/>
      <c r="CJ150" s="395"/>
      <c r="CK150" s="395"/>
      <c r="CL150" s="395"/>
      <c r="CM150" s="395"/>
      <c r="CN150" s="395"/>
      <c r="CO150" s="395"/>
      <c r="CP150" s="395"/>
      <c r="CQ150" s="395"/>
      <c r="CR150" s="395"/>
      <c r="CS150" s="395"/>
      <c r="CT150" s="395"/>
      <c r="CU150" s="395"/>
      <c r="CV150" s="395"/>
      <c r="CW150" s="395"/>
      <c r="CX150" s="395"/>
      <c r="CY150" s="395"/>
      <c r="CZ150" s="395"/>
      <c r="DA150" s="395"/>
      <c r="DB150" s="395"/>
      <c r="DC150" s="395"/>
      <c r="DD150" s="395"/>
      <c r="DE150" s="395"/>
      <c r="DF150" s="395"/>
      <c r="DG150" s="395"/>
      <c r="DH150" s="395"/>
      <c r="DI150" s="395"/>
      <c r="DJ150" s="395"/>
      <c r="DK150" s="395"/>
      <c r="DL150" s="395"/>
      <c r="DM150" s="395"/>
      <c r="DN150" s="395"/>
      <c r="DO150" s="395"/>
      <c r="DP150" s="395"/>
      <c r="DQ150" s="395"/>
      <c r="DR150" s="395"/>
      <c r="DS150" s="395"/>
      <c r="DT150" s="395"/>
      <c r="DU150" s="395"/>
      <c r="DV150" s="395"/>
      <c r="DW150" s="395"/>
      <c r="DX150" s="395"/>
      <c r="DY150" s="395"/>
      <c r="DZ150" s="395"/>
      <c r="EA150" s="395"/>
      <c r="EB150" s="395"/>
      <c r="EC150" s="395"/>
      <c r="ED150" s="395"/>
      <c r="EE150" s="395"/>
      <c r="EF150" s="395"/>
      <c r="EG150" s="395"/>
      <c r="EH150" s="395"/>
      <c r="EI150" s="395"/>
      <c r="EJ150" s="395"/>
      <c r="EK150" s="395"/>
      <c r="EL150" s="395"/>
      <c r="EM150" s="395"/>
      <c r="EN150" s="395"/>
      <c r="EO150" s="395"/>
      <c r="EP150" s="395"/>
      <c r="EQ150" s="395"/>
      <c r="ER150" s="395"/>
      <c r="ES150" s="395"/>
      <c r="ET150" s="395"/>
      <c r="EU150" s="395"/>
      <c r="EV150" s="395"/>
      <c r="EW150" s="395"/>
      <c r="EX150" s="395"/>
      <c r="EY150" s="395"/>
      <c r="EZ150" s="395"/>
      <c r="FA150" s="395"/>
      <c r="FB150" s="395"/>
      <c r="FC150" s="395"/>
      <c r="FD150" s="395"/>
      <c r="FE150" s="395"/>
      <c r="FF150" s="395"/>
      <c r="FG150" s="395"/>
      <c r="FH150" s="395"/>
      <c r="FI150" s="395"/>
      <c r="FJ150" s="395"/>
      <c r="FK150" s="395"/>
      <c r="FL150" s="395"/>
      <c r="FM150" s="395"/>
      <c r="FN150" s="395"/>
      <c r="FO150" s="395"/>
      <c r="FP150" s="395"/>
      <c r="FQ150" s="395"/>
      <c r="FR150" s="395"/>
      <c r="FS150" s="395"/>
      <c r="FT150" s="395"/>
      <c r="FU150" s="395"/>
      <c r="FV150" s="395"/>
      <c r="FW150" s="395"/>
      <c r="FX150" s="395"/>
      <c r="FY150" s="395"/>
      <c r="FZ150" s="395"/>
      <c r="GA150" s="395"/>
      <c r="GB150" s="395"/>
      <c r="GC150" s="395"/>
      <c r="GD150" s="395"/>
      <c r="GE150" s="395"/>
      <c r="GF150" s="395"/>
      <c r="GG150" s="395"/>
      <c r="GH150" s="395"/>
      <c r="GI150" s="395"/>
      <c r="GJ150" s="395"/>
      <c r="GK150" s="395"/>
      <c r="GL150" s="395"/>
      <c r="GM150" s="395"/>
      <c r="GN150" s="395"/>
      <c r="GO150" s="395"/>
      <c r="GP150" s="395"/>
      <c r="GQ150" s="395"/>
      <c r="GR150" s="395"/>
      <c r="GS150" s="395"/>
      <c r="GT150" s="395"/>
      <c r="GU150" s="395"/>
      <c r="GV150" s="395"/>
      <c r="GW150" s="395"/>
      <c r="GX150" s="395"/>
      <c r="GY150" s="395"/>
      <c r="GZ150" s="395"/>
      <c r="HA150" s="395"/>
      <c r="HB150" s="395"/>
      <c r="HC150" s="395"/>
      <c r="HD150" s="395"/>
      <c r="HE150" s="395"/>
      <c r="HF150" s="395"/>
      <c r="HG150" s="395"/>
      <c r="HH150" s="395"/>
      <c r="HI150" s="395"/>
      <c r="HJ150" s="395"/>
      <c r="HK150" s="395"/>
      <c r="HL150" s="395"/>
      <c r="HM150" s="395"/>
      <c r="HN150" s="395"/>
      <c r="HO150" s="395"/>
      <c r="HP150" s="395"/>
      <c r="HQ150" s="395"/>
      <c r="HR150" s="395"/>
    </row>
    <row r="151" spans="1:226" s="866" customFormat="1" x14ac:dyDescent="0.25">
      <c r="A151" s="395"/>
      <c r="B151" s="395"/>
      <c r="C151" s="395"/>
      <c r="D151" s="395"/>
      <c r="E151" s="395"/>
      <c r="F151" s="395"/>
      <c r="G151" s="395"/>
      <c r="H151" s="395"/>
      <c r="I151" s="395"/>
      <c r="J151" s="395"/>
      <c r="K151" s="395"/>
      <c r="L151" s="395"/>
      <c r="M151" s="395"/>
      <c r="N151" s="395"/>
      <c r="O151" s="395"/>
      <c r="P151" s="395"/>
      <c r="Q151" s="395"/>
      <c r="R151" s="395"/>
      <c r="S151" s="395"/>
      <c r="T151" s="395"/>
      <c r="U151" s="395"/>
      <c r="V151" s="1608"/>
      <c r="W151" s="395"/>
      <c r="X151" s="395"/>
      <c r="Y151" s="395"/>
      <c r="Z151" s="2140"/>
      <c r="AA151" s="395"/>
      <c r="AB151" s="395"/>
      <c r="AC151" s="395"/>
      <c r="AD151" s="395"/>
      <c r="AE151" s="395"/>
      <c r="AF151" s="395"/>
      <c r="AG151" s="395"/>
      <c r="AH151" s="395"/>
      <c r="AI151" s="395"/>
      <c r="AJ151" s="395"/>
      <c r="AK151" s="395"/>
      <c r="AL151" s="395"/>
      <c r="AM151" s="395"/>
      <c r="AN151" s="395"/>
      <c r="AO151" s="395"/>
      <c r="AP151" s="395"/>
      <c r="AQ151" s="395"/>
      <c r="AR151" s="395"/>
      <c r="AS151" s="395"/>
      <c r="AT151" s="395"/>
      <c r="AU151" s="395"/>
      <c r="AV151" s="395"/>
      <c r="AW151" s="395"/>
      <c r="AX151" s="395"/>
      <c r="AY151" s="395"/>
      <c r="AZ151" s="395"/>
      <c r="BA151" s="395"/>
      <c r="BB151" s="395"/>
      <c r="BC151" s="395"/>
      <c r="BD151" s="395"/>
      <c r="BE151" s="395"/>
      <c r="BF151" s="395"/>
      <c r="BG151" s="395"/>
      <c r="BH151" s="395"/>
      <c r="BI151" s="395"/>
      <c r="BJ151" s="395"/>
      <c r="BK151" s="395"/>
      <c r="BL151" s="395"/>
      <c r="BM151" s="395"/>
      <c r="BN151" s="395"/>
      <c r="BO151" s="395"/>
      <c r="BP151" s="395"/>
      <c r="BQ151" s="395"/>
      <c r="BR151" s="395"/>
      <c r="BS151" s="395"/>
      <c r="BT151" s="395"/>
      <c r="BU151" s="395"/>
      <c r="BV151" s="395"/>
      <c r="BW151" s="395"/>
      <c r="BX151" s="395"/>
      <c r="BY151" s="395"/>
      <c r="BZ151" s="395"/>
      <c r="CA151" s="395"/>
      <c r="CB151" s="395"/>
      <c r="CC151" s="395"/>
      <c r="CD151" s="395"/>
      <c r="CE151" s="395"/>
      <c r="CF151" s="395"/>
      <c r="CG151" s="395"/>
      <c r="CH151" s="395"/>
      <c r="CI151" s="395"/>
      <c r="CJ151" s="395"/>
      <c r="CK151" s="395"/>
      <c r="CL151" s="395"/>
      <c r="CM151" s="395"/>
      <c r="CN151" s="395"/>
      <c r="CO151" s="395"/>
      <c r="CP151" s="395"/>
      <c r="CQ151" s="395"/>
      <c r="CR151" s="395"/>
      <c r="CS151" s="395"/>
      <c r="CT151" s="395"/>
      <c r="CU151" s="395"/>
      <c r="CV151" s="395"/>
      <c r="CW151" s="395"/>
      <c r="CX151" s="395"/>
      <c r="CY151" s="395"/>
      <c r="CZ151" s="395"/>
      <c r="DA151" s="395"/>
      <c r="DB151" s="395"/>
      <c r="DC151" s="395"/>
      <c r="DD151" s="395"/>
      <c r="DE151" s="395"/>
      <c r="DF151" s="395"/>
      <c r="DG151" s="395"/>
      <c r="DH151" s="395"/>
      <c r="DI151" s="395"/>
      <c r="DJ151" s="395"/>
      <c r="DK151" s="395"/>
      <c r="DL151" s="395"/>
      <c r="DM151" s="395"/>
      <c r="DN151" s="395"/>
      <c r="DO151" s="395"/>
      <c r="DP151" s="395"/>
      <c r="DQ151" s="395"/>
      <c r="DR151" s="395"/>
      <c r="DS151" s="395"/>
      <c r="DT151" s="395"/>
      <c r="DU151" s="395"/>
      <c r="DV151" s="395"/>
      <c r="DW151" s="395"/>
      <c r="DX151" s="395"/>
      <c r="DY151" s="395"/>
      <c r="DZ151" s="395"/>
      <c r="EA151" s="395"/>
      <c r="EB151" s="395"/>
      <c r="EC151" s="395"/>
      <c r="ED151" s="395"/>
      <c r="EE151" s="395"/>
      <c r="EF151" s="395"/>
      <c r="EG151" s="395"/>
      <c r="EH151" s="395"/>
      <c r="EI151" s="395"/>
      <c r="EJ151" s="395"/>
      <c r="EK151" s="395"/>
      <c r="EL151" s="395"/>
      <c r="EM151" s="395"/>
      <c r="EN151" s="395"/>
      <c r="EO151" s="395"/>
      <c r="EP151" s="395"/>
      <c r="EQ151" s="395"/>
      <c r="ER151" s="395"/>
      <c r="ES151" s="395"/>
      <c r="ET151" s="395"/>
      <c r="EU151" s="395"/>
      <c r="EV151" s="395"/>
      <c r="EW151" s="395"/>
      <c r="EX151" s="395"/>
      <c r="EY151" s="395"/>
      <c r="EZ151" s="395"/>
      <c r="FA151" s="395"/>
      <c r="FB151" s="395"/>
      <c r="FC151" s="395"/>
      <c r="FD151" s="395"/>
      <c r="FE151" s="395"/>
      <c r="FF151" s="395"/>
      <c r="FG151" s="395"/>
      <c r="FH151" s="395"/>
      <c r="FI151" s="395"/>
      <c r="FJ151" s="395"/>
      <c r="FK151" s="395"/>
      <c r="FL151" s="395"/>
      <c r="FM151" s="395"/>
      <c r="FN151" s="395"/>
      <c r="FO151" s="395"/>
      <c r="FP151" s="395"/>
      <c r="FQ151" s="395"/>
      <c r="FR151" s="395"/>
      <c r="FS151" s="395"/>
      <c r="FT151" s="395"/>
      <c r="FU151" s="395"/>
      <c r="FV151" s="395"/>
      <c r="FW151" s="395"/>
      <c r="FX151" s="395"/>
      <c r="FY151" s="395"/>
      <c r="FZ151" s="395"/>
      <c r="GA151" s="395"/>
      <c r="GB151" s="395"/>
      <c r="GC151" s="395"/>
      <c r="GD151" s="395"/>
      <c r="GE151" s="395"/>
      <c r="GF151" s="395"/>
      <c r="GG151" s="395"/>
      <c r="GH151" s="395"/>
      <c r="GI151" s="395"/>
      <c r="GJ151" s="395"/>
      <c r="GK151" s="395"/>
      <c r="GL151" s="395"/>
      <c r="GM151" s="395"/>
      <c r="GN151" s="395"/>
      <c r="GO151" s="395"/>
      <c r="GP151" s="395"/>
      <c r="GQ151" s="395"/>
      <c r="GR151" s="395"/>
      <c r="GS151" s="395"/>
      <c r="GT151" s="395"/>
      <c r="GU151" s="395"/>
      <c r="GV151" s="395"/>
      <c r="GW151" s="395"/>
      <c r="GX151" s="395"/>
      <c r="GY151" s="395"/>
      <c r="GZ151" s="395"/>
      <c r="HA151" s="395"/>
      <c r="HB151" s="395"/>
      <c r="HC151" s="395"/>
      <c r="HD151" s="395"/>
      <c r="HE151" s="395"/>
      <c r="HF151" s="395"/>
      <c r="HG151" s="395"/>
      <c r="HH151" s="395"/>
      <c r="HI151" s="395"/>
      <c r="HJ151" s="395"/>
      <c r="HK151" s="395"/>
      <c r="HL151" s="395"/>
      <c r="HM151" s="395"/>
      <c r="HN151" s="395"/>
      <c r="HO151" s="395"/>
      <c r="HP151" s="395"/>
      <c r="HQ151" s="395"/>
      <c r="HR151" s="395"/>
    </row>
    <row r="152" spans="1:226" s="866" customFormat="1" x14ac:dyDescent="0.25">
      <c r="A152" s="395"/>
      <c r="B152" s="395"/>
      <c r="C152" s="395"/>
      <c r="D152" s="395"/>
      <c r="E152" s="395"/>
      <c r="F152" s="395"/>
      <c r="G152" s="395"/>
      <c r="H152" s="395"/>
      <c r="I152" s="395"/>
      <c r="J152" s="395"/>
      <c r="K152" s="395"/>
      <c r="L152" s="395"/>
      <c r="M152" s="395"/>
      <c r="N152" s="395"/>
      <c r="O152" s="395"/>
      <c r="P152" s="395"/>
      <c r="Q152" s="395"/>
      <c r="R152" s="395"/>
      <c r="S152" s="395"/>
      <c r="T152" s="395"/>
      <c r="U152" s="395"/>
      <c r="V152" s="1608"/>
      <c r="W152" s="395"/>
      <c r="X152" s="395"/>
      <c r="Y152" s="395"/>
      <c r="Z152" s="2140"/>
      <c r="AA152" s="395"/>
      <c r="AB152" s="395"/>
      <c r="AC152" s="395"/>
      <c r="AD152" s="395"/>
      <c r="AE152" s="395"/>
      <c r="AF152" s="395"/>
      <c r="AG152" s="395"/>
      <c r="AH152" s="395"/>
      <c r="AI152" s="395"/>
      <c r="AJ152" s="395"/>
      <c r="AK152" s="395"/>
      <c r="AL152" s="395"/>
      <c r="AM152" s="395"/>
      <c r="AN152" s="395"/>
      <c r="AO152" s="395"/>
      <c r="AP152" s="395"/>
      <c r="AQ152" s="395"/>
      <c r="AR152" s="395"/>
      <c r="AS152" s="395"/>
      <c r="AT152" s="395"/>
      <c r="AU152" s="395"/>
      <c r="AV152" s="395"/>
      <c r="AW152" s="395"/>
      <c r="AX152" s="395"/>
      <c r="AY152" s="395"/>
      <c r="AZ152" s="395"/>
      <c r="BA152" s="395"/>
      <c r="BB152" s="395"/>
      <c r="BC152" s="395"/>
      <c r="BD152" s="395"/>
      <c r="BE152" s="395"/>
      <c r="BF152" s="395"/>
      <c r="BG152" s="395"/>
      <c r="BH152" s="395"/>
      <c r="BI152" s="395"/>
      <c r="BJ152" s="395"/>
      <c r="BK152" s="395"/>
      <c r="BL152" s="395"/>
      <c r="BM152" s="395"/>
      <c r="BN152" s="395"/>
      <c r="BO152" s="395"/>
      <c r="BP152" s="395"/>
      <c r="BQ152" s="395"/>
      <c r="BR152" s="395"/>
      <c r="BS152" s="395"/>
      <c r="BT152" s="395"/>
      <c r="BU152" s="395"/>
      <c r="BV152" s="395"/>
      <c r="BW152" s="395"/>
      <c r="BX152" s="395"/>
      <c r="BY152" s="395"/>
      <c r="BZ152" s="395"/>
      <c r="CA152" s="395"/>
      <c r="CB152" s="395"/>
      <c r="CC152" s="395"/>
      <c r="CD152" s="395"/>
      <c r="CE152" s="395"/>
      <c r="CF152" s="395"/>
      <c r="CG152" s="395"/>
      <c r="CH152" s="395"/>
      <c r="CI152" s="395"/>
      <c r="CJ152" s="395"/>
      <c r="CK152" s="395"/>
      <c r="CL152" s="395"/>
      <c r="CM152" s="395"/>
      <c r="CN152" s="395"/>
      <c r="CO152" s="395"/>
      <c r="CP152" s="395"/>
      <c r="CQ152" s="395"/>
      <c r="CR152" s="395"/>
      <c r="CS152" s="395"/>
      <c r="CT152" s="395"/>
      <c r="CU152" s="395"/>
      <c r="CV152" s="395"/>
      <c r="CW152" s="395"/>
      <c r="CX152" s="395"/>
      <c r="CY152" s="395"/>
      <c r="CZ152" s="395"/>
      <c r="DA152" s="395"/>
      <c r="DB152" s="395"/>
      <c r="DC152" s="395"/>
      <c r="DD152" s="395"/>
      <c r="DE152" s="395"/>
      <c r="DF152" s="395"/>
      <c r="DG152" s="395"/>
      <c r="DH152" s="395"/>
      <c r="DI152" s="395"/>
      <c r="DJ152" s="395"/>
      <c r="DK152" s="395"/>
      <c r="DL152" s="395"/>
      <c r="DM152" s="395"/>
      <c r="DN152" s="395"/>
      <c r="DO152" s="395"/>
      <c r="DP152" s="395"/>
      <c r="DQ152" s="395"/>
      <c r="DR152" s="395"/>
      <c r="DS152" s="395"/>
      <c r="DT152" s="395"/>
      <c r="DU152" s="395"/>
      <c r="DV152" s="395"/>
      <c r="DW152" s="395"/>
      <c r="DX152" s="395"/>
      <c r="DY152" s="395"/>
      <c r="DZ152" s="395"/>
      <c r="EA152" s="395"/>
      <c r="EB152" s="395"/>
      <c r="EC152" s="395"/>
      <c r="ED152" s="395"/>
      <c r="EE152" s="395"/>
      <c r="EF152" s="395"/>
      <c r="EG152" s="395"/>
      <c r="EH152" s="395"/>
      <c r="EI152" s="395"/>
      <c r="EJ152" s="395"/>
      <c r="EK152" s="395"/>
      <c r="EL152" s="395"/>
      <c r="EM152" s="395"/>
      <c r="EN152" s="395"/>
      <c r="EO152" s="395"/>
      <c r="EP152" s="395"/>
      <c r="EQ152" s="395"/>
      <c r="ER152" s="395"/>
      <c r="ES152" s="395"/>
      <c r="ET152" s="395"/>
      <c r="EU152" s="395"/>
      <c r="EV152" s="395"/>
      <c r="EW152" s="395"/>
      <c r="EX152" s="395"/>
      <c r="EY152" s="395"/>
      <c r="EZ152" s="395"/>
      <c r="FA152" s="395"/>
      <c r="FB152" s="395"/>
      <c r="FC152" s="395"/>
      <c r="FD152" s="395"/>
      <c r="FE152" s="395"/>
      <c r="FF152" s="395"/>
      <c r="FG152" s="395"/>
      <c r="FH152" s="395"/>
      <c r="FI152" s="395"/>
      <c r="FJ152" s="395"/>
      <c r="FK152" s="395"/>
      <c r="FL152" s="395"/>
      <c r="FM152" s="395"/>
      <c r="FN152" s="395"/>
      <c r="FO152" s="395"/>
      <c r="FP152" s="395"/>
      <c r="FQ152" s="395"/>
      <c r="FR152" s="395"/>
      <c r="FS152" s="395"/>
      <c r="FT152" s="395"/>
      <c r="FU152" s="395"/>
      <c r="FV152" s="395"/>
      <c r="FW152" s="395"/>
      <c r="FX152" s="395"/>
      <c r="FY152" s="395"/>
      <c r="FZ152" s="395"/>
      <c r="GA152" s="395"/>
      <c r="GB152" s="395"/>
      <c r="GC152" s="395"/>
      <c r="GD152" s="395"/>
      <c r="GE152" s="395"/>
      <c r="GF152" s="395"/>
      <c r="GG152" s="395"/>
      <c r="GH152" s="395"/>
      <c r="GI152" s="395"/>
      <c r="GJ152" s="395"/>
      <c r="GK152" s="395"/>
      <c r="GL152" s="395"/>
      <c r="GM152" s="395"/>
      <c r="GN152" s="395"/>
      <c r="GO152" s="395"/>
      <c r="GP152" s="395"/>
      <c r="GQ152" s="395"/>
      <c r="GR152" s="395"/>
      <c r="GS152" s="395"/>
      <c r="GT152" s="395"/>
      <c r="GU152" s="395"/>
      <c r="GV152" s="395"/>
      <c r="GW152" s="395"/>
      <c r="GX152" s="395"/>
      <c r="GY152" s="395"/>
      <c r="GZ152" s="395"/>
      <c r="HA152" s="395"/>
      <c r="HB152" s="395"/>
      <c r="HC152" s="395"/>
      <c r="HD152" s="395"/>
      <c r="HE152" s="395"/>
      <c r="HF152" s="395"/>
      <c r="HG152" s="395"/>
      <c r="HH152" s="395"/>
      <c r="HI152" s="395"/>
      <c r="HJ152" s="395"/>
      <c r="HK152" s="395"/>
      <c r="HL152" s="395"/>
      <c r="HM152" s="395"/>
      <c r="HN152" s="395"/>
      <c r="HO152" s="395"/>
      <c r="HP152" s="395"/>
      <c r="HQ152" s="395"/>
      <c r="HR152" s="395"/>
    </row>
    <row r="153" spans="1:226" s="866" customFormat="1" x14ac:dyDescent="0.25">
      <c r="A153" s="395"/>
      <c r="B153" s="395"/>
      <c r="C153" s="395"/>
      <c r="D153" s="395"/>
      <c r="E153" s="395"/>
      <c r="F153" s="395"/>
      <c r="G153" s="395"/>
      <c r="H153" s="395"/>
      <c r="I153" s="395"/>
      <c r="J153" s="395"/>
      <c r="K153" s="395"/>
      <c r="L153" s="395"/>
      <c r="M153" s="395"/>
      <c r="N153" s="395"/>
      <c r="O153" s="395"/>
      <c r="P153" s="395"/>
      <c r="Q153" s="395"/>
      <c r="R153" s="395"/>
      <c r="S153" s="395"/>
      <c r="T153" s="395"/>
      <c r="U153" s="395"/>
      <c r="V153" s="1608"/>
      <c r="W153" s="395"/>
      <c r="X153" s="395"/>
      <c r="Y153" s="395"/>
      <c r="Z153" s="2140"/>
      <c r="AA153" s="395"/>
      <c r="AB153" s="395"/>
      <c r="AC153" s="395"/>
      <c r="AD153" s="395"/>
      <c r="AE153" s="395"/>
      <c r="AF153" s="395"/>
      <c r="AG153" s="395"/>
      <c r="AH153" s="395"/>
      <c r="AI153" s="395"/>
      <c r="AJ153" s="395"/>
      <c r="AK153" s="395"/>
      <c r="AL153" s="395"/>
      <c r="AM153" s="395"/>
      <c r="AN153" s="395"/>
      <c r="AO153" s="395"/>
      <c r="AP153" s="395"/>
      <c r="AQ153" s="395"/>
      <c r="AR153" s="395"/>
      <c r="AS153" s="395"/>
      <c r="AT153" s="395"/>
      <c r="AU153" s="395"/>
      <c r="AV153" s="395"/>
      <c r="AW153" s="395"/>
      <c r="AX153" s="395"/>
      <c r="AY153" s="395"/>
      <c r="AZ153" s="395"/>
      <c r="BA153" s="395"/>
      <c r="BB153" s="395"/>
      <c r="BC153" s="395"/>
      <c r="BD153" s="395"/>
      <c r="BE153" s="395"/>
      <c r="BF153" s="395"/>
      <c r="BG153" s="395"/>
      <c r="BH153" s="395"/>
      <c r="BI153" s="395"/>
      <c r="BJ153" s="395"/>
      <c r="BK153" s="395"/>
      <c r="BL153" s="395"/>
      <c r="BM153" s="395"/>
      <c r="BN153" s="395"/>
      <c r="BO153" s="395"/>
      <c r="BP153" s="395"/>
      <c r="BQ153" s="395"/>
      <c r="BR153" s="395"/>
      <c r="BS153" s="395"/>
      <c r="BT153" s="395"/>
      <c r="BU153" s="395"/>
      <c r="BV153" s="395"/>
      <c r="BW153" s="395"/>
      <c r="BX153" s="395"/>
      <c r="BY153" s="395"/>
      <c r="BZ153" s="395"/>
      <c r="CA153" s="395"/>
      <c r="CB153" s="395"/>
      <c r="CC153" s="395"/>
      <c r="CD153" s="395"/>
      <c r="CE153" s="395"/>
      <c r="CF153" s="395"/>
      <c r="CG153" s="395"/>
      <c r="CH153" s="395"/>
      <c r="CI153" s="395"/>
      <c r="CJ153" s="395"/>
      <c r="CK153" s="395"/>
      <c r="CL153" s="395"/>
      <c r="CM153" s="395"/>
      <c r="CN153" s="395"/>
      <c r="CO153" s="395"/>
      <c r="CP153" s="395"/>
      <c r="CQ153" s="395"/>
      <c r="CR153" s="395"/>
      <c r="CS153" s="395"/>
      <c r="CT153" s="395"/>
      <c r="CU153" s="395"/>
      <c r="CV153" s="395"/>
      <c r="CW153" s="395"/>
      <c r="CX153" s="395"/>
      <c r="CY153" s="395"/>
      <c r="CZ153" s="395"/>
      <c r="DA153" s="395"/>
      <c r="DB153" s="395"/>
      <c r="DC153" s="395"/>
      <c r="DD153" s="395"/>
      <c r="DE153" s="395"/>
      <c r="DF153" s="395"/>
      <c r="DG153" s="395"/>
      <c r="DH153" s="395"/>
      <c r="DI153" s="395"/>
      <c r="DJ153" s="395"/>
      <c r="DK153" s="395"/>
      <c r="DL153" s="395"/>
      <c r="DM153" s="395"/>
      <c r="DN153" s="395"/>
      <c r="DO153" s="395"/>
      <c r="DP153" s="395"/>
      <c r="DQ153" s="395"/>
      <c r="DR153" s="395"/>
      <c r="DS153" s="395"/>
      <c r="DT153" s="395"/>
      <c r="DU153" s="395"/>
      <c r="DV153" s="395"/>
      <c r="DW153" s="395"/>
      <c r="DX153" s="395"/>
      <c r="DY153" s="395"/>
      <c r="DZ153" s="395"/>
      <c r="EA153" s="395"/>
      <c r="EB153" s="395"/>
      <c r="EC153" s="395"/>
      <c r="ED153" s="395"/>
      <c r="EE153" s="395"/>
      <c r="EF153" s="395"/>
      <c r="EG153" s="395"/>
      <c r="EH153" s="395"/>
      <c r="EI153" s="395"/>
      <c r="EJ153" s="395"/>
      <c r="EK153" s="395"/>
      <c r="EL153" s="395"/>
      <c r="EM153" s="395"/>
      <c r="EN153" s="395"/>
      <c r="EO153" s="395"/>
      <c r="EP153" s="395"/>
      <c r="EQ153" s="395"/>
      <c r="ER153" s="395"/>
      <c r="ES153" s="395"/>
      <c r="ET153" s="395"/>
      <c r="EU153" s="395"/>
      <c r="EV153" s="395"/>
      <c r="EW153" s="395"/>
      <c r="EX153" s="395"/>
      <c r="EY153" s="395"/>
      <c r="EZ153" s="395"/>
      <c r="FA153" s="395"/>
      <c r="FB153" s="395"/>
      <c r="FC153" s="395"/>
      <c r="FD153" s="395"/>
      <c r="FE153" s="395"/>
      <c r="FF153" s="395"/>
      <c r="FG153" s="395"/>
      <c r="FH153" s="395"/>
      <c r="FI153" s="395"/>
      <c r="FJ153" s="395"/>
      <c r="FK153" s="395"/>
      <c r="FL153" s="395"/>
      <c r="FM153" s="395"/>
      <c r="FN153" s="395"/>
      <c r="FO153" s="395"/>
      <c r="FP153" s="395"/>
      <c r="FQ153" s="395"/>
      <c r="FR153" s="395"/>
      <c r="FS153" s="395"/>
      <c r="FT153" s="395"/>
      <c r="FU153" s="395"/>
      <c r="FV153" s="395"/>
      <c r="FW153" s="395"/>
      <c r="FX153" s="395"/>
      <c r="FY153" s="395"/>
      <c r="FZ153" s="395"/>
      <c r="GA153" s="395"/>
      <c r="GB153" s="395"/>
      <c r="GC153" s="395"/>
      <c r="GD153" s="395"/>
      <c r="GE153" s="395"/>
      <c r="GF153" s="395"/>
      <c r="GG153" s="395"/>
      <c r="GH153" s="395"/>
      <c r="GI153" s="395"/>
      <c r="GJ153" s="395"/>
      <c r="GK153" s="395"/>
      <c r="GL153" s="395"/>
      <c r="GM153" s="395"/>
      <c r="GN153" s="395"/>
      <c r="GO153" s="395"/>
      <c r="GP153" s="395"/>
      <c r="GQ153" s="395"/>
      <c r="GR153" s="395"/>
      <c r="GS153" s="395"/>
      <c r="GT153" s="395"/>
      <c r="GU153" s="395"/>
      <c r="GV153" s="395"/>
      <c r="GW153" s="395"/>
      <c r="GX153" s="395"/>
      <c r="GY153" s="395"/>
      <c r="GZ153" s="395"/>
      <c r="HA153" s="395"/>
      <c r="HB153" s="395"/>
      <c r="HC153" s="395"/>
      <c r="HD153" s="395"/>
      <c r="HE153" s="395"/>
      <c r="HF153" s="395"/>
      <c r="HG153" s="395"/>
      <c r="HH153" s="395"/>
      <c r="HI153" s="395"/>
      <c r="HJ153" s="395"/>
      <c r="HK153" s="395"/>
      <c r="HL153" s="395"/>
      <c r="HM153" s="395"/>
      <c r="HN153" s="395"/>
      <c r="HO153" s="395"/>
      <c r="HP153" s="395"/>
      <c r="HQ153" s="395"/>
      <c r="HR153" s="395"/>
    </row>
    <row r="154" spans="1:226" s="866" customFormat="1" x14ac:dyDescent="0.25">
      <c r="A154" s="395"/>
      <c r="B154" s="395"/>
      <c r="C154" s="395"/>
      <c r="D154" s="395"/>
      <c r="E154" s="395"/>
      <c r="F154" s="395"/>
      <c r="G154" s="395"/>
      <c r="H154" s="395"/>
      <c r="I154" s="395"/>
      <c r="J154" s="395"/>
      <c r="K154" s="395"/>
      <c r="L154" s="395"/>
      <c r="M154" s="395"/>
      <c r="N154" s="395"/>
      <c r="O154" s="395"/>
      <c r="P154" s="395"/>
      <c r="Q154" s="395"/>
      <c r="R154" s="395"/>
      <c r="S154" s="395"/>
      <c r="T154" s="395"/>
      <c r="U154" s="395"/>
      <c r="V154" s="1608"/>
      <c r="W154" s="395"/>
      <c r="X154" s="395"/>
      <c r="Y154" s="395"/>
      <c r="Z154" s="2140"/>
      <c r="AA154" s="395"/>
      <c r="AB154" s="395"/>
      <c r="AC154" s="395"/>
      <c r="AD154" s="395"/>
      <c r="AE154" s="395"/>
      <c r="AF154" s="395"/>
      <c r="AG154" s="395"/>
      <c r="AH154" s="395"/>
      <c r="AI154" s="395"/>
      <c r="AJ154" s="395"/>
      <c r="AK154" s="395"/>
      <c r="AL154" s="395"/>
      <c r="AM154" s="395"/>
      <c r="AN154" s="395"/>
      <c r="AO154" s="395"/>
      <c r="AP154" s="395"/>
      <c r="AQ154" s="395"/>
      <c r="AR154" s="395"/>
      <c r="AS154" s="395"/>
      <c r="AT154" s="395"/>
      <c r="AU154" s="395"/>
      <c r="AV154" s="395"/>
      <c r="AW154" s="395"/>
      <c r="AX154" s="395"/>
      <c r="AY154" s="395"/>
      <c r="AZ154" s="395"/>
      <c r="BA154" s="395"/>
      <c r="BB154" s="395"/>
      <c r="BC154" s="395"/>
      <c r="BD154" s="395"/>
      <c r="BE154" s="395"/>
      <c r="BF154" s="395"/>
      <c r="BG154" s="395"/>
      <c r="BH154" s="395"/>
      <c r="BI154" s="395"/>
      <c r="BJ154" s="395"/>
      <c r="BK154" s="395"/>
      <c r="BL154" s="395"/>
      <c r="BM154" s="395"/>
      <c r="BN154" s="395"/>
      <c r="BO154" s="395"/>
      <c r="BP154" s="395"/>
      <c r="BQ154" s="395"/>
      <c r="BR154" s="395"/>
      <c r="BS154" s="395"/>
      <c r="BT154" s="395"/>
      <c r="BU154" s="395"/>
      <c r="BV154" s="395"/>
      <c r="BW154" s="395"/>
      <c r="BX154" s="395"/>
      <c r="BY154" s="395"/>
      <c r="BZ154" s="395"/>
      <c r="CA154" s="395"/>
      <c r="CB154" s="395"/>
      <c r="CC154" s="395"/>
      <c r="CD154" s="395"/>
      <c r="CE154" s="395"/>
      <c r="CF154" s="395"/>
      <c r="CG154" s="395"/>
      <c r="CH154" s="395"/>
      <c r="CI154" s="395"/>
      <c r="CJ154" s="395"/>
      <c r="CK154" s="395"/>
      <c r="CL154" s="395"/>
      <c r="CM154" s="395"/>
      <c r="CN154" s="395"/>
      <c r="CO154" s="395"/>
      <c r="CP154" s="395"/>
      <c r="CQ154" s="395"/>
      <c r="CR154" s="395"/>
      <c r="CS154" s="395"/>
      <c r="CT154" s="395"/>
      <c r="CU154" s="395"/>
      <c r="CV154" s="395"/>
      <c r="CW154" s="395"/>
      <c r="CX154" s="395"/>
      <c r="CY154" s="395"/>
      <c r="CZ154" s="395"/>
      <c r="DA154" s="395"/>
      <c r="DB154" s="395"/>
      <c r="DC154" s="395"/>
      <c r="DD154" s="395"/>
      <c r="DE154" s="395"/>
      <c r="DF154" s="395"/>
      <c r="DG154" s="395"/>
      <c r="DH154" s="395"/>
      <c r="DI154" s="395"/>
      <c r="DJ154" s="395"/>
      <c r="DK154" s="395"/>
      <c r="DL154" s="395"/>
      <c r="DM154" s="395"/>
      <c r="DN154" s="395"/>
      <c r="DO154" s="395"/>
      <c r="DP154" s="395"/>
      <c r="DQ154" s="395"/>
      <c r="DR154" s="395"/>
      <c r="DS154" s="395"/>
      <c r="DT154" s="395"/>
      <c r="DU154" s="395"/>
      <c r="DV154" s="395"/>
      <c r="DW154" s="395"/>
      <c r="DX154" s="395"/>
      <c r="DY154" s="395"/>
      <c r="DZ154" s="395"/>
      <c r="EA154" s="395"/>
      <c r="EB154" s="395"/>
      <c r="EC154" s="395"/>
      <c r="ED154" s="395"/>
      <c r="EE154" s="395"/>
      <c r="EF154" s="395"/>
      <c r="EG154" s="395"/>
      <c r="EH154" s="395"/>
      <c r="EI154" s="395"/>
      <c r="EJ154" s="395"/>
      <c r="EK154" s="395"/>
      <c r="EL154" s="395"/>
      <c r="EM154" s="395"/>
      <c r="EN154" s="395"/>
      <c r="EO154" s="395"/>
      <c r="EP154" s="395"/>
      <c r="EQ154" s="395"/>
      <c r="ER154" s="395"/>
      <c r="ES154" s="395"/>
      <c r="ET154" s="395"/>
      <c r="EU154" s="395"/>
      <c r="EV154" s="395"/>
      <c r="EW154" s="395"/>
      <c r="EX154" s="395"/>
      <c r="EY154" s="395"/>
      <c r="EZ154" s="395"/>
      <c r="FA154" s="395"/>
      <c r="FB154" s="395"/>
      <c r="FC154" s="395"/>
      <c r="FD154" s="395"/>
      <c r="FE154" s="395"/>
      <c r="FF154" s="395"/>
      <c r="FG154" s="395"/>
      <c r="FH154" s="395"/>
      <c r="FI154" s="395"/>
      <c r="FJ154" s="395"/>
      <c r="FK154" s="395"/>
      <c r="FL154" s="395"/>
      <c r="FM154" s="395"/>
      <c r="FN154" s="395"/>
      <c r="FO154" s="395"/>
      <c r="FP154" s="395"/>
      <c r="FQ154" s="395"/>
      <c r="FR154" s="395"/>
      <c r="FS154" s="395"/>
      <c r="FT154" s="395"/>
      <c r="FU154" s="395"/>
      <c r="FV154" s="395"/>
      <c r="FW154" s="395"/>
      <c r="FX154" s="395"/>
      <c r="FY154" s="395"/>
      <c r="FZ154" s="395"/>
      <c r="GA154" s="395"/>
      <c r="GB154" s="395"/>
      <c r="GC154" s="395"/>
      <c r="GD154" s="395"/>
      <c r="GE154" s="395"/>
      <c r="GF154" s="395"/>
      <c r="GG154" s="395"/>
      <c r="GH154" s="395"/>
      <c r="GI154" s="395"/>
      <c r="GJ154" s="395"/>
      <c r="GK154" s="395"/>
      <c r="GL154" s="395"/>
      <c r="GM154" s="395"/>
      <c r="GN154" s="395"/>
      <c r="GO154" s="395"/>
      <c r="GP154" s="395"/>
      <c r="GQ154" s="395"/>
      <c r="GR154" s="395"/>
      <c r="GS154" s="395"/>
      <c r="GT154" s="395"/>
      <c r="GU154" s="395"/>
      <c r="GV154" s="395"/>
      <c r="GW154" s="395"/>
      <c r="GX154" s="395"/>
      <c r="GY154" s="395"/>
      <c r="GZ154" s="395"/>
      <c r="HA154" s="395"/>
      <c r="HB154" s="395"/>
      <c r="HC154" s="395"/>
      <c r="HD154" s="395"/>
      <c r="HE154" s="395"/>
      <c r="HF154" s="395"/>
      <c r="HG154" s="395"/>
      <c r="HH154" s="395"/>
      <c r="HI154" s="395"/>
      <c r="HJ154" s="395"/>
      <c r="HK154" s="395"/>
      <c r="HL154" s="395"/>
      <c r="HM154" s="395"/>
      <c r="HN154" s="395"/>
      <c r="HO154" s="395"/>
      <c r="HP154" s="395"/>
      <c r="HQ154" s="395"/>
      <c r="HR154" s="395"/>
    </row>
    <row r="155" spans="1:226" s="866" customFormat="1" x14ac:dyDescent="0.25">
      <c r="A155" s="395"/>
      <c r="B155" s="395"/>
      <c r="C155" s="395"/>
      <c r="D155" s="395"/>
      <c r="E155" s="395"/>
      <c r="F155" s="395"/>
      <c r="G155" s="395"/>
      <c r="H155" s="395"/>
      <c r="I155" s="395"/>
      <c r="J155" s="395"/>
      <c r="K155" s="395"/>
      <c r="L155" s="395"/>
      <c r="M155" s="395"/>
      <c r="N155" s="395"/>
      <c r="O155" s="395"/>
      <c r="P155" s="395"/>
      <c r="Q155" s="395"/>
      <c r="R155" s="395"/>
      <c r="S155" s="395"/>
      <c r="T155" s="395"/>
      <c r="U155" s="395"/>
      <c r="V155" s="1608"/>
      <c r="W155" s="395"/>
      <c r="X155" s="395"/>
      <c r="Y155" s="395"/>
      <c r="Z155" s="2140"/>
      <c r="AA155" s="395"/>
      <c r="AB155" s="395"/>
      <c r="AC155" s="395"/>
      <c r="AD155" s="395"/>
      <c r="AE155" s="395"/>
      <c r="AF155" s="395"/>
      <c r="AG155" s="395"/>
      <c r="AH155" s="395"/>
      <c r="AI155" s="395"/>
      <c r="AJ155" s="395"/>
      <c r="AK155" s="395"/>
      <c r="AL155" s="395"/>
      <c r="AM155" s="395"/>
      <c r="AN155" s="395"/>
      <c r="AO155" s="395"/>
      <c r="AP155" s="395"/>
      <c r="AQ155" s="395"/>
      <c r="AR155" s="395"/>
      <c r="AS155" s="395"/>
      <c r="AT155" s="395"/>
      <c r="AU155" s="395"/>
      <c r="AV155" s="395"/>
      <c r="AW155" s="395"/>
      <c r="AX155" s="395"/>
      <c r="AY155" s="395"/>
      <c r="AZ155" s="395"/>
      <c r="BA155" s="395"/>
      <c r="BB155" s="395"/>
      <c r="BC155" s="395"/>
      <c r="BD155" s="395"/>
      <c r="BE155" s="395"/>
      <c r="BF155" s="395"/>
      <c r="BG155" s="395"/>
      <c r="BH155" s="395"/>
      <c r="BI155" s="395"/>
      <c r="BJ155" s="395"/>
      <c r="BK155" s="395"/>
      <c r="BL155" s="395"/>
      <c r="BM155" s="395"/>
      <c r="BN155" s="395"/>
      <c r="BO155" s="395"/>
      <c r="BP155" s="395"/>
      <c r="BQ155" s="395"/>
      <c r="BR155" s="395"/>
      <c r="BS155" s="395"/>
      <c r="BT155" s="395"/>
      <c r="BU155" s="395"/>
      <c r="BV155" s="395"/>
      <c r="BW155" s="395"/>
      <c r="BX155" s="395"/>
      <c r="BY155" s="395"/>
      <c r="BZ155" s="395"/>
      <c r="CA155" s="395"/>
      <c r="CB155" s="395"/>
      <c r="CC155" s="395"/>
      <c r="CD155" s="395"/>
      <c r="CE155" s="395"/>
      <c r="CF155" s="395"/>
      <c r="CG155" s="395"/>
      <c r="CH155" s="395"/>
      <c r="CI155" s="395"/>
      <c r="CJ155" s="395"/>
      <c r="CK155" s="395"/>
      <c r="CL155" s="395"/>
      <c r="CM155" s="395"/>
      <c r="CN155" s="395"/>
      <c r="CO155" s="395"/>
      <c r="CP155" s="395"/>
      <c r="CQ155" s="395"/>
      <c r="CR155" s="395"/>
      <c r="CS155" s="395"/>
      <c r="CT155" s="395"/>
      <c r="CU155" s="395"/>
      <c r="CV155" s="395"/>
      <c r="CW155" s="395"/>
      <c r="CX155" s="395"/>
      <c r="CY155" s="395"/>
      <c r="CZ155" s="395"/>
      <c r="DA155" s="395"/>
      <c r="DB155" s="395"/>
      <c r="DC155" s="395"/>
      <c r="DD155" s="395"/>
      <c r="DE155" s="395"/>
      <c r="DF155" s="395"/>
      <c r="DG155" s="395"/>
      <c r="DH155" s="395"/>
      <c r="DI155" s="395"/>
      <c r="DJ155" s="395"/>
      <c r="DK155" s="395"/>
      <c r="DL155" s="395"/>
      <c r="DM155" s="395"/>
      <c r="DN155" s="395"/>
      <c r="DO155" s="395"/>
      <c r="DP155" s="395"/>
      <c r="DQ155" s="395"/>
      <c r="DR155" s="395"/>
      <c r="DS155" s="395"/>
      <c r="DT155" s="395"/>
      <c r="DU155" s="395"/>
      <c r="DV155" s="395"/>
      <c r="DW155" s="395"/>
      <c r="DX155" s="395"/>
      <c r="DY155" s="395"/>
      <c r="DZ155" s="395"/>
      <c r="EA155" s="395"/>
      <c r="EB155" s="395"/>
      <c r="EC155" s="395"/>
      <c r="ED155" s="395"/>
      <c r="EE155" s="395"/>
      <c r="EF155" s="395"/>
      <c r="EG155" s="395"/>
      <c r="EH155" s="395"/>
      <c r="EI155" s="395"/>
      <c r="EJ155" s="395"/>
      <c r="EK155" s="395"/>
      <c r="EL155" s="395"/>
      <c r="EM155" s="395"/>
      <c r="EN155" s="395"/>
      <c r="EO155" s="395"/>
      <c r="EP155" s="395"/>
      <c r="EQ155" s="395"/>
      <c r="ER155" s="395"/>
      <c r="ES155" s="395"/>
      <c r="ET155" s="395"/>
      <c r="EU155" s="395"/>
      <c r="EV155" s="395"/>
      <c r="EW155" s="395"/>
      <c r="EX155" s="395"/>
      <c r="EY155" s="395"/>
      <c r="EZ155" s="395"/>
      <c r="FA155" s="395"/>
      <c r="FB155" s="395"/>
      <c r="FC155" s="395"/>
      <c r="FD155" s="395"/>
      <c r="FE155" s="395"/>
      <c r="FF155" s="395"/>
      <c r="FG155" s="395"/>
      <c r="FH155" s="395"/>
      <c r="FI155" s="395"/>
      <c r="FJ155" s="395"/>
      <c r="FK155" s="395"/>
      <c r="FL155" s="395"/>
      <c r="FM155" s="395"/>
      <c r="FN155" s="395"/>
      <c r="FO155" s="395"/>
      <c r="FP155" s="395"/>
      <c r="FQ155" s="395"/>
      <c r="FR155" s="395"/>
      <c r="FS155" s="395"/>
      <c r="FT155" s="395"/>
      <c r="FU155" s="395"/>
      <c r="FV155" s="395"/>
      <c r="FW155" s="395"/>
      <c r="FX155" s="395"/>
      <c r="FY155" s="395"/>
      <c r="FZ155" s="395"/>
      <c r="GA155" s="395"/>
      <c r="GB155" s="395"/>
      <c r="GC155" s="395"/>
      <c r="GD155" s="395"/>
      <c r="GE155" s="395"/>
      <c r="GF155" s="395"/>
      <c r="GG155" s="395"/>
      <c r="GH155" s="395"/>
      <c r="GI155" s="395"/>
      <c r="GJ155" s="395"/>
      <c r="GK155" s="395"/>
      <c r="GL155" s="395"/>
      <c r="GM155" s="395"/>
      <c r="GN155" s="395"/>
      <c r="GO155" s="395"/>
      <c r="GP155" s="395"/>
      <c r="GQ155" s="395"/>
      <c r="GR155" s="395"/>
      <c r="GS155" s="395"/>
      <c r="GT155" s="395"/>
      <c r="GU155" s="395"/>
      <c r="GV155" s="395"/>
      <c r="GW155" s="395"/>
      <c r="GX155" s="395"/>
      <c r="GY155" s="395"/>
      <c r="GZ155" s="395"/>
      <c r="HA155" s="395"/>
      <c r="HB155" s="395"/>
      <c r="HC155" s="395"/>
      <c r="HD155" s="395"/>
      <c r="HE155" s="395"/>
      <c r="HF155" s="395"/>
      <c r="HG155" s="395"/>
      <c r="HH155" s="395"/>
      <c r="HI155" s="395"/>
      <c r="HJ155" s="395"/>
      <c r="HK155" s="395"/>
      <c r="HL155" s="395"/>
      <c r="HM155" s="395"/>
      <c r="HN155" s="395"/>
      <c r="HO155" s="395"/>
      <c r="HP155" s="395"/>
      <c r="HQ155" s="395"/>
      <c r="HR155" s="395"/>
    </row>
    <row r="156" spans="1:226" s="866" customFormat="1" x14ac:dyDescent="0.25">
      <c r="A156" s="395"/>
      <c r="B156" s="395"/>
      <c r="C156" s="395"/>
      <c r="D156" s="395"/>
      <c r="E156" s="395"/>
      <c r="F156" s="395"/>
      <c r="G156" s="395"/>
      <c r="H156" s="395"/>
      <c r="I156" s="395"/>
      <c r="J156" s="395"/>
      <c r="K156" s="395"/>
      <c r="L156" s="395"/>
      <c r="M156" s="395"/>
      <c r="N156" s="395"/>
      <c r="O156" s="395"/>
      <c r="P156" s="395"/>
      <c r="Q156" s="395"/>
      <c r="R156" s="395"/>
      <c r="S156" s="395"/>
      <c r="T156" s="395"/>
      <c r="U156" s="395"/>
      <c r="V156" s="1608"/>
      <c r="W156" s="395"/>
      <c r="X156" s="395"/>
      <c r="Y156" s="395"/>
      <c r="Z156" s="2140"/>
      <c r="AA156" s="395"/>
      <c r="AB156" s="395"/>
      <c r="AC156" s="395"/>
      <c r="AD156" s="395"/>
      <c r="AE156" s="395"/>
      <c r="AF156" s="395"/>
      <c r="AG156" s="395"/>
      <c r="AH156" s="395"/>
      <c r="AI156" s="395"/>
      <c r="AJ156" s="395"/>
      <c r="AK156" s="395"/>
      <c r="AL156" s="395"/>
      <c r="AM156" s="395"/>
      <c r="AN156" s="395"/>
      <c r="AO156" s="395"/>
      <c r="AP156" s="395"/>
      <c r="AQ156" s="395"/>
      <c r="AR156" s="395"/>
      <c r="AS156" s="395"/>
      <c r="AT156" s="395"/>
      <c r="AU156" s="395"/>
      <c r="AV156" s="395"/>
      <c r="AW156" s="395"/>
      <c r="AX156" s="395"/>
      <c r="AY156" s="395"/>
      <c r="AZ156" s="395"/>
      <c r="BA156" s="395"/>
      <c r="BB156" s="395"/>
      <c r="BC156" s="395"/>
      <c r="BD156" s="395"/>
      <c r="BE156" s="395"/>
      <c r="BF156" s="395"/>
      <c r="BG156" s="395"/>
      <c r="BH156" s="395"/>
      <c r="BI156" s="395"/>
      <c r="BJ156" s="395"/>
      <c r="BK156" s="395"/>
      <c r="BL156" s="395"/>
      <c r="BM156" s="395"/>
      <c r="BN156" s="395"/>
      <c r="BO156" s="395"/>
      <c r="BP156" s="395"/>
      <c r="BQ156" s="395"/>
      <c r="BR156" s="395"/>
      <c r="BS156" s="395"/>
      <c r="BT156" s="395"/>
      <c r="BU156" s="395"/>
      <c r="BV156" s="395"/>
      <c r="BW156" s="395"/>
      <c r="BX156" s="395"/>
      <c r="BY156" s="395"/>
      <c r="BZ156" s="395"/>
      <c r="CA156" s="395"/>
      <c r="CB156" s="395"/>
      <c r="CC156" s="395"/>
      <c r="CD156" s="395"/>
      <c r="CE156" s="395"/>
      <c r="CF156" s="395"/>
      <c r="CG156" s="395"/>
      <c r="CH156" s="395"/>
      <c r="CI156" s="395"/>
      <c r="CJ156" s="395"/>
      <c r="CK156" s="395"/>
      <c r="CL156" s="395"/>
      <c r="CM156" s="395"/>
      <c r="CN156" s="395"/>
      <c r="CO156" s="395"/>
      <c r="CP156" s="395"/>
      <c r="CQ156" s="395"/>
      <c r="CR156" s="395"/>
      <c r="CS156" s="395"/>
      <c r="CT156" s="395"/>
      <c r="CU156" s="395"/>
      <c r="CV156" s="395"/>
      <c r="CW156" s="395"/>
      <c r="CX156" s="395"/>
      <c r="CY156" s="395"/>
      <c r="CZ156" s="395"/>
      <c r="DA156" s="395"/>
      <c r="DB156" s="395"/>
      <c r="DC156" s="395"/>
      <c r="DD156" s="395"/>
      <c r="DE156" s="395"/>
      <c r="DF156" s="395"/>
      <c r="DG156" s="395"/>
      <c r="DH156" s="395"/>
      <c r="DI156" s="395"/>
      <c r="DJ156" s="395"/>
      <c r="DK156" s="395"/>
      <c r="DL156" s="395"/>
      <c r="DM156" s="395"/>
      <c r="DN156" s="395"/>
      <c r="DO156" s="395"/>
      <c r="DP156" s="395"/>
      <c r="DQ156" s="395"/>
      <c r="DR156" s="395"/>
      <c r="DS156" s="395"/>
      <c r="DT156" s="395"/>
      <c r="DU156" s="395"/>
      <c r="DV156" s="395"/>
      <c r="DW156" s="395"/>
      <c r="DX156" s="395"/>
      <c r="DY156" s="395"/>
      <c r="DZ156" s="395"/>
      <c r="EA156" s="395"/>
      <c r="EB156" s="395"/>
      <c r="EC156" s="395"/>
      <c r="ED156" s="395"/>
      <c r="EE156" s="395"/>
      <c r="EF156" s="395"/>
      <c r="EG156" s="395"/>
      <c r="EH156" s="395"/>
      <c r="EI156" s="395"/>
      <c r="EJ156" s="395"/>
      <c r="EK156" s="395"/>
      <c r="EL156" s="395"/>
      <c r="EM156" s="395"/>
      <c r="EN156" s="395"/>
      <c r="EO156" s="395"/>
      <c r="EP156" s="395"/>
      <c r="EQ156" s="395"/>
      <c r="ER156" s="395"/>
      <c r="ES156" s="395"/>
      <c r="ET156" s="395"/>
      <c r="EU156" s="395"/>
      <c r="EV156" s="395"/>
      <c r="EW156" s="395"/>
      <c r="EX156" s="395"/>
      <c r="EY156" s="395"/>
      <c r="EZ156" s="395"/>
      <c r="FA156" s="395"/>
      <c r="FB156" s="395"/>
      <c r="FC156" s="395"/>
      <c r="FD156" s="395"/>
      <c r="FE156" s="395"/>
      <c r="FF156" s="395"/>
      <c r="FG156" s="395"/>
      <c r="FH156" s="395"/>
      <c r="FI156" s="395"/>
      <c r="FJ156" s="395"/>
      <c r="FK156" s="395"/>
      <c r="FL156" s="395"/>
      <c r="FM156" s="395"/>
      <c r="FN156" s="395"/>
      <c r="FO156" s="395"/>
      <c r="FP156" s="395"/>
      <c r="FQ156" s="395"/>
      <c r="FR156" s="395"/>
      <c r="FS156" s="395"/>
      <c r="FT156" s="395"/>
      <c r="FU156" s="395"/>
      <c r="FV156" s="395"/>
      <c r="FW156" s="395"/>
      <c r="FX156" s="395"/>
      <c r="FY156" s="395"/>
      <c r="FZ156" s="395"/>
      <c r="GA156" s="395"/>
      <c r="GB156" s="395"/>
      <c r="GC156" s="395"/>
      <c r="GD156" s="395"/>
      <c r="GE156" s="395"/>
      <c r="GF156" s="395"/>
      <c r="GG156" s="395"/>
      <c r="GH156" s="395"/>
      <c r="GI156" s="395"/>
      <c r="GJ156" s="395"/>
      <c r="GK156" s="395"/>
      <c r="GL156" s="395"/>
      <c r="GM156" s="395"/>
      <c r="GN156" s="395"/>
      <c r="GO156" s="395"/>
      <c r="GP156" s="395"/>
      <c r="GQ156" s="395"/>
      <c r="GR156" s="395"/>
      <c r="GS156" s="395"/>
      <c r="GT156" s="395"/>
      <c r="GU156" s="395"/>
      <c r="GV156" s="395"/>
      <c r="GW156" s="395"/>
      <c r="GX156" s="395"/>
      <c r="GY156" s="395"/>
      <c r="GZ156" s="395"/>
      <c r="HA156" s="395"/>
      <c r="HB156" s="395"/>
      <c r="HC156" s="395"/>
      <c r="HD156" s="395"/>
      <c r="HE156" s="395"/>
      <c r="HF156" s="395"/>
      <c r="HG156" s="395"/>
      <c r="HH156" s="395"/>
      <c r="HI156" s="395"/>
      <c r="HJ156" s="395"/>
      <c r="HK156" s="395"/>
      <c r="HL156" s="395"/>
      <c r="HM156" s="395"/>
      <c r="HN156" s="395"/>
      <c r="HO156" s="395"/>
      <c r="HP156" s="395"/>
      <c r="HQ156" s="395"/>
      <c r="HR156" s="395"/>
    </row>
    <row r="157" spans="1:226" s="866" customFormat="1" x14ac:dyDescent="0.25">
      <c r="A157" s="395"/>
      <c r="B157" s="395"/>
      <c r="C157" s="395"/>
      <c r="D157" s="395"/>
      <c r="E157" s="395"/>
      <c r="F157" s="395"/>
      <c r="G157" s="395"/>
      <c r="H157" s="395"/>
      <c r="I157" s="395"/>
      <c r="J157" s="395"/>
      <c r="K157" s="395"/>
      <c r="L157" s="395"/>
      <c r="M157" s="395"/>
      <c r="N157" s="395"/>
      <c r="O157" s="395"/>
      <c r="P157" s="395"/>
      <c r="Q157" s="395"/>
      <c r="R157" s="395"/>
      <c r="S157" s="395"/>
      <c r="T157" s="395"/>
      <c r="U157" s="395"/>
      <c r="V157" s="1608"/>
      <c r="W157" s="395"/>
      <c r="X157" s="395"/>
      <c r="Y157" s="395"/>
      <c r="Z157" s="2140"/>
      <c r="AA157" s="395"/>
      <c r="AB157" s="395"/>
      <c r="AC157" s="395"/>
      <c r="AD157" s="395"/>
      <c r="AE157" s="395"/>
      <c r="AF157" s="395"/>
      <c r="AG157" s="395"/>
      <c r="AH157" s="395"/>
      <c r="AI157" s="395"/>
      <c r="AJ157" s="395"/>
      <c r="AK157" s="395"/>
      <c r="AL157" s="395"/>
      <c r="AM157" s="395"/>
      <c r="AN157" s="395"/>
      <c r="AO157" s="395"/>
      <c r="AP157" s="395"/>
      <c r="AQ157" s="395"/>
      <c r="AR157" s="395"/>
      <c r="AS157" s="395"/>
      <c r="AT157" s="395"/>
      <c r="AU157" s="395"/>
      <c r="AV157" s="395"/>
      <c r="AW157" s="395"/>
      <c r="AX157" s="395"/>
      <c r="AY157" s="395"/>
      <c r="AZ157" s="395"/>
      <c r="BA157" s="395"/>
      <c r="BB157" s="395"/>
      <c r="BC157" s="395"/>
      <c r="BD157" s="395"/>
      <c r="BE157" s="395"/>
      <c r="BF157" s="395"/>
      <c r="BG157" s="395"/>
      <c r="BH157" s="395"/>
      <c r="BI157" s="395"/>
      <c r="BJ157" s="395"/>
      <c r="BK157" s="395"/>
      <c r="BL157" s="395"/>
      <c r="BM157" s="395"/>
      <c r="BN157" s="395"/>
      <c r="BO157" s="395"/>
      <c r="BP157" s="395"/>
      <c r="BQ157" s="395"/>
      <c r="BR157" s="395"/>
      <c r="BS157" s="395"/>
      <c r="BT157" s="395"/>
      <c r="BU157" s="395"/>
      <c r="BV157" s="395"/>
      <c r="BW157" s="395"/>
      <c r="BX157" s="395"/>
      <c r="BY157" s="395"/>
      <c r="BZ157" s="395"/>
      <c r="CA157" s="395"/>
      <c r="CB157" s="395"/>
      <c r="CC157" s="395"/>
      <c r="CD157" s="395"/>
      <c r="CE157" s="395"/>
      <c r="CF157" s="395"/>
      <c r="CG157" s="395"/>
      <c r="CH157" s="395"/>
      <c r="CI157" s="395"/>
      <c r="CJ157" s="395"/>
      <c r="CK157" s="395"/>
      <c r="CL157" s="395"/>
      <c r="CM157" s="395"/>
      <c r="CN157" s="395"/>
      <c r="CO157" s="395"/>
      <c r="CP157" s="395"/>
      <c r="CQ157" s="395"/>
      <c r="CR157" s="395"/>
      <c r="CS157" s="395"/>
      <c r="CT157" s="395"/>
      <c r="CU157" s="395"/>
      <c r="CV157" s="395"/>
      <c r="CW157" s="395"/>
      <c r="CX157" s="395"/>
      <c r="CY157" s="395"/>
      <c r="CZ157" s="395"/>
      <c r="DA157" s="395"/>
      <c r="DB157" s="395"/>
      <c r="DC157" s="395"/>
      <c r="DD157" s="395"/>
      <c r="DE157" s="395"/>
      <c r="DF157" s="395"/>
      <c r="DG157" s="395"/>
      <c r="DH157" s="395"/>
      <c r="DI157" s="395"/>
      <c r="DJ157" s="395"/>
      <c r="DK157" s="395"/>
      <c r="DL157" s="395"/>
      <c r="DM157" s="395"/>
      <c r="DN157" s="395"/>
      <c r="DO157" s="395"/>
      <c r="DP157" s="395"/>
      <c r="DQ157" s="395"/>
      <c r="DR157" s="395"/>
      <c r="DS157" s="395"/>
      <c r="DT157" s="395"/>
      <c r="DU157" s="395"/>
      <c r="DV157" s="395"/>
      <c r="DW157" s="395"/>
      <c r="DX157" s="395"/>
      <c r="DY157" s="395"/>
      <c r="DZ157" s="395"/>
      <c r="EA157" s="395"/>
      <c r="EB157" s="395"/>
      <c r="EC157" s="395"/>
      <c r="ED157" s="395"/>
      <c r="EE157" s="395"/>
      <c r="EF157" s="395"/>
      <c r="EG157" s="395"/>
      <c r="EH157" s="395"/>
      <c r="EI157" s="395"/>
      <c r="EJ157" s="395"/>
      <c r="EK157" s="395"/>
      <c r="EL157" s="395"/>
      <c r="EM157" s="395"/>
      <c r="EN157" s="395"/>
      <c r="EO157" s="395"/>
      <c r="EP157" s="395"/>
      <c r="EQ157" s="395"/>
      <c r="ER157" s="395"/>
      <c r="ES157" s="395"/>
      <c r="ET157" s="395"/>
      <c r="EU157" s="395"/>
      <c r="EV157" s="395"/>
      <c r="EW157" s="395"/>
      <c r="EX157" s="395"/>
      <c r="EY157" s="395"/>
      <c r="EZ157" s="395"/>
      <c r="FA157" s="395"/>
      <c r="FB157" s="395"/>
      <c r="FC157" s="395"/>
      <c r="FD157" s="395"/>
      <c r="FE157" s="395"/>
      <c r="FF157" s="395"/>
      <c r="FG157" s="395"/>
      <c r="FH157" s="395"/>
      <c r="FI157" s="395"/>
      <c r="FJ157" s="395"/>
      <c r="FK157" s="395"/>
      <c r="FL157" s="395"/>
      <c r="FM157" s="395"/>
      <c r="FN157" s="395"/>
      <c r="FO157" s="395"/>
      <c r="FP157" s="395"/>
      <c r="FQ157" s="395"/>
      <c r="FR157" s="395"/>
      <c r="FS157" s="395"/>
      <c r="FT157" s="395"/>
      <c r="FU157" s="395"/>
      <c r="FV157" s="395"/>
      <c r="FW157" s="395"/>
      <c r="FX157" s="395"/>
      <c r="FY157" s="395"/>
      <c r="FZ157" s="395"/>
      <c r="GA157" s="395"/>
      <c r="GB157" s="395"/>
      <c r="GC157" s="395"/>
      <c r="GD157" s="395"/>
      <c r="GE157" s="395"/>
      <c r="GF157" s="395"/>
      <c r="GG157" s="395"/>
      <c r="GH157" s="395"/>
      <c r="GI157" s="395"/>
      <c r="GJ157" s="395"/>
      <c r="GK157" s="395"/>
      <c r="GL157" s="395"/>
      <c r="GM157" s="395"/>
      <c r="GN157" s="395"/>
      <c r="GO157" s="395"/>
      <c r="GP157" s="395"/>
      <c r="GQ157" s="395"/>
      <c r="GR157" s="395"/>
      <c r="GS157" s="395"/>
      <c r="GT157" s="395"/>
      <c r="GU157" s="395"/>
      <c r="GV157" s="395"/>
      <c r="GW157" s="395"/>
      <c r="GX157" s="395"/>
      <c r="GY157" s="395"/>
      <c r="GZ157" s="395"/>
      <c r="HA157" s="395"/>
      <c r="HB157" s="395"/>
      <c r="HC157" s="395"/>
      <c r="HD157" s="395"/>
      <c r="HE157" s="395"/>
      <c r="HF157" s="395"/>
      <c r="HG157" s="395"/>
      <c r="HH157" s="395"/>
      <c r="HI157" s="395"/>
      <c r="HJ157" s="395"/>
      <c r="HK157" s="395"/>
      <c r="HL157" s="395"/>
      <c r="HM157" s="395"/>
      <c r="HN157" s="395"/>
      <c r="HO157" s="395"/>
      <c r="HP157" s="395"/>
      <c r="HQ157" s="395"/>
      <c r="HR157" s="395"/>
    </row>
    <row r="158" spans="1:226" s="866" customFormat="1" x14ac:dyDescent="0.25">
      <c r="A158" s="395"/>
      <c r="B158" s="395"/>
      <c r="C158" s="395"/>
      <c r="D158" s="395"/>
      <c r="E158" s="395"/>
      <c r="F158" s="395"/>
      <c r="G158" s="395"/>
      <c r="H158" s="395"/>
      <c r="I158" s="395"/>
      <c r="J158" s="395"/>
      <c r="K158" s="395"/>
      <c r="L158" s="395"/>
      <c r="M158" s="395"/>
      <c r="N158" s="395"/>
      <c r="O158" s="395"/>
      <c r="P158" s="395"/>
      <c r="Q158" s="395"/>
      <c r="R158" s="395"/>
      <c r="S158" s="395"/>
      <c r="T158" s="395"/>
      <c r="U158" s="395"/>
      <c r="V158" s="1608"/>
      <c r="W158" s="395"/>
      <c r="X158" s="395"/>
      <c r="Y158" s="395"/>
      <c r="Z158" s="2140"/>
      <c r="AA158" s="395"/>
      <c r="AB158" s="395"/>
      <c r="AC158" s="395"/>
      <c r="AD158" s="395"/>
      <c r="AE158" s="395"/>
      <c r="AF158" s="395"/>
      <c r="AG158" s="395"/>
      <c r="AH158" s="395"/>
      <c r="AI158" s="395"/>
      <c r="AJ158" s="395"/>
      <c r="AK158" s="395"/>
      <c r="AL158" s="395"/>
      <c r="AM158" s="395"/>
      <c r="AN158" s="395"/>
      <c r="AO158" s="395"/>
      <c r="AP158" s="395"/>
      <c r="AQ158" s="395"/>
      <c r="AR158" s="395"/>
      <c r="AS158" s="395"/>
      <c r="AT158" s="395"/>
      <c r="AU158" s="395"/>
      <c r="AV158" s="395"/>
      <c r="AW158" s="395"/>
      <c r="AX158" s="395"/>
      <c r="AY158" s="395"/>
      <c r="AZ158" s="395"/>
      <c r="BA158" s="395"/>
      <c r="BB158" s="395"/>
      <c r="BC158" s="395"/>
      <c r="BD158" s="395"/>
      <c r="BE158" s="395"/>
      <c r="BF158" s="395"/>
      <c r="BG158" s="395"/>
      <c r="BH158" s="395"/>
      <c r="BI158" s="395"/>
      <c r="BJ158" s="395"/>
      <c r="BK158" s="395"/>
      <c r="BL158" s="395"/>
      <c r="BM158" s="395"/>
      <c r="BN158" s="395"/>
      <c r="BO158" s="395"/>
      <c r="BP158" s="395"/>
      <c r="BQ158" s="395"/>
      <c r="BR158" s="395"/>
      <c r="BS158" s="395"/>
      <c r="BT158" s="395"/>
      <c r="BU158" s="395"/>
      <c r="BV158" s="395"/>
      <c r="BW158" s="395"/>
      <c r="BX158" s="395"/>
      <c r="BY158" s="395"/>
      <c r="BZ158" s="395"/>
      <c r="CA158" s="395"/>
      <c r="CB158" s="395"/>
      <c r="CC158" s="395"/>
      <c r="CD158" s="395"/>
      <c r="CE158" s="395"/>
      <c r="CF158" s="395"/>
      <c r="CG158" s="395"/>
      <c r="CH158" s="395"/>
      <c r="CI158" s="395"/>
      <c r="CJ158" s="395"/>
      <c r="CK158" s="395"/>
      <c r="CL158" s="395"/>
      <c r="CM158" s="395"/>
      <c r="CN158" s="395"/>
      <c r="CO158" s="395"/>
      <c r="CP158" s="395"/>
      <c r="CQ158" s="395"/>
      <c r="CR158" s="395"/>
      <c r="CS158" s="395"/>
      <c r="CT158" s="395"/>
      <c r="CU158" s="395"/>
      <c r="CV158" s="395"/>
      <c r="CW158" s="395"/>
      <c r="CX158" s="395"/>
      <c r="CY158" s="395"/>
      <c r="CZ158" s="395"/>
      <c r="DA158" s="395"/>
      <c r="DB158" s="395"/>
      <c r="DC158" s="395"/>
      <c r="DD158" s="395"/>
      <c r="DE158" s="395"/>
      <c r="DF158" s="395"/>
      <c r="DG158" s="395"/>
      <c r="DH158" s="395"/>
      <c r="DI158" s="395"/>
      <c r="DJ158" s="395"/>
      <c r="DK158" s="395"/>
      <c r="DL158" s="395"/>
      <c r="DM158" s="395"/>
      <c r="DN158" s="395"/>
      <c r="DO158" s="395"/>
      <c r="DP158" s="395"/>
      <c r="DQ158" s="395"/>
      <c r="DR158" s="395"/>
      <c r="DS158" s="395"/>
      <c r="DT158" s="395"/>
      <c r="DU158" s="395"/>
      <c r="DV158" s="395"/>
      <c r="DW158" s="395"/>
      <c r="DX158" s="395"/>
      <c r="DY158" s="395"/>
      <c r="DZ158" s="395"/>
      <c r="EA158" s="395"/>
      <c r="EB158" s="395"/>
      <c r="EC158" s="395"/>
      <c r="ED158" s="395"/>
      <c r="EE158" s="395"/>
      <c r="EF158" s="395"/>
      <c r="EG158" s="395"/>
      <c r="EH158" s="395"/>
      <c r="EI158" s="395"/>
      <c r="EJ158" s="395"/>
      <c r="EK158" s="395"/>
      <c r="EL158" s="395"/>
      <c r="EM158" s="395"/>
      <c r="EN158" s="395"/>
      <c r="EO158" s="395"/>
      <c r="EP158" s="395"/>
      <c r="EQ158" s="395"/>
      <c r="ER158" s="395"/>
      <c r="ES158" s="395"/>
      <c r="ET158" s="395"/>
      <c r="EU158" s="395"/>
      <c r="EV158" s="395"/>
      <c r="EW158" s="395"/>
      <c r="EX158" s="395"/>
      <c r="EY158" s="395"/>
      <c r="EZ158" s="395"/>
      <c r="FA158" s="395"/>
      <c r="FB158" s="395"/>
      <c r="FC158" s="395"/>
      <c r="FD158" s="395"/>
      <c r="FE158" s="395"/>
      <c r="FF158" s="395"/>
      <c r="FG158" s="395"/>
      <c r="FH158" s="395"/>
      <c r="FI158" s="395"/>
      <c r="FJ158" s="395"/>
      <c r="FK158" s="395"/>
      <c r="FL158" s="395"/>
      <c r="FM158" s="395"/>
      <c r="FN158" s="395"/>
      <c r="FO158" s="395"/>
      <c r="FP158" s="395"/>
      <c r="FQ158" s="395"/>
      <c r="FR158" s="395"/>
      <c r="FS158" s="395"/>
      <c r="FT158" s="395"/>
      <c r="FU158" s="395"/>
      <c r="FV158" s="395"/>
      <c r="FW158" s="395"/>
      <c r="FX158" s="395"/>
      <c r="FY158" s="395"/>
      <c r="FZ158" s="395"/>
      <c r="GA158" s="395"/>
      <c r="GB158" s="395"/>
      <c r="GC158" s="395"/>
      <c r="GD158" s="395"/>
      <c r="GE158" s="395"/>
      <c r="GF158" s="395"/>
      <c r="GG158" s="395"/>
      <c r="GH158" s="395"/>
      <c r="GI158" s="395"/>
      <c r="GJ158" s="395"/>
      <c r="GK158" s="395"/>
      <c r="GL158" s="395"/>
      <c r="GM158" s="395"/>
      <c r="GN158" s="395"/>
      <c r="GO158" s="395"/>
      <c r="GP158" s="395"/>
      <c r="GQ158" s="395"/>
      <c r="GR158" s="395"/>
      <c r="GS158" s="395"/>
      <c r="GT158" s="395"/>
      <c r="GU158" s="395"/>
      <c r="GV158" s="395"/>
      <c r="GW158" s="395"/>
      <c r="GX158" s="395"/>
      <c r="GY158" s="395"/>
      <c r="GZ158" s="395"/>
      <c r="HA158" s="395"/>
      <c r="HB158" s="395"/>
      <c r="HC158" s="395"/>
      <c r="HD158" s="395"/>
      <c r="HE158" s="395"/>
      <c r="HF158" s="395"/>
      <c r="HG158" s="395"/>
      <c r="HH158" s="395"/>
      <c r="HI158" s="395"/>
      <c r="HJ158" s="395"/>
      <c r="HK158" s="395"/>
      <c r="HL158" s="395"/>
      <c r="HM158" s="395"/>
      <c r="HN158" s="395"/>
      <c r="HO158" s="395"/>
      <c r="HP158" s="395"/>
      <c r="HQ158" s="395"/>
      <c r="HR158" s="395"/>
    </row>
    <row r="159" spans="1:226" s="866" customFormat="1" x14ac:dyDescent="0.25">
      <c r="A159" s="395"/>
      <c r="B159" s="395"/>
      <c r="C159" s="395"/>
      <c r="D159" s="395"/>
      <c r="E159" s="395"/>
      <c r="F159" s="395"/>
      <c r="G159" s="395"/>
      <c r="H159" s="395"/>
      <c r="I159" s="395"/>
      <c r="J159" s="395"/>
      <c r="K159" s="395"/>
      <c r="L159" s="395"/>
      <c r="M159" s="395"/>
      <c r="N159" s="395"/>
      <c r="O159" s="395"/>
      <c r="P159" s="395"/>
      <c r="Q159" s="395"/>
      <c r="R159" s="395"/>
      <c r="S159" s="395"/>
      <c r="T159" s="395"/>
      <c r="U159" s="395"/>
      <c r="V159" s="1608"/>
      <c r="W159" s="395"/>
      <c r="X159" s="395"/>
      <c r="Y159" s="395"/>
      <c r="Z159" s="2140"/>
      <c r="AA159" s="395"/>
      <c r="AB159" s="395"/>
      <c r="AC159" s="395"/>
      <c r="AD159" s="395"/>
      <c r="AE159" s="395"/>
      <c r="AF159" s="395"/>
      <c r="AG159" s="395"/>
      <c r="AH159" s="395"/>
      <c r="AI159" s="395"/>
      <c r="AJ159" s="395"/>
      <c r="AK159" s="395"/>
      <c r="AL159" s="395"/>
      <c r="AM159" s="395"/>
      <c r="AN159" s="395"/>
      <c r="AO159" s="395"/>
      <c r="AP159" s="395"/>
      <c r="AQ159" s="395"/>
      <c r="AR159" s="395"/>
      <c r="AS159" s="395"/>
      <c r="AT159" s="395"/>
      <c r="AU159" s="395"/>
      <c r="AV159" s="395"/>
      <c r="AW159" s="395"/>
      <c r="AX159" s="395"/>
      <c r="AY159" s="395"/>
      <c r="AZ159" s="395"/>
      <c r="BA159" s="395"/>
      <c r="BB159" s="395"/>
      <c r="BC159" s="395"/>
      <c r="BD159" s="395"/>
      <c r="BE159" s="395"/>
      <c r="BF159" s="395"/>
      <c r="BG159" s="395"/>
      <c r="BH159" s="395"/>
      <c r="BI159" s="395"/>
      <c r="BJ159" s="395"/>
      <c r="BK159" s="395"/>
      <c r="BL159" s="395"/>
      <c r="BM159" s="395"/>
      <c r="BN159" s="395"/>
      <c r="BO159" s="395"/>
      <c r="BP159" s="395"/>
      <c r="BQ159" s="395"/>
      <c r="BR159" s="395"/>
      <c r="BS159" s="395"/>
      <c r="BT159" s="395"/>
      <c r="BU159" s="395"/>
      <c r="BV159" s="395"/>
      <c r="BW159" s="395"/>
      <c r="BX159" s="395"/>
      <c r="BY159" s="395"/>
      <c r="BZ159" s="395"/>
      <c r="CA159" s="395"/>
      <c r="CB159" s="395"/>
      <c r="CC159" s="395"/>
      <c r="CD159" s="395"/>
      <c r="CE159" s="395"/>
      <c r="CF159" s="395"/>
      <c r="CG159" s="395"/>
      <c r="CH159" s="395"/>
      <c r="CI159" s="395"/>
      <c r="CJ159" s="395"/>
      <c r="CK159" s="395"/>
      <c r="CL159" s="395"/>
      <c r="CM159" s="395"/>
      <c r="CN159" s="395"/>
      <c r="CO159" s="395"/>
      <c r="CP159" s="395"/>
      <c r="CQ159" s="395"/>
      <c r="CR159" s="395"/>
      <c r="CS159" s="395"/>
      <c r="CT159" s="395"/>
      <c r="CU159" s="395"/>
      <c r="CV159" s="395"/>
      <c r="CW159" s="395"/>
      <c r="CX159" s="395"/>
      <c r="CY159" s="395"/>
      <c r="CZ159" s="395"/>
      <c r="DA159" s="395"/>
      <c r="DB159" s="395"/>
      <c r="DC159" s="395"/>
      <c r="DD159" s="395"/>
      <c r="DE159" s="395"/>
      <c r="DF159" s="395"/>
      <c r="DG159" s="395"/>
      <c r="DH159" s="395"/>
      <c r="DI159" s="395"/>
      <c r="DJ159" s="395"/>
      <c r="DK159" s="395"/>
      <c r="DL159" s="395"/>
      <c r="DM159" s="395"/>
      <c r="DN159" s="395"/>
      <c r="DO159" s="395"/>
      <c r="DP159" s="395"/>
      <c r="DQ159" s="395"/>
      <c r="DR159" s="395"/>
      <c r="DS159" s="395"/>
      <c r="DT159" s="395"/>
      <c r="DU159" s="395"/>
      <c r="DV159" s="395"/>
      <c r="DW159" s="395"/>
      <c r="DX159" s="395"/>
      <c r="DY159" s="395"/>
      <c r="DZ159" s="395"/>
      <c r="EA159" s="395"/>
      <c r="EB159" s="395"/>
      <c r="EC159" s="395"/>
      <c r="ED159" s="395"/>
      <c r="EE159" s="395"/>
      <c r="EF159" s="395"/>
      <c r="EG159" s="395"/>
      <c r="EH159" s="395"/>
      <c r="EI159" s="395"/>
      <c r="EJ159" s="395"/>
      <c r="EK159" s="395"/>
      <c r="EL159" s="395"/>
      <c r="EM159" s="395"/>
      <c r="EN159" s="395"/>
      <c r="EO159" s="395"/>
      <c r="EP159" s="395"/>
      <c r="EQ159" s="395"/>
      <c r="ER159" s="395"/>
      <c r="ES159" s="395"/>
      <c r="ET159" s="395"/>
      <c r="EU159" s="395"/>
      <c r="EV159" s="395"/>
      <c r="EW159" s="395"/>
      <c r="EX159" s="395"/>
      <c r="EY159" s="395"/>
      <c r="EZ159" s="395"/>
      <c r="FA159" s="395"/>
      <c r="FB159" s="395"/>
      <c r="FC159" s="395"/>
      <c r="FD159" s="395"/>
      <c r="FE159" s="395"/>
      <c r="FF159" s="395"/>
      <c r="FG159" s="395"/>
      <c r="FH159" s="395"/>
      <c r="FI159" s="395"/>
      <c r="FJ159" s="395"/>
      <c r="FK159" s="395"/>
      <c r="FL159" s="395"/>
      <c r="FM159" s="395"/>
      <c r="FN159" s="395"/>
      <c r="FO159" s="395"/>
      <c r="FP159" s="395"/>
      <c r="FQ159" s="395"/>
      <c r="FR159" s="395"/>
      <c r="FS159" s="395"/>
      <c r="FT159" s="395"/>
      <c r="FU159" s="395"/>
      <c r="FV159" s="395"/>
      <c r="FW159" s="395"/>
      <c r="FX159" s="395"/>
      <c r="FY159" s="395"/>
      <c r="FZ159" s="395"/>
      <c r="GA159" s="395"/>
      <c r="GB159" s="395"/>
      <c r="GC159" s="395"/>
      <c r="GD159" s="395"/>
      <c r="GE159" s="395"/>
      <c r="GF159" s="395"/>
      <c r="GG159" s="395"/>
      <c r="GH159" s="395"/>
      <c r="GI159" s="395"/>
      <c r="GJ159" s="395"/>
      <c r="GK159" s="395"/>
      <c r="GL159" s="395"/>
      <c r="GM159" s="395"/>
      <c r="GN159" s="395"/>
      <c r="GO159" s="395"/>
      <c r="GP159" s="395"/>
      <c r="GQ159" s="395"/>
      <c r="GR159" s="395"/>
      <c r="GS159" s="395"/>
      <c r="GT159" s="395"/>
      <c r="GU159" s="395"/>
      <c r="GV159" s="395"/>
      <c r="GW159" s="395"/>
      <c r="GX159" s="395"/>
      <c r="GY159" s="395"/>
      <c r="GZ159" s="395"/>
      <c r="HA159" s="395"/>
      <c r="HB159" s="395"/>
      <c r="HC159" s="395"/>
      <c r="HD159" s="395"/>
      <c r="HE159" s="395"/>
      <c r="HF159" s="395"/>
      <c r="HG159" s="395"/>
      <c r="HH159" s="395"/>
      <c r="HI159" s="395"/>
      <c r="HJ159" s="395"/>
      <c r="HK159" s="395"/>
      <c r="HL159" s="395"/>
      <c r="HM159" s="395"/>
      <c r="HN159" s="395"/>
      <c r="HO159" s="395"/>
      <c r="HP159" s="395"/>
      <c r="HQ159" s="395"/>
      <c r="HR159" s="395"/>
    </row>
    <row r="160" spans="1:226" s="866" customFormat="1" x14ac:dyDescent="0.25">
      <c r="A160" s="395"/>
      <c r="B160" s="395"/>
      <c r="C160" s="395"/>
      <c r="D160" s="395"/>
      <c r="E160" s="395"/>
      <c r="F160" s="395"/>
      <c r="G160" s="395"/>
      <c r="H160" s="395"/>
      <c r="I160" s="395"/>
      <c r="J160" s="395"/>
      <c r="K160" s="395"/>
      <c r="L160" s="395"/>
      <c r="M160" s="395"/>
      <c r="N160" s="395"/>
      <c r="O160" s="395"/>
      <c r="P160" s="395"/>
      <c r="Q160" s="395"/>
      <c r="R160" s="395"/>
      <c r="S160" s="395"/>
      <c r="T160" s="395"/>
      <c r="U160" s="395"/>
      <c r="V160" s="1608"/>
      <c r="W160" s="395"/>
      <c r="X160" s="395"/>
      <c r="Y160" s="395"/>
      <c r="Z160" s="2140"/>
      <c r="AA160" s="395"/>
      <c r="AB160" s="395"/>
      <c r="AC160" s="395"/>
      <c r="AD160" s="395"/>
      <c r="AE160" s="395"/>
      <c r="AF160" s="395"/>
      <c r="AG160" s="395"/>
      <c r="AH160" s="395"/>
      <c r="AI160" s="395"/>
      <c r="AJ160" s="395"/>
      <c r="AK160" s="395"/>
      <c r="AL160" s="395"/>
      <c r="AM160" s="395"/>
      <c r="AN160" s="395"/>
      <c r="AO160" s="395"/>
      <c r="AP160" s="395"/>
      <c r="AQ160" s="395"/>
      <c r="AR160" s="395"/>
      <c r="AS160" s="395"/>
      <c r="AT160" s="395"/>
      <c r="AU160" s="395"/>
      <c r="AV160" s="395"/>
      <c r="AW160" s="395"/>
      <c r="AX160" s="395"/>
      <c r="AY160" s="395"/>
      <c r="AZ160" s="395"/>
      <c r="BA160" s="395"/>
      <c r="BB160" s="395"/>
      <c r="BC160" s="395"/>
      <c r="BD160" s="395"/>
      <c r="BE160" s="395"/>
      <c r="BF160" s="395"/>
      <c r="BG160" s="395"/>
      <c r="BH160" s="395"/>
      <c r="BI160" s="395"/>
      <c r="BJ160" s="395"/>
      <c r="BK160" s="395"/>
      <c r="BL160" s="395"/>
      <c r="BM160" s="395"/>
      <c r="BN160" s="395"/>
      <c r="BO160" s="395"/>
      <c r="BP160" s="395"/>
      <c r="BQ160" s="395"/>
      <c r="BR160" s="395"/>
      <c r="BS160" s="395"/>
      <c r="BT160" s="395"/>
      <c r="BU160" s="395"/>
      <c r="BV160" s="395"/>
      <c r="BW160" s="395"/>
      <c r="BX160" s="395"/>
      <c r="BY160" s="395"/>
      <c r="BZ160" s="395"/>
      <c r="CA160" s="395"/>
      <c r="CB160" s="395"/>
      <c r="CC160" s="395"/>
      <c r="CD160" s="395"/>
      <c r="CE160" s="395"/>
      <c r="CF160" s="395"/>
      <c r="CG160" s="395"/>
      <c r="CH160" s="395"/>
      <c r="CI160" s="395"/>
      <c r="CJ160" s="395"/>
      <c r="CK160" s="395"/>
      <c r="CL160" s="395"/>
      <c r="CM160" s="395"/>
      <c r="CN160" s="395"/>
      <c r="CO160" s="395"/>
      <c r="CP160" s="395"/>
      <c r="CQ160" s="395"/>
      <c r="CR160" s="395"/>
      <c r="CS160" s="395"/>
      <c r="CT160" s="395"/>
      <c r="CU160" s="395"/>
      <c r="CV160" s="395"/>
      <c r="CW160" s="395"/>
      <c r="CX160" s="395"/>
      <c r="CY160" s="395"/>
      <c r="CZ160" s="395"/>
      <c r="DA160" s="395"/>
      <c r="DB160" s="395"/>
      <c r="DC160" s="395"/>
      <c r="DD160" s="395"/>
      <c r="DE160" s="395"/>
      <c r="DF160" s="395"/>
      <c r="DG160" s="395"/>
      <c r="DH160" s="395"/>
      <c r="DI160" s="395"/>
      <c r="DJ160" s="395"/>
      <c r="DK160" s="395"/>
      <c r="DL160" s="395"/>
      <c r="DM160" s="395"/>
      <c r="DN160" s="395"/>
      <c r="DO160" s="395"/>
      <c r="DP160" s="395"/>
      <c r="DQ160" s="395"/>
      <c r="DR160" s="395"/>
      <c r="DS160" s="395"/>
      <c r="DT160" s="395"/>
      <c r="DU160" s="395"/>
      <c r="DV160" s="395"/>
      <c r="DW160" s="395"/>
      <c r="DX160" s="395"/>
      <c r="DY160" s="395"/>
      <c r="DZ160" s="395"/>
      <c r="EA160" s="395"/>
      <c r="EB160" s="395"/>
      <c r="EC160" s="395"/>
      <c r="ED160" s="395"/>
      <c r="EE160" s="395"/>
      <c r="EF160" s="395"/>
      <c r="EG160" s="395"/>
      <c r="EH160" s="395"/>
      <c r="EI160" s="395"/>
      <c r="EJ160" s="395"/>
      <c r="EK160" s="395"/>
      <c r="EL160" s="395"/>
      <c r="EM160" s="395"/>
      <c r="EN160" s="395"/>
      <c r="EO160" s="395"/>
      <c r="EP160" s="395"/>
      <c r="EQ160" s="395"/>
      <c r="ER160" s="395"/>
      <c r="ES160" s="395"/>
      <c r="ET160" s="395"/>
      <c r="EU160" s="395"/>
      <c r="EV160" s="395"/>
      <c r="EW160" s="395"/>
      <c r="EX160" s="395"/>
      <c r="EY160" s="395"/>
      <c r="EZ160" s="395"/>
      <c r="FA160" s="395"/>
      <c r="FB160" s="395"/>
      <c r="FC160" s="395"/>
      <c r="FD160" s="395"/>
      <c r="FE160" s="395"/>
      <c r="FF160" s="395"/>
      <c r="FG160" s="395"/>
      <c r="FH160" s="395"/>
      <c r="FI160" s="395"/>
      <c r="FJ160" s="395"/>
      <c r="FK160" s="395"/>
      <c r="FL160" s="395"/>
      <c r="FM160" s="395"/>
      <c r="FN160" s="395"/>
      <c r="FO160" s="395"/>
      <c r="FP160" s="395"/>
      <c r="FQ160" s="395"/>
      <c r="FR160" s="395"/>
      <c r="FS160" s="395"/>
      <c r="FT160" s="395"/>
      <c r="FU160" s="395"/>
      <c r="FV160" s="395"/>
      <c r="FW160" s="395"/>
      <c r="FX160" s="395"/>
      <c r="FY160" s="395"/>
      <c r="FZ160" s="395"/>
      <c r="GA160" s="395"/>
      <c r="GB160" s="395"/>
      <c r="GC160" s="395"/>
      <c r="GD160" s="395"/>
      <c r="GE160" s="395"/>
      <c r="GF160" s="395"/>
      <c r="GG160" s="395"/>
      <c r="GH160" s="395"/>
      <c r="GI160" s="395"/>
      <c r="GJ160" s="395"/>
      <c r="GK160" s="395"/>
      <c r="GL160" s="395"/>
      <c r="GM160" s="395"/>
      <c r="GN160" s="395"/>
      <c r="GO160" s="395"/>
      <c r="GP160" s="395"/>
      <c r="GQ160" s="395"/>
      <c r="GR160" s="395"/>
      <c r="GS160" s="395"/>
      <c r="GT160" s="395"/>
      <c r="GU160" s="395"/>
      <c r="GV160" s="395"/>
      <c r="GW160" s="395"/>
      <c r="GX160" s="395"/>
      <c r="GY160" s="395"/>
      <c r="GZ160" s="395"/>
      <c r="HA160" s="395"/>
      <c r="HB160" s="395"/>
      <c r="HC160" s="395"/>
      <c r="HD160" s="395"/>
      <c r="HE160" s="395"/>
      <c r="HF160" s="395"/>
      <c r="HG160" s="395"/>
      <c r="HH160" s="395"/>
      <c r="HI160" s="395"/>
      <c r="HJ160" s="395"/>
      <c r="HK160" s="395"/>
      <c r="HL160" s="395"/>
      <c r="HM160" s="395"/>
      <c r="HN160" s="395"/>
      <c r="HO160" s="395"/>
      <c r="HP160" s="395"/>
      <c r="HQ160" s="395"/>
      <c r="HR160" s="395"/>
    </row>
    <row r="161" spans="1:226" s="866" customFormat="1" x14ac:dyDescent="0.25">
      <c r="A161" s="395"/>
      <c r="B161" s="395"/>
      <c r="C161" s="395"/>
      <c r="D161" s="395"/>
      <c r="E161" s="395"/>
      <c r="F161" s="395"/>
      <c r="G161" s="395"/>
      <c r="H161" s="395"/>
      <c r="I161" s="395"/>
      <c r="J161" s="395"/>
      <c r="K161" s="395"/>
      <c r="L161" s="395"/>
      <c r="M161" s="395"/>
      <c r="N161" s="395"/>
      <c r="O161" s="395"/>
      <c r="P161" s="395"/>
      <c r="Q161" s="395"/>
      <c r="R161" s="395"/>
      <c r="S161" s="395"/>
      <c r="T161" s="395"/>
      <c r="U161" s="395"/>
      <c r="V161" s="1608"/>
      <c r="W161" s="395"/>
      <c r="X161" s="395"/>
      <c r="Y161" s="395"/>
      <c r="Z161" s="2140"/>
      <c r="AA161" s="395"/>
      <c r="AB161" s="395"/>
      <c r="AC161" s="395"/>
      <c r="AD161" s="395"/>
      <c r="AE161" s="395"/>
      <c r="AF161" s="395"/>
      <c r="AG161" s="395"/>
      <c r="AH161" s="395"/>
      <c r="AI161" s="395"/>
      <c r="AJ161" s="395"/>
      <c r="AK161" s="395"/>
      <c r="AL161" s="395"/>
      <c r="AM161" s="395"/>
      <c r="AN161" s="395"/>
      <c r="AO161" s="395"/>
      <c r="AP161" s="395"/>
      <c r="AQ161" s="395"/>
      <c r="AR161" s="395"/>
      <c r="AS161" s="395"/>
      <c r="AT161" s="395"/>
      <c r="AU161" s="395"/>
      <c r="AV161" s="395"/>
      <c r="AW161" s="395"/>
      <c r="AX161" s="395"/>
      <c r="AY161" s="395"/>
      <c r="AZ161" s="395"/>
      <c r="BA161" s="395"/>
      <c r="BB161" s="395"/>
      <c r="BC161" s="395"/>
      <c r="BD161" s="395"/>
      <c r="BE161" s="395"/>
      <c r="BF161" s="395"/>
      <c r="BG161" s="395"/>
      <c r="BH161" s="395"/>
      <c r="BI161" s="395"/>
      <c r="BJ161" s="395"/>
      <c r="BK161" s="395"/>
      <c r="BL161" s="395"/>
      <c r="BM161" s="395"/>
      <c r="BN161" s="395"/>
      <c r="BO161" s="395"/>
      <c r="BP161" s="395"/>
      <c r="BQ161" s="395"/>
      <c r="BR161" s="395"/>
      <c r="BS161" s="395"/>
      <c r="BT161" s="395"/>
      <c r="BU161" s="395"/>
      <c r="BV161" s="395"/>
      <c r="BW161" s="395"/>
      <c r="BX161" s="395"/>
      <c r="BY161" s="395"/>
      <c r="BZ161" s="395"/>
      <c r="CA161" s="395"/>
      <c r="CB161" s="395"/>
      <c r="CC161" s="395"/>
      <c r="CD161" s="395"/>
      <c r="CE161" s="395"/>
      <c r="CF161" s="395"/>
      <c r="CG161" s="395"/>
      <c r="CH161" s="395"/>
      <c r="CI161" s="395"/>
      <c r="CJ161" s="395"/>
      <c r="CK161" s="395"/>
      <c r="CL161" s="395"/>
      <c r="CM161" s="395"/>
      <c r="CN161" s="395"/>
      <c r="CO161" s="395"/>
      <c r="CP161" s="395"/>
      <c r="CQ161" s="395"/>
      <c r="CR161" s="395"/>
      <c r="CS161" s="395"/>
      <c r="CT161" s="395"/>
      <c r="CU161" s="395"/>
      <c r="CV161" s="395"/>
      <c r="CW161" s="395"/>
      <c r="CX161" s="395"/>
      <c r="CY161" s="395"/>
      <c r="CZ161" s="395"/>
      <c r="DA161" s="395"/>
      <c r="DB161" s="395"/>
      <c r="DC161" s="395"/>
      <c r="DD161" s="395"/>
      <c r="DE161" s="395"/>
      <c r="DF161" s="395"/>
      <c r="DG161" s="395"/>
      <c r="DH161" s="395"/>
      <c r="DI161" s="395"/>
      <c r="DJ161" s="395"/>
      <c r="DK161" s="395"/>
      <c r="DL161" s="395"/>
      <c r="DM161" s="395"/>
      <c r="DN161" s="395"/>
      <c r="DO161" s="395"/>
      <c r="DP161" s="395"/>
      <c r="DQ161" s="395"/>
      <c r="DR161" s="395"/>
      <c r="DS161" s="395"/>
      <c r="DT161" s="395"/>
      <c r="DU161" s="395"/>
      <c r="DV161" s="395"/>
      <c r="DW161" s="395"/>
      <c r="DX161" s="395"/>
      <c r="DY161" s="395"/>
      <c r="DZ161" s="395"/>
      <c r="EA161" s="395"/>
      <c r="EB161" s="395"/>
      <c r="EC161" s="395"/>
      <c r="ED161" s="395"/>
      <c r="EE161" s="395"/>
      <c r="EF161" s="395"/>
      <c r="EG161" s="395"/>
      <c r="EH161" s="395"/>
      <c r="EI161" s="395"/>
      <c r="EJ161" s="395"/>
      <c r="EK161" s="395"/>
      <c r="EL161" s="395"/>
      <c r="EM161" s="395"/>
      <c r="EN161" s="395"/>
      <c r="EO161" s="395"/>
      <c r="EP161" s="395"/>
      <c r="EQ161" s="395"/>
      <c r="ER161" s="395"/>
      <c r="ES161" s="395"/>
      <c r="ET161" s="395"/>
      <c r="EU161" s="395"/>
      <c r="EV161" s="395"/>
      <c r="EW161" s="395"/>
      <c r="EX161" s="395"/>
      <c r="EY161" s="395"/>
      <c r="EZ161" s="395"/>
      <c r="FA161" s="395"/>
      <c r="FB161" s="395"/>
      <c r="FC161" s="395"/>
      <c r="FD161" s="395"/>
      <c r="FE161" s="395"/>
      <c r="FF161" s="395"/>
      <c r="FG161" s="395"/>
      <c r="FH161" s="395"/>
      <c r="FI161" s="395"/>
      <c r="FJ161" s="395"/>
      <c r="FK161" s="395"/>
      <c r="FL161" s="395"/>
      <c r="FM161" s="395"/>
      <c r="FN161" s="395"/>
      <c r="FO161" s="395"/>
      <c r="FP161" s="395"/>
      <c r="FQ161" s="395"/>
      <c r="FR161" s="395"/>
      <c r="FS161" s="395"/>
      <c r="FT161" s="395"/>
      <c r="FU161" s="395"/>
      <c r="FV161" s="395"/>
      <c r="FW161" s="395"/>
      <c r="FX161" s="395"/>
      <c r="FY161" s="395"/>
      <c r="FZ161" s="395"/>
      <c r="GA161" s="395"/>
      <c r="GB161" s="395"/>
      <c r="GC161" s="395"/>
      <c r="GD161" s="395"/>
      <c r="GE161" s="395"/>
      <c r="GF161" s="395"/>
      <c r="GG161" s="395"/>
      <c r="GH161" s="395"/>
      <c r="GI161" s="395"/>
      <c r="GJ161" s="395"/>
      <c r="GK161" s="395"/>
      <c r="GL161" s="395"/>
      <c r="GM161" s="395"/>
      <c r="GN161" s="395"/>
      <c r="GO161" s="395"/>
      <c r="GP161" s="395"/>
      <c r="GQ161" s="395"/>
      <c r="GR161" s="395"/>
      <c r="GS161" s="395"/>
      <c r="GT161" s="395"/>
      <c r="GU161" s="395"/>
      <c r="GV161" s="395"/>
      <c r="GW161" s="395"/>
      <c r="GX161" s="395"/>
      <c r="GY161" s="395"/>
      <c r="GZ161" s="395"/>
      <c r="HA161" s="395"/>
      <c r="HB161" s="395"/>
      <c r="HC161" s="395"/>
      <c r="HD161" s="395"/>
      <c r="HE161" s="395"/>
      <c r="HF161" s="395"/>
      <c r="HG161" s="395"/>
      <c r="HH161" s="395"/>
      <c r="HI161" s="395"/>
      <c r="HJ161" s="395"/>
      <c r="HK161" s="395"/>
      <c r="HL161" s="395"/>
      <c r="HM161" s="395"/>
      <c r="HN161" s="395"/>
      <c r="HO161" s="395"/>
      <c r="HP161" s="395"/>
      <c r="HQ161" s="395"/>
      <c r="HR161" s="395"/>
    </row>
    <row r="162" spans="1:226" s="866" customFormat="1" x14ac:dyDescent="0.25">
      <c r="A162" s="395"/>
      <c r="B162" s="395"/>
      <c r="C162" s="395"/>
      <c r="D162" s="395"/>
      <c r="E162" s="395"/>
      <c r="F162" s="395"/>
      <c r="G162" s="395"/>
      <c r="H162" s="395"/>
      <c r="I162" s="395"/>
      <c r="J162" s="395"/>
      <c r="K162" s="395"/>
      <c r="L162" s="395"/>
      <c r="M162" s="395"/>
      <c r="N162" s="395"/>
      <c r="O162" s="395"/>
      <c r="P162" s="395"/>
      <c r="Q162" s="395"/>
      <c r="R162" s="395"/>
      <c r="S162" s="395"/>
      <c r="T162" s="395"/>
      <c r="U162" s="395"/>
      <c r="V162" s="1608"/>
      <c r="W162" s="395"/>
      <c r="X162" s="395"/>
      <c r="Y162" s="395"/>
      <c r="Z162" s="2140"/>
      <c r="AA162" s="395"/>
      <c r="AB162" s="395"/>
      <c r="AC162" s="395"/>
      <c r="AD162" s="395"/>
      <c r="AE162" s="395"/>
      <c r="AF162" s="395"/>
      <c r="AG162" s="395"/>
      <c r="AH162" s="395"/>
      <c r="AI162" s="395"/>
      <c r="AJ162" s="395"/>
      <c r="AK162" s="395"/>
      <c r="AL162" s="395"/>
      <c r="AM162" s="395"/>
      <c r="AN162" s="395"/>
      <c r="AO162" s="395"/>
      <c r="AP162" s="395"/>
      <c r="AQ162" s="395"/>
      <c r="AR162" s="395"/>
      <c r="AS162" s="395"/>
      <c r="AT162" s="395"/>
      <c r="AU162" s="395"/>
      <c r="AV162" s="395"/>
      <c r="AW162" s="395"/>
      <c r="AX162" s="395"/>
      <c r="AY162" s="395"/>
      <c r="AZ162" s="395"/>
      <c r="BA162" s="395"/>
      <c r="BB162" s="395"/>
      <c r="BC162" s="395"/>
      <c r="BD162" s="395"/>
      <c r="BE162" s="395"/>
      <c r="BF162" s="395"/>
      <c r="BG162" s="395"/>
      <c r="BH162" s="395"/>
      <c r="BI162" s="395"/>
      <c r="BJ162" s="395"/>
      <c r="BK162" s="395"/>
      <c r="BL162" s="395"/>
      <c r="BM162" s="395"/>
      <c r="BN162" s="395"/>
      <c r="BO162" s="395"/>
      <c r="BP162" s="395"/>
      <c r="BQ162" s="395"/>
      <c r="BR162" s="395"/>
      <c r="BS162" s="395"/>
      <c r="BT162" s="395"/>
      <c r="BU162" s="395"/>
      <c r="BV162" s="395"/>
      <c r="BW162" s="395"/>
      <c r="BX162" s="395"/>
      <c r="BY162" s="395"/>
      <c r="BZ162" s="395"/>
      <c r="CA162" s="395"/>
      <c r="CB162" s="395"/>
      <c r="CC162" s="395"/>
      <c r="CD162" s="395"/>
      <c r="CE162" s="395"/>
      <c r="CF162" s="395"/>
      <c r="CG162" s="395"/>
      <c r="CH162" s="395"/>
      <c r="CI162" s="395"/>
      <c r="CJ162" s="395"/>
      <c r="CK162" s="395"/>
      <c r="CL162" s="395"/>
      <c r="CM162" s="395"/>
      <c r="CN162" s="395"/>
      <c r="CO162" s="395"/>
      <c r="CP162" s="395"/>
      <c r="CQ162" s="395"/>
      <c r="CR162" s="395"/>
      <c r="CS162" s="395"/>
      <c r="CT162" s="395"/>
      <c r="CU162" s="395"/>
      <c r="CV162" s="395"/>
      <c r="CW162" s="395"/>
      <c r="CX162" s="395"/>
      <c r="CY162" s="395"/>
      <c r="CZ162" s="395"/>
      <c r="DA162" s="395"/>
      <c r="DB162" s="395"/>
      <c r="DC162" s="395"/>
      <c r="DD162" s="395"/>
      <c r="DE162" s="395"/>
      <c r="DF162" s="395"/>
      <c r="DG162" s="395"/>
      <c r="DH162" s="395"/>
      <c r="DI162" s="395"/>
      <c r="DJ162" s="395"/>
      <c r="DK162" s="395"/>
      <c r="DL162" s="395"/>
      <c r="DM162" s="395"/>
      <c r="DN162" s="395"/>
      <c r="DO162" s="395"/>
      <c r="DP162" s="395"/>
      <c r="DQ162" s="395"/>
      <c r="DR162" s="395"/>
      <c r="DS162" s="395"/>
      <c r="DT162" s="395"/>
      <c r="DU162" s="395"/>
      <c r="DV162" s="395"/>
      <c r="DW162" s="395"/>
      <c r="DX162" s="395"/>
      <c r="DY162" s="395"/>
      <c r="DZ162" s="395"/>
      <c r="EA162" s="395"/>
      <c r="EB162" s="395"/>
      <c r="EC162" s="395"/>
      <c r="ED162" s="395"/>
      <c r="EE162" s="395"/>
      <c r="EF162" s="395"/>
      <c r="EG162" s="395"/>
      <c r="EH162" s="395"/>
      <c r="EI162" s="395"/>
      <c r="EJ162" s="395"/>
      <c r="EK162" s="395"/>
      <c r="EL162" s="395"/>
      <c r="EM162" s="395"/>
      <c r="EN162" s="395"/>
      <c r="EO162" s="395"/>
      <c r="EP162" s="395"/>
      <c r="EQ162" s="395"/>
      <c r="ER162" s="395"/>
      <c r="ES162" s="395"/>
      <c r="ET162" s="395"/>
      <c r="EU162" s="395"/>
      <c r="EV162" s="395"/>
      <c r="EW162" s="395"/>
      <c r="EX162" s="395"/>
      <c r="EY162" s="395"/>
      <c r="EZ162" s="395"/>
      <c r="FA162" s="395"/>
      <c r="FB162" s="395"/>
      <c r="FC162" s="395"/>
      <c r="FD162" s="395"/>
      <c r="FE162" s="395"/>
      <c r="FF162" s="395"/>
      <c r="FG162" s="395"/>
      <c r="FH162" s="395"/>
      <c r="FI162" s="395"/>
      <c r="FJ162" s="395"/>
      <c r="FK162" s="395"/>
      <c r="FL162" s="395"/>
      <c r="FM162" s="395"/>
      <c r="FN162" s="395"/>
      <c r="FO162" s="395"/>
      <c r="FP162" s="395"/>
      <c r="FQ162" s="395"/>
      <c r="FR162" s="395"/>
      <c r="FS162" s="395"/>
      <c r="FT162" s="395"/>
      <c r="FU162" s="395"/>
      <c r="FV162" s="395"/>
      <c r="FW162" s="395"/>
      <c r="FX162" s="395"/>
      <c r="FY162" s="395"/>
      <c r="FZ162" s="395"/>
      <c r="GA162" s="395"/>
      <c r="GB162" s="395"/>
      <c r="GC162" s="395"/>
      <c r="GD162" s="395"/>
      <c r="GE162" s="395"/>
      <c r="GF162" s="395"/>
      <c r="GG162" s="395"/>
      <c r="GH162" s="395"/>
      <c r="GI162" s="395"/>
      <c r="GJ162" s="395"/>
      <c r="GK162" s="395"/>
      <c r="GL162" s="395"/>
      <c r="GM162" s="395"/>
      <c r="GN162" s="395"/>
      <c r="GO162" s="395"/>
      <c r="GP162" s="395"/>
      <c r="GQ162" s="395"/>
      <c r="GR162" s="395"/>
      <c r="GS162" s="395"/>
      <c r="GT162" s="395"/>
      <c r="GU162" s="395"/>
      <c r="GV162" s="395"/>
      <c r="GW162" s="395"/>
      <c r="GX162" s="395"/>
      <c r="GY162" s="395"/>
      <c r="GZ162" s="395"/>
      <c r="HA162" s="395"/>
      <c r="HB162" s="395"/>
      <c r="HC162" s="395"/>
      <c r="HD162" s="395"/>
      <c r="HE162" s="395"/>
      <c r="HF162" s="395"/>
      <c r="HG162" s="395"/>
      <c r="HH162" s="395"/>
      <c r="HI162" s="395"/>
      <c r="HJ162" s="395"/>
      <c r="HK162" s="395"/>
      <c r="HL162" s="395"/>
      <c r="HM162" s="395"/>
      <c r="HN162" s="395"/>
      <c r="HO162" s="395"/>
      <c r="HP162" s="395"/>
      <c r="HQ162" s="395"/>
      <c r="HR162" s="395"/>
    </row>
    <row r="163" spans="1:226" s="866" customFormat="1" x14ac:dyDescent="0.25">
      <c r="A163" s="395"/>
      <c r="B163" s="395"/>
      <c r="C163" s="395"/>
      <c r="D163" s="395"/>
      <c r="E163" s="395"/>
      <c r="F163" s="395"/>
      <c r="G163" s="395"/>
      <c r="H163" s="395"/>
      <c r="I163" s="395"/>
      <c r="J163" s="395"/>
      <c r="K163" s="395"/>
      <c r="L163" s="395"/>
      <c r="M163" s="395"/>
      <c r="N163" s="395"/>
      <c r="O163" s="395"/>
      <c r="P163" s="395"/>
      <c r="Q163" s="395"/>
      <c r="R163" s="395"/>
      <c r="S163" s="395"/>
      <c r="T163" s="395"/>
      <c r="U163" s="395"/>
      <c r="V163" s="1608"/>
      <c r="W163" s="395"/>
      <c r="X163" s="395"/>
      <c r="Y163" s="395"/>
      <c r="Z163" s="2140"/>
      <c r="AA163" s="395"/>
      <c r="AB163" s="395"/>
      <c r="AC163" s="395"/>
      <c r="AD163" s="395"/>
      <c r="AE163" s="395"/>
      <c r="AF163" s="395"/>
      <c r="AG163" s="395"/>
      <c r="AH163" s="395"/>
      <c r="AI163" s="395"/>
      <c r="AJ163" s="395"/>
      <c r="AK163" s="395"/>
      <c r="AL163" s="395"/>
      <c r="AM163" s="395"/>
      <c r="AN163" s="395"/>
      <c r="AO163" s="395"/>
      <c r="AP163" s="395"/>
      <c r="AQ163" s="395"/>
      <c r="AR163" s="395"/>
      <c r="AS163" s="395"/>
      <c r="AT163" s="395"/>
      <c r="AU163" s="395"/>
      <c r="AV163" s="395"/>
      <c r="AW163" s="395"/>
      <c r="AX163" s="395"/>
      <c r="AY163" s="395"/>
      <c r="AZ163" s="395"/>
      <c r="BA163" s="395"/>
      <c r="BB163" s="395"/>
      <c r="BC163" s="395"/>
      <c r="BD163" s="395"/>
      <c r="BE163" s="395"/>
      <c r="BF163" s="395"/>
      <c r="BG163" s="395"/>
      <c r="BH163" s="395"/>
      <c r="BI163" s="395"/>
      <c r="BJ163" s="395"/>
      <c r="BK163" s="395"/>
      <c r="BL163" s="395"/>
      <c r="BM163" s="395"/>
      <c r="BN163" s="395"/>
      <c r="BO163" s="395"/>
      <c r="BP163" s="395"/>
      <c r="BQ163" s="395"/>
      <c r="BR163" s="395"/>
      <c r="BS163" s="395"/>
      <c r="BT163" s="395"/>
      <c r="BU163" s="395"/>
      <c r="BV163" s="395"/>
      <c r="BW163" s="395"/>
      <c r="BX163" s="395"/>
      <c r="BY163" s="395"/>
      <c r="BZ163" s="395"/>
      <c r="CA163" s="395"/>
      <c r="CB163" s="395"/>
      <c r="CC163" s="395"/>
      <c r="CD163" s="395"/>
      <c r="CE163" s="395"/>
      <c r="CF163" s="395"/>
      <c r="CG163" s="395"/>
      <c r="CH163" s="395"/>
      <c r="CI163" s="395"/>
      <c r="CJ163" s="395"/>
      <c r="CK163" s="395"/>
      <c r="CL163" s="395"/>
      <c r="CM163" s="395"/>
      <c r="CN163" s="395"/>
      <c r="CO163" s="395"/>
      <c r="CP163" s="395"/>
      <c r="CQ163" s="395"/>
      <c r="CR163" s="395"/>
      <c r="CS163" s="395"/>
      <c r="CT163" s="395"/>
      <c r="CU163" s="395"/>
      <c r="CV163" s="395"/>
      <c r="CW163" s="395"/>
      <c r="CX163" s="395"/>
      <c r="CY163" s="395"/>
      <c r="CZ163" s="395"/>
      <c r="DA163" s="395"/>
      <c r="DB163" s="395"/>
      <c r="DC163" s="395"/>
      <c r="DD163" s="395"/>
      <c r="DE163" s="395"/>
      <c r="DF163" s="395"/>
      <c r="DG163" s="395"/>
      <c r="DH163" s="395"/>
      <c r="DI163" s="395"/>
      <c r="DJ163" s="395"/>
      <c r="DK163" s="395"/>
      <c r="DL163" s="395"/>
      <c r="DM163" s="395"/>
      <c r="DN163" s="395"/>
      <c r="DO163" s="395"/>
      <c r="DP163" s="395"/>
      <c r="DQ163" s="395"/>
      <c r="DR163" s="395"/>
      <c r="DS163" s="395"/>
      <c r="DT163" s="395"/>
      <c r="DU163" s="395"/>
      <c r="DV163" s="395"/>
      <c r="DW163" s="395"/>
      <c r="DX163" s="395"/>
      <c r="DY163" s="395"/>
      <c r="DZ163" s="395"/>
      <c r="EA163" s="395"/>
      <c r="EB163" s="395"/>
      <c r="EC163" s="395"/>
      <c r="ED163" s="395"/>
      <c r="EE163" s="395"/>
      <c r="EF163" s="395"/>
      <c r="EG163" s="395"/>
      <c r="EH163" s="395"/>
      <c r="EI163" s="395"/>
      <c r="EJ163" s="395"/>
      <c r="EK163" s="395"/>
      <c r="EL163" s="395"/>
      <c r="EM163" s="395"/>
      <c r="EN163" s="395"/>
      <c r="EO163" s="395"/>
      <c r="EP163" s="395"/>
      <c r="EQ163" s="395"/>
      <c r="ER163" s="395"/>
      <c r="ES163" s="395"/>
      <c r="ET163" s="395"/>
      <c r="EU163" s="395"/>
      <c r="EV163" s="395"/>
      <c r="EW163" s="395"/>
      <c r="EX163" s="395"/>
      <c r="EY163" s="395"/>
      <c r="EZ163" s="395"/>
      <c r="FA163" s="395"/>
      <c r="FB163" s="395"/>
      <c r="FC163" s="395"/>
      <c r="FD163" s="395"/>
      <c r="FE163" s="395"/>
      <c r="FF163" s="395"/>
      <c r="FG163" s="395"/>
      <c r="FH163" s="395"/>
      <c r="FI163" s="395"/>
      <c r="FJ163" s="395"/>
      <c r="FK163" s="395"/>
      <c r="FL163" s="395"/>
      <c r="FM163" s="395"/>
      <c r="FN163" s="395"/>
      <c r="FO163" s="395"/>
      <c r="FP163" s="395"/>
      <c r="FQ163" s="395"/>
      <c r="FR163" s="395"/>
      <c r="FS163" s="395"/>
      <c r="FT163" s="395"/>
      <c r="FU163" s="395"/>
      <c r="FV163" s="395"/>
      <c r="FW163" s="395"/>
      <c r="FX163" s="395"/>
      <c r="FY163" s="395"/>
      <c r="FZ163" s="395"/>
      <c r="GA163" s="395"/>
      <c r="GB163" s="395"/>
      <c r="GC163" s="395"/>
      <c r="GD163" s="395"/>
      <c r="GE163" s="395"/>
      <c r="GF163" s="395"/>
      <c r="GG163" s="395"/>
      <c r="GH163" s="395"/>
      <c r="GI163" s="395"/>
      <c r="GJ163" s="395"/>
      <c r="GK163" s="395"/>
      <c r="GL163" s="395"/>
      <c r="GM163" s="395"/>
      <c r="GN163" s="395"/>
      <c r="GO163" s="395"/>
      <c r="GP163" s="395"/>
      <c r="GQ163" s="395"/>
      <c r="GR163" s="395"/>
      <c r="GS163" s="395"/>
      <c r="GT163" s="395"/>
      <c r="GU163" s="395"/>
      <c r="GV163" s="395"/>
      <c r="GW163" s="395"/>
      <c r="GX163" s="395"/>
      <c r="GY163" s="395"/>
      <c r="GZ163" s="395"/>
      <c r="HA163" s="395"/>
      <c r="HB163" s="395"/>
      <c r="HC163" s="395"/>
      <c r="HD163" s="395"/>
      <c r="HE163" s="395"/>
      <c r="HF163" s="395"/>
      <c r="HG163" s="395"/>
      <c r="HH163" s="395"/>
      <c r="HI163" s="395"/>
      <c r="HJ163" s="395"/>
      <c r="HK163" s="395"/>
      <c r="HL163" s="395"/>
      <c r="HM163" s="395"/>
      <c r="HN163" s="395"/>
      <c r="HO163" s="395"/>
      <c r="HP163" s="395"/>
      <c r="HQ163" s="395"/>
      <c r="HR163" s="395"/>
    </row>
    <row r="164" spans="1:226" s="866" customFormat="1" x14ac:dyDescent="0.25">
      <c r="A164" s="395"/>
      <c r="B164" s="395"/>
      <c r="C164" s="395"/>
      <c r="D164" s="395"/>
      <c r="E164" s="395"/>
      <c r="F164" s="395"/>
      <c r="G164" s="395"/>
      <c r="H164" s="395"/>
      <c r="I164" s="395"/>
      <c r="J164" s="395"/>
      <c r="K164" s="395"/>
      <c r="L164" s="395"/>
      <c r="M164" s="395"/>
      <c r="N164" s="395"/>
      <c r="O164" s="395"/>
      <c r="P164" s="395"/>
      <c r="Q164" s="395"/>
      <c r="R164" s="395"/>
      <c r="S164" s="395"/>
      <c r="T164" s="395"/>
      <c r="U164" s="395"/>
      <c r="V164" s="1608"/>
      <c r="W164" s="395"/>
      <c r="X164" s="395"/>
      <c r="Y164" s="395"/>
      <c r="Z164" s="2140"/>
      <c r="AA164" s="395"/>
      <c r="AB164" s="395"/>
      <c r="AC164" s="395"/>
      <c r="AD164" s="395"/>
      <c r="AE164" s="395"/>
      <c r="AF164" s="395"/>
      <c r="AG164" s="395"/>
      <c r="AH164" s="395"/>
      <c r="AI164" s="395"/>
      <c r="AJ164" s="395"/>
      <c r="AK164" s="395"/>
      <c r="AL164" s="395"/>
      <c r="AM164" s="395"/>
      <c r="AN164" s="395"/>
      <c r="AO164" s="395"/>
      <c r="AP164" s="395"/>
      <c r="AQ164" s="395"/>
      <c r="AR164" s="395"/>
      <c r="AS164" s="395"/>
      <c r="AT164" s="395"/>
      <c r="AU164" s="395"/>
      <c r="AV164" s="395"/>
      <c r="AW164" s="395"/>
      <c r="AX164" s="395"/>
      <c r="AY164" s="395"/>
      <c r="AZ164" s="395"/>
      <c r="BA164" s="395"/>
      <c r="BB164" s="395"/>
      <c r="BC164" s="395"/>
      <c r="BD164" s="395"/>
      <c r="BE164" s="395"/>
      <c r="BF164" s="395"/>
      <c r="BG164" s="395"/>
      <c r="BH164" s="395"/>
      <c r="BI164" s="395"/>
      <c r="BJ164" s="395"/>
      <c r="BK164" s="395"/>
      <c r="BL164" s="395"/>
      <c r="BM164" s="395"/>
      <c r="BN164" s="395"/>
      <c r="BO164" s="395"/>
      <c r="BP164" s="395"/>
      <c r="BQ164" s="395"/>
      <c r="BR164" s="395"/>
      <c r="BS164" s="395"/>
      <c r="BT164" s="395"/>
      <c r="BU164" s="395"/>
      <c r="BV164" s="395"/>
      <c r="BW164" s="395"/>
      <c r="BX164" s="395"/>
      <c r="BY164" s="395"/>
      <c r="BZ164" s="395"/>
      <c r="CA164" s="395"/>
      <c r="CB164" s="395"/>
      <c r="CC164" s="395"/>
      <c r="CD164" s="395"/>
      <c r="CE164" s="395"/>
      <c r="CF164" s="395"/>
      <c r="CG164" s="395"/>
      <c r="CH164" s="395"/>
      <c r="CI164" s="395"/>
      <c r="CJ164" s="395"/>
      <c r="CK164" s="395"/>
      <c r="CL164" s="395"/>
      <c r="CM164" s="395"/>
      <c r="CN164" s="395"/>
      <c r="CO164" s="395"/>
      <c r="CP164" s="395"/>
      <c r="CQ164" s="395"/>
      <c r="CR164" s="395"/>
      <c r="CS164" s="395"/>
      <c r="CT164" s="395"/>
      <c r="CU164" s="395"/>
      <c r="CV164" s="395"/>
      <c r="CW164" s="395"/>
      <c r="CX164" s="395"/>
      <c r="CY164" s="395"/>
      <c r="CZ164" s="395"/>
      <c r="DA164" s="395"/>
      <c r="DB164" s="395"/>
      <c r="DC164" s="395"/>
      <c r="DD164" s="395"/>
      <c r="DE164" s="395"/>
      <c r="DF164" s="395"/>
      <c r="DG164" s="395"/>
      <c r="DH164" s="395"/>
      <c r="DI164" s="395"/>
      <c r="DJ164" s="395"/>
      <c r="DK164" s="395"/>
      <c r="DL164" s="395"/>
      <c r="DM164" s="395"/>
      <c r="DN164" s="395"/>
      <c r="DO164" s="395"/>
      <c r="DP164" s="395"/>
      <c r="DQ164" s="395"/>
      <c r="DR164" s="395"/>
      <c r="DS164" s="395"/>
      <c r="DT164" s="395"/>
      <c r="DU164" s="395"/>
      <c r="DV164" s="395"/>
      <c r="DW164" s="395"/>
      <c r="DX164" s="395"/>
      <c r="DY164" s="395"/>
      <c r="DZ164" s="395"/>
      <c r="EA164" s="395"/>
      <c r="EB164" s="395"/>
      <c r="EC164" s="395"/>
      <c r="ED164" s="395"/>
      <c r="EE164" s="395"/>
      <c r="EF164" s="395"/>
      <c r="EG164" s="395"/>
      <c r="EH164" s="395"/>
      <c r="EI164" s="395"/>
      <c r="EJ164" s="395"/>
      <c r="EK164" s="395"/>
      <c r="EL164" s="395"/>
      <c r="EM164" s="395"/>
      <c r="EN164" s="395"/>
      <c r="EO164" s="395"/>
      <c r="EP164" s="395"/>
      <c r="EQ164" s="395"/>
      <c r="ER164" s="395"/>
      <c r="ES164" s="395"/>
      <c r="ET164" s="395"/>
      <c r="EU164" s="395"/>
      <c r="EV164" s="395"/>
      <c r="EW164" s="395"/>
      <c r="EX164" s="395"/>
      <c r="EY164" s="395"/>
      <c r="EZ164" s="395"/>
      <c r="FA164" s="395"/>
      <c r="FB164" s="395"/>
      <c r="FC164" s="395"/>
      <c r="FD164" s="395"/>
      <c r="FE164" s="395"/>
      <c r="FF164" s="395"/>
      <c r="FG164" s="395"/>
      <c r="FH164" s="395"/>
      <c r="FI164" s="395"/>
      <c r="FJ164" s="395"/>
      <c r="FK164" s="395"/>
      <c r="FL164" s="395"/>
      <c r="FM164" s="395"/>
      <c r="FN164" s="395"/>
      <c r="FO164" s="395"/>
      <c r="FP164" s="395"/>
      <c r="FQ164" s="395"/>
      <c r="FR164" s="395"/>
      <c r="FS164" s="395"/>
      <c r="FT164" s="395"/>
      <c r="FU164" s="395"/>
      <c r="FV164" s="395"/>
      <c r="FW164" s="395"/>
      <c r="FX164" s="395"/>
      <c r="FY164" s="395"/>
      <c r="FZ164" s="395"/>
      <c r="GA164" s="395"/>
      <c r="GB164" s="395"/>
      <c r="GC164" s="395"/>
      <c r="GD164" s="395"/>
      <c r="GE164" s="395"/>
      <c r="GF164" s="395"/>
      <c r="GG164" s="395"/>
      <c r="GH164" s="395"/>
      <c r="GI164" s="395"/>
      <c r="GJ164" s="395"/>
      <c r="GK164" s="395"/>
      <c r="GL164" s="395"/>
      <c r="GM164" s="395"/>
      <c r="GN164" s="395"/>
      <c r="GO164" s="395"/>
      <c r="GP164" s="395"/>
      <c r="GQ164" s="395"/>
      <c r="GR164" s="395"/>
      <c r="GS164" s="395"/>
      <c r="GT164" s="395"/>
      <c r="GU164" s="395"/>
      <c r="GV164" s="395"/>
      <c r="GW164" s="395"/>
      <c r="GX164" s="395"/>
      <c r="GY164" s="395"/>
      <c r="GZ164" s="395"/>
      <c r="HA164" s="395"/>
      <c r="HB164" s="395"/>
      <c r="HC164" s="395"/>
      <c r="HD164" s="395"/>
      <c r="HE164" s="395"/>
      <c r="HF164" s="395"/>
      <c r="HG164" s="395"/>
      <c r="HH164" s="395"/>
      <c r="HI164" s="395"/>
      <c r="HJ164" s="395"/>
      <c r="HK164" s="395"/>
      <c r="HL164" s="395"/>
      <c r="HM164" s="395"/>
      <c r="HN164" s="395"/>
      <c r="HO164" s="395"/>
      <c r="HP164" s="395"/>
      <c r="HQ164" s="395"/>
      <c r="HR164" s="395"/>
    </row>
    <row r="165" spans="1:226" s="866" customFormat="1" x14ac:dyDescent="0.25">
      <c r="A165" s="395"/>
      <c r="B165" s="395"/>
      <c r="C165" s="395"/>
      <c r="D165" s="395"/>
      <c r="E165" s="395"/>
      <c r="F165" s="395"/>
      <c r="G165" s="395"/>
      <c r="H165" s="395"/>
      <c r="I165" s="395"/>
      <c r="J165" s="395"/>
      <c r="K165" s="395"/>
      <c r="L165" s="395"/>
      <c r="M165" s="395"/>
      <c r="N165" s="395"/>
      <c r="O165" s="395"/>
      <c r="P165" s="395"/>
      <c r="Q165" s="395"/>
      <c r="R165" s="395"/>
      <c r="S165" s="395"/>
      <c r="T165" s="395"/>
      <c r="U165" s="395"/>
      <c r="V165" s="1608"/>
      <c r="W165" s="395"/>
      <c r="X165" s="395"/>
      <c r="Y165" s="395"/>
      <c r="Z165" s="2140"/>
      <c r="AA165" s="395"/>
      <c r="AB165" s="395"/>
      <c r="AC165" s="395"/>
      <c r="AD165" s="395"/>
      <c r="AE165" s="395"/>
      <c r="AF165" s="395"/>
      <c r="AG165" s="395"/>
      <c r="AH165" s="395"/>
      <c r="AI165" s="395"/>
      <c r="AJ165" s="395"/>
      <c r="AK165" s="395"/>
      <c r="AL165" s="395"/>
      <c r="AM165" s="395"/>
      <c r="AN165" s="395"/>
      <c r="AO165" s="395"/>
      <c r="AP165" s="395"/>
      <c r="AQ165" s="395"/>
      <c r="AR165" s="395"/>
      <c r="AS165" s="395"/>
      <c r="AT165" s="395"/>
      <c r="AU165" s="395"/>
      <c r="AV165" s="395"/>
      <c r="AW165" s="395"/>
      <c r="AX165" s="395"/>
      <c r="AY165" s="395"/>
      <c r="AZ165" s="395"/>
      <c r="BA165" s="395"/>
      <c r="BB165" s="395"/>
      <c r="BC165" s="395"/>
      <c r="BD165" s="395"/>
      <c r="BE165" s="395"/>
      <c r="BF165" s="395"/>
      <c r="BG165" s="395"/>
      <c r="BH165" s="395"/>
      <c r="BI165" s="395"/>
      <c r="BJ165" s="395"/>
      <c r="BK165" s="395"/>
      <c r="BL165" s="395"/>
      <c r="BM165" s="395"/>
      <c r="BN165" s="395"/>
      <c r="BO165" s="395"/>
      <c r="BP165" s="395"/>
      <c r="BQ165" s="395"/>
      <c r="BR165" s="395"/>
      <c r="BS165" s="395"/>
      <c r="BT165" s="395"/>
      <c r="BU165" s="395"/>
      <c r="BV165" s="395"/>
      <c r="BW165" s="395"/>
      <c r="BX165" s="395"/>
      <c r="BY165" s="395"/>
      <c r="BZ165" s="395"/>
      <c r="CA165" s="395"/>
      <c r="CB165" s="395"/>
      <c r="CC165" s="395"/>
      <c r="CD165" s="395"/>
      <c r="CE165" s="395"/>
      <c r="CF165" s="395"/>
      <c r="CG165" s="395"/>
      <c r="CH165" s="395"/>
      <c r="CI165" s="395"/>
      <c r="CJ165" s="395"/>
      <c r="CK165" s="395"/>
      <c r="CL165" s="395"/>
      <c r="CM165" s="395"/>
      <c r="CN165" s="395"/>
      <c r="CO165" s="395"/>
      <c r="CP165" s="395"/>
      <c r="CQ165" s="395"/>
      <c r="CR165" s="395"/>
      <c r="CS165" s="395"/>
      <c r="CT165" s="395"/>
      <c r="CU165" s="395"/>
      <c r="CV165" s="395"/>
      <c r="CW165" s="395"/>
      <c r="CX165" s="395"/>
      <c r="CY165" s="395"/>
      <c r="CZ165" s="395"/>
      <c r="DA165" s="395"/>
      <c r="DB165" s="395"/>
      <c r="DC165" s="395"/>
      <c r="DD165" s="395"/>
      <c r="DE165" s="395"/>
      <c r="DF165" s="395"/>
      <c r="DG165" s="395"/>
      <c r="DH165" s="395"/>
      <c r="DI165" s="395"/>
      <c r="DJ165" s="395"/>
      <c r="DK165" s="395"/>
      <c r="DL165" s="395"/>
      <c r="DM165" s="395"/>
      <c r="DN165" s="395"/>
      <c r="DO165" s="395"/>
      <c r="DP165" s="395"/>
      <c r="DQ165" s="395"/>
      <c r="DR165" s="395"/>
      <c r="DS165" s="395"/>
      <c r="DT165" s="395"/>
      <c r="DU165" s="395"/>
      <c r="DV165" s="395"/>
      <c r="DW165" s="395"/>
      <c r="DX165" s="395"/>
      <c r="DY165" s="395"/>
      <c r="DZ165" s="395"/>
      <c r="EA165" s="395"/>
      <c r="EB165" s="395"/>
      <c r="EC165" s="395"/>
      <c r="ED165" s="395"/>
      <c r="EE165" s="395"/>
      <c r="EF165" s="395"/>
      <c r="EG165" s="395"/>
      <c r="EH165" s="395"/>
      <c r="EI165" s="395"/>
      <c r="EJ165" s="395"/>
      <c r="EK165" s="395"/>
      <c r="EL165" s="395"/>
      <c r="EM165" s="395"/>
      <c r="EN165" s="395"/>
      <c r="EO165" s="395"/>
      <c r="EP165" s="395"/>
      <c r="EQ165" s="395"/>
      <c r="ER165" s="395"/>
      <c r="ES165" s="395"/>
      <c r="ET165" s="395"/>
      <c r="EU165" s="395"/>
      <c r="EV165" s="395"/>
      <c r="EW165" s="395"/>
      <c r="EX165" s="395"/>
      <c r="EY165" s="395"/>
      <c r="EZ165" s="395"/>
      <c r="FA165" s="395"/>
      <c r="FB165" s="395"/>
      <c r="FC165" s="395"/>
      <c r="FD165" s="395"/>
      <c r="FE165" s="395"/>
      <c r="FF165" s="395"/>
      <c r="FG165" s="395"/>
      <c r="FH165" s="395"/>
      <c r="FI165" s="395"/>
      <c r="FJ165" s="395"/>
      <c r="FK165" s="395"/>
      <c r="FL165" s="395"/>
      <c r="FM165" s="395"/>
      <c r="FN165" s="395"/>
      <c r="FO165" s="395"/>
      <c r="FP165" s="395"/>
      <c r="FQ165" s="395"/>
      <c r="FR165" s="395"/>
      <c r="FS165" s="395"/>
      <c r="FT165" s="395"/>
      <c r="FU165" s="395"/>
      <c r="FV165" s="395"/>
      <c r="FW165" s="395"/>
      <c r="FX165" s="395"/>
      <c r="FY165" s="395"/>
      <c r="FZ165" s="395"/>
      <c r="GA165" s="395"/>
      <c r="GB165" s="395"/>
      <c r="GC165" s="395"/>
      <c r="GD165" s="395"/>
      <c r="GE165" s="395"/>
      <c r="GF165" s="395"/>
      <c r="GG165" s="395"/>
      <c r="GH165" s="395"/>
      <c r="GI165" s="395"/>
      <c r="GJ165" s="395"/>
      <c r="GK165" s="395"/>
      <c r="GL165" s="395"/>
      <c r="GM165" s="395"/>
      <c r="GN165" s="395"/>
      <c r="GO165" s="395"/>
      <c r="GP165" s="395"/>
      <c r="GQ165" s="395"/>
      <c r="GR165" s="395"/>
      <c r="GS165" s="395"/>
      <c r="GT165" s="395"/>
      <c r="GU165" s="395"/>
      <c r="GV165" s="395"/>
      <c r="GW165" s="395"/>
      <c r="GX165" s="395"/>
      <c r="GY165" s="395"/>
      <c r="GZ165" s="395"/>
      <c r="HA165" s="395"/>
      <c r="HB165" s="395"/>
      <c r="HC165" s="395"/>
      <c r="HD165" s="395"/>
      <c r="HE165" s="395"/>
      <c r="HF165" s="395"/>
      <c r="HG165" s="395"/>
      <c r="HH165" s="395"/>
      <c r="HI165" s="395"/>
      <c r="HJ165" s="395"/>
      <c r="HK165" s="395"/>
      <c r="HL165" s="395"/>
      <c r="HM165" s="395"/>
      <c r="HN165" s="395"/>
      <c r="HO165" s="395"/>
      <c r="HP165" s="395"/>
      <c r="HQ165" s="395"/>
      <c r="HR165" s="395"/>
    </row>
    <row r="166" spans="1:226" s="866" customFormat="1" x14ac:dyDescent="0.25">
      <c r="A166" s="395"/>
      <c r="B166" s="395"/>
      <c r="C166" s="395"/>
      <c r="D166" s="395"/>
      <c r="E166" s="395"/>
      <c r="F166" s="395"/>
      <c r="G166" s="395"/>
      <c r="H166" s="395"/>
      <c r="I166" s="395"/>
      <c r="J166" s="395"/>
      <c r="K166" s="395"/>
      <c r="L166" s="395"/>
      <c r="M166" s="395"/>
      <c r="N166" s="395"/>
      <c r="O166" s="395"/>
      <c r="P166" s="395"/>
      <c r="Q166" s="395"/>
      <c r="R166" s="395"/>
      <c r="S166" s="395"/>
      <c r="T166" s="395"/>
      <c r="U166" s="395"/>
      <c r="V166" s="1608"/>
      <c r="W166" s="395"/>
      <c r="X166" s="395"/>
      <c r="Y166" s="395"/>
      <c r="Z166" s="2140"/>
      <c r="AA166" s="395"/>
      <c r="AB166" s="395"/>
      <c r="AC166" s="395"/>
      <c r="AD166" s="395"/>
      <c r="AE166" s="395"/>
      <c r="AF166" s="395"/>
      <c r="AG166" s="395"/>
      <c r="AH166" s="395"/>
      <c r="AI166" s="395"/>
      <c r="AJ166" s="395"/>
      <c r="AK166" s="395"/>
      <c r="AL166" s="395"/>
      <c r="AM166" s="395"/>
      <c r="AN166" s="395"/>
      <c r="AO166" s="395"/>
      <c r="AP166" s="395"/>
      <c r="AQ166" s="395"/>
      <c r="AR166" s="395"/>
      <c r="AS166" s="395"/>
      <c r="AT166" s="395"/>
      <c r="AU166" s="395"/>
      <c r="AV166" s="395"/>
      <c r="AW166" s="395"/>
      <c r="AX166" s="395"/>
      <c r="AY166" s="395"/>
      <c r="AZ166" s="395"/>
      <c r="BA166" s="395"/>
      <c r="BB166" s="395"/>
      <c r="BC166" s="395"/>
      <c r="BD166" s="395"/>
      <c r="BE166" s="395"/>
      <c r="BF166" s="395"/>
      <c r="BG166" s="395"/>
      <c r="BH166" s="395"/>
      <c r="BI166" s="395"/>
      <c r="BJ166" s="395"/>
      <c r="BK166" s="395"/>
      <c r="BL166" s="395"/>
      <c r="BM166" s="395"/>
      <c r="BN166" s="395"/>
      <c r="BO166" s="395"/>
      <c r="BP166" s="395"/>
      <c r="BQ166" s="395"/>
      <c r="BR166" s="395"/>
      <c r="BS166" s="395"/>
      <c r="BT166" s="395"/>
      <c r="BU166" s="395"/>
      <c r="BV166" s="395"/>
      <c r="BW166" s="395"/>
      <c r="BX166" s="395"/>
      <c r="BY166" s="395"/>
      <c r="BZ166" s="395"/>
      <c r="CA166" s="395"/>
      <c r="CB166" s="395"/>
      <c r="CC166" s="395"/>
      <c r="CD166" s="395"/>
      <c r="CE166" s="395"/>
      <c r="CF166" s="395"/>
      <c r="CG166" s="395"/>
      <c r="CH166" s="395"/>
      <c r="CI166" s="395"/>
      <c r="CJ166" s="395"/>
      <c r="CK166" s="395"/>
      <c r="CL166" s="395"/>
      <c r="CM166" s="395"/>
      <c r="CN166" s="395"/>
      <c r="CO166" s="395"/>
      <c r="CP166" s="395"/>
      <c r="CQ166" s="395"/>
      <c r="CR166" s="395"/>
      <c r="CS166" s="395"/>
      <c r="CT166" s="395"/>
      <c r="CU166" s="395"/>
      <c r="CV166" s="395"/>
      <c r="CW166" s="395"/>
      <c r="CX166" s="395"/>
      <c r="CY166" s="395"/>
      <c r="CZ166" s="395"/>
      <c r="DA166" s="395"/>
      <c r="DB166" s="395"/>
      <c r="DC166" s="395"/>
      <c r="DD166" s="395"/>
      <c r="DE166" s="395"/>
      <c r="DF166" s="395"/>
      <c r="DG166" s="395"/>
      <c r="DH166" s="395"/>
      <c r="DI166" s="395"/>
      <c r="DJ166" s="395"/>
      <c r="DK166" s="395"/>
      <c r="DL166" s="395"/>
      <c r="DM166" s="395"/>
      <c r="DN166" s="395"/>
      <c r="DO166" s="395"/>
      <c r="DP166" s="395"/>
      <c r="DQ166" s="395"/>
      <c r="DR166" s="395"/>
      <c r="DS166" s="395"/>
      <c r="DT166" s="395"/>
      <c r="DU166" s="395"/>
      <c r="DV166" s="395"/>
      <c r="DW166" s="395"/>
      <c r="DX166" s="395"/>
      <c r="DY166" s="395"/>
      <c r="DZ166" s="395"/>
      <c r="EA166" s="395"/>
      <c r="EB166" s="395"/>
      <c r="EC166" s="395"/>
      <c r="ED166" s="395"/>
      <c r="EE166" s="395"/>
      <c r="EF166" s="395"/>
      <c r="EG166" s="395"/>
      <c r="EH166" s="395"/>
      <c r="EI166" s="395"/>
      <c r="EJ166" s="395"/>
      <c r="EK166" s="395"/>
      <c r="EL166" s="395"/>
      <c r="EM166" s="395"/>
      <c r="EN166" s="395"/>
      <c r="EO166" s="395"/>
      <c r="EP166" s="395"/>
      <c r="EQ166" s="395"/>
      <c r="ER166" s="395"/>
      <c r="ES166" s="395"/>
      <c r="ET166" s="395"/>
      <c r="EU166" s="395"/>
      <c r="EV166" s="395"/>
      <c r="EW166" s="395"/>
      <c r="EX166" s="395"/>
      <c r="EY166" s="395"/>
      <c r="EZ166" s="395"/>
      <c r="FA166" s="395"/>
      <c r="FB166" s="395"/>
      <c r="FC166" s="395"/>
      <c r="FD166" s="395"/>
      <c r="FE166" s="395"/>
      <c r="FF166" s="395"/>
      <c r="FG166" s="395"/>
      <c r="FH166" s="395"/>
      <c r="FI166" s="395"/>
      <c r="FJ166" s="395"/>
      <c r="FK166" s="395"/>
      <c r="FL166" s="395"/>
      <c r="FM166" s="395"/>
      <c r="FN166" s="395"/>
      <c r="FO166" s="395"/>
      <c r="FP166" s="395"/>
      <c r="FQ166" s="395"/>
      <c r="FR166" s="395"/>
      <c r="FS166" s="395"/>
      <c r="FT166" s="395"/>
      <c r="FU166" s="395"/>
      <c r="FV166" s="395"/>
      <c r="FW166" s="395"/>
      <c r="FX166" s="395"/>
      <c r="FY166" s="395"/>
      <c r="FZ166" s="395"/>
      <c r="GA166" s="395"/>
      <c r="GB166" s="395"/>
      <c r="GC166" s="395"/>
      <c r="GD166" s="395"/>
      <c r="GE166" s="395"/>
      <c r="GF166" s="395"/>
      <c r="GG166" s="395"/>
      <c r="GH166" s="395"/>
      <c r="GI166" s="395"/>
      <c r="GJ166" s="395"/>
      <c r="GK166" s="395"/>
      <c r="GL166" s="395"/>
      <c r="GM166" s="395"/>
      <c r="GN166" s="395"/>
      <c r="GO166" s="395"/>
      <c r="GP166" s="395"/>
      <c r="GQ166" s="395"/>
      <c r="GR166" s="395"/>
      <c r="GS166" s="395"/>
      <c r="GT166" s="395"/>
      <c r="GU166" s="395"/>
      <c r="GV166" s="395"/>
      <c r="GW166" s="395"/>
      <c r="GX166" s="395"/>
      <c r="GY166" s="395"/>
      <c r="GZ166" s="395"/>
      <c r="HA166" s="395"/>
      <c r="HB166" s="395"/>
      <c r="HC166" s="395"/>
      <c r="HD166" s="395"/>
      <c r="HE166" s="395"/>
      <c r="HF166" s="395"/>
      <c r="HG166" s="395"/>
      <c r="HH166" s="395"/>
      <c r="HI166" s="395"/>
      <c r="HJ166" s="395"/>
      <c r="HK166" s="395"/>
      <c r="HL166" s="395"/>
      <c r="HM166" s="395"/>
      <c r="HN166" s="395"/>
      <c r="HO166" s="395"/>
      <c r="HP166" s="395"/>
      <c r="HQ166" s="395"/>
      <c r="HR166" s="395"/>
    </row>
    <row r="167" spans="1:226" s="866" customFormat="1" x14ac:dyDescent="0.25">
      <c r="A167" s="395"/>
      <c r="B167" s="395"/>
      <c r="C167" s="395"/>
      <c r="D167" s="395"/>
      <c r="E167" s="395"/>
      <c r="F167" s="395"/>
      <c r="G167" s="395"/>
      <c r="H167" s="395"/>
      <c r="I167" s="395"/>
      <c r="J167" s="395"/>
      <c r="K167" s="395"/>
      <c r="L167" s="395"/>
      <c r="M167" s="395"/>
      <c r="N167" s="395"/>
      <c r="O167" s="395"/>
      <c r="P167" s="395"/>
      <c r="Q167" s="395"/>
      <c r="R167" s="395"/>
      <c r="S167" s="395"/>
      <c r="T167" s="395"/>
      <c r="U167" s="395"/>
      <c r="V167" s="1608"/>
      <c r="W167" s="395"/>
      <c r="X167" s="395"/>
      <c r="Y167" s="395"/>
      <c r="Z167" s="2140"/>
      <c r="AA167" s="395"/>
      <c r="AB167" s="395"/>
      <c r="AC167" s="395"/>
      <c r="AD167" s="395"/>
      <c r="AE167" s="395"/>
      <c r="AF167" s="395"/>
      <c r="AG167" s="395"/>
      <c r="AH167" s="395"/>
      <c r="AI167" s="395"/>
      <c r="AJ167" s="395"/>
      <c r="AK167" s="395"/>
      <c r="AL167" s="395"/>
      <c r="AM167" s="395"/>
      <c r="AN167" s="395"/>
      <c r="AO167" s="395"/>
      <c r="AP167" s="395"/>
      <c r="AQ167" s="395"/>
      <c r="AR167" s="395"/>
      <c r="AS167" s="395"/>
      <c r="AT167" s="395"/>
      <c r="AU167" s="395"/>
      <c r="AV167" s="395"/>
      <c r="AW167" s="395"/>
      <c r="AX167" s="395"/>
      <c r="AY167" s="395"/>
      <c r="AZ167" s="395"/>
      <c r="BA167" s="395"/>
      <c r="BB167" s="395"/>
      <c r="BC167" s="395"/>
      <c r="BD167" s="395"/>
      <c r="BE167" s="395"/>
      <c r="BF167" s="395"/>
      <c r="BG167" s="395"/>
      <c r="BH167" s="395"/>
      <c r="BI167" s="395"/>
      <c r="BJ167" s="395"/>
      <c r="BK167" s="395"/>
      <c r="BL167" s="395"/>
      <c r="BM167" s="395"/>
      <c r="BN167" s="395"/>
      <c r="BO167" s="395"/>
      <c r="BP167" s="395"/>
      <c r="BQ167" s="395"/>
      <c r="BR167" s="395"/>
      <c r="BS167" s="395"/>
      <c r="BT167" s="395"/>
      <c r="BU167" s="395"/>
      <c r="BV167" s="395"/>
      <c r="BW167" s="395"/>
      <c r="BX167" s="395"/>
      <c r="BY167" s="395"/>
      <c r="BZ167" s="395"/>
      <c r="CA167" s="395"/>
      <c r="CB167" s="395"/>
      <c r="CC167" s="395"/>
      <c r="CD167" s="395"/>
      <c r="CE167" s="395"/>
      <c r="CF167" s="395"/>
      <c r="CG167" s="395"/>
      <c r="CH167" s="395"/>
      <c r="CI167" s="395"/>
      <c r="CJ167" s="395"/>
      <c r="CK167" s="395"/>
      <c r="CL167" s="395"/>
      <c r="CM167" s="395"/>
      <c r="CN167" s="395"/>
      <c r="CO167" s="395"/>
      <c r="CP167" s="395"/>
      <c r="CQ167" s="395"/>
      <c r="CR167" s="395"/>
      <c r="CS167" s="395"/>
      <c r="CT167" s="395"/>
      <c r="CU167" s="395"/>
      <c r="CV167" s="395"/>
      <c r="CW167" s="395"/>
      <c r="CX167" s="395"/>
      <c r="CY167" s="395"/>
      <c r="CZ167" s="395"/>
      <c r="DA167" s="395"/>
      <c r="DB167" s="395"/>
      <c r="DC167" s="395"/>
      <c r="DD167" s="395"/>
      <c r="DE167" s="395"/>
      <c r="DF167" s="395"/>
      <c r="DG167" s="395"/>
      <c r="DH167" s="395"/>
      <c r="DI167" s="395"/>
      <c r="DJ167" s="395"/>
      <c r="DK167" s="395"/>
      <c r="DL167" s="395"/>
      <c r="DM167" s="395"/>
      <c r="DN167" s="395"/>
      <c r="DO167" s="395"/>
      <c r="DP167" s="395"/>
      <c r="DQ167" s="395"/>
      <c r="DR167" s="395"/>
      <c r="DS167" s="395"/>
      <c r="DT167" s="395"/>
      <c r="DU167" s="395"/>
      <c r="DV167" s="395"/>
      <c r="DW167" s="395"/>
      <c r="DX167" s="395"/>
      <c r="DY167" s="395"/>
      <c r="DZ167" s="395"/>
      <c r="EA167" s="395"/>
      <c r="EB167" s="395"/>
      <c r="EC167" s="395"/>
      <c r="ED167" s="395"/>
      <c r="EE167" s="395"/>
      <c r="EF167" s="395"/>
      <c r="EG167" s="395"/>
      <c r="EH167" s="395"/>
      <c r="EI167" s="395"/>
      <c r="EJ167" s="395"/>
      <c r="EK167" s="395"/>
      <c r="EL167" s="395"/>
      <c r="EM167" s="395"/>
      <c r="EN167" s="395"/>
      <c r="EO167" s="395"/>
      <c r="EP167" s="395"/>
      <c r="EQ167" s="395"/>
      <c r="ER167" s="395"/>
      <c r="ES167" s="395"/>
      <c r="ET167" s="395"/>
      <c r="EU167" s="395"/>
      <c r="EV167" s="395"/>
      <c r="EW167" s="395"/>
      <c r="EX167" s="395"/>
      <c r="EY167" s="395"/>
      <c r="EZ167" s="395"/>
      <c r="FA167" s="395"/>
      <c r="FB167" s="395"/>
      <c r="FC167" s="395"/>
      <c r="FD167" s="395"/>
      <c r="FE167" s="395"/>
      <c r="FF167" s="395"/>
      <c r="FG167" s="395"/>
      <c r="FH167" s="395"/>
      <c r="FI167" s="395"/>
      <c r="FJ167" s="395"/>
      <c r="FK167" s="395"/>
      <c r="FL167" s="395"/>
      <c r="FM167" s="395"/>
      <c r="FN167" s="395"/>
      <c r="FO167" s="395"/>
      <c r="FP167" s="395"/>
      <c r="FQ167" s="395"/>
      <c r="FR167" s="395"/>
      <c r="FS167" s="395"/>
      <c r="FT167" s="395"/>
      <c r="FU167" s="395"/>
      <c r="FV167" s="395"/>
      <c r="FW167" s="395"/>
      <c r="FX167" s="395"/>
      <c r="FY167" s="395"/>
      <c r="FZ167" s="395"/>
      <c r="GA167" s="395"/>
      <c r="GB167" s="395"/>
      <c r="GC167" s="395"/>
      <c r="GD167" s="395"/>
      <c r="GE167" s="395"/>
      <c r="GF167" s="395"/>
      <c r="GG167" s="395"/>
      <c r="GH167" s="395"/>
      <c r="GI167" s="395"/>
      <c r="GJ167" s="395"/>
      <c r="GK167" s="395"/>
      <c r="GL167" s="395"/>
      <c r="GM167" s="395"/>
      <c r="GN167" s="395"/>
      <c r="GO167" s="395"/>
      <c r="GP167" s="395"/>
      <c r="GQ167" s="395"/>
      <c r="GR167" s="395"/>
      <c r="GS167" s="395"/>
      <c r="GT167" s="395"/>
      <c r="GU167" s="395"/>
      <c r="GV167" s="395"/>
      <c r="GW167" s="395"/>
      <c r="GX167" s="395"/>
      <c r="GY167" s="395"/>
      <c r="GZ167" s="395"/>
      <c r="HA167" s="395"/>
      <c r="HB167" s="395"/>
      <c r="HC167" s="395"/>
      <c r="HD167" s="395"/>
      <c r="HE167" s="395"/>
      <c r="HF167" s="395"/>
      <c r="HG167" s="395"/>
      <c r="HH167" s="395"/>
      <c r="HI167" s="395"/>
      <c r="HJ167" s="395"/>
      <c r="HK167" s="395"/>
      <c r="HL167" s="395"/>
      <c r="HM167" s="395"/>
      <c r="HN167" s="395"/>
      <c r="HO167" s="395"/>
      <c r="HP167" s="395"/>
      <c r="HQ167" s="395"/>
      <c r="HR167" s="395"/>
    </row>
    <row r="168" spans="1:226" s="866" customFormat="1" x14ac:dyDescent="0.25">
      <c r="A168" s="395"/>
      <c r="B168" s="395"/>
      <c r="C168" s="395"/>
      <c r="D168" s="395"/>
      <c r="E168" s="395"/>
      <c r="F168" s="395"/>
      <c r="G168" s="395"/>
      <c r="H168" s="395"/>
      <c r="I168" s="395"/>
      <c r="J168" s="395"/>
      <c r="K168" s="395"/>
      <c r="L168" s="395"/>
      <c r="M168" s="395"/>
      <c r="N168" s="395"/>
      <c r="O168" s="395"/>
      <c r="P168" s="395"/>
      <c r="Q168" s="395"/>
      <c r="R168" s="395"/>
      <c r="S168" s="395"/>
      <c r="T168" s="395"/>
      <c r="U168" s="395"/>
      <c r="V168" s="1608"/>
      <c r="W168" s="395"/>
      <c r="X168" s="395"/>
      <c r="Y168" s="395"/>
      <c r="Z168" s="2140"/>
      <c r="AA168" s="395"/>
      <c r="AB168" s="395"/>
      <c r="AC168" s="395"/>
      <c r="AD168" s="395"/>
      <c r="AE168" s="395"/>
      <c r="AF168" s="395"/>
      <c r="AG168" s="395"/>
      <c r="AH168" s="395"/>
      <c r="AI168" s="395"/>
      <c r="AJ168" s="395"/>
      <c r="AK168" s="395"/>
      <c r="AL168" s="395"/>
      <c r="AM168" s="395"/>
      <c r="AN168" s="395"/>
      <c r="AO168" s="395"/>
      <c r="AP168" s="395"/>
      <c r="AQ168" s="395"/>
      <c r="AR168" s="395"/>
      <c r="AS168" s="395"/>
      <c r="AT168" s="395"/>
      <c r="AU168" s="395"/>
      <c r="AV168" s="395"/>
      <c r="AW168" s="395"/>
      <c r="AX168" s="395"/>
      <c r="AY168" s="395"/>
      <c r="AZ168" s="395"/>
      <c r="BA168" s="395"/>
      <c r="BB168" s="395"/>
      <c r="BC168" s="395"/>
      <c r="BD168" s="395"/>
      <c r="BE168" s="395"/>
      <c r="BF168" s="395"/>
      <c r="BG168" s="395"/>
      <c r="BH168" s="395"/>
      <c r="BI168" s="395"/>
      <c r="BJ168" s="395"/>
      <c r="BK168" s="395"/>
      <c r="BL168" s="395"/>
      <c r="BM168" s="395"/>
      <c r="BN168" s="395"/>
      <c r="BO168" s="395"/>
      <c r="BP168" s="395"/>
      <c r="BQ168" s="395"/>
      <c r="BR168" s="395"/>
      <c r="BS168" s="395"/>
      <c r="BT168" s="395"/>
      <c r="BU168" s="395"/>
      <c r="BV168" s="395"/>
      <c r="BW168" s="395"/>
      <c r="BX168" s="395"/>
      <c r="BY168" s="395"/>
      <c r="BZ168" s="395"/>
      <c r="CA168" s="395"/>
      <c r="CB168" s="395"/>
      <c r="CC168" s="395"/>
      <c r="CD168" s="395"/>
      <c r="CE168" s="395"/>
      <c r="CF168" s="395"/>
      <c r="CG168" s="395"/>
      <c r="CH168" s="395"/>
      <c r="CI168" s="395"/>
      <c r="CJ168" s="395"/>
      <c r="CK168" s="395"/>
      <c r="CL168" s="395"/>
      <c r="CM168" s="395"/>
      <c r="CN168" s="395"/>
      <c r="CO168" s="395"/>
      <c r="CP168" s="395"/>
      <c r="CQ168" s="395"/>
      <c r="CR168" s="395"/>
      <c r="CS168" s="395"/>
      <c r="CT168" s="395"/>
      <c r="CU168" s="395"/>
      <c r="CV168" s="395"/>
      <c r="CW168" s="395"/>
      <c r="CX168" s="395"/>
      <c r="CY168" s="395"/>
      <c r="CZ168" s="395"/>
      <c r="DA168" s="395"/>
      <c r="DB168" s="395"/>
      <c r="DC168" s="395"/>
      <c r="DD168" s="395"/>
      <c r="DE168" s="395"/>
      <c r="DF168" s="395"/>
      <c r="DG168" s="395"/>
      <c r="DH168" s="395"/>
      <c r="DI168" s="395"/>
      <c r="DJ168" s="395"/>
      <c r="DK168" s="395"/>
      <c r="DL168" s="395"/>
      <c r="DM168" s="395"/>
      <c r="DN168" s="395"/>
      <c r="DO168" s="395"/>
      <c r="DP168" s="395"/>
      <c r="DQ168" s="395"/>
      <c r="DR168" s="395"/>
      <c r="DS168" s="395"/>
      <c r="DT168" s="395"/>
      <c r="DU168" s="395"/>
      <c r="DV168" s="395"/>
      <c r="DW168" s="395"/>
      <c r="DX168" s="395"/>
      <c r="DY168" s="395"/>
      <c r="DZ168" s="395"/>
      <c r="EA168" s="395"/>
      <c r="EB168" s="395"/>
      <c r="EC168" s="395"/>
      <c r="ED168" s="395"/>
      <c r="EE168" s="395"/>
      <c r="EF168" s="395"/>
      <c r="EG168" s="395"/>
      <c r="EH168" s="395"/>
      <c r="EI168" s="395"/>
      <c r="EJ168" s="395"/>
      <c r="EK168" s="395"/>
      <c r="EL168" s="395"/>
      <c r="EM168" s="395"/>
      <c r="EN168" s="395"/>
      <c r="EO168" s="395"/>
      <c r="EP168" s="395"/>
      <c r="EQ168" s="395"/>
      <c r="ER168" s="395"/>
      <c r="ES168" s="395"/>
      <c r="ET168" s="395"/>
      <c r="EU168" s="395"/>
      <c r="EV168" s="395"/>
      <c r="EW168" s="395"/>
      <c r="EX168" s="395"/>
      <c r="EY168" s="395"/>
      <c r="EZ168" s="395"/>
      <c r="FA168" s="395"/>
      <c r="FB168" s="395"/>
      <c r="FC168" s="395"/>
      <c r="FD168" s="395"/>
      <c r="FE168" s="395"/>
      <c r="FF168" s="395"/>
      <c r="FG168" s="395"/>
      <c r="FH168" s="395"/>
      <c r="FI168" s="395"/>
      <c r="FJ168" s="395"/>
      <c r="FK168" s="395"/>
      <c r="FL168" s="395"/>
      <c r="FM168" s="395"/>
      <c r="FN168" s="395"/>
      <c r="FO168" s="395"/>
      <c r="FP168" s="395"/>
      <c r="FQ168" s="395"/>
      <c r="FR168" s="395"/>
      <c r="FS168" s="395"/>
      <c r="FT168" s="395"/>
      <c r="FU168" s="395"/>
      <c r="FV168" s="395"/>
      <c r="FW168" s="395"/>
      <c r="FX168" s="395"/>
      <c r="FY168" s="395"/>
      <c r="FZ168" s="395"/>
      <c r="GA168" s="395"/>
      <c r="GB168" s="395"/>
      <c r="GC168" s="395"/>
      <c r="GD168" s="395"/>
      <c r="GE168" s="395"/>
      <c r="GF168" s="395"/>
      <c r="GG168" s="395"/>
      <c r="GH168" s="395"/>
      <c r="GI168" s="395"/>
      <c r="GJ168" s="395"/>
      <c r="GK168" s="395"/>
      <c r="GL168" s="395"/>
      <c r="GM168" s="395"/>
      <c r="GN168" s="395"/>
      <c r="GO168" s="395"/>
      <c r="GP168" s="395"/>
      <c r="GQ168" s="395"/>
      <c r="GR168" s="395"/>
      <c r="GS168" s="395"/>
      <c r="GT168" s="395"/>
      <c r="GU168" s="395"/>
      <c r="GV168" s="395"/>
      <c r="GW168" s="395"/>
      <c r="GX168" s="395"/>
      <c r="GY168" s="395"/>
      <c r="GZ168" s="395"/>
      <c r="HA168" s="395"/>
      <c r="HB168" s="395"/>
      <c r="HC168" s="395"/>
      <c r="HD168" s="395"/>
      <c r="HE168" s="395"/>
      <c r="HF168" s="395"/>
      <c r="HG168" s="395"/>
      <c r="HH168" s="395"/>
      <c r="HI168" s="395"/>
      <c r="HJ168" s="395"/>
      <c r="HK168" s="395"/>
      <c r="HL168" s="395"/>
      <c r="HM168" s="395"/>
      <c r="HN168" s="395"/>
      <c r="HO168" s="395"/>
      <c r="HP168" s="395"/>
      <c r="HQ168" s="395"/>
      <c r="HR168" s="395"/>
    </row>
    <row r="169" spans="1:226" s="866" customFormat="1" x14ac:dyDescent="0.25">
      <c r="A169" s="395"/>
      <c r="B169" s="395"/>
      <c r="C169" s="395"/>
      <c r="D169" s="395"/>
      <c r="E169" s="395"/>
      <c r="F169" s="395"/>
      <c r="G169" s="395"/>
      <c r="H169" s="395"/>
      <c r="I169" s="395"/>
      <c r="J169" s="395"/>
      <c r="K169" s="395"/>
      <c r="L169" s="395"/>
      <c r="M169" s="395"/>
      <c r="N169" s="395"/>
      <c r="O169" s="395"/>
      <c r="P169" s="395"/>
      <c r="Q169" s="395"/>
      <c r="R169" s="395"/>
      <c r="S169" s="395"/>
      <c r="T169" s="395"/>
      <c r="U169" s="395"/>
      <c r="V169" s="1608"/>
      <c r="W169" s="395"/>
      <c r="X169" s="395"/>
      <c r="Y169" s="395"/>
      <c r="Z169" s="2140"/>
      <c r="AA169" s="395"/>
      <c r="AB169" s="395"/>
      <c r="AC169" s="395"/>
      <c r="AD169" s="395"/>
      <c r="AE169" s="395"/>
      <c r="AF169" s="395"/>
      <c r="AG169" s="395"/>
      <c r="AH169" s="395"/>
      <c r="AI169" s="395"/>
      <c r="AJ169" s="395"/>
      <c r="AK169" s="395"/>
      <c r="AL169" s="395"/>
      <c r="AM169" s="395"/>
      <c r="AN169" s="395"/>
      <c r="AO169" s="395"/>
      <c r="AP169" s="395"/>
      <c r="AQ169" s="395"/>
      <c r="AR169" s="395"/>
      <c r="AS169" s="395"/>
      <c r="AT169" s="395"/>
      <c r="AU169" s="395"/>
      <c r="AV169" s="395"/>
      <c r="AW169" s="395"/>
      <c r="AX169" s="395"/>
      <c r="AY169" s="395"/>
      <c r="AZ169" s="395"/>
      <c r="BA169" s="395"/>
      <c r="BB169" s="395"/>
      <c r="BC169" s="395"/>
      <c r="BD169" s="395"/>
      <c r="BE169" s="395"/>
      <c r="BF169" s="395"/>
      <c r="BG169" s="395"/>
      <c r="BH169" s="395"/>
      <c r="BI169" s="395"/>
      <c r="BJ169" s="395"/>
      <c r="BK169" s="395"/>
      <c r="BL169" s="395"/>
      <c r="BM169" s="395"/>
      <c r="BN169" s="395"/>
      <c r="BO169" s="395"/>
      <c r="BP169" s="395"/>
      <c r="BQ169" s="395"/>
      <c r="BR169" s="395"/>
      <c r="BS169" s="395"/>
      <c r="BT169" s="395"/>
      <c r="BU169" s="395"/>
      <c r="BV169" s="395"/>
      <c r="BW169" s="395"/>
      <c r="BX169" s="395"/>
      <c r="BY169" s="395"/>
      <c r="BZ169" s="395"/>
      <c r="CA169" s="395"/>
      <c r="CB169" s="395"/>
      <c r="CC169" s="395"/>
      <c r="CD169" s="395"/>
      <c r="CE169" s="395"/>
      <c r="CF169" s="395"/>
      <c r="CG169" s="395"/>
      <c r="CH169" s="395"/>
      <c r="CI169" s="395"/>
      <c r="CJ169" s="395"/>
      <c r="CK169" s="395"/>
      <c r="CL169" s="395"/>
      <c r="CM169" s="395"/>
      <c r="CN169" s="395"/>
      <c r="CO169" s="395"/>
      <c r="CP169" s="395"/>
      <c r="CQ169" s="395"/>
      <c r="CR169" s="395"/>
      <c r="CS169" s="395"/>
      <c r="CT169" s="395"/>
      <c r="CU169" s="395"/>
      <c r="CV169" s="395"/>
      <c r="CW169" s="395"/>
      <c r="CX169" s="395"/>
      <c r="CY169" s="395"/>
      <c r="CZ169" s="395"/>
      <c r="DA169" s="395"/>
      <c r="DB169" s="395"/>
      <c r="DC169" s="395"/>
      <c r="DD169" s="395"/>
      <c r="DE169" s="395"/>
      <c r="DF169" s="395"/>
      <c r="DG169" s="395"/>
      <c r="DH169" s="395"/>
      <c r="DI169" s="395"/>
      <c r="DJ169" s="395"/>
      <c r="DK169" s="395"/>
      <c r="DL169" s="395"/>
      <c r="DM169" s="395"/>
      <c r="DN169" s="395"/>
      <c r="DO169" s="395"/>
      <c r="DP169" s="395"/>
      <c r="DQ169" s="395"/>
      <c r="DR169" s="395"/>
      <c r="DS169" s="395"/>
      <c r="DT169" s="395"/>
      <c r="DU169" s="395"/>
      <c r="DV169" s="395"/>
      <c r="DW169" s="395"/>
      <c r="DX169" s="395"/>
      <c r="DY169" s="395"/>
      <c r="DZ169" s="395"/>
      <c r="EA169" s="395"/>
      <c r="EB169" s="395"/>
      <c r="EC169" s="395"/>
      <c r="ED169" s="395"/>
      <c r="EE169" s="395"/>
      <c r="EF169" s="395"/>
      <c r="EG169" s="395"/>
      <c r="EH169" s="395"/>
      <c r="EI169" s="395"/>
      <c r="EJ169" s="395"/>
      <c r="EK169" s="395"/>
      <c r="EL169" s="395"/>
      <c r="EM169" s="395"/>
      <c r="EN169" s="395"/>
      <c r="EO169" s="395"/>
      <c r="EP169" s="395"/>
      <c r="EQ169" s="395"/>
      <c r="ER169" s="395"/>
      <c r="ES169" s="395"/>
      <c r="ET169" s="395"/>
      <c r="EU169" s="395"/>
      <c r="EV169" s="395"/>
      <c r="EW169" s="395"/>
      <c r="EX169" s="395"/>
      <c r="EY169" s="395"/>
      <c r="EZ169" s="395"/>
      <c r="FA169" s="395"/>
      <c r="FB169" s="395"/>
      <c r="FC169" s="395"/>
      <c r="FD169" s="395"/>
      <c r="FE169" s="395"/>
      <c r="FF169" s="395"/>
      <c r="FG169" s="395"/>
      <c r="FH169" s="395"/>
      <c r="FI169" s="395"/>
      <c r="FJ169" s="395"/>
      <c r="FK169" s="395"/>
      <c r="FL169" s="395"/>
      <c r="FM169" s="395"/>
      <c r="FN169" s="395"/>
      <c r="FO169" s="395"/>
      <c r="FP169" s="395"/>
      <c r="FQ169" s="395"/>
      <c r="FR169" s="395"/>
      <c r="FS169" s="395"/>
      <c r="FT169" s="395"/>
      <c r="FU169" s="395"/>
      <c r="FV169" s="395"/>
      <c r="FW169" s="395"/>
      <c r="FX169" s="395"/>
      <c r="FY169" s="395"/>
      <c r="FZ169" s="395"/>
      <c r="GA169" s="395"/>
      <c r="GB169" s="395"/>
      <c r="GC169" s="395"/>
      <c r="GD169" s="395"/>
      <c r="GE169" s="395"/>
      <c r="GF169" s="395"/>
      <c r="GG169" s="395"/>
      <c r="GH169" s="395"/>
      <c r="GI169" s="395"/>
      <c r="GJ169" s="395"/>
      <c r="GK169" s="395"/>
      <c r="GL169" s="395"/>
      <c r="GM169" s="395"/>
      <c r="GN169" s="395"/>
      <c r="GO169" s="395"/>
      <c r="GP169" s="395"/>
      <c r="GQ169" s="395"/>
      <c r="GR169" s="395"/>
      <c r="GS169" s="395"/>
      <c r="GT169" s="395"/>
      <c r="GU169" s="395"/>
      <c r="GV169" s="395"/>
      <c r="GW169" s="395"/>
      <c r="GX169" s="395"/>
      <c r="GY169" s="395"/>
      <c r="GZ169" s="395"/>
      <c r="HA169" s="395"/>
      <c r="HB169" s="395"/>
      <c r="HC169" s="395"/>
      <c r="HD169" s="395"/>
      <c r="HE169" s="395"/>
      <c r="HF169" s="395"/>
      <c r="HG169" s="395"/>
      <c r="HH169" s="395"/>
      <c r="HI169" s="395"/>
      <c r="HJ169" s="395"/>
      <c r="HK169" s="395"/>
      <c r="HL169" s="395"/>
      <c r="HM169" s="395"/>
      <c r="HN169" s="395"/>
      <c r="HO169" s="395"/>
      <c r="HP169" s="395"/>
      <c r="HQ169" s="395"/>
      <c r="HR169" s="395"/>
    </row>
    <row r="170" spans="1:226" s="866" customFormat="1" x14ac:dyDescent="0.25">
      <c r="A170" s="395"/>
      <c r="B170" s="395"/>
      <c r="C170" s="395"/>
      <c r="D170" s="395"/>
      <c r="E170" s="395"/>
      <c r="F170" s="395"/>
      <c r="G170" s="395"/>
      <c r="H170" s="395"/>
      <c r="I170" s="395"/>
      <c r="J170" s="395"/>
      <c r="K170" s="395"/>
      <c r="L170" s="395"/>
      <c r="M170" s="395"/>
      <c r="N170" s="395"/>
      <c r="O170" s="395"/>
      <c r="P170" s="395"/>
      <c r="Q170" s="395"/>
      <c r="R170" s="395"/>
      <c r="S170" s="395"/>
      <c r="T170" s="395"/>
      <c r="U170" s="395"/>
      <c r="V170" s="1608"/>
      <c r="W170" s="395"/>
      <c r="X170" s="395"/>
      <c r="Y170" s="395"/>
      <c r="Z170" s="2140"/>
      <c r="AA170" s="395"/>
      <c r="AB170" s="395"/>
      <c r="AC170" s="395"/>
      <c r="AD170" s="395"/>
      <c r="AE170" s="395"/>
      <c r="AF170" s="395"/>
      <c r="AG170" s="395"/>
      <c r="AH170" s="395"/>
      <c r="AI170" s="395"/>
      <c r="AJ170" s="395"/>
      <c r="AK170" s="395"/>
      <c r="AL170" s="395"/>
      <c r="AM170" s="395"/>
      <c r="AN170" s="395"/>
      <c r="AO170" s="395"/>
      <c r="AP170" s="395"/>
      <c r="AQ170" s="395"/>
      <c r="AR170" s="395"/>
      <c r="AS170" s="395"/>
      <c r="AT170" s="395"/>
      <c r="AU170" s="395"/>
      <c r="AV170" s="395"/>
      <c r="AW170" s="395"/>
      <c r="AX170" s="395"/>
      <c r="AY170" s="395"/>
      <c r="AZ170" s="395"/>
      <c r="BA170" s="395"/>
      <c r="BB170" s="395"/>
      <c r="BC170" s="395"/>
      <c r="BD170" s="395"/>
      <c r="BE170" s="395"/>
      <c r="BF170" s="395"/>
      <c r="BG170" s="395"/>
      <c r="BH170" s="395"/>
      <c r="BI170" s="395"/>
      <c r="BJ170" s="395"/>
      <c r="BK170" s="395"/>
      <c r="BL170" s="395"/>
      <c r="BM170" s="395"/>
      <c r="BN170" s="395"/>
      <c r="BO170" s="395"/>
      <c r="BP170" s="395"/>
      <c r="BQ170" s="395"/>
      <c r="BR170" s="395"/>
      <c r="BS170" s="395"/>
      <c r="BT170" s="395"/>
      <c r="BU170" s="395"/>
      <c r="BV170" s="395"/>
      <c r="BW170" s="395"/>
      <c r="BX170" s="395"/>
      <c r="BY170" s="395"/>
      <c r="BZ170" s="395"/>
      <c r="CA170" s="395"/>
      <c r="CB170" s="395"/>
      <c r="CC170" s="395"/>
      <c r="CD170" s="395"/>
      <c r="CE170" s="395"/>
      <c r="CF170" s="395"/>
      <c r="CG170" s="395"/>
      <c r="CH170" s="395"/>
      <c r="CI170" s="395"/>
      <c r="CJ170" s="395"/>
      <c r="CK170" s="395"/>
      <c r="CL170" s="395"/>
      <c r="CM170" s="395"/>
      <c r="CN170" s="395"/>
      <c r="CO170" s="395"/>
      <c r="CP170" s="395"/>
      <c r="CQ170" s="395"/>
      <c r="CR170" s="395"/>
      <c r="CS170" s="395"/>
      <c r="CT170" s="395"/>
      <c r="CU170" s="395"/>
      <c r="CV170" s="395"/>
      <c r="CW170" s="395"/>
      <c r="CX170" s="395"/>
      <c r="CY170" s="395"/>
      <c r="CZ170" s="395"/>
      <c r="DA170" s="395"/>
      <c r="DB170" s="395"/>
      <c r="DC170" s="395"/>
      <c r="DD170" s="395"/>
      <c r="DE170" s="395"/>
      <c r="DF170" s="395"/>
      <c r="DG170" s="395"/>
      <c r="DH170" s="395"/>
      <c r="DI170" s="395"/>
      <c r="DJ170" s="395"/>
      <c r="DK170" s="395"/>
      <c r="DL170" s="395"/>
      <c r="DM170" s="395"/>
      <c r="DN170" s="395"/>
      <c r="DO170" s="395"/>
      <c r="DP170" s="395"/>
      <c r="DQ170" s="395"/>
      <c r="DR170" s="395"/>
      <c r="DS170" s="395"/>
      <c r="DT170" s="395"/>
      <c r="DU170" s="395"/>
      <c r="DV170" s="395"/>
      <c r="DW170" s="395"/>
      <c r="DX170" s="395"/>
      <c r="DY170" s="395"/>
      <c r="DZ170" s="395"/>
      <c r="EA170" s="395"/>
      <c r="EB170" s="395"/>
      <c r="EC170" s="395"/>
      <c r="ED170" s="395"/>
      <c r="EE170" s="395"/>
      <c r="EF170" s="395"/>
      <c r="EG170" s="395"/>
      <c r="EH170" s="395"/>
      <c r="EI170" s="395"/>
      <c r="EJ170" s="395"/>
      <c r="EK170" s="395"/>
      <c r="EL170" s="395"/>
      <c r="EM170" s="395"/>
      <c r="EN170" s="395"/>
      <c r="EO170" s="395"/>
      <c r="EP170" s="395"/>
      <c r="EQ170" s="395"/>
      <c r="ER170" s="395"/>
      <c r="ES170" s="395"/>
      <c r="ET170" s="395"/>
      <c r="EU170" s="395"/>
      <c r="EV170" s="395"/>
      <c r="EW170" s="395"/>
      <c r="EX170" s="395"/>
      <c r="EY170" s="395"/>
      <c r="EZ170" s="395"/>
      <c r="FA170" s="395"/>
      <c r="FB170" s="395"/>
      <c r="FC170" s="395"/>
      <c r="FD170" s="395"/>
      <c r="FE170" s="395"/>
      <c r="FF170" s="395"/>
      <c r="FG170" s="395"/>
      <c r="FH170" s="395"/>
      <c r="FI170" s="395"/>
      <c r="FJ170" s="395"/>
      <c r="FK170" s="395"/>
      <c r="FL170" s="395"/>
      <c r="FM170" s="395"/>
      <c r="FN170" s="395"/>
      <c r="FO170" s="395"/>
      <c r="FP170" s="395"/>
      <c r="FQ170" s="395"/>
      <c r="FR170" s="395"/>
      <c r="FS170" s="395"/>
      <c r="FT170" s="395"/>
      <c r="FU170" s="395"/>
      <c r="FV170" s="395"/>
      <c r="FW170" s="395"/>
      <c r="FX170" s="395"/>
      <c r="FY170" s="395"/>
      <c r="FZ170" s="395"/>
      <c r="GA170" s="395"/>
      <c r="GB170" s="395"/>
      <c r="GC170" s="395"/>
      <c r="GD170" s="395"/>
      <c r="GE170" s="395"/>
      <c r="GF170" s="395"/>
      <c r="GG170" s="395"/>
      <c r="GH170" s="395"/>
      <c r="GI170" s="395"/>
      <c r="GJ170" s="395"/>
      <c r="GK170" s="395"/>
      <c r="GL170" s="395"/>
      <c r="GM170" s="395"/>
      <c r="GN170" s="395"/>
      <c r="GO170" s="395"/>
      <c r="GP170" s="395"/>
      <c r="GQ170" s="395"/>
      <c r="GR170" s="395"/>
      <c r="GS170" s="395"/>
      <c r="GT170" s="395"/>
      <c r="GU170" s="395"/>
      <c r="GV170" s="395"/>
      <c r="GW170" s="395"/>
      <c r="GX170" s="395"/>
      <c r="GY170" s="395"/>
      <c r="GZ170" s="395"/>
      <c r="HA170" s="395"/>
      <c r="HB170" s="395"/>
      <c r="HC170" s="395"/>
      <c r="HD170" s="395"/>
      <c r="HE170" s="395"/>
      <c r="HF170" s="395"/>
      <c r="HG170" s="395"/>
      <c r="HH170" s="395"/>
      <c r="HI170" s="395"/>
      <c r="HJ170" s="395"/>
      <c r="HK170" s="395"/>
      <c r="HL170" s="395"/>
      <c r="HM170" s="395"/>
      <c r="HN170" s="395"/>
      <c r="HO170" s="395"/>
      <c r="HP170" s="395"/>
      <c r="HQ170" s="395"/>
      <c r="HR170" s="395"/>
    </row>
    <row r="171" spans="1:226" s="866" customFormat="1" x14ac:dyDescent="0.25">
      <c r="A171" s="395"/>
      <c r="B171" s="395"/>
      <c r="C171" s="395"/>
      <c r="D171" s="395"/>
      <c r="E171" s="395"/>
      <c r="F171" s="395"/>
      <c r="G171" s="395"/>
      <c r="H171" s="395"/>
      <c r="I171" s="395"/>
      <c r="J171" s="395"/>
      <c r="K171" s="395"/>
      <c r="L171" s="395"/>
      <c r="M171" s="395"/>
      <c r="N171" s="395"/>
      <c r="O171" s="395"/>
      <c r="P171" s="395"/>
      <c r="Q171" s="395"/>
      <c r="R171" s="395"/>
      <c r="S171" s="395"/>
      <c r="T171" s="395"/>
      <c r="U171" s="395"/>
      <c r="V171" s="1608"/>
      <c r="W171" s="395"/>
      <c r="X171" s="395"/>
      <c r="Y171" s="395"/>
      <c r="Z171" s="2140"/>
      <c r="AA171" s="395"/>
      <c r="AB171" s="395"/>
      <c r="AC171" s="395"/>
      <c r="AD171" s="395"/>
      <c r="AE171" s="395"/>
      <c r="AF171" s="395"/>
      <c r="AG171" s="395"/>
      <c r="AH171" s="395"/>
      <c r="AI171" s="395"/>
      <c r="AJ171" s="395"/>
      <c r="AK171" s="395"/>
      <c r="AL171" s="395"/>
      <c r="AM171" s="395"/>
      <c r="AN171" s="395"/>
      <c r="AO171" s="395"/>
      <c r="AP171" s="395"/>
      <c r="AQ171" s="395"/>
      <c r="AR171" s="395"/>
      <c r="AS171" s="395"/>
      <c r="AT171" s="395"/>
      <c r="AU171" s="395"/>
      <c r="AV171" s="395"/>
      <c r="AW171" s="395"/>
      <c r="AX171" s="395"/>
      <c r="AY171" s="395"/>
      <c r="AZ171" s="395"/>
      <c r="BA171" s="395"/>
      <c r="BB171" s="395"/>
      <c r="BC171" s="395"/>
      <c r="BD171" s="395"/>
      <c r="BE171" s="395"/>
      <c r="BF171" s="395"/>
      <c r="BG171" s="395"/>
      <c r="BH171" s="395"/>
      <c r="BI171" s="395"/>
      <c r="BJ171" s="395"/>
      <c r="BK171" s="395"/>
      <c r="BL171" s="395"/>
      <c r="BM171" s="395"/>
      <c r="BN171" s="395"/>
      <c r="BO171" s="395"/>
      <c r="BP171" s="395"/>
      <c r="BQ171" s="395"/>
      <c r="BR171" s="395"/>
      <c r="BS171" s="395"/>
      <c r="BT171" s="395"/>
      <c r="BU171" s="395"/>
      <c r="BV171" s="395"/>
      <c r="BW171" s="395"/>
      <c r="BX171" s="395"/>
      <c r="BY171" s="395"/>
      <c r="BZ171" s="395"/>
      <c r="CA171" s="395"/>
      <c r="CB171" s="395"/>
      <c r="CC171" s="395"/>
      <c r="CD171" s="395"/>
      <c r="CE171" s="395"/>
      <c r="CF171" s="395"/>
      <c r="CG171" s="395"/>
      <c r="CH171" s="395"/>
      <c r="CI171" s="395"/>
      <c r="CJ171" s="395"/>
      <c r="CK171" s="395"/>
      <c r="CL171" s="395"/>
      <c r="CM171" s="395"/>
      <c r="CN171" s="395"/>
      <c r="CO171" s="395"/>
      <c r="CP171" s="395"/>
      <c r="CQ171" s="395"/>
      <c r="CR171" s="395"/>
      <c r="CS171" s="395"/>
      <c r="CT171" s="395"/>
      <c r="CU171" s="395"/>
      <c r="CV171" s="395"/>
      <c r="CW171" s="395"/>
      <c r="CX171" s="395"/>
      <c r="CY171" s="395"/>
      <c r="CZ171" s="395"/>
      <c r="DA171" s="395"/>
      <c r="DB171" s="395"/>
      <c r="DC171" s="395"/>
      <c r="DD171" s="395"/>
      <c r="DE171" s="395"/>
      <c r="DF171" s="395"/>
      <c r="DG171" s="395"/>
      <c r="DH171" s="395"/>
      <c r="DI171" s="395"/>
      <c r="DJ171" s="395"/>
      <c r="DK171" s="395"/>
      <c r="DL171" s="395"/>
      <c r="DM171" s="395"/>
      <c r="DN171" s="395"/>
      <c r="DO171" s="395"/>
      <c r="DP171" s="395"/>
      <c r="DQ171" s="395"/>
      <c r="DR171" s="395"/>
      <c r="DS171" s="395"/>
      <c r="DT171" s="395"/>
      <c r="DU171" s="395"/>
      <c r="DV171" s="395"/>
      <c r="DW171" s="395"/>
      <c r="DX171" s="395"/>
      <c r="DY171" s="395"/>
      <c r="DZ171" s="395"/>
      <c r="EA171" s="395"/>
      <c r="EB171" s="395"/>
      <c r="EC171" s="395"/>
      <c r="ED171" s="395"/>
      <c r="EE171" s="395"/>
      <c r="EF171" s="395"/>
      <c r="EG171" s="395"/>
      <c r="EH171" s="395"/>
      <c r="EI171" s="395"/>
      <c r="EJ171" s="395"/>
      <c r="EK171" s="395"/>
      <c r="EL171" s="395"/>
      <c r="EM171" s="395"/>
      <c r="EN171" s="395"/>
      <c r="EO171" s="395"/>
      <c r="EP171" s="395"/>
      <c r="EQ171" s="395"/>
      <c r="ER171" s="395"/>
      <c r="ES171" s="395"/>
      <c r="ET171" s="395"/>
      <c r="EU171" s="395"/>
      <c r="EV171" s="395"/>
      <c r="EW171" s="395"/>
      <c r="EX171" s="395"/>
      <c r="EY171" s="395"/>
      <c r="EZ171" s="395"/>
      <c r="FA171" s="395"/>
      <c r="FB171" s="395"/>
      <c r="FC171" s="395"/>
      <c r="FD171" s="395"/>
      <c r="FE171" s="395"/>
      <c r="FF171" s="395"/>
      <c r="FG171" s="395"/>
      <c r="FH171" s="395"/>
      <c r="FI171" s="395"/>
      <c r="FJ171" s="395"/>
      <c r="FK171" s="395"/>
      <c r="FL171" s="395"/>
      <c r="FM171" s="395"/>
      <c r="FN171" s="395"/>
      <c r="FO171" s="395"/>
      <c r="FP171" s="395"/>
      <c r="FQ171" s="395"/>
      <c r="FR171" s="395"/>
      <c r="FS171" s="395"/>
      <c r="FT171" s="395"/>
      <c r="FU171" s="395"/>
      <c r="FV171" s="395"/>
      <c r="FW171" s="395"/>
      <c r="FX171" s="395"/>
      <c r="FY171" s="395"/>
      <c r="FZ171" s="395"/>
      <c r="GA171" s="395"/>
      <c r="GB171" s="395"/>
      <c r="GC171" s="395"/>
      <c r="GD171" s="395"/>
      <c r="GE171" s="395"/>
      <c r="GF171" s="395"/>
      <c r="GG171" s="395"/>
      <c r="GH171" s="395"/>
      <c r="GI171" s="395"/>
      <c r="GJ171" s="395"/>
      <c r="GK171" s="395"/>
      <c r="GL171" s="395"/>
      <c r="GM171" s="395"/>
      <c r="GN171" s="395"/>
      <c r="GO171" s="395"/>
      <c r="GP171" s="395"/>
      <c r="GQ171" s="395"/>
      <c r="GR171" s="395"/>
      <c r="GS171" s="395"/>
      <c r="GT171" s="395"/>
      <c r="GU171" s="395"/>
      <c r="GV171" s="395"/>
      <c r="GW171" s="395"/>
      <c r="GX171" s="395"/>
      <c r="GY171" s="395"/>
      <c r="GZ171" s="395"/>
      <c r="HA171" s="395"/>
      <c r="HB171" s="395"/>
      <c r="HC171" s="395"/>
      <c r="HD171" s="395"/>
      <c r="HE171" s="395"/>
      <c r="HF171" s="395"/>
      <c r="HG171" s="395"/>
      <c r="HH171" s="395"/>
      <c r="HI171" s="395"/>
      <c r="HJ171" s="395"/>
      <c r="HK171" s="395"/>
      <c r="HL171" s="395"/>
      <c r="HM171" s="395"/>
      <c r="HN171" s="395"/>
      <c r="HO171" s="395"/>
      <c r="HP171" s="395"/>
      <c r="HQ171" s="395"/>
      <c r="HR171" s="395"/>
    </row>
    <row r="172" spans="1:226" s="866" customFormat="1" x14ac:dyDescent="0.25">
      <c r="A172" s="395"/>
      <c r="B172" s="395"/>
      <c r="C172" s="395"/>
      <c r="D172" s="395"/>
      <c r="E172" s="395"/>
      <c r="F172" s="395"/>
      <c r="G172" s="395"/>
      <c r="H172" s="395"/>
      <c r="I172" s="395"/>
      <c r="J172" s="395"/>
      <c r="K172" s="395"/>
      <c r="L172" s="395"/>
      <c r="M172" s="395"/>
      <c r="N172" s="395"/>
      <c r="O172" s="395"/>
      <c r="P172" s="395"/>
      <c r="Q172" s="395"/>
      <c r="R172" s="395"/>
      <c r="S172" s="395"/>
      <c r="T172" s="395"/>
      <c r="U172" s="395"/>
      <c r="V172" s="1608"/>
      <c r="W172" s="395"/>
      <c r="X172" s="395"/>
      <c r="Y172" s="395"/>
      <c r="Z172" s="2140"/>
      <c r="AA172" s="395"/>
      <c r="AB172" s="395"/>
      <c r="AC172" s="395"/>
      <c r="AD172" s="395"/>
      <c r="AE172" s="395"/>
      <c r="AF172" s="395"/>
      <c r="AG172" s="395"/>
      <c r="AH172" s="395"/>
      <c r="AI172" s="395"/>
      <c r="AJ172" s="395"/>
      <c r="AK172" s="395"/>
      <c r="AL172" s="395"/>
      <c r="AM172" s="395"/>
      <c r="AN172" s="395"/>
      <c r="AO172" s="395"/>
      <c r="AP172" s="395"/>
      <c r="AQ172" s="395"/>
      <c r="AR172" s="395"/>
      <c r="AS172" s="395"/>
      <c r="AT172" s="395"/>
      <c r="AU172" s="395"/>
      <c r="AV172" s="395"/>
      <c r="AW172" s="395"/>
      <c r="AX172" s="395"/>
      <c r="AY172" s="395"/>
      <c r="AZ172" s="395"/>
      <c r="BA172" s="395"/>
      <c r="BB172" s="395"/>
      <c r="BC172" s="395"/>
      <c r="BD172" s="395"/>
      <c r="BE172" s="395"/>
      <c r="BF172" s="395"/>
      <c r="BG172" s="395"/>
      <c r="BH172" s="395"/>
      <c r="BI172" s="395"/>
      <c r="BJ172" s="395"/>
      <c r="BK172" s="395"/>
      <c r="BL172" s="395"/>
      <c r="BM172" s="395"/>
      <c r="BN172" s="395"/>
      <c r="BO172" s="395"/>
      <c r="BP172" s="395"/>
      <c r="BQ172" s="395"/>
      <c r="BR172" s="395"/>
      <c r="BS172" s="395"/>
      <c r="BT172" s="395"/>
      <c r="BU172" s="395"/>
      <c r="BV172" s="395"/>
      <c r="BW172" s="395"/>
      <c r="BX172" s="395"/>
      <c r="BY172" s="395"/>
      <c r="BZ172" s="395"/>
      <c r="CA172" s="395"/>
      <c r="CB172" s="395"/>
      <c r="CC172" s="395"/>
      <c r="CD172" s="395"/>
      <c r="CE172" s="395"/>
      <c r="CF172" s="395"/>
      <c r="CG172" s="395"/>
      <c r="CH172" s="395"/>
      <c r="CI172" s="395"/>
      <c r="CJ172" s="395"/>
      <c r="CK172" s="395"/>
      <c r="CL172" s="395"/>
      <c r="CM172" s="395"/>
      <c r="CN172" s="395"/>
      <c r="CO172" s="395"/>
      <c r="CP172" s="395"/>
      <c r="CQ172" s="395"/>
      <c r="CR172" s="395"/>
      <c r="CS172" s="395"/>
      <c r="CT172" s="395"/>
      <c r="CU172" s="395"/>
      <c r="CV172" s="395"/>
      <c r="CW172" s="395"/>
      <c r="CX172" s="395"/>
      <c r="CY172" s="395"/>
      <c r="CZ172" s="395"/>
      <c r="DA172" s="395"/>
      <c r="DB172" s="395"/>
      <c r="DC172" s="395"/>
      <c r="DD172" s="395"/>
      <c r="DE172" s="395"/>
      <c r="DF172" s="395"/>
      <c r="DG172" s="395"/>
      <c r="DH172" s="395"/>
      <c r="DI172" s="395"/>
      <c r="DJ172" s="395"/>
      <c r="DK172" s="395"/>
      <c r="DL172" s="395"/>
      <c r="DM172" s="395"/>
      <c r="DN172" s="395"/>
      <c r="DO172" s="395"/>
      <c r="DP172" s="395"/>
      <c r="DQ172" s="395"/>
      <c r="DR172" s="395"/>
      <c r="DS172" s="395"/>
      <c r="DT172" s="395"/>
      <c r="DU172" s="395"/>
      <c r="DV172" s="395"/>
      <c r="DW172" s="395"/>
      <c r="DX172" s="395"/>
      <c r="DY172" s="395"/>
      <c r="DZ172" s="395"/>
      <c r="EA172" s="395"/>
      <c r="EB172" s="395"/>
      <c r="EC172" s="395"/>
      <c r="ED172" s="395"/>
      <c r="EE172" s="395"/>
      <c r="EF172" s="395"/>
      <c r="EG172" s="395"/>
      <c r="EH172" s="395"/>
      <c r="EI172" s="395"/>
      <c r="EJ172" s="395"/>
      <c r="EK172" s="395"/>
      <c r="EL172" s="395"/>
      <c r="EM172" s="395"/>
      <c r="EN172" s="395"/>
      <c r="EO172" s="395"/>
      <c r="EP172" s="395"/>
      <c r="EQ172" s="395"/>
      <c r="ER172" s="395"/>
      <c r="ES172" s="395"/>
      <c r="ET172" s="395"/>
      <c r="EU172" s="395"/>
      <c r="EV172" s="395"/>
      <c r="EW172" s="395"/>
      <c r="EX172" s="395"/>
      <c r="EY172" s="395"/>
      <c r="EZ172" s="395"/>
      <c r="FA172" s="395"/>
      <c r="FB172" s="395"/>
      <c r="FC172" s="395"/>
      <c r="FD172" s="395"/>
      <c r="FE172" s="395"/>
      <c r="FF172" s="395"/>
      <c r="FG172" s="395"/>
      <c r="FH172" s="395"/>
      <c r="FI172" s="395"/>
      <c r="FJ172" s="395"/>
      <c r="FK172" s="395"/>
      <c r="FL172" s="395"/>
      <c r="FM172" s="395"/>
      <c r="FN172" s="395"/>
      <c r="FO172" s="395"/>
      <c r="FP172" s="395"/>
      <c r="FQ172" s="395"/>
      <c r="FR172" s="395"/>
      <c r="FS172" s="395"/>
      <c r="FT172" s="395"/>
      <c r="FU172" s="395"/>
      <c r="FV172" s="395"/>
      <c r="FW172" s="395"/>
      <c r="FX172" s="395"/>
      <c r="FY172" s="395"/>
      <c r="FZ172" s="395"/>
      <c r="GA172" s="395"/>
      <c r="GB172" s="395"/>
      <c r="GC172" s="395"/>
      <c r="GD172" s="395"/>
      <c r="GE172" s="395"/>
      <c r="GF172" s="395"/>
      <c r="GG172" s="395"/>
      <c r="GH172" s="395"/>
      <c r="GI172" s="395"/>
      <c r="GJ172" s="395"/>
      <c r="GK172" s="395"/>
      <c r="GL172" s="395"/>
      <c r="GM172" s="395"/>
      <c r="GN172" s="395"/>
      <c r="GO172" s="395"/>
      <c r="GP172" s="395"/>
      <c r="GQ172" s="395"/>
      <c r="GR172" s="395"/>
      <c r="GS172" s="395"/>
      <c r="GT172" s="395"/>
      <c r="GU172" s="395"/>
      <c r="GV172" s="395"/>
      <c r="GW172" s="395"/>
      <c r="GX172" s="395"/>
      <c r="GY172" s="395"/>
      <c r="GZ172" s="395"/>
      <c r="HA172" s="395"/>
      <c r="HB172" s="395"/>
      <c r="HC172" s="395"/>
      <c r="HD172" s="395"/>
      <c r="HE172" s="395"/>
      <c r="HF172" s="395"/>
      <c r="HG172" s="395"/>
      <c r="HH172" s="395"/>
      <c r="HI172" s="395"/>
      <c r="HJ172" s="395"/>
      <c r="HK172" s="395"/>
      <c r="HL172" s="395"/>
      <c r="HM172" s="395"/>
      <c r="HN172" s="395"/>
      <c r="HO172" s="395"/>
      <c r="HP172" s="395"/>
      <c r="HQ172" s="395"/>
      <c r="HR172" s="395"/>
    </row>
    <row r="173" spans="1:226" s="866" customFormat="1" x14ac:dyDescent="0.25">
      <c r="A173" s="395"/>
      <c r="B173" s="395"/>
      <c r="C173" s="395"/>
      <c r="D173" s="395"/>
      <c r="E173" s="395"/>
      <c r="F173" s="395"/>
      <c r="G173" s="395"/>
      <c r="H173" s="395"/>
      <c r="I173" s="395"/>
      <c r="J173" s="395"/>
      <c r="K173" s="395"/>
      <c r="L173" s="395"/>
      <c r="M173" s="395"/>
      <c r="N173" s="395"/>
      <c r="O173" s="395"/>
      <c r="P173" s="395"/>
      <c r="Q173" s="395"/>
      <c r="R173" s="395"/>
      <c r="S173" s="395"/>
      <c r="T173" s="395"/>
      <c r="U173" s="395"/>
      <c r="V173" s="1608"/>
      <c r="W173" s="395"/>
      <c r="X173" s="395"/>
      <c r="Y173" s="395"/>
      <c r="Z173" s="2140"/>
      <c r="AA173" s="395"/>
      <c r="AB173" s="395"/>
      <c r="AC173" s="395"/>
      <c r="AD173" s="395"/>
      <c r="AE173" s="395"/>
      <c r="AF173" s="395"/>
      <c r="AG173" s="395"/>
      <c r="AH173" s="395"/>
      <c r="AI173" s="395"/>
      <c r="AJ173" s="395"/>
      <c r="AK173" s="395"/>
      <c r="AL173" s="395"/>
      <c r="AM173" s="395"/>
      <c r="AN173" s="395"/>
      <c r="AO173" s="395"/>
      <c r="AP173" s="395"/>
      <c r="AQ173" s="395"/>
      <c r="AR173" s="395"/>
      <c r="AS173" s="395"/>
      <c r="AT173" s="395"/>
      <c r="AU173" s="395"/>
      <c r="AV173" s="395"/>
      <c r="AW173" s="395"/>
      <c r="AX173" s="395"/>
      <c r="AY173" s="395"/>
      <c r="AZ173" s="395"/>
      <c r="BA173" s="395"/>
      <c r="BB173" s="395"/>
      <c r="BC173" s="395"/>
      <c r="BD173" s="395"/>
      <c r="BE173" s="395"/>
      <c r="BF173" s="395"/>
      <c r="BG173" s="395"/>
      <c r="BH173" s="395"/>
      <c r="BI173" s="395"/>
      <c r="BJ173" s="395"/>
      <c r="BK173" s="395"/>
      <c r="BL173" s="395"/>
      <c r="BM173" s="395"/>
      <c r="BN173" s="395"/>
      <c r="BO173" s="395"/>
      <c r="BP173" s="395"/>
      <c r="BQ173" s="395"/>
      <c r="BR173" s="395"/>
      <c r="BS173" s="395"/>
      <c r="BT173" s="395"/>
      <c r="BU173" s="395"/>
      <c r="BV173" s="395"/>
      <c r="BW173" s="395"/>
      <c r="BX173" s="395"/>
      <c r="BY173" s="395"/>
      <c r="BZ173" s="395"/>
      <c r="CA173" s="395"/>
      <c r="CB173" s="395"/>
      <c r="CC173" s="395"/>
      <c r="CD173" s="395"/>
      <c r="CE173" s="395"/>
      <c r="CF173" s="395"/>
      <c r="CG173" s="395"/>
      <c r="CH173" s="395"/>
      <c r="CI173" s="395"/>
      <c r="CJ173" s="395"/>
      <c r="CK173" s="395"/>
      <c r="CL173" s="395"/>
      <c r="CM173" s="395"/>
      <c r="CN173" s="395"/>
      <c r="CO173" s="395"/>
      <c r="CP173" s="395"/>
      <c r="CQ173" s="395"/>
      <c r="CR173" s="395"/>
      <c r="CS173" s="395"/>
      <c r="CT173" s="395"/>
      <c r="CU173" s="395"/>
      <c r="CV173" s="395"/>
      <c r="CW173" s="395"/>
      <c r="CX173" s="395"/>
      <c r="CY173" s="395"/>
      <c r="CZ173" s="395"/>
      <c r="DA173" s="395"/>
      <c r="DB173" s="395"/>
      <c r="DC173" s="395"/>
      <c r="DD173" s="395"/>
      <c r="DE173" s="395"/>
      <c r="DF173" s="395"/>
      <c r="DG173" s="395"/>
      <c r="DH173" s="395"/>
      <c r="DI173" s="395"/>
      <c r="DJ173" s="395"/>
      <c r="DK173" s="395"/>
      <c r="DL173" s="395"/>
      <c r="DM173" s="395"/>
      <c r="DN173" s="395"/>
      <c r="DO173" s="395"/>
      <c r="DP173" s="395"/>
      <c r="DQ173" s="395"/>
      <c r="DR173" s="395"/>
      <c r="DS173" s="395"/>
      <c r="DT173" s="395"/>
      <c r="DU173" s="395"/>
      <c r="DV173" s="395"/>
      <c r="DW173" s="395"/>
      <c r="DX173" s="395"/>
      <c r="DY173" s="395"/>
      <c r="DZ173" s="395"/>
      <c r="EA173" s="395"/>
      <c r="EB173" s="395"/>
      <c r="EC173" s="395"/>
      <c r="ED173" s="395"/>
      <c r="EE173" s="395"/>
      <c r="EF173" s="395"/>
      <c r="EG173" s="395"/>
      <c r="EH173" s="395"/>
      <c r="EI173" s="395"/>
      <c r="EJ173" s="395"/>
      <c r="EK173" s="395"/>
      <c r="EL173" s="395"/>
      <c r="EM173" s="395"/>
      <c r="EN173" s="395"/>
      <c r="EO173" s="395"/>
      <c r="EP173" s="395"/>
      <c r="EQ173" s="395"/>
      <c r="ER173" s="395"/>
      <c r="ES173" s="395"/>
      <c r="ET173" s="395"/>
      <c r="EU173" s="395"/>
      <c r="EV173" s="395"/>
      <c r="EW173" s="395"/>
      <c r="EX173" s="395"/>
      <c r="EY173" s="395"/>
      <c r="EZ173" s="395"/>
      <c r="FA173" s="395"/>
      <c r="FB173" s="395"/>
      <c r="FC173" s="395"/>
      <c r="FD173" s="395"/>
      <c r="FE173" s="395"/>
      <c r="FF173" s="395"/>
      <c r="FG173" s="395"/>
      <c r="FH173" s="395"/>
      <c r="FI173" s="395"/>
      <c r="FJ173" s="395"/>
      <c r="FK173" s="395"/>
      <c r="FL173" s="395"/>
      <c r="FM173" s="395"/>
      <c r="FN173" s="395"/>
      <c r="FO173" s="395"/>
      <c r="FP173" s="395"/>
      <c r="FQ173" s="395"/>
      <c r="FR173" s="395"/>
      <c r="FS173" s="395"/>
      <c r="FT173" s="395"/>
      <c r="FU173" s="395"/>
      <c r="FV173" s="395"/>
      <c r="FW173" s="395"/>
      <c r="FX173" s="395"/>
      <c r="FY173" s="395"/>
      <c r="FZ173" s="395"/>
      <c r="GA173" s="395"/>
      <c r="GB173" s="395"/>
      <c r="GC173" s="395"/>
      <c r="GD173" s="395"/>
      <c r="GE173" s="395"/>
      <c r="GF173" s="395"/>
      <c r="GG173" s="395"/>
      <c r="GH173" s="395"/>
      <c r="GI173" s="395"/>
      <c r="GJ173" s="395"/>
      <c r="GK173" s="395"/>
      <c r="GL173" s="395"/>
      <c r="GM173" s="395"/>
      <c r="GN173" s="395"/>
      <c r="GO173" s="395"/>
      <c r="GP173" s="395"/>
      <c r="GQ173" s="395"/>
      <c r="GR173" s="395"/>
      <c r="GS173" s="395"/>
      <c r="GT173" s="395"/>
      <c r="GU173" s="395"/>
      <c r="GV173" s="395"/>
      <c r="GW173" s="395"/>
      <c r="GX173" s="395"/>
      <c r="GY173" s="395"/>
      <c r="GZ173" s="395"/>
      <c r="HA173" s="395"/>
      <c r="HB173" s="395"/>
      <c r="HC173" s="395"/>
      <c r="HD173" s="395"/>
      <c r="HE173" s="395"/>
      <c r="HF173" s="395"/>
      <c r="HG173" s="395"/>
      <c r="HH173" s="395"/>
      <c r="HI173" s="395"/>
      <c r="HJ173" s="395"/>
      <c r="HK173" s="395"/>
      <c r="HL173" s="395"/>
      <c r="HM173" s="395"/>
      <c r="HN173" s="395"/>
      <c r="HO173" s="395"/>
      <c r="HP173" s="395"/>
      <c r="HQ173" s="395"/>
      <c r="HR173" s="395"/>
    </row>
    <row r="174" spans="1:226" s="866" customFormat="1" x14ac:dyDescent="0.25">
      <c r="A174" s="395"/>
      <c r="B174" s="395"/>
      <c r="C174" s="395"/>
      <c r="D174" s="395"/>
      <c r="E174" s="395"/>
      <c r="F174" s="395"/>
      <c r="G174" s="395"/>
      <c r="H174" s="395"/>
      <c r="I174" s="395"/>
      <c r="J174" s="395"/>
      <c r="K174" s="395"/>
      <c r="L174" s="395"/>
      <c r="M174" s="395"/>
      <c r="N174" s="395"/>
      <c r="O174" s="395"/>
      <c r="P174" s="395"/>
      <c r="Q174" s="395"/>
      <c r="R174" s="395"/>
      <c r="S174" s="395"/>
      <c r="T174" s="395"/>
      <c r="U174" s="395"/>
      <c r="V174" s="1608"/>
      <c r="W174" s="395"/>
      <c r="X174" s="395"/>
      <c r="Y174" s="395"/>
      <c r="Z174" s="2140"/>
      <c r="AA174" s="395"/>
      <c r="AB174" s="395"/>
      <c r="AC174" s="395"/>
      <c r="AD174" s="395"/>
      <c r="AE174" s="395"/>
      <c r="AF174" s="395"/>
      <c r="AG174" s="395"/>
      <c r="AH174" s="395"/>
      <c r="AI174" s="395"/>
      <c r="AJ174" s="395"/>
      <c r="AK174" s="395"/>
      <c r="AL174" s="395"/>
      <c r="AM174" s="395"/>
      <c r="AN174" s="395"/>
      <c r="AO174" s="395"/>
      <c r="AP174" s="395"/>
      <c r="AQ174" s="395"/>
      <c r="AR174" s="395"/>
      <c r="AS174" s="395"/>
      <c r="AT174" s="395"/>
      <c r="AU174" s="395"/>
      <c r="AV174" s="395"/>
      <c r="AW174" s="395"/>
      <c r="AX174" s="395"/>
      <c r="AY174" s="395"/>
      <c r="AZ174" s="395"/>
      <c r="BA174" s="395"/>
      <c r="BB174" s="395"/>
      <c r="BC174" s="395"/>
      <c r="BD174" s="395"/>
      <c r="BE174" s="395"/>
      <c r="BF174" s="395"/>
      <c r="BG174" s="395"/>
      <c r="BH174" s="395"/>
      <c r="BI174" s="395"/>
      <c r="BJ174" s="395"/>
      <c r="BK174" s="395"/>
      <c r="BL174" s="395"/>
      <c r="BM174" s="395"/>
      <c r="BN174" s="395"/>
      <c r="BO174" s="395"/>
      <c r="BP174" s="395"/>
      <c r="BQ174" s="395"/>
      <c r="BR174" s="395"/>
      <c r="BS174" s="395"/>
      <c r="BT174" s="395"/>
      <c r="BU174" s="395"/>
      <c r="BV174" s="395"/>
      <c r="BW174" s="395"/>
      <c r="BX174" s="395"/>
      <c r="BY174" s="395"/>
      <c r="BZ174" s="395"/>
      <c r="CA174" s="395"/>
      <c r="CB174" s="395"/>
      <c r="CC174" s="395"/>
      <c r="CD174" s="395"/>
      <c r="CE174" s="395"/>
      <c r="CF174" s="395"/>
      <c r="CG174" s="395"/>
      <c r="CH174" s="395"/>
      <c r="CI174" s="395"/>
      <c r="CJ174" s="395"/>
      <c r="CK174" s="395"/>
      <c r="CL174" s="395"/>
      <c r="CM174" s="395"/>
      <c r="CN174" s="395"/>
      <c r="CO174" s="395"/>
      <c r="CP174" s="395"/>
      <c r="CQ174" s="395"/>
      <c r="CR174" s="395"/>
      <c r="CS174" s="395"/>
      <c r="CT174" s="395"/>
      <c r="CU174" s="395"/>
      <c r="CV174" s="395"/>
      <c r="CW174" s="395"/>
      <c r="CX174" s="395"/>
      <c r="CY174" s="395"/>
      <c r="CZ174" s="395"/>
      <c r="DA174" s="395"/>
      <c r="DB174" s="395"/>
      <c r="DC174" s="395"/>
      <c r="DD174" s="395"/>
      <c r="DE174" s="395"/>
      <c r="DF174" s="395"/>
      <c r="DG174" s="395"/>
      <c r="DH174" s="395"/>
      <c r="DI174" s="395"/>
      <c r="DJ174" s="395"/>
      <c r="DK174" s="395"/>
      <c r="DL174" s="395"/>
      <c r="DM174" s="395"/>
      <c r="DN174" s="395"/>
      <c r="DO174" s="395"/>
      <c r="DP174" s="395"/>
      <c r="DQ174" s="395"/>
      <c r="DR174" s="395"/>
      <c r="DS174" s="395"/>
      <c r="DT174" s="395"/>
      <c r="DU174" s="395"/>
      <c r="DV174" s="395"/>
      <c r="DW174" s="395"/>
      <c r="DX174" s="395"/>
      <c r="DY174" s="395"/>
      <c r="DZ174" s="395"/>
      <c r="EA174" s="395"/>
      <c r="EB174" s="395"/>
      <c r="EC174" s="395"/>
      <c r="ED174" s="395"/>
      <c r="EE174" s="395"/>
      <c r="EF174" s="395"/>
      <c r="EG174" s="395"/>
      <c r="EH174" s="395"/>
      <c r="EI174" s="395"/>
      <c r="EJ174" s="395"/>
      <c r="EK174" s="395"/>
      <c r="EL174" s="395"/>
      <c r="EM174" s="395"/>
      <c r="EN174" s="395"/>
      <c r="EO174" s="395"/>
      <c r="EP174" s="395"/>
      <c r="EQ174" s="395"/>
      <c r="ER174" s="395"/>
      <c r="ES174" s="395"/>
      <c r="ET174" s="395"/>
      <c r="EU174" s="395"/>
      <c r="EV174" s="395"/>
      <c r="EW174" s="395"/>
      <c r="EX174" s="395"/>
      <c r="EY174" s="395"/>
      <c r="EZ174" s="395"/>
      <c r="FA174" s="395"/>
      <c r="FB174" s="395"/>
      <c r="FC174" s="395"/>
      <c r="FD174" s="395"/>
      <c r="FE174" s="395"/>
      <c r="FF174" s="395"/>
      <c r="FG174" s="395"/>
      <c r="FH174" s="395"/>
      <c r="FI174" s="395"/>
      <c r="FJ174" s="395"/>
      <c r="FK174" s="395"/>
      <c r="FL174" s="395"/>
      <c r="FM174" s="395"/>
      <c r="FN174" s="395"/>
      <c r="FO174" s="395"/>
      <c r="FP174" s="395"/>
      <c r="FQ174" s="395"/>
      <c r="FR174" s="395"/>
      <c r="FS174" s="395"/>
      <c r="FT174" s="395"/>
      <c r="FU174" s="395"/>
      <c r="FV174" s="395"/>
      <c r="FW174" s="395"/>
      <c r="FX174" s="395"/>
      <c r="FY174" s="395"/>
      <c r="FZ174" s="395"/>
      <c r="GA174" s="395"/>
      <c r="GB174" s="395"/>
      <c r="GC174" s="395"/>
      <c r="GD174" s="395"/>
      <c r="GE174" s="395"/>
      <c r="GF174" s="395"/>
      <c r="GG174" s="395"/>
      <c r="GH174" s="395"/>
      <c r="GI174" s="395"/>
      <c r="GJ174" s="395"/>
      <c r="GK174" s="395"/>
      <c r="GL174" s="395"/>
      <c r="GM174" s="395"/>
      <c r="GN174" s="395"/>
      <c r="GO174" s="395"/>
      <c r="GP174" s="395"/>
      <c r="GQ174" s="395"/>
      <c r="GR174" s="395"/>
      <c r="GS174" s="395"/>
      <c r="GT174" s="395"/>
      <c r="GU174" s="395"/>
      <c r="GV174" s="395"/>
      <c r="GW174" s="395"/>
      <c r="GX174" s="395"/>
      <c r="GY174" s="395"/>
      <c r="GZ174" s="395"/>
      <c r="HA174" s="395"/>
      <c r="HB174" s="395"/>
      <c r="HC174" s="395"/>
      <c r="HD174" s="395"/>
      <c r="HE174" s="395"/>
      <c r="HF174" s="395"/>
      <c r="HG174" s="395"/>
      <c r="HH174" s="395"/>
      <c r="HI174" s="395"/>
      <c r="HJ174" s="395"/>
      <c r="HK174" s="395"/>
      <c r="HL174" s="395"/>
      <c r="HM174" s="395"/>
      <c r="HN174" s="395"/>
      <c r="HO174" s="395"/>
      <c r="HP174" s="395"/>
      <c r="HQ174" s="395"/>
      <c r="HR174" s="395"/>
    </row>
    <row r="175" spans="1:226" s="866" customFormat="1" x14ac:dyDescent="0.25">
      <c r="A175" s="395"/>
      <c r="B175" s="395"/>
      <c r="C175" s="395"/>
      <c r="D175" s="395"/>
      <c r="E175" s="395"/>
      <c r="F175" s="395"/>
      <c r="G175" s="395"/>
      <c r="H175" s="395"/>
      <c r="I175" s="395"/>
      <c r="J175" s="395"/>
      <c r="K175" s="395"/>
      <c r="L175" s="395"/>
      <c r="M175" s="395"/>
      <c r="N175" s="395"/>
      <c r="O175" s="395"/>
      <c r="P175" s="395"/>
      <c r="Q175" s="395"/>
      <c r="R175" s="395"/>
      <c r="S175" s="395"/>
      <c r="T175" s="395"/>
      <c r="U175" s="395"/>
      <c r="V175" s="1608"/>
      <c r="W175" s="395"/>
      <c r="X175" s="395"/>
      <c r="Y175" s="395"/>
      <c r="Z175" s="2140"/>
      <c r="AA175" s="395"/>
      <c r="AB175" s="395"/>
      <c r="AC175" s="395"/>
      <c r="AD175" s="395"/>
      <c r="AE175" s="395"/>
      <c r="AF175" s="395"/>
      <c r="AG175" s="395"/>
      <c r="AH175" s="395"/>
      <c r="AI175" s="395"/>
      <c r="AJ175" s="395"/>
      <c r="AK175" s="395"/>
      <c r="AL175" s="395"/>
      <c r="AM175" s="395"/>
      <c r="AN175" s="395"/>
      <c r="AO175" s="395"/>
      <c r="AP175" s="395"/>
      <c r="AQ175" s="395"/>
      <c r="AR175" s="395"/>
      <c r="AS175" s="395"/>
      <c r="AT175" s="395"/>
      <c r="AU175" s="395"/>
      <c r="AV175" s="395"/>
      <c r="AW175" s="395"/>
      <c r="AX175" s="395"/>
      <c r="AY175" s="395"/>
      <c r="AZ175" s="395"/>
      <c r="BA175" s="395"/>
      <c r="BB175" s="395"/>
      <c r="BC175" s="395"/>
      <c r="BD175" s="395"/>
      <c r="BE175" s="395"/>
      <c r="BF175" s="395"/>
      <c r="BG175" s="395"/>
      <c r="BH175" s="395"/>
      <c r="BI175" s="395"/>
      <c r="BJ175" s="395"/>
      <c r="BK175" s="395"/>
      <c r="BL175" s="395"/>
      <c r="BM175" s="395"/>
      <c r="BN175" s="395"/>
      <c r="BO175" s="395"/>
      <c r="BP175" s="395"/>
      <c r="BQ175" s="395"/>
      <c r="BR175" s="395"/>
      <c r="BS175" s="395"/>
      <c r="BT175" s="395"/>
      <c r="BU175" s="395"/>
      <c r="BV175" s="395"/>
      <c r="BW175" s="395"/>
      <c r="BX175" s="395"/>
      <c r="BY175" s="395"/>
      <c r="BZ175" s="395"/>
      <c r="CA175" s="395"/>
      <c r="CB175" s="395"/>
      <c r="CC175" s="395"/>
      <c r="CD175" s="395"/>
      <c r="CE175" s="395"/>
      <c r="CF175" s="395"/>
      <c r="CG175" s="395"/>
      <c r="CH175" s="395"/>
      <c r="CI175" s="395"/>
      <c r="CJ175" s="395"/>
      <c r="CK175" s="395"/>
      <c r="CL175" s="395"/>
      <c r="CM175" s="395"/>
      <c r="CN175" s="395"/>
      <c r="CO175" s="395"/>
      <c r="CP175" s="395"/>
      <c r="CQ175" s="395"/>
      <c r="CR175" s="395"/>
      <c r="CS175" s="395"/>
      <c r="CT175" s="395"/>
      <c r="CU175" s="395"/>
      <c r="CV175" s="395"/>
      <c r="CW175" s="395"/>
      <c r="CX175" s="395"/>
      <c r="CY175" s="395"/>
      <c r="CZ175" s="395"/>
      <c r="DA175" s="395"/>
      <c r="DB175" s="395"/>
      <c r="DC175" s="395"/>
      <c r="DD175" s="395"/>
      <c r="DE175" s="395"/>
      <c r="DF175" s="395"/>
      <c r="DG175" s="395"/>
      <c r="DH175" s="395"/>
      <c r="DI175" s="395"/>
      <c r="DJ175" s="395"/>
      <c r="DK175" s="395"/>
      <c r="DL175" s="395"/>
      <c r="DM175" s="395"/>
      <c r="DN175" s="395"/>
      <c r="DO175" s="395"/>
      <c r="DP175" s="395"/>
      <c r="DQ175" s="395"/>
      <c r="DR175" s="395"/>
      <c r="DS175" s="395"/>
      <c r="DT175" s="395"/>
      <c r="DU175" s="395"/>
      <c r="DV175" s="395"/>
      <c r="DW175" s="395"/>
      <c r="DX175" s="395"/>
      <c r="DY175" s="395"/>
      <c r="DZ175" s="395"/>
      <c r="EA175" s="395"/>
      <c r="EB175" s="395"/>
      <c r="EC175" s="395"/>
      <c r="ED175" s="395"/>
      <c r="EE175" s="395"/>
      <c r="EF175" s="395"/>
      <c r="EG175" s="395"/>
      <c r="EH175" s="395"/>
      <c r="EI175" s="395"/>
      <c r="EJ175" s="395"/>
      <c r="EK175" s="395"/>
      <c r="EL175" s="395"/>
      <c r="EM175" s="395"/>
      <c r="EN175" s="395"/>
      <c r="EO175" s="395"/>
      <c r="EP175" s="395"/>
      <c r="EQ175" s="395"/>
      <c r="ER175" s="395"/>
      <c r="ES175" s="395"/>
      <c r="ET175" s="395"/>
      <c r="EU175" s="395"/>
      <c r="EV175" s="395"/>
      <c r="EW175" s="395"/>
      <c r="EX175" s="395"/>
      <c r="EY175" s="395"/>
      <c r="EZ175" s="395"/>
      <c r="FA175" s="395"/>
      <c r="FB175" s="395"/>
      <c r="FC175" s="395"/>
      <c r="FD175" s="395"/>
      <c r="FE175" s="395"/>
      <c r="FF175" s="395"/>
      <c r="FG175" s="395"/>
      <c r="FH175" s="395"/>
      <c r="FI175" s="395"/>
      <c r="FJ175" s="395"/>
      <c r="FK175" s="395"/>
      <c r="FL175" s="395"/>
      <c r="FM175" s="395"/>
      <c r="FN175" s="395"/>
      <c r="FO175" s="395"/>
      <c r="FP175" s="395"/>
      <c r="FQ175" s="395"/>
      <c r="FR175" s="395"/>
      <c r="FS175" s="395"/>
      <c r="FT175" s="395"/>
      <c r="FU175" s="395"/>
      <c r="FV175" s="395"/>
      <c r="FW175" s="395"/>
      <c r="FX175" s="395"/>
      <c r="FY175" s="395"/>
      <c r="FZ175" s="395"/>
      <c r="GA175" s="395"/>
      <c r="GB175" s="395"/>
      <c r="GC175" s="395"/>
      <c r="GD175" s="395"/>
      <c r="GE175" s="395"/>
      <c r="GF175" s="395"/>
      <c r="GG175" s="395"/>
      <c r="GH175" s="395"/>
      <c r="GI175" s="395"/>
      <c r="GJ175" s="395"/>
      <c r="GK175" s="395"/>
      <c r="GL175" s="395"/>
      <c r="GM175" s="395"/>
      <c r="GN175" s="395"/>
      <c r="GO175" s="395"/>
      <c r="GP175" s="395"/>
      <c r="GQ175" s="395"/>
      <c r="GR175" s="395"/>
      <c r="GS175" s="395"/>
      <c r="GT175" s="395"/>
      <c r="GU175" s="395"/>
      <c r="GV175" s="395"/>
      <c r="GW175" s="395"/>
      <c r="GX175" s="395"/>
      <c r="GY175" s="395"/>
      <c r="GZ175" s="395"/>
      <c r="HA175" s="395"/>
      <c r="HB175" s="395"/>
      <c r="HC175" s="395"/>
      <c r="HD175" s="395"/>
      <c r="HE175" s="395"/>
      <c r="HF175" s="395"/>
      <c r="HG175" s="395"/>
      <c r="HH175" s="395"/>
      <c r="HI175" s="395"/>
      <c r="HJ175" s="395"/>
      <c r="HK175" s="395"/>
      <c r="HL175" s="395"/>
      <c r="HM175" s="395"/>
      <c r="HN175" s="395"/>
      <c r="HO175" s="395"/>
      <c r="HP175" s="395"/>
      <c r="HQ175" s="395"/>
      <c r="HR175" s="395"/>
    </row>
    <row r="176" spans="1:226" s="866" customFormat="1" x14ac:dyDescent="0.25">
      <c r="A176" s="395"/>
      <c r="B176" s="395"/>
      <c r="C176" s="395"/>
      <c r="D176" s="395"/>
      <c r="E176" s="395"/>
      <c r="F176" s="395"/>
      <c r="G176" s="395"/>
      <c r="H176" s="395"/>
      <c r="I176" s="395"/>
      <c r="J176" s="395"/>
      <c r="K176" s="395"/>
      <c r="L176" s="395"/>
      <c r="M176" s="395"/>
      <c r="N176" s="395"/>
      <c r="O176" s="395"/>
      <c r="P176" s="395"/>
      <c r="Q176" s="395"/>
      <c r="R176" s="395"/>
      <c r="S176" s="395"/>
      <c r="T176" s="395"/>
      <c r="U176" s="395"/>
      <c r="V176" s="1608"/>
      <c r="W176" s="395"/>
      <c r="X176" s="395"/>
      <c r="Y176" s="395"/>
      <c r="Z176" s="2140"/>
      <c r="AA176" s="395"/>
      <c r="AB176" s="395"/>
      <c r="AC176" s="395"/>
      <c r="AD176" s="395"/>
      <c r="AE176" s="395"/>
      <c r="AF176" s="395"/>
      <c r="AG176" s="395"/>
      <c r="AH176" s="395"/>
      <c r="AI176" s="395"/>
      <c r="AJ176" s="395"/>
      <c r="AK176" s="395"/>
      <c r="AL176" s="395"/>
      <c r="AM176" s="395"/>
      <c r="AN176" s="395"/>
      <c r="AO176" s="395"/>
      <c r="AP176" s="395"/>
      <c r="AQ176" s="395"/>
      <c r="AR176" s="395"/>
      <c r="AS176" s="395"/>
      <c r="AT176" s="395"/>
      <c r="AU176" s="395"/>
      <c r="AV176" s="395"/>
      <c r="AW176" s="395"/>
      <c r="AX176" s="395"/>
      <c r="AY176" s="395"/>
      <c r="AZ176" s="395"/>
      <c r="BA176" s="395"/>
      <c r="BB176" s="395"/>
      <c r="BC176" s="395"/>
      <c r="BD176" s="395"/>
      <c r="BE176" s="395"/>
      <c r="BF176" s="395"/>
      <c r="BG176" s="395"/>
      <c r="BH176" s="395"/>
      <c r="BI176" s="395"/>
      <c r="BJ176" s="395"/>
      <c r="BK176" s="395"/>
      <c r="BL176" s="395"/>
      <c r="BM176" s="395"/>
      <c r="BN176" s="395"/>
      <c r="BO176" s="395"/>
      <c r="BP176" s="395"/>
      <c r="BQ176" s="395"/>
      <c r="BR176" s="395"/>
      <c r="BS176" s="395"/>
      <c r="BT176" s="395"/>
      <c r="BU176" s="395"/>
      <c r="BV176" s="395"/>
      <c r="BW176" s="395"/>
      <c r="BX176" s="395"/>
      <c r="BY176" s="395"/>
      <c r="BZ176" s="395"/>
      <c r="CA176" s="395"/>
      <c r="CB176" s="395"/>
      <c r="CC176" s="395"/>
      <c r="CD176" s="395"/>
      <c r="CE176" s="395"/>
      <c r="CF176" s="395"/>
      <c r="CG176" s="395"/>
      <c r="CH176" s="395"/>
      <c r="CI176" s="395"/>
      <c r="CJ176" s="395"/>
      <c r="CK176" s="395"/>
      <c r="CL176" s="395"/>
      <c r="CM176" s="395"/>
      <c r="CN176" s="395"/>
      <c r="CO176" s="395"/>
      <c r="CP176" s="395"/>
      <c r="CQ176" s="395"/>
      <c r="CR176" s="395"/>
      <c r="CS176" s="395"/>
      <c r="CT176" s="395"/>
      <c r="CU176" s="395"/>
      <c r="CV176" s="395"/>
      <c r="CW176" s="395"/>
      <c r="CX176" s="395"/>
      <c r="CY176" s="395"/>
      <c r="CZ176" s="395"/>
      <c r="DA176" s="395"/>
      <c r="DB176" s="395"/>
      <c r="DC176" s="395"/>
      <c r="DD176" s="395"/>
      <c r="DE176" s="395"/>
      <c r="DF176" s="395"/>
      <c r="DG176" s="395"/>
      <c r="DH176" s="395"/>
      <c r="DI176" s="395"/>
      <c r="DJ176" s="395"/>
      <c r="DK176" s="395"/>
      <c r="DL176" s="395"/>
      <c r="DM176" s="395"/>
      <c r="DN176" s="395"/>
      <c r="DO176" s="395"/>
      <c r="DP176" s="395"/>
      <c r="DQ176" s="395"/>
      <c r="DR176" s="395"/>
      <c r="DS176" s="395"/>
      <c r="DT176" s="395"/>
      <c r="DU176" s="395"/>
      <c r="DV176" s="395"/>
      <c r="DW176" s="395"/>
      <c r="DX176" s="395"/>
      <c r="DY176" s="395"/>
      <c r="DZ176" s="395"/>
      <c r="EA176" s="395"/>
      <c r="EB176" s="395"/>
      <c r="EC176" s="395"/>
      <c r="ED176" s="395"/>
      <c r="EE176" s="395"/>
      <c r="EF176" s="395"/>
      <c r="EG176" s="395"/>
      <c r="EH176" s="395"/>
      <c r="EI176" s="395"/>
      <c r="EJ176" s="395"/>
      <c r="EK176" s="395"/>
      <c r="EL176" s="395"/>
      <c r="EM176" s="395"/>
      <c r="EN176" s="395"/>
      <c r="EO176" s="395"/>
      <c r="EP176" s="395"/>
      <c r="EQ176" s="395"/>
      <c r="ER176" s="395"/>
      <c r="ES176" s="395"/>
      <c r="ET176" s="395"/>
      <c r="EU176" s="395"/>
      <c r="EV176" s="395"/>
      <c r="EW176" s="395"/>
      <c r="EX176" s="395"/>
      <c r="EY176" s="395"/>
      <c r="EZ176" s="395"/>
      <c r="FA176" s="395"/>
      <c r="FB176" s="395"/>
      <c r="FC176" s="395"/>
      <c r="FD176" s="395"/>
      <c r="FE176" s="395"/>
      <c r="FF176" s="395"/>
      <c r="FG176" s="395"/>
      <c r="FH176" s="395"/>
      <c r="FI176" s="395"/>
      <c r="FJ176" s="395"/>
      <c r="FK176" s="395"/>
      <c r="FL176" s="395"/>
      <c r="FM176" s="395"/>
      <c r="FN176" s="395"/>
      <c r="FO176" s="395"/>
      <c r="FP176" s="395"/>
      <c r="FQ176" s="395"/>
      <c r="FR176" s="395"/>
      <c r="FS176" s="395"/>
      <c r="FT176" s="395"/>
      <c r="FU176" s="395"/>
      <c r="FV176" s="395"/>
      <c r="FW176" s="395"/>
      <c r="FX176" s="395"/>
      <c r="FY176" s="395"/>
      <c r="FZ176" s="395"/>
      <c r="GA176" s="395"/>
      <c r="GB176" s="395"/>
      <c r="GC176" s="395"/>
      <c r="GD176" s="395"/>
      <c r="GE176" s="395"/>
      <c r="GF176" s="395"/>
      <c r="GG176" s="395"/>
      <c r="GH176" s="395"/>
      <c r="GI176" s="395"/>
      <c r="GJ176" s="395"/>
      <c r="GK176" s="395"/>
      <c r="GL176" s="395"/>
      <c r="GM176" s="395"/>
      <c r="GN176" s="395"/>
      <c r="GO176" s="395"/>
      <c r="GP176" s="395"/>
      <c r="GQ176" s="395"/>
      <c r="GR176" s="395"/>
      <c r="GS176" s="395"/>
      <c r="GT176" s="395"/>
      <c r="GU176" s="395"/>
      <c r="GV176" s="395"/>
      <c r="GW176" s="395"/>
      <c r="GX176" s="395"/>
      <c r="GY176" s="395"/>
      <c r="GZ176" s="395"/>
      <c r="HA176" s="395"/>
      <c r="HB176" s="395"/>
      <c r="HC176" s="395"/>
      <c r="HD176" s="395"/>
      <c r="HE176" s="395"/>
      <c r="HF176" s="395"/>
      <c r="HG176" s="395"/>
      <c r="HH176" s="395"/>
      <c r="HI176" s="395"/>
      <c r="HJ176" s="395"/>
      <c r="HK176" s="395"/>
      <c r="HL176" s="395"/>
      <c r="HM176" s="395"/>
      <c r="HN176" s="395"/>
      <c r="HO176" s="395"/>
      <c r="HP176" s="395"/>
      <c r="HQ176" s="395"/>
      <c r="HR176" s="395"/>
    </row>
    <row r="177" spans="1:226" s="866" customFormat="1" x14ac:dyDescent="0.25">
      <c r="A177" s="395"/>
      <c r="B177" s="395"/>
      <c r="C177" s="395"/>
      <c r="D177" s="395"/>
      <c r="E177" s="395"/>
      <c r="F177" s="395"/>
      <c r="G177" s="395"/>
      <c r="H177" s="395"/>
      <c r="I177" s="395"/>
      <c r="J177" s="395"/>
      <c r="K177" s="395"/>
      <c r="L177" s="395"/>
      <c r="M177" s="395"/>
      <c r="N177" s="395"/>
      <c r="O177" s="395"/>
      <c r="P177" s="395"/>
      <c r="Q177" s="395"/>
      <c r="R177" s="395"/>
      <c r="S177" s="395"/>
      <c r="T177" s="395"/>
      <c r="U177" s="395"/>
      <c r="V177" s="1608"/>
      <c r="W177" s="395"/>
      <c r="X177" s="395"/>
      <c r="Y177" s="395"/>
      <c r="Z177" s="2140"/>
      <c r="AA177" s="395"/>
      <c r="AB177" s="395"/>
      <c r="AC177" s="395"/>
      <c r="AD177" s="395"/>
      <c r="AE177" s="395"/>
      <c r="AF177" s="395"/>
      <c r="AG177" s="395"/>
      <c r="AH177" s="395"/>
      <c r="AI177" s="395"/>
      <c r="AJ177" s="395"/>
      <c r="AK177" s="395"/>
      <c r="AL177" s="395"/>
      <c r="AM177" s="395"/>
      <c r="AN177" s="395"/>
      <c r="AO177" s="395"/>
      <c r="AP177" s="395"/>
      <c r="AQ177" s="395"/>
      <c r="AR177" s="395"/>
      <c r="AS177" s="395"/>
      <c r="AT177" s="395"/>
      <c r="AU177" s="395"/>
      <c r="AV177" s="395"/>
      <c r="AW177" s="395"/>
      <c r="AX177" s="395"/>
      <c r="AY177" s="395"/>
      <c r="AZ177" s="395"/>
      <c r="BA177" s="395"/>
      <c r="BB177" s="395"/>
      <c r="BC177" s="395"/>
      <c r="BD177" s="395"/>
      <c r="BE177" s="395"/>
      <c r="BF177" s="395"/>
      <c r="BG177" s="395"/>
      <c r="BH177" s="395"/>
      <c r="BI177" s="395"/>
      <c r="BJ177" s="395"/>
      <c r="BK177" s="395"/>
      <c r="BL177" s="395"/>
      <c r="BM177" s="395"/>
      <c r="BN177" s="395"/>
      <c r="BO177" s="395"/>
      <c r="BP177" s="395"/>
      <c r="BQ177" s="395"/>
      <c r="BR177" s="395"/>
      <c r="BS177" s="395"/>
      <c r="BT177" s="395"/>
      <c r="BU177" s="395"/>
      <c r="BV177" s="395"/>
      <c r="BW177" s="395"/>
      <c r="BX177" s="395"/>
      <c r="BY177" s="395"/>
      <c r="BZ177" s="395"/>
      <c r="CA177" s="395"/>
      <c r="CB177" s="395"/>
      <c r="CC177" s="395"/>
      <c r="CD177" s="395"/>
      <c r="CE177" s="395"/>
      <c r="CF177" s="395"/>
      <c r="CG177" s="395"/>
      <c r="CH177" s="395"/>
      <c r="CI177" s="395"/>
      <c r="CJ177" s="395"/>
      <c r="CK177" s="395"/>
      <c r="CL177" s="395"/>
      <c r="CM177" s="395"/>
      <c r="CN177" s="395"/>
      <c r="CO177" s="395"/>
      <c r="CP177" s="395"/>
      <c r="CQ177" s="395"/>
      <c r="CR177" s="395"/>
      <c r="CS177" s="395"/>
      <c r="CT177" s="395"/>
      <c r="CU177" s="395"/>
      <c r="CV177" s="395"/>
      <c r="CW177" s="395"/>
      <c r="CX177" s="395"/>
      <c r="CY177" s="395"/>
      <c r="CZ177" s="395"/>
      <c r="DA177" s="395"/>
      <c r="DB177" s="395"/>
      <c r="DC177" s="395"/>
      <c r="DD177" s="395"/>
      <c r="DE177" s="395"/>
      <c r="DF177" s="395"/>
      <c r="DG177" s="395"/>
      <c r="DH177" s="395"/>
      <c r="DI177" s="395"/>
      <c r="DJ177" s="395"/>
      <c r="DK177" s="395"/>
      <c r="DL177" s="395"/>
      <c r="DM177" s="395"/>
      <c r="DN177" s="395"/>
      <c r="DO177" s="395"/>
      <c r="DP177" s="395"/>
      <c r="DQ177" s="395"/>
      <c r="DR177" s="395"/>
      <c r="DS177" s="395"/>
      <c r="DT177" s="395"/>
      <c r="DU177" s="395"/>
      <c r="DV177" s="395"/>
      <c r="DW177" s="395"/>
      <c r="DX177" s="395"/>
      <c r="DY177" s="395"/>
      <c r="DZ177" s="395"/>
      <c r="EA177" s="395"/>
      <c r="EB177" s="395"/>
      <c r="EC177" s="395"/>
      <c r="ED177" s="395"/>
      <c r="EE177" s="395"/>
      <c r="EF177" s="395"/>
      <c r="EG177" s="395"/>
      <c r="EH177" s="395"/>
      <c r="EI177" s="395"/>
      <c r="EJ177" s="395"/>
      <c r="EK177" s="395"/>
      <c r="EL177" s="395"/>
      <c r="EM177" s="395"/>
      <c r="EN177" s="395"/>
      <c r="EO177" s="395"/>
      <c r="EP177" s="395"/>
      <c r="EQ177" s="395"/>
      <c r="ER177" s="395"/>
      <c r="ES177" s="395"/>
      <c r="ET177" s="395"/>
      <c r="EU177" s="395"/>
      <c r="EV177" s="395"/>
      <c r="EW177" s="395"/>
      <c r="EX177" s="395"/>
      <c r="EY177" s="395"/>
      <c r="EZ177" s="395"/>
      <c r="FA177" s="395"/>
      <c r="FB177" s="395"/>
      <c r="FC177" s="395"/>
      <c r="FD177" s="395"/>
      <c r="FE177" s="395"/>
      <c r="FF177" s="395"/>
      <c r="FG177" s="395"/>
      <c r="FH177" s="395"/>
      <c r="FI177" s="395"/>
      <c r="FJ177" s="395"/>
      <c r="FK177" s="395"/>
      <c r="FL177" s="395"/>
      <c r="FM177" s="395"/>
      <c r="FN177" s="395"/>
      <c r="FO177" s="395"/>
      <c r="FP177" s="395"/>
      <c r="FQ177" s="395"/>
      <c r="FR177" s="395"/>
      <c r="FS177" s="395"/>
      <c r="FT177" s="395"/>
      <c r="FU177" s="395"/>
      <c r="FV177" s="395"/>
      <c r="FW177" s="395"/>
      <c r="FX177" s="395"/>
      <c r="FY177" s="395"/>
      <c r="FZ177" s="395"/>
      <c r="GA177" s="395"/>
      <c r="GB177" s="395"/>
      <c r="GC177" s="395"/>
      <c r="GD177" s="395"/>
      <c r="GE177" s="395"/>
      <c r="GF177" s="395"/>
      <c r="GG177" s="395"/>
      <c r="GH177" s="395"/>
      <c r="GI177" s="395"/>
      <c r="GJ177" s="395"/>
      <c r="GK177" s="395"/>
      <c r="GL177" s="395"/>
      <c r="GM177" s="395"/>
      <c r="GN177" s="395"/>
      <c r="GO177" s="395"/>
      <c r="GP177" s="395"/>
      <c r="GQ177" s="395"/>
      <c r="GR177" s="395"/>
      <c r="GS177" s="395"/>
      <c r="GT177" s="395"/>
      <c r="GU177" s="395"/>
      <c r="GV177" s="395"/>
      <c r="GW177" s="395"/>
      <c r="GX177" s="395"/>
      <c r="GY177" s="395"/>
      <c r="GZ177" s="395"/>
      <c r="HA177" s="395"/>
      <c r="HB177" s="395"/>
      <c r="HC177" s="395"/>
      <c r="HD177" s="395"/>
      <c r="HE177" s="395"/>
      <c r="HF177" s="395"/>
      <c r="HG177" s="395"/>
      <c r="HH177" s="395"/>
      <c r="HI177" s="395"/>
      <c r="HJ177" s="395"/>
      <c r="HK177" s="395"/>
      <c r="HL177" s="395"/>
      <c r="HM177" s="395"/>
      <c r="HN177" s="395"/>
      <c r="HO177" s="395"/>
      <c r="HP177" s="395"/>
      <c r="HQ177" s="395"/>
      <c r="HR177" s="395"/>
    </row>
    <row r="178" spans="1:226" s="866" customFormat="1" x14ac:dyDescent="0.25">
      <c r="A178" s="395"/>
      <c r="B178" s="395"/>
      <c r="C178" s="395"/>
      <c r="D178" s="395"/>
      <c r="E178" s="395"/>
      <c r="F178" s="395"/>
      <c r="G178" s="395"/>
      <c r="H178" s="395"/>
      <c r="I178" s="395"/>
      <c r="J178" s="395"/>
      <c r="K178" s="395"/>
      <c r="L178" s="395"/>
      <c r="M178" s="395"/>
      <c r="N178" s="395"/>
      <c r="O178" s="395"/>
      <c r="P178" s="395"/>
      <c r="Q178" s="395"/>
      <c r="R178" s="395"/>
      <c r="S178" s="395"/>
      <c r="T178" s="395"/>
      <c r="U178" s="395"/>
      <c r="V178" s="1608"/>
      <c r="W178" s="395"/>
      <c r="X178" s="395"/>
      <c r="Y178" s="395"/>
      <c r="Z178" s="2140"/>
      <c r="AA178" s="395"/>
      <c r="AB178" s="395"/>
      <c r="AC178" s="395"/>
      <c r="AD178" s="395"/>
      <c r="AE178" s="395"/>
      <c r="AF178" s="395"/>
      <c r="AG178" s="395"/>
      <c r="AH178" s="395"/>
      <c r="AI178" s="395"/>
      <c r="AJ178" s="395"/>
      <c r="AK178" s="395"/>
      <c r="AL178" s="395"/>
      <c r="AM178" s="395"/>
      <c r="AN178" s="395"/>
      <c r="AO178" s="395"/>
      <c r="AP178" s="395"/>
      <c r="AQ178" s="395"/>
      <c r="AR178" s="395"/>
      <c r="AS178" s="395"/>
      <c r="AT178" s="395"/>
      <c r="AU178" s="395"/>
      <c r="AV178" s="395"/>
      <c r="AW178" s="395"/>
      <c r="AX178" s="395"/>
      <c r="AY178" s="395"/>
      <c r="AZ178" s="395"/>
      <c r="BA178" s="395"/>
      <c r="BB178" s="395"/>
      <c r="BC178" s="395"/>
      <c r="BD178" s="395"/>
      <c r="BE178" s="395"/>
      <c r="BF178" s="395"/>
      <c r="BG178" s="395"/>
      <c r="BH178" s="395"/>
      <c r="BI178" s="395"/>
      <c r="BJ178" s="395"/>
      <c r="BK178" s="395"/>
      <c r="BL178" s="395"/>
      <c r="BM178" s="395"/>
      <c r="BN178" s="395"/>
      <c r="BO178" s="395"/>
      <c r="BP178" s="395"/>
      <c r="BQ178" s="395"/>
      <c r="BR178" s="395"/>
      <c r="BS178" s="395"/>
      <c r="BT178" s="395"/>
      <c r="BU178" s="395"/>
      <c r="BV178" s="395"/>
      <c r="BW178" s="395"/>
      <c r="BX178" s="395"/>
      <c r="BY178" s="395"/>
      <c r="BZ178" s="395"/>
      <c r="CA178" s="395"/>
      <c r="CB178" s="395"/>
      <c r="CC178" s="395"/>
      <c r="CD178" s="395"/>
      <c r="CE178" s="395"/>
      <c r="CF178" s="395"/>
      <c r="CG178" s="395"/>
      <c r="CH178" s="395"/>
      <c r="CI178" s="395"/>
      <c r="CJ178" s="395"/>
      <c r="CK178" s="395"/>
      <c r="CL178" s="395"/>
      <c r="CM178" s="395"/>
      <c r="CN178" s="395"/>
      <c r="CO178" s="395"/>
      <c r="CP178" s="395"/>
      <c r="CQ178" s="395"/>
      <c r="CR178" s="395"/>
      <c r="CS178" s="395"/>
      <c r="CT178" s="395"/>
      <c r="CU178" s="395"/>
      <c r="CV178" s="395"/>
      <c r="CW178" s="395"/>
      <c r="CX178" s="395"/>
      <c r="CY178" s="395"/>
      <c r="CZ178" s="395"/>
      <c r="DA178" s="395"/>
      <c r="DB178" s="395"/>
      <c r="DC178" s="395"/>
      <c r="DD178" s="395"/>
      <c r="DE178" s="395"/>
      <c r="DF178" s="395"/>
      <c r="DG178" s="395"/>
      <c r="DH178" s="395"/>
      <c r="DI178" s="395"/>
      <c r="DJ178" s="395"/>
      <c r="DK178" s="395"/>
      <c r="DL178" s="395"/>
      <c r="DM178" s="395"/>
      <c r="DN178" s="395"/>
      <c r="DO178" s="395"/>
      <c r="DP178" s="395"/>
      <c r="DQ178" s="395"/>
      <c r="DR178" s="395"/>
      <c r="DS178" s="395"/>
      <c r="DT178" s="395"/>
      <c r="DU178" s="395"/>
      <c r="DV178" s="395"/>
      <c r="DW178" s="395"/>
      <c r="DX178" s="395"/>
      <c r="DY178" s="395"/>
      <c r="DZ178" s="395"/>
      <c r="EA178" s="395"/>
      <c r="EB178" s="395"/>
      <c r="EC178" s="395"/>
      <c r="ED178" s="395"/>
      <c r="EE178" s="395"/>
      <c r="EF178" s="395"/>
      <c r="EG178" s="395"/>
      <c r="EH178" s="395"/>
      <c r="EI178" s="395"/>
      <c r="EJ178" s="395"/>
      <c r="EK178" s="395"/>
      <c r="EL178" s="395"/>
      <c r="EM178" s="395"/>
      <c r="EN178" s="395"/>
      <c r="EO178" s="395"/>
      <c r="EP178" s="395"/>
      <c r="EQ178" s="395"/>
      <c r="ER178" s="395"/>
      <c r="ES178" s="395"/>
      <c r="ET178" s="395"/>
      <c r="EU178" s="395"/>
      <c r="EV178" s="395"/>
      <c r="EW178" s="395"/>
      <c r="EX178" s="395"/>
      <c r="EY178" s="395"/>
      <c r="EZ178" s="395"/>
      <c r="FA178" s="395"/>
      <c r="FB178" s="395"/>
      <c r="FC178" s="395"/>
      <c r="FD178" s="395"/>
      <c r="FE178" s="395"/>
      <c r="FF178" s="395"/>
      <c r="FG178" s="395"/>
      <c r="FH178" s="395"/>
      <c r="FI178" s="395"/>
      <c r="FJ178" s="395"/>
      <c r="FK178" s="395"/>
      <c r="FL178" s="395"/>
      <c r="FM178" s="395"/>
      <c r="FN178" s="395"/>
      <c r="FO178" s="395"/>
      <c r="FP178" s="395"/>
      <c r="FQ178" s="395"/>
      <c r="FR178" s="395"/>
      <c r="FS178" s="395"/>
      <c r="FT178" s="395"/>
      <c r="FU178" s="395"/>
      <c r="FV178" s="395"/>
      <c r="FW178" s="395"/>
      <c r="FX178" s="395"/>
      <c r="FY178" s="395"/>
      <c r="FZ178" s="395"/>
      <c r="GA178" s="395"/>
      <c r="GB178" s="395"/>
      <c r="GC178" s="395"/>
      <c r="GD178" s="395"/>
      <c r="GE178" s="395"/>
      <c r="GF178" s="395"/>
      <c r="GG178" s="395"/>
      <c r="GH178" s="395"/>
      <c r="GI178" s="395"/>
      <c r="GJ178" s="395"/>
      <c r="GK178" s="395"/>
      <c r="GL178" s="395"/>
      <c r="GM178" s="395"/>
      <c r="GN178" s="395"/>
      <c r="GO178" s="395"/>
      <c r="GP178" s="395"/>
      <c r="GQ178" s="395"/>
      <c r="GR178" s="395"/>
      <c r="GS178" s="395"/>
      <c r="GT178" s="395"/>
      <c r="GU178" s="395"/>
      <c r="GV178" s="395"/>
      <c r="GW178" s="395"/>
      <c r="GX178" s="395"/>
      <c r="GY178" s="395"/>
      <c r="GZ178" s="395"/>
      <c r="HA178" s="395"/>
      <c r="HB178" s="395"/>
      <c r="HC178" s="395"/>
      <c r="HD178" s="395"/>
      <c r="HE178" s="395"/>
      <c r="HF178" s="395"/>
      <c r="HG178" s="395"/>
      <c r="HH178" s="395"/>
      <c r="HI178" s="395"/>
      <c r="HJ178" s="395"/>
      <c r="HK178" s="395"/>
      <c r="HL178" s="395"/>
      <c r="HM178" s="395"/>
      <c r="HN178" s="395"/>
      <c r="HO178" s="395"/>
      <c r="HP178" s="395"/>
      <c r="HQ178" s="395"/>
      <c r="HR178" s="395"/>
    </row>
    <row r="179" spans="1:226" s="866" customFormat="1" x14ac:dyDescent="0.25">
      <c r="A179" s="395"/>
      <c r="B179" s="395"/>
      <c r="C179" s="395"/>
      <c r="D179" s="395"/>
      <c r="E179" s="395"/>
      <c r="F179" s="395"/>
      <c r="G179" s="395"/>
      <c r="H179" s="395"/>
      <c r="I179" s="395"/>
      <c r="J179" s="395"/>
      <c r="K179" s="395"/>
      <c r="L179" s="395"/>
      <c r="M179" s="395"/>
      <c r="N179" s="395"/>
      <c r="O179" s="395"/>
      <c r="P179" s="395"/>
      <c r="Q179" s="395"/>
      <c r="R179" s="395"/>
      <c r="S179" s="395"/>
      <c r="T179" s="395"/>
      <c r="U179" s="395"/>
      <c r="V179" s="1608"/>
      <c r="W179" s="395"/>
      <c r="X179" s="395"/>
      <c r="Y179" s="395"/>
      <c r="Z179" s="2140"/>
      <c r="AA179" s="395"/>
      <c r="AB179" s="395"/>
      <c r="AC179" s="395"/>
      <c r="AD179" s="395"/>
      <c r="AE179" s="395"/>
      <c r="AF179" s="395"/>
      <c r="AG179" s="395"/>
      <c r="AH179" s="395"/>
      <c r="AI179" s="395"/>
      <c r="AJ179" s="395"/>
      <c r="AK179" s="395"/>
      <c r="AL179" s="395"/>
      <c r="AM179" s="395"/>
      <c r="AN179" s="395"/>
      <c r="AO179" s="395"/>
      <c r="AP179" s="395"/>
      <c r="AQ179" s="395"/>
      <c r="AR179" s="395"/>
      <c r="AS179" s="395"/>
      <c r="AT179" s="395"/>
      <c r="AU179" s="395"/>
      <c r="AV179" s="395"/>
      <c r="AW179" s="395"/>
      <c r="AX179" s="395"/>
      <c r="AY179" s="395"/>
      <c r="AZ179" s="395"/>
      <c r="BA179" s="395"/>
      <c r="BB179" s="395"/>
      <c r="BC179" s="395"/>
      <c r="BD179" s="395"/>
      <c r="BE179" s="395"/>
      <c r="BF179" s="395"/>
      <c r="BG179" s="395"/>
      <c r="BH179" s="395"/>
      <c r="BI179" s="395"/>
      <c r="BJ179" s="395"/>
      <c r="BK179" s="395"/>
      <c r="BL179" s="395"/>
      <c r="BM179" s="395"/>
      <c r="BN179" s="395"/>
      <c r="BO179" s="395"/>
      <c r="BP179" s="395"/>
      <c r="BQ179" s="395"/>
      <c r="BR179" s="395"/>
      <c r="BS179" s="395"/>
      <c r="BT179" s="395"/>
      <c r="BU179" s="395"/>
      <c r="BV179" s="395"/>
      <c r="BW179" s="395"/>
      <c r="BX179" s="395"/>
      <c r="BY179" s="395"/>
      <c r="BZ179" s="395"/>
      <c r="CA179" s="395"/>
      <c r="CB179" s="395"/>
      <c r="CC179" s="395"/>
      <c r="CD179" s="395"/>
      <c r="CE179" s="395"/>
      <c r="CF179" s="395"/>
      <c r="CG179" s="395"/>
      <c r="CH179" s="395"/>
      <c r="CI179" s="395"/>
      <c r="CJ179" s="395"/>
      <c r="CK179" s="395"/>
      <c r="CL179" s="395"/>
      <c r="CM179" s="395"/>
      <c r="CN179" s="395"/>
      <c r="CO179" s="395"/>
      <c r="CP179" s="395"/>
      <c r="CQ179" s="395"/>
      <c r="CR179" s="395"/>
      <c r="CS179" s="395"/>
      <c r="CT179" s="395"/>
      <c r="CU179" s="395"/>
      <c r="CV179" s="395"/>
      <c r="CW179" s="395"/>
      <c r="CX179" s="395"/>
      <c r="CY179" s="395"/>
      <c r="CZ179" s="395"/>
      <c r="DA179" s="395"/>
      <c r="DB179" s="395"/>
      <c r="DC179" s="395"/>
      <c r="DD179" s="395"/>
      <c r="DE179" s="395"/>
      <c r="DF179" s="395"/>
      <c r="DG179" s="395"/>
      <c r="DH179" s="395"/>
      <c r="DI179" s="395"/>
      <c r="DJ179" s="395"/>
      <c r="DK179" s="395"/>
      <c r="DL179" s="395"/>
      <c r="DM179" s="395"/>
      <c r="DN179" s="395"/>
      <c r="DO179" s="395"/>
      <c r="DP179" s="395"/>
      <c r="DQ179" s="395"/>
      <c r="DR179" s="395"/>
      <c r="DS179" s="395"/>
      <c r="DT179" s="395"/>
      <c r="DU179" s="395"/>
      <c r="DV179" s="395"/>
      <c r="DW179" s="395"/>
      <c r="DX179" s="395"/>
      <c r="DY179" s="395"/>
      <c r="DZ179" s="395"/>
      <c r="EA179" s="395"/>
      <c r="EB179" s="395"/>
      <c r="EC179" s="395"/>
      <c r="ED179" s="395"/>
      <c r="EE179" s="395"/>
      <c r="EF179" s="395"/>
      <c r="EG179" s="395"/>
      <c r="EH179" s="395"/>
      <c r="EI179" s="395"/>
      <c r="EJ179" s="395"/>
      <c r="EK179" s="395"/>
      <c r="EL179" s="395"/>
      <c r="EM179" s="395"/>
      <c r="EN179" s="395"/>
      <c r="EO179" s="395"/>
      <c r="EP179" s="395"/>
      <c r="EQ179" s="395"/>
      <c r="ER179" s="395"/>
      <c r="ES179" s="395"/>
      <c r="ET179" s="395"/>
      <c r="EU179" s="395"/>
      <c r="EV179" s="395"/>
      <c r="EW179" s="395"/>
      <c r="EX179" s="395"/>
      <c r="EY179" s="395"/>
      <c r="EZ179" s="395"/>
      <c r="FA179" s="395"/>
      <c r="FB179" s="395"/>
      <c r="FC179" s="395"/>
      <c r="FD179" s="395"/>
      <c r="FE179" s="395"/>
      <c r="FF179" s="395"/>
      <c r="FG179" s="395"/>
      <c r="FH179" s="395"/>
      <c r="FI179" s="395"/>
      <c r="FJ179" s="395"/>
      <c r="FK179" s="395"/>
      <c r="FL179" s="395"/>
      <c r="FM179" s="395"/>
      <c r="FN179" s="395"/>
      <c r="FO179" s="395"/>
      <c r="FP179" s="395"/>
      <c r="FQ179" s="395"/>
      <c r="FR179" s="395"/>
      <c r="FS179" s="395"/>
      <c r="FT179" s="395"/>
      <c r="FU179" s="395"/>
      <c r="FV179" s="395"/>
      <c r="FW179" s="395"/>
      <c r="FX179" s="395"/>
      <c r="FY179" s="395"/>
      <c r="FZ179" s="395"/>
      <c r="GA179" s="395"/>
      <c r="GB179" s="395"/>
      <c r="GC179" s="395"/>
      <c r="GD179" s="395"/>
      <c r="GE179" s="395"/>
      <c r="GF179" s="395"/>
      <c r="GG179" s="395"/>
      <c r="GH179" s="395"/>
      <c r="GI179" s="395"/>
      <c r="GJ179" s="395"/>
      <c r="GK179" s="395"/>
      <c r="GL179" s="395"/>
      <c r="GM179" s="395"/>
      <c r="GN179" s="395"/>
      <c r="GO179" s="395"/>
      <c r="GP179" s="395"/>
      <c r="GQ179" s="395"/>
      <c r="GR179" s="395"/>
      <c r="GS179" s="395"/>
      <c r="GT179" s="395"/>
      <c r="GU179" s="395"/>
      <c r="GV179" s="395"/>
      <c r="GW179" s="395"/>
      <c r="GX179" s="395"/>
      <c r="GY179" s="395"/>
      <c r="GZ179" s="395"/>
      <c r="HA179" s="395"/>
      <c r="HB179" s="395"/>
      <c r="HC179" s="395"/>
      <c r="HD179" s="395"/>
      <c r="HE179" s="395"/>
      <c r="HF179" s="395"/>
      <c r="HG179" s="395"/>
      <c r="HH179" s="395"/>
      <c r="HI179" s="395"/>
      <c r="HJ179" s="395"/>
      <c r="HK179" s="395"/>
      <c r="HL179" s="395"/>
      <c r="HM179" s="395"/>
      <c r="HN179" s="395"/>
      <c r="HO179" s="395"/>
      <c r="HP179" s="395"/>
      <c r="HQ179" s="395"/>
      <c r="HR179" s="395"/>
    </row>
    <row r="180" spans="1:226" s="866" customFormat="1" x14ac:dyDescent="0.25">
      <c r="A180" s="395"/>
      <c r="B180" s="395"/>
      <c r="C180" s="395"/>
      <c r="D180" s="395"/>
      <c r="E180" s="395"/>
      <c r="F180" s="395"/>
      <c r="G180" s="395"/>
      <c r="H180" s="395"/>
      <c r="I180" s="395"/>
      <c r="J180" s="395"/>
      <c r="K180" s="395"/>
      <c r="L180" s="395"/>
      <c r="M180" s="395"/>
      <c r="N180" s="395"/>
      <c r="O180" s="395"/>
      <c r="P180" s="395"/>
      <c r="Q180" s="395"/>
      <c r="R180" s="395"/>
      <c r="S180" s="395"/>
      <c r="T180" s="395"/>
      <c r="U180" s="395"/>
      <c r="V180" s="1608"/>
      <c r="W180" s="395"/>
      <c r="X180" s="395"/>
      <c r="Y180" s="395"/>
      <c r="Z180" s="2140"/>
      <c r="AA180" s="395"/>
      <c r="AB180" s="395"/>
      <c r="AC180" s="395"/>
      <c r="AD180" s="395"/>
      <c r="AE180" s="395"/>
      <c r="AF180" s="395"/>
      <c r="AG180" s="395"/>
      <c r="AH180" s="395"/>
      <c r="AI180" s="395"/>
      <c r="AJ180" s="395"/>
      <c r="AK180" s="395"/>
      <c r="AL180" s="395"/>
      <c r="AM180" s="395"/>
      <c r="AN180" s="395"/>
      <c r="AO180" s="395"/>
      <c r="AP180" s="395"/>
      <c r="AQ180" s="395"/>
      <c r="AR180" s="395"/>
      <c r="AS180" s="395"/>
      <c r="AT180" s="395"/>
      <c r="AU180" s="395"/>
      <c r="AV180" s="395"/>
      <c r="AW180" s="395"/>
      <c r="AX180" s="395"/>
      <c r="AY180" s="395"/>
      <c r="AZ180" s="395"/>
      <c r="BA180" s="395"/>
      <c r="BB180" s="395"/>
      <c r="BC180" s="395"/>
      <c r="BD180" s="395"/>
      <c r="BE180" s="395"/>
      <c r="BF180" s="395"/>
      <c r="BG180" s="395"/>
      <c r="BH180" s="395"/>
      <c r="BI180" s="395"/>
      <c r="BJ180" s="395"/>
      <c r="BK180" s="395"/>
      <c r="BL180" s="395"/>
      <c r="BM180" s="395"/>
      <c r="BN180" s="395"/>
      <c r="BO180" s="395"/>
      <c r="BP180" s="395"/>
      <c r="BQ180" s="395"/>
      <c r="BR180" s="395"/>
      <c r="BS180" s="395"/>
      <c r="BT180" s="395"/>
      <c r="BU180" s="395"/>
      <c r="BV180" s="395"/>
      <c r="BW180" s="395"/>
      <c r="BX180" s="395"/>
      <c r="BY180" s="395"/>
      <c r="BZ180" s="395"/>
      <c r="CA180" s="395"/>
      <c r="CB180" s="395"/>
      <c r="CC180" s="395"/>
      <c r="CD180" s="395"/>
      <c r="CE180" s="395"/>
      <c r="CF180" s="395"/>
      <c r="CG180" s="395"/>
      <c r="CH180" s="395"/>
      <c r="CI180" s="395"/>
      <c r="CJ180" s="395"/>
      <c r="CK180" s="395"/>
      <c r="CL180" s="395"/>
      <c r="CM180" s="395"/>
      <c r="CN180" s="395"/>
      <c r="CO180" s="395"/>
      <c r="CP180" s="395"/>
      <c r="CQ180" s="395"/>
      <c r="CR180" s="395"/>
      <c r="CS180" s="395"/>
      <c r="CT180" s="395"/>
      <c r="CU180" s="395"/>
      <c r="CV180" s="395"/>
      <c r="CW180" s="395"/>
      <c r="CX180" s="395"/>
      <c r="CY180" s="395"/>
      <c r="CZ180" s="395"/>
      <c r="DA180" s="395"/>
      <c r="DB180" s="395"/>
      <c r="DC180" s="395"/>
      <c r="DD180" s="395"/>
      <c r="DE180" s="395"/>
      <c r="DF180" s="395"/>
      <c r="DG180" s="395"/>
      <c r="DH180" s="395"/>
      <c r="DI180" s="395"/>
      <c r="DJ180" s="395"/>
      <c r="DK180" s="395"/>
      <c r="DL180" s="395"/>
      <c r="DM180" s="395"/>
      <c r="DN180" s="395"/>
      <c r="DO180" s="395"/>
      <c r="DP180" s="395"/>
      <c r="DQ180" s="395"/>
      <c r="DR180" s="395"/>
      <c r="DS180" s="395"/>
      <c r="DT180" s="395"/>
      <c r="DU180" s="395"/>
      <c r="DV180" s="395"/>
      <c r="DW180" s="395"/>
      <c r="DX180" s="395"/>
      <c r="DY180" s="395"/>
      <c r="DZ180" s="395"/>
      <c r="EA180" s="395"/>
      <c r="EB180" s="395"/>
      <c r="EC180" s="395"/>
      <c r="ED180" s="395"/>
      <c r="EE180" s="395"/>
      <c r="EF180" s="395"/>
      <c r="EG180" s="395"/>
      <c r="EH180" s="395"/>
      <c r="EI180" s="395"/>
      <c r="EJ180" s="395"/>
      <c r="EK180" s="395"/>
      <c r="EL180" s="395"/>
      <c r="EM180" s="395"/>
      <c r="EN180" s="395"/>
      <c r="EO180" s="395"/>
      <c r="EP180" s="395"/>
      <c r="EQ180" s="395"/>
      <c r="ER180" s="395"/>
      <c r="ES180" s="395"/>
      <c r="ET180" s="395"/>
      <c r="EU180" s="395"/>
      <c r="EV180" s="395"/>
      <c r="EW180" s="395"/>
      <c r="EX180" s="395"/>
      <c r="EY180" s="395"/>
      <c r="EZ180" s="395"/>
      <c r="FA180" s="395"/>
      <c r="FB180" s="395"/>
      <c r="FC180" s="395"/>
      <c r="FD180" s="395"/>
      <c r="FE180" s="395"/>
      <c r="FF180" s="395"/>
      <c r="FG180" s="395"/>
      <c r="FH180" s="395"/>
      <c r="FI180" s="395"/>
      <c r="FJ180" s="395"/>
      <c r="FK180" s="395"/>
      <c r="FL180" s="395"/>
      <c r="FM180" s="395"/>
      <c r="FN180" s="395"/>
      <c r="FO180" s="395"/>
      <c r="FP180" s="395"/>
      <c r="FQ180" s="395"/>
      <c r="FR180" s="395"/>
      <c r="FS180" s="395"/>
      <c r="FT180" s="395"/>
      <c r="FU180" s="395"/>
      <c r="FV180" s="395"/>
      <c r="FW180" s="395"/>
      <c r="FX180" s="395"/>
      <c r="FY180" s="395"/>
      <c r="FZ180" s="395"/>
      <c r="GA180" s="395"/>
      <c r="GB180" s="395"/>
      <c r="GC180" s="395"/>
      <c r="GD180" s="395"/>
      <c r="GE180" s="395"/>
      <c r="GF180" s="395"/>
      <c r="GG180" s="395"/>
      <c r="GH180" s="395"/>
      <c r="GI180" s="395"/>
      <c r="GJ180" s="395"/>
      <c r="GK180" s="395"/>
      <c r="GL180" s="395"/>
      <c r="GM180" s="395"/>
      <c r="GN180" s="395"/>
      <c r="GO180" s="395"/>
      <c r="GP180" s="395"/>
      <c r="GQ180" s="395"/>
      <c r="GR180" s="395"/>
      <c r="GS180" s="395"/>
      <c r="GT180" s="395"/>
      <c r="GU180" s="395"/>
      <c r="GV180" s="395"/>
      <c r="GW180" s="395"/>
      <c r="GX180" s="395"/>
      <c r="GY180" s="395"/>
      <c r="GZ180" s="395"/>
      <c r="HA180" s="395"/>
      <c r="HB180" s="395"/>
      <c r="HC180" s="395"/>
      <c r="HD180" s="395"/>
      <c r="HE180" s="395"/>
      <c r="HF180" s="395"/>
      <c r="HG180" s="395"/>
      <c r="HH180" s="395"/>
      <c r="HI180" s="395"/>
      <c r="HJ180" s="395"/>
      <c r="HK180" s="395"/>
      <c r="HL180" s="395"/>
      <c r="HM180" s="395"/>
      <c r="HN180" s="395"/>
      <c r="HO180" s="395"/>
      <c r="HP180" s="395"/>
      <c r="HQ180" s="395"/>
      <c r="HR180" s="395"/>
    </row>
    <row r="181" spans="1:226" s="866" customFormat="1" x14ac:dyDescent="0.25">
      <c r="A181" s="395"/>
      <c r="B181" s="395"/>
      <c r="C181" s="395"/>
      <c r="D181" s="395"/>
      <c r="E181" s="395"/>
      <c r="F181" s="395"/>
      <c r="G181" s="395"/>
      <c r="H181" s="395"/>
      <c r="I181" s="395"/>
      <c r="J181" s="395"/>
      <c r="K181" s="395"/>
      <c r="L181" s="395"/>
      <c r="M181" s="395"/>
      <c r="N181" s="395"/>
      <c r="O181" s="395"/>
      <c r="P181" s="395"/>
      <c r="Q181" s="395"/>
      <c r="R181" s="395"/>
      <c r="S181" s="395"/>
      <c r="T181" s="395"/>
      <c r="U181" s="395"/>
      <c r="V181" s="1608"/>
      <c r="W181" s="395"/>
      <c r="X181" s="395"/>
      <c r="Y181" s="395"/>
      <c r="Z181" s="2140"/>
      <c r="AA181" s="395"/>
      <c r="AB181" s="395"/>
      <c r="AC181" s="395"/>
      <c r="AD181" s="395"/>
      <c r="AE181" s="395"/>
      <c r="AF181" s="395"/>
      <c r="AG181" s="395"/>
      <c r="AH181" s="395"/>
      <c r="AI181" s="395"/>
      <c r="AJ181" s="395"/>
      <c r="AK181" s="395"/>
      <c r="AL181" s="395"/>
      <c r="AM181" s="395"/>
      <c r="AN181" s="395"/>
      <c r="AO181" s="395"/>
      <c r="AP181" s="395"/>
      <c r="AQ181" s="395"/>
      <c r="AR181" s="395"/>
      <c r="AS181" s="395"/>
      <c r="AT181" s="395"/>
      <c r="AU181" s="395"/>
      <c r="AV181" s="395"/>
      <c r="AW181" s="395"/>
      <c r="AX181" s="395"/>
      <c r="AY181" s="395"/>
      <c r="AZ181" s="395"/>
      <c r="BA181" s="395"/>
      <c r="BB181" s="395"/>
      <c r="BC181" s="395"/>
      <c r="BD181" s="395"/>
      <c r="BE181" s="395"/>
      <c r="BF181" s="395"/>
      <c r="BG181" s="395"/>
      <c r="BH181" s="395"/>
      <c r="BI181" s="395"/>
      <c r="BJ181" s="395"/>
      <c r="BK181" s="395"/>
      <c r="BL181" s="395"/>
      <c r="BM181" s="395"/>
      <c r="BN181" s="395"/>
      <c r="BO181" s="395"/>
      <c r="BP181" s="395"/>
      <c r="BQ181" s="395"/>
      <c r="BR181" s="395"/>
      <c r="BS181" s="395"/>
      <c r="BT181" s="395"/>
      <c r="BU181" s="395"/>
      <c r="BV181" s="395"/>
      <c r="BW181" s="395"/>
      <c r="BX181" s="395"/>
      <c r="BY181" s="395"/>
      <c r="BZ181" s="395"/>
      <c r="CA181" s="395"/>
      <c r="CB181" s="395"/>
      <c r="CC181" s="395"/>
      <c r="CD181" s="395"/>
      <c r="CE181" s="395"/>
      <c r="CF181" s="395"/>
      <c r="CG181" s="395"/>
      <c r="CH181" s="395"/>
      <c r="CI181" s="395"/>
      <c r="CJ181" s="395"/>
      <c r="CK181" s="395"/>
      <c r="CL181" s="395"/>
      <c r="CM181" s="395"/>
      <c r="CN181" s="395"/>
      <c r="CO181" s="395"/>
      <c r="CP181" s="395"/>
      <c r="CQ181" s="395"/>
      <c r="CR181" s="395"/>
      <c r="CS181" s="395"/>
      <c r="CT181" s="395"/>
      <c r="CU181" s="395"/>
      <c r="CV181" s="395"/>
      <c r="CW181" s="395"/>
      <c r="CX181" s="395"/>
      <c r="CY181" s="395"/>
      <c r="CZ181" s="395"/>
      <c r="DA181" s="395"/>
      <c r="DB181" s="395"/>
      <c r="DC181" s="395"/>
      <c r="DD181" s="395"/>
      <c r="DE181" s="395"/>
      <c r="DF181" s="395"/>
      <c r="DG181" s="395"/>
      <c r="DH181" s="395"/>
      <c r="DI181" s="395"/>
      <c r="DJ181" s="395"/>
      <c r="DK181" s="395"/>
      <c r="DL181" s="395"/>
      <c r="DM181" s="395"/>
      <c r="DN181" s="395"/>
      <c r="DO181" s="395"/>
      <c r="DP181" s="395"/>
      <c r="DQ181" s="395"/>
      <c r="DR181" s="395"/>
      <c r="DS181" s="395"/>
      <c r="DT181" s="395"/>
      <c r="DU181" s="395"/>
      <c r="DV181" s="395"/>
      <c r="DW181" s="395"/>
      <c r="DX181" s="395"/>
      <c r="DY181" s="395"/>
      <c r="DZ181" s="395"/>
      <c r="EA181" s="395"/>
      <c r="EB181" s="395"/>
      <c r="EC181" s="395"/>
      <c r="ED181" s="395"/>
      <c r="EE181" s="395"/>
      <c r="EF181" s="395"/>
      <c r="EG181" s="395"/>
      <c r="EH181" s="395"/>
      <c r="EI181" s="395"/>
      <c r="EJ181" s="395"/>
      <c r="EK181" s="395"/>
      <c r="EL181" s="395"/>
      <c r="EM181" s="395"/>
      <c r="EN181" s="395"/>
      <c r="EO181" s="395"/>
      <c r="EP181" s="395"/>
      <c r="EQ181" s="395"/>
      <c r="ER181" s="395"/>
      <c r="ES181" s="395"/>
      <c r="ET181" s="395"/>
      <c r="EU181" s="395"/>
      <c r="EV181" s="395"/>
      <c r="EW181" s="395"/>
      <c r="EX181" s="395"/>
      <c r="EY181" s="395"/>
      <c r="EZ181" s="395"/>
      <c r="FA181" s="395"/>
      <c r="FB181" s="395"/>
      <c r="FC181" s="395"/>
      <c r="FD181" s="395"/>
      <c r="FE181" s="395"/>
      <c r="FF181" s="395"/>
      <c r="FG181" s="395"/>
      <c r="FH181" s="395"/>
      <c r="FI181" s="395"/>
      <c r="FJ181" s="395"/>
      <c r="FK181" s="395"/>
      <c r="FL181" s="395"/>
      <c r="FM181" s="395"/>
      <c r="FN181" s="395"/>
      <c r="FO181" s="395"/>
      <c r="FP181" s="395"/>
      <c r="FQ181" s="395"/>
      <c r="FR181" s="395"/>
      <c r="FS181" s="395"/>
      <c r="FT181" s="395"/>
      <c r="FU181" s="395"/>
      <c r="FV181" s="395"/>
      <c r="FW181" s="395"/>
      <c r="FX181" s="395"/>
      <c r="FY181" s="395"/>
      <c r="FZ181" s="395"/>
      <c r="GA181" s="395"/>
      <c r="GB181" s="395"/>
      <c r="GC181" s="395"/>
      <c r="GD181" s="395"/>
      <c r="GE181" s="395"/>
      <c r="GF181" s="395"/>
      <c r="GG181" s="395"/>
      <c r="GH181" s="395"/>
      <c r="GI181" s="395"/>
      <c r="GJ181" s="395"/>
      <c r="GK181" s="395"/>
      <c r="GL181" s="395"/>
      <c r="GM181" s="395"/>
      <c r="GN181" s="395"/>
      <c r="GO181" s="395"/>
      <c r="GP181" s="395"/>
      <c r="GQ181" s="395"/>
      <c r="GR181" s="395"/>
      <c r="GS181" s="395"/>
      <c r="GT181" s="395"/>
      <c r="GU181" s="395"/>
      <c r="GV181" s="395"/>
      <c r="GW181" s="395"/>
      <c r="GX181" s="395"/>
      <c r="GY181" s="395"/>
      <c r="GZ181" s="395"/>
      <c r="HA181" s="395"/>
      <c r="HB181" s="395"/>
      <c r="HC181" s="395"/>
      <c r="HD181" s="395"/>
      <c r="HE181" s="395"/>
      <c r="HF181" s="395"/>
      <c r="HG181" s="395"/>
      <c r="HH181" s="395"/>
      <c r="HI181" s="395"/>
      <c r="HJ181" s="395"/>
      <c r="HK181" s="395"/>
      <c r="HL181" s="395"/>
      <c r="HM181" s="395"/>
      <c r="HN181" s="395"/>
      <c r="HO181" s="395"/>
      <c r="HP181" s="395"/>
      <c r="HQ181" s="395"/>
      <c r="HR181" s="395"/>
    </row>
    <row r="182" spans="1:226" s="866" customFormat="1" x14ac:dyDescent="0.25">
      <c r="A182" s="395"/>
      <c r="B182" s="395"/>
      <c r="C182" s="395"/>
      <c r="D182" s="395"/>
      <c r="E182" s="395"/>
      <c r="F182" s="395"/>
      <c r="G182" s="395"/>
      <c r="H182" s="395"/>
      <c r="I182" s="395"/>
      <c r="J182" s="395"/>
      <c r="K182" s="395"/>
      <c r="L182" s="395"/>
      <c r="M182" s="395"/>
      <c r="N182" s="395"/>
      <c r="O182" s="395"/>
      <c r="P182" s="395"/>
      <c r="Q182" s="395"/>
      <c r="R182" s="395"/>
      <c r="S182" s="395"/>
      <c r="T182" s="395"/>
      <c r="U182" s="395"/>
      <c r="V182" s="1608"/>
      <c r="W182" s="395"/>
      <c r="X182" s="395"/>
      <c r="Y182" s="395"/>
      <c r="Z182" s="2140"/>
      <c r="AA182" s="395"/>
      <c r="AB182" s="395"/>
      <c r="AC182" s="395"/>
      <c r="AD182" s="395"/>
      <c r="AE182" s="395"/>
      <c r="AF182" s="395"/>
      <c r="AG182" s="395"/>
      <c r="AH182" s="395"/>
      <c r="AI182" s="395"/>
      <c r="AJ182" s="395"/>
      <c r="AK182" s="395"/>
      <c r="AL182" s="395"/>
      <c r="AM182" s="395"/>
      <c r="AN182" s="395"/>
      <c r="AO182" s="395"/>
      <c r="AP182" s="395"/>
      <c r="AQ182" s="395"/>
      <c r="AR182" s="395"/>
      <c r="AS182" s="395"/>
      <c r="AT182" s="395"/>
      <c r="AU182" s="395"/>
      <c r="AV182" s="395"/>
      <c r="AW182" s="395"/>
      <c r="AX182" s="395"/>
      <c r="AY182" s="395"/>
      <c r="AZ182" s="395"/>
      <c r="BA182" s="395"/>
      <c r="BB182" s="395"/>
      <c r="BC182" s="395"/>
      <c r="BD182" s="395"/>
      <c r="BE182" s="395"/>
      <c r="BF182" s="395"/>
      <c r="BG182" s="395"/>
      <c r="BH182" s="395"/>
      <c r="BI182" s="395"/>
      <c r="BJ182" s="395"/>
      <c r="BK182" s="395"/>
      <c r="BL182" s="395"/>
      <c r="BM182" s="395"/>
      <c r="BN182" s="395"/>
      <c r="BO182" s="395"/>
      <c r="BP182" s="395"/>
      <c r="BQ182" s="395"/>
      <c r="BR182" s="395"/>
      <c r="BS182" s="395"/>
      <c r="BT182" s="395"/>
      <c r="BU182" s="395"/>
      <c r="BV182" s="395"/>
      <c r="BW182" s="395"/>
      <c r="BX182" s="395"/>
      <c r="BY182" s="395"/>
      <c r="BZ182" s="395"/>
      <c r="CA182" s="395"/>
      <c r="CB182" s="395"/>
      <c r="CC182" s="395"/>
      <c r="CD182" s="395"/>
      <c r="CE182" s="395"/>
      <c r="CF182" s="395"/>
      <c r="CG182" s="395"/>
      <c r="CH182" s="395"/>
      <c r="CI182" s="395"/>
      <c r="CJ182" s="395"/>
      <c r="CK182" s="395"/>
      <c r="CL182" s="395"/>
      <c r="CM182" s="395"/>
      <c r="CN182" s="395"/>
      <c r="CO182" s="395"/>
      <c r="CP182" s="395"/>
      <c r="CQ182" s="395"/>
      <c r="CR182" s="395"/>
      <c r="CS182" s="395"/>
      <c r="CT182" s="395"/>
      <c r="CU182" s="395"/>
      <c r="CV182" s="395"/>
      <c r="CW182" s="395"/>
      <c r="CX182" s="395"/>
      <c r="CY182" s="395"/>
      <c r="CZ182" s="395"/>
      <c r="DA182" s="395"/>
      <c r="DB182" s="395"/>
      <c r="DC182" s="395"/>
      <c r="DD182" s="395"/>
      <c r="DE182" s="395"/>
      <c r="DF182" s="395"/>
      <c r="DG182" s="395"/>
      <c r="DH182" s="395"/>
      <c r="DI182" s="395"/>
      <c r="DJ182" s="395"/>
      <c r="DK182" s="395"/>
      <c r="DL182" s="395"/>
      <c r="DM182" s="395"/>
      <c r="DN182" s="395"/>
      <c r="DO182" s="395"/>
      <c r="DP182" s="395"/>
      <c r="DQ182" s="395"/>
      <c r="DR182" s="395"/>
      <c r="DS182" s="395"/>
      <c r="DT182" s="395"/>
      <c r="DU182" s="395"/>
      <c r="DV182" s="395"/>
      <c r="DW182" s="395"/>
      <c r="DX182" s="395"/>
      <c r="DY182" s="395"/>
      <c r="DZ182" s="395"/>
      <c r="EA182" s="395"/>
      <c r="EB182" s="395"/>
      <c r="EC182" s="395"/>
      <c r="ED182" s="395"/>
      <c r="EE182" s="395"/>
      <c r="EF182" s="395"/>
      <c r="EG182" s="395"/>
      <c r="EH182" s="395"/>
      <c r="EI182" s="395"/>
      <c r="EJ182" s="395"/>
      <c r="EK182" s="395"/>
      <c r="EL182" s="395"/>
      <c r="EM182" s="395"/>
      <c r="EN182" s="395"/>
      <c r="EO182" s="395"/>
      <c r="EP182" s="395"/>
      <c r="EQ182" s="395"/>
      <c r="ER182" s="395"/>
      <c r="ES182" s="395"/>
      <c r="ET182" s="395"/>
      <c r="EU182" s="395"/>
      <c r="EV182" s="395"/>
      <c r="EW182" s="395"/>
      <c r="EX182" s="395"/>
      <c r="EY182" s="395"/>
      <c r="EZ182" s="395"/>
      <c r="FA182" s="395"/>
      <c r="FB182" s="395"/>
      <c r="FC182" s="395"/>
      <c r="FD182" s="395"/>
      <c r="FE182" s="395"/>
      <c r="FF182" s="395"/>
      <c r="FG182" s="395"/>
      <c r="FH182" s="395"/>
      <c r="FI182" s="395"/>
      <c r="FJ182" s="395"/>
      <c r="FK182" s="395"/>
      <c r="FL182" s="395"/>
      <c r="FM182" s="395"/>
      <c r="FN182" s="395"/>
      <c r="FO182" s="395"/>
      <c r="FP182" s="395"/>
      <c r="FQ182" s="395"/>
      <c r="FR182" s="395"/>
      <c r="FS182" s="395"/>
      <c r="FT182" s="395"/>
      <c r="FU182" s="395"/>
      <c r="FV182" s="395"/>
      <c r="FW182" s="395"/>
      <c r="FX182" s="395"/>
      <c r="FY182" s="395"/>
      <c r="FZ182" s="395"/>
      <c r="GA182" s="395"/>
      <c r="GB182" s="395"/>
      <c r="GC182" s="395"/>
      <c r="GD182" s="395"/>
      <c r="GE182" s="395"/>
      <c r="GF182" s="395"/>
      <c r="GG182" s="395"/>
      <c r="GH182" s="395"/>
      <c r="GI182" s="395"/>
      <c r="GJ182" s="395"/>
      <c r="GK182" s="395"/>
      <c r="GL182" s="395"/>
      <c r="GM182" s="395"/>
      <c r="GN182" s="395"/>
      <c r="GO182" s="395"/>
      <c r="GP182" s="395"/>
      <c r="GQ182" s="395"/>
      <c r="GR182" s="395"/>
      <c r="GS182" s="395"/>
      <c r="GT182" s="395"/>
      <c r="GU182" s="395"/>
      <c r="GV182" s="395"/>
      <c r="GW182" s="395"/>
      <c r="GX182" s="395"/>
      <c r="GY182" s="395"/>
      <c r="GZ182" s="395"/>
      <c r="HA182" s="395"/>
      <c r="HB182" s="395"/>
      <c r="HC182" s="395"/>
      <c r="HD182" s="395"/>
      <c r="HE182" s="395"/>
      <c r="HF182" s="395"/>
      <c r="HG182" s="395"/>
      <c r="HH182" s="395"/>
      <c r="HI182" s="395"/>
      <c r="HJ182" s="395"/>
      <c r="HK182" s="395"/>
      <c r="HL182" s="395"/>
      <c r="HM182" s="395"/>
      <c r="HN182" s="395"/>
      <c r="HO182" s="395"/>
      <c r="HP182" s="395"/>
      <c r="HQ182" s="395"/>
      <c r="HR182" s="395"/>
    </row>
    <row r="183" spans="1:226" s="866" customFormat="1" x14ac:dyDescent="0.25">
      <c r="A183" s="395"/>
      <c r="B183" s="395"/>
      <c r="C183" s="395"/>
      <c r="D183" s="395"/>
      <c r="E183" s="395"/>
      <c r="F183" s="395"/>
      <c r="G183" s="395"/>
      <c r="H183" s="395"/>
      <c r="I183" s="395"/>
      <c r="J183" s="395"/>
      <c r="K183" s="395"/>
      <c r="L183" s="395"/>
      <c r="M183" s="395"/>
      <c r="N183" s="395"/>
      <c r="O183" s="395"/>
      <c r="P183" s="395"/>
      <c r="Q183" s="395"/>
      <c r="R183" s="395"/>
      <c r="S183" s="395"/>
      <c r="T183" s="395"/>
      <c r="U183" s="395"/>
      <c r="V183" s="1608"/>
      <c r="W183" s="395"/>
      <c r="X183" s="395"/>
      <c r="Y183" s="395"/>
      <c r="Z183" s="2140"/>
      <c r="AA183" s="395"/>
      <c r="AB183" s="395"/>
      <c r="AC183" s="395"/>
      <c r="AD183" s="395"/>
      <c r="AE183" s="395"/>
      <c r="AF183" s="395"/>
      <c r="AG183" s="395"/>
      <c r="AH183" s="395"/>
      <c r="AI183" s="395"/>
      <c r="AJ183" s="395"/>
      <c r="AK183" s="395"/>
      <c r="AL183" s="395"/>
      <c r="AM183" s="395"/>
      <c r="AN183" s="395"/>
      <c r="AO183" s="395"/>
      <c r="AP183" s="395"/>
      <c r="AQ183" s="395"/>
      <c r="AR183" s="395"/>
      <c r="AS183" s="395"/>
      <c r="AT183" s="395"/>
      <c r="AU183" s="395"/>
      <c r="AV183" s="395"/>
      <c r="AW183" s="395"/>
      <c r="AX183" s="395"/>
      <c r="AY183" s="395"/>
      <c r="AZ183" s="395"/>
      <c r="BA183" s="395"/>
      <c r="BB183" s="395"/>
      <c r="BC183" s="395"/>
      <c r="BD183" s="395"/>
      <c r="BE183" s="395"/>
      <c r="BF183" s="395"/>
      <c r="BG183" s="395"/>
      <c r="BH183" s="395"/>
      <c r="BI183" s="395"/>
      <c r="BJ183" s="395"/>
      <c r="BK183" s="395"/>
      <c r="BL183" s="395"/>
      <c r="BM183" s="395"/>
      <c r="BN183" s="395"/>
      <c r="BO183" s="395"/>
      <c r="BP183" s="395"/>
      <c r="BQ183" s="395"/>
      <c r="BR183" s="395"/>
      <c r="BS183" s="395"/>
      <c r="BT183" s="395"/>
      <c r="BU183" s="395"/>
      <c r="BV183" s="395"/>
      <c r="BW183" s="395"/>
      <c r="BX183" s="395"/>
      <c r="BY183" s="395"/>
      <c r="BZ183" s="395"/>
      <c r="CA183" s="395"/>
      <c r="CB183" s="395"/>
      <c r="CC183" s="395"/>
      <c r="CD183" s="395"/>
      <c r="CE183" s="395"/>
      <c r="CF183" s="395"/>
      <c r="CG183" s="395"/>
      <c r="CH183" s="395"/>
      <c r="CI183" s="395"/>
      <c r="CJ183" s="395"/>
      <c r="CK183" s="395"/>
      <c r="CL183" s="395"/>
      <c r="CM183" s="395"/>
      <c r="CN183" s="395"/>
      <c r="CO183" s="395"/>
      <c r="CP183" s="395"/>
      <c r="CQ183" s="395"/>
      <c r="CR183" s="395"/>
      <c r="CS183" s="395"/>
      <c r="CT183" s="395"/>
      <c r="CU183" s="395"/>
      <c r="CV183" s="395"/>
      <c r="CW183" s="395"/>
      <c r="CX183" s="395"/>
      <c r="CY183" s="395"/>
      <c r="CZ183" s="395"/>
      <c r="DA183" s="395"/>
      <c r="DB183" s="395"/>
      <c r="DC183" s="395"/>
      <c r="DD183" s="395"/>
      <c r="DE183" s="395"/>
      <c r="DF183" s="395"/>
      <c r="DG183" s="395"/>
      <c r="DH183" s="395"/>
      <c r="DI183" s="395"/>
      <c r="DJ183" s="395"/>
      <c r="DK183" s="395"/>
      <c r="DL183" s="395"/>
      <c r="DM183" s="395"/>
      <c r="DN183" s="395"/>
      <c r="DO183" s="395"/>
      <c r="DP183" s="395"/>
      <c r="DQ183" s="395"/>
      <c r="DR183" s="395"/>
      <c r="DS183" s="395"/>
      <c r="DT183" s="395"/>
      <c r="DU183" s="395"/>
      <c r="DV183" s="395"/>
      <c r="DW183" s="395"/>
      <c r="DX183" s="395"/>
      <c r="DY183" s="395"/>
      <c r="DZ183" s="395"/>
      <c r="EA183" s="395"/>
      <c r="EB183" s="395"/>
      <c r="EC183" s="395"/>
      <c r="ED183" s="395"/>
      <c r="EE183" s="395"/>
      <c r="EF183" s="395"/>
      <c r="EG183" s="395"/>
      <c r="EH183" s="395"/>
      <c r="EI183" s="395"/>
      <c r="EJ183" s="395"/>
      <c r="EK183" s="395"/>
      <c r="EL183" s="395"/>
      <c r="EM183" s="395"/>
      <c r="EN183" s="395"/>
      <c r="EO183" s="395"/>
      <c r="EP183" s="395"/>
      <c r="EQ183" s="395"/>
      <c r="ER183" s="395"/>
      <c r="ES183" s="395"/>
      <c r="ET183" s="395"/>
      <c r="EU183" s="395"/>
      <c r="EV183" s="395"/>
      <c r="EW183" s="395"/>
      <c r="EX183" s="395"/>
      <c r="EY183" s="395"/>
      <c r="EZ183" s="395"/>
      <c r="FA183" s="395"/>
      <c r="FB183" s="395"/>
      <c r="FC183" s="395"/>
      <c r="FD183" s="395"/>
      <c r="FE183" s="395"/>
      <c r="FF183" s="395"/>
      <c r="FG183" s="395"/>
      <c r="FH183" s="395"/>
      <c r="FI183" s="395"/>
      <c r="FJ183" s="395"/>
      <c r="FK183" s="395"/>
      <c r="FL183" s="395"/>
      <c r="FM183" s="395"/>
      <c r="FN183" s="395"/>
      <c r="FO183" s="395"/>
      <c r="FP183" s="395"/>
      <c r="FQ183" s="395"/>
      <c r="FR183" s="395"/>
      <c r="FS183" s="395"/>
      <c r="FT183" s="395"/>
      <c r="FU183" s="395"/>
      <c r="FV183" s="395"/>
      <c r="FW183" s="395"/>
      <c r="FX183" s="395"/>
      <c r="FY183" s="395"/>
      <c r="FZ183" s="395"/>
      <c r="GA183" s="395"/>
      <c r="GB183" s="395"/>
      <c r="GC183" s="395"/>
      <c r="GD183" s="395"/>
      <c r="GE183" s="395"/>
      <c r="GF183" s="395"/>
      <c r="GG183" s="395"/>
      <c r="GH183" s="395"/>
      <c r="GI183" s="395"/>
      <c r="GJ183" s="395"/>
      <c r="GK183" s="395"/>
      <c r="GL183" s="395"/>
      <c r="GM183" s="395"/>
      <c r="GN183" s="395"/>
      <c r="GO183" s="395"/>
      <c r="GP183" s="395"/>
      <c r="GQ183" s="395"/>
      <c r="GR183" s="395"/>
      <c r="GS183" s="395"/>
      <c r="GT183" s="395"/>
      <c r="GU183" s="395"/>
      <c r="GV183" s="395"/>
      <c r="GW183" s="395"/>
      <c r="GX183" s="395"/>
      <c r="GY183" s="395"/>
      <c r="GZ183" s="395"/>
      <c r="HA183" s="395"/>
      <c r="HB183" s="395"/>
      <c r="HC183" s="395"/>
      <c r="HD183" s="395"/>
      <c r="HE183" s="395"/>
      <c r="HF183" s="395"/>
      <c r="HG183" s="395"/>
      <c r="HH183" s="395"/>
      <c r="HI183" s="395"/>
      <c r="HJ183" s="395"/>
      <c r="HK183" s="395"/>
      <c r="HL183" s="395"/>
      <c r="HM183" s="395"/>
      <c r="HN183" s="395"/>
      <c r="HO183" s="395"/>
      <c r="HP183" s="395"/>
      <c r="HQ183" s="395"/>
      <c r="HR183" s="395"/>
    </row>
    <row r="184" spans="1:226" s="866" customFormat="1" x14ac:dyDescent="0.25">
      <c r="A184" s="395"/>
      <c r="B184" s="395"/>
      <c r="C184" s="395"/>
      <c r="D184" s="395"/>
      <c r="E184" s="395"/>
      <c r="F184" s="395"/>
      <c r="G184" s="395"/>
      <c r="H184" s="395"/>
      <c r="I184" s="395"/>
      <c r="J184" s="395"/>
      <c r="K184" s="395"/>
      <c r="L184" s="395"/>
      <c r="M184" s="395"/>
      <c r="N184" s="395"/>
      <c r="O184" s="395"/>
      <c r="P184" s="395"/>
      <c r="Q184" s="395"/>
      <c r="R184" s="395"/>
      <c r="S184" s="395"/>
      <c r="T184" s="395"/>
      <c r="U184" s="395"/>
      <c r="V184" s="1608"/>
      <c r="W184" s="395"/>
      <c r="X184" s="395"/>
      <c r="Y184" s="395"/>
      <c r="Z184" s="2140"/>
      <c r="AA184" s="395"/>
      <c r="AB184" s="395"/>
      <c r="AC184" s="395"/>
      <c r="AD184" s="395"/>
      <c r="AE184" s="395"/>
      <c r="AF184" s="395"/>
      <c r="AG184" s="395"/>
      <c r="AH184" s="395"/>
      <c r="AI184" s="395"/>
      <c r="AJ184" s="395"/>
      <c r="AK184" s="395"/>
      <c r="AL184" s="395"/>
      <c r="AM184" s="395"/>
      <c r="AN184" s="395"/>
      <c r="AO184" s="395"/>
      <c r="AP184" s="395"/>
      <c r="AQ184" s="395"/>
      <c r="AR184" s="395"/>
      <c r="AS184" s="395"/>
      <c r="AT184" s="395"/>
      <c r="AU184" s="395"/>
      <c r="AV184" s="395"/>
      <c r="AW184" s="395"/>
      <c r="AX184" s="395"/>
      <c r="AY184" s="395"/>
      <c r="AZ184" s="395"/>
      <c r="BA184" s="395"/>
      <c r="BB184" s="395"/>
      <c r="BC184" s="395"/>
      <c r="BD184" s="395"/>
      <c r="BE184" s="395"/>
      <c r="BF184" s="395"/>
      <c r="BG184" s="395"/>
      <c r="BH184" s="395"/>
      <c r="BI184" s="395"/>
      <c r="BJ184" s="395"/>
      <c r="BK184" s="395"/>
      <c r="BL184" s="395"/>
      <c r="BM184" s="395"/>
      <c r="BN184" s="395"/>
      <c r="BO184" s="395"/>
      <c r="BP184" s="395"/>
      <c r="BQ184" s="395"/>
      <c r="BR184" s="395"/>
      <c r="BS184" s="395"/>
      <c r="BT184" s="395"/>
      <c r="BU184" s="395"/>
      <c r="BV184" s="395"/>
      <c r="BW184" s="395"/>
      <c r="BX184" s="395"/>
      <c r="BY184" s="395"/>
      <c r="BZ184" s="395"/>
      <c r="CA184" s="395"/>
      <c r="CB184" s="395"/>
      <c r="CC184" s="395"/>
      <c r="CD184" s="395"/>
      <c r="CE184" s="395"/>
      <c r="CF184" s="395"/>
      <c r="CG184" s="395"/>
      <c r="CH184" s="395"/>
      <c r="CI184" s="395"/>
      <c r="CJ184" s="395"/>
      <c r="CK184" s="395"/>
      <c r="CL184" s="395"/>
      <c r="CM184" s="395"/>
      <c r="CN184" s="395"/>
      <c r="CO184" s="395"/>
      <c r="CP184" s="395"/>
      <c r="CQ184" s="395"/>
      <c r="CR184" s="395"/>
      <c r="CS184" s="395"/>
      <c r="CT184" s="395"/>
      <c r="CU184" s="395"/>
      <c r="CV184" s="395"/>
      <c r="CW184" s="395"/>
      <c r="CX184" s="395"/>
      <c r="CY184" s="395"/>
      <c r="CZ184" s="395"/>
      <c r="DA184" s="395"/>
      <c r="DB184" s="395"/>
      <c r="DC184" s="395"/>
      <c r="DD184" s="395"/>
      <c r="DE184" s="395"/>
      <c r="DF184" s="395"/>
      <c r="DG184" s="395"/>
      <c r="DH184" s="395"/>
      <c r="DI184" s="395"/>
      <c r="DJ184" s="395"/>
      <c r="DK184" s="395"/>
      <c r="DL184" s="395"/>
      <c r="DM184" s="395"/>
      <c r="DN184" s="395"/>
      <c r="DO184" s="395"/>
      <c r="DP184" s="395"/>
      <c r="DQ184" s="395"/>
      <c r="DR184" s="395"/>
      <c r="DS184" s="395"/>
      <c r="DT184" s="395"/>
      <c r="DU184" s="395"/>
      <c r="DV184" s="395"/>
      <c r="DW184" s="395"/>
      <c r="DX184" s="395"/>
      <c r="DY184" s="395"/>
      <c r="DZ184" s="395"/>
      <c r="EA184" s="395"/>
      <c r="EB184" s="395"/>
      <c r="EC184" s="395"/>
      <c r="ED184" s="395"/>
      <c r="EE184" s="395"/>
      <c r="EF184" s="395"/>
      <c r="EG184" s="395"/>
      <c r="EH184" s="395"/>
      <c r="EI184" s="395"/>
      <c r="EJ184" s="395"/>
      <c r="EK184" s="395"/>
      <c r="EL184" s="395"/>
      <c r="EM184" s="395"/>
      <c r="EN184" s="395"/>
      <c r="EO184" s="395"/>
      <c r="EP184" s="395"/>
      <c r="EQ184" s="395"/>
      <c r="ER184" s="395"/>
      <c r="ES184" s="395"/>
      <c r="ET184" s="395"/>
      <c r="EU184" s="395"/>
      <c r="EV184" s="395"/>
      <c r="EW184" s="395"/>
      <c r="EX184" s="395"/>
      <c r="EY184" s="395"/>
      <c r="EZ184" s="395"/>
      <c r="FA184" s="395"/>
      <c r="FB184" s="395"/>
      <c r="FC184" s="395"/>
      <c r="FD184" s="395"/>
      <c r="FE184" s="395"/>
      <c r="FF184" s="395"/>
      <c r="FG184" s="395"/>
      <c r="FH184" s="395"/>
      <c r="FI184" s="395"/>
      <c r="FJ184" s="395"/>
      <c r="FK184" s="395"/>
      <c r="FL184" s="395"/>
      <c r="FM184" s="395"/>
      <c r="FN184" s="395"/>
      <c r="FO184" s="395"/>
      <c r="FP184" s="395"/>
      <c r="FQ184" s="395"/>
      <c r="FR184" s="395"/>
      <c r="FS184" s="395"/>
      <c r="FT184" s="395"/>
      <c r="FU184" s="395"/>
      <c r="FV184" s="395"/>
      <c r="FW184" s="395"/>
      <c r="FX184" s="395"/>
      <c r="FY184" s="395"/>
      <c r="FZ184" s="395"/>
      <c r="GA184" s="395"/>
      <c r="GB184" s="395"/>
      <c r="GC184" s="395"/>
      <c r="GD184" s="395"/>
      <c r="GE184" s="395"/>
      <c r="GF184" s="395"/>
      <c r="GG184" s="395"/>
      <c r="GH184" s="395"/>
      <c r="GI184" s="395"/>
      <c r="GJ184" s="395"/>
      <c r="GK184" s="395"/>
      <c r="GL184" s="395"/>
      <c r="GM184" s="395"/>
      <c r="GN184" s="395"/>
      <c r="GO184" s="395"/>
      <c r="GP184" s="395"/>
      <c r="GQ184" s="395"/>
      <c r="GR184" s="395"/>
      <c r="GS184" s="395"/>
      <c r="GT184" s="395"/>
      <c r="GU184" s="395"/>
      <c r="GV184" s="395"/>
      <c r="GW184" s="395"/>
      <c r="GX184" s="395"/>
      <c r="GY184" s="395"/>
      <c r="GZ184" s="395"/>
      <c r="HA184" s="395"/>
      <c r="HB184" s="395"/>
      <c r="HC184" s="395"/>
      <c r="HD184" s="395"/>
      <c r="HE184" s="395"/>
      <c r="HF184" s="395"/>
      <c r="HG184" s="395"/>
      <c r="HH184" s="395"/>
      <c r="HI184" s="395"/>
      <c r="HJ184" s="395"/>
      <c r="HK184" s="395"/>
      <c r="HL184" s="395"/>
      <c r="HM184" s="395"/>
      <c r="HN184" s="395"/>
      <c r="HO184" s="395"/>
      <c r="HP184" s="395"/>
      <c r="HQ184" s="395"/>
      <c r="HR184" s="395"/>
    </row>
    <row r="185" spans="1:226" s="866" customFormat="1" x14ac:dyDescent="0.25">
      <c r="A185" s="395"/>
      <c r="B185" s="395"/>
      <c r="C185" s="395"/>
      <c r="D185" s="395"/>
      <c r="E185" s="395"/>
      <c r="F185" s="395"/>
      <c r="G185" s="395"/>
      <c r="H185" s="395"/>
      <c r="I185" s="395"/>
      <c r="J185" s="395"/>
      <c r="K185" s="395"/>
      <c r="L185" s="395"/>
      <c r="M185" s="395"/>
      <c r="N185" s="395"/>
      <c r="O185" s="395"/>
      <c r="P185" s="395"/>
      <c r="Q185" s="395"/>
      <c r="R185" s="395"/>
      <c r="S185" s="395"/>
      <c r="T185" s="395"/>
      <c r="U185" s="395"/>
      <c r="V185" s="1608"/>
      <c r="W185" s="395"/>
      <c r="X185" s="395"/>
      <c r="Y185" s="395"/>
      <c r="Z185" s="2140"/>
      <c r="AA185" s="395"/>
      <c r="AB185" s="395"/>
      <c r="AC185" s="395"/>
      <c r="AD185" s="395"/>
      <c r="AE185" s="395"/>
      <c r="AF185" s="395"/>
      <c r="AG185" s="395"/>
      <c r="AH185" s="395"/>
      <c r="AI185" s="395"/>
      <c r="AJ185" s="395"/>
      <c r="AK185" s="395"/>
      <c r="AL185" s="395"/>
      <c r="AM185" s="395"/>
      <c r="AN185" s="395"/>
      <c r="AO185" s="395"/>
      <c r="AP185" s="395"/>
      <c r="AQ185" s="395"/>
      <c r="AR185" s="395"/>
      <c r="AS185" s="395"/>
      <c r="AT185" s="395"/>
      <c r="AU185" s="395"/>
      <c r="AV185" s="395"/>
      <c r="AW185" s="395"/>
      <c r="AX185" s="395"/>
      <c r="AY185" s="395"/>
      <c r="AZ185" s="395"/>
      <c r="BA185" s="395"/>
      <c r="BB185" s="395"/>
      <c r="BC185" s="395"/>
      <c r="BD185" s="395"/>
      <c r="BE185" s="395"/>
      <c r="BF185" s="395"/>
      <c r="BG185" s="395"/>
      <c r="BH185" s="395"/>
      <c r="BI185" s="395"/>
      <c r="BJ185" s="395"/>
      <c r="BK185" s="395"/>
      <c r="BL185" s="395"/>
      <c r="BM185" s="395"/>
      <c r="BN185" s="395"/>
      <c r="BO185" s="395"/>
      <c r="BP185" s="395"/>
      <c r="BQ185" s="395"/>
      <c r="BR185" s="395"/>
      <c r="BS185" s="395"/>
      <c r="BT185" s="395"/>
      <c r="BU185" s="395"/>
      <c r="BV185" s="395"/>
      <c r="BW185" s="395"/>
      <c r="BX185" s="395"/>
      <c r="BY185" s="395"/>
      <c r="BZ185" s="395"/>
      <c r="CA185" s="395"/>
      <c r="CB185" s="395"/>
      <c r="CC185" s="395"/>
      <c r="CD185" s="395"/>
      <c r="CE185" s="395"/>
      <c r="CF185" s="395"/>
      <c r="CG185" s="395"/>
      <c r="CH185" s="395"/>
      <c r="CI185" s="395"/>
      <c r="CJ185" s="395"/>
      <c r="CK185" s="395"/>
      <c r="CL185" s="395"/>
      <c r="CM185" s="395"/>
      <c r="CN185" s="395"/>
      <c r="CO185" s="395"/>
      <c r="CP185" s="395"/>
      <c r="CQ185" s="395"/>
      <c r="CR185" s="395"/>
      <c r="CS185" s="395"/>
      <c r="CT185" s="395"/>
      <c r="CU185" s="395"/>
      <c r="CV185" s="395"/>
      <c r="CW185" s="395"/>
      <c r="CX185" s="395"/>
      <c r="CY185" s="395"/>
      <c r="CZ185" s="395"/>
      <c r="DA185" s="395"/>
      <c r="DB185" s="395"/>
      <c r="DC185" s="395"/>
      <c r="DD185" s="395"/>
      <c r="DE185" s="395"/>
      <c r="DF185" s="395"/>
      <c r="DG185" s="395"/>
      <c r="DH185" s="395"/>
      <c r="DI185" s="395"/>
      <c r="DJ185" s="395"/>
      <c r="DK185" s="395"/>
      <c r="DL185" s="395"/>
      <c r="DM185" s="395"/>
      <c r="DN185" s="395"/>
      <c r="DO185" s="395"/>
      <c r="DP185" s="395"/>
      <c r="DQ185" s="395"/>
      <c r="DR185" s="395"/>
      <c r="DS185" s="395"/>
      <c r="DT185" s="395"/>
      <c r="DU185" s="395"/>
      <c r="DV185" s="395"/>
      <c r="DW185" s="395"/>
      <c r="DX185" s="395"/>
      <c r="DY185" s="395"/>
      <c r="DZ185" s="395"/>
      <c r="EA185" s="395"/>
      <c r="EB185" s="395"/>
      <c r="EC185" s="395"/>
      <c r="ED185" s="395"/>
      <c r="EE185" s="395"/>
      <c r="EF185" s="395"/>
      <c r="EG185" s="395"/>
      <c r="EH185" s="395"/>
      <c r="EI185" s="395"/>
      <c r="EJ185" s="395"/>
      <c r="EK185" s="395"/>
      <c r="EL185" s="395"/>
      <c r="EM185" s="395"/>
      <c r="EN185" s="395"/>
      <c r="EO185" s="395"/>
      <c r="EP185" s="395"/>
      <c r="EQ185" s="395"/>
      <c r="ER185" s="395"/>
      <c r="ES185" s="395"/>
      <c r="ET185" s="395"/>
      <c r="EU185" s="395"/>
      <c r="EV185" s="395"/>
      <c r="EW185" s="395"/>
      <c r="EX185" s="395"/>
      <c r="EY185" s="395"/>
      <c r="EZ185" s="395"/>
      <c r="FA185" s="395"/>
      <c r="FB185" s="395"/>
      <c r="FC185" s="395"/>
      <c r="FD185" s="395"/>
      <c r="FE185" s="395"/>
      <c r="FF185" s="395"/>
      <c r="FG185" s="395"/>
      <c r="FH185" s="395"/>
      <c r="FI185" s="395"/>
      <c r="FJ185" s="395"/>
      <c r="FK185" s="395"/>
      <c r="FL185" s="395"/>
      <c r="FM185" s="395"/>
      <c r="FN185" s="395"/>
      <c r="FO185" s="395"/>
      <c r="FP185" s="395"/>
      <c r="FQ185" s="395"/>
      <c r="FR185" s="395"/>
      <c r="FS185" s="395"/>
      <c r="FT185" s="395"/>
      <c r="FU185" s="395"/>
      <c r="FV185" s="395"/>
      <c r="FW185" s="395"/>
      <c r="FX185" s="395"/>
      <c r="FY185" s="395"/>
      <c r="FZ185" s="395"/>
      <c r="GA185" s="395"/>
      <c r="GB185" s="395"/>
      <c r="GC185" s="395"/>
      <c r="GD185" s="395"/>
      <c r="GE185" s="395"/>
      <c r="GF185" s="395"/>
      <c r="GG185" s="395"/>
      <c r="GH185" s="395"/>
      <c r="GI185" s="395"/>
      <c r="GJ185" s="395"/>
      <c r="GK185" s="395"/>
      <c r="GL185" s="395"/>
      <c r="GM185" s="395"/>
      <c r="GN185" s="395"/>
      <c r="GO185" s="395"/>
      <c r="GP185" s="395"/>
      <c r="GQ185" s="395"/>
      <c r="GR185" s="395"/>
      <c r="GS185" s="395"/>
      <c r="GT185" s="395"/>
      <c r="GU185" s="395"/>
      <c r="GV185" s="395"/>
      <c r="GW185" s="395"/>
      <c r="GX185" s="395"/>
      <c r="GY185" s="395"/>
      <c r="GZ185" s="395"/>
      <c r="HA185" s="395"/>
      <c r="HB185" s="395"/>
      <c r="HC185" s="395"/>
      <c r="HD185" s="395"/>
      <c r="HE185" s="395"/>
      <c r="HF185" s="395"/>
      <c r="HG185" s="395"/>
      <c r="HH185" s="395"/>
      <c r="HI185" s="395"/>
      <c r="HJ185" s="395"/>
      <c r="HK185" s="395"/>
      <c r="HL185" s="395"/>
      <c r="HM185" s="395"/>
      <c r="HN185" s="395"/>
      <c r="HO185" s="395"/>
      <c r="HP185" s="395"/>
      <c r="HQ185" s="395"/>
      <c r="HR185" s="395"/>
    </row>
    <row r="186" spans="1:226" s="866" customFormat="1" x14ac:dyDescent="0.25">
      <c r="A186" s="395"/>
      <c r="B186" s="395"/>
      <c r="C186" s="395"/>
      <c r="D186" s="395"/>
      <c r="E186" s="395"/>
      <c r="F186" s="395"/>
      <c r="G186" s="395"/>
      <c r="H186" s="395"/>
      <c r="I186" s="395"/>
      <c r="J186" s="395"/>
      <c r="K186" s="395"/>
      <c r="L186" s="395"/>
      <c r="M186" s="395"/>
      <c r="N186" s="395"/>
      <c r="O186" s="395"/>
      <c r="P186" s="395"/>
      <c r="Q186" s="395"/>
      <c r="R186" s="395"/>
      <c r="S186" s="395"/>
      <c r="T186" s="395"/>
      <c r="U186" s="395"/>
      <c r="V186" s="1608"/>
      <c r="W186" s="395"/>
      <c r="X186" s="395"/>
      <c r="Y186" s="395"/>
      <c r="Z186" s="2140"/>
      <c r="AA186" s="395"/>
      <c r="AB186" s="395"/>
      <c r="AC186" s="395"/>
      <c r="AD186" s="395"/>
      <c r="AE186" s="395"/>
      <c r="AF186" s="395"/>
      <c r="AG186" s="395"/>
      <c r="AH186" s="395"/>
      <c r="AI186" s="395"/>
      <c r="AJ186" s="395"/>
      <c r="AK186" s="395"/>
      <c r="AL186" s="395"/>
      <c r="AM186" s="395"/>
      <c r="AN186" s="395"/>
      <c r="AO186" s="395"/>
      <c r="AP186" s="395"/>
      <c r="AQ186" s="395"/>
      <c r="AR186" s="395"/>
      <c r="AS186" s="395"/>
      <c r="AT186" s="395"/>
      <c r="AU186" s="395"/>
      <c r="AV186" s="395"/>
      <c r="AW186" s="395"/>
      <c r="AX186" s="395"/>
      <c r="AY186" s="395"/>
      <c r="AZ186" s="395"/>
      <c r="BA186" s="395"/>
      <c r="BB186" s="395"/>
      <c r="BC186" s="395"/>
      <c r="BD186" s="395"/>
      <c r="BE186" s="395"/>
      <c r="BF186" s="395"/>
      <c r="BG186" s="395"/>
      <c r="BH186" s="395"/>
      <c r="BI186" s="395"/>
      <c r="BJ186" s="395"/>
      <c r="BK186" s="395"/>
      <c r="BL186" s="395"/>
      <c r="BM186" s="395"/>
      <c r="BN186" s="395"/>
      <c r="BO186" s="395"/>
      <c r="BP186" s="395"/>
      <c r="BQ186" s="395"/>
      <c r="BR186" s="395"/>
      <c r="BS186" s="395"/>
      <c r="BT186" s="395"/>
      <c r="BU186" s="395"/>
      <c r="BV186" s="395"/>
      <c r="BW186" s="395"/>
      <c r="BX186" s="395"/>
      <c r="BY186" s="395"/>
      <c r="BZ186" s="395"/>
      <c r="CA186" s="395"/>
      <c r="CB186" s="395"/>
      <c r="CC186" s="395"/>
      <c r="CD186" s="395"/>
      <c r="CE186" s="395"/>
      <c r="CF186" s="395"/>
      <c r="CG186" s="395"/>
      <c r="CH186" s="395"/>
      <c r="CI186" s="395"/>
      <c r="CJ186" s="395"/>
      <c r="CK186" s="395"/>
      <c r="CL186" s="395"/>
      <c r="CM186" s="395"/>
      <c r="CN186" s="395"/>
      <c r="CO186" s="395"/>
      <c r="CP186" s="395"/>
      <c r="CQ186" s="395"/>
      <c r="CR186" s="395"/>
      <c r="CS186" s="395"/>
      <c r="CT186" s="395"/>
      <c r="CU186" s="395"/>
      <c r="CV186" s="395"/>
      <c r="CW186" s="395"/>
      <c r="CX186" s="395"/>
      <c r="CY186" s="395"/>
      <c r="CZ186" s="395"/>
      <c r="DA186" s="395"/>
      <c r="DB186" s="395"/>
      <c r="DC186" s="395"/>
      <c r="DD186" s="395"/>
      <c r="DE186" s="395"/>
      <c r="DF186" s="395"/>
      <c r="DG186" s="395"/>
      <c r="DH186" s="395"/>
      <c r="DI186" s="395"/>
      <c r="DJ186" s="395"/>
      <c r="DK186" s="395"/>
      <c r="DL186" s="395"/>
      <c r="DM186" s="395"/>
      <c r="DN186" s="395"/>
      <c r="DO186" s="395"/>
      <c r="DP186" s="395"/>
      <c r="DQ186" s="395"/>
      <c r="DR186" s="395"/>
      <c r="DS186" s="395"/>
      <c r="DT186" s="395"/>
      <c r="DU186" s="395"/>
      <c r="DV186" s="395"/>
      <c r="DW186" s="395"/>
      <c r="DX186" s="395"/>
      <c r="DY186" s="395"/>
      <c r="DZ186" s="395"/>
      <c r="EA186" s="395"/>
      <c r="EB186" s="395"/>
      <c r="EC186" s="395"/>
      <c r="ED186" s="395"/>
      <c r="EE186" s="395"/>
      <c r="EF186" s="395"/>
      <c r="EG186" s="395"/>
      <c r="EH186" s="395"/>
      <c r="EI186" s="395"/>
      <c r="EJ186" s="395"/>
      <c r="EK186" s="395"/>
      <c r="EL186" s="395"/>
      <c r="EM186" s="395"/>
      <c r="EN186" s="395"/>
      <c r="EO186" s="395"/>
      <c r="EP186" s="395"/>
      <c r="EQ186" s="395"/>
      <c r="ER186" s="395"/>
      <c r="ES186" s="395"/>
      <c r="ET186" s="395"/>
      <c r="EU186" s="395"/>
      <c r="EV186" s="395"/>
      <c r="EW186" s="395"/>
      <c r="EX186" s="395"/>
      <c r="EY186" s="395"/>
      <c r="EZ186" s="395"/>
      <c r="FA186" s="395"/>
      <c r="FB186" s="395"/>
      <c r="FC186" s="395"/>
      <c r="FD186" s="395"/>
      <c r="FE186" s="395"/>
      <c r="FF186" s="395"/>
      <c r="FG186" s="395"/>
      <c r="FH186" s="395"/>
      <c r="FI186" s="395"/>
      <c r="FJ186" s="395"/>
      <c r="FK186" s="395"/>
      <c r="FL186" s="395"/>
      <c r="FM186" s="395"/>
      <c r="FN186" s="395"/>
      <c r="FO186" s="395"/>
      <c r="FP186" s="395"/>
      <c r="FQ186" s="395"/>
      <c r="FR186" s="395"/>
      <c r="FS186" s="395"/>
      <c r="FT186" s="395"/>
      <c r="FU186" s="395"/>
      <c r="FV186" s="395"/>
      <c r="FW186" s="395"/>
      <c r="FX186" s="395"/>
      <c r="FY186" s="395"/>
      <c r="FZ186" s="395"/>
      <c r="GA186" s="395"/>
      <c r="GB186" s="395"/>
      <c r="GC186" s="395"/>
      <c r="GD186" s="395"/>
      <c r="GE186" s="395"/>
      <c r="GF186" s="395"/>
      <c r="GG186" s="395"/>
      <c r="GH186" s="395"/>
      <c r="GI186" s="395"/>
      <c r="GJ186" s="395"/>
      <c r="GK186" s="395"/>
      <c r="GL186" s="395"/>
      <c r="GM186" s="395"/>
      <c r="GN186" s="395"/>
      <c r="GO186" s="395"/>
      <c r="GP186" s="395"/>
      <c r="GQ186" s="395"/>
      <c r="GR186" s="395"/>
      <c r="GS186" s="395"/>
      <c r="GT186" s="395"/>
      <c r="GU186" s="395"/>
      <c r="GV186" s="395"/>
      <c r="GW186" s="395"/>
      <c r="GX186" s="395"/>
      <c r="GY186" s="395"/>
      <c r="GZ186" s="395"/>
      <c r="HA186" s="395"/>
      <c r="HB186" s="395"/>
      <c r="HC186" s="395"/>
      <c r="HD186" s="395"/>
      <c r="HE186" s="395"/>
      <c r="HF186" s="395"/>
      <c r="HG186" s="395"/>
      <c r="HH186" s="395"/>
      <c r="HI186" s="395"/>
      <c r="HJ186" s="395"/>
      <c r="HK186" s="395"/>
      <c r="HL186" s="395"/>
      <c r="HM186" s="395"/>
      <c r="HN186" s="395"/>
      <c r="HO186" s="395"/>
      <c r="HP186" s="395"/>
      <c r="HQ186" s="395"/>
      <c r="HR186" s="395"/>
    </row>
    <row r="187" spans="1:226" s="866" customFormat="1" x14ac:dyDescent="0.25">
      <c r="A187" s="395"/>
      <c r="B187" s="395"/>
      <c r="C187" s="395"/>
      <c r="D187" s="395"/>
      <c r="E187" s="395"/>
      <c r="F187" s="395"/>
      <c r="G187" s="395"/>
      <c r="H187" s="395"/>
      <c r="I187" s="395"/>
      <c r="J187" s="395"/>
      <c r="K187" s="395"/>
      <c r="L187" s="395"/>
      <c r="M187" s="395"/>
      <c r="N187" s="395"/>
      <c r="O187" s="395"/>
      <c r="P187" s="395"/>
      <c r="Q187" s="395"/>
      <c r="R187" s="395"/>
      <c r="S187" s="395"/>
      <c r="T187" s="395"/>
      <c r="U187" s="395"/>
      <c r="V187" s="1608"/>
      <c r="W187" s="395"/>
      <c r="X187" s="395"/>
      <c r="Y187" s="395"/>
      <c r="Z187" s="2140"/>
      <c r="AA187" s="395"/>
      <c r="AB187" s="395"/>
      <c r="AC187" s="395"/>
      <c r="AD187" s="395"/>
      <c r="AE187" s="395"/>
      <c r="AF187" s="395"/>
      <c r="AG187" s="395"/>
      <c r="AH187" s="395"/>
      <c r="AI187" s="395"/>
      <c r="AJ187" s="395"/>
      <c r="AK187" s="395"/>
      <c r="AL187" s="395"/>
      <c r="AM187" s="395"/>
      <c r="AN187" s="395"/>
      <c r="AO187" s="395"/>
      <c r="AP187" s="395"/>
      <c r="AQ187" s="395"/>
      <c r="AR187" s="395"/>
      <c r="AS187" s="395"/>
      <c r="AT187" s="395"/>
      <c r="AU187" s="395"/>
      <c r="AV187" s="395"/>
      <c r="AW187" s="395"/>
      <c r="AX187" s="395"/>
      <c r="AY187" s="395"/>
      <c r="AZ187" s="395"/>
      <c r="BA187" s="395"/>
      <c r="BB187" s="395"/>
      <c r="BC187" s="395"/>
      <c r="BD187" s="395"/>
      <c r="BE187" s="395"/>
      <c r="BF187" s="395"/>
      <c r="BG187" s="395"/>
      <c r="BH187" s="395"/>
      <c r="BI187" s="395"/>
      <c r="BJ187" s="395"/>
      <c r="BK187" s="395"/>
      <c r="BL187" s="395"/>
      <c r="BM187" s="395"/>
      <c r="BN187" s="395"/>
      <c r="BO187" s="395"/>
      <c r="BP187" s="395"/>
      <c r="BQ187" s="395"/>
      <c r="BR187" s="395"/>
      <c r="BS187" s="395"/>
      <c r="BT187" s="395"/>
      <c r="BU187" s="395"/>
      <c r="BV187" s="395"/>
      <c r="BW187" s="395"/>
      <c r="BX187" s="395"/>
      <c r="BY187" s="395"/>
      <c r="BZ187" s="395"/>
      <c r="CA187" s="395"/>
      <c r="CB187" s="395"/>
      <c r="CC187" s="395"/>
      <c r="CD187" s="395"/>
      <c r="CE187" s="395"/>
      <c r="CF187" s="395"/>
      <c r="CG187" s="395"/>
      <c r="CH187" s="395"/>
      <c r="CI187" s="395"/>
      <c r="CJ187" s="395"/>
      <c r="CK187" s="395"/>
      <c r="CL187" s="395"/>
      <c r="CM187" s="395"/>
      <c r="CN187" s="395"/>
      <c r="CO187" s="395"/>
      <c r="CP187" s="395"/>
      <c r="CQ187" s="395"/>
      <c r="CR187" s="395"/>
      <c r="CS187" s="395"/>
      <c r="CT187" s="395"/>
      <c r="CU187" s="395"/>
      <c r="CV187" s="395"/>
      <c r="CW187" s="395"/>
      <c r="CX187" s="395"/>
      <c r="CY187" s="395"/>
      <c r="CZ187" s="395"/>
      <c r="DA187" s="395"/>
      <c r="DB187" s="395"/>
      <c r="DC187" s="395"/>
      <c r="DD187" s="395"/>
      <c r="DE187" s="395"/>
      <c r="DF187" s="395"/>
      <c r="DG187" s="395"/>
      <c r="DH187" s="395"/>
      <c r="DI187" s="395"/>
      <c r="DJ187" s="395"/>
      <c r="DK187" s="395"/>
      <c r="DL187" s="395"/>
      <c r="DM187" s="395"/>
      <c r="DN187" s="395"/>
      <c r="DO187" s="395"/>
      <c r="DP187" s="395"/>
      <c r="DQ187" s="395"/>
      <c r="DR187" s="395"/>
      <c r="DS187" s="395"/>
      <c r="DT187" s="395"/>
      <c r="DU187" s="395"/>
      <c r="DV187" s="395"/>
      <c r="DW187" s="395"/>
      <c r="DX187" s="395"/>
      <c r="DY187" s="395"/>
      <c r="DZ187" s="395"/>
      <c r="EA187" s="395"/>
      <c r="EB187" s="395"/>
      <c r="EC187" s="395"/>
      <c r="ED187" s="395"/>
      <c r="EE187" s="395"/>
      <c r="EF187" s="395"/>
      <c r="EG187" s="395"/>
      <c r="EH187" s="395"/>
      <c r="EI187" s="395"/>
      <c r="EJ187" s="395"/>
      <c r="EK187" s="395"/>
      <c r="EL187" s="395"/>
      <c r="EM187" s="395"/>
      <c r="EN187" s="395"/>
      <c r="EO187" s="395"/>
      <c r="EP187" s="395"/>
      <c r="EQ187" s="395"/>
      <c r="ER187" s="395"/>
      <c r="ES187" s="395"/>
      <c r="ET187" s="395"/>
      <c r="EU187" s="395"/>
      <c r="EV187" s="395"/>
      <c r="EW187" s="395"/>
      <c r="EX187" s="395"/>
      <c r="EY187" s="395"/>
      <c r="EZ187" s="395"/>
      <c r="FA187" s="395"/>
      <c r="FB187" s="395"/>
      <c r="FC187" s="395"/>
      <c r="FD187" s="395"/>
      <c r="FE187" s="395"/>
      <c r="FF187" s="395"/>
      <c r="FG187" s="395"/>
      <c r="FH187" s="395"/>
      <c r="FI187" s="395"/>
      <c r="FJ187" s="395"/>
      <c r="FK187" s="395"/>
      <c r="FL187" s="395"/>
      <c r="FM187" s="395"/>
      <c r="FN187" s="395"/>
      <c r="FO187" s="395"/>
      <c r="FP187" s="395"/>
      <c r="FQ187" s="395"/>
      <c r="FR187" s="395"/>
      <c r="FS187" s="395"/>
      <c r="FT187" s="395"/>
      <c r="FU187" s="395"/>
      <c r="FV187" s="395"/>
      <c r="FW187" s="395"/>
      <c r="FX187" s="395"/>
      <c r="FY187" s="395"/>
      <c r="FZ187" s="395"/>
      <c r="GA187" s="395"/>
      <c r="GB187" s="395"/>
      <c r="GC187" s="395"/>
      <c r="GD187" s="395"/>
      <c r="GE187" s="395"/>
      <c r="GF187" s="395"/>
      <c r="GG187" s="395"/>
      <c r="GH187" s="395"/>
      <c r="GI187" s="395"/>
      <c r="GJ187" s="395"/>
      <c r="GK187" s="395"/>
      <c r="GL187" s="395"/>
      <c r="GM187" s="395"/>
      <c r="GN187" s="395"/>
      <c r="GO187" s="395"/>
      <c r="GP187" s="395"/>
      <c r="GQ187" s="395"/>
      <c r="GR187" s="395"/>
      <c r="GS187" s="395"/>
      <c r="GT187" s="395"/>
      <c r="GU187" s="395"/>
      <c r="GV187" s="395"/>
      <c r="GW187" s="395"/>
      <c r="GX187" s="395"/>
      <c r="GY187" s="395"/>
      <c r="GZ187" s="395"/>
      <c r="HA187" s="395"/>
      <c r="HB187" s="395"/>
      <c r="HC187" s="395"/>
      <c r="HD187" s="395"/>
      <c r="HE187" s="395"/>
      <c r="HF187" s="395"/>
      <c r="HG187" s="395"/>
      <c r="HH187" s="395"/>
      <c r="HI187" s="395"/>
      <c r="HJ187" s="395"/>
      <c r="HK187" s="395"/>
      <c r="HL187" s="395"/>
      <c r="HM187" s="395"/>
      <c r="HN187" s="395"/>
      <c r="HO187" s="395"/>
      <c r="HP187" s="395"/>
      <c r="HQ187" s="395"/>
      <c r="HR187" s="395"/>
    </row>
    <row r="188" spans="1:226" s="866" customFormat="1" x14ac:dyDescent="0.25">
      <c r="A188" s="395"/>
      <c r="B188" s="395"/>
      <c r="C188" s="395"/>
      <c r="D188" s="395"/>
      <c r="E188" s="395"/>
      <c r="F188" s="395"/>
      <c r="G188" s="395"/>
      <c r="H188" s="395"/>
      <c r="I188" s="395"/>
      <c r="J188" s="395"/>
      <c r="K188" s="395"/>
      <c r="L188" s="395"/>
      <c r="M188" s="395"/>
      <c r="N188" s="395"/>
      <c r="O188" s="395"/>
      <c r="P188" s="395"/>
      <c r="Q188" s="395"/>
      <c r="R188" s="395"/>
      <c r="S188" s="395"/>
      <c r="T188" s="395"/>
      <c r="U188" s="395"/>
      <c r="V188" s="1608"/>
      <c r="W188" s="395"/>
      <c r="X188" s="395"/>
      <c r="Y188" s="395"/>
      <c r="Z188" s="2140"/>
      <c r="AA188" s="395"/>
      <c r="AB188" s="395"/>
      <c r="AC188" s="395"/>
      <c r="AD188" s="395"/>
      <c r="AE188" s="395"/>
      <c r="AF188" s="395"/>
      <c r="AG188" s="395"/>
      <c r="AH188" s="395"/>
      <c r="AI188" s="395"/>
      <c r="AJ188" s="395"/>
      <c r="AK188" s="395"/>
      <c r="AL188" s="395"/>
      <c r="AM188" s="395"/>
      <c r="AN188" s="395"/>
      <c r="AO188" s="395"/>
      <c r="AP188" s="395"/>
      <c r="AQ188" s="395"/>
      <c r="AR188" s="395"/>
      <c r="AS188" s="395"/>
      <c r="AT188" s="395"/>
      <c r="AU188" s="395"/>
      <c r="AV188" s="395"/>
      <c r="AW188" s="395"/>
      <c r="AX188" s="395"/>
      <c r="AY188" s="395"/>
      <c r="AZ188" s="395"/>
      <c r="BA188" s="395"/>
      <c r="BB188" s="395"/>
      <c r="BC188" s="395"/>
      <c r="BD188" s="395"/>
      <c r="BE188" s="395"/>
      <c r="BF188" s="395"/>
      <c r="BG188" s="395"/>
      <c r="BH188" s="395"/>
      <c r="BI188" s="395"/>
      <c r="BJ188" s="395"/>
      <c r="BK188" s="395"/>
      <c r="BL188" s="395"/>
      <c r="BM188" s="395"/>
      <c r="BN188" s="395"/>
      <c r="BO188" s="395"/>
      <c r="BP188" s="395"/>
      <c r="BQ188" s="395"/>
      <c r="BR188" s="395"/>
      <c r="BS188" s="395"/>
      <c r="BT188" s="395"/>
      <c r="BU188" s="395"/>
      <c r="BV188" s="395"/>
      <c r="BW188" s="395"/>
      <c r="BX188" s="395"/>
      <c r="BY188" s="395"/>
      <c r="BZ188" s="395"/>
      <c r="CA188" s="395"/>
      <c r="CB188" s="395"/>
      <c r="CC188" s="395"/>
      <c r="CD188" s="395"/>
      <c r="CE188" s="395"/>
      <c r="CF188" s="395"/>
      <c r="CG188" s="395"/>
      <c r="CH188" s="395"/>
      <c r="CI188" s="395"/>
      <c r="CJ188" s="395"/>
      <c r="CK188" s="395"/>
      <c r="CL188" s="395"/>
      <c r="CM188" s="395"/>
      <c r="CN188" s="395"/>
      <c r="CO188" s="395"/>
      <c r="CP188" s="395"/>
      <c r="CQ188" s="395"/>
      <c r="CR188" s="395"/>
      <c r="CS188" s="395"/>
      <c r="CT188" s="395"/>
      <c r="CU188" s="395"/>
      <c r="CV188" s="395"/>
      <c r="CW188" s="395"/>
      <c r="CX188" s="395"/>
      <c r="CY188" s="395"/>
      <c r="CZ188" s="395"/>
      <c r="DA188" s="395"/>
      <c r="DB188" s="395"/>
      <c r="DC188" s="395"/>
      <c r="DD188" s="395"/>
      <c r="DE188" s="395"/>
      <c r="DF188" s="395"/>
      <c r="DG188" s="395"/>
      <c r="DH188" s="395"/>
      <c r="DI188" s="395"/>
      <c r="DJ188" s="395"/>
      <c r="DK188" s="395"/>
      <c r="DL188" s="395"/>
      <c r="DM188" s="395"/>
      <c r="DN188" s="395"/>
      <c r="DO188" s="395"/>
      <c r="DP188" s="395"/>
      <c r="DQ188" s="395"/>
      <c r="DR188" s="395"/>
      <c r="DS188" s="395"/>
      <c r="DT188" s="395"/>
      <c r="DU188" s="395"/>
      <c r="DV188" s="395"/>
      <c r="DW188" s="395"/>
      <c r="DX188" s="395"/>
      <c r="DY188" s="395"/>
      <c r="DZ188" s="395"/>
      <c r="EA188" s="395"/>
      <c r="EB188" s="395"/>
      <c r="EC188" s="395"/>
      <c r="ED188" s="395"/>
      <c r="EE188" s="395"/>
      <c r="EF188" s="395"/>
      <c r="EG188" s="395"/>
      <c r="EH188" s="395"/>
      <c r="EI188" s="395"/>
      <c r="EJ188" s="395"/>
      <c r="EK188" s="395"/>
      <c r="EL188" s="395"/>
      <c r="EM188" s="395"/>
      <c r="EN188" s="395"/>
      <c r="EO188" s="395"/>
      <c r="EP188" s="395"/>
      <c r="EQ188" s="395"/>
      <c r="ER188" s="395"/>
      <c r="ES188" s="395"/>
      <c r="ET188" s="395"/>
      <c r="EU188" s="395"/>
      <c r="EV188" s="395"/>
      <c r="EW188" s="395"/>
      <c r="EX188" s="395"/>
      <c r="EY188" s="395"/>
      <c r="EZ188" s="395"/>
      <c r="FA188" s="395"/>
      <c r="FB188" s="395"/>
      <c r="FC188" s="395"/>
      <c r="FD188" s="395"/>
      <c r="FE188" s="395"/>
      <c r="FF188" s="395"/>
      <c r="FG188" s="395"/>
      <c r="FH188" s="395"/>
      <c r="FI188" s="395"/>
      <c r="FJ188" s="395"/>
      <c r="FK188" s="395"/>
      <c r="FL188" s="395"/>
      <c r="FM188" s="395"/>
      <c r="FN188" s="395"/>
      <c r="FO188" s="395"/>
      <c r="FP188" s="395"/>
      <c r="FQ188" s="395"/>
      <c r="FR188" s="395"/>
      <c r="FS188" s="395"/>
      <c r="FT188" s="395"/>
      <c r="FU188" s="395"/>
      <c r="FV188" s="395"/>
      <c r="FW188" s="395"/>
      <c r="FX188" s="395"/>
      <c r="FY188" s="395"/>
      <c r="FZ188" s="395"/>
      <c r="GA188" s="395"/>
      <c r="GB188" s="395"/>
      <c r="GC188" s="395"/>
      <c r="GD188" s="395"/>
      <c r="GE188" s="395"/>
      <c r="GF188" s="395"/>
      <c r="GG188" s="395"/>
      <c r="GH188" s="395"/>
      <c r="GI188" s="395"/>
      <c r="GJ188" s="395"/>
      <c r="GK188" s="395"/>
      <c r="GL188" s="395"/>
      <c r="GM188" s="395"/>
      <c r="GN188" s="395"/>
      <c r="GO188" s="395"/>
      <c r="GP188" s="395"/>
      <c r="GQ188" s="395"/>
      <c r="GR188" s="395"/>
      <c r="GS188" s="395"/>
      <c r="GT188" s="395"/>
      <c r="GU188" s="395"/>
      <c r="GV188" s="395"/>
      <c r="GW188" s="395"/>
      <c r="GX188" s="395"/>
      <c r="GY188" s="395"/>
      <c r="GZ188" s="395"/>
      <c r="HA188" s="395"/>
      <c r="HB188" s="395"/>
      <c r="HC188" s="395"/>
      <c r="HD188" s="395"/>
      <c r="HE188" s="395"/>
      <c r="HF188" s="395"/>
      <c r="HG188" s="395"/>
      <c r="HH188" s="395"/>
      <c r="HI188" s="395"/>
      <c r="HJ188" s="395"/>
      <c r="HK188" s="395"/>
      <c r="HL188" s="395"/>
      <c r="HM188" s="395"/>
      <c r="HN188" s="395"/>
      <c r="HO188" s="395"/>
      <c r="HP188" s="395"/>
      <c r="HQ188" s="395"/>
      <c r="HR188" s="395"/>
    </row>
    <row r="189" spans="1:226" s="866" customFormat="1" x14ac:dyDescent="0.25">
      <c r="A189" s="395"/>
      <c r="B189" s="395"/>
      <c r="C189" s="395"/>
      <c r="D189" s="395"/>
      <c r="E189" s="395"/>
      <c r="F189" s="395"/>
      <c r="G189" s="395"/>
      <c r="H189" s="395"/>
      <c r="I189" s="395"/>
      <c r="J189" s="395"/>
      <c r="K189" s="395"/>
      <c r="L189" s="395"/>
      <c r="M189" s="395"/>
      <c r="N189" s="395"/>
      <c r="O189" s="395"/>
      <c r="P189" s="395"/>
      <c r="Q189" s="395"/>
      <c r="R189" s="395"/>
      <c r="S189" s="395"/>
      <c r="T189" s="395"/>
      <c r="U189" s="395"/>
      <c r="V189" s="1608"/>
      <c r="W189" s="395"/>
      <c r="X189" s="395"/>
      <c r="Y189" s="395"/>
      <c r="Z189" s="2140"/>
      <c r="AA189" s="395"/>
      <c r="AB189" s="395"/>
      <c r="AC189" s="395"/>
      <c r="AD189" s="395"/>
      <c r="AE189" s="395"/>
      <c r="AF189" s="395"/>
      <c r="AG189" s="395"/>
      <c r="AH189" s="395"/>
      <c r="AI189" s="395"/>
      <c r="AJ189" s="395"/>
      <c r="AK189" s="395"/>
      <c r="AL189" s="395"/>
      <c r="AM189" s="395"/>
      <c r="AN189" s="395"/>
      <c r="AO189" s="395"/>
      <c r="AP189" s="395"/>
      <c r="AQ189" s="395"/>
      <c r="AR189" s="395"/>
      <c r="AS189" s="395"/>
      <c r="AT189" s="395"/>
      <c r="AU189" s="395"/>
      <c r="AV189" s="395"/>
      <c r="AW189" s="395"/>
      <c r="AX189" s="395"/>
      <c r="AY189" s="395"/>
      <c r="AZ189" s="395"/>
      <c r="BA189" s="395"/>
      <c r="BB189" s="395"/>
      <c r="BC189" s="395"/>
      <c r="BD189" s="395"/>
      <c r="BE189" s="395"/>
      <c r="BF189" s="395"/>
      <c r="BG189" s="395"/>
      <c r="BH189" s="395"/>
      <c r="BI189" s="395"/>
      <c r="BJ189" s="395"/>
      <c r="BK189" s="395"/>
      <c r="BL189" s="395"/>
      <c r="BM189" s="395"/>
      <c r="BN189" s="395"/>
      <c r="BO189" s="395"/>
      <c r="BP189" s="395"/>
      <c r="BQ189" s="395"/>
      <c r="BR189" s="395"/>
      <c r="BS189" s="395"/>
      <c r="BT189" s="395"/>
      <c r="BU189" s="395"/>
      <c r="BV189" s="395"/>
      <c r="BW189" s="395"/>
      <c r="BX189" s="395"/>
      <c r="BY189" s="395"/>
      <c r="BZ189" s="395"/>
      <c r="CA189" s="395"/>
      <c r="CB189" s="395"/>
      <c r="CC189" s="395"/>
      <c r="CD189" s="395"/>
      <c r="CE189" s="395"/>
      <c r="CF189" s="395"/>
      <c r="CG189" s="395"/>
      <c r="CH189" s="395"/>
      <c r="CI189" s="395"/>
      <c r="CJ189" s="395"/>
      <c r="CK189" s="395"/>
      <c r="CL189" s="395"/>
      <c r="CM189" s="395"/>
      <c r="CN189" s="395"/>
      <c r="CO189" s="395"/>
      <c r="CP189" s="395"/>
      <c r="CQ189" s="395"/>
      <c r="CR189" s="395"/>
      <c r="CS189" s="395"/>
      <c r="CT189" s="395"/>
      <c r="CU189" s="395"/>
      <c r="CV189" s="395"/>
      <c r="CW189" s="395"/>
      <c r="CX189" s="395"/>
      <c r="CY189" s="395"/>
      <c r="CZ189" s="395"/>
      <c r="DA189" s="395"/>
      <c r="DB189" s="395"/>
      <c r="DC189" s="395"/>
      <c r="DD189" s="395"/>
      <c r="DE189" s="395"/>
      <c r="DF189" s="395"/>
      <c r="DG189" s="395"/>
      <c r="DH189" s="395"/>
      <c r="DI189" s="395"/>
      <c r="DJ189" s="395"/>
      <c r="DK189" s="395"/>
      <c r="DL189" s="395"/>
      <c r="DM189" s="395"/>
      <c r="DN189" s="395"/>
      <c r="DO189" s="395"/>
      <c r="DP189" s="395"/>
      <c r="DQ189" s="395"/>
      <c r="DR189" s="395"/>
      <c r="DS189" s="395"/>
      <c r="DT189" s="395"/>
      <c r="DU189" s="395"/>
      <c r="DV189" s="395"/>
      <c r="DW189" s="395"/>
      <c r="DX189" s="395"/>
      <c r="DY189" s="395"/>
      <c r="DZ189" s="395"/>
      <c r="EA189" s="395"/>
      <c r="EB189" s="395"/>
      <c r="EC189" s="395"/>
      <c r="ED189" s="395"/>
      <c r="EE189" s="395"/>
      <c r="EF189" s="395"/>
      <c r="EG189" s="395"/>
      <c r="EH189" s="395"/>
      <c r="EI189" s="395"/>
      <c r="EJ189" s="395"/>
      <c r="EK189" s="395"/>
      <c r="EL189" s="395"/>
      <c r="EM189" s="395"/>
      <c r="EN189" s="395"/>
      <c r="EO189" s="395"/>
      <c r="EP189" s="395"/>
      <c r="EQ189" s="395"/>
      <c r="ER189" s="395"/>
      <c r="ES189" s="395"/>
      <c r="ET189" s="395"/>
      <c r="EU189" s="395"/>
      <c r="EV189" s="395"/>
      <c r="EW189" s="395"/>
      <c r="EX189" s="395"/>
      <c r="EY189" s="395"/>
      <c r="EZ189" s="395"/>
      <c r="FA189" s="395"/>
      <c r="FB189" s="395"/>
      <c r="FC189" s="395"/>
      <c r="FD189" s="395"/>
      <c r="FE189" s="395"/>
      <c r="FF189" s="395"/>
      <c r="FG189" s="395"/>
      <c r="FH189" s="395"/>
      <c r="FI189" s="395"/>
      <c r="FJ189" s="395"/>
      <c r="FK189" s="395"/>
      <c r="FL189" s="395"/>
      <c r="FM189" s="395"/>
      <c r="FN189" s="395"/>
      <c r="FO189" s="395"/>
      <c r="FP189" s="395"/>
      <c r="FQ189" s="395"/>
      <c r="FR189" s="395"/>
      <c r="FS189" s="395"/>
      <c r="FT189" s="395"/>
      <c r="FU189" s="395"/>
      <c r="FV189" s="395"/>
      <c r="FW189" s="395"/>
      <c r="FX189" s="395"/>
      <c r="FY189" s="395"/>
      <c r="FZ189" s="395"/>
      <c r="GA189" s="395"/>
      <c r="GB189" s="395"/>
      <c r="GC189" s="395"/>
      <c r="GD189" s="395"/>
      <c r="GE189" s="395"/>
      <c r="GF189" s="395"/>
      <c r="GG189" s="395"/>
      <c r="GH189" s="395"/>
      <c r="GI189" s="395"/>
      <c r="GJ189" s="395"/>
      <c r="GK189" s="395"/>
      <c r="GL189" s="395"/>
      <c r="GM189" s="395"/>
      <c r="GN189" s="395"/>
      <c r="GO189" s="395"/>
      <c r="GP189" s="395"/>
      <c r="GQ189" s="395"/>
      <c r="GR189" s="395"/>
      <c r="GS189" s="395"/>
      <c r="GT189" s="395"/>
      <c r="GU189" s="395"/>
      <c r="GV189" s="395"/>
      <c r="GW189" s="395"/>
      <c r="GX189" s="395"/>
      <c r="GY189" s="395"/>
      <c r="GZ189" s="395"/>
      <c r="HA189" s="395"/>
      <c r="HB189" s="395"/>
      <c r="HC189" s="395"/>
      <c r="HD189" s="395"/>
      <c r="HE189" s="395"/>
      <c r="HF189" s="395"/>
      <c r="HG189" s="395"/>
      <c r="HH189" s="395"/>
      <c r="HI189" s="395"/>
      <c r="HJ189" s="395"/>
      <c r="HK189" s="395"/>
      <c r="HL189" s="395"/>
      <c r="HM189" s="395"/>
      <c r="HN189" s="395"/>
      <c r="HO189" s="395"/>
      <c r="HP189" s="395"/>
      <c r="HQ189" s="395"/>
      <c r="HR189" s="395"/>
    </row>
    <row r="190" spans="1:226" s="866" customFormat="1" x14ac:dyDescent="0.25">
      <c r="A190" s="395"/>
      <c r="B190" s="395"/>
      <c r="C190" s="395"/>
      <c r="D190" s="395"/>
      <c r="E190" s="395"/>
      <c r="F190" s="395"/>
      <c r="G190" s="395"/>
      <c r="H190" s="395"/>
      <c r="I190" s="395"/>
      <c r="J190" s="395"/>
      <c r="K190" s="395"/>
      <c r="L190" s="395"/>
      <c r="M190" s="395"/>
      <c r="N190" s="395"/>
      <c r="O190" s="395"/>
      <c r="P190" s="395"/>
      <c r="Q190" s="395"/>
      <c r="R190" s="395"/>
      <c r="S190" s="395"/>
      <c r="T190" s="395"/>
      <c r="U190" s="395"/>
      <c r="V190" s="1608"/>
      <c r="W190" s="395"/>
      <c r="X190" s="395"/>
      <c r="Y190" s="395"/>
      <c r="Z190" s="2140"/>
      <c r="AA190" s="395"/>
      <c r="AB190" s="395"/>
      <c r="AC190" s="395"/>
      <c r="AD190" s="395"/>
      <c r="AE190" s="395"/>
      <c r="AF190" s="395"/>
      <c r="AG190" s="395"/>
      <c r="AH190" s="395"/>
      <c r="AI190" s="395"/>
      <c r="AJ190" s="395"/>
      <c r="AK190" s="395"/>
      <c r="AL190" s="395"/>
      <c r="AM190" s="395"/>
      <c r="AN190" s="395"/>
      <c r="AO190" s="395"/>
      <c r="AP190" s="395"/>
      <c r="AQ190" s="395"/>
      <c r="AR190" s="395"/>
      <c r="AS190" s="395"/>
      <c r="AT190" s="395"/>
      <c r="AU190" s="395"/>
      <c r="AV190" s="395"/>
      <c r="AW190" s="395"/>
      <c r="AX190" s="395"/>
      <c r="AY190" s="395"/>
      <c r="AZ190" s="395"/>
      <c r="BA190" s="395"/>
      <c r="BB190" s="395"/>
      <c r="BC190" s="395"/>
      <c r="BD190" s="395"/>
      <c r="BE190" s="395"/>
      <c r="BF190" s="395"/>
      <c r="BG190" s="395"/>
      <c r="BH190" s="395"/>
      <c r="BI190" s="395"/>
      <c r="BJ190" s="395"/>
      <c r="BK190" s="395"/>
      <c r="BL190" s="395"/>
      <c r="BM190" s="395"/>
      <c r="BN190" s="395"/>
      <c r="BO190" s="395"/>
      <c r="BP190" s="395"/>
      <c r="BQ190" s="395"/>
      <c r="BR190" s="395"/>
      <c r="BS190" s="395"/>
      <c r="BT190" s="395"/>
      <c r="BU190" s="395"/>
      <c r="BV190" s="395"/>
      <c r="BW190" s="395"/>
      <c r="BX190" s="395"/>
      <c r="BY190" s="395"/>
      <c r="BZ190" s="395"/>
      <c r="CA190" s="395"/>
      <c r="CB190" s="395"/>
      <c r="CC190" s="395"/>
      <c r="CD190" s="395"/>
      <c r="CE190" s="395"/>
      <c r="CF190" s="395"/>
      <c r="CG190" s="395"/>
      <c r="CH190" s="395"/>
      <c r="CI190" s="395"/>
      <c r="CJ190" s="395"/>
      <c r="CK190" s="395"/>
      <c r="CL190" s="395"/>
      <c r="CM190" s="395"/>
      <c r="CN190" s="395"/>
      <c r="CO190" s="395"/>
      <c r="CP190" s="395"/>
      <c r="CQ190" s="395"/>
      <c r="CR190" s="395"/>
      <c r="CS190" s="395"/>
      <c r="CT190" s="395"/>
      <c r="CU190" s="395"/>
      <c r="CV190" s="395"/>
      <c r="CW190" s="395"/>
      <c r="CX190" s="395"/>
      <c r="CY190" s="395"/>
      <c r="CZ190" s="395"/>
      <c r="DA190" s="395"/>
      <c r="DB190" s="395"/>
      <c r="DC190" s="395"/>
      <c r="DD190" s="395"/>
      <c r="DE190" s="395"/>
      <c r="DF190" s="395"/>
      <c r="DG190" s="395"/>
      <c r="DH190" s="395"/>
      <c r="DI190" s="395"/>
      <c r="DJ190" s="395"/>
      <c r="DK190" s="395"/>
      <c r="DL190" s="395"/>
      <c r="DM190" s="395"/>
      <c r="DN190" s="395"/>
      <c r="DO190" s="395"/>
      <c r="DP190" s="395"/>
      <c r="DQ190" s="395"/>
      <c r="DR190" s="395"/>
      <c r="DS190" s="395"/>
      <c r="DT190" s="395"/>
      <c r="DU190" s="395"/>
      <c r="DV190" s="395"/>
      <c r="DW190" s="395"/>
      <c r="DX190" s="395"/>
      <c r="DY190" s="395"/>
      <c r="DZ190" s="395"/>
      <c r="EA190" s="395"/>
      <c r="EB190" s="395"/>
      <c r="EC190" s="395"/>
      <c r="ED190" s="395"/>
      <c r="EE190" s="395"/>
      <c r="EF190" s="395"/>
      <c r="EG190" s="395"/>
      <c r="EH190" s="395"/>
      <c r="EI190" s="395"/>
      <c r="EJ190" s="395"/>
      <c r="EK190" s="395"/>
      <c r="EL190" s="395"/>
      <c r="EM190" s="395"/>
      <c r="EN190" s="395"/>
      <c r="EO190" s="395"/>
      <c r="EP190" s="395"/>
      <c r="EQ190" s="395"/>
      <c r="ER190" s="395"/>
      <c r="ES190" s="395"/>
      <c r="ET190" s="395"/>
      <c r="EU190" s="395"/>
      <c r="EV190" s="395"/>
      <c r="EW190" s="395"/>
      <c r="EX190" s="395"/>
      <c r="EY190" s="395"/>
      <c r="EZ190" s="395"/>
      <c r="FA190" s="395"/>
      <c r="FB190" s="395"/>
      <c r="FC190" s="395"/>
      <c r="FD190" s="395"/>
      <c r="FE190" s="395"/>
      <c r="FF190" s="395"/>
      <c r="FG190" s="395"/>
      <c r="FH190" s="395"/>
      <c r="FI190" s="395"/>
      <c r="FJ190" s="395"/>
      <c r="FK190" s="395"/>
      <c r="FL190" s="395"/>
      <c r="FM190" s="395"/>
      <c r="FN190" s="395"/>
      <c r="FO190" s="395"/>
      <c r="FP190" s="395"/>
      <c r="FQ190" s="395"/>
      <c r="FR190" s="395"/>
      <c r="FS190" s="395"/>
      <c r="FT190" s="395"/>
      <c r="FU190" s="395"/>
      <c r="FV190" s="395"/>
      <c r="FW190" s="395"/>
      <c r="FX190" s="395"/>
      <c r="FY190" s="395"/>
      <c r="FZ190" s="395"/>
      <c r="GA190" s="395"/>
      <c r="GB190" s="395"/>
      <c r="GC190" s="395"/>
      <c r="GD190" s="395"/>
      <c r="GE190" s="395"/>
      <c r="GF190" s="395"/>
      <c r="GG190" s="395"/>
      <c r="GH190" s="395"/>
      <c r="GI190" s="395"/>
      <c r="GJ190" s="395"/>
      <c r="GK190" s="395"/>
      <c r="GL190" s="395"/>
      <c r="GM190" s="395"/>
      <c r="GN190" s="395"/>
      <c r="GO190" s="395"/>
      <c r="GP190" s="395"/>
      <c r="GQ190" s="395"/>
      <c r="GR190" s="395"/>
      <c r="GS190" s="395"/>
      <c r="GT190" s="395"/>
      <c r="GU190" s="395"/>
      <c r="GV190" s="395"/>
      <c r="GW190" s="395"/>
      <c r="GX190" s="395"/>
      <c r="GY190" s="395"/>
      <c r="GZ190" s="395"/>
      <c r="HA190" s="395"/>
      <c r="HB190" s="395"/>
      <c r="HC190" s="395"/>
      <c r="HD190" s="395"/>
      <c r="HE190" s="395"/>
      <c r="HF190" s="395"/>
      <c r="HG190" s="395"/>
      <c r="HH190" s="395"/>
      <c r="HI190" s="395"/>
      <c r="HJ190" s="395"/>
      <c r="HK190" s="395"/>
      <c r="HL190" s="395"/>
      <c r="HM190" s="395"/>
      <c r="HN190" s="395"/>
      <c r="HO190" s="395"/>
      <c r="HP190" s="395"/>
      <c r="HQ190" s="395"/>
      <c r="HR190" s="395"/>
    </row>
    <row r="191" spans="1:226" s="866" customFormat="1" x14ac:dyDescent="0.25">
      <c r="A191" s="395"/>
      <c r="B191" s="395"/>
      <c r="C191" s="395"/>
      <c r="D191" s="395"/>
      <c r="E191" s="395"/>
      <c r="F191" s="395"/>
      <c r="G191" s="395"/>
      <c r="H191" s="395"/>
      <c r="I191" s="395"/>
      <c r="J191" s="395"/>
      <c r="K191" s="395"/>
      <c r="L191" s="395"/>
      <c r="M191" s="395"/>
      <c r="N191" s="395"/>
      <c r="O191" s="395"/>
      <c r="P191" s="395"/>
      <c r="Q191" s="395"/>
      <c r="R191" s="395"/>
      <c r="S191" s="395"/>
      <c r="T191" s="395"/>
      <c r="U191" s="395"/>
      <c r="V191" s="1608"/>
      <c r="W191" s="395"/>
      <c r="X191" s="395"/>
      <c r="Y191" s="395"/>
      <c r="Z191" s="2140"/>
      <c r="AA191" s="395"/>
      <c r="AB191" s="395"/>
      <c r="AC191" s="395"/>
      <c r="AD191" s="395"/>
      <c r="AE191" s="395"/>
      <c r="AF191" s="395"/>
      <c r="AG191" s="395"/>
      <c r="AH191" s="395"/>
      <c r="AI191" s="395"/>
      <c r="AJ191" s="395"/>
      <c r="AK191" s="395"/>
      <c r="AL191" s="395"/>
      <c r="AM191" s="395"/>
      <c r="AN191" s="395"/>
      <c r="AO191" s="395"/>
      <c r="AP191" s="395"/>
      <c r="AQ191" s="395"/>
      <c r="AR191" s="395"/>
      <c r="AS191" s="395"/>
      <c r="AT191" s="395"/>
      <c r="AU191" s="395"/>
      <c r="AV191" s="395"/>
      <c r="AW191" s="395"/>
      <c r="AX191" s="395"/>
      <c r="AY191" s="395"/>
      <c r="AZ191" s="395"/>
      <c r="BA191" s="395"/>
      <c r="BB191" s="395"/>
      <c r="BC191" s="395"/>
      <c r="BD191" s="395"/>
      <c r="BE191" s="395"/>
      <c r="BF191" s="395"/>
      <c r="BG191" s="395"/>
      <c r="BH191" s="395"/>
      <c r="BI191" s="395"/>
      <c r="BJ191" s="395"/>
      <c r="BK191" s="395"/>
      <c r="BL191" s="395"/>
      <c r="BM191" s="395"/>
      <c r="BN191" s="395"/>
      <c r="BO191" s="395"/>
      <c r="BP191" s="395"/>
      <c r="BQ191" s="395"/>
      <c r="BR191" s="395"/>
      <c r="BS191" s="395"/>
      <c r="BT191" s="395"/>
      <c r="BU191" s="395"/>
      <c r="BV191" s="395"/>
      <c r="BW191" s="395"/>
      <c r="BX191" s="395"/>
      <c r="BY191" s="395"/>
      <c r="BZ191" s="395"/>
      <c r="CA191" s="395"/>
      <c r="CB191" s="395"/>
      <c r="CC191" s="395"/>
      <c r="CD191" s="395"/>
      <c r="CE191" s="395"/>
      <c r="CF191" s="395"/>
      <c r="CG191" s="395"/>
      <c r="CH191" s="395"/>
      <c r="CI191" s="395"/>
      <c r="CJ191" s="395"/>
      <c r="CK191" s="395"/>
      <c r="CL191" s="395"/>
      <c r="CM191" s="395"/>
      <c r="CN191" s="395"/>
      <c r="CO191" s="395"/>
      <c r="CP191" s="395"/>
      <c r="CQ191" s="395"/>
      <c r="CR191" s="395"/>
      <c r="CS191" s="395"/>
      <c r="CT191" s="395"/>
      <c r="CU191" s="395"/>
      <c r="CV191" s="395"/>
      <c r="CW191" s="395"/>
      <c r="CX191" s="395"/>
      <c r="CY191" s="395"/>
      <c r="CZ191" s="395"/>
      <c r="DA191" s="395"/>
      <c r="DB191" s="395"/>
      <c r="DC191" s="395"/>
      <c r="DD191" s="395"/>
      <c r="DE191" s="395"/>
      <c r="DF191" s="395"/>
      <c r="DG191" s="395"/>
      <c r="DH191" s="395"/>
      <c r="DI191" s="395"/>
      <c r="DJ191" s="395"/>
      <c r="DK191" s="395"/>
      <c r="DL191" s="395"/>
      <c r="DM191" s="395"/>
      <c r="DN191" s="395"/>
      <c r="DO191" s="395"/>
      <c r="DP191" s="395"/>
      <c r="DQ191" s="395"/>
      <c r="DR191" s="395"/>
      <c r="DS191" s="395"/>
      <c r="DT191" s="395"/>
      <c r="DU191" s="395"/>
      <c r="DV191" s="395"/>
      <c r="DW191" s="395"/>
      <c r="DX191" s="395"/>
      <c r="DY191" s="395"/>
      <c r="DZ191" s="395"/>
      <c r="EA191" s="395"/>
      <c r="EB191" s="395"/>
      <c r="EC191" s="395"/>
      <c r="ED191" s="395"/>
      <c r="EE191" s="395"/>
      <c r="EF191" s="395"/>
      <c r="EG191" s="395"/>
      <c r="EH191" s="395"/>
      <c r="EI191" s="395"/>
      <c r="EJ191" s="395"/>
      <c r="EK191" s="395"/>
      <c r="EL191" s="395"/>
      <c r="EM191" s="395"/>
      <c r="EN191" s="395"/>
      <c r="EO191" s="395"/>
      <c r="EP191" s="395"/>
      <c r="EQ191" s="395"/>
      <c r="ER191" s="395"/>
      <c r="ES191" s="395"/>
      <c r="ET191" s="395"/>
      <c r="EU191" s="395"/>
      <c r="EV191" s="395"/>
      <c r="EW191" s="395"/>
      <c r="EX191" s="395"/>
      <c r="EY191" s="395"/>
      <c r="EZ191" s="395"/>
      <c r="FA191" s="395"/>
      <c r="FB191" s="395"/>
      <c r="FC191" s="395"/>
      <c r="FD191" s="395"/>
      <c r="FE191" s="395"/>
      <c r="FF191" s="395"/>
      <c r="FG191" s="395"/>
      <c r="FH191" s="395"/>
      <c r="FI191" s="395"/>
      <c r="FJ191" s="395"/>
      <c r="FK191" s="395"/>
      <c r="FL191" s="395"/>
      <c r="FM191" s="395"/>
      <c r="FN191" s="395"/>
      <c r="FO191" s="395"/>
      <c r="FP191" s="395"/>
      <c r="FQ191" s="395"/>
      <c r="FR191" s="395"/>
      <c r="FS191" s="395"/>
      <c r="FT191" s="395"/>
      <c r="FU191" s="395"/>
      <c r="FV191" s="395"/>
      <c r="FW191" s="395"/>
      <c r="FX191" s="395"/>
      <c r="FY191" s="395"/>
      <c r="FZ191" s="395"/>
      <c r="GA191" s="395"/>
      <c r="GB191" s="395"/>
      <c r="GC191" s="395"/>
      <c r="GD191" s="395"/>
      <c r="GE191" s="395"/>
      <c r="GF191" s="395"/>
      <c r="GG191" s="395"/>
      <c r="GH191" s="395"/>
      <c r="GI191" s="395"/>
      <c r="GJ191" s="395"/>
      <c r="GK191" s="395"/>
      <c r="GL191" s="395"/>
      <c r="GM191" s="395"/>
      <c r="GN191" s="395"/>
      <c r="GO191" s="395"/>
      <c r="GP191" s="395"/>
      <c r="GQ191" s="395"/>
      <c r="GR191" s="395"/>
      <c r="GS191" s="395"/>
      <c r="GT191" s="395"/>
      <c r="GU191" s="395"/>
      <c r="GV191" s="395"/>
      <c r="GW191" s="395"/>
      <c r="GX191" s="395"/>
      <c r="GY191" s="395"/>
      <c r="GZ191" s="395"/>
      <c r="HA191" s="395"/>
      <c r="HB191" s="395"/>
      <c r="HC191" s="395"/>
      <c r="HD191" s="395"/>
      <c r="HE191" s="395"/>
      <c r="HF191" s="395"/>
      <c r="HG191" s="395"/>
      <c r="HH191" s="395"/>
      <c r="HI191" s="395"/>
      <c r="HJ191" s="395"/>
      <c r="HK191" s="395"/>
      <c r="HL191" s="395"/>
      <c r="HM191" s="395"/>
      <c r="HN191" s="395"/>
      <c r="HO191" s="395"/>
      <c r="HP191" s="395"/>
      <c r="HQ191" s="395"/>
      <c r="HR191" s="395"/>
    </row>
    <row r="192" spans="1:226" s="866" customFormat="1" x14ac:dyDescent="0.25">
      <c r="A192" s="395"/>
      <c r="B192" s="395"/>
      <c r="C192" s="395"/>
      <c r="D192" s="395"/>
      <c r="E192" s="395"/>
      <c r="F192" s="395"/>
      <c r="G192" s="395"/>
      <c r="H192" s="395"/>
      <c r="I192" s="395"/>
      <c r="J192" s="395"/>
      <c r="K192" s="395"/>
      <c r="L192" s="395"/>
      <c r="M192" s="395"/>
      <c r="N192" s="395"/>
      <c r="O192" s="395"/>
      <c r="P192" s="395"/>
      <c r="Q192" s="395"/>
      <c r="R192" s="395"/>
      <c r="S192" s="395"/>
      <c r="T192" s="395"/>
      <c r="U192" s="395"/>
      <c r="V192" s="1608"/>
      <c r="W192" s="395"/>
      <c r="X192" s="395"/>
      <c r="Y192" s="395"/>
      <c r="Z192" s="2140"/>
      <c r="AA192" s="395"/>
      <c r="AB192" s="395"/>
      <c r="AC192" s="395"/>
      <c r="AD192" s="395"/>
      <c r="AE192" s="395"/>
      <c r="AF192" s="395"/>
      <c r="AG192" s="395"/>
      <c r="AH192" s="395"/>
      <c r="AI192" s="395"/>
      <c r="AJ192" s="395"/>
      <c r="AK192" s="395"/>
      <c r="AL192" s="395"/>
      <c r="AM192" s="395"/>
      <c r="AN192" s="395"/>
      <c r="AO192" s="395"/>
      <c r="AP192" s="395"/>
      <c r="AQ192" s="395"/>
      <c r="AR192" s="395"/>
      <c r="AS192" s="395"/>
      <c r="AT192" s="395"/>
      <c r="AU192" s="395"/>
      <c r="AV192" s="395"/>
      <c r="AW192" s="395"/>
      <c r="AX192" s="395"/>
      <c r="AY192" s="395"/>
      <c r="AZ192" s="395"/>
      <c r="BA192" s="395"/>
      <c r="BB192" s="395"/>
      <c r="BC192" s="395"/>
      <c r="BD192" s="395"/>
      <c r="BE192" s="395"/>
      <c r="BF192" s="395"/>
      <c r="BG192" s="395"/>
      <c r="BH192" s="395"/>
      <c r="BI192" s="395"/>
      <c r="BJ192" s="395"/>
      <c r="BK192" s="395"/>
      <c r="BL192" s="395"/>
      <c r="BM192" s="395"/>
      <c r="BN192" s="395"/>
      <c r="BO192" s="395"/>
      <c r="BP192" s="395"/>
      <c r="BQ192" s="395"/>
      <c r="BR192" s="395"/>
      <c r="BS192" s="395"/>
      <c r="BT192" s="395"/>
      <c r="BU192" s="395"/>
      <c r="BV192" s="395"/>
      <c r="BW192" s="395"/>
      <c r="BX192" s="395"/>
      <c r="BY192" s="395"/>
      <c r="BZ192" s="395"/>
      <c r="CA192" s="395"/>
      <c r="CB192" s="395"/>
      <c r="CC192" s="395"/>
      <c r="CD192" s="395"/>
      <c r="CE192" s="395"/>
      <c r="CF192" s="395"/>
      <c r="CG192" s="395"/>
      <c r="CH192" s="395"/>
      <c r="CI192" s="395"/>
      <c r="CJ192" s="395"/>
      <c r="CK192" s="395"/>
      <c r="CL192" s="395"/>
      <c r="CM192" s="395"/>
      <c r="CN192" s="395"/>
      <c r="CO192" s="395"/>
      <c r="CP192" s="395"/>
      <c r="CQ192" s="395"/>
      <c r="CR192" s="395"/>
      <c r="CS192" s="395"/>
      <c r="CT192" s="395"/>
      <c r="CU192" s="395"/>
      <c r="CV192" s="395"/>
      <c r="CW192" s="395"/>
      <c r="CX192" s="395"/>
      <c r="CY192" s="395"/>
      <c r="CZ192" s="395"/>
      <c r="DA192" s="395"/>
      <c r="DB192" s="395"/>
      <c r="DC192" s="395"/>
      <c r="DD192" s="395"/>
      <c r="DE192" s="395"/>
      <c r="DF192" s="395"/>
      <c r="DG192" s="395"/>
      <c r="DH192" s="395"/>
      <c r="DI192" s="395"/>
      <c r="DJ192" s="395"/>
      <c r="DK192" s="395"/>
      <c r="DL192" s="395"/>
      <c r="DM192" s="395"/>
      <c r="DN192" s="395"/>
      <c r="DO192" s="395"/>
      <c r="DP192" s="395"/>
      <c r="DQ192" s="395"/>
      <c r="DR192" s="395"/>
      <c r="DS192" s="395"/>
      <c r="DT192" s="395"/>
      <c r="DU192" s="395"/>
      <c r="DV192" s="395"/>
      <c r="DW192" s="395"/>
      <c r="DX192" s="395"/>
      <c r="DY192" s="395"/>
      <c r="DZ192" s="395"/>
      <c r="EA192" s="395"/>
      <c r="EB192" s="395"/>
      <c r="EC192" s="395"/>
      <c r="ED192" s="395"/>
      <c r="EE192" s="395"/>
      <c r="EF192" s="395"/>
      <c r="EG192" s="395"/>
      <c r="EH192" s="395"/>
      <c r="EI192" s="395"/>
      <c r="EJ192" s="395"/>
      <c r="EK192" s="395"/>
      <c r="EL192" s="395"/>
      <c r="EM192" s="395"/>
      <c r="EN192" s="395"/>
      <c r="EO192" s="395"/>
      <c r="EP192" s="395"/>
      <c r="EQ192" s="395"/>
      <c r="ER192" s="395"/>
      <c r="ES192" s="395"/>
      <c r="ET192" s="395"/>
      <c r="EU192" s="395"/>
      <c r="EV192" s="395"/>
      <c r="EW192" s="395"/>
      <c r="EX192" s="395"/>
      <c r="EY192" s="395"/>
      <c r="EZ192" s="395"/>
      <c r="FA192" s="395"/>
      <c r="FB192" s="395"/>
      <c r="FC192" s="395"/>
      <c r="FD192" s="395"/>
      <c r="FE192" s="395"/>
      <c r="FF192" s="395"/>
      <c r="FG192" s="395"/>
      <c r="FH192" s="395"/>
      <c r="FI192" s="395"/>
      <c r="FJ192" s="395"/>
      <c r="FK192" s="395"/>
      <c r="FL192" s="395"/>
      <c r="FM192" s="395"/>
      <c r="FN192" s="395"/>
      <c r="FO192" s="395"/>
      <c r="FP192" s="395"/>
      <c r="FQ192" s="395"/>
      <c r="FR192" s="395"/>
      <c r="FS192" s="395"/>
      <c r="FT192" s="395"/>
      <c r="FU192" s="395"/>
      <c r="FV192" s="395"/>
      <c r="FW192" s="395"/>
      <c r="FX192" s="395"/>
      <c r="FY192" s="395"/>
      <c r="FZ192" s="395"/>
      <c r="GA192" s="395"/>
      <c r="GB192" s="395"/>
      <c r="GC192" s="395"/>
      <c r="GD192" s="395"/>
      <c r="GE192" s="395"/>
      <c r="GF192" s="395"/>
      <c r="GG192" s="395"/>
      <c r="GH192" s="395"/>
      <c r="GI192" s="395"/>
      <c r="GJ192" s="395"/>
      <c r="GK192" s="395"/>
      <c r="GL192" s="395"/>
      <c r="GM192" s="395"/>
      <c r="GN192" s="395"/>
      <c r="GO192" s="395"/>
      <c r="GP192" s="395"/>
      <c r="GQ192" s="395"/>
      <c r="GR192" s="395"/>
      <c r="GS192" s="395"/>
      <c r="GT192" s="395"/>
      <c r="GU192" s="395"/>
      <c r="GV192" s="395"/>
      <c r="GW192" s="395"/>
      <c r="GX192" s="395"/>
      <c r="GY192" s="395"/>
      <c r="GZ192" s="395"/>
      <c r="HA192" s="395"/>
      <c r="HB192" s="395"/>
      <c r="HC192" s="395"/>
      <c r="HD192" s="395"/>
      <c r="HE192" s="395"/>
      <c r="HF192" s="395"/>
      <c r="HG192" s="395"/>
      <c r="HH192" s="395"/>
      <c r="HI192" s="395"/>
      <c r="HJ192" s="395"/>
      <c r="HK192" s="395"/>
      <c r="HL192" s="395"/>
      <c r="HM192" s="395"/>
      <c r="HN192" s="395"/>
      <c r="HO192" s="395"/>
      <c r="HP192" s="395"/>
      <c r="HQ192" s="395"/>
      <c r="HR192" s="395"/>
    </row>
    <row r="193" spans="1:226" s="866" customFormat="1" x14ac:dyDescent="0.25">
      <c r="A193" s="395"/>
      <c r="B193" s="395"/>
      <c r="C193" s="395"/>
      <c r="D193" s="395"/>
      <c r="E193" s="395"/>
      <c r="F193" s="395"/>
      <c r="G193" s="395"/>
      <c r="H193" s="395"/>
      <c r="I193" s="395"/>
      <c r="J193" s="395"/>
      <c r="K193" s="395"/>
      <c r="L193" s="395"/>
      <c r="M193" s="395"/>
      <c r="N193" s="395"/>
      <c r="O193" s="395"/>
      <c r="P193" s="395"/>
      <c r="Q193" s="395"/>
      <c r="R193" s="395"/>
      <c r="S193" s="395"/>
      <c r="T193" s="395"/>
      <c r="U193" s="395"/>
      <c r="V193" s="1608"/>
      <c r="W193" s="395"/>
      <c r="X193" s="395"/>
      <c r="Y193" s="395"/>
      <c r="Z193" s="2140"/>
      <c r="AA193" s="395"/>
      <c r="AB193" s="395"/>
      <c r="AC193" s="395"/>
      <c r="AD193" s="395"/>
      <c r="AE193" s="395"/>
      <c r="AF193" s="395"/>
      <c r="AG193" s="395"/>
      <c r="AH193" s="395"/>
      <c r="AI193" s="395"/>
      <c r="AJ193" s="395"/>
      <c r="AK193" s="395"/>
      <c r="AL193" s="395"/>
      <c r="AM193" s="395"/>
      <c r="AN193" s="395"/>
      <c r="AO193" s="395"/>
      <c r="AP193" s="395"/>
      <c r="AQ193" s="395"/>
      <c r="AR193" s="395"/>
      <c r="AS193" s="395"/>
      <c r="AT193" s="395"/>
      <c r="AU193" s="395"/>
      <c r="AV193" s="395"/>
      <c r="AW193" s="395"/>
      <c r="AX193" s="395"/>
      <c r="AY193" s="395"/>
      <c r="AZ193" s="395"/>
      <c r="BA193" s="395"/>
      <c r="BB193" s="395"/>
      <c r="BC193" s="395"/>
      <c r="BD193" s="395"/>
      <c r="BE193" s="395"/>
      <c r="BF193" s="395"/>
      <c r="BG193" s="395"/>
      <c r="BH193" s="395"/>
      <c r="BI193" s="395"/>
      <c r="BJ193" s="395"/>
      <c r="BK193" s="395"/>
      <c r="BL193" s="395"/>
      <c r="BM193" s="395"/>
      <c r="BN193" s="395"/>
      <c r="BO193" s="395"/>
      <c r="BP193" s="395"/>
      <c r="BQ193" s="395"/>
      <c r="BR193" s="395"/>
      <c r="BS193" s="395"/>
      <c r="BT193" s="395"/>
      <c r="BU193" s="395"/>
      <c r="BV193" s="395"/>
      <c r="BW193" s="395"/>
      <c r="BX193" s="395"/>
      <c r="BY193" s="395"/>
      <c r="BZ193" s="395"/>
      <c r="CA193" s="395"/>
      <c r="CB193" s="395"/>
      <c r="CC193" s="395"/>
      <c r="CD193" s="395"/>
      <c r="CE193" s="395"/>
      <c r="CF193" s="395"/>
      <c r="CG193" s="395"/>
      <c r="CH193" s="395"/>
      <c r="CI193" s="395"/>
      <c r="CJ193" s="395"/>
      <c r="CK193" s="395"/>
      <c r="CL193" s="395"/>
      <c r="CM193" s="395"/>
      <c r="CN193" s="395"/>
      <c r="CO193" s="395"/>
      <c r="CP193" s="395"/>
      <c r="CQ193" s="395"/>
      <c r="CR193" s="395"/>
      <c r="CS193" s="395"/>
      <c r="CT193" s="395"/>
      <c r="CU193" s="395"/>
      <c r="CV193" s="395"/>
      <c r="CW193" s="395"/>
      <c r="CX193" s="395"/>
      <c r="CY193" s="395"/>
      <c r="CZ193" s="395"/>
      <c r="DA193" s="395"/>
      <c r="DB193" s="395"/>
      <c r="DC193" s="395"/>
      <c r="DD193" s="395"/>
      <c r="DE193" s="395"/>
      <c r="DF193" s="395"/>
      <c r="DG193" s="395"/>
      <c r="DH193" s="395"/>
      <c r="DI193" s="395"/>
      <c r="DJ193" s="395"/>
      <c r="DK193" s="395"/>
      <c r="DL193" s="395"/>
      <c r="DM193" s="395"/>
      <c r="DN193" s="395"/>
      <c r="DO193" s="395"/>
      <c r="DP193" s="395"/>
      <c r="DQ193" s="395"/>
      <c r="DR193" s="395"/>
      <c r="DS193" s="395"/>
      <c r="DT193" s="395"/>
      <c r="DU193" s="395"/>
      <c r="DV193" s="395"/>
      <c r="DW193" s="395"/>
      <c r="DX193" s="395"/>
      <c r="DY193" s="395"/>
      <c r="DZ193" s="395"/>
      <c r="EA193" s="395"/>
      <c r="EB193" s="395"/>
      <c r="EC193" s="395"/>
      <c r="ED193" s="395"/>
      <c r="EE193" s="395"/>
      <c r="EF193" s="395"/>
      <c r="EG193" s="395"/>
      <c r="EH193" s="395"/>
      <c r="EI193" s="395"/>
      <c r="EJ193" s="395"/>
      <c r="EK193" s="395"/>
      <c r="EL193" s="395"/>
      <c r="EM193" s="395"/>
      <c r="EN193" s="395"/>
      <c r="EO193" s="395"/>
      <c r="EP193" s="395"/>
      <c r="EQ193" s="395"/>
      <c r="ER193" s="395"/>
      <c r="ES193" s="395"/>
      <c r="ET193" s="395"/>
      <c r="EU193" s="395"/>
      <c r="EV193" s="395"/>
      <c r="EW193" s="395"/>
      <c r="EX193" s="395"/>
      <c r="EY193" s="395"/>
      <c r="EZ193" s="395"/>
      <c r="FA193" s="395"/>
      <c r="FB193" s="395"/>
      <c r="FC193" s="395"/>
      <c r="FD193" s="395"/>
      <c r="FE193" s="395"/>
      <c r="FF193" s="395"/>
      <c r="FG193" s="395"/>
      <c r="FH193" s="395"/>
      <c r="FI193" s="395"/>
      <c r="FJ193" s="395"/>
      <c r="FK193" s="395"/>
      <c r="FL193" s="395"/>
      <c r="FM193" s="395"/>
      <c r="FN193" s="395"/>
      <c r="FO193" s="395"/>
      <c r="FP193" s="395"/>
      <c r="FQ193" s="395"/>
      <c r="FR193" s="395"/>
      <c r="FS193" s="395"/>
      <c r="FT193" s="395"/>
      <c r="FU193" s="395"/>
      <c r="FV193" s="395"/>
      <c r="FW193" s="395"/>
      <c r="FX193" s="395"/>
      <c r="FY193" s="395"/>
      <c r="FZ193" s="395"/>
      <c r="GA193" s="395"/>
      <c r="GB193" s="395"/>
      <c r="GC193" s="395"/>
      <c r="GD193" s="395"/>
      <c r="GE193" s="395"/>
      <c r="GF193" s="395"/>
      <c r="GG193" s="395"/>
      <c r="GH193" s="395"/>
      <c r="GI193" s="395"/>
      <c r="GJ193" s="395"/>
      <c r="GK193" s="395"/>
      <c r="GL193" s="395"/>
      <c r="GM193" s="395"/>
      <c r="GN193" s="395"/>
      <c r="GO193" s="395"/>
      <c r="GP193" s="395"/>
      <c r="GQ193" s="395"/>
      <c r="GR193" s="395"/>
      <c r="GS193" s="395"/>
      <c r="GT193" s="395"/>
      <c r="GU193" s="395"/>
      <c r="GV193" s="395"/>
      <c r="GW193" s="395"/>
      <c r="GX193" s="395"/>
      <c r="GY193" s="395"/>
      <c r="GZ193" s="395"/>
      <c r="HA193" s="395"/>
      <c r="HB193" s="395"/>
      <c r="HC193" s="395"/>
      <c r="HD193" s="395"/>
      <c r="HE193" s="395"/>
      <c r="HF193" s="395"/>
      <c r="HG193" s="395"/>
      <c r="HH193" s="395"/>
      <c r="HI193" s="395"/>
      <c r="HJ193" s="395"/>
      <c r="HK193" s="395"/>
      <c r="HL193" s="395"/>
      <c r="HM193" s="395"/>
      <c r="HN193" s="395"/>
      <c r="HO193" s="395"/>
      <c r="HP193" s="395"/>
      <c r="HQ193" s="395"/>
      <c r="HR193" s="395"/>
    </row>
    <row r="194" spans="1:226" s="866" customFormat="1" x14ac:dyDescent="0.25">
      <c r="A194" s="395"/>
      <c r="B194" s="395"/>
      <c r="C194" s="395"/>
      <c r="D194" s="395"/>
      <c r="E194" s="395"/>
      <c r="F194" s="395"/>
      <c r="G194" s="395"/>
      <c r="H194" s="395"/>
      <c r="I194" s="395"/>
      <c r="J194" s="395"/>
      <c r="K194" s="395"/>
      <c r="L194" s="395"/>
      <c r="M194" s="395"/>
      <c r="N194" s="395"/>
      <c r="O194" s="395"/>
      <c r="P194" s="395"/>
      <c r="Q194" s="395"/>
      <c r="R194" s="395"/>
      <c r="S194" s="395"/>
      <c r="T194" s="395"/>
      <c r="U194" s="395"/>
      <c r="V194" s="1608"/>
      <c r="W194" s="395"/>
      <c r="X194" s="395"/>
      <c r="Y194" s="395"/>
      <c r="Z194" s="2140"/>
      <c r="AA194" s="395"/>
      <c r="AB194" s="395"/>
      <c r="AC194" s="395"/>
      <c r="AD194" s="395"/>
      <c r="AE194" s="395"/>
      <c r="AF194" s="395"/>
      <c r="AG194" s="395"/>
      <c r="AH194" s="395"/>
      <c r="AI194" s="395"/>
      <c r="AJ194" s="395"/>
      <c r="AK194" s="395"/>
      <c r="AL194" s="395"/>
      <c r="AM194" s="395"/>
      <c r="AN194" s="395"/>
      <c r="AO194" s="395"/>
      <c r="AP194" s="395"/>
      <c r="AQ194" s="395"/>
      <c r="AR194" s="395"/>
      <c r="AS194" s="395"/>
      <c r="AT194" s="395"/>
      <c r="AU194" s="395"/>
      <c r="AV194" s="395"/>
      <c r="AW194" s="395"/>
      <c r="AX194" s="395"/>
      <c r="AY194" s="395"/>
      <c r="AZ194" s="395"/>
      <c r="BA194" s="395"/>
      <c r="BB194" s="395"/>
      <c r="BC194" s="395"/>
      <c r="BD194" s="395"/>
      <c r="BE194" s="395"/>
      <c r="BF194" s="395"/>
      <c r="BG194" s="395"/>
      <c r="BH194" s="395"/>
      <c r="BI194" s="395"/>
      <c r="BJ194" s="395"/>
      <c r="BK194" s="395"/>
      <c r="BL194" s="395"/>
      <c r="BM194" s="395"/>
      <c r="BN194" s="395"/>
      <c r="BO194" s="395"/>
      <c r="BP194" s="395"/>
      <c r="BQ194" s="395"/>
      <c r="BR194" s="395"/>
      <c r="BS194" s="395"/>
      <c r="BT194" s="395"/>
      <c r="BU194" s="395"/>
      <c r="BV194" s="395"/>
      <c r="BW194" s="395"/>
      <c r="BX194" s="395"/>
      <c r="BY194" s="395"/>
      <c r="BZ194" s="395"/>
      <c r="CA194" s="395"/>
      <c r="CB194" s="395"/>
      <c r="CC194" s="395"/>
      <c r="CD194" s="395"/>
      <c r="CE194" s="395"/>
      <c r="CF194" s="395"/>
      <c r="CG194" s="395"/>
      <c r="CH194" s="395"/>
      <c r="CI194" s="395"/>
      <c r="CJ194" s="395"/>
      <c r="CK194" s="395"/>
      <c r="CL194" s="395"/>
      <c r="CM194" s="395"/>
      <c r="CN194" s="395"/>
      <c r="CO194" s="395"/>
      <c r="CP194" s="395"/>
      <c r="CQ194" s="395"/>
      <c r="CR194" s="395"/>
      <c r="CS194" s="395"/>
      <c r="CT194" s="395"/>
      <c r="CU194" s="395"/>
      <c r="CV194" s="395"/>
      <c r="CW194" s="395"/>
      <c r="CX194" s="395"/>
      <c r="CY194" s="395"/>
      <c r="CZ194" s="395"/>
      <c r="DA194" s="395"/>
      <c r="DB194" s="395"/>
      <c r="DC194" s="395"/>
      <c r="DD194" s="395"/>
      <c r="DE194" s="395"/>
      <c r="DF194" s="395"/>
      <c r="DG194" s="395"/>
      <c r="DH194" s="395"/>
      <c r="DI194" s="395"/>
      <c r="DJ194" s="395"/>
      <c r="DK194" s="395"/>
      <c r="DL194" s="395"/>
      <c r="DM194" s="395"/>
      <c r="DN194" s="395"/>
      <c r="DO194" s="395"/>
      <c r="DP194" s="395"/>
      <c r="DQ194" s="395"/>
      <c r="DR194" s="395"/>
      <c r="DS194" s="395"/>
      <c r="DT194" s="395"/>
      <c r="DU194" s="395"/>
      <c r="DV194" s="395"/>
      <c r="DW194" s="395"/>
      <c r="DX194" s="395"/>
      <c r="DY194" s="395"/>
      <c r="DZ194" s="395"/>
      <c r="EA194" s="395"/>
      <c r="EB194" s="395"/>
      <c r="EC194" s="395"/>
      <c r="ED194" s="395"/>
      <c r="EE194" s="395"/>
      <c r="EF194" s="395"/>
      <c r="EG194" s="395"/>
      <c r="EH194" s="395"/>
      <c r="EI194" s="395"/>
      <c r="EJ194" s="395"/>
      <c r="EK194" s="395"/>
      <c r="EL194" s="395"/>
      <c r="EM194" s="395"/>
      <c r="EN194" s="395"/>
      <c r="EO194" s="395"/>
      <c r="EP194" s="395"/>
      <c r="EQ194" s="395"/>
      <c r="ER194" s="395"/>
      <c r="ES194" s="395"/>
      <c r="ET194" s="395"/>
      <c r="EU194" s="395"/>
      <c r="EV194" s="395"/>
      <c r="EW194" s="395"/>
      <c r="EX194" s="395"/>
      <c r="EY194" s="395"/>
      <c r="EZ194" s="395"/>
      <c r="FA194" s="395"/>
      <c r="FB194" s="395"/>
      <c r="FC194" s="395"/>
      <c r="FD194" s="395"/>
      <c r="FE194" s="395"/>
      <c r="FF194" s="395"/>
      <c r="FG194" s="395"/>
      <c r="FH194" s="395"/>
      <c r="FI194" s="395"/>
      <c r="FJ194" s="395"/>
      <c r="FK194" s="395"/>
      <c r="FL194" s="395"/>
      <c r="FM194" s="395"/>
      <c r="FN194" s="395"/>
      <c r="FO194" s="395"/>
      <c r="FP194" s="395"/>
      <c r="FQ194" s="395"/>
      <c r="FR194" s="395"/>
      <c r="FS194" s="395"/>
      <c r="FT194" s="395"/>
      <c r="FU194" s="395"/>
      <c r="FV194" s="395"/>
      <c r="FW194" s="395"/>
      <c r="FX194" s="395"/>
      <c r="FY194" s="395"/>
      <c r="FZ194" s="395"/>
      <c r="GA194" s="395"/>
      <c r="GB194" s="395"/>
      <c r="GC194" s="395"/>
      <c r="GD194" s="395"/>
      <c r="GE194" s="395"/>
      <c r="GF194" s="395"/>
      <c r="GG194" s="395"/>
      <c r="GH194" s="395"/>
      <c r="GI194" s="395"/>
      <c r="GJ194" s="395"/>
      <c r="GK194" s="395"/>
      <c r="GL194" s="395"/>
      <c r="GM194" s="395"/>
      <c r="GN194" s="395"/>
      <c r="GO194" s="395"/>
      <c r="GP194" s="395"/>
      <c r="GQ194" s="395"/>
      <c r="GR194" s="395"/>
      <c r="GS194" s="395"/>
      <c r="GT194" s="395"/>
      <c r="GU194" s="395"/>
      <c r="GV194" s="395"/>
      <c r="GW194" s="395"/>
      <c r="GX194" s="395"/>
      <c r="GY194" s="395"/>
      <c r="GZ194" s="395"/>
      <c r="HA194" s="395"/>
      <c r="HB194" s="395"/>
      <c r="HC194" s="395"/>
      <c r="HD194" s="395"/>
      <c r="HE194" s="395"/>
      <c r="HF194" s="395"/>
      <c r="HG194" s="395"/>
      <c r="HH194" s="395"/>
      <c r="HI194" s="395"/>
      <c r="HJ194" s="395"/>
      <c r="HK194" s="395"/>
      <c r="HL194" s="395"/>
      <c r="HM194" s="395"/>
      <c r="HN194" s="395"/>
      <c r="HO194" s="395"/>
      <c r="HP194" s="395"/>
      <c r="HQ194" s="395"/>
      <c r="HR194" s="395"/>
    </row>
    <row r="195" spans="1:226" s="866" customFormat="1" x14ac:dyDescent="0.25">
      <c r="A195" s="395"/>
      <c r="B195" s="395"/>
      <c r="C195" s="395"/>
      <c r="D195" s="395"/>
      <c r="E195" s="395"/>
      <c r="F195" s="395"/>
      <c r="G195" s="395"/>
      <c r="H195" s="395"/>
      <c r="I195" s="395"/>
      <c r="J195" s="395"/>
      <c r="K195" s="395"/>
      <c r="L195" s="395"/>
      <c r="M195" s="395"/>
      <c r="N195" s="395"/>
      <c r="O195" s="395"/>
      <c r="P195" s="395"/>
      <c r="Q195" s="395"/>
      <c r="R195" s="395"/>
      <c r="S195" s="395"/>
      <c r="T195" s="395"/>
      <c r="U195" s="395"/>
      <c r="V195" s="1608"/>
      <c r="W195" s="395"/>
      <c r="X195" s="395"/>
      <c r="Y195" s="395"/>
      <c r="Z195" s="2140"/>
      <c r="AA195" s="395"/>
      <c r="AB195" s="395"/>
      <c r="AC195" s="395"/>
      <c r="AD195" s="395"/>
      <c r="AE195" s="395"/>
      <c r="AF195" s="395"/>
      <c r="AG195" s="395"/>
      <c r="AH195" s="395"/>
      <c r="AI195" s="395"/>
      <c r="AJ195" s="395"/>
      <c r="AK195" s="395"/>
      <c r="AL195" s="395"/>
      <c r="AM195" s="395"/>
      <c r="AN195" s="395"/>
      <c r="AO195" s="395"/>
      <c r="AP195" s="395"/>
      <c r="AQ195" s="395"/>
      <c r="AR195" s="395"/>
      <c r="AS195" s="395"/>
      <c r="AT195" s="395"/>
      <c r="AU195" s="395"/>
      <c r="AV195" s="395"/>
      <c r="AW195" s="395"/>
      <c r="AX195" s="395"/>
      <c r="AY195" s="395"/>
      <c r="AZ195" s="395"/>
      <c r="BA195" s="395"/>
      <c r="BB195" s="395"/>
      <c r="BC195" s="395"/>
      <c r="BD195" s="395"/>
      <c r="BE195" s="395"/>
      <c r="BF195" s="395"/>
      <c r="BG195" s="395"/>
      <c r="BH195" s="395"/>
      <c r="BI195" s="395"/>
      <c r="BJ195" s="395"/>
      <c r="BK195" s="395"/>
      <c r="BL195" s="395"/>
      <c r="BM195" s="395"/>
      <c r="BN195" s="395"/>
      <c r="BO195" s="395"/>
      <c r="BP195" s="395"/>
      <c r="BQ195" s="395"/>
      <c r="BR195" s="395"/>
      <c r="BS195" s="395"/>
      <c r="BT195" s="395"/>
      <c r="BU195" s="395"/>
      <c r="BV195" s="395"/>
      <c r="BW195" s="395"/>
      <c r="BX195" s="395"/>
      <c r="BY195" s="395"/>
      <c r="BZ195" s="395"/>
      <c r="CA195" s="395"/>
      <c r="CB195" s="395"/>
      <c r="CC195" s="395"/>
      <c r="CD195" s="395"/>
      <c r="CE195" s="395"/>
      <c r="CF195" s="395"/>
      <c r="CG195" s="395"/>
      <c r="CH195" s="395"/>
      <c r="CI195" s="395"/>
      <c r="CJ195" s="395"/>
      <c r="CK195" s="395"/>
      <c r="CL195" s="395"/>
      <c r="CM195" s="395"/>
      <c r="CN195" s="395"/>
      <c r="CO195" s="395"/>
      <c r="CP195" s="395"/>
      <c r="CQ195" s="395"/>
      <c r="CR195" s="395"/>
      <c r="CS195" s="395"/>
      <c r="CT195" s="395"/>
      <c r="CU195" s="395"/>
      <c r="CV195" s="395"/>
      <c r="CW195" s="395"/>
      <c r="CX195" s="395"/>
      <c r="CY195" s="395"/>
      <c r="CZ195" s="395"/>
      <c r="DA195" s="395"/>
      <c r="DB195" s="395"/>
      <c r="DC195" s="395"/>
      <c r="DD195" s="395"/>
      <c r="DE195" s="395"/>
      <c r="DF195" s="395"/>
      <c r="DG195" s="395"/>
      <c r="DH195" s="395"/>
      <c r="DI195" s="395"/>
      <c r="DJ195" s="395"/>
      <c r="DK195" s="395"/>
      <c r="DL195" s="395"/>
      <c r="DM195" s="395"/>
      <c r="DN195" s="395"/>
      <c r="DO195" s="395"/>
      <c r="DP195" s="395"/>
      <c r="DQ195" s="395"/>
      <c r="DR195" s="395"/>
      <c r="DS195" s="395"/>
      <c r="DT195" s="395"/>
      <c r="DU195" s="395"/>
      <c r="DV195" s="395"/>
      <c r="DW195" s="395"/>
      <c r="DX195" s="395"/>
      <c r="DY195" s="395"/>
      <c r="DZ195" s="395"/>
      <c r="EA195" s="395"/>
      <c r="EB195" s="395"/>
      <c r="EC195" s="395"/>
      <c r="ED195" s="395"/>
      <c r="EE195" s="395"/>
      <c r="EF195" s="395"/>
      <c r="EG195" s="395"/>
      <c r="EH195" s="395"/>
      <c r="EI195" s="395"/>
      <c r="EJ195" s="395"/>
      <c r="EK195" s="395"/>
      <c r="EL195" s="395"/>
      <c r="EM195" s="395"/>
      <c r="EN195" s="395"/>
      <c r="EO195" s="395"/>
      <c r="EP195" s="395"/>
      <c r="EQ195" s="395"/>
      <c r="ER195" s="395"/>
      <c r="ES195" s="395"/>
      <c r="ET195" s="395"/>
      <c r="EU195" s="395"/>
      <c r="EV195" s="395"/>
      <c r="EW195" s="395"/>
      <c r="EX195" s="395"/>
      <c r="EY195" s="395"/>
      <c r="EZ195" s="395"/>
      <c r="FA195" s="395"/>
      <c r="FB195" s="395"/>
      <c r="FC195" s="395"/>
      <c r="FD195" s="395"/>
      <c r="FE195" s="395"/>
      <c r="FF195" s="395"/>
      <c r="FG195" s="395"/>
      <c r="FH195" s="395"/>
      <c r="FI195" s="395"/>
      <c r="FJ195" s="395"/>
      <c r="FK195" s="395"/>
      <c r="FL195" s="395"/>
      <c r="FM195" s="395"/>
      <c r="FN195" s="395"/>
      <c r="FO195" s="395"/>
      <c r="FP195" s="395"/>
      <c r="FQ195" s="395"/>
      <c r="FR195" s="395"/>
      <c r="FS195" s="395"/>
      <c r="FT195" s="395"/>
      <c r="FU195" s="395"/>
      <c r="FV195" s="395"/>
      <c r="FW195" s="395"/>
      <c r="FX195" s="395"/>
      <c r="FY195" s="395"/>
      <c r="FZ195" s="395"/>
      <c r="GA195" s="395"/>
      <c r="GB195" s="395"/>
      <c r="GC195" s="395"/>
      <c r="GD195" s="395"/>
      <c r="GE195" s="395"/>
      <c r="GF195" s="395"/>
      <c r="GG195" s="395"/>
      <c r="GH195" s="395"/>
      <c r="GI195" s="395"/>
      <c r="GJ195" s="395"/>
      <c r="GK195" s="395"/>
      <c r="GL195" s="395"/>
      <c r="GM195" s="395"/>
      <c r="GN195" s="395"/>
      <c r="GO195" s="395"/>
      <c r="GP195" s="395"/>
      <c r="GQ195" s="395"/>
      <c r="GR195" s="395"/>
      <c r="GS195" s="395"/>
      <c r="GT195" s="395"/>
      <c r="GU195" s="395"/>
      <c r="GV195" s="395"/>
      <c r="GW195" s="395"/>
      <c r="GX195" s="395"/>
      <c r="GY195" s="395"/>
      <c r="GZ195" s="395"/>
      <c r="HA195" s="395"/>
      <c r="HB195" s="395"/>
      <c r="HC195" s="395"/>
      <c r="HD195" s="395"/>
      <c r="HE195" s="395"/>
      <c r="HF195" s="395"/>
      <c r="HG195" s="395"/>
      <c r="HH195" s="395"/>
      <c r="HI195" s="395"/>
      <c r="HJ195" s="395"/>
      <c r="HK195" s="395"/>
      <c r="HL195" s="395"/>
      <c r="HM195" s="395"/>
      <c r="HN195" s="395"/>
      <c r="HO195" s="395"/>
      <c r="HP195" s="395"/>
      <c r="HQ195" s="395"/>
      <c r="HR195" s="395"/>
    </row>
    <row r="196" spans="1:226" s="866" customFormat="1" x14ac:dyDescent="0.25">
      <c r="A196" s="395"/>
      <c r="B196" s="395"/>
      <c r="C196" s="395"/>
      <c r="D196" s="395"/>
      <c r="E196" s="395"/>
      <c r="F196" s="395"/>
      <c r="G196" s="395"/>
      <c r="H196" s="395"/>
      <c r="I196" s="395"/>
      <c r="J196" s="395"/>
      <c r="K196" s="395"/>
      <c r="L196" s="395"/>
      <c r="M196" s="395"/>
      <c r="N196" s="395"/>
      <c r="O196" s="395"/>
      <c r="P196" s="395"/>
      <c r="Q196" s="395"/>
      <c r="R196" s="395"/>
      <c r="S196" s="395"/>
      <c r="T196" s="395"/>
      <c r="U196" s="395"/>
      <c r="V196" s="1608"/>
      <c r="W196" s="395"/>
      <c r="X196" s="395"/>
      <c r="Y196" s="395"/>
      <c r="Z196" s="2140"/>
      <c r="AA196" s="395"/>
      <c r="AB196" s="395"/>
      <c r="AC196" s="395"/>
      <c r="AD196" s="395"/>
      <c r="AE196" s="395"/>
      <c r="AF196" s="395"/>
      <c r="AG196" s="395"/>
      <c r="AH196" s="395"/>
      <c r="AI196" s="395"/>
      <c r="AJ196" s="395"/>
      <c r="AK196" s="395"/>
      <c r="AL196" s="395"/>
      <c r="AM196" s="395"/>
      <c r="AN196" s="395"/>
      <c r="AO196" s="395"/>
      <c r="AP196" s="395"/>
      <c r="AQ196" s="395"/>
      <c r="AR196" s="395"/>
      <c r="AS196" s="395"/>
      <c r="AT196" s="395"/>
      <c r="AU196" s="395"/>
      <c r="AV196" s="395"/>
      <c r="AW196" s="395"/>
      <c r="AX196" s="395"/>
      <c r="AY196" s="395"/>
      <c r="AZ196" s="395"/>
      <c r="BA196" s="395"/>
      <c r="BB196" s="395"/>
      <c r="BC196" s="395"/>
      <c r="BD196" s="395"/>
      <c r="BE196" s="395"/>
      <c r="BF196" s="395"/>
      <c r="BG196" s="395"/>
      <c r="BH196" s="395"/>
      <c r="BI196" s="395"/>
      <c r="BJ196" s="395"/>
      <c r="BK196" s="395"/>
      <c r="BL196" s="395"/>
      <c r="BM196" s="395"/>
      <c r="BN196" s="395"/>
      <c r="BO196" s="395"/>
      <c r="BP196" s="395"/>
      <c r="BQ196" s="395"/>
      <c r="BR196" s="395"/>
      <c r="BS196" s="395"/>
      <c r="BT196" s="395"/>
      <c r="BU196" s="395"/>
      <c r="BV196" s="395"/>
      <c r="BW196" s="395"/>
      <c r="BX196" s="395"/>
      <c r="BY196" s="395"/>
      <c r="BZ196" s="395"/>
      <c r="CA196" s="395"/>
      <c r="CB196" s="395"/>
      <c r="CC196" s="395"/>
      <c r="CD196" s="395"/>
      <c r="CE196" s="395"/>
      <c r="CF196" s="395"/>
      <c r="CG196" s="395"/>
      <c r="CH196" s="395"/>
      <c r="CI196" s="395"/>
      <c r="CJ196" s="395"/>
      <c r="CK196" s="395"/>
      <c r="CL196" s="395"/>
      <c r="CM196" s="395"/>
      <c r="CN196" s="395"/>
      <c r="CO196" s="395"/>
      <c r="CP196" s="395"/>
      <c r="CQ196" s="395"/>
      <c r="CR196" s="395"/>
      <c r="CS196" s="395"/>
      <c r="CT196" s="395"/>
      <c r="CU196" s="395"/>
      <c r="CV196" s="395"/>
      <c r="CW196" s="395"/>
      <c r="CX196" s="395"/>
      <c r="CY196" s="395"/>
      <c r="CZ196" s="395"/>
      <c r="DA196" s="395"/>
      <c r="DB196" s="395"/>
      <c r="DC196" s="395"/>
      <c r="DD196" s="395"/>
      <c r="DE196" s="395"/>
      <c r="DF196" s="395"/>
      <c r="DG196" s="395"/>
      <c r="DH196" s="395"/>
      <c r="DI196" s="395"/>
      <c r="DJ196" s="395"/>
      <c r="DK196" s="395"/>
      <c r="DL196" s="395"/>
      <c r="DM196" s="395"/>
      <c r="DN196" s="395"/>
      <c r="DO196" s="395"/>
      <c r="DP196" s="395"/>
      <c r="DQ196" s="395"/>
      <c r="DR196" s="395"/>
      <c r="DS196" s="395"/>
      <c r="DT196" s="395"/>
      <c r="DU196" s="395"/>
      <c r="DV196" s="395"/>
      <c r="DW196" s="395"/>
      <c r="DX196" s="395"/>
      <c r="DY196" s="395"/>
      <c r="DZ196" s="395"/>
      <c r="EA196" s="395"/>
      <c r="EB196" s="395"/>
      <c r="EC196" s="395"/>
      <c r="ED196" s="395"/>
      <c r="EE196" s="395"/>
      <c r="EF196" s="395"/>
      <c r="EG196" s="395"/>
      <c r="EH196" s="395"/>
      <c r="EI196" s="395"/>
      <c r="EJ196" s="395"/>
      <c r="EK196" s="395"/>
      <c r="EL196" s="395"/>
      <c r="EM196" s="395"/>
      <c r="EN196" s="395"/>
      <c r="EO196" s="395"/>
      <c r="EP196" s="395"/>
      <c r="EQ196" s="395"/>
      <c r="ER196" s="395"/>
      <c r="ES196" s="395"/>
      <c r="ET196" s="395"/>
      <c r="EU196" s="395"/>
      <c r="EV196" s="395"/>
      <c r="EW196" s="395"/>
      <c r="EX196" s="395"/>
      <c r="EY196" s="395"/>
      <c r="EZ196" s="395"/>
      <c r="FA196" s="395"/>
      <c r="FB196" s="395"/>
      <c r="FC196" s="395"/>
      <c r="FD196" s="395"/>
      <c r="FE196" s="395"/>
      <c r="FF196" s="395"/>
      <c r="FG196" s="395"/>
      <c r="FH196" s="395"/>
      <c r="FI196" s="395"/>
      <c r="FJ196" s="395"/>
      <c r="FK196" s="395"/>
      <c r="FL196" s="395"/>
      <c r="FM196" s="395"/>
      <c r="FN196" s="395"/>
      <c r="FO196" s="395"/>
      <c r="FP196" s="395"/>
      <c r="FQ196" s="395"/>
      <c r="FR196" s="395"/>
      <c r="FS196" s="395"/>
      <c r="FT196" s="395"/>
      <c r="FU196" s="395"/>
      <c r="FV196" s="395"/>
      <c r="FW196" s="395"/>
      <c r="FX196" s="395"/>
      <c r="FY196" s="395"/>
      <c r="FZ196" s="395"/>
      <c r="GA196" s="395"/>
      <c r="GB196" s="395"/>
      <c r="GC196" s="395"/>
      <c r="GD196" s="395"/>
      <c r="GE196" s="395"/>
      <c r="GF196" s="395"/>
      <c r="GG196" s="395"/>
      <c r="GH196" s="395"/>
      <c r="GI196" s="395"/>
      <c r="GJ196" s="395"/>
      <c r="GK196" s="395"/>
      <c r="GL196" s="395"/>
      <c r="GM196" s="395"/>
      <c r="GN196" s="395"/>
      <c r="GO196" s="395"/>
      <c r="GP196" s="395"/>
      <c r="GQ196" s="395"/>
      <c r="GR196" s="395"/>
      <c r="GS196" s="395"/>
      <c r="GT196" s="395"/>
      <c r="GU196" s="395"/>
      <c r="GV196" s="395"/>
      <c r="GW196" s="395"/>
      <c r="GX196" s="395"/>
      <c r="GY196" s="395"/>
      <c r="GZ196" s="395"/>
      <c r="HA196" s="395"/>
      <c r="HB196" s="395"/>
      <c r="HC196" s="395"/>
      <c r="HD196" s="395"/>
      <c r="HE196" s="395"/>
      <c r="HF196" s="395"/>
      <c r="HG196" s="395"/>
      <c r="HH196" s="395"/>
      <c r="HI196" s="395"/>
      <c r="HJ196" s="395"/>
      <c r="HK196" s="395"/>
      <c r="HL196" s="395"/>
      <c r="HM196" s="395"/>
      <c r="HN196" s="395"/>
      <c r="HO196" s="395"/>
      <c r="HP196" s="395"/>
      <c r="HQ196" s="395"/>
      <c r="HR196" s="395"/>
    </row>
    <row r="197" spans="1:226" s="866" customFormat="1" x14ac:dyDescent="0.25">
      <c r="A197" s="395"/>
      <c r="B197" s="395"/>
      <c r="C197" s="395"/>
      <c r="D197" s="395"/>
      <c r="E197" s="395"/>
      <c r="F197" s="395"/>
      <c r="G197" s="395"/>
      <c r="H197" s="395"/>
      <c r="I197" s="395"/>
      <c r="J197" s="395"/>
      <c r="K197" s="395"/>
      <c r="L197" s="395"/>
      <c r="M197" s="395"/>
      <c r="N197" s="395"/>
      <c r="O197" s="395"/>
      <c r="P197" s="395"/>
      <c r="Q197" s="395"/>
      <c r="R197" s="395"/>
      <c r="S197" s="395"/>
      <c r="T197" s="395"/>
      <c r="U197" s="395"/>
      <c r="V197" s="1608"/>
      <c r="W197" s="395"/>
      <c r="X197" s="395"/>
      <c r="Y197" s="395"/>
      <c r="Z197" s="2140"/>
      <c r="AA197" s="395"/>
      <c r="AB197" s="395"/>
      <c r="AC197" s="395"/>
      <c r="AD197" s="395"/>
      <c r="AE197" s="395"/>
      <c r="AF197" s="395"/>
      <c r="AG197" s="395"/>
      <c r="AH197" s="395"/>
      <c r="AI197" s="395"/>
      <c r="AJ197" s="395"/>
      <c r="AK197" s="395"/>
      <c r="AL197" s="395"/>
      <c r="AM197" s="395"/>
      <c r="AN197" s="395"/>
      <c r="AO197" s="395"/>
      <c r="AP197" s="395"/>
      <c r="AQ197" s="395"/>
      <c r="AR197" s="395"/>
      <c r="AS197" s="395"/>
      <c r="AT197" s="395"/>
      <c r="AU197" s="395"/>
      <c r="AV197" s="395"/>
      <c r="AW197" s="395"/>
      <c r="AX197" s="395"/>
      <c r="AY197" s="395"/>
      <c r="AZ197" s="395"/>
      <c r="BA197" s="395"/>
      <c r="BB197" s="395"/>
      <c r="BC197" s="395"/>
      <c r="BD197" s="395"/>
      <c r="BE197" s="395"/>
      <c r="BF197" s="395"/>
      <c r="BG197" s="395"/>
      <c r="BH197" s="395"/>
      <c r="BI197" s="395"/>
      <c r="BJ197" s="395"/>
      <c r="BK197" s="395"/>
      <c r="BL197" s="395"/>
      <c r="BM197" s="395"/>
      <c r="BN197" s="395"/>
      <c r="BO197" s="395"/>
      <c r="BP197" s="395"/>
      <c r="BQ197" s="395"/>
      <c r="BR197" s="395"/>
      <c r="BS197" s="395"/>
      <c r="BT197" s="395"/>
      <c r="BU197" s="395"/>
      <c r="BV197" s="395"/>
      <c r="BW197" s="395"/>
      <c r="BX197" s="395"/>
      <c r="BY197" s="395"/>
      <c r="BZ197" s="395"/>
      <c r="CA197" s="395"/>
      <c r="CB197" s="395"/>
      <c r="CC197" s="395"/>
      <c r="CD197" s="395"/>
      <c r="CE197" s="395"/>
      <c r="CF197" s="395"/>
      <c r="CG197" s="395"/>
      <c r="CH197" s="395"/>
      <c r="CI197" s="395"/>
      <c r="CJ197" s="395"/>
      <c r="CK197" s="395"/>
      <c r="CL197" s="395"/>
      <c r="CM197" s="395"/>
      <c r="CN197" s="395"/>
      <c r="CO197" s="395"/>
      <c r="CP197" s="395"/>
      <c r="CQ197" s="395"/>
      <c r="CR197" s="395"/>
      <c r="CS197" s="395"/>
      <c r="CT197" s="395"/>
      <c r="CU197" s="395"/>
      <c r="CV197" s="395"/>
      <c r="CW197" s="395"/>
      <c r="CX197" s="395"/>
      <c r="CY197" s="395"/>
      <c r="CZ197" s="395"/>
      <c r="DA197" s="395"/>
      <c r="DB197" s="395"/>
      <c r="DC197" s="395"/>
      <c r="DD197" s="395"/>
      <c r="DE197" s="395"/>
      <c r="DF197" s="395"/>
      <c r="DG197" s="395"/>
      <c r="DH197" s="395"/>
      <c r="DI197" s="395"/>
      <c r="DJ197" s="395"/>
      <c r="DK197" s="395"/>
      <c r="DL197" s="395"/>
      <c r="DM197" s="395"/>
      <c r="DN197" s="395"/>
      <c r="DO197" s="395"/>
      <c r="DP197" s="395"/>
      <c r="DQ197" s="395"/>
      <c r="DR197" s="395"/>
      <c r="DS197" s="395"/>
      <c r="DT197" s="395"/>
      <c r="DU197" s="395"/>
      <c r="DV197" s="395"/>
      <c r="DW197" s="395"/>
      <c r="DX197" s="395"/>
      <c r="DY197" s="395"/>
      <c r="DZ197" s="395"/>
      <c r="EA197" s="395"/>
      <c r="EB197" s="395"/>
      <c r="EC197" s="395"/>
      <c r="ED197" s="395"/>
      <c r="EE197" s="395"/>
      <c r="EF197" s="395"/>
      <c r="EG197" s="395"/>
      <c r="EH197" s="395"/>
      <c r="EI197" s="395"/>
      <c r="EJ197" s="395"/>
      <c r="EK197" s="395"/>
      <c r="EL197" s="395"/>
      <c r="EM197" s="395"/>
      <c r="EN197" s="395"/>
      <c r="EO197" s="395"/>
      <c r="EP197" s="395"/>
      <c r="EQ197" s="395"/>
      <c r="ER197" s="395"/>
      <c r="ES197" s="395"/>
      <c r="ET197" s="395"/>
      <c r="EU197" s="395"/>
      <c r="EV197" s="395"/>
      <c r="EW197" s="395"/>
      <c r="EX197" s="395"/>
      <c r="EY197" s="395"/>
      <c r="EZ197" s="395"/>
      <c r="FA197" s="395"/>
      <c r="FB197" s="395"/>
      <c r="FC197" s="395"/>
      <c r="FD197" s="395"/>
      <c r="FE197" s="395"/>
      <c r="FF197" s="395"/>
      <c r="FG197" s="395"/>
      <c r="FH197" s="395"/>
      <c r="FI197" s="395"/>
      <c r="FJ197" s="395"/>
      <c r="FK197" s="395"/>
      <c r="FL197" s="395"/>
      <c r="FM197" s="395"/>
      <c r="FN197" s="395"/>
      <c r="FO197" s="395"/>
      <c r="FP197" s="395"/>
      <c r="FQ197" s="395"/>
      <c r="FR197" s="395"/>
      <c r="FS197" s="395"/>
      <c r="FT197" s="395"/>
      <c r="FU197" s="395"/>
      <c r="FV197" s="395"/>
      <c r="FW197" s="395"/>
      <c r="FX197" s="395"/>
      <c r="FY197" s="395"/>
      <c r="FZ197" s="395"/>
      <c r="GA197" s="395"/>
      <c r="GB197" s="395"/>
      <c r="GC197" s="395"/>
      <c r="GD197" s="395"/>
      <c r="GE197" s="395"/>
      <c r="GF197" s="395"/>
      <c r="GG197" s="395"/>
      <c r="GH197" s="395"/>
      <c r="GI197" s="395"/>
      <c r="GJ197" s="395"/>
      <c r="GK197" s="395"/>
      <c r="GL197" s="395"/>
      <c r="GM197" s="395"/>
      <c r="GN197" s="395"/>
      <c r="GO197" s="395"/>
      <c r="GP197" s="395"/>
      <c r="GQ197" s="395"/>
      <c r="GR197" s="395"/>
      <c r="GS197" s="395"/>
      <c r="GT197" s="395"/>
      <c r="GU197" s="395"/>
      <c r="GV197" s="395"/>
      <c r="GW197" s="395"/>
      <c r="GX197" s="395"/>
      <c r="GY197" s="395"/>
      <c r="GZ197" s="395"/>
      <c r="HA197" s="395"/>
      <c r="HB197" s="395"/>
      <c r="HC197" s="395"/>
      <c r="HD197" s="395"/>
      <c r="HE197" s="395"/>
      <c r="HF197" s="395"/>
      <c r="HG197" s="395"/>
      <c r="HH197" s="395"/>
      <c r="HI197" s="395"/>
      <c r="HJ197" s="395"/>
      <c r="HK197" s="395"/>
      <c r="HL197" s="395"/>
      <c r="HM197" s="395"/>
      <c r="HN197" s="395"/>
      <c r="HO197" s="395"/>
      <c r="HP197" s="395"/>
      <c r="HQ197" s="395"/>
      <c r="HR197" s="395"/>
    </row>
    <row r="198" spans="1:226" s="866" customFormat="1" x14ac:dyDescent="0.25">
      <c r="A198" s="395"/>
      <c r="B198" s="395"/>
      <c r="C198" s="395"/>
      <c r="D198" s="395"/>
      <c r="E198" s="395"/>
      <c r="F198" s="395"/>
      <c r="G198" s="395"/>
      <c r="H198" s="395"/>
      <c r="I198" s="395"/>
      <c r="J198" s="395"/>
      <c r="K198" s="395"/>
      <c r="L198" s="395"/>
      <c r="M198" s="395"/>
      <c r="N198" s="395"/>
      <c r="O198" s="395"/>
      <c r="P198" s="395"/>
      <c r="Q198" s="395"/>
      <c r="R198" s="395"/>
      <c r="S198" s="395"/>
      <c r="T198" s="395"/>
      <c r="U198" s="395"/>
      <c r="V198" s="1608"/>
      <c r="W198" s="395"/>
      <c r="X198" s="395"/>
      <c r="Y198" s="395"/>
      <c r="Z198" s="2140"/>
      <c r="AA198" s="395"/>
      <c r="AB198" s="395"/>
      <c r="AC198" s="395"/>
      <c r="AD198" s="395"/>
      <c r="AE198" s="395"/>
      <c r="AF198" s="395"/>
      <c r="AG198" s="395"/>
      <c r="AH198" s="395"/>
      <c r="AI198" s="395"/>
      <c r="AJ198" s="395"/>
      <c r="AK198" s="395"/>
      <c r="AL198" s="395"/>
      <c r="AM198" s="395"/>
      <c r="AN198" s="395"/>
      <c r="AO198" s="395"/>
      <c r="AP198" s="395"/>
      <c r="AQ198" s="395"/>
      <c r="AR198" s="395"/>
      <c r="AS198" s="395"/>
      <c r="AT198" s="395"/>
      <c r="AU198" s="395"/>
      <c r="AV198" s="395"/>
      <c r="AW198" s="395"/>
      <c r="AX198" s="395"/>
      <c r="AY198" s="395"/>
      <c r="AZ198" s="395"/>
      <c r="BA198" s="395"/>
      <c r="BB198" s="395"/>
      <c r="BC198" s="395"/>
      <c r="BD198" s="395"/>
      <c r="BE198" s="395"/>
      <c r="BF198" s="395"/>
      <c r="BG198" s="395"/>
      <c r="BH198" s="395"/>
      <c r="BI198" s="395"/>
      <c r="BJ198" s="395"/>
      <c r="BK198" s="395"/>
      <c r="BL198" s="395"/>
      <c r="BM198" s="395"/>
      <c r="BN198" s="395"/>
      <c r="BO198" s="395"/>
      <c r="BP198" s="395"/>
      <c r="BQ198" s="395"/>
      <c r="BR198" s="395"/>
      <c r="BS198" s="395"/>
      <c r="BT198" s="395"/>
      <c r="BU198" s="395"/>
      <c r="BV198" s="395"/>
      <c r="BW198" s="395"/>
      <c r="BX198" s="395"/>
      <c r="BY198" s="395"/>
      <c r="BZ198" s="395"/>
      <c r="CA198" s="395"/>
      <c r="CB198" s="395"/>
      <c r="CC198" s="395"/>
      <c r="CD198" s="395"/>
      <c r="CE198" s="395"/>
      <c r="CF198" s="395"/>
      <c r="CG198" s="395"/>
      <c r="CH198" s="395"/>
      <c r="CI198" s="395"/>
      <c r="CJ198" s="395"/>
      <c r="CK198" s="395"/>
      <c r="CL198" s="395"/>
      <c r="CM198" s="395"/>
      <c r="CN198" s="395"/>
      <c r="CO198" s="395"/>
      <c r="CP198" s="395"/>
      <c r="CQ198" s="395"/>
      <c r="CR198" s="395"/>
      <c r="CS198" s="395"/>
      <c r="CT198" s="395"/>
      <c r="CU198" s="395"/>
      <c r="CV198" s="395"/>
      <c r="CW198" s="395"/>
      <c r="CX198" s="395"/>
      <c r="CY198" s="395"/>
      <c r="CZ198" s="395"/>
      <c r="DA198" s="395"/>
      <c r="DB198" s="395"/>
      <c r="DC198" s="395"/>
      <c r="DD198" s="395"/>
      <c r="DE198" s="395"/>
      <c r="DF198" s="395"/>
      <c r="DG198" s="395"/>
      <c r="DH198" s="395"/>
      <c r="DI198" s="395"/>
      <c r="DJ198" s="395"/>
      <c r="DK198" s="395"/>
      <c r="DL198" s="395"/>
      <c r="DM198" s="395"/>
      <c r="DN198" s="395"/>
      <c r="DO198" s="395"/>
      <c r="DP198" s="395"/>
      <c r="DQ198" s="395"/>
      <c r="DR198" s="395"/>
      <c r="DS198" s="395"/>
      <c r="DT198" s="395"/>
      <c r="DU198" s="395"/>
      <c r="DV198" s="395"/>
      <c r="DW198" s="395"/>
      <c r="DX198" s="395"/>
      <c r="DY198" s="395"/>
      <c r="DZ198" s="395"/>
      <c r="EA198" s="395"/>
      <c r="EB198" s="395"/>
      <c r="EC198" s="395"/>
      <c r="ED198" s="395"/>
      <c r="EE198" s="395"/>
      <c r="EF198" s="395"/>
      <c r="EG198" s="395"/>
      <c r="EH198" s="395"/>
      <c r="EI198" s="395"/>
      <c r="EJ198" s="395"/>
      <c r="EK198" s="395"/>
      <c r="EL198" s="395"/>
      <c r="EM198" s="395"/>
      <c r="EN198" s="395"/>
      <c r="EO198" s="395"/>
      <c r="EP198" s="395"/>
      <c r="EQ198" s="395"/>
      <c r="ER198" s="395"/>
      <c r="ES198" s="395"/>
      <c r="ET198" s="395"/>
      <c r="EU198" s="395"/>
      <c r="EV198" s="395"/>
      <c r="EW198" s="395"/>
      <c r="EX198" s="395"/>
      <c r="EY198" s="395"/>
      <c r="EZ198" s="395"/>
      <c r="FA198" s="395"/>
      <c r="FB198" s="395"/>
      <c r="FC198" s="395"/>
      <c r="FD198" s="395"/>
      <c r="FE198" s="395"/>
      <c r="FF198" s="395"/>
      <c r="FG198" s="395"/>
      <c r="FH198" s="395"/>
      <c r="FI198" s="395"/>
      <c r="FJ198" s="395"/>
      <c r="FK198" s="395"/>
      <c r="FL198" s="395"/>
      <c r="FM198" s="395"/>
      <c r="FN198" s="395"/>
      <c r="FO198" s="395"/>
      <c r="FP198" s="395"/>
      <c r="FQ198" s="395"/>
      <c r="FR198" s="395"/>
      <c r="FS198" s="395"/>
      <c r="FT198" s="395"/>
      <c r="FU198" s="395"/>
      <c r="FV198" s="395"/>
      <c r="FW198" s="395"/>
      <c r="FX198" s="395"/>
      <c r="FY198" s="395"/>
      <c r="FZ198" s="395"/>
      <c r="GA198" s="395"/>
      <c r="GB198" s="395"/>
      <c r="GC198" s="395"/>
      <c r="GD198" s="395"/>
      <c r="GE198" s="395"/>
      <c r="GF198" s="395"/>
      <c r="GG198" s="395"/>
      <c r="GH198" s="395"/>
      <c r="GI198" s="395"/>
      <c r="GJ198" s="395"/>
      <c r="GK198" s="395"/>
      <c r="GL198" s="395"/>
      <c r="GM198" s="395"/>
      <c r="GN198" s="395"/>
      <c r="GO198" s="395"/>
      <c r="GP198" s="395"/>
      <c r="GQ198" s="395"/>
      <c r="GR198" s="395"/>
      <c r="GS198" s="395"/>
      <c r="GT198" s="395"/>
      <c r="GU198" s="395"/>
      <c r="GV198" s="395"/>
      <c r="GW198" s="395"/>
      <c r="GX198" s="395"/>
      <c r="GY198" s="395"/>
      <c r="GZ198" s="395"/>
      <c r="HA198" s="395"/>
      <c r="HB198" s="395"/>
      <c r="HC198" s="395"/>
      <c r="HD198" s="395"/>
      <c r="HE198" s="395"/>
      <c r="HF198" s="395"/>
      <c r="HG198" s="395"/>
      <c r="HH198" s="395"/>
      <c r="HI198" s="395"/>
      <c r="HJ198" s="395"/>
      <c r="HK198" s="395"/>
      <c r="HL198" s="395"/>
      <c r="HM198" s="395"/>
      <c r="HN198" s="395"/>
      <c r="HO198" s="395"/>
      <c r="HP198" s="395"/>
      <c r="HQ198" s="395"/>
      <c r="HR198" s="395"/>
    </row>
    <row r="199" spans="1:226" s="866" customFormat="1" x14ac:dyDescent="0.25">
      <c r="A199" s="395"/>
      <c r="B199" s="395"/>
      <c r="C199" s="395"/>
      <c r="D199" s="395"/>
      <c r="E199" s="395"/>
      <c r="F199" s="395"/>
      <c r="G199" s="395"/>
      <c r="H199" s="395"/>
      <c r="I199" s="395"/>
      <c r="J199" s="395"/>
      <c r="K199" s="395"/>
      <c r="L199" s="395"/>
      <c r="M199" s="395"/>
      <c r="N199" s="395"/>
      <c r="O199" s="395"/>
      <c r="P199" s="395"/>
      <c r="Q199" s="395"/>
      <c r="R199" s="395"/>
      <c r="S199" s="395"/>
      <c r="T199" s="395"/>
      <c r="U199" s="395"/>
      <c r="V199" s="1608"/>
      <c r="W199" s="395"/>
      <c r="X199" s="395"/>
      <c r="Y199" s="395"/>
      <c r="Z199" s="2140"/>
      <c r="AA199" s="395"/>
      <c r="AB199" s="395"/>
      <c r="AC199" s="395"/>
      <c r="AD199" s="395"/>
      <c r="AE199" s="395"/>
      <c r="AF199" s="395"/>
      <c r="AG199" s="395"/>
      <c r="AH199" s="395"/>
      <c r="AI199" s="395"/>
      <c r="AJ199" s="395"/>
      <c r="AK199" s="395"/>
      <c r="AL199" s="395"/>
      <c r="AM199" s="395"/>
      <c r="AN199" s="395"/>
      <c r="AO199" s="395"/>
      <c r="AP199" s="395"/>
      <c r="AQ199" s="395"/>
      <c r="AR199" s="395"/>
      <c r="AS199" s="395"/>
      <c r="AT199" s="395"/>
      <c r="AU199" s="395"/>
      <c r="AV199" s="395"/>
      <c r="AW199" s="395"/>
      <c r="AX199" s="395"/>
      <c r="AY199" s="395"/>
      <c r="AZ199" s="395"/>
      <c r="BA199" s="395"/>
      <c r="BB199" s="395"/>
      <c r="BC199" s="395"/>
      <c r="BD199" s="395"/>
      <c r="BE199" s="395"/>
      <c r="BF199" s="395"/>
      <c r="BG199" s="395"/>
      <c r="BH199" s="395"/>
      <c r="BI199" s="395"/>
      <c r="BJ199" s="395"/>
      <c r="BK199" s="395"/>
      <c r="BL199" s="395"/>
      <c r="BM199" s="395"/>
      <c r="BN199" s="395"/>
      <c r="BO199" s="395"/>
      <c r="BP199" s="395"/>
      <c r="BQ199" s="395"/>
      <c r="BR199" s="395"/>
      <c r="BS199" s="395"/>
      <c r="BT199" s="395"/>
      <c r="BU199" s="395"/>
      <c r="BV199" s="395"/>
      <c r="BW199" s="395"/>
      <c r="BX199" s="395"/>
      <c r="BY199" s="395"/>
      <c r="BZ199" s="395"/>
      <c r="CA199" s="395"/>
      <c r="CB199" s="395"/>
      <c r="CC199" s="395"/>
      <c r="CD199" s="395"/>
      <c r="CE199" s="395"/>
      <c r="CF199" s="395"/>
      <c r="CG199" s="395"/>
      <c r="CH199" s="395"/>
      <c r="CI199" s="395"/>
      <c r="CJ199" s="395"/>
      <c r="CK199" s="395"/>
      <c r="CL199" s="395"/>
      <c r="CM199" s="395"/>
      <c r="CN199" s="395"/>
      <c r="CO199" s="395"/>
      <c r="CP199" s="395"/>
      <c r="CQ199" s="395"/>
      <c r="CR199" s="395"/>
      <c r="CS199" s="395"/>
      <c r="CT199" s="395"/>
      <c r="CU199" s="395"/>
      <c r="CV199" s="395"/>
      <c r="CW199" s="395"/>
      <c r="CX199" s="395"/>
      <c r="CY199" s="395"/>
      <c r="CZ199" s="395"/>
      <c r="DA199" s="395"/>
      <c r="DB199" s="395"/>
      <c r="DC199" s="395"/>
      <c r="DD199" s="395"/>
      <c r="DE199" s="395"/>
      <c r="DF199" s="395"/>
      <c r="DG199" s="395"/>
      <c r="DH199" s="395"/>
      <c r="DI199" s="395"/>
      <c r="DJ199" s="395"/>
      <c r="DK199" s="395"/>
      <c r="DL199" s="395"/>
      <c r="DM199" s="395"/>
      <c r="DN199" s="395"/>
      <c r="DO199" s="395"/>
      <c r="DP199" s="395"/>
      <c r="DQ199" s="395"/>
      <c r="DR199" s="395"/>
      <c r="DS199" s="395"/>
      <c r="DT199" s="395"/>
      <c r="DU199" s="395"/>
      <c r="DV199" s="395"/>
      <c r="DW199" s="395"/>
      <c r="DX199" s="395"/>
      <c r="DY199" s="395"/>
      <c r="DZ199" s="395"/>
      <c r="EA199" s="395"/>
      <c r="EB199" s="395"/>
      <c r="EC199" s="395"/>
      <c r="ED199" s="395"/>
      <c r="EE199" s="395"/>
      <c r="EF199" s="395"/>
      <c r="EG199" s="395"/>
      <c r="EH199" s="395"/>
      <c r="EI199" s="395"/>
      <c r="EJ199" s="395"/>
      <c r="EK199" s="395"/>
      <c r="EL199" s="395"/>
      <c r="EM199" s="395"/>
      <c r="EN199" s="395"/>
      <c r="EO199" s="395"/>
      <c r="EP199" s="395"/>
      <c r="EQ199" s="395"/>
      <c r="ER199" s="395"/>
      <c r="ES199" s="395"/>
      <c r="ET199" s="395"/>
      <c r="EU199" s="395"/>
      <c r="EV199" s="395"/>
      <c r="EW199" s="395"/>
      <c r="EX199" s="395"/>
      <c r="EY199" s="395"/>
      <c r="EZ199" s="395"/>
      <c r="FA199" s="395"/>
      <c r="FB199" s="395"/>
      <c r="FC199" s="395"/>
      <c r="FD199" s="395"/>
      <c r="FE199" s="395"/>
      <c r="FF199" s="395"/>
      <c r="FG199" s="395"/>
      <c r="FH199" s="395"/>
      <c r="FI199" s="395"/>
      <c r="FJ199" s="395"/>
      <c r="FK199" s="395"/>
      <c r="FL199" s="395"/>
      <c r="FM199" s="395"/>
      <c r="FN199" s="395"/>
      <c r="FO199" s="395"/>
      <c r="FP199" s="395"/>
      <c r="FQ199" s="395"/>
      <c r="FR199" s="395"/>
      <c r="FS199" s="395"/>
      <c r="FT199" s="395"/>
      <c r="FU199" s="395"/>
      <c r="FV199" s="395"/>
      <c r="FW199" s="395"/>
      <c r="FX199" s="395"/>
      <c r="FY199" s="395"/>
      <c r="FZ199" s="395"/>
      <c r="GA199" s="395"/>
      <c r="GB199" s="395"/>
      <c r="GC199" s="395"/>
      <c r="GD199" s="395"/>
      <c r="GE199" s="395"/>
      <c r="GF199" s="395"/>
      <c r="GG199" s="395"/>
      <c r="GH199" s="395"/>
      <c r="GI199" s="395"/>
      <c r="GJ199" s="395"/>
      <c r="GK199" s="395"/>
      <c r="GL199" s="395"/>
      <c r="GM199" s="395"/>
      <c r="GN199" s="395"/>
      <c r="GO199" s="395"/>
      <c r="GP199" s="395"/>
      <c r="GQ199" s="395"/>
      <c r="GR199" s="395"/>
      <c r="GS199" s="395"/>
      <c r="GT199" s="395"/>
      <c r="GU199" s="395"/>
      <c r="GV199" s="395"/>
      <c r="GW199" s="395"/>
      <c r="GX199" s="395"/>
      <c r="GY199" s="395"/>
      <c r="GZ199" s="395"/>
      <c r="HA199" s="395"/>
      <c r="HB199" s="395"/>
      <c r="HC199" s="395"/>
      <c r="HD199" s="395"/>
      <c r="HE199" s="395"/>
      <c r="HF199" s="395"/>
      <c r="HG199" s="395"/>
      <c r="HH199" s="395"/>
      <c r="HI199" s="395"/>
      <c r="HJ199" s="395"/>
      <c r="HK199" s="395"/>
      <c r="HL199" s="395"/>
      <c r="HM199" s="395"/>
      <c r="HN199" s="395"/>
      <c r="HO199" s="395"/>
      <c r="HP199" s="395"/>
      <c r="HQ199" s="395"/>
      <c r="HR199" s="395"/>
    </row>
    <row r="200" spans="1:226" s="866" customFormat="1" x14ac:dyDescent="0.25">
      <c r="A200" s="395"/>
      <c r="B200" s="395"/>
      <c r="C200" s="395"/>
      <c r="D200" s="395"/>
      <c r="E200" s="395"/>
      <c r="F200" s="395"/>
      <c r="G200" s="395"/>
      <c r="H200" s="395"/>
      <c r="I200" s="395"/>
      <c r="J200" s="395"/>
      <c r="K200" s="395"/>
      <c r="L200" s="395"/>
      <c r="M200" s="395"/>
      <c r="N200" s="395"/>
      <c r="O200" s="395"/>
      <c r="P200" s="395"/>
      <c r="Q200" s="395"/>
      <c r="R200" s="395"/>
      <c r="S200" s="395"/>
      <c r="T200" s="395"/>
      <c r="U200" s="395"/>
      <c r="V200" s="1608"/>
      <c r="W200" s="395"/>
      <c r="X200" s="395"/>
      <c r="Y200" s="395"/>
      <c r="Z200" s="2140"/>
      <c r="AA200" s="395"/>
      <c r="AB200" s="395"/>
      <c r="AC200" s="395"/>
      <c r="AD200" s="395"/>
      <c r="AE200" s="395"/>
      <c r="AF200" s="395"/>
      <c r="AG200" s="395"/>
      <c r="AH200" s="395"/>
      <c r="AI200" s="395"/>
      <c r="AJ200" s="395"/>
      <c r="AK200" s="395"/>
      <c r="AL200" s="395"/>
      <c r="AM200" s="395"/>
      <c r="AN200" s="395"/>
      <c r="AO200" s="395"/>
      <c r="AP200" s="395"/>
      <c r="AQ200" s="395"/>
      <c r="AR200" s="395"/>
      <c r="AS200" s="395"/>
      <c r="AT200" s="395"/>
      <c r="AU200" s="395"/>
      <c r="AV200" s="395"/>
      <c r="AW200" s="395"/>
      <c r="AX200" s="395"/>
      <c r="AY200" s="395"/>
      <c r="AZ200" s="395"/>
      <c r="BA200" s="395"/>
      <c r="BB200" s="395"/>
      <c r="BC200" s="395"/>
      <c r="BD200" s="395"/>
      <c r="BE200" s="395"/>
      <c r="BF200" s="395"/>
      <c r="BG200" s="395"/>
      <c r="BH200" s="395"/>
      <c r="BI200" s="395"/>
      <c r="BJ200" s="395"/>
      <c r="BK200" s="395"/>
      <c r="BL200" s="395"/>
      <c r="BM200" s="395"/>
      <c r="BN200" s="395"/>
      <c r="BO200" s="395"/>
      <c r="BP200" s="395"/>
      <c r="BQ200" s="395"/>
      <c r="BR200" s="395"/>
      <c r="BS200" s="395"/>
      <c r="BT200" s="395"/>
      <c r="BU200" s="395"/>
      <c r="BV200" s="395"/>
      <c r="BW200" s="395"/>
      <c r="BX200" s="395"/>
      <c r="BY200" s="395"/>
      <c r="BZ200" s="395"/>
      <c r="CA200" s="395"/>
      <c r="CB200" s="395"/>
      <c r="CC200" s="395"/>
      <c r="CD200" s="395"/>
      <c r="CE200" s="395"/>
      <c r="CF200" s="395"/>
      <c r="CG200" s="395"/>
      <c r="CH200" s="395"/>
      <c r="CI200" s="395"/>
      <c r="CJ200" s="395"/>
      <c r="CK200" s="395"/>
      <c r="CL200" s="395"/>
      <c r="CM200" s="395"/>
      <c r="CN200" s="395"/>
      <c r="CO200" s="395"/>
      <c r="CP200" s="395"/>
      <c r="CQ200" s="395"/>
      <c r="CR200" s="395"/>
      <c r="CS200" s="395"/>
      <c r="CT200" s="395"/>
      <c r="CU200" s="395"/>
      <c r="CV200" s="395"/>
      <c r="CW200" s="395"/>
      <c r="CX200" s="395"/>
      <c r="CY200" s="395"/>
      <c r="CZ200" s="395"/>
      <c r="DA200" s="395"/>
      <c r="DB200" s="395"/>
      <c r="DC200" s="395"/>
      <c r="DD200" s="395"/>
      <c r="DE200" s="395"/>
      <c r="DF200" s="395"/>
      <c r="DG200" s="395"/>
      <c r="DH200" s="395"/>
      <c r="DI200" s="395"/>
      <c r="DJ200" s="395"/>
      <c r="DK200" s="395"/>
      <c r="DL200" s="395"/>
      <c r="DM200" s="395"/>
      <c r="DN200" s="395"/>
      <c r="DO200" s="395"/>
      <c r="DP200" s="395"/>
      <c r="DQ200" s="395"/>
      <c r="DR200" s="395"/>
      <c r="DS200" s="395"/>
      <c r="DT200" s="395"/>
      <c r="DU200" s="395"/>
      <c r="DV200" s="395"/>
      <c r="DW200" s="395"/>
      <c r="DX200" s="395"/>
      <c r="DY200" s="395"/>
      <c r="DZ200" s="395"/>
      <c r="EA200" s="395"/>
      <c r="EB200" s="395"/>
      <c r="EC200" s="395"/>
      <c r="ED200" s="395"/>
      <c r="EE200" s="395"/>
      <c r="EF200" s="395"/>
      <c r="EG200" s="395"/>
      <c r="EH200" s="395"/>
      <c r="EI200" s="395"/>
      <c r="EJ200" s="395"/>
      <c r="EK200" s="395"/>
      <c r="EL200" s="395"/>
      <c r="EM200" s="395"/>
      <c r="EN200" s="395"/>
      <c r="EO200" s="395"/>
      <c r="EP200" s="395"/>
      <c r="EQ200" s="395"/>
      <c r="ER200" s="395"/>
      <c r="ES200" s="395"/>
      <c r="ET200" s="395"/>
      <c r="EU200" s="395"/>
      <c r="EV200" s="395"/>
      <c r="EW200" s="395"/>
      <c r="EX200" s="395"/>
      <c r="EY200" s="395"/>
      <c r="EZ200" s="395"/>
      <c r="FA200" s="395"/>
      <c r="FB200" s="395"/>
      <c r="FC200" s="395"/>
      <c r="FD200" s="395"/>
      <c r="FE200" s="395"/>
      <c r="FF200" s="395"/>
      <c r="FG200" s="395"/>
      <c r="FH200" s="395"/>
      <c r="FI200" s="395"/>
      <c r="FJ200" s="395"/>
      <c r="FK200" s="395"/>
      <c r="FL200" s="395"/>
      <c r="FM200" s="395"/>
      <c r="FN200" s="395"/>
      <c r="FO200" s="395"/>
      <c r="FP200" s="395"/>
      <c r="FQ200" s="395"/>
      <c r="FR200" s="395"/>
      <c r="FS200" s="395"/>
      <c r="FT200" s="395"/>
      <c r="FU200" s="395"/>
      <c r="FV200" s="395"/>
      <c r="FW200" s="395"/>
      <c r="FX200" s="395"/>
      <c r="FY200" s="395"/>
      <c r="FZ200" s="395"/>
      <c r="GA200" s="395"/>
      <c r="GB200" s="395"/>
      <c r="GC200" s="395"/>
      <c r="GD200" s="395"/>
      <c r="GE200" s="395"/>
      <c r="GF200" s="395"/>
      <c r="GG200" s="395"/>
      <c r="GH200" s="395"/>
      <c r="GI200" s="395"/>
      <c r="GJ200" s="395"/>
      <c r="GK200" s="395"/>
      <c r="GL200" s="395"/>
      <c r="GM200" s="395"/>
      <c r="GN200" s="395"/>
      <c r="GO200" s="395"/>
      <c r="GP200" s="395"/>
      <c r="GQ200" s="395"/>
      <c r="GR200" s="395"/>
      <c r="GS200" s="395"/>
      <c r="GT200" s="395"/>
      <c r="GU200" s="395"/>
      <c r="GV200" s="395"/>
      <c r="GW200" s="395"/>
      <c r="GX200" s="395"/>
      <c r="GY200" s="395"/>
      <c r="GZ200" s="395"/>
      <c r="HA200" s="395"/>
      <c r="HB200" s="395"/>
      <c r="HC200" s="395"/>
      <c r="HD200" s="395"/>
      <c r="HE200" s="395"/>
      <c r="HF200" s="395"/>
      <c r="HG200" s="395"/>
      <c r="HH200" s="395"/>
      <c r="HI200" s="395"/>
      <c r="HJ200" s="395"/>
      <c r="HK200" s="395"/>
      <c r="HL200" s="395"/>
      <c r="HM200" s="395"/>
      <c r="HN200" s="395"/>
      <c r="HO200" s="395"/>
      <c r="HP200" s="395"/>
      <c r="HQ200" s="395"/>
      <c r="HR200" s="395"/>
    </row>
    <row r="201" spans="1:226" s="866" customFormat="1" x14ac:dyDescent="0.25">
      <c r="A201" s="395"/>
      <c r="B201" s="395"/>
      <c r="C201" s="395"/>
      <c r="D201" s="395"/>
      <c r="E201" s="395"/>
      <c r="F201" s="395"/>
      <c r="G201" s="395"/>
      <c r="H201" s="395"/>
      <c r="I201" s="395"/>
      <c r="J201" s="395"/>
      <c r="K201" s="395"/>
      <c r="L201" s="395"/>
      <c r="M201" s="395"/>
      <c r="N201" s="395"/>
      <c r="O201" s="395"/>
      <c r="P201" s="395"/>
      <c r="Q201" s="395"/>
      <c r="R201" s="395"/>
      <c r="S201" s="395"/>
      <c r="T201" s="395"/>
      <c r="U201" s="395"/>
      <c r="V201" s="1608"/>
      <c r="W201" s="395"/>
      <c r="X201" s="395"/>
      <c r="Y201" s="395"/>
      <c r="Z201" s="2140"/>
      <c r="AA201" s="395"/>
      <c r="AB201" s="395"/>
      <c r="AC201" s="395"/>
      <c r="AD201" s="395"/>
      <c r="AE201" s="395"/>
      <c r="AF201" s="395"/>
      <c r="AG201" s="395"/>
      <c r="AH201" s="395"/>
      <c r="AI201" s="395"/>
      <c r="AJ201" s="395"/>
      <c r="AK201" s="395"/>
      <c r="AL201" s="395"/>
      <c r="AM201" s="395"/>
      <c r="AN201" s="395"/>
      <c r="AO201" s="395"/>
      <c r="AP201" s="395"/>
      <c r="AQ201" s="395"/>
      <c r="AR201" s="395"/>
      <c r="AS201" s="395"/>
      <c r="AT201" s="395"/>
      <c r="AU201" s="395"/>
      <c r="AV201" s="395"/>
      <c r="AW201" s="395"/>
      <c r="AX201" s="395"/>
      <c r="AY201" s="395"/>
      <c r="AZ201" s="395"/>
      <c r="BA201" s="395"/>
      <c r="BB201" s="395"/>
      <c r="BC201" s="395"/>
      <c r="BD201" s="395"/>
      <c r="BE201" s="395"/>
      <c r="BF201" s="395"/>
      <c r="BG201" s="395"/>
      <c r="BH201" s="395"/>
      <c r="BI201" s="395"/>
      <c r="BJ201" s="395"/>
      <c r="BK201" s="395"/>
      <c r="BL201" s="395"/>
      <c r="BM201" s="395"/>
      <c r="BN201" s="395"/>
      <c r="BO201" s="395"/>
      <c r="BP201" s="395"/>
      <c r="BQ201" s="395"/>
      <c r="BR201" s="395"/>
      <c r="BS201" s="395"/>
      <c r="BT201" s="395"/>
      <c r="BU201" s="395"/>
      <c r="BV201" s="395"/>
      <c r="BW201" s="395"/>
      <c r="BX201" s="395"/>
      <c r="BY201" s="395"/>
      <c r="BZ201" s="395"/>
      <c r="CA201" s="395"/>
      <c r="CB201" s="395"/>
      <c r="CC201" s="395"/>
      <c r="CD201" s="395"/>
      <c r="CE201" s="395"/>
      <c r="CF201" s="395"/>
      <c r="CG201" s="395"/>
      <c r="CH201" s="395"/>
      <c r="CI201" s="395"/>
      <c r="CJ201" s="395"/>
      <c r="CK201" s="395"/>
      <c r="CL201" s="395"/>
      <c r="CM201" s="395"/>
      <c r="CN201" s="395"/>
      <c r="CO201" s="395"/>
      <c r="CP201" s="395"/>
      <c r="CQ201" s="395"/>
      <c r="CR201" s="395"/>
      <c r="CS201" s="395"/>
      <c r="CT201" s="395"/>
      <c r="CU201" s="395"/>
      <c r="CV201" s="395"/>
      <c r="CW201" s="395"/>
      <c r="CX201" s="395"/>
      <c r="CY201" s="395"/>
      <c r="CZ201" s="395"/>
      <c r="DA201" s="395"/>
      <c r="DB201" s="395"/>
      <c r="DC201" s="395"/>
      <c r="DD201" s="395"/>
      <c r="DE201" s="395"/>
      <c r="DF201" s="395"/>
      <c r="DG201" s="395"/>
      <c r="DH201" s="395"/>
      <c r="DI201" s="395"/>
      <c r="DJ201" s="395"/>
      <c r="DK201" s="395"/>
      <c r="DL201" s="395"/>
      <c r="DM201" s="395"/>
      <c r="DN201" s="395"/>
      <c r="DO201" s="395"/>
      <c r="DP201" s="395"/>
      <c r="DQ201" s="395"/>
      <c r="DR201" s="395"/>
      <c r="DS201" s="395"/>
      <c r="DT201" s="395"/>
      <c r="DU201" s="395"/>
      <c r="DV201" s="395"/>
      <c r="DW201" s="395"/>
      <c r="DX201" s="395"/>
      <c r="DY201" s="395"/>
      <c r="DZ201" s="395"/>
      <c r="EA201" s="395"/>
      <c r="EB201" s="395"/>
      <c r="EC201" s="395"/>
      <c r="ED201" s="395"/>
      <c r="EE201" s="395"/>
      <c r="EF201" s="395"/>
      <c r="EG201" s="395"/>
      <c r="EH201" s="395"/>
      <c r="EI201" s="395"/>
      <c r="EJ201" s="395"/>
      <c r="EK201" s="395"/>
      <c r="EL201" s="395"/>
      <c r="EM201" s="395"/>
      <c r="EN201" s="395"/>
      <c r="EO201" s="395"/>
      <c r="EP201" s="395"/>
      <c r="EQ201" s="395"/>
      <c r="ER201" s="395"/>
      <c r="ES201" s="395"/>
      <c r="ET201" s="395"/>
      <c r="EU201" s="395"/>
      <c r="EV201" s="395"/>
      <c r="EW201" s="395"/>
      <c r="EX201" s="395"/>
      <c r="EY201" s="395"/>
      <c r="EZ201" s="395"/>
      <c r="FA201" s="395"/>
      <c r="FB201" s="395"/>
      <c r="FC201" s="395"/>
      <c r="FD201" s="395"/>
      <c r="FE201" s="395"/>
      <c r="FF201" s="395"/>
      <c r="FG201" s="395"/>
      <c r="FH201" s="395"/>
      <c r="FI201" s="395"/>
      <c r="FJ201" s="395"/>
      <c r="FK201" s="395"/>
      <c r="FL201" s="395"/>
      <c r="FM201" s="395"/>
      <c r="FN201" s="395"/>
      <c r="FO201" s="395"/>
      <c r="FP201" s="395"/>
      <c r="FQ201" s="395"/>
      <c r="FR201" s="395"/>
      <c r="FS201" s="395"/>
      <c r="FT201" s="395"/>
      <c r="FU201" s="395"/>
      <c r="FV201" s="395"/>
      <c r="FW201" s="395"/>
      <c r="FX201" s="395"/>
      <c r="FY201" s="395"/>
      <c r="FZ201" s="395"/>
      <c r="GA201" s="395"/>
      <c r="GB201" s="395"/>
      <c r="GC201" s="395"/>
      <c r="GD201" s="395"/>
      <c r="GE201" s="395"/>
      <c r="GF201" s="395"/>
      <c r="GG201" s="395"/>
      <c r="GH201" s="395"/>
      <c r="GI201" s="395"/>
      <c r="GJ201" s="395"/>
      <c r="GK201" s="395"/>
      <c r="GL201" s="395"/>
      <c r="GM201" s="395"/>
      <c r="GN201" s="395"/>
      <c r="GO201" s="395"/>
      <c r="GP201" s="395"/>
      <c r="GQ201" s="395"/>
      <c r="GR201" s="395"/>
      <c r="GS201" s="395"/>
      <c r="GT201" s="395"/>
      <c r="GU201" s="395"/>
      <c r="GV201" s="395"/>
      <c r="GW201" s="395"/>
      <c r="GX201" s="395"/>
      <c r="GY201" s="395"/>
      <c r="GZ201" s="395"/>
      <c r="HA201" s="395"/>
      <c r="HB201" s="395"/>
      <c r="HC201" s="395"/>
      <c r="HD201" s="395"/>
      <c r="HE201" s="395"/>
      <c r="HF201" s="395"/>
      <c r="HG201" s="395"/>
      <c r="HH201" s="395"/>
      <c r="HI201" s="395"/>
      <c r="HJ201" s="395"/>
      <c r="HK201" s="395"/>
      <c r="HL201" s="395"/>
      <c r="HM201" s="395"/>
      <c r="HN201" s="395"/>
      <c r="HO201" s="395"/>
      <c r="HP201" s="395"/>
      <c r="HQ201" s="395"/>
      <c r="HR201" s="395"/>
    </row>
    <row r="202" spans="1:226" s="866" customFormat="1" x14ac:dyDescent="0.25">
      <c r="A202" s="395"/>
      <c r="B202" s="395"/>
      <c r="C202" s="395"/>
      <c r="D202" s="395"/>
      <c r="E202" s="395"/>
      <c r="F202" s="395"/>
      <c r="G202" s="395"/>
      <c r="H202" s="395"/>
      <c r="I202" s="395"/>
      <c r="J202" s="395"/>
      <c r="K202" s="395"/>
      <c r="L202" s="395"/>
      <c r="M202" s="395"/>
      <c r="N202" s="395"/>
      <c r="O202" s="395"/>
      <c r="P202" s="395"/>
      <c r="Q202" s="395"/>
      <c r="R202" s="395"/>
      <c r="S202" s="395"/>
      <c r="T202" s="395"/>
      <c r="U202" s="395"/>
      <c r="V202" s="1608"/>
      <c r="W202" s="395"/>
      <c r="X202" s="395"/>
      <c r="Y202" s="395"/>
      <c r="Z202" s="2140"/>
      <c r="AA202" s="395"/>
      <c r="AB202" s="395"/>
      <c r="AC202" s="395"/>
      <c r="AD202" s="395"/>
      <c r="AE202" s="395"/>
      <c r="AF202" s="395"/>
      <c r="AG202" s="395"/>
      <c r="AH202" s="395"/>
      <c r="AI202" s="395"/>
      <c r="AJ202" s="395"/>
      <c r="AK202" s="395"/>
      <c r="AL202" s="395"/>
      <c r="AM202" s="395"/>
      <c r="AN202" s="395"/>
      <c r="AO202" s="395"/>
      <c r="AP202" s="395"/>
      <c r="AQ202" s="395"/>
      <c r="AR202" s="395"/>
      <c r="AS202" s="395"/>
      <c r="AT202" s="395"/>
      <c r="AU202" s="395"/>
      <c r="AV202" s="395"/>
      <c r="AW202" s="395"/>
      <c r="AX202" s="395"/>
      <c r="AY202" s="395"/>
      <c r="AZ202" s="395"/>
      <c r="BA202" s="395"/>
      <c r="BB202" s="395"/>
      <c r="BC202" s="395"/>
      <c r="BD202" s="395"/>
      <c r="BE202" s="395"/>
      <c r="BF202" s="395"/>
      <c r="BG202" s="395"/>
      <c r="BH202" s="395"/>
      <c r="BI202" s="395"/>
      <c r="BJ202" s="395"/>
      <c r="BK202" s="395"/>
      <c r="BL202" s="395"/>
      <c r="BM202" s="395"/>
      <c r="BN202" s="395"/>
      <c r="BO202" s="395"/>
      <c r="BP202" s="395"/>
      <c r="BQ202" s="395"/>
      <c r="BR202" s="395"/>
      <c r="BS202" s="395"/>
      <c r="BT202" s="395"/>
      <c r="BU202" s="395"/>
      <c r="BV202" s="395"/>
      <c r="BW202" s="395"/>
      <c r="BX202" s="395"/>
      <c r="BY202" s="395"/>
      <c r="BZ202" s="395"/>
      <c r="CA202" s="395"/>
      <c r="CB202" s="395"/>
      <c r="CC202" s="395"/>
      <c r="CD202" s="395"/>
      <c r="CE202" s="395"/>
      <c r="CF202" s="395"/>
      <c r="CG202" s="395"/>
      <c r="CH202" s="395"/>
      <c r="CI202" s="395"/>
      <c r="CJ202" s="395"/>
      <c r="CK202" s="395"/>
      <c r="CL202" s="395"/>
      <c r="CM202" s="395"/>
      <c r="CN202" s="395"/>
      <c r="CO202" s="395"/>
      <c r="CP202" s="395"/>
      <c r="CQ202" s="395"/>
      <c r="CR202" s="395"/>
      <c r="CS202" s="395"/>
      <c r="CT202" s="395"/>
      <c r="CU202" s="395"/>
      <c r="CV202" s="395"/>
      <c r="CW202" s="395"/>
      <c r="CX202" s="395"/>
      <c r="CY202" s="395"/>
      <c r="CZ202" s="395"/>
      <c r="DA202" s="395"/>
      <c r="DB202" s="395"/>
      <c r="DC202" s="395"/>
      <c r="DD202" s="395"/>
      <c r="DE202" s="395"/>
      <c r="DF202" s="395"/>
      <c r="DG202" s="395"/>
      <c r="DH202" s="395"/>
      <c r="DI202" s="395"/>
      <c r="DJ202" s="395"/>
      <c r="DK202" s="395"/>
      <c r="DL202" s="395"/>
      <c r="DM202" s="395"/>
      <c r="DN202" s="395"/>
      <c r="DO202" s="395"/>
      <c r="DP202" s="395"/>
      <c r="DQ202" s="395"/>
      <c r="DR202" s="395"/>
      <c r="DS202" s="395"/>
      <c r="DT202" s="395"/>
      <c r="DU202" s="395"/>
      <c r="DV202" s="395"/>
      <c r="DW202" s="395"/>
      <c r="DX202" s="395"/>
      <c r="DY202" s="395"/>
      <c r="DZ202" s="395"/>
      <c r="EA202" s="395"/>
      <c r="EB202" s="395"/>
      <c r="EC202" s="395"/>
      <c r="ED202" s="395"/>
      <c r="EE202" s="395"/>
      <c r="EF202" s="395"/>
      <c r="EG202" s="395"/>
      <c r="EH202" s="395"/>
      <c r="EI202" s="395"/>
      <c r="EJ202" s="395"/>
      <c r="EK202" s="395"/>
      <c r="EL202" s="395"/>
      <c r="EM202" s="395"/>
      <c r="EN202" s="395"/>
      <c r="EO202" s="395"/>
      <c r="EP202" s="395"/>
      <c r="EQ202" s="395"/>
      <c r="ER202" s="395"/>
      <c r="ES202" s="395"/>
      <c r="ET202" s="395"/>
      <c r="EU202" s="395"/>
      <c r="EV202" s="395"/>
      <c r="EW202" s="395"/>
      <c r="EX202" s="395"/>
      <c r="EY202" s="395"/>
      <c r="EZ202" s="395"/>
      <c r="FA202" s="395"/>
      <c r="FB202" s="395"/>
      <c r="FC202" s="395"/>
      <c r="FD202" s="395"/>
      <c r="FE202" s="395"/>
      <c r="FF202" s="395"/>
      <c r="FG202" s="395"/>
      <c r="FH202" s="395"/>
      <c r="FI202" s="395"/>
      <c r="FJ202" s="395"/>
      <c r="FK202" s="395"/>
      <c r="FL202" s="395"/>
      <c r="FM202" s="395"/>
      <c r="FN202" s="395"/>
      <c r="FO202" s="395"/>
      <c r="FP202" s="395"/>
      <c r="FQ202" s="395"/>
      <c r="FR202" s="395"/>
      <c r="FS202" s="395"/>
      <c r="FT202" s="395"/>
      <c r="FU202" s="395"/>
      <c r="FV202" s="395"/>
      <c r="FW202" s="395"/>
      <c r="FX202" s="395"/>
      <c r="FY202" s="395"/>
      <c r="FZ202" s="395"/>
      <c r="GA202" s="395"/>
      <c r="GB202" s="395"/>
      <c r="GC202" s="395"/>
      <c r="GD202" s="395"/>
      <c r="GE202" s="395"/>
      <c r="GF202" s="395"/>
      <c r="GG202" s="395"/>
      <c r="GH202" s="395"/>
      <c r="GI202" s="395"/>
      <c r="GJ202" s="395"/>
      <c r="GK202" s="395"/>
      <c r="GL202" s="395"/>
      <c r="GM202" s="395"/>
      <c r="GN202" s="395"/>
      <c r="GO202" s="395"/>
      <c r="GP202" s="395"/>
      <c r="GQ202" s="395"/>
      <c r="GR202" s="395"/>
      <c r="GS202" s="395"/>
      <c r="GT202" s="395"/>
      <c r="GU202" s="395"/>
      <c r="GV202" s="395"/>
      <c r="GW202" s="395"/>
      <c r="GX202" s="395"/>
      <c r="GY202" s="395"/>
      <c r="GZ202" s="395"/>
      <c r="HA202" s="395"/>
      <c r="HB202" s="395"/>
      <c r="HC202" s="395"/>
      <c r="HD202" s="395"/>
      <c r="HE202" s="395"/>
      <c r="HF202" s="395"/>
      <c r="HG202" s="395"/>
      <c r="HH202" s="395"/>
      <c r="HI202" s="395"/>
      <c r="HJ202" s="395"/>
      <c r="HK202" s="395"/>
      <c r="HL202" s="395"/>
      <c r="HM202" s="395"/>
      <c r="HN202" s="395"/>
      <c r="HO202" s="395"/>
      <c r="HP202" s="395"/>
      <c r="HQ202" s="395"/>
      <c r="HR202" s="395"/>
    </row>
    <row r="203" spans="1:226" s="866" customFormat="1" x14ac:dyDescent="0.25">
      <c r="A203" s="395"/>
      <c r="B203" s="395"/>
      <c r="C203" s="395"/>
      <c r="D203" s="395"/>
      <c r="E203" s="395"/>
      <c r="F203" s="395"/>
      <c r="G203" s="395"/>
      <c r="H203" s="395"/>
      <c r="I203" s="395"/>
      <c r="J203" s="395"/>
      <c r="K203" s="395"/>
      <c r="L203" s="395"/>
      <c r="M203" s="395"/>
      <c r="N203" s="395"/>
      <c r="O203" s="395"/>
      <c r="P203" s="395"/>
      <c r="Q203" s="395"/>
      <c r="R203" s="395"/>
      <c r="S203" s="395"/>
      <c r="T203" s="395"/>
      <c r="U203" s="395"/>
      <c r="V203" s="1608"/>
      <c r="W203" s="395"/>
      <c r="X203" s="395"/>
      <c r="Y203" s="395"/>
      <c r="Z203" s="2140"/>
      <c r="AA203" s="395"/>
      <c r="AB203" s="395"/>
      <c r="AC203" s="395"/>
      <c r="AD203" s="395"/>
      <c r="AE203" s="395"/>
      <c r="AF203" s="395"/>
      <c r="AG203" s="395"/>
      <c r="AH203" s="395"/>
      <c r="AI203" s="395"/>
      <c r="AJ203" s="395"/>
      <c r="AK203" s="395"/>
      <c r="AL203" s="395"/>
      <c r="AM203" s="395"/>
      <c r="AN203" s="395"/>
      <c r="AO203" s="395"/>
      <c r="AP203" s="395"/>
      <c r="AQ203" s="395"/>
      <c r="AR203" s="395"/>
      <c r="AS203" s="395"/>
      <c r="AT203" s="395"/>
      <c r="AU203" s="395"/>
      <c r="AV203" s="395"/>
      <c r="AW203" s="395"/>
      <c r="AX203" s="395"/>
      <c r="AY203" s="395"/>
      <c r="AZ203" s="395"/>
      <c r="BA203" s="395"/>
      <c r="BB203" s="395"/>
      <c r="BC203" s="395"/>
      <c r="BD203" s="395"/>
      <c r="BE203" s="395"/>
      <c r="BF203" s="395"/>
      <c r="BG203" s="395"/>
      <c r="BH203" s="395"/>
      <c r="BI203" s="395"/>
      <c r="BJ203" s="395"/>
      <c r="BK203" s="395"/>
      <c r="BL203" s="395"/>
      <c r="BM203" s="395"/>
      <c r="BN203" s="395"/>
      <c r="BO203" s="395"/>
      <c r="BP203" s="395"/>
      <c r="BQ203" s="395"/>
      <c r="BR203" s="395"/>
      <c r="BS203" s="395"/>
      <c r="BT203" s="395"/>
      <c r="BU203" s="395"/>
      <c r="BV203" s="395"/>
      <c r="BW203" s="395"/>
      <c r="BX203" s="395"/>
      <c r="BY203" s="395"/>
      <c r="BZ203" s="395"/>
      <c r="CA203" s="395"/>
      <c r="CB203" s="395"/>
      <c r="CC203" s="395"/>
      <c r="CD203" s="395"/>
      <c r="CE203" s="395"/>
      <c r="CF203" s="395"/>
      <c r="CG203" s="395"/>
      <c r="CH203" s="395"/>
      <c r="CI203" s="395"/>
      <c r="CJ203" s="395"/>
      <c r="CK203" s="395"/>
      <c r="CL203" s="395"/>
      <c r="CM203" s="395"/>
      <c r="CN203" s="395"/>
      <c r="CO203" s="395"/>
      <c r="CP203" s="395"/>
      <c r="CQ203" s="395"/>
      <c r="CR203" s="395"/>
      <c r="CS203" s="395"/>
      <c r="CT203" s="395"/>
      <c r="CU203" s="395"/>
      <c r="CV203" s="395"/>
      <c r="CW203" s="395"/>
      <c r="CX203" s="395"/>
      <c r="CY203" s="395"/>
      <c r="CZ203" s="395"/>
      <c r="DA203" s="395"/>
      <c r="DB203" s="395"/>
      <c r="DC203" s="395"/>
      <c r="DD203" s="395"/>
      <c r="DE203" s="395"/>
      <c r="DF203" s="395"/>
      <c r="DG203" s="395"/>
      <c r="DH203" s="395"/>
      <c r="DI203" s="395"/>
      <c r="DJ203" s="395"/>
      <c r="DK203" s="395"/>
      <c r="DL203" s="395"/>
      <c r="DM203" s="395"/>
      <c r="DN203" s="395"/>
      <c r="DO203" s="395"/>
      <c r="DP203" s="395"/>
      <c r="DQ203" s="395"/>
      <c r="DR203" s="395"/>
      <c r="DS203" s="395"/>
      <c r="DT203" s="395"/>
      <c r="DU203" s="395"/>
      <c r="DV203" s="395"/>
      <c r="DW203" s="395"/>
      <c r="DX203" s="395"/>
      <c r="DY203" s="395"/>
      <c r="DZ203" s="395"/>
      <c r="EA203" s="395"/>
      <c r="EB203" s="395"/>
      <c r="EC203" s="395"/>
      <c r="ED203" s="395"/>
      <c r="EE203" s="395"/>
      <c r="EF203" s="395"/>
      <c r="EG203" s="395"/>
      <c r="EH203" s="395"/>
      <c r="EI203" s="395"/>
      <c r="EJ203" s="395"/>
      <c r="EK203" s="395"/>
      <c r="EL203" s="395"/>
      <c r="EM203" s="395"/>
      <c r="EN203" s="395"/>
      <c r="EO203" s="395"/>
      <c r="EP203" s="395"/>
      <c r="EQ203" s="395"/>
      <c r="ER203" s="395"/>
      <c r="ES203" s="395"/>
      <c r="ET203" s="395"/>
      <c r="EU203" s="395"/>
      <c r="EV203" s="395"/>
      <c r="EW203" s="395"/>
      <c r="EX203" s="395"/>
      <c r="EY203" s="395"/>
      <c r="EZ203" s="395"/>
      <c r="FA203" s="395"/>
      <c r="FB203" s="395"/>
      <c r="FC203" s="395"/>
      <c r="FD203" s="395"/>
      <c r="FE203" s="395"/>
      <c r="FF203" s="395"/>
      <c r="FG203" s="395"/>
      <c r="FH203" s="395"/>
      <c r="FI203" s="395"/>
      <c r="FJ203" s="395"/>
      <c r="FK203" s="395"/>
      <c r="FL203" s="395"/>
      <c r="FM203" s="395"/>
      <c r="FN203" s="395"/>
      <c r="FO203" s="395"/>
      <c r="FP203" s="395"/>
      <c r="FQ203" s="395"/>
      <c r="FR203" s="395"/>
      <c r="FS203" s="395"/>
      <c r="FT203" s="395"/>
      <c r="FU203" s="395"/>
      <c r="FV203" s="395"/>
      <c r="FW203" s="395"/>
      <c r="FX203" s="395"/>
      <c r="FY203" s="395"/>
      <c r="FZ203" s="395"/>
      <c r="GA203" s="395"/>
      <c r="GB203" s="395"/>
      <c r="GC203" s="395"/>
      <c r="GD203" s="395"/>
      <c r="GE203" s="395"/>
      <c r="GF203" s="395"/>
      <c r="GG203" s="395"/>
      <c r="GH203" s="395"/>
      <c r="GI203" s="395"/>
      <c r="GJ203" s="395"/>
      <c r="GK203" s="395"/>
      <c r="GL203" s="395"/>
      <c r="GM203" s="395"/>
      <c r="GN203" s="395"/>
      <c r="GO203" s="395"/>
      <c r="GP203" s="395"/>
      <c r="GQ203" s="395"/>
      <c r="GR203" s="395"/>
      <c r="GS203" s="395"/>
      <c r="GT203" s="395"/>
      <c r="GU203" s="395"/>
      <c r="GV203" s="395"/>
      <c r="GW203" s="395"/>
      <c r="GX203" s="395"/>
      <c r="GY203" s="395"/>
      <c r="GZ203" s="395"/>
      <c r="HA203" s="395"/>
      <c r="HB203" s="395"/>
      <c r="HC203" s="395"/>
      <c r="HD203" s="395"/>
      <c r="HE203" s="395"/>
      <c r="HF203" s="395"/>
      <c r="HG203" s="395"/>
      <c r="HH203" s="395"/>
      <c r="HI203" s="395"/>
      <c r="HJ203" s="395"/>
      <c r="HK203" s="395"/>
      <c r="HL203" s="395"/>
      <c r="HM203" s="395"/>
      <c r="HN203" s="395"/>
      <c r="HO203" s="395"/>
      <c r="HP203" s="395"/>
      <c r="HQ203" s="395"/>
      <c r="HR203" s="395"/>
    </row>
    <row r="204" spans="1:226" s="866" customFormat="1" x14ac:dyDescent="0.25">
      <c r="A204" s="395"/>
      <c r="B204" s="395"/>
      <c r="C204" s="395"/>
      <c r="D204" s="395"/>
      <c r="E204" s="395"/>
      <c r="F204" s="395"/>
      <c r="G204" s="395"/>
      <c r="H204" s="395"/>
      <c r="I204" s="395"/>
      <c r="J204" s="395"/>
      <c r="K204" s="395"/>
      <c r="L204" s="395"/>
      <c r="M204" s="395"/>
      <c r="N204" s="395"/>
      <c r="O204" s="395"/>
      <c r="P204" s="395"/>
      <c r="Q204" s="395"/>
      <c r="R204" s="395"/>
      <c r="S204" s="395"/>
      <c r="T204" s="395"/>
      <c r="U204" s="395"/>
      <c r="V204" s="1608"/>
      <c r="W204" s="395"/>
      <c r="X204" s="395"/>
      <c r="Y204" s="395"/>
      <c r="Z204" s="2140"/>
      <c r="AA204" s="395"/>
      <c r="AB204" s="395"/>
      <c r="AC204" s="395"/>
      <c r="AD204" s="395"/>
      <c r="AE204" s="395"/>
      <c r="AF204" s="395"/>
      <c r="AG204" s="395"/>
      <c r="AH204" s="395"/>
      <c r="AI204" s="395"/>
      <c r="AJ204" s="395"/>
      <c r="AK204" s="395"/>
      <c r="AL204" s="395"/>
      <c r="AM204" s="395"/>
      <c r="AN204" s="395"/>
      <c r="AO204" s="395"/>
      <c r="AP204" s="395"/>
      <c r="AQ204" s="395"/>
      <c r="AR204" s="395"/>
      <c r="AS204" s="395"/>
      <c r="AT204" s="395"/>
      <c r="AU204" s="395"/>
      <c r="AV204" s="395"/>
      <c r="AW204" s="395"/>
      <c r="AX204" s="395"/>
      <c r="AY204" s="395"/>
      <c r="AZ204" s="395"/>
      <c r="BA204" s="395"/>
      <c r="BB204" s="395"/>
      <c r="BC204" s="395"/>
      <c r="BD204" s="395"/>
      <c r="BE204" s="395"/>
      <c r="BF204" s="395"/>
      <c r="BG204" s="395"/>
      <c r="BH204" s="395"/>
      <c r="BI204" s="395"/>
      <c r="BJ204" s="395"/>
      <c r="BK204" s="395"/>
      <c r="BL204" s="395"/>
      <c r="BM204" s="395"/>
      <c r="BN204" s="395"/>
      <c r="BO204" s="395"/>
      <c r="BP204" s="395"/>
      <c r="BQ204" s="395"/>
      <c r="BR204" s="395"/>
      <c r="BS204" s="395"/>
      <c r="BT204" s="395"/>
      <c r="BU204" s="395"/>
      <c r="BV204" s="395"/>
      <c r="BW204" s="395"/>
      <c r="BX204" s="395"/>
      <c r="BY204" s="395"/>
      <c r="BZ204" s="395"/>
      <c r="CA204" s="395"/>
      <c r="CB204" s="395"/>
      <c r="CC204" s="395"/>
      <c r="CD204" s="395"/>
      <c r="CE204" s="395"/>
      <c r="CF204" s="395"/>
      <c r="CG204" s="395"/>
      <c r="CH204" s="395"/>
      <c r="CI204" s="395"/>
      <c r="CJ204" s="395"/>
      <c r="CK204" s="395"/>
      <c r="CL204" s="395"/>
      <c r="CM204" s="395"/>
      <c r="CN204" s="395"/>
      <c r="CO204" s="395"/>
      <c r="CP204" s="395"/>
      <c r="CQ204" s="395"/>
      <c r="CR204" s="395"/>
      <c r="CS204" s="395"/>
      <c r="CT204" s="395"/>
      <c r="CU204" s="395"/>
      <c r="CV204" s="395"/>
      <c r="CW204" s="395"/>
      <c r="CX204" s="395"/>
      <c r="CY204" s="395"/>
      <c r="CZ204" s="395"/>
      <c r="DA204" s="395"/>
      <c r="DB204" s="395"/>
      <c r="DC204" s="395"/>
      <c r="DD204" s="395"/>
      <c r="DE204" s="395"/>
      <c r="DF204" s="395"/>
      <c r="DG204" s="395"/>
      <c r="DH204" s="395"/>
      <c r="DI204" s="395"/>
      <c r="DJ204" s="395"/>
      <c r="DK204" s="395"/>
      <c r="DL204" s="395"/>
      <c r="DM204" s="395"/>
      <c r="DN204" s="395"/>
      <c r="DO204" s="395"/>
      <c r="DP204" s="395"/>
      <c r="DQ204" s="395"/>
      <c r="DR204" s="395"/>
      <c r="DS204" s="395"/>
      <c r="DT204" s="395"/>
      <c r="DU204" s="395"/>
      <c r="DV204" s="395"/>
      <c r="DW204" s="395"/>
      <c r="DX204" s="395"/>
      <c r="DY204" s="395"/>
      <c r="DZ204" s="395"/>
      <c r="EA204" s="395"/>
      <c r="EB204" s="395"/>
      <c r="EC204" s="395"/>
      <c r="ED204" s="395"/>
      <c r="EE204" s="395"/>
      <c r="EF204" s="395"/>
      <c r="EG204" s="395"/>
      <c r="EH204" s="395"/>
      <c r="EI204" s="395"/>
      <c r="EJ204" s="395"/>
      <c r="EK204" s="395"/>
      <c r="EL204" s="395"/>
      <c r="EM204" s="395"/>
      <c r="EN204" s="395"/>
      <c r="EO204" s="395"/>
      <c r="EP204" s="395"/>
      <c r="EQ204" s="395"/>
      <c r="ER204" s="395"/>
      <c r="ES204" s="395"/>
      <c r="ET204" s="395"/>
      <c r="EU204" s="395"/>
      <c r="EV204" s="395"/>
      <c r="EW204" s="395"/>
      <c r="EX204" s="395"/>
      <c r="EY204" s="395"/>
      <c r="EZ204" s="395"/>
      <c r="FA204" s="395"/>
      <c r="FB204" s="395"/>
      <c r="FC204" s="395"/>
      <c r="FD204" s="395"/>
      <c r="FE204" s="395"/>
      <c r="FF204" s="395"/>
      <c r="FG204" s="395"/>
      <c r="FH204" s="395"/>
      <c r="FI204" s="395"/>
      <c r="FJ204" s="395"/>
      <c r="FK204" s="395"/>
      <c r="FL204" s="395"/>
      <c r="FM204" s="395"/>
      <c r="FN204" s="395"/>
      <c r="FO204" s="395"/>
      <c r="FP204" s="395"/>
      <c r="FQ204" s="395"/>
      <c r="FR204" s="395"/>
      <c r="FS204" s="395"/>
      <c r="FT204" s="395"/>
      <c r="FU204" s="395"/>
      <c r="FV204" s="395"/>
      <c r="FW204" s="395"/>
      <c r="FX204" s="395"/>
      <c r="FY204" s="395"/>
      <c r="FZ204" s="395"/>
      <c r="GA204" s="395"/>
      <c r="GB204" s="395"/>
      <c r="GC204" s="395"/>
      <c r="GD204" s="395"/>
      <c r="GE204" s="395"/>
      <c r="GF204" s="395"/>
      <c r="GG204" s="395"/>
      <c r="GH204" s="395"/>
      <c r="GI204" s="395"/>
      <c r="GJ204" s="395"/>
      <c r="GK204" s="395"/>
      <c r="GL204" s="395"/>
      <c r="GM204" s="395"/>
      <c r="GN204" s="395"/>
      <c r="GO204" s="395"/>
      <c r="GP204" s="395"/>
      <c r="GQ204" s="395"/>
      <c r="GR204" s="395"/>
      <c r="GS204" s="395"/>
      <c r="GT204" s="395"/>
      <c r="GU204" s="395"/>
      <c r="GV204" s="395"/>
      <c r="GW204" s="395"/>
      <c r="GX204" s="395"/>
      <c r="GY204" s="395"/>
      <c r="GZ204" s="395"/>
      <c r="HA204" s="395"/>
      <c r="HB204" s="395"/>
      <c r="HC204" s="395"/>
      <c r="HD204" s="395"/>
      <c r="HE204" s="395"/>
      <c r="HF204" s="395"/>
      <c r="HG204" s="395"/>
      <c r="HH204" s="395"/>
      <c r="HI204" s="395"/>
      <c r="HJ204" s="395"/>
      <c r="HK204" s="395"/>
      <c r="HL204" s="395"/>
      <c r="HM204" s="395"/>
      <c r="HN204" s="395"/>
      <c r="HO204" s="395"/>
      <c r="HP204" s="395"/>
      <c r="HQ204" s="395"/>
      <c r="HR204" s="395"/>
    </row>
    <row r="205" spans="1:226" s="866" customFormat="1" x14ac:dyDescent="0.25">
      <c r="A205" s="395"/>
      <c r="B205" s="395"/>
      <c r="C205" s="395"/>
      <c r="D205" s="395"/>
      <c r="E205" s="395"/>
      <c r="F205" s="395"/>
      <c r="G205" s="395"/>
      <c r="H205" s="395"/>
      <c r="I205" s="395"/>
      <c r="J205" s="395"/>
      <c r="K205" s="395"/>
      <c r="L205" s="395"/>
      <c r="M205" s="395"/>
      <c r="N205" s="395"/>
      <c r="O205" s="395"/>
      <c r="P205" s="395"/>
      <c r="Q205" s="395"/>
      <c r="R205" s="395"/>
      <c r="S205" s="395"/>
      <c r="T205" s="395"/>
      <c r="U205" s="395"/>
      <c r="V205" s="1608"/>
      <c r="W205" s="395"/>
      <c r="X205" s="395"/>
      <c r="Y205" s="395"/>
      <c r="Z205" s="2140"/>
      <c r="AA205" s="395"/>
      <c r="AB205" s="395"/>
      <c r="AC205" s="395"/>
      <c r="AD205" s="395"/>
      <c r="AE205" s="395"/>
      <c r="AF205" s="395"/>
      <c r="AG205" s="395"/>
      <c r="AH205" s="395"/>
      <c r="AI205" s="395"/>
      <c r="AJ205" s="395"/>
      <c r="AK205" s="395"/>
      <c r="AL205" s="395"/>
      <c r="AM205" s="395"/>
      <c r="AN205" s="395"/>
      <c r="AO205" s="395"/>
      <c r="AP205" s="395"/>
      <c r="AQ205" s="395"/>
      <c r="AR205" s="395"/>
      <c r="AS205" s="395"/>
      <c r="AT205" s="395"/>
      <c r="AU205" s="395"/>
      <c r="AV205" s="395"/>
      <c r="AW205" s="395"/>
      <c r="AX205" s="395"/>
      <c r="AY205" s="395"/>
      <c r="AZ205" s="395"/>
      <c r="BA205" s="395"/>
      <c r="BB205" s="395"/>
      <c r="BC205" s="395"/>
      <c r="BD205" s="395"/>
      <c r="BE205" s="395"/>
      <c r="BF205" s="395"/>
      <c r="BG205" s="395"/>
      <c r="BH205" s="395"/>
      <c r="BI205" s="395"/>
      <c r="BJ205" s="395"/>
      <c r="BK205" s="395"/>
      <c r="BL205" s="395"/>
      <c r="BM205" s="395"/>
      <c r="BN205" s="395"/>
      <c r="BO205" s="395"/>
      <c r="BP205" s="395"/>
      <c r="BQ205" s="395"/>
      <c r="BR205" s="395"/>
      <c r="BS205" s="395"/>
      <c r="BT205" s="395"/>
      <c r="BU205" s="395"/>
      <c r="BV205" s="395"/>
      <c r="BW205" s="395"/>
      <c r="BX205" s="395"/>
      <c r="BY205" s="395"/>
      <c r="BZ205" s="395"/>
      <c r="CA205" s="395"/>
      <c r="CB205" s="395"/>
      <c r="CC205" s="395"/>
      <c r="CD205" s="395"/>
      <c r="CE205" s="395"/>
      <c r="CF205" s="395"/>
      <c r="CG205" s="395"/>
      <c r="CH205" s="395"/>
      <c r="CI205" s="395"/>
      <c r="CJ205" s="395"/>
      <c r="CK205" s="395"/>
      <c r="CL205" s="395"/>
      <c r="CM205" s="395"/>
      <c r="CN205" s="395"/>
      <c r="CO205" s="395"/>
      <c r="CP205" s="395"/>
      <c r="CQ205" s="395"/>
      <c r="CR205" s="395"/>
      <c r="CS205" s="395"/>
      <c r="CT205" s="395"/>
      <c r="CU205" s="395"/>
      <c r="CV205" s="395"/>
      <c r="CW205" s="395"/>
      <c r="CX205" s="395"/>
      <c r="CY205" s="395"/>
      <c r="CZ205" s="395"/>
      <c r="DA205" s="395"/>
      <c r="DB205" s="395"/>
      <c r="DC205" s="395"/>
      <c r="DD205" s="395"/>
      <c r="DE205" s="395"/>
      <c r="DF205" s="395"/>
      <c r="DG205" s="395"/>
      <c r="DH205" s="395"/>
      <c r="DI205" s="395"/>
      <c r="DJ205" s="395"/>
      <c r="DK205" s="395"/>
      <c r="DL205" s="395"/>
      <c r="DM205" s="395"/>
      <c r="DN205" s="395"/>
      <c r="DO205" s="395"/>
      <c r="DP205" s="395"/>
      <c r="DQ205" s="395"/>
      <c r="DR205" s="395"/>
      <c r="DS205" s="395"/>
      <c r="DT205" s="395"/>
      <c r="DU205" s="395"/>
      <c r="DV205" s="395"/>
      <c r="DW205" s="395"/>
      <c r="DX205" s="395"/>
      <c r="DY205" s="395"/>
      <c r="DZ205" s="395"/>
      <c r="EA205" s="395"/>
      <c r="EB205" s="395"/>
      <c r="EC205" s="395"/>
      <c r="ED205" s="395"/>
      <c r="EE205" s="395"/>
      <c r="EF205" s="395"/>
      <c r="EG205" s="395"/>
      <c r="EH205" s="395"/>
      <c r="EI205" s="395"/>
      <c r="EJ205" s="395"/>
      <c r="EK205" s="395"/>
      <c r="EL205" s="395"/>
      <c r="EM205" s="395"/>
      <c r="EN205" s="395"/>
      <c r="EO205" s="395"/>
      <c r="EP205" s="395"/>
      <c r="EQ205" s="395"/>
      <c r="ER205" s="395"/>
      <c r="ES205" s="395"/>
      <c r="ET205" s="395"/>
      <c r="EU205" s="395"/>
      <c r="EV205" s="395"/>
      <c r="EW205" s="395"/>
      <c r="EX205" s="395"/>
      <c r="EY205" s="395"/>
      <c r="EZ205" s="395"/>
      <c r="FA205" s="395"/>
      <c r="FB205" s="395"/>
      <c r="FC205" s="395"/>
      <c r="FD205" s="395"/>
      <c r="FE205" s="395"/>
      <c r="FF205" s="395"/>
      <c r="FG205" s="395"/>
      <c r="FH205" s="395"/>
      <c r="FI205" s="395"/>
      <c r="FJ205" s="395"/>
      <c r="FK205" s="395"/>
      <c r="FL205" s="395"/>
      <c r="FM205" s="395"/>
      <c r="FN205" s="395"/>
      <c r="FO205" s="395"/>
      <c r="FP205" s="395"/>
      <c r="FQ205" s="395"/>
      <c r="FR205" s="395"/>
      <c r="FS205" s="395"/>
      <c r="FT205" s="395"/>
      <c r="FU205" s="395"/>
      <c r="FV205" s="395"/>
      <c r="FW205" s="395"/>
      <c r="FX205" s="395"/>
      <c r="FY205" s="395"/>
      <c r="FZ205" s="395"/>
      <c r="GA205" s="395"/>
      <c r="GB205" s="395"/>
      <c r="GC205" s="395"/>
      <c r="GD205" s="395"/>
      <c r="GE205" s="395"/>
      <c r="GF205" s="395"/>
      <c r="GG205" s="395"/>
      <c r="GH205" s="395"/>
      <c r="GI205" s="395"/>
      <c r="GJ205" s="395"/>
      <c r="GK205" s="395"/>
      <c r="GL205" s="395"/>
      <c r="GM205" s="395"/>
      <c r="GN205" s="395"/>
      <c r="GO205" s="395"/>
      <c r="GP205" s="395"/>
      <c r="GQ205" s="395"/>
      <c r="GR205" s="395"/>
      <c r="GS205" s="395"/>
      <c r="GT205" s="395"/>
      <c r="GU205" s="395"/>
      <c r="GV205" s="395"/>
      <c r="GW205" s="395"/>
      <c r="GX205" s="395"/>
      <c r="GY205" s="395"/>
      <c r="GZ205" s="395"/>
      <c r="HA205" s="395"/>
      <c r="HB205" s="395"/>
      <c r="HC205" s="395"/>
      <c r="HD205" s="395"/>
      <c r="HE205" s="395"/>
      <c r="HF205" s="395"/>
      <c r="HG205" s="395"/>
      <c r="HH205" s="395"/>
      <c r="HI205" s="395"/>
      <c r="HJ205" s="395"/>
      <c r="HK205" s="395"/>
      <c r="HL205" s="395"/>
      <c r="HM205" s="395"/>
      <c r="HN205" s="395"/>
      <c r="HO205" s="395"/>
      <c r="HP205" s="395"/>
      <c r="HQ205" s="395"/>
      <c r="HR205" s="395"/>
    </row>
    <row r="206" spans="1:226" s="866" customFormat="1" x14ac:dyDescent="0.25">
      <c r="A206" s="395"/>
      <c r="B206" s="395"/>
      <c r="C206" s="395"/>
      <c r="D206" s="395"/>
      <c r="E206" s="395"/>
      <c r="F206" s="395"/>
      <c r="G206" s="395"/>
      <c r="H206" s="395"/>
      <c r="I206" s="395"/>
      <c r="J206" s="395"/>
      <c r="K206" s="395"/>
      <c r="L206" s="395"/>
      <c r="M206" s="395"/>
      <c r="N206" s="395"/>
      <c r="O206" s="395"/>
      <c r="P206" s="395"/>
      <c r="Q206" s="395"/>
      <c r="R206" s="395"/>
      <c r="S206" s="395"/>
      <c r="T206" s="395"/>
      <c r="U206" s="395"/>
      <c r="V206" s="1608"/>
      <c r="W206" s="395"/>
      <c r="X206" s="395"/>
      <c r="Y206" s="395"/>
      <c r="Z206" s="2140"/>
      <c r="AA206" s="395"/>
      <c r="AB206" s="395"/>
      <c r="AC206" s="395"/>
      <c r="AD206" s="395"/>
      <c r="AE206" s="395"/>
      <c r="AF206" s="395"/>
      <c r="AG206" s="395"/>
      <c r="AH206" s="395"/>
      <c r="AI206" s="395"/>
      <c r="AJ206" s="395"/>
      <c r="AK206" s="395"/>
      <c r="AL206" s="395"/>
      <c r="AM206" s="395"/>
      <c r="AN206" s="395"/>
      <c r="AO206" s="395"/>
      <c r="AP206" s="395"/>
      <c r="AQ206" s="395"/>
      <c r="AR206" s="395"/>
      <c r="AS206" s="395"/>
      <c r="AT206" s="395"/>
      <c r="AU206" s="395"/>
      <c r="AV206" s="395"/>
      <c r="AW206" s="395"/>
      <c r="AX206" s="395"/>
      <c r="AY206" s="395"/>
      <c r="AZ206" s="395"/>
      <c r="BA206" s="395"/>
      <c r="BB206" s="395"/>
      <c r="BC206" s="395"/>
      <c r="BD206" s="395"/>
      <c r="BE206" s="395"/>
      <c r="BF206" s="395"/>
      <c r="BG206" s="395"/>
      <c r="BH206" s="395"/>
      <c r="BI206" s="395"/>
      <c r="BJ206" s="395"/>
      <c r="BK206" s="395"/>
      <c r="BL206" s="395"/>
      <c r="BM206" s="395"/>
      <c r="BN206" s="395"/>
      <c r="BO206" s="395"/>
      <c r="BP206" s="395"/>
      <c r="BQ206" s="395"/>
      <c r="BR206" s="395"/>
      <c r="BS206" s="395"/>
      <c r="BT206" s="395"/>
      <c r="BU206" s="395"/>
      <c r="BV206" s="395"/>
      <c r="BW206" s="395"/>
      <c r="BX206" s="395"/>
      <c r="BY206" s="395"/>
      <c r="BZ206" s="395"/>
      <c r="CA206" s="395"/>
      <c r="CB206" s="395"/>
      <c r="CC206" s="395"/>
      <c r="CD206" s="395"/>
      <c r="CE206" s="395"/>
      <c r="CF206" s="395"/>
      <c r="CG206" s="395"/>
      <c r="CH206" s="395"/>
      <c r="CI206" s="395"/>
      <c r="CJ206" s="395"/>
      <c r="CK206" s="395"/>
      <c r="CL206" s="395"/>
      <c r="CM206" s="395"/>
      <c r="CN206" s="395"/>
      <c r="CO206" s="395"/>
      <c r="CP206" s="395"/>
      <c r="CQ206" s="395"/>
      <c r="CR206" s="395"/>
      <c r="CS206" s="395"/>
      <c r="CT206" s="395"/>
      <c r="CU206" s="395"/>
      <c r="CV206" s="395"/>
      <c r="CW206" s="395"/>
      <c r="CX206" s="395"/>
      <c r="CY206" s="395"/>
      <c r="CZ206" s="395"/>
      <c r="DA206" s="395"/>
      <c r="DB206" s="395"/>
      <c r="DC206" s="395"/>
      <c r="DD206" s="395"/>
      <c r="DE206" s="395"/>
      <c r="DF206" s="395"/>
      <c r="DG206" s="395"/>
      <c r="DH206" s="395"/>
      <c r="DI206" s="395"/>
      <c r="DJ206" s="395"/>
      <c r="DK206" s="395"/>
      <c r="DL206" s="395"/>
      <c r="DM206" s="395"/>
      <c r="DN206" s="395"/>
      <c r="DO206" s="395"/>
      <c r="DP206" s="395"/>
      <c r="DQ206" s="395"/>
      <c r="DR206" s="395"/>
      <c r="DS206" s="395"/>
      <c r="DT206" s="395"/>
      <c r="DU206" s="395"/>
      <c r="DV206" s="395"/>
      <c r="DW206" s="395"/>
      <c r="DX206" s="395"/>
      <c r="DY206" s="395"/>
      <c r="DZ206" s="395"/>
      <c r="EA206" s="395"/>
      <c r="EB206" s="395"/>
      <c r="EC206" s="395"/>
      <c r="ED206" s="395"/>
      <c r="EE206" s="395"/>
      <c r="EF206" s="395"/>
      <c r="EG206" s="395"/>
      <c r="EH206" s="395"/>
      <c r="EI206" s="395"/>
      <c r="EJ206" s="395"/>
      <c r="EK206" s="395"/>
      <c r="EL206" s="395"/>
      <c r="EM206" s="395"/>
      <c r="EN206" s="395"/>
      <c r="EO206" s="395"/>
      <c r="EP206" s="395"/>
      <c r="EQ206" s="395"/>
      <c r="ER206" s="395"/>
      <c r="ES206" s="395"/>
      <c r="ET206" s="395"/>
      <c r="EU206" s="395"/>
      <c r="EV206" s="395"/>
      <c r="EW206" s="395"/>
      <c r="EX206" s="395"/>
      <c r="EY206" s="395"/>
      <c r="EZ206" s="395"/>
      <c r="FA206" s="395"/>
      <c r="FB206" s="395"/>
      <c r="FC206" s="395"/>
      <c r="FD206" s="395"/>
      <c r="FE206" s="395"/>
      <c r="FF206" s="395"/>
      <c r="FG206" s="395"/>
      <c r="FH206" s="395"/>
      <c r="FI206" s="395"/>
      <c r="FJ206" s="395"/>
      <c r="FK206" s="395"/>
      <c r="FL206" s="395"/>
      <c r="FM206" s="395"/>
      <c r="FN206" s="395"/>
      <c r="FO206" s="395"/>
      <c r="FP206" s="395"/>
      <c r="FQ206" s="395"/>
      <c r="FR206" s="395"/>
      <c r="FS206" s="395"/>
      <c r="FT206" s="395"/>
      <c r="FU206" s="395"/>
      <c r="FV206" s="395"/>
      <c r="FW206" s="395"/>
      <c r="FX206" s="395"/>
      <c r="FY206" s="395"/>
      <c r="FZ206" s="395"/>
      <c r="GA206" s="395"/>
      <c r="GB206" s="395"/>
      <c r="GC206" s="395"/>
      <c r="GD206" s="395"/>
      <c r="GE206" s="395"/>
      <c r="GF206" s="395"/>
      <c r="GG206" s="395"/>
      <c r="GH206" s="395"/>
      <c r="GI206" s="395"/>
      <c r="GJ206" s="395"/>
      <c r="GK206" s="395"/>
      <c r="GL206" s="395"/>
      <c r="GM206" s="395"/>
      <c r="GN206" s="395"/>
      <c r="GO206" s="395"/>
      <c r="GP206" s="395"/>
      <c r="GQ206" s="395"/>
      <c r="GR206" s="395"/>
      <c r="GS206" s="395"/>
      <c r="GT206" s="395"/>
      <c r="GU206" s="395"/>
      <c r="GV206" s="395"/>
      <c r="GW206" s="395"/>
      <c r="GX206" s="395"/>
      <c r="GY206" s="395"/>
      <c r="GZ206" s="395"/>
      <c r="HA206" s="395"/>
      <c r="HB206" s="395"/>
      <c r="HC206" s="395"/>
      <c r="HD206" s="395"/>
      <c r="HE206" s="395"/>
      <c r="HF206" s="395"/>
      <c r="HG206" s="395"/>
      <c r="HH206" s="395"/>
      <c r="HI206" s="395"/>
      <c r="HJ206" s="395"/>
      <c r="HK206" s="395"/>
      <c r="HL206" s="395"/>
      <c r="HM206" s="395"/>
      <c r="HN206" s="395"/>
      <c r="HO206" s="395"/>
      <c r="HP206" s="395"/>
      <c r="HQ206" s="395"/>
      <c r="HR206" s="395"/>
    </row>
    <row r="207" spans="1:226" s="866" customFormat="1" x14ac:dyDescent="0.25">
      <c r="A207" s="395"/>
      <c r="B207" s="395"/>
      <c r="C207" s="395"/>
      <c r="D207" s="395"/>
      <c r="E207" s="395"/>
      <c r="F207" s="395"/>
      <c r="G207" s="395"/>
      <c r="H207" s="395"/>
      <c r="I207" s="395"/>
      <c r="J207" s="395"/>
      <c r="K207" s="395"/>
      <c r="L207" s="395"/>
      <c r="M207" s="395"/>
      <c r="N207" s="395"/>
      <c r="O207" s="395"/>
      <c r="P207" s="395"/>
      <c r="Q207" s="395"/>
      <c r="R207" s="395"/>
      <c r="S207" s="395"/>
      <c r="T207" s="395"/>
      <c r="U207" s="395"/>
      <c r="V207" s="1608"/>
      <c r="W207" s="395"/>
      <c r="X207" s="395"/>
      <c r="Y207" s="395"/>
      <c r="Z207" s="2140"/>
      <c r="AA207" s="395"/>
      <c r="AB207" s="395"/>
      <c r="AC207" s="395"/>
      <c r="AD207" s="395"/>
      <c r="AE207" s="395"/>
      <c r="AF207" s="395"/>
      <c r="AG207" s="395"/>
      <c r="AH207" s="395"/>
      <c r="AI207" s="395"/>
      <c r="AJ207" s="395"/>
      <c r="AK207" s="395"/>
      <c r="AL207" s="395"/>
      <c r="AM207" s="395"/>
      <c r="AN207" s="395"/>
      <c r="AO207" s="395"/>
      <c r="AP207" s="395"/>
      <c r="AQ207" s="395"/>
      <c r="AR207" s="395"/>
      <c r="AS207" s="395"/>
      <c r="AT207" s="395"/>
      <c r="AU207" s="395"/>
      <c r="AV207" s="395"/>
      <c r="AW207" s="395"/>
      <c r="AX207" s="395"/>
      <c r="AY207" s="395"/>
      <c r="AZ207" s="395"/>
      <c r="BA207" s="395"/>
      <c r="BB207" s="395"/>
      <c r="BC207" s="395"/>
      <c r="BD207" s="395"/>
      <c r="BE207" s="395"/>
      <c r="BF207" s="395"/>
      <c r="BG207" s="395"/>
      <c r="BH207" s="395"/>
      <c r="BI207" s="395"/>
      <c r="BJ207" s="395"/>
      <c r="BK207" s="395"/>
      <c r="BL207" s="395"/>
      <c r="BM207" s="395"/>
      <c r="BN207" s="395"/>
      <c r="BO207" s="395"/>
      <c r="BP207" s="395"/>
      <c r="BQ207" s="395"/>
      <c r="BR207" s="395"/>
      <c r="BS207" s="395"/>
      <c r="BT207" s="395"/>
      <c r="BU207" s="395"/>
      <c r="BV207" s="395"/>
      <c r="BW207" s="395"/>
      <c r="BX207" s="395"/>
      <c r="BY207" s="395"/>
      <c r="BZ207" s="395"/>
      <c r="CA207" s="395"/>
      <c r="CB207" s="395"/>
      <c r="CC207" s="395"/>
      <c r="CD207" s="395"/>
      <c r="CE207" s="395"/>
      <c r="CF207" s="395"/>
      <c r="CG207" s="395"/>
      <c r="CH207" s="395"/>
      <c r="CI207" s="395"/>
      <c r="CJ207" s="395"/>
      <c r="CK207" s="395"/>
      <c r="CL207" s="395"/>
      <c r="CM207" s="395"/>
      <c r="CN207" s="395"/>
      <c r="CO207" s="395"/>
      <c r="CP207" s="395"/>
      <c r="CQ207" s="395"/>
      <c r="CR207" s="395"/>
      <c r="CS207" s="395"/>
      <c r="CT207" s="395"/>
      <c r="CU207" s="395"/>
      <c r="CV207" s="395"/>
      <c r="CW207" s="395"/>
      <c r="CX207" s="395"/>
      <c r="CY207" s="395"/>
      <c r="CZ207" s="395"/>
      <c r="DA207" s="395"/>
      <c r="DB207" s="395"/>
      <c r="DC207" s="395"/>
      <c r="DD207" s="395"/>
      <c r="DE207" s="395"/>
      <c r="DF207" s="395"/>
      <c r="DG207" s="395"/>
      <c r="DH207" s="395"/>
      <c r="DI207" s="395"/>
      <c r="DJ207" s="395"/>
      <c r="DK207" s="395"/>
      <c r="DL207" s="395"/>
      <c r="DM207" s="395"/>
      <c r="DN207" s="395"/>
      <c r="DO207" s="395"/>
      <c r="DP207" s="395"/>
      <c r="DQ207" s="395"/>
      <c r="DR207" s="395"/>
      <c r="DS207" s="395"/>
      <c r="DT207" s="395"/>
      <c r="DU207" s="395"/>
      <c r="DV207" s="395"/>
      <c r="DW207" s="395"/>
      <c r="DX207" s="395"/>
      <c r="DY207" s="395"/>
      <c r="DZ207" s="395"/>
      <c r="EA207" s="395"/>
      <c r="EB207" s="395"/>
      <c r="EC207" s="395"/>
      <c r="ED207" s="395"/>
      <c r="EE207" s="395"/>
      <c r="EF207" s="395"/>
      <c r="EG207" s="395"/>
      <c r="EH207" s="395"/>
      <c r="EI207" s="395"/>
      <c r="EJ207" s="395"/>
      <c r="EK207" s="395"/>
      <c r="EL207" s="395"/>
      <c r="EM207" s="395"/>
      <c r="EN207" s="395"/>
      <c r="EO207" s="395"/>
      <c r="EP207" s="395"/>
      <c r="EQ207" s="395"/>
      <c r="ER207" s="395"/>
      <c r="ES207" s="395"/>
      <c r="ET207" s="395"/>
      <c r="EU207" s="395"/>
      <c r="EV207" s="395"/>
      <c r="EW207" s="395"/>
      <c r="EX207" s="395"/>
      <c r="EY207" s="395"/>
      <c r="EZ207" s="395"/>
      <c r="FA207" s="395"/>
      <c r="FB207" s="395"/>
      <c r="FC207" s="395"/>
      <c r="FD207" s="395"/>
      <c r="FE207" s="395"/>
      <c r="FF207" s="395"/>
      <c r="FG207" s="395"/>
      <c r="FH207" s="395"/>
      <c r="FI207" s="395"/>
      <c r="FJ207" s="395"/>
      <c r="FK207" s="395"/>
      <c r="FL207" s="395"/>
      <c r="FM207" s="395"/>
      <c r="FN207" s="395"/>
      <c r="FO207" s="395"/>
      <c r="FP207" s="395"/>
      <c r="FQ207" s="395"/>
      <c r="FR207" s="395"/>
      <c r="FS207" s="395"/>
      <c r="FT207" s="395"/>
      <c r="FU207" s="395"/>
      <c r="FV207" s="395"/>
      <c r="FW207" s="395"/>
      <c r="FX207" s="395"/>
      <c r="FY207" s="395"/>
      <c r="FZ207" s="395"/>
      <c r="GA207" s="395"/>
      <c r="GB207" s="395"/>
      <c r="GC207" s="395"/>
      <c r="GD207" s="395"/>
      <c r="GE207" s="395"/>
      <c r="GF207" s="395"/>
      <c r="GG207" s="395"/>
      <c r="GH207" s="395"/>
      <c r="GI207" s="395"/>
      <c r="GJ207" s="395"/>
      <c r="GK207" s="395"/>
      <c r="GL207" s="395"/>
      <c r="GM207" s="395"/>
      <c r="GN207" s="395"/>
      <c r="GO207" s="395"/>
      <c r="GP207" s="395"/>
      <c r="GQ207" s="395"/>
      <c r="GR207" s="395"/>
      <c r="GS207" s="395"/>
      <c r="GT207" s="395"/>
      <c r="GU207" s="395"/>
      <c r="GV207" s="395"/>
      <c r="GW207" s="395"/>
      <c r="GX207" s="395"/>
      <c r="GY207" s="395"/>
      <c r="GZ207" s="395"/>
      <c r="HA207" s="395"/>
      <c r="HB207" s="395"/>
      <c r="HC207" s="395"/>
      <c r="HD207" s="395"/>
      <c r="HE207" s="395"/>
      <c r="HF207" s="395"/>
      <c r="HG207" s="395"/>
      <c r="HH207" s="395"/>
      <c r="HI207" s="395"/>
      <c r="HJ207" s="395"/>
      <c r="HK207" s="395"/>
      <c r="HL207" s="395"/>
      <c r="HM207" s="395"/>
      <c r="HN207" s="395"/>
      <c r="HO207" s="395"/>
      <c r="HP207" s="395"/>
      <c r="HQ207" s="395"/>
      <c r="HR207" s="395"/>
    </row>
    <row r="208" spans="1:226" s="866" customFormat="1" x14ac:dyDescent="0.25">
      <c r="A208" s="395"/>
      <c r="B208" s="395"/>
      <c r="C208" s="395"/>
      <c r="D208" s="395"/>
      <c r="E208" s="395"/>
      <c r="F208" s="395"/>
      <c r="G208" s="395"/>
      <c r="H208" s="395"/>
      <c r="I208" s="395"/>
      <c r="J208" s="395"/>
      <c r="K208" s="395"/>
      <c r="L208" s="395"/>
      <c r="M208" s="395"/>
      <c r="N208" s="395"/>
      <c r="O208" s="395"/>
      <c r="P208" s="395"/>
      <c r="Q208" s="395"/>
      <c r="R208" s="395"/>
      <c r="S208" s="395"/>
      <c r="T208" s="395"/>
      <c r="U208" s="395"/>
      <c r="V208" s="1608"/>
      <c r="W208" s="395"/>
      <c r="X208" s="395"/>
      <c r="Y208" s="395"/>
      <c r="Z208" s="2140"/>
      <c r="AA208" s="395"/>
      <c r="AB208" s="395"/>
      <c r="AC208" s="395"/>
      <c r="AD208" s="395"/>
      <c r="AE208" s="395"/>
      <c r="AF208" s="395"/>
      <c r="AG208" s="395"/>
      <c r="AH208" s="395"/>
      <c r="AI208" s="395"/>
      <c r="AJ208" s="395"/>
      <c r="AK208" s="395"/>
      <c r="AL208" s="395"/>
      <c r="AM208" s="395"/>
      <c r="AN208" s="395"/>
      <c r="AO208" s="395"/>
      <c r="AP208" s="395"/>
      <c r="AQ208" s="395"/>
      <c r="AR208" s="395"/>
      <c r="AS208" s="395"/>
      <c r="AT208" s="395"/>
      <c r="AU208" s="395"/>
      <c r="AV208" s="395"/>
      <c r="AW208" s="395"/>
      <c r="AX208" s="395"/>
      <c r="AY208" s="395"/>
      <c r="AZ208" s="395"/>
      <c r="BA208" s="395"/>
      <c r="BB208" s="395"/>
      <c r="BC208" s="395"/>
      <c r="BD208" s="395"/>
      <c r="BE208" s="395"/>
      <c r="BF208" s="395"/>
      <c r="BG208" s="395"/>
      <c r="BH208" s="395"/>
      <c r="BI208" s="395"/>
      <c r="BJ208" s="395"/>
      <c r="BK208" s="395"/>
      <c r="BL208" s="395"/>
      <c r="BM208" s="395"/>
      <c r="BN208" s="395"/>
      <c r="BO208" s="395"/>
      <c r="BP208" s="395"/>
      <c r="BQ208" s="395"/>
      <c r="BR208" s="395"/>
      <c r="BS208" s="395"/>
      <c r="BT208" s="395"/>
      <c r="BU208" s="395"/>
      <c r="BV208" s="395"/>
      <c r="BW208" s="395"/>
      <c r="BX208" s="395"/>
      <c r="BY208" s="395"/>
      <c r="BZ208" s="395"/>
      <c r="CA208" s="395"/>
      <c r="CB208" s="395"/>
      <c r="CC208" s="395"/>
      <c r="CD208" s="395"/>
      <c r="CE208" s="395"/>
      <c r="CF208" s="395"/>
      <c r="CG208" s="395"/>
      <c r="CH208" s="395"/>
      <c r="CI208" s="395"/>
      <c r="CJ208" s="395"/>
      <c r="CK208" s="395"/>
      <c r="CL208" s="395"/>
      <c r="CM208" s="395"/>
      <c r="CN208" s="395"/>
      <c r="CO208" s="395"/>
      <c r="CP208" s="395"/>
      <c r="CQ208" s="395"/>
      <c r="CR208" s="395"/>
      <c r="CS208" s="395"/>
      <c r="CT208" s="395"/>
      <c r="CU208" s="395"/>
      <c r="CV208" s="395"/>
      <c r="CW208" s="395"/>
      <c r="CX208" s="395"/>
      <c r="CY208" s="395"/>
      <c r="CZ208" s="395"/>
      <c r="DA208" s="395"/>
      <c r="DB208" s="395"/>
      <c r="DC208" s="395"/>
      <c r="DD208" s="395"/>
      <c r="DE208" s="395"/>
      <c r="DF208" s="395"/>
      <c r="DG208" s="395"/>
      <c r="DH208" s="395"/>
      <c r="DI208" s="395"/>
      <c r="DJ208" s="395"/>
      <c r="DK208" s="395"/>
      <c r="DL208" s="395"/>
      <c r="DM208" s="395"/>
      <c r="DN208" s="395"/>
      <c r="DO208" s="395"/>
      <c r="DP208" s="395"/>
      <c r="DQ208" s="395"/>
      <c r="DR208" s="395"/>
      <c r="DS208" s="395"/>
      <c r="DT208" s="395"/>
      <c r="DU208" s="395"/>
      <c r="DV208" s="395"/>
      <c r="DW208" s="395"/>
      <c r="DX208" s="395"/>
      <c r="DY208" s="395"/>
      <c r="DZ208" s="395"/>
      <c r="EA208" s="395"/>
      <c r="EB208" s="395"/>
      <c r="EC208" s="395"/>
      <c r="ED208" s="395"/>
      <c r="EE208" s="395"/>
      <c r="EF208" s="395"/>
      <c r="EG208" s="395"/>
      <c r="EH208" s="395"/>
      <c r="EI208" s="395"/>
      <c r="EJ208" s="395"/>
      <c r="EK208" s="395"/>
      <c r="EL208" s="395"/>
      <c r="EM208" s="395"/>
      <c r="EN208" s="395"/>
      <c r="EO208" s="395"/>
      <c r="EP208" s="395"/>
      <c r="EQ208" s="395"/>
      <c r="ER208" s="395"/>
      <c r="ES208" s="395"/>
      <c r="ET208" s="395"/>
      <c r="EU208" s="395"/>
      <c r="EV208" s="395"/>
      <c r="EW208" s="395"/>
      <c r="EX208" s="395"/>
      <c r="EY208" s="395"/>
      <c r="EZ208" s="395"/>
      <c r="FA208" s="395"/>
      <c r="FB208" s="395"/>
      <c r="FC208" s="395"/>
      <c r="FD208" s="395"/>
      <c r="FE208" s="395"/>
      <c r="FF208" s="395"/>
      <c r="FG208" s="395"/>
      <c r="FH208" s="395"/>
      <c r="FI208" s="395"/>
      <c r="FJ208" s="395"/>
      <c r="FK208" s="395"/>
      <c r="FL208" s="395"/>
      <c r="FM208" s="395"/>
      <c r="FN208" s="395"/>
      <c r="FO208" s="395"/>
      <c r="FP208" s="395"/>
      <c r="FQ208" s="395"/>
      <c r="FR208" s="395"/>
      <c r="FS208" s="395"/>
      <c r="FT208" s="395"/>
      <c r="FU208" s="395"/>
      <c r="FV208" s="395"/>
      <c r="FW208" s="395"/>
      <c r="FX208" s="395"/>
      <c r="FY208" s="395"/>
      <c r="FZ208" s="395"/>
      <c r="GA208" s="395"/>
      <c r="GB208" s="395"/>
      <c r="GC208" s="395"/>
      <c r="GD208" s="395"/>
      <c r="GE208" s="395"/>
      <c r="GF208" s="395"/>
      <c r="GG208" s="395"/>
      <c r="GH208" s="395"/>
      <c r="GI208" s="395"/>
      <c r="GJ208" s="395"/>
      <c r="GK208" s="395"/>
      <c r="GL208" s="395"/>
      <c r="GM208" s="395"/>
      <c r="GN208" s="395"/>
      <c r="GO208" s="395"/>
      <c r="GP208" s="395"/>
      <c r="GQ208" s="395"/>
      <c r="GR208" s="395"/>
      <c r="GS208" s="395"/>
      <c r="GT208" s="395"/>
      <c r="GU208" s="395"/>
      <c r="GV208" s="395"/>
      <c r="GW208" s="395"/>
      <c r="GX208" s="395"/>
      <c r="GY208" s="395"/>
      <c r="GZ208" s="395"/>
      <c r="HA208" s="395"/>
      <c r="HB208" s="395"/>
      <c r="HC208" s="395"/>
      <c r="HD208" s="395"/>
      <c r="HE208" s="395"/>
      <c r="HF208" s="395"/>
      <c r="HG208" s="395"/>
      <c r="HH208" s="395"/>
      <c r="HI208" s="395"/>
      <c r="HJ208" s="395"/>
      <c r="HK208" s="395"/>
      <c r="HL208" s="395"/>
      <c r="HM208" s="395"/>
      <c r="HN208" s="395"/>
      <c r="HO208" s="395"/>
      <c r="HP208" s="395"/>
      <c r="HQ208" s="395"/>
      <c r="HR208" s="395"/>
    </row>
    <row r="209" spans="1:226" s="866" customFormat="1" x14ac:dyDescent="0.25">
      <c r="A209" s="395"/>
      <c r="B209" s="395"/>
      <c r="C209" s="395"/>
      <c r="D209" s="395"/>
      <c r="E209" s="395"/>
      <c r="F209" s="395"/>
      <c r="G209" s="395"/>
      <c r="H209" s="395"/>
      <c r="I209" s="395"/>
      <c r="J209" s="395"/>
      <c r="K209" s="395"/>
      <c r="L209" s="395"/>
      <c r="M209" s="395"/>
      <c r="N209" s="395"/>
      <c r="O209" s="395"/>
      <c r="P209" s="395"/>
      <c r="Q209" s="395"/>
      <c r="R209" s="395"/>
      <c r="S209" s="395"/>
      <c r="T209" s="395"/>
      <c r="U209" s="395"/>
      <c r="V209" s="1608"/>
      <c r="W209" s="395"/>
      <c r="X209" s="395"/>
      <c r="Y209" s="395"/>
      <c r="Z209" s="2140"/>
      <c r="AA209" s="395"/>
      <c r="AB209" s="395"/>
      <c r="AC209" s="395"/>
      <c r="AD209" s="395"/>
      <c r="AE209" s="395"/>
      <c r="AF209" s="395"/>
      <c r="AG209" s="395"/>
      <c r="AH209" s="395"/>
      <c r="AI209" s="395"/>
      <c r="AJ209" s="395"/>
      <c r="AK209" s="395"/>
      <c r="AL209" s="395"/>
      <c r="AM209" s="395"/>
      <c r="AN209" s="395"/>
      <c r="AO209" s="395"/>
      <c r="AP209" s="395"/>
      <c r="AQ209" s="395"/>
      <c r="AR209" s="395"/>
      <c r="AS209" s="395"/>
      <c r="AT209" s="395"/>
      <c r="AU209" s="395"/>
      <c r="AV209" s="395"/>
      <c r="AW209" s="395"/>
      <c r="AX209" s="395"/>
      <c r="AY209" s="395"/>
      <c r="AZ209" s="395"/>
      <c r="BA209" s="395"/>
      <c r="BB209" s="395"/>
      <c r="BC209" s="395"/>
      <c r="BD209" s="395"/>
      <c r="BE209" s="395"/>
      <c r="BF209" s="395"/>
      <c r="BG209" s="395"/>
      <c r="BH209" s="395"/>
      <c r="BI209" s="395"/>
      <c r="BJ209" s="395"/>
      <c r="BK209" s="395"/>
      <c r="BL209" s="395"/>
      <c r="BM209" s="395"/>
      <c r="BN209" s="395"/>
      <c r="BO209" s="395"/>
      <c r="BP209" s="395"/>
      <c r="BQ209" s="395"/>
      <c r="BR209" s="395"/>
      <c r="BS209" s="395"/>
      <c r="BT209" s="395"/>
      <c r="BU209" s="395"/>
      <c r="BV209" s="395"/>
      <c r="BW209" s="395"/>
      <c r="BX209" s="395"/>
      <c r="BY209" s="395"/>
      <c r="BZ209" s="395"/>
      <c r="CA209" s="395"/>
      <c r="CB209" s="395"/>
      <c r="CC209" s="395"/>
      <c r="CD209" s="395"/>
      <c r="CE209" s="395"/>
      <c r="CF209" s="395"/>
      <c r="CG209" s="395"/>
      <c r="CH209" s="395"/>
      <c r="CI209" s="395"/>
      <c r="CJ209" s="395"/>
      <c r="CK209" s="395"/>
      <c r="CL209" s="395"/>
      <c r="CM209" s="395"/>
      <c r="CN209" s="395"/>
      <c r="CO209" s="395"/>
      <c r="CP209" s="395"/>
      <c r="CQ209" s="395"/>
      <c r="CR209" s="395"/>
      <c r="CS209" s="395"/>
      <c r="CT209" s="395"/>
      <c r="CU209" s="395"/>
      <c r="CV209" s="395"/>
      <c r="CW209" s="395"/>
      <c r="CX209" s="395"/>
      <c r="CY209" s="395"/>
      <c r="CZ209" s="395"/>
      <c r="DA209" s="395"/>
      <c r="DB209" s="395"/>
      <c r="DC209" s="395"/>
      <c r="DD209" s="395"/>
      <c r="DE209" s="395"/>
      <c r="DF209" s="395"/>
      <c r="DG209" s="395"/>
      <c r="DH209" s="395"/>
      <c r="DI209" s="395"/>
      <c r="DJ209" s="395"/>
      <c r="DK209" s="395"/>
      <c r="DL209" s="395"/>
      <c r="DM209" s="395"/>
      <c r="DN209" s="395"/>
      <c r="DO209" s="395"/>
      <c r="DP209" s="395"/>
      <c r="DQ209" s="395"/>
      <c r="DR209" s="395"/>
      <c r="DS209" s="395"/>
      <c r="DT209" s="395"/>
      <c r="DU209" s="395"/>
      <c r="DV209" s="395"/>
      <c r="DW209" s="395"/>
      <c r="DX209" s="395"/>
      <c r="DY209" s="395"/>
      <c r="DZ209" s="395"/>
      <c r="EA209" s="395"/>
      <c r="EB209" s="395"/>
      <c r="EC209" s="395"/>
      <c r="ED209" s="395"/>
      <c r="EE209" s="395"/>
      <c r="EF209" s="395"/>
      <c r="EG209" s="395"/>
      <c r="EH209" s="395"/>
      <c r="EI209" s="395"/>
      <c r="EJ209" s="395"/>
      <c r="EK209" s="395"/>
      <c r="EL209" s="395"/>
      <c r="EM209" s="395"/>
      <c r="EN209" s="395"/>
      <c r="EO209" s="395"/>
      <c r="EP209" s="395"/>
      <c r="EQ209" s="395"/>
      <c r="ER209" s="395"/>
      <c r="ES209" s="395"/>
      <c r="ET209" s="395"/>
      <c r="EU209" s="395"/>
      <c r="EV209" s="395"/>
      <c r="EW209" s="395"/>
      <c r="EX209" s="395"/>
      <c r="EY209" s="395"/>
      <c r="EZ209" s="395"/>
      <c r="FA209" s="395"/>
      <c r="FB209" s="395"/>
      <c r="FC209" s="395"/>
      <c r="FD209" s="395"/>
      <c r="FE209" s="395"/>
      <c r="FF209" s="395"/>
      <c r="FG209" s="395"/>
      <c r="FH209" s="395"/>
      <c r="FI209" s="395"/>
      <c r="FJ209" s="395"/>
      <c r="FK209" s="395"/>
      <c r="FL209" s="395"/>
      <c r="FM209" s="395"/>
      <c r="FN209" s="395"/>
      <c r="FO209" s="395"/>
      <c r="FP209" s="395"/>
      <c r="FQ209" s="395"/>
      <c r="FR209" s="395"/>
      <c r="FS209" s="395"/>
      <c r="FT209" s="395"/>
      <c r="FU209" s="395"/>
      <c r="FV209" s="395"/>
      <c r="FW209" s="395"/>
      <c r="FX209" s="395"/>
      <c r="FY209" s="395"/>
      <c r="FZ209" s="395"/>
      <c r="GA209" s="395"/>
      <c r="GB209" s="395"/>
      <c r="GC209" s="395"/>
      <c r="GD209" s="395"/>
      <c r="GE209" s="395"/>
      <c r="GF209" s="395"/>
      <c r="GG209" s="395"/>
      <c r="GH209" s="395"/>
      <c r="GI209" s="395"/>
      <c r="GJ209" s="395"/>
      <c r="GK209" s="395"/>
      <c r="GL209" s="395"/>
      <c r="GM209" s="395"/>
      <c r="GN209" s="395"/>
      <c r="GO209" s="395"/>
      <c r="GP209" s="395"/>
      <c r="GQ209" s="395"/>
      <c r="GR209" s="395"/>
      <c r="GS209" s="395"/>
      <c r="GT209" s="395"/>
      <c r="GU209" s="395"/>
      <c r="GV209" s="395"/>
      <c r="GW209" s="395"/>
      <c r="GX209" s="395"/>
      <c r="GY209" s="395"/>
      <c r="GZ209" s="395"/>
      <c r="HA209" s="395"/>
      <c r="HB209" s="395"/>
      <c r="HC209" s="395"/>
      <c r="HD209" s="395"/>
      <c r="HE209" s="395"/>
      <c r="HF209" s="395"/>
      <c r="HG209" s="395"/>
      <c r="HH209" s="395"/>
      <c r="HI209" s="395"/>
      <c r="HJ209" s="395"/>
      <c r="HK209" s="395"/>
      <c r="HL209" s="395"/>
      <c r="HM209" s="395"/>
      <c r="HN209" s="395"/>
      <c r="HO209" s="395"/>
      <c r="HP209" s="395"/>
      <c r="HQ209" s="395"/>
      <c r="HR209" s="395"/>
    </row>
    <row r="210" spans="1:226" s="866" customFormat="1" x14ac:dyDescent="0.25">
      <c r="A210" s="395"/>
      <c r="B210" s="395"/>
      <c r="C210" s="395"/>
      <c r="D210" s="395"/>
      <c r="E210" s="395"/>
      <c r="F210" s="395"/>
      <c r="G210" s="395"/>
      <c r="H210" s="395"/>
      <c r="I210" s="395"/>
      <c r="J210" s="395"/>
      <c r="K210" s="395"/>
      <c r="L210" s="395"/>
      <c r="M210" s="395"/>
      <c r="N210" s="395"/>
      <c r="O210" s="395"/>
      <c r="P210" s="395"/>
      <c r="Q210" s="395"/>
      <c r="R210" s="395"/>
      <c r="S210" s="395"/>
      <c r="T210" s="395"/>
      <c r="U210" s="395"/>
      <c r="V210" s="1608"/>
      <c r="W210" s="395"/>
      <c r="X210" s="395"/>
      <c r="Y210" s="395"/>
      <c r="Z210" s="2140"/>
      <c r="AA210" s="395"/>
      <c r="AB210" s="395"/>
      <c r="AC210" s="395"/>
      <c r="AD210" s="395"/>
      <c r="AE210" s="395"/>
      <c r="AF210" s="395"/>
      <c r="AG210" s="395"/>
      <c r="AH210" s="395"/>
      <c r="AI210" s="395"/>
      <c r="AJ210" s="395"/>
      <c r="AK210" s="395"/>
      <c r="AL210" s="395"/>
      <c r="AM210" s="395"/>
      <c r="AN210" s="395"/>
      <c r="AO210" s="395"/>
      <c r="AP210" s="395"/>
      <c r="AQ210" s="395"/>
      <c r="AR210" s="395"/>
      <c r="AS210" s="395"/>
      <c r="AT210" s="395"/>
      <c r="AU210" s="395"/>
      <c r="AV210" s="395"/>
      <c r="AW210" s="395"/>
      <c r="AX210" s="395"/>
      <c r="AY210" s="395"/>
      <c r="AZ210" s="395"/>
      <c r="BA210" s="395"/>
      <c r="BB210" s="395"/>
      <c r="BC210" s="395"/>
      <c r="BD210" s="395"/>
      <c r="BE210" s="395"/>
      <c r="BF210" s="395"/>
      <c r="BG210" s="395"/>
      <c r="BH210" s="395"/>
      <c r="BI210" s="395"/>
      <c r="BJ210" s="395"/>
      <c r="BK210" s="395"/>
      <c r="BL210" s="395"/>
      <c r="BM210" s="395"/>
      <c r="BN210" s="395"/>
      <c r="BO210" s="395"/>
      <c r="BP210" s="395"/>
      <c r="BQ210" s="395"/>
      <c r="BR210" s="395"/>
      <c r="BS210" s="395"/>
      <c r="BT210" s="395"/>
      <c r="BU210" s="395"/>
      <c r="BV210" s="395"/>
      <c r="BW210" s="395"/>
      <c r="BX210" s="395"/>
      <c r="BY210" s="395"/>
      <c r="BZ210" s="395"/>
      <c r="CA210" s="395"/>
      <c r="CB210" s="395"/>
      <c r="CC210" s="395"/>
      <c r="CD210" s="395"/>
      <c r="CE210" s="395"/>
      <c r="CF210" s="395"/>
      <c r="CG210" s="395"/>
      <c r="CH210" s="395"/>
      <c r="CI210" s="395"/>
      <c r="CJ210" s="395"/>
      <c r="CK210" s="395"/>
      <c r="CL210" s="395"/>
      <c r="CM210" s="395"/>
      <c r="CN210" s="395"/>
      <c r="CO210" s="395"/>
      <c r="CP210" s="395"/>
      <c r="CQ210" s="395"/>
      <c r="CR210" s="395"/>
      <c r="CS210" s="395"/>
      <c r="CT210" s="395"/>
      <c r="CU210" s="395"/>
      <c r="CV210" s="395"/>
      <c r="CW210" s="395"/>
      <c r="CX210" s="395"/>
      <c r="CY210" s="395"/>
      <c r="CZ210" s="395"/>
      <c r="DA210" s="395"/>
      <c r="DB210" s="395"/>
      <c r="DC210" s="395"/>
      <c r="DD210" s="395"/>
      <c r="DE210" s="395"/>
      <c r="DF210" s="395"/>
      <c r="DG210" s="395"/>
      <c r="DH210" s="395"/>
      <c r="DI210" s="395"/>
      <c r="DJ210" s="395"/>
      <c r="DK210" s="395"/>
      <c r="DL210" s="395"/>
      <c r="DM210" s="395"/>
      <c r="DN210" s="395"/>
      <c r="DO210" s="395"/>
      <c r="DP210" s="395"/>
      <c r="DQ210" s="395"/>
      <c r="DR210" s="395"/>
      <c r="DS210" s="395"/>
      <c r="DT210" s="395"/>
      <c r="DU210" s="395"/>
      <c r="DV210" s="395"/>
      <c r="DW210" s="395"/>
      <c r="DX210" s="395"/>
      <c r="DY210" s="395"/>
      <c r="DZ210" s="395"/>
      <c r="EA210" s="395"/>
      <c r="EB210" s="395"/>
      <c r="EC210" s="395"/>
      <c r="ED210" s="395"/>
      <c r="EE210" s="395"/>
      <c r="EF210" s="395"/>
      <c r="EG210" s="395"/>
      <c r="EH210" s="395"/>
      <c r="EI210" s="395"/>
      <c r="EJ210" s="395"/>
      <c r="EK210" s="395"/>
      <c r="EL210" s="395"/>
      <c r="EM210" s="395"/>
      <c r="EN210" s="395"/>
      <c r="EO210" s="395"/>
      <c r="EP210" s="395"/>
      <c r="EQ210" s="395"/>
      <c r="ER210" s="395"/>
      <c r="ES210" s="395"/>
      <c r="ET210" s="395"/>
      <c r="EU210" s="395"/>
      <c r="EV210" s="395"/>
      <c r="EW210" s="395"/>
      <c r="EX210" s="395"/>
      <c r="EY210" s="395"/>
      <c r="EZ210" s="395"/>
      <c r="FA210" s="395"/>
      <c r="FB210" s="395"/>
      <c r="FC210" s="395"/>
      <c r="FD210" s="395"/>
      <c r="FE210" s="395"/>
      <c r="FF210" s="395"/>
      <c r="FG210" s="395"/>
      <c r="FH210" s="395"/>
      <c r="FI210" s="395"/>
      <c r="FJ210" s="395"/>
      <c r="FK210" s="395"/>
      <c r="FL210" s="395"/>
      <c r="FM210" s="395"/>
      <c r="FN210" s="395"/>
      <c r="FO210" s="395"/>
      <c r="FP210" s="395"/>
      <c r="FQ210" s="395"/>
      <c r="FR210" s="395"/>
      <c r="FS210" s="395"/>
      <c r="FT210" s="395"/>
      <c r="FU210" s="395"/>
      <c r="FV210" s="395"/>
      <c r="FW210" s="395"/>
      <c r="FX210" s="395"/>
      <c r="FY210" s="395"/>
      <c r="FZ210" s="395"/>
      <c r="GA210" s="395"/>
      <c r="GB210" s="395"/>
      <c r="GC210" s="395"/>
      <c r="GD210" s="395"/>
      <c r="GE210" s="395"/>
      <c r="GF210" s="395"/>
      <c r="GG210" s="395"/>
      <c r="GH210" s="395"/>
      <c r="GI210" s="395"/>
      <c r="GJ210" s="395"/>
      <c r="GK210" s="395"/>
      <c r="GL210" s="395"/>
      <c r="GM210" s="395"/>
      <c r="GN210" s="395"/>
      <c r="GO210" s="395"/>
      <c r="GP210" s="395"/>
      <c r="GQ210" s="395"/>
      <c r="GR210" s="395"/>
      <c r="GS210" s="395"/>
      <c r="GT210" s="395"/>
      <c r="GU210" s="395"/>
      <c r="GV210" s="395"/>
      <c r="GW210" s="395"/>
      <c r="GX210" s="395"/>
      <c r="GY210" s="395"/>
      <c r="GZ210" s="395"/>
      <c r="HA210" s="395"/>
      <c r="HB210" s="395"/>
      <c r="HC210" s="395"/>
      <c r="HD210" s="395"/>
      <c r="HE210" s="395"/>
      <c r="HF210" s="395"/>
      <c r="HG210" s="395"/>
      <c r="HH210" s="395"/>
      <c r="HI210" s="395"/>
      <c r="HJ210" s="395"/>
      <c r="HK210" s="395"/>
      <c r="HL210" s="395"/>
      <c r="HM210" s="395"/>
      <c r="HN210" s="395"/>
      <c r="HO210" s="395"/>
      <c r="HP210" s="395"/>
      <c r="HQ210" s="395"/>
      <c r="HR210" s="395"/>
    </row>
    <row r="211" spans="1:226" s="866" customFormat="1" x14ac:dyDescent="0.25">
      <c r="A211" s="395"/>
      <c r="B211" s="395"/>
      <c r="C211" s="395"/>
      <c r="D211" s="395"/>
      <c r="E211" s="395"/>
      <c r="F211" s="395"/>
      <c r="G211" s="395"/>
      <c r="H211" s="395"/>
      <c r="I211" s="395"/>
      <c r="J211" s="395"/>
      <c r="K211" s="395"/>
      <c r="L211" s="395"/>
      <c r="M211" s="395"/>
      <c r="N211" s="395"/>
      <c r="O211" s="395"/>
      <c r="P211" s="395"/>
      <c r="Q211" s="395"/>
      <c r="R211" s="395"/>
      <c r="S211" s="395"/>
      <c r="T211" s="395"/>
      <c r="U211" s="395"/>
      <c r="V211" s="1608"/>
      <c r="W211" s="395"/>
      <c r="X211" s="395"/>
      <c r="Y211" s="395"/>
      <c r="Z211" s="2140"/>
      <c r="AA211" s="395"/>
      <c r="AB211" s="395"/>
      <c r="AC211" s="395"/>
      <c r="AD211" s="395"/>
      <c r="AE211" s="395"/>
      <c r="AF211" s="395"/>
      <c r="AG211" s="395"/>
      <c r="AH211" s="395"/>
      <c r="AI211" s="395"/>
      <c r="AJ211" s="395"/>
      <c r="AK211" s="395"/>
      <c r="AL211" s="395"/>
      <c r="AM211" s="395"/>
      <c r="AN211" s="395"/>
      <c r="AO211" s="395"/>
      <c r="AP211" s="395"/>
      <c r="AQ211" s="395"/>
      <c r="AR211" s="395"/>
      <c r="AS211" s="395"/>
      <c r="AT211" s="395"/>
      <c r="AU211" s="395"/>
      <c r="AV211" s="395"/>
      <c r="AW211" s="395"/>
      <c r="AX211" s="395"/>
      <c r="AY211" s="395"/>
      <c r="AZ211" s="395"/>
      <c r="BA211" s="395"/>
      <c r="BB211" s="395"/>
      <c r="BC211" s="395"/>
      <c r="BD211" s="395"/>
      <c r="BE211" s="395"/>
      <c r="BF211" s="395"/>
      <c r="BG211" s="395"/>
      <c r="BH211" s="395"/>
      <c r="BI211" s="395"/>
      <c r="BJ211" s="395"/>
      <c r="BK211" s="395"/>
      <c r="BL211" s="395"/>
      <c r="BM211" s="395"/>
      <c r="BN211" s="395"/>
      <c r="BO211" s="395"/>
      <c r="BP211" s="395"/>
      <c r="BQ211" s="395"/>
      <c r="BR211" s="395"/>
      <c r="BS211" s="395"/>
      <c r="BT211" s="395"/>
      <c r="BU211" s="395"/>
      <c r="BV211" s="395"/>
      <c r="BW211" s="395"/>
      <c r="BX211" s="395"/>
      <c r="BY211" s="395"/>
      <c r="BZ211" s="395"/>
      <c r="CA211" s="395"/>
      <c r="CB211" s="395"/>
      <c r="CC211" s="395"/>
      <c r="CD211" s="395"/>
      <c r="CE211" s="395"/>
      <c r="CF211" s="395"/>
      <c r="CG211" s="395"/>
      <c r="CH211" s="395"/>
      <c r="CI211" s="395"/>
      <c r="CJ211" s="395"/>
      <c r="CK211" s="395"/>
      <c r="CL211" s="395"/>
      <c r="CM211" s="395"/>
      <c r="CN211" s="395"/>
      <c r="CO211" s="395"/>
      <c r="CP211" s="395"/>
      <c r="CQ211" s="395"/>
      <c r="CR211" s="395"/>
      <c r="CS211" s="395"/>
      <c r="CT211" s="395"/>
      <c r="CU211" s="395"/>
      <c r="CV211" s="395"/>
      <c r="CW211" s="395"/>
      <c r="CX211" s="395"/>
      <c r="CY211" s="395"/>
      <c r="CZ211" s="395"/>
      <c r="DA211" s="395"/>
      <c r="DB211" s="395"/>
      <c r="DC211" s="395"/>
      <c r="DD211" s="395"/>
      <c r="DE211" s="395"/>
      <c r="DF211" s="395"/>
      <c r="DG211" s="395"/>
      <c r="DH211" s="395"/>
      <c r="DI211" s="395"/>
      <c r="DJ211" s="395"/>
      <c r="DK211" s="395"/>
      <c r="DL211" s="395"/>
      <c r="DM211" s="395"/>
      <c r="DN211" s="395"/>
      <c r="DO211" s="395"/>
      <c r="DP211" s="395"/>
      <c r="DQ211" s="395"/>
      <c r="DR211" s="395"/>
      <c r="DS211" s="395"/>
      <c r="DT211" s="395"/>
      <c r="DU211" s="395"/>
      <c r="DV211" s="395"/>
      <c r="DW211" s="395"/>
      <c r="DX211" s="395"/>
      <c r="DY211" s="395"/>
      <c r="DZ211" s="395"/>
      <c r="EA211" s="395"/>
      <c r="EB211" s="395"/>
      <c r="EC211" s="395"/>
      <c r="ED211" s="395"/>
      <c r="EE211" s="395"/>
      <c r="EF211" s="395"/>
      <c r="EG211" s="395"/>
      <c r="EH211" s="395"/>
      <c r="EI211" s="395"/>
      <c r="EJ211" s="395"/>
      <c r="EK211" s="395"/>
      <c r="EL211" s="395"/>
      <c r="EM211" s="395"/>
      <c r="EN211" s="395"/>
      <c r="EO211" s="395"/>
      <c r="EP211" s="395"/>
      <c r="EQ211" s="395"/>
      <c r="ER211" s="395"/>
      <c r="ES211" s="395"/>
      <c r="ET211" s="395"/>
      <c r="EU211" s="395"/>
      <c r="EV211" s="395"/>
      <c r="EW211" s="395"/>
      <c r="EX211" s="395"/>
      <c r="EY211" s="395"/>
      <c r="EZ211" s="395"/>
      <c r="FA211" s="395"/>
      <c r="FB211" s="395"/>
      <c r="FC211" s="395"/>
      <c r="FD211" s="395"/>
      <c r="FE211" s="395"/>
      <c r="FF211" s="395"/>
      <c r="FG211" s="395"/>
      <c r="FH211" s="395"/>
      <c r="FI211" s="395"/>
      <c r="FJ211" s="395"/>
      <c r="FK211" s="395"/>
      <c r="FL211" s="395"/>
      <c r="FM211" s="395"/>
      <c r="FN211" s="395"/>
      <c r="FO211" s="395"/>
      <c r="FP211" s="395"/>
      <c r="FQ211" s="395"/>
      <c r="FR211" s="395"/>
      <c r="FS211" s="395"/>
      <c r="FT211" s="395"/>
      <c r="FU211" s="395"/>
      <c r="FV211" s="395"/>
      <c r="FW211" s="395"/>
      <c r="FX211" s="395"/>
      <c r="FY211" s="395"/>
      <c r="FZ211" s="395"/>
      <c r="GA211" s="395"/>
      <c r="GB211" s="395"/>
      <c r="GC211" s="395"/>
      <c r="GD211" s="395"/>
      <c r="GE211" s="395"/>
      <c r="GF211" s="395"/>
      <c r="GG211" s="395"/>
      <c r="GH211" s="395"/>
      <c r="GI211" s="395"/>
      <c r="GJ211" s="395"/>
      <c r="GK211" s="395"/>
      <c r="GL211" s="395"/>
      <c r="GM211" s="395"/>
      <c r="GN211" s="395"/>
      <c r="GO211" s="395"/>
      <c r="GP211" s="395"/>
      <c r="GQ211" s="395"/>
      <c r="GR211" s="395"/>
      <c r="GS211" s="395"/>
      <c r="GT211" s="395"/>
      <c r="GU211" s="395"/>
      <c r="GV211" s="395"/>
      <c r="GW211" s="395"/>
      <c r="GX211" s="395"/>
      <c r="GY211" s="395"/>
      <c r="GZ211" s="395"/>
      <c r="HA211" s="395"/>
      <c r="HB211" s="395"/>
      <c r="HC211" s="395"/>
      <c r="HD211" s="395"/>
      <c r="HE211" s="395"/>
      <c r="HF211" s="395"/>
      <c r="HG211" s="395"/>
      <c r="HH211" s="395"/>
      <c r="HI211" s="395"/>
      <c r="HJ211" s="395"/>
      <c r="HK211" s="395"/>
      <c r="HL211" s="395"/>
      <c r="HM211" s="395"/>
      <c r="HN211" s="395"/>
      <c r="HO211" s="395"/>
      <c r="HP211" s="395"/>
      <c r="HQ211" s="395"/>
      <c r="HR211" s="395"/>
    </row>
    <row r="212" spans="1:226" s="866" customFormat="1" x14ac:dyDescent="0.25">
      <c r="A212" s="395"/>
      <c r="B212" s="395"/>
      <c r="C212" s="395"/>
      <c r="D212" s="395"/>
      <c r="E212" s="395"/>
      <c r="F212" s="395"/>
      <c r="G212" s="395"/>
      <c r="H212" s="395"/>
      <c r="I212" s="395"/>
      <c r="J212" s="395"/>
      <c r="K212" s="395"/>
      <c r="L212" s="395"/>
      <c r="M212" s="395"/>
      <c r="N212" s="395"/>
      <c r="O212" s="395"/>
      <c r="P212" s="395"/>
      <c r="Q212" s="395"/>
      <c r="R212" s="395"/>
      <c r="S212" s="395"/>
      <c r="T212" s="395"/>
      <c r="U212" s="395"/>
      <c r="V212" s="1608"/>
      <c r="W212" s="395"/>
      <c r="X212" s="395"/>
      <c r="Y212" s="395"/>
      <c r="Z212" s="2140"/>
      <c r="AA212" s="395"/>
      <c r="AB212" s="395"/>
      <c r="AC212" s="395"/>
      <c r="AD212" s="395"/>
      <c r="AE212" s="395"/>
      <c r="AF212" s="395"/>
      <c r="AG212" s="395"/>
      <c r="AH212" s="395"/>
      <c r="AI212" s="395"/>
      <c r="AJ212" s="395"/>
      <c r="AK212" s="395"/>
      <c r="AL212" s="395"/>
      <c r="AM212" s="395"/>
      <c r="AN212" s="395"/>
      <c r="AO212" s="395"/>
      <c r="AP212" s="395"/>
      <c r="AQ212" s="395"/>
      <c r="AR212" s="395"/>
      <c r="AS212" s="395"/>
      <c r="AT212" s="395"/>
      <c r="AU212" s="395"/>
      <c r="AV212" s="395"/>
      <c r="AW212" s="395"/>
      <c r="AX212" s="395"/>
      <c r="AY212" s="395"/>
      <c r="AZ212" s="395"/>
      <c r="BA212" s="395"/>
      <c r="BB212" s="395"/>
      <c r="BC212" s="395"/>
      <c r="BD212" s="395"/>
      <c r="BE212" s="395"/>
      <c r="BF212" s="395"/>
      <c r="BG212" s="395"/>
      <c r="BH212" s="395"/>
      <c r="BI212" s="395"/>
      <c r="BJ212" s="395"/>
      <c r="BK212" s="395"/>
      <c r="BL212" s="395"/>
      <c r="BM212" s="395"/>
      <c r="BN212" s="395"/>
      <c r="BO212" s="395"/>
      <c r="BP212" s="395"/>
      <c r="BQ212" s="395"/>
      <c r="BR212" s="395"/>
      <c r="BS212" s="395"/>
      <c r="BT212" s="395"/>
      <c r="BU212" s="395"/>
      <c r="BV212" s="395"/>
      <c r="BW212" s="395"/>
      <c r="BX212" s="395"/>
      <c r="BY212" s="395"/>
      <c r="BZ212" s="395"/>
      <c r="CA212" s="395"/>
      <c r="CB212" s="395"/>
      <c r="CC212" s="395"/>
      <c r="CD212" s="395"/>
      <c r="CE212" s="395"/>
      <c r="CF212" s="395"/>
      <c r="CG212" s="395"/>
      <c r="CH212" s="395"/>
      <c r="CI212" s="395"/>
      <c r="CJ212" s="395"/>
      <c r="CK212" s="395"/>
      <c r="CL212" s="395"/>
      <c r="CM212" s="395"/>
      <c r="CN212" s="395"/>
      <c r="CO212" s="395"/>
      <c r="CP212" s="395"/>
      <c r="CQ212" s="395"/>
      <c r="CR212" s="395"/>
      <c r="CS212" s="395"/>
      <c r="CT212" s="395"/>
      <c r="CU212" s="395"/>
      <c r="CV212" s="395"/>
      <c r="CW212" s="395"/>
      <c r="CX212" s="395"/>
      <c r="CY212" s="395"/>
      <c r="CZ212" s="395"/>
      <c r="DA212" s="395"/>
      <c r="DB212" s="395"/>
      <c r="DC212" s="395"/>
      <c r="DD212" s="395"/>
      <c r="DE212" s="395"/>
      <c r="DF212" s="395"/>
      <c r="DG212" s="395"/>
      <c r="DH212" s="395"/>
      <c r="DI212" s="395"/>
      <c r="DJ212" s="395"/>
      <c r="DK212" s="395"/>
      <c r="DL212" s="395"/>
      <c r="DM212" s="395"/>
      <c r="DN212" s="395"/>
      <c r="DO212" s="395"/>
      <c r="DP212" s="395"/>
      <c r="DQ212" s="395"/>
      <c r="DR212" s="395"/>
      <c r="DS212" s="395"/>
      <c r="DT212" s="395"/>
      <c r="DU212" s="395"/>
      <c r="DV212" s="395"/>
      <c r="DW212" s="395"/>
      <c r="DX212" s="395"/>
      <c r="DY212" s="395"/>
      <c r="DZ212" s="395"/>
      <c r="EA212" s="395"/>
      <c r="EB212" s="395"/>
      <c r="EC212" s="395"/>
      <c r="ED212" s="395"/>
      <c r="EE212" s="395"/>
      <c r="EF212" s="395"/>
      <c r="EG212" s="395"/>
      <c r="EH212" s="395"/>
      <c r="EI212" s="395"/>
      <c r="EJ212" s="395"/>
      <c r="EK212" s="395"/>
      <c r="EL212" s="395"/>
      <c r="EM212" s="395"/>
      <c r="EN212" s="395"/>
      <c r="EO212" s="395"/>
      <c r="EP212" s="395"/>
      <c r="EQ212" s="395"/>
      <c r="ER212" s="395"/>
      <c r="ES212" s="395"/>
      <c r="ET212" s="395"/>
      <c r="EU212" s="395"/>
      <c r="EV212" s="395"/>
      <c r="EW212" s="395"/>
      <c r="EX212" s="395"/>
      <c r="EY212" s="395"/>
      <c r="EZ212" s="395"/>
      <c r="FA212" s="395"/>
      <c r="FB212" s="395"/>
      <c r="FC212" s="395"/>
      <c r="FD212" s="395"/>
      <c r="FE212" s="395"/>
      <c r="FF212" s="395"/>
      <c r="FG212" s="395"/>
      <c r="FH212" s="395"/>
      <c r="FI212" s="395"/>
      <c r="FJ212" s="395"/>
      <c r="FK212" s="395"/>
      <c r="FL212" s="395"/>
      <c r="FM212" s="395"/>
      <c r="FN212" s="395"/>
      <c r="FO212" s="395"/>
      <c r="FP212" s="395"/>
      <c r="FQ212" s="395"/>
      <c r="FR212" s="395"/>
      <c r="FS212" s="395"/>
      <c r="FT212" s="395"/>
      <c r="FU212" s="395"/>
      <c r="FV212" s="395"/>
      <c r="FW212" s="395"/>
      <c r="FX212" s="395"/>
      <c r="FY212" s="395"/>
      <c r="FZ212" s="395"/>
      <c r="GA212" s="395"/>
      <c r="GB212" s="395"/>
      <c r="GC212" s="395"/>
      <c r="GD212" s="395"/>
      <c r="GE212" s="395"/>
      <c r="GF212" s="395"/>
      <c r="GG212" s="395"/>
      <c r="GH212" s="395"/>
      <c r="GI212" s="395"/>
      <c r="GJ212" s="395"/>
      <c r="GK212" s="395"/>
      <c r="GL212" s="395"/>
      <c r="GM212" s="395"/>
      <c r="GN212" s="395"/>
      <c r="GO212" s="395"/>
      <c r="GP212" s="395"/>
      <c r="GQ212" s="395"/>
      <c r="GR212" s="395"/>
      <c r="GS212" s="395"/>
      <c r="GT212" s="395"/>
      <c r="GU212" s="395"/>
      <c r="GV212" s="395"/>
      <c r="GW212" s="395"/>
      <c r="GX212" s="395"/>
      <c r="GY212" s="395"/>
      <c r="GZ212" s="395"/>
      <c r="HA212" s="395"/>
      <c r="HB212" s="395"/>
      <c r="HC212" s="395"/>
      <c r="HD212" s="395"/>
      <c r="HE212" s="395"/>
      <c r="HF212" s="395"/>
      <c r="HG212" s="395"/>
      <c r="HH212" s="395"/>
      <c r="HI212" s="395"/>
      <c r="HJ212" s="395"/>
      <c r="HK212" s="395"/>
      <c r="HL212" s="395"/>
      <c r="HM212" s="395"/>
      <c r="HN212" s="395"/>
      <c r="HO212" s="395"/>
      <c r="HP212" s="395"/>
      <c r="HQ212" s="395"/>
      <c r="HR212" s="395"/>
    </row>
    <row r="213" spans="1:226" s="866" customFormat="1" x14ac:dyDescent="0.25">
      <c r="A213" s="395"/>
      <c r="B213" s="395"/>
      <c r="C213" s="395"/>
      <c r="D213" s="395"/>
      <c r="E213" s="395"/>
      <c r="F213" s="395"/>
      <c r="G213" s="395"/>
      <c r="H213" s="395"/>
      <c r="I213" s="395"/>
      <c r="J213" s="395"/>
      <c r="K213" s="395"/>
      <c r="L213" s="395"/>
      <c r="M213" s="395"/>
      <c r="N213" s="395"/>
      <c r="O213" s="395"/>
      <c r="P213" s="395"/>
      <c r="Q213" s="395"/>
      <c r="R213" s="395"/>
      <c r="S213" s="395"/>
      <c r="T213" s="395"/>
      <c r="U213" s="395"/>
      <c r="V213" s="1608"/>
      <c r="W213" s="395"/>
      <c r="X213" s="395"/>
      <c r="Y213" s="395"/>
      <c r="Z213" s="2140"/>
      <c r="AA213" s="395"/>
      <c r="AB213" s="395"/>
      <c r="AC213" s="395"/>
      <c r="AD213" s="395"/>
      <c r="AE213" s="395"/>
      <c r="AF213" s="395"/>
      <c r="AG213" s="395"/>
      <c r="AH213" s="395"/>
      <c r="AI213" s="395"/>
      <c r="AJ213" s="395"/>
      <c r="AK213" s="395"/>
      <c r="AL213" s="395"/>
      <c r="AM213" s="395"/>
      <c r="AN213" s="395"/>
      <c r="AO213" s="395"/>
      <c r="AP213" s="395"/>
      <c r="AQ213" s="395"/>
      <c r="AR213" s="395"/>
      <c r="AS213" s="395"/>
      <c r="AT213" s="395"/>
      <c r="AU213" s="395"/>
      <c r="AV213" s="395"/>
      <c r="AW213" s="395"/>
      <c r="AX213" s="395"/>
      <c r="AY213" s="395"/>
      <c r="AZ213" s="395"/>
      <c r="BA213" s="395"/>
      <c r="BB213" s="395"/>
      <c r="BC213" s="395"/>
      <c r="BD213" s="395"/>
      <c r="BE213" s="395"/>
      <c r="BF213" s="395"/>
      <c r="BG213" s="395"/>
      <c r="BH213" s="395"/>
      <c r="BI213" s="395"/>
      <c r="BJ213" s="395"/>
      <c r="BK213" s="395"/>
      <c r="BL213" s="395"/>
      <c r="BM213" s="395"/>
      <c r="BN213" s="395"/>
      <c r="BO213" s="395"/>
      <c r="BP213" s="395"/>
      <c r="BQ213" s="395"/>
      <c r="BR213" s="395"/>
      <c r="BS213" s="395"/>
      <c r="BT213" s="395"/>
      <c r="BU213" s="395"/>
      <c r="BV213" s="395"/>
      <c r="BW213" s="395"/>
      <c r="BX213" s="395"/>
      <c r="BY213" s="395"/>
      <c r="BZ213" s="395"/>
      <c r="CA213" s="395"/>
      <c r="CB213" s="395"/>
      <c r="CC213" s="395"/>
      <c r="CD213" s="395"/>
      <c r="CE213" s="395"/>
      <c r="CF213" s="395"/>
      <c r="CG213" s="395"/>
      <c r="CH213" s="395"/>
      <c r="CI213" s="395"/>
      <c r="CJ213" s="395"/>
      <c r="CK213" s="395"/>
      <c r="CL213" s="395"/>
      <c r="CM213" s="395"/>
      <c r="CN213" s="395"/>
      <c r="CO213" s="395"/>
      <c r="CP213" s="395"/>
      <c r="CQ213" s="395"/>
      <c r="CR213" s="395"/>
      <c r="CS213" s="395"/>
      <c r="CT213" s="395"/>
      <c r="CU213" s="395"/>
      <c r="CV213" s="395"/>
      <c r="CW213" s="395"/>
      <c r="CX213" s="395"/>
      <c r="CY213" s="395"/>
      <c r="CZ213" s="395"/>
      <c r="DA213" s="395"/>
      <c r="DB213" s="395"/>
      <c r="DC213" s="395"/>
      <c r="DD213" s="395"/>
      <c r="DE213" s="395"/>
      <c r="DF213" s="395"/>
      <c r="DG213" s="395"/>
      <c r="DH213" s="395"/>
      <c r="DI213" s="395"/>
      <c r="DJ213" s="395"/>
      <c r="DK213" s="395"/>
      <c r="DL213" s="395"/>
      <c r="DM213" s="395"/>
      <c r="DN213" s="395"/>
      <c r="DO213" s="395"/>
      <c r="DP213" s="395"/>
      <c r="DQ213" s="395"/>
      <c r="DR213" s="395"/>
      <c r="DS213" s="395"/>
      <c r="DT213" s="395"/>
      <c r="DU213" s="395"/>
      <c r="DV213" s="395"/>
      <c r="DW213" s="395"/>
      <c r="DX213" s="395"/>
      <c r="DY213" s="395"/>
      <c r="DZ213" s="395"/>
      <c r="EA213" s="395"/>
      <c r="EB213" s="395"/>
      <c r="EC213" s="395"/>
      <c r="ED213" s="395"/>
      <c r="EE213" s="395"/>
      <c r="EF213" s="395"/>
      <c r="EG213" s="395"/>
      <c r="EH213" s="395"/>
      <c r="EI213" s="395"/>
      <c r="EJ213" s="395"/>
      <c r="EK213" s="395"/>
      <c r="EL213" s="395"/>
      <c r="EM213" s="395"/>
      <c r="EN213" s="395"/>
      <c r="EO213" s="395"/>
      <c r="EP213" s="395"/>
      <c r="EQ213" s="395"/>
      <c r="ER213" s="395"/>
      <c r="ES213" s="395"/>
      <c r="ET213" s="395"/>
      <c r="EU213" s="395"/>
      <c r="EV213" s="395"/>
      <c r="EW213" s="395"/>
      <c r="EX213" s="395"/>
      <c r="EY213" s="395"/>
      <c r="EZ213" s="395"/>
      <c r="FA213" s="395"/>
      <c r="FB213" s="395"/>
      <c r="FC213" s="395"/>
      <c r="FD213" s="395"/>
      <c r="FE213" s="395"/>
      <c r="FF213" s="395"/>
      <c r="FG213" s="395"/>
      <c r="FH213" s="395"/>
      <c r="FI213" s="395"/>
      <c r="FJ213" s="395"/>
      <c r="FK213" s="395"/>
      <c r="FL213" s="395"/>
      <c r="FM213" s="395"/>
      <c r="FN213" s="395"/>
      <c r="FO213" s="395"/>
      <c r="FP213" s="395"/>
      <c r="FQ213" s="395"/>
      <c r="FR213" s="395"/>
      <c r="FS213" s="395"/>
      <c r="FT213" s="395"/>
      <c r="FU213" s="395"/>
      <c r="FV213" s="395"/>
      <c r="FW213" s="395"/>
      <c r="FX213" s="395"/>
      <c r="FY213" s="395"/>
      <c r="FZ213" s="395"/>
      <c r="GA213" s="395"/>
      <c r="GB213" s="395"/>
      <c r="GC213" s="395"/>
      <c r="GD213" s="395"/>
      <c r="GE213" s="395"/>
      <c r="GF213" s="395"/>
      <c r="GG213" s="395"/>
      <c r="GH213" s="395"/>
      <c r="GI213" s="395"/>
      <c r="GJ213" s="395"/>
      <c r="GK213" s="395"/>
      <c r="GL213" s="395"/>
      <c r="GM213" s="395"/>
      <c r="GN213" s="395"/>
      <c r="GO213" s="395"/>
      <c r="GP213" s="395"/>
      <c r="GQ213" s="395"/>
      <c r="GR213" s="395"/>
      <c r="GS213" s="395"/>
      <c r="GT213" s="395"/>
      <c r="GU213" s="395"/>
      <c r="GV213" s="395"/>
      <c r="GW213" s="395"/>
      <c r="GX213" s="395"/>
      <c r="GY213" s="395"/>
      <c r="GZ213" s="395"/>
      <c r="HA213" s="395"/>
      <c r="HB213" s="395"/>
      <c r="HC213" s="395"/>
      <c r="HD213" s="395"/>
      <c r="HE213" s="395"/>
      <c r="HF213" s="395"/>
      <c r="HG213" s="395"/>
      <c r="HH213" s="395"/>
      <c r="HI213" s="395"/>
      <c r="HJ213" s="395"/>
      <c r="HK213" s="395"/>
      <c r="HL213" s="395"/>
      <c r="HM213" s="395"/>
      <c r="HN213" s="395"/>
      <c r="HO213" s="395"/>
      <c r="HP213" s="395"/>
      <c r="HQ213" s="395"/>
      <c r="HR213" s="395"/>
    </row>
    <row r="214" spans="1:226" s="866" customFormat="1" x14ac:dyDescent="0.25">
      <c r="A214" s="395"/>
      <c r="B214" s="395"/>
      <c r="C214" s="395"/>
      <c r="D214" s="395"/>
      <c r="E214" s="395"/>
      <c r="F214" s="395"/>
      <c r="G214" s="395"/>
      <c r="H214" s="395"/>
      <c r="I214" s="395"/>
      <c r="J214" s="395"/>
      <c r="K214" s="395"/>
      <c r="L214" s="395"/>
      <c r="M214" s="395"/>
      <c r="N214" s="395"/>
      <c r="O214" s="395"/>
      <c r="P214" s="395"/>
      <c r="Q214" s="395"/>
      <c r="R214" s="395"/>
      <c r="S214" s="395"/>
      <c r="T214" s="395"/>
      <c r="U214" s="395"/>
      <c r="V214" s="1608"/>
      <c r="W214" s="395"/>
      <c r="X214" s="395"/>
      <c r="Y214" s="395"/>
      <c r="Z214" s="2140"/>
      <c r="AA214" s="395"/>
      <c r="AB214" s="395"/>
      <c r="AC214" s="395"/>
      <c r="AD214" s="395"/>
      <c r="AE214" s="395"/>
      <c r="AF214" s="395"/>
      <c r="AG214" s="395"/>
      <c r="AH214" s="395"/>
      <c r="AI214" s="395"/>
      <c r="AJ214" s="395"/>
      <c r="AK214" s="395"/>
      <c r="AL214" s="395"/>
      <c r="AM214" s="395"/>
      <c r="AN214" s="395"/>
      <c r="AO214" s="395"/>
      <c r="AP214" s="395"/>
      <c r="AQ214" s="395"/>
      <c r="AR214" s="395"/>
      <c r="AS214" s="395"/>
      <c r="AT214" s="395"/>
      <c r="AU214" s="395"/>
      <c r="AV214" s="395"/>
      <c r="AW214" s="395"/>
      <c r="AX214" s="395"/>
      <c r="AY214" s="395"/>
      <c r="AZ214" s="395"/>
      <c r="BA214" s="395"/>
      <c r="BB214" s="395"/>
      <c r="BC214" s="395"/>
      <c r="BD214" s="395"/>
      <c r="BE214" s="395"/>
      <c r="BF214" s="395"/>
      <c r="BG214" s="395"/>
      <c r="BH214" s="395"/>
      <c r="BI214" s="395"/>
      <c r="BJ214" s="395"/>
      <c r="BK214" s="395"/>
      <c r="BL214" s="395"/>
      <c r="BM214" s="395"/>
      <c r="BN214" s="395"/>
      <c r="BO214" s="395"/>
      <c r="BP214" s="395"/>
      <c r="BQ214" s="395"/>
      <c r="BR214" s="395"/>
      <c r="BS214" s="395"/>
      <c r="BT214" s="395"/>
      <c r="BU214" s="395"/>
      <c r="BV214" s="395"/>
      <c r="BW214" s="395"/>
      <c r="BX214" s="395"/>
      <c r="BY214" s="395"/>
      <c r="BZ214" s="395"/>
      <c r="CA214" s="395"/>
      <c r="CB214" s="395"/>
      <c r="CC214" s="395"/>
      <c r="CD214" s="395"/>
      <c r="CE214" s="395"/>
      <c r="CF214" s="395"/>
      <c r="CG214" s="395"/>
      <c r="CH214" s="395"/>
      <c r="CI214" s="395"/>
      <c r="CJ214" s="395"/>
      <c r="CK214" s="395"/>
      <c r="CL214" s="395"/>
      <c r="CM214" s="395"/>
      <c r="CN214" s="395"/>
      <c r="CO214" s="395"/>
      <c r="CP214" s="395"/>
      <c r="CQ214" s="395"/>
      <c r="CR214" s="395"/>
      <c r="CS214" s="395"/>
      <c r="CT214" s="395"/>
      <c r="CU214" s="395"/>
      <c r="CV214" s="395"/>
      <c r="CW214" s="395"/>
      <c r="CX214" s="395"/>
      <c r="CY214" s="395"/>
      <c r="CZ214" s="395"/>
      <c r="DA214" s="395"/>
      <c r="DB214" s="395"/>
      <c r="DC214" s="395"/>
      <c r="DD214" s="395"/>
      <c r="DE214" s="395"/>
      <c r="DF214" s="395"/>
      <c r="DG214" s="395"/>
      <c r="DH214" s="395"/>
      <c r="DI214" s="395"/>
      <c r="DJ214" s="395"/>
      <c r="DK214" s="395"/>
      <c r="DL214" s="395"/>
      <c r="DM214" s="395"/>
      <c r="DN214" s="395"/>
      <c r="DO214" s="395"/>
      <c r="DP214" s="395"/>
      <c r="DQ214" s="395"/>
      <c r="DR214" s="395"/>
      <c r="DS214" s="395"/>
      <c r="DT214" s="395"/>
      <c r="DU214" s="395"/>
      <c r="DV214" s="395"/>
      <c r="DW214" s="395"/>
      <c r="DX214" s="395"/>
      <c r="DY214" s="395"/>
      <c r="DZ214" s="395"/>
      <c r="EA214" s="395"/>
      <c r="EB214" s="395"/>
      <c r="EC214" s="395"/>
      <c r="ED214" s="395"/>
      <c r="EE214" s="395"/>
      <c r="EF214" s="395"/>
      <c r="EG214" s="395"/>
      <c r="EH214" s="395"/>
      <c r="EI214" s="395"/>
      <c r="EJ214" s="395"/>
      <c r="EK214" s="395"/>
      <c r="EL214" s="395"/>
      <c r="EM214" s="395"/>
      <c r="EN214" s="395"/>
      <c r="EO214" s="395"/>
      <c r="EP214" s="395"/>
      <c r="EQ214" s="395"/>
      <c r="ER214" s="395"/>
      <c r="ES214" s="395"/>
      <c r="ET214" s="395"/>
      <c r="EU214" s="395"/>
      <c r="EV214" s="395"/>
      <c r="EW214" s="395"/>
      <c r="EX214" s="395"/>
      <c r="EY214" s="395"/>
      <c r="EZ214" s="395"/>
      <c r="FA214" s="395"/>
      <c r="FB214" s="395"/>
      <c r="FC214" s="395"/>
      <c r="FD214" s="395"/>
      <c r="FE214" s="395"/>
      <c r="FF214" s="395"/>
      <c r="FG214" s="395"/>
      <c r="FH214" s="395"/>
      <c r="FI214" s="395"/>
      <c r="FJ214" s="395"/>
      <c r="FK214" s="395"/>
      <c r="FL214" s="395"/>
      <c r="FM214" s="395"/>
      <c r="FN214" s="395"/>
      <c r="FO214" s="395"/>
      <c r="FP214" s="395"/>
      <c r="FQ214" s="395"/>
      <c r="FR214" s="395"/>
      <c r="FS214" s="395"/>
      <c r="FT214" s="395"/>
      <c r="FU214" s="395"/>
      <c r="FV214" s="395"/>
      <c r="FW214" s="395"/>
      <c r="FX214" s="395"/>
      <c r="FY214" s="395"/>
      <c r="FZ214" s="395"/>
      <c r="GA214" s="395"/>
      <c r="GB214" s="395"/>
      <c r="GC214" s="395"/>
      <c r="GD214" s="395"/>
      <c r="GE214" s="395"/>
      <c r="GF214" s="395"/>
      <c r="GG214" s="395"/>
      <c r="GH214" s="395"/>
      <c r="GI214" s="395"/>
      <c r="GJ214" s="395"/>
      <c r="GK214" s="395"/>
      <c r="GL214" s="395"/>
      <c r="GM214" s="395"/>
      <c r="GN214" s="395"/>
      <c r="GO214" s="395"/>
      <c r="GP214" s="395"/>
      <c r="GQ214" s="395"/>
      <c r="GR214" s="395"/>
      <c r="GS214" s="395"/>
      <c r="GT214" s="395"/>
      <c r="GU214" s="395"/>
      <c r="GV214" s="395"/>
      <c r="GW214" s="395"/>
      <c r="GX214" s="395"/>
      <c r="GY214" s="395"/>
      <c r="GZ214" s="395"/>
      <c r="HA214" s="395"/>
      <c r="HB214" s="395"/>
      <c r="HC214" s="395"/>
      <c r="HD214" s="395"/>
      <c r="HE214" s="395"/>
      <c r="HF214" s="395"/>
      <c r="HG214" s="395"/>
      <c r="HH214" s="395"/>
      <c r="HI214" s="395"/>
      <c r="HJ214" s="395"/>
      <c r="HK214" s="395"/>
      <c r="HL214" s="395"/>
      <c r="HM214" s="395"/>
      <c r="HN214" s="395"/>
      <c r="HO214" s="395"/>
      <c r="HP214" s="395"/>
      <c r="HQ214" s="395"/>
      <c r="HR214" s="395"/>
    </row>
    <row r="215" spans="1:226" s="866" customFormat="1" x14ac:dyDescent="0.25">
      <c r="A215" s="395"/>
      <c r="B215" s="395"/>
      <c r="C215" s="395"/>
      <c r="D215" s="395"/>
      <c r="E215" s="395"/>
      <c r="F215" s="395"/>
      <c r="G215" s="395"/>
      <c r="H215" s="395"/>
      <c r="I215" s="395"/>
      <c r="J215" s="395"/>
      <c r="K215" s="395"/>
      <c r="L215" s="395"/>
      <c r="M215" s="395"/>
      <c r="N215" s="395"/>
      <c r="O215" s="395"/>
      <c r="P215" s="395"/>
      <c r="Q215" s="395"/>
      <c r="R215" s="395"/>
      <c r="S215" s="395"/>
      <c r="T215" s="395"/>
      <c r="U215" s="395"/>
      <c r="V215" s="1608"/>
      <c r="W215" s="395"/>
      <c r="X215" s="395"/>
      <c r="Y215" s="395"/>
      <c r="Z215" s="2140"/>
      <c r="AA215" s="395"/>
      <c r="AB215" s="395"/>
      <c r="AC215" s="395"/>
      <c r="AD215" s="395"/>
      <c r="AE215" s="395"/>
      <c r="AF215" s="395"/>
      <c r="AG215" s="395"/>
      <c r="AH215" s="395"/>
      <c r="AI215" s="395"/>
      <c r="AJ215" s="395"/>
      <c r="AK215" s="395"/>
      <c r="AL215" s="395"/>
      <c r="AM215" s="395"/>
      <c r="AN215" s="395"/>
      <c r="AO215" s="395"/>
      <c r="AP215" s="395"/>
      <c r="AQ215" s="395"/>
      <c r="AR215" s="395"/>
      <c r="AS215" s="395"/>
      <c r="AT215" s="395"/>
      <c r="AU215" s="395"/>
      <c r="AV215" s="395"/>
      <c r="AW215" s="395"/>
      <c r="AX215" s="395"/>
      <c r="AY215" s="395"/>
      <c r="AZ215" s="395"/>
      <c r="BA215" s="395"/>
      <c r="BB215" s="395"/>
      <c r="BC215" s="395"/>
      <c r="BD215" s="395"/>
      <c r="BE215" s="395"/>
      <c r="BF215" s="395"/>
      <c r="BG215" s="395"/>
      <c r="BH215" s="395"/>
      <c r="BI215" s="395"/>
      <c r="BJ215" s="395"/>
      <c r="BK215" s="395"/>
      <c r="BL215" s="395"/>
      <c r="BM215" s="395"/>
      <c r="BN215" s="395"/>
      <c r="BO215" s="395"/>
      <c r="BP215" s="395"/>
      <c r="BQ215" s="395"/>
      <c r="BR215" s="395"/>
      <c r="BS215" s="395"/>
      <c r="BT215" s="395"/>
      <c r="BU215" s="395"/>
      <c r="BV215" s="395"/>
      <c r="BW215" s="395"/>
      <c r="BX215" s="395"/>
      <c r="BY215" s="395"/>
      <c r="BZ215" s="395"/>
      <c r="CA215" s="395"/>
      <c r="CB215" s="395"/>
      <c r="CC215" s="395"/>
      <c r="CD215" s="395"/>
      <c r="CE215" s="395"/>
      <c r="CF215" s="395"/>
      <c r="CG215" s="395"/>
      <c r="CH215" s="395"/>
      <c r="CI215" s="395"/>
      <c r="CJ215" s="395"/>
      <c r="CK215" s="395"/>
      <c r="CL215" s="395"/>
      <c r="CM215" s="395"/>
      <c r="CN215" s="395"/>
      <c r="CO215" s="395"/>
      <c r="CP215" s="395"/>
      <c r="CQ215" s="395"/>
      <c r="CR215" s="395"/>
      <c r="CS215" s="395"/>
      <c r="CT215" s="395"/>
      <c r="CU215" s="395"/>
      <c r="CV215" s="395"/>
      <c r="CW215" s="395"/>
      <c r="CX215" s="395"/>
      <c r="CY215" s="395"/>
      <c r="CZ215" s="395"/>
      <c r="DA215" s="395"/>
      <c r="DB215" s="395"/>
      <c r="DC215" s="395"/>
      <c r="DD215" s="395"/>
      <c r="DE215" s="395"/>
      <c r="DF215" s="395"/>
      <c r="DG215" s="395"/>
      <c r="DH215" s="395"/>
      <c r="DI215" s="395"/>
      <c r="DJ215" s="395"/>
      <c r="DK215" s="395"/>
      <c r="DL215" s="395"/>
      <c r="DM215" s="395"/>
      <c r="DN215" s="395"/>
      <c r="DO215" s="395"/>
      <c r="DP215" s="395"/>
      <c r="DQ215" s="395"/>
      <c r="DR215" s="395"/>
      <c r="DS215" s="395"/>
      <c r="DT215" s="395"/>
      <c r="DU215" s="395"/>
      <c r="DV215" s="395"/>
      <c r="DW215" s="395"/>
      <c r="DX215" s="395"/>
      <c r="DY215" s="395"/>
      <c r="DZ215" s="395"/>
      <c r="EA215" s="395"/>
      <c r="EB215" s="395"/>
      <c r="EC215" s="395"/>
      <c r="ED215" s="395"/>
      <c r="EE215" s="395"/>
      <c r="EF215" s="395"/>
      <c r="EG215" s="395"/>
      <c r="EH215" s="395"/>
      <c r="EI215" s="395"/>
      <c r="EJ215" s="395"/>
      <c r="EK215" s="395"/>
      <c r="EL215" s="395"/>
      <c r="EM215" s="395"/>
      <c r="EN215" s="395"/>
      <c r="EO215" s="395"/>
      <c r="EP215" s="395"/>
      <c r="EQ215" s="395"/>
      <c r="ER215" s="395"/>
      <c r="ES215" s="395"/>
      <c r="ET215" s="395"/>
      <c r="EU215" s="395"/>
      <c r="EV215" s="395"/>
      <c r="EW215" s="395"/>
      <c r="EX215" s="395"/>
      <c r="EY215" s="395"/>
      <c r="EZ215" s="395"/>
      <c r="FA215" s="395"/>
      <c r="FB215" s="395"/>
      <c r="FC215" s="395"/>
      <c r="FD215" s="395"/>
      <c r="FE215" s="395"/>
      <c r="FF215" s="395"/>
      <c r="FG215" s="395"/>
      <c r="FH215" s="395"/>
      <c r="FI215" s="395"/>
      <c r="FJ215" s="395"/>
      <c r="FK215" s="395"/>
      <c r="FL215" s="395"/>
      <c r="FM215" s="395"/>
      <c r="FN215" s="395"/>
      <c r="FO215" s="395"/>
      <c r="FP215" s="395"/>
      <c r="FQ215" s="395"/>
      <c r="FR215" s="395"/>
      <c r="FS215" s="395"/>
      <c r="FT215" s="395"/>
      <c r="FU215" s="395"/>
      <c r="FV215" s="395"/>
      <c r="FW215" s="395"/>
      <c r="FX215" s="395"/>
      <c r="FY215" s="395"/>
      <c r="FZ215" s="395"/>
      <c r="GA215" s="395"/>
      <c r="GB215" s="395"/>
      <c r="GC215" s="395"/>
      <c r="GD215" s="395"/>
      <c r="GE215" s="395"/>
      <c r="GF215" s="395"/>
      <c r="GG215" s="395"/>
      <c r="GH215" s="395"/>
      <c r="GI215" s="395"/>
      <c r="GJ215" s="395"/>
      <c r="GK215" s="395"/>
      <c r="GL215" s="395"/>
      <c r="GM215" s="395"/>
      <c r="GN215" s="395"/>
      <c r="GO215" s="395"/>
      <c r="GP215" s="395"/>
      <c r="GQ215" s="395"/>
      <c r="GR215" s="395"/>
      <c r="GS215" s="395"/>
      <c r="GT215" s="395"/>
      <c r="GU215" s="395"/>
      <c r="GV215" s="395"/>
      <c r="GW215" s="395"/>
      <c r="GX215" s="395"/>
      <c r="GY215" s="395"/>
      <c r="GZ215" s="395"/>
      <c r="HA215" s="395"/>
      <c r="HB215" s="395"/>
      <c r="HC215" s="395"/>
      <c r="HD215" s="395"/>
      <c r="HE215" s="395"/>
      <c r="HF215" s="395"/>
      <c r="HG215" s="395"/>
      <c r="HH215" s="395"/>
      <c r="HI215" s="395"/>
      <c r="HJ215" s="395"/>
      <c r="HK215" s="395"/>
      <c r="HL215" s="395"/>
      <c r="HM215" s="395"/>
      <c r="HN215" s="395"/>
      <c r="HO215" s="395"/>
      <c r="HP215" s="395"/>
      <c r="HQ215" s="395"/>
      <c r="HR215" s="395"/>
    </row>
    <row r="216" spans="1:226" s="866" customFormat="1" x14ac:dyDescent="0.25">
      <c r="A216" s="395"/>
      <c r="B216" s="395"/>
      <c r="C216" s="395"/>
      <c r="D216" s="395"/>
      <c r="E216" s="395"/>
      <c r="F216" s="395"/>
      <c r="G216" s="395"/>
      <c r="H216" s="395"/>
      <c r="I216" s="395"/>
      <c r="J216" s="395"/>
      <c r="K216" s="395"/>
      <c r="L216" s="395"/>
      <c r="M216" s="395"/>
      <c r="N216" s="395"/>
      <c r="O216" s="395"/>
      <c r="P216" s="395"/>
      <c r="Q216" s="395"/>
      <c r="R216" s="395"/>
      <c r="S216" s="395"/>
      <c r="T216" s="395"/>
      <c r="U216" s="395"/>
      <c r="V216" s="1608"/>
      <c r="W216" s="395"/>
      <c r="X216" s="395"/>
      <c r="Y216" s="395"/>
      <c r="Z216" s="2140"/>
      <c r="AA216" s="395"/>
      <c r="AB216" s="395"/>
      <c r="AC216" s="395"/>
      <c r="AD216" s="395"/>
      <c r="AE216" s="395"/>
      <c r="AF216" s="395"/>
      <c r="AG216" s="395"/>
      <c r="AH216" s="395"/>
      <c r="AI216" s="395"/>
      <c r="AJ216" s="395"/>
      <c r="AK216" s="395"/>
      <c r="AL216" s="395"/>
      <c r="AM216" s="395"/>
      <c r="AN216" s="395"/>
      <c r="AO216" s="395"/>
      <c r="AP216" s="395"/>
      <c r="AQ216" s="395"/>
      <c r="AR216" s="395"/>
      <c r="AS216" s="395"/>
      <c r="AT216" s="395"/>
      <c r="AU216" s="395"/>
      <c r="AV216" s="395"/>
      <c r="AW216" s="395"/>
      <c r="AX216" s="395"/>
      <c r="AY216" s="395"/>
      <c r="AZ216" s="395"/>
      <c r="BA216" s="395"/>
      <c r="BB216" s="395"/>
      <c r="BC216" s="395"/>
      <c r="BD216" s="395"/>
      <c r="BE216" s="395"/>
      <c r="BF216" s="395"/>
      <c r="BG216" s="395"/>
      <c r="BH216" s="395"/>
      <c r="BI216" s="395"/>
      <c r="BJ216" s="395"/>
      <c r="BK216" s="395"/>
      <c r="BL216" s="395"/>
      <c r="BM216" s="395"/>
      <c r="BN216" s="395"/>
      <c r="BO216" s="395"/>
      <c r="BP216" s="395"/>
      <c r="BQ216" s="395"/>
      <c r="BR216" s="395"/>
      <c r="BS216" s="395"/>
      <c r="BT216" s="395"/>
      <c r="BU216" s="395"/>
      <c r="BV216" s="395"/>
      <c r="BW216" s="395"/>
      <c r="BX216" s="395"/>
      <c r="BY216" s="395"/>
      <c r="BZ216" s="395"/>
      <c r="CA216" s="395"/>
      <c r="CB216" s="395"/>
      <c r="CC216" s="395"/>
      <c r="CD216" s="395"/>
      <c r="CE216" s="395"/>
      <c r="CF216" s="395"/>
      <c r="CG216" s="395"/>
      <c r="CH216" s="395"/>
      <c r="CI216" s="395"/>
      <c r="CJ216" s="395"/>
      <c r="CK216" s="395"/>
      <c r="CL216" s="395"/>
      <c r="CM216" s="395"/>
      <c r="CN216" s="395"/>
      <c r="CO216" s="395"/>
      <c r="CP216" s="395"/>
      <c r="CQ216" s="395"/>
      <c r="CR216" s="395"/>
      <c r="CS216" s="395"/>
      <c r="CT216" s="395"/>
      <c r="CU216" s="395"/>
      <c r="CV216" s="395"/>
      <c r="CW216" s="395"/>
      <c r="CX216" s="395"/>
      <c r="CY216" s="395"/>
      <c r="CZ216" s="395"/>
      <c r="DA216" s="395"/>
      <c r="DB216" s="395"/>
      <c r="DC216" s="395"/>
      <c r="DD216" s="395"/>
      <c r="DE216" s="395"/>
      <c r="DF216" s="395"/>
      <c r="DG216" s="395"/>
      <c r="DH216" s="395"/>
      <c r="DI216" s="395"/>
      <c r="DJ216" s="395"/>
      <c r="DK216" s="395"/>
      <c r="DL216" s="395"/>
      <c r="DM216" s="395"/>
      <c r="DN216" s="395"/>
      <c r="DO216" s="395"/>
      <c r="DP216" s="395"/>
      <c r="DQ216" s="395"/>
      <c r="DR216" s="395"/>
      <c r="DS216" s="395"/>
      <c r="DT216" s="395"/>
      <c r="DU216" s="395"/>
      <c r="DV216" s="395"/>
      <c r="DW216" s="395"/>
      <c r="DX216" s="395"/>
      <c r="DY216" s="395"/>
      <c r="DZ216" s="395"/>
      <c r="EA216" s="395"/>
      <c r="EB216" s="395"/>
      <c r="EC216" s="395"/>
      <c r="ED216" s="395"/>
      <c r="EE216" s="395"/>
      <c r="EF216" s="395"/>
      <c r="EG216" s="395"/>
      <c r="EH216" s="395"/>
      <c r="EI216" s="395"/>
      <c r="EJ216" s="395"/>
      <c r="EK216" s="395"/>
      <c r="EL216" s="395"/>
      <c r="EM216" s="395"/>
      <c r="EN216" s="395"/>
      <c r="EO216" s="395"/>
      <c r="EP216" s="395"/>
      <c r="EQ216" s="395"/>
      <c r="ER216" s="395"/>
      <c r="ES216" s="395"/>
      <c r="ET216" s="395"/>
      <c r="EU216" s="395"/>
      <c r="EV216" s="395"/>
      <c r="EW216" s="395"/>
      <c r="EX216" s="395"/>
      <c r="EY216" s="395"/>
      <c r="EZ216" s="395"/>
      <c r="FA216" s="395"/>
      <c r="FB216" s="395"/>
      <c r="FC216" s="395"/>
      <c r="FD216" s="395"/>
      <c r="FE216" s="395"/>
      <c r="FF216" s="395"/>
      <c r="FG216" s="395"/>
      <c r="FH216" s="395"/>
      <c r="FI216" s="395"/>
      <c r="FJ216" s="395"/>
      <c r="FK216" s="395"/>
      <c r="FL216" s="395"/>
      <c r="FM216" s="395"/>
      <c r="FN216" s="395"/>
      <c r="FO216" s="395"/>
      <c r="FP216" s="395"/>
      <c r="FQ216" s="395"/>
      <c r="FR216" s="395"/>
      <c r="FS216" s="395"/>
      <c r="FT216" s="395"/>
      <c r="FU216" s="395"/>
      <c r="FV216" s="395"/>
      <c r="FW216" s="395"/>
      <c r="FX216" s="395"/>
      <c r="FY216" s="395"/>
      <c r="FZ216" s="395"/>
      <c r="GA216" s="395"/>
      <c r="GB216" s="395"/>
      <c r="GC216" s="395"/>
      <c r="GD216" s="395"/>
      <c r="GE216" s="395"/>
      <c r="GF216" s="395"/>
      <c r="GG216" s="395"/>
      <c r="GH216" s="395"/>
      <c r="GI216" s="395"/>
      <c r="GJ216" s="395"/>
      <c r="GK216" s="395"/>
      <c r="GL216" s="395"/>
      <c r="GM216" s="395"/>
      <c r="GN216" s="395"/>
      <c r="GO216" s="395"/>
      <c r="GP216" s="395"/>
      <c r="GQ216" s="395"/>
      <c r="GR216" s="395"/>
      <c r="GS216" s="395"/>
      <c r="GT216" s="395"/>
      <c r="GU216" s="395"/>
      <c r="GV216" s="395"/>
      <c r="GW216" s="395"/>
      <c r="GX216" s="395"/>
      <c r="GY216" s="395"/>
      <c r="GZ216" s="395"/>
      <c r="HA216" s="395"/>
      <c r="HB216" s="395"/>
      <c r="HC216" s="395"/>
      <c r="HD216" s="395"/>
      <c r="HE216" s="395"/>
      <c r="HF216" s="395"/>
      <c r="HG216" s="395"/>
      <c r="HH216" s="395"/>
      <c r="HI216" s="395"/>
      <c r="HJ216" s="395"/>
      <c r="HK216" s="395"/>
      <c r="HL216" s="395"/>
      <c r="HM216" s="395"/>
      <c r="HN216" s="395"/>
      <c r="HO216" s="395"/>
      <c r="HP216" s="395"/>
      <c r="HQ216" s="395"/>
      <c r="HR216" s="395"/>
    </row>
    <row r="217" spans="1:226" s="866" customFormat="1" x14ac:dyDescent="0.25">
      <c r="A217" s="395"/>
      <c r="B217" s="395"/>
      <c r="C217" s="395"/>
      <c r="D217" s="395"/>
      <c r="E217" s="395"/>
      <c r="F217" s="395"/>
      <c r="G217" s="395"/>
      <c r="H217" s="395"/>
      <c r="I217" s="395"/>
      <c r="J217" s="395"/>
      <c r="K217" s="395"/>
      <c r="L217" s="395"/>
      <c r="M217" s="395"/>
      <c r="N217" s="395"/>
      <c r="O217" s="395"/>
      <c r="P217" s="395"/>
      <c r="Q217" s="395"/>
      <c r="R217" s="395"/>
      <c r="S217" s="395"/>
      <c r="T217" s="395"/>
      <c r="U217" s="395"/>
      <c r="V217" s="1608"/>
      <c r="W217" s="395"/>
      <c r="X217" s="395"/>
      <c r="Y217" s="395"/>
      <c r="Z217" s="2140"/>
      <c r="AA217" s="395"/>
      <c r="AB217" s="395"/>
      <c r="AC217" s="395"/>
      <c r="AD217" s="395"/>
      <c r="AE217" s="395"/>
      <c r="AF217" s="395"/>
      <c r="AG217" s="395"/>
      <c r="AH217" s="395"/>
      <c r="AI217" s="395"/>
      <c r="AJ217" s="395"/>
      <c r="AK217" s="395"/>
      <c r="AL217" s="395"/>
      <c r="AM217" s="395"/>
      <c r="AN217" s="395"/>
      <c r="AO217" s="395"/>
      <c r="AP217" s="395"/>
      <c r="AQ217" s="395"/>
      <c r="AR217" s="395"/>
      <c r="AS217" s="395"/>
      <c r="AT217" s="395"/>
      <c r="AU217" s="395"/>
      <c r="AV217" s="395"/>
      <c r="AW217" s="395"/>
      <c r="AX217" s="395"/>
      <c r="AY217" s="395"/>
      <c r="AZ217" s="395"/>
      <c r="BA217" s="395"/>
      <c r="BB217" s="395"/>
      <c r="BC217" s="395"/>
      <c r="BD217" s="395"/>
      <c r="BE217" s="395"/>
      <c r="BF217" s="395"/>
      <c r="BG217" s="395"/>
      <c r="BH217" s="395"/>
      <c r="BI217" s="395"/>
      <c r="BJ217" s="395"/>
      <c r="BK217" s="395"/>
      <c r="BL217" s="395"/>
      <c r="BM217" s="395"/>
      <c r="BN217" s="395"/>
      <c r="BO217" s="395"/>
      <c r="BP217" s="395"/>
      <c r="BQ217" s="395"/>
      <c r="BR217" s="395"/>
      <c r="BS217" s="395"/>
      <c r="BT217" s="395"/>
      <c r="BU217" s="395"/>
      <c r="BV217" s="395"/>
      <c r="BW217" s="395"/>
      <c r="BX217" s="395"/>
      <c r="BY217" s="395"/>
      <c r="BZ217" s="395"/>
      <c r="CA217" s="395"/>
      <c r="CB217" s="395"/>
      <c r="CC217" s="395"/>
      <c r="CD217" s="395"/>
      <c r="CE217" s="395"/>
      <c r="CF217" s="395"/>
      <c r="CG217" s="395"/>
      <c r="CH217" s="395"/>
      <c r="CI217" s="395"/>
      <c r="CJ217" s="395"/>
      <c r="CK217" s="395"/>
      <c r="CL217" s="395"/>
      <c r="CM217" s="395"/>
      <c r="CN217" s="395"/>
      <c r="CO217" s="395"/>
      <c r="CP217" s="395"/>
      <c r="CQ217" s="395"/>
      <c r="CR217" s="395"/>
      <c r="CS217" s="395"/>
      <c r="CT217" s="395"/>
      <c r="CU217" s="395"/>
      <c r="CV217" s="395"/>
      <c r="CW217" s="395"/>
      <c r="CX217" s="395"/>
      <c r="CY217" s="395"/>
      <c r="CZ217" s="395"/>
      <c r="DA217" s="395"/>
      <c r="DB217" s="395"/>
      <c r="DC217" s="395"/>
      <c r="DD217" s="395"/>
      <c r="DE217" s="395"/>
      <c r="DF217" s="395"/>
      <c r="DG217" s="395"/>
      <c r="DH217" s="395"/>
      <c r="DI217" s="395"/>
      <c r="DJ217" s="395"/>
      <c r="DK217" s="395"/>
      <c r="DL217" s="395"/>
      <c r="DM217" s="395"/>
      <c r="DN217" s="395"/>
      <c r="DO217" s="395"/>
      <c r="DP217" s="395"/>
      <c r="DQ217" s="395"/>
      <c r="DR217" s="395"/>
      <c r="DS217" s="395"/>
      <c r="DT217" s="395"/>
      <c r="DU217" s="395"/>
      <c r="DV217" s="395"/>
      <c r="DW217" s="395"/>
      <c r="DX217" s="395"/>
      <c r="DY217" s="395"/>
      <c r="DZ217" s="395"/>
      <c r="EA217" s="395"/>
      <c r="EB217" s="395"/>
      <c r="EC217" s="395"/>
      <c r="ED217" s="395"/>
      <c r="EE217" s="395"/>
      <c r="EF217" s="395"/>
      <c r="EG217" s="395"/>
      <c r="EH217" s="395"/>
      <c r="EI217" s="395"/>
      <c r="EJ217" s="395"/>
      <c r="EK217" s="395"/>
      <c r="EL217" s="395"/>
      <c r="EM217" s="395"/>
      <c r="EN217" s="395"/>
      <c r="EO217" s="395"/>
      <c r="EP217" s="395"/>
      <c r="EQ217" s="395"/>
      <c r="ER217" s="395"/>
      <c r="ES217" s="395"/>
      <c r="ET217" s="395"/>
      <c r="EU217" s="395"/>
      <c r="EV217" s="395"/>
      <c r="EW217" s="395"/>
      <c r="EX217" s="395"/>
      <c r="EY217" s="395"/>
      <c r="EZ217" s="395"/>
      <c r="FA217" s="395"/>
      <c r="FB217" s="395"/>
      <c r="FC217" s="395"/>
      <c r="FD217" s="395"/>
      <c r="FE217" s="395"/>
      <c r="FF217" s="395"/>
      <c r="FG217" s="395"/>
      <c r="FH217" s="395"/>
      <c r="FI217" s="395"/>
      <c r="FJ217" s="395"/>
      <c r="FK217" s="395"/>
      <c r="FL217" s="395"/>
      <c r="FM217" s="395"/>
      <c r="FN217" s="395"/>
      <c r="FO217" s="395"/>
      <c r="FP217" s="395"/>
      <c r="FQ217" s="395"/>
      <c r="FR217" s="395"/>
      <c r="FS217" s="395"/>
      <c r="FT217" s="395"/>
      <c r="FU217" s="395"/>
      <c r="FV217" s="395"/>
      <c r="FW217" s="395"/>
      <c r="FX217" s="395"/>
      <c r="FY217" s="395"/>
      <c r="FZ217" s="395"/>
      <c r="GA217" s="395"/>
      <c r="GB217" s="395"/>
      <c r="GC217" s="395"/>
      <c r="GD217" s="395"/>
      <c r="GE217" s="395"/>
      <c r="GF217" s="395"/>
      <c r="GG217" s="395"/>
      <c r="GH217" s="395"/>
      <c r="GI217" s="395"/>
      <c r="GJ217" s="395"/>
      <c r="GK217" s="395"/>
      <c r="GL217" s="395"/>
      <c r="GM217" s="395"/>
      <c r="GN217" s="395"/>
      <c r="GO217" s="395"/>
      <c r="GP217" s="395"/>
      <c r="GQ217" s="395"/>
      <c r="GR217" s="395"/>
      <c r="GS217" s="395"/>
      <c r="GT217" s="395"/>
      <c r="GU217" s="395"/>
      <c r="GV217" s="395"/>
      <c r="GW217" s="395"/>
      <c r="GX217" s="395"/>
      <c r="GY217" s="395"/>
      <c r="GZ217" s="395"/>
      <c r="HA217" s="395"/>
      <c r="HB217" s="395"/>
      <c r="HC217" s="395"/>
      <c r="HD217" s="395"/>
      <c r="HE217" s="395"/>
      <c r="HF217" s="395"/>
      <c r="HG217" s="395"/>
      <c r="HH217" s="395"/>
      <c r="HI217" s="395"/>
      <c r="HJ217" s="395"/>
      <c r="HK217" s="395"/>
      <c r="HL217" s="395"/>
      <c r="HM217" s="395"/>
      <c r="HN217" s="395"/>
      <c r="HO217" s="395"/>
      <c r="HP217" s="395"/>
      <c r="HQ217" s="395"/>
      <c r="HR217" s="395"/>
    </row>
    <row r="218" spans="1:226" s="866" customFormat="1" x14ac:dyDescent="0.25">
      <c r="A218" s="395"/>
      <c r="B218" s="395"/>
      <c r="C218" s="395"/>
      <c r="D218" s="395"/>
      <c r="E218" s="395"/>
      <c r="F218" s="395"/>
      <c r="G218" s="395"/>
      <c r="H218" s="395"/>
      <c r="I218" s="395"/>
      <c r="J218" s="395"/>
      <c r="K218" s="395"/>
      <c r="L218" s="395"/>
      <c r="M218" s="395"/>
      <c r="N218" s="395"/>
      <c r="O218" s="395"/>
      <c r="P218" s="395"/>
      <c r="Q218" s="395"/>
      <c r="R218" s="395"/>
      <c r="S218" s="395"/>
      <c r="T218" s="395"/>
      <c r="U218" s="395"/>
      <c r="V218" s="1608"/>
      <c r="W218" s="395"/>
      <c r="X218" s="395"/>
      <c r="Y218" s="395"/>
      <c r="Z218" s="2140"/>
      <c r="AA218" s="395"/>
      <c r="AB218" s="395"/>
      <c r="AC218" s="395"/>
      <c r="AD218" s="395"/>
      <c r="AE218" s="395"/>
      <c r="AF218" s="395"/>
      <c r="AG218" s="395"/>
      <c r="AH218" s="395"/>
      <c r="AI218" s="395"/>
      <c r="AJ218" s="395"/>
      <c r="AK218" s="395"/>
      <c r="AL218" s="395"/>
      <c r="AM218" s="395"/>
      <c r="AN218" s="395"/>
      <c r="AO218" s="395"/>
      <c r="AP218" s="395"/>
      <c r="AQ218" s="395"/>
      <c r="AR218" s="395"/>
      <c r="AS218" s="395"/>
      <c r="AT218" s="395"/>
      <c r="AU218" s="395"/>
      <c r="AV218" s="395"/>
      <c r="AW218" s="395"/>
      <c r="AX218" s="395"/>
      <c r="AY218" s="395"/>
      <c r="AZ218" s="395"/>
      <c r="BA218" s="395"/>
      <c r="BB218" s="395"/>
      <c r="BC218" s="395"/>
      <c r="BD218" s="395"/>
      <c r="BE218" s="395"/>
      <c r="BF218" s="395"/>
      <c r="BG218" s="395"/>
      <c r="BH218" s="395"/>
      <c r="BI218" s="395"/>
      <c r="BJ218" s="395"/>
      <c r="BK218" s="395"/>
      <c r="BL218" s="395"/>
      <c r="BM218" s="395"/>
      <c r="BN218" s="395"/>
      <c r="BO218" s="395"/>
      <c r="BP218" s="395"/>
      <c r="BQ218" s="395"/>
      <c r="BR218" s="395"/>
      <c r="BS218" s="395"/>
      <c r="BT218" s="395"/>
      <c r="BU218" s="395"/>
      <c r="BV218" s="395"/>
      <c r="BW218" s="395"/>
      <c r="BX218" s="395"/>
      <c r="BY218" s="395"/>
      <c r="BZ218" s="395"/>
      <c r="CA218" s="395"/>
      <c r="CB218" s="395"/>
      <c r="CC218" s="395"/>
      <c r="CD218" s="395"/>
      <c r="CE218" s="395"/>
      <c r="CF218" s="395"/>
      <c r="CG218" s="395"/>
      <c r="CH218" s="395"/>
      <c r="CI218" s="395"/>
      <c r="CJ218" s="395"/>
      <c r="CK218" s="395"/>
      <c r="CL218" s="395"/>
      <c r="CM218" s="395"/>
      <c r="CN218" s="395"/>
      <c r="CO218" s="395"/>
      <c r="CP218" s="395"/>
      <c r="CQ218" s="395"/>
      <c r="CR218" s="395"/>
      <c r="CS218" s="395"/>
      <c r="CT218" s="395"/>
      <c r="CU218" s="395"/>
      <c r="CV218" s="395"/>
      <c r="CW218" s="395"/>
      <c r="CX218" s="395"/>
      <c r="CY218" s="395"/>
      <c r="CZ218" s="395"/>
      <c r="DA218" s="395"/>
      <c r="DB218" s="395"/>
      <c r="DC218" s="395"/>
      <c r="DD218" s="395"/>
      <c r="DE218" s="395"/>
      <c r="DF218" s="395"/>
      <c r="DG218" s="395"/>
      <c r="DH218" s="395"/>
      <c r="DI218" s="395"/>
      <c r="DJ218" s="395"/>
      <c r="DK218" s="395"/>
      <c r="DL218" s="395"/>
      <c r="DM218" s="395"/>
      <c r="DN218" s="395"/>
      <c r="DO218" s="395"/>
      <c r="DP218" s="395"/>
      <c r="DQ218" s="395"/>
      <c r="DR218" s="395"/>
      <c r="DS218" s="395"/>
      <c r="DT218" s="395"/>
      <c r="DU218" s="395"/>
      <c r="DV218" s="395"/>
      <c r="DW218" s="395"/>
      <c r="DX218" s="395"/>
      <c r="DY218" s="395"/>
      <c r="DZ218" s="395"/>
      <c r="EA218" s="395"/>
      <c r="EB218" s="395"/>
      <c r="EC218" s="395"/>
      <c r="ED218" s="395"/>
      <c r="EE218" s="395"/>
      <c r="EF218" s="395"/>
      <c r="EG218" s="395"/>
      <c r="EH218" s="395"/>
      <c r="EI218" s="395"/>
      <c r="EJ218" s="395"/>
      <c r="EK218" s="395"/>
      <c r="EL218" s="395"/>
      <c r="EM218" s="395"/>
      <c r="EN218" s="395"/>
      <c r="EO218" s="395"/>
      <c r="EP218" s="395"/>
      <c r="EQ218" s="395"/>
      <c r="ER218" s="395"/>
      <c r="ES218" s="395"/>
      <c r="ET218" s="395"/>
      <c r="EU218" s="395"/>
      <c r="EV218" s="395"/>
      <c r="EW218" s="395"/>
      <c r="EX218" s="395"/>
      <c r="EY218" s="395"/>
      <c r="EZ218" s="395"/>
      <c r="FA218" s="395"/>
      <c r="FB218" s="395"/>
      <c r="FC218" s="395"/>
      <c r="FD218" s="395"/>
      <c r="FE218" s="395"/>
      <c r="FF218" s="395"/>
      <c r="FG218" s="395"/>
      <c r="FH218" s="395"/>
      <c r="FI218" s="395"/>
      <c r="FJ218" s="395"/>
      <c r="FK218" s="395"/>
      <c r="FL218" s="395"/>
      <c r="FM218" s="395"/>
      <c r="FN218" s="395"/>
      <c r="FO218" s="395"/>
      <c r="FP218" s="395"/>
      <c r="FQ218" s="395"/>
      <c r="FR218" s="395"/>
      <c r="FS218" s="395"/>
      <c r="FT218" s="395"/>
      <c r="FU218" s="395"/>
      <c r="FV218" s="395"/>
      <c r="FW218" s="395"/>
      <c r="FX218" s="395"/>
      <c r="FY218" s="395"/>
      <c r="FZ218" s="395"/>
      <c r="GA218" s="395"/>
      <c r="GB218" s="395"/>
      <c r="GC218" s="395"/>
      <c r="GD218" s="395"/>
      <c r="GE218" s="395"/>
      <c r="GF218" s="395"/>
      <c r="GG218" s="395"/>
      <c r="GH218" s="395"/>
      <c r="GI218" s="395"/>
      <c r="GJ218" s="395"/>
      <c r="GK218" s="395"/>
      <c r="GL218" s="395"/>
      <c r="GM218" s="395"/>
      <c r="GN218" s="395"/>
      <c r="GO218" s="395"/>
      <c r="GP218" s="395"/>
      <c r="GQ218" s="395"/>
      <c r="GR218" s="395"/>
      <c r="GS218" s="395"/>
      <c r="GT218" s="395"/>
      <c r="GU218" s="395"/>
      <c r="GV218" s="395"/>
      <c r="GW218" s="395"/>
      <c r="GX218" s="395"/>
      <c r="GY218" s="395"/>
      <c r="GZ218" s="395"/>
      <c r="HA218" s="395"/>
      <c r="HB218" s="395"/>
      <c r="HC218" s="395"/>
      <c r="HD218" s="395"/>
      <c r="HE218" s="395"/>
      <c r="HF218" s="395"/>
      <c r="HG218" s="395"/>
      <c r="HH218" s="395"/>
      <c r="HI218" s="395"/>
      <c r="HJ218" s="395"/>
      <c r="HK218" s="395"/>
      <c r="HL218" s="395"/>
      <c r="HM218" s="395"/>
      <c r="HN218" s="395"/>
      <c r="HO218" s="395"/>
      <c r="HP218" s="395"/>
      <c r="HQ218" s="395"/>
      <c r="HR218" s="395"/>
    </row>
    <row r="219" spans="1:226" s="866" customFormat="1" x14ac:dyDescent="0.25">
      <c r="A219" s="395"/>
      <c r="B219" s="395"/>
      <c r="C219" s="395"/>
      <c r="D219" s="395"/>
      <c r="E219" s="395"/>
      <c r="F219" s="395"/>
      <c r="G219" s="395"/>
      <c r="H219" s="395"/>
      <c r="I219" s="395"/>
      <c r="J219" s="395"/>
      <c r="K219" s="395"/>
      <c r="L219" s="395"/>
      <c r="M219" s="395"/>
      <c r="N219" s="395"/>
      <c r="O219" s="395"/>
      <c r="P219" s="395"/>
      <c r="Q219" s="395"/>
      <c r="R219" s="395"/>
      <c r="S219" s="395"/>
      <c r="T219" s="395"/>
      <c r="U219" s="395"/>
      <c r="V219" s="1608"/>
      <c r="W219" s="395"/>
      <c r="X219" s="395"/>
      <c r="Y219" s="395"/>
      <c r="Z219" s="2140"/>
      <c r="AA219" s="395"/>
      <c r="AB219" s="395"/>
      <c r="AC219" s="395"/>
      <c r="AD219" s="395"/>
      <c r="AE219" s="395"/>
      <c r="AF219" s="395"/>
      <c r="AG219" s="395"/>
      <c r="AH219" s="395"/>
      <c r="AI219" s="395"/>
      <c r="AJ219" s="395"/>
      <c r="AK219" s="395"/>
      <c r="AL219" s="395"/>
      <c r="AM219" s="395"/>
      <c r="AN219" s="395"/>
      <c r="AO219" s="395"/>
      <c r="AP219" s="395"/>
      <c r="AQ219" s="395"/>
      <c r="AR219" s="395"/>
      <c r="AS219" s="395"/>
      <c r="AT219" s="395"/>
      <c r="AU219" s="395"/>
      <c r="AV219" s="395"/>
      <c r="AW219" s="395"/>
      <c r="AX219" s="395"/>
      <c r="AY219" s="395"/>
      <c r="AZ219" s="395"/>
      <c r="BA219" s="395"/>
      <c r="BB219" s="395"/>
      <c r="BC219" s="395"/>
      <c r="BD219" s="395"/>
      <c r="BE219" s="395"/>
      <c r="BF219" s="395"/>
      <c r="BG219" s="395"/>
      <c r="BH219" s="395"/>
      <c r="BI219" s="395"/>
      <c r="BJ219" s="395"/>
      <c r="BK219" s="395"/>
      <c r="BL219" s="395"/>
      <c r="BM219" s="395"/>
      <c r="BN219" s="395"/>
      <c r="BO219" s="395"/>
      <c r="BP219" s="395"/>
      <c r="BQ219" s="395"/>
      <c r="BR219" s="395"/>
      <c r="BS219" s="395"/>
      <c r="BT219" s="395"/>
      <c r="BU219" s="395"/>
      <c r="BV219" s="395"/>
      <c r="BW219" s="395"/>
      <c r="BX219" s="395"/>
      <c r="BY219" s="395"/>
      <c r="BZ219" s="395"/>
      <c r="CA219" s="395"/>
      <c r="CB219" s="395"/>
      <c r="CC219" s="395"/>
      <c r="CD219" s="395"/>
      <c r="CE219" s="395"/>
      <c r="CF219" s="395"/>
      <c r="CG219" s="395"/>
      <c r="CH219" s="395"/>
      <c r="CI219" s="395"/>
      <c r="CJ219" s="395"/>
      <c r="CK219" s="395"/>
      <c r="CL219" s="395"/>
      <c r="CM219" s="395"/>
      <c r="CN219" s="395"/>
      <c r="CO219" s="395"/>
      <c r="CP219" s="395"/>
      <c r="CQ219" s="395"/>
      <c r="CR219" s="395"/>
      <c r="CS219" s="395"/>
      <c r="CT219" s="395"/>
      <c r="CU219" s="395"/>
      <c r="CV219" s="395"/>
      <c r="CW219" s="395"/>
      <c r="CX219" s="395"/>
      <c r="CY219" s="395"/>
      <c r="CZ219" s="395"/>
      <c r="DA219" s="395"/>
      <c r="DB219" s="395"/>
      <c r="DC219" s="395"/>
      <c r="DD219" s="395"/>
      <c r="DE219" s="395"/>
      <c r="DF219" s="395"/>
      <c r="DG219" s="395"/>
      <c r="DH219" s="395"/>
      <c r="DI219" s="395"/>
      <c r="DJ219" s="395"/>
      <c r="DK219" s="395"/>
      <c r="DL219" s="395"/>
      <c r="DM219" s="395"/>
      <c r="DN219" s="395"/>
      <c r="DO219" s="395"/>
      <c r="DP219" s="395"/>
      <c r="DQ219" s="395"/>
      <c r="DR219" s="395"/>
      <c r="DS219" s="395"/>
      <c r="DT219" s="395"/>
      <c r="DU219" s="395"/>
      <c r="DV219" s="395"/>
      <c r="DW219" s="395"/>
      <c r="DX219" s="395"/>
      <c r="DY219" s="395"/>
      <c r="DZ219" s="395"/>
      <c r="EA219" s="395"/>
      <c r="EB219" s="395"/>
      <c r="EC219" s="395"/>
      <c r="ED219" s="395"/>
      <c r="EE219" s="395"/>
      <c r="EF219" s="395"/>
      <c r="EG219" s="395"/>
      <c r="EH219" s="395"/>
      <c r="EI219" s="395"/>
      <c r="EJ219" s="395"/>
      <c r="EK219" s="395"/>
      <c r="EL219" s="395"/>
      <c r="EM219" s="395"/>
      <c r="EN219" s="395"/>
      <c r="EO219" s="395"/>
      <c r="EP219" s="395"/>
      <c r="EQ219" s="395"/>
      <c r="ER219" s="395"/>
      <c r="ES219" s="395"/>
      <c r="ET219" s="395"/>
      <c r="EU219" s="395"/>
      <c r="EV219" s="395"/>
      <c r="EW219" s="395"/>
      <c r="EX219" s="395"/>
      <c r="EY219" s="395"/>
      <c r="EZ219" s="395"/>
      <c r="FA219" s="395"/>
      <c r="FB219" s="395"/>
      <c r="FC219" s="395"/>
      <c r="FD219" s="395"/>
      <c r="FE219" s="395"/>
      <c r="FF219" s="395"/>
      <c r="FG219" s="395"/>
      <c r="FH219" s="395"/>
      <c r="FI219" s="395"/>
      <c r="FJ219" s="395"/>
      <c r="FK219" s="395"/>
      <c r="FL219" s="395"/>
      <c r="FM219" s="395"/>
      <c r="FN219" s="395"/>
      <c r="FO219" s="395"/>
      <c r="FP219" s="395"/>
      <c r="FQ219" s="395"/>
      <c r="FR219" s="395"/>
      <c r="FS219" s="395"/>
      <c r="FT219" s="395"/>
      <c r="FU219" s="395"/>
      <c r="FV219" s="395"/>
      <c r="FW219" s="395"/>
      <c r="FX219" s="395"/>
      <c r="FY219" s="395"/>
      <c r="FZ219" s="395"/>
      <c r="GA219" s="395"/>
      <c r="GB219" s="395"/>
      <c r="GC219" s="395"/>
      <c r="GD219" s="395"/>
      <c r="GE219" s="395"/>
      <c r="GF219" s="395"/>
      <c r="GG219" s="395"/>
      <c r="GH219" s="395"/>
      <c r="GI219" s="395"/>
      <c r="GJ219" s="395"/>
      <c r="GK219" s="395"/>
      <c r="GL219" s="395"/>
      <c r="GM219" s="395"/>
      <c r="GN219" s="395"/>
      <c r="GO219" s="395"/>
      <c r="GP219" s="395"/>
      <c r="GQ219" s="395"/>
      <c r="GR219" s="395"/>
      <c r="GS219" s="395"/>
      <c r="GT219" s="395"/>
      <c r="GU219" s="395"/>
      <c r="GV219" s="395"/>
      <c r="GW219" s="395"/>
      <c r="GX219" s="395"/>
      <c r="GY219" s="395"/>
      <c r="GZ219" s="395"/>
      <c r="HA219" s="395"/>
      <c r="HB219" s="395"/>
      <c r="HC219" s="395"/>
      <c r="HD219" s="395"/>
      <c r="HE219" s="395"/>
      <c r="HF219" s="395"/>
      <c r="HG219" s="395"/>
      <c r="HH219" s="395"/>
      <c r="HI219" s="395"/>
      <c r="HJ219" s="395"/>
      <c r="HK219" s="395"/>
      <c r="HL219" s="395"/>
      <c r="HM219" s="395"/>
      <c r="HN219" s="395"/>
      <c r="HO219" s="395"/>
      <c r="HP219" s="395"/>
      <c r="HQ219" s="395"/>
      <c r="HR219" s="395"/>
    </row>
    <row r="220" spans="1:226" s="866" customFormat="1" x14ac:dyDescent="0.25">
      <c r="A220" s="395"/>
      <c r="B220" s="395"/>
      <c r="C220" s="395"/>
      <c r="D220" s="395"/>
      <c r="E220" s="395"/>
      <c r="F220" s="395"/>
      <c r="G220" s="395"/>
      <c r="H220" s="395"/>
      <c r="I220" s="395"/>
      <c r="J220" s="395"/>
      <c r="K220" s="395"/>
      <c r="L220" s="395"/>
      <c r="M220" s="395"/>
      <c r="N220" s="395"/>
      <c r="O220" s="395"/>
      <c r="P220" s="395"/>
      <c r="Q220" s="395"/>
      <c r="R220" s="395"/>
      <c r="S220" s="395"/>
      <c r="T220" s="395"/>
      <c r="U220" s="395"/>
      <c r="V220" s="1608"/>
      <c r="W220" s="395"/>
      <c r="X220" s="395"/>
      <c r="Y220" s="395"/>
      <c r="Z220" s="2140"/>
      <c r="AA220" s="395"/>
      <c r="AB220" s="395"/>
      <c r="AC220" s="395"/>
      <c r="AD220" s="395"/>
      <c r="AE220" s="395"/>
      <c r="AF220" s="395"/>
      <c r="AG220" s="395"/>
      <c r="AH220" s="395"/>
      <c r="AI220" s="395"/>
      <c r="AJ220" s="395"/>
      <c r="AK220" s="395"/>
      <c r="AL220" s="395"/>
      <c r="AM220" s="395"/>
      <c r="AN220" s="395"/>
      <c r="AO220" s="395"/>
      <c r="AP220" s="395"/>
      <c r="AQ220" s="395"/>
      <c r="AR220" s="395"/>
      <c r="AS220" s="395"/>
      <c r="AT220" s="395"/>
      <c r="AU220" s="395"/>
      <c r="AV220" s="395"/>
      <c r="AW220" s="395"/>
      <c r="AX220" s="395"/>
      <c r="AY220" s="395"/>
      <c r="AZ220" s="395"/>
      <c r="BA220" s="395"/>
      <c r="BB220" s="395"/>
      <c r="BC220" s="395"/>
      <c r="BD220" s="395"/>
      <c r="BE220" s="395"/>
      <c r="BF220" s="395"/>
      <c r="BG220" s="395"/>
      <c r="BH220" s="395"/>
      <c r="BI220" s="395"/>
      <c r="BJ220" s="395"/>
      <c r="BK220" s="395"/>
      <c r="BL220" s="395"/>
      <c r="BM220" s="395"/>
      <c r="BN220" s="395"/>
      <c r="BO220" s="395"/>
      <c r="BP220" s="395"/>
      <c r="BQ220" s="395"/>
      <c r="BR220" s="395"/>
      <c r="BS220" s="395"/>
      <c r="BT220" s="395"/>
      <c r="BU220" s="395"/>
      <c r="BV220" s="395"/>
      <c r="BW220" s="395"/>
      <c r="BX220" s="395"/>
      <c r="BY220" s="395"/>
      <c r="BZ220" s="395"/>
      <c r="CA220" s="395"/>
      <c r="CB220" s="395"/>
      <c r="CC220" s="395"/>
      <c r="CD220" s="395"/>
      <c r="CE220" s="395"/>
      <c r="CF220" s="395"/>
      <c r="CG220" s="395"/>
      <c r="CH220" s="395"/>
      <c r="CI220" s="395"/>
      <c r="CJ220" s="395"/>
      <c r="CK220" s="395"/>
      <c r="CL220" s="395"/>
      <c r="CM220" s="395"/>
      <c r="CN220" s="395"/>
      <c r="CO220" s="395"/>
      <c r="CP220" s="395"/>
      <c r="CQ220" s="395"/>
      <c r="CR220" s="395"/>
      <c r="CS220" s="395"/>
      <c r="CT220" s="395"/>
      <c r="CU220" s="395"/>
      <c r="CV220" s="395"/>
      <c r="CW220" s="395"/>
      <c r="CX220" s="395"/>
      <c r="CY220" s="395"/>
      <c r="CZ220" s="395"/>
      <c r="DA220" s="395"/>
      <c r="DB220" s="395"/>
      <c r="DC220" s="395"/>
      <c r="DD220" s="395"/>
      <c r="DE220" s="395"/>
      <c r="DF220" s="395"/>
      <c r="DG220" s="395"/>
      <c r="DH220" s="395"/>
      <c r="DI220" s="395"/>
      <c r="DJ220" s="395"/>
      <c r="DK220" s="395"/>
      <c r="DL220" s="395"/>
      <c r="DM220" s="395"/>
      <c r="DN220" s="395"/>
      <c r="DO220" s="395"/>
      <c r="DP220" s="395"/>
      <c r="DQ220" s="395"/>
      <c r="DR220" s="395"/>
      <c r="DS220" s="395"/>
      <c r="DT220" s="395"/>
      <c r="DU220" s="395"/>
      <c r="DV220" s="395"/>
      <c r="DW220" s="395"/>
      <c r="DX220" s="395"/>
      <c r="DY220" s="395"/>
      <c r="DZ220" s="395"/>
      <c r="EA220" s="395"/>
      <c r="EB220" s="395"/>
      <c r="EC220" s="395"/>
      <c r="ED220" s="395"/>
      <c r="EE220" s="395"/>
      <c r="EF220" s="395"/>
      <c r="EG220" s="395"/>
      <c r="EH220" s="395"/>
      <c r="EI220" s="395"/>
      <c r="EJ220" s="395"/>
      <c r="EK220" s="395"/>
      <c r="EL220" s="395"/>
      <c r="EM220" s="395"/>
      <c r="EN220" s="395"/>
      <c r="EO220" s="395"/>
      <c r="EP220" s="395"/>
      <c r="EQ220" s="395"/>
      <c r="ER220" s="395"/>
      <c r="ES220" s="395"/>
      <c r="ET220" s="395"/>
      <c r="EU220" s="395"/>
      <c r="EV220" s="395"/>
      <c r="EW220" s="395"/>
      <c r="EX220" s="395"/>
      <c r="EY220" s="395"/>
      <c r="EZ220" s="395"/>
      <c r="FA220" s="395"/>
      <c r="FB220" s="395"/>
      <c r="FC220" s="395"/>
      <c r="FD220" s="395"/>
      <c r="FE220" s="395"/>
      <c r="FF220" s="395"/>
      <c r="FG220" s="395"/>
      <c r="FH220" s="395"/>
      <c r="FI220" s="395"/>
      <c r="FJ220" s="395"/>
      <c r="FK220" s="395"/>
      <c r="FL220" s="395"/>
      <c r="FM220" s="395"/>
      <c r="FN220" s="395"/>
      <c r="FO220" s="395"/>
      <c r="FP220" s="395"/>
      <c r="FQ220" s="395"/>
      <c r="FR220" s="395"/>
      <c r="FS220" s="395"/>
      <c r="FT220" s="395"/>
      <c r="FU220" s="395"/>
      <c r="FV220" s="395"/>
      <c r="FW220" s="395"/>
      <c r="FX220" s="395"/>
      <c r="FY220" s="395"/>
      <c r="FZ220" s="395"/>
      <c r="GA220" s="395"/>
      <c r="GB220" s="395"/>
      <c r="GC220" s="395"/>
      <c r="GD220" s="395"/>
      <c r="GE220" s="395"/>
      <c r="GF220" s="395"/>
      <c r="GG220" s="395"/>
      <c r="GH220" s="395"/>
      <c r="GI220" s="395"/>
      <c r="GJ220" s="395"/>
      <c r="GK220" s="395"/>
      <c r="GL220" s="395"/>
      <c r="GM220" s="395"/>
      <c r="GN220" s="395"/>
      <c r="GO220" s="395"/>
      <c r="GP220" s="395"/>
      <c r="GQ220" s="395"/>
      <c r="GR220" s="395"/>
      <c r="GS220" s="395"/>
      <c r="GT220" s="395"/>
      <c r="GU220" s="395"/>
      <c r="GV220" s="395"/>
      <c r="GW220" s="395"/>
      <c r="GX220" s="395"/>
      <c r="GY220" s="395"/>
      <c r="GZ220" s="395"/>
      <c r="HA220" s="395"/>
      <c r="HB220" s="395"/>
      <c r="HC220" s="395"/>
      <c r="HD220" s="395"/>
      <c r="HE220" s="395"/>
      <c r="HF220" s="395"/>
      <c r="HG220" s="395"/>
      <c r="HH220" s="395"/>
      <c r="HI220" s="395"/>
      <c r="HJ220" s="395"/>
      <c r="HK220" s="395"/>
      <c r="HL220" s="395"/>
      <c r="HM220" s="395"/>
      <c r="HN220" s="395"/>
      <c r="HO220" s="395"/>
      <c r="HP220" s="395"/>
      <c r="HQ220" s="395"/>
      <c r="HR220" s="395"/>
    </row>
    <row r="221" spans="1:226" s="866" customFormat="1" x14ac:dyDescent="0.25">
      <c r="A221" s="395"/>
      <c r="B221" s="395"/>
      <c r="C221" s="395"/>
      <c r="D221" s="395"/>
      <c r="E221" s="395"/>
      <c r="F221" s="395"/>
      <c r="G221" s="395"/>
      <c r="H221" s="395"/>
      <c r="I221" s="395"/>
      <c r="J221" s="395"/>
      <c r="K221" s="395"/>
      <c r="L221" s="395"/>
      <c r="M221" s="395"/>
      <c r="N221" s="395"/>
      <c r="O221" s="395"/>
      <c r="P221" s="395"/>
      <c r="Q221" s="395"/>
      <c r="R221" s="395"/>
      <c r="S221" s="395"/>
      <c r="T221" s="395"/>
      <c r="U221" s="395"/>
      <c r="V221" s="1608"/>
      <c r="W221" s="395"/>
      <c r="X221" s="395"/>
      <c r="Y221" s="395"/>
      <c r="Z221" s="2140"/>
      <c r="AA221" s="395"/>
      <c r="AB221" s="395"/>
      <c r="AC221" s="395"/>
      <c r="AD221" s="395"/>
      <c r="AE221" s="395"/>
      <c r="AF221" s="395"/>
      <c r="AG221" s="395"/>
      <c r="AH221" s="395"/>
      <c r="AI221" s="395"/>
      <c r="AJ221" s="395"/>
      <c r="AK221" s="395"/>
      <c r="AL221" s="395"/>
      <c r="AM221" s="395"/>
      <c r="AN221" s="395"/>
      <c r="AO221" s="395"/>
      <c r="AP221" s="395"/>
      <c r="AQ221" s="395"/>
      <c r="AR221" s="395"/>
      <c r="AS221" s="395"/>
      <c r="AT221" s="395"/>
      <c r="AU221" s="395"/>
      <c r="AV221" s="395"/>
      <c r="AW221" s="395"/>
      <c r="AX221" s="395"/>
      <c r="AY221" s="395"/>
      <c r="AZ221" s="395"/>
      <c r="BA221" s="395"/>
      <c r="BB221" s="395"/>
      <c r="BC221" s="395"/>
      <c r="BD221" s="395"/>
      <c r="BE221" s="395"/>
      <c r="BF221" s="395"/>
      <c r="BG221" s="395"/>
      <c r="BH221" s="395"/>
      <c r="BI221" s="395"/>
      <c r="BJ221" s="395"/>
      <c r="BK221" s="395"/>
      <c r="BL221" s="395"/>
      <c r="BM221" s="395"/>
      <c r="BN221" s="395"/>
      <c r="BO221" s="395"/>
      <c r="BP221" s="395"/>
      <c r="BQ221" s="395"/>
      <c r="BR221" s="395"/>
      <c r="BS221" s="395"/>
      <c r="BT221" s="395"/>
      <c r="BU221" s="395"/>
      <c r="BV221" s="395"/>
      <c r="BW221" s="395"/>
      <c r="BX221" s="395"/>
      <c r="BY221" s="395"/>
      <c r="BZ221" s="395"/>
      <c r="CA221" s="395"/>
      <c r="CB221" s="395"/>
      <c r="CC221" s="395"/>
      <c r="CD221" s="395"/>
      <c r="CE221" s="395"/>
      <c r="CF221" s="395"/>
      <c r="CG221" s="395"/>
      <c r="CH221" s="395"/>
      <c r="CI221" s="395"/>
      <c r="CJ221" s="395"/>
      <c r="CK221" s="395"/>
      <c r="CL221" s="395"/>
      <c r="CM221" s="395"/>
      <c r="CN221" s="395"/>
      <c r="CO221" s="395"/>
      <c r="CP221" s="395"/>
      <c r="CQ221" s="395"/>
      <c r="CR221" s="395"/>
      <c r="CS221" s="395"/>
      <c r="CT221" s="395"/>
      <c r="CU221" s="395"/>
      <c r="CV221" s="395"/>
      <c r="CW221" s="395"/>
      <c r="CX221" s="395"/>
      <c r="CY221" s="395"/>
      <c r="CZ221" s="395"/>
      <c r="DA221" s="395"/>
      <c r="DB221" s="395"/>
      <c r="DC221" s="395"/>
      <c r="DD221" s="395"/>
      <c r="DE221" s="395"/>
      <c r="DF221" s="395"/>
      <c r="DG221" s="395"/>
      <c r="DH221" s="395"/>
      <c r="DI221" s="395"/>
      <c r="DJ221" s="395"/>
      <c r="DK221" s="395"/>
      <c r="DL221" s="395"/>
      <c r="DM221" s="395"/>
      <c r="DN221" s="395"/>
      <c r="DO221" s="395"/>
      <c r="DP221" s="395"/>
      <c r="DQ221" s="395"/>
      <c r="DR221" s="395"/>
      <c r="DS221" s="395"/>
      <c r="DT221" s="395"/>
      <c r="DU221" s="395"/>
      <c r="DV221" s="395"/>
      <c r="DW221" s="395"/>
      <c r="DX221" s="395"/>
      <c r="DY221" s="395"/>
      <c r="DZ221" s="395"/>
      <c r="EA221" s="395"/>
      <c r="EB221" s="395"/>
      <c r="EC221" s="395"/>
      <c r="ED221" s="395"/>
      <c r="EE221" s="395"/>
      <c r="EF221" s="395"/>
      <c r="EG221" s="395"/>
      <c r="EH221" s="395"/>
      <c r="EI221" s="395"/>
      <c r="EJ221" s="395"/>
      <c r="EK221" s="395"/>
      <c r="EL221" s="395"/>
      <c r="EM221" s="395"/>
      <c r="EN221" s="395"/>
      <c r="EO221" s="395"/>
      <c r="EP221" s="395"/>
      <c r="EQ221" s="395"/>
      <c r="ER221" s="395"/>
      <c r="ES221" s="395"/>
      <c r="ET221" s="395"/>
      <c r="EU221" s="395"/>
      <c r="EV221" s="395"/>
      <c r="EW221" s="395"/>
      <c r="EX221" s="395"/>
      <c r="EY221" s="395"/>
      <c r="EZ221" s="395"/>
      <c r="FA221" s="395"/>
      <c r="FB221" s="395"/>
      <c r="FC221" s="395"/>
      <c r="FD221" s="395"/>
      <c r="FE221" s="395"/>
      <c r="FF221" s="395"/>
      <c r="FG221" s="395"/>
      <c r="FH221" s="395"/>
      <c r="FI221" s="395"/>
      <c r="FJ221" s="395"/>
      <c r="FK221" s="395"/>
      <c r="FL221" s="395"/>
      <c r="FM221" s="395"/>
      <c r="FN221" s="395"/>
      <c r="FO221" s="395"/>
      <c r="FP221" s="395"/>
      <c r="FQ221" s="395"/>
      <c r="FR221" s="395"/>
      <c r="FS221" s="395"/>
      <c r="FT221" s="395"/>
      <c r="FU221" s="395"/>
      <c r="FV221" s="395"/>
      <c r="FW221" s="395"/>
      <c r="FX221" s="395"/>
      <c r="FY221" s="395"/>
      <c r="FZ221" s="395"/>
      <c r="GA221" s="395"/>
      <c r="GB221" s="395"/>
      <c r="GC221" s="395"/>
      <c r="GD221" s="395"/>
      <c r="GE221" s="395"/>
      <c r="GF221" s="395"/>
      <c r="GG221" s="395"/>
      <c r="GH221" s="395"/>
      <c r="GI221" s="395"/>
      <c r="GJ221" s="395"/>
      <c r="GK221" s="395"/>
      <c r="GL221" s="395"/>
      <c r="GM221" s="395"/>
      <c r="GN221" s="395"/>
      <c r="GO221" s="395"/>
      <c r="GP221" s="395"/>
      <c r="GQ221" s="395"/>
      <c r="GR221" s="395"/>
      <c r="GS221" s="395"/>
      <c r="GT221" s="395"/>
      <c r="GU221" s="395"/>
      <c r="GV221" s="395"/>
      <c r="GW221" s="395"/>
      <c r="GX221" s="395"/>
      <c r="GY221" s="395"/>
      <c r="GZ221" s="395"/>
      <c r="HA221" s="395"/>
      <c r="HB221" s="395"/>
      <c r="HC221" s="395"/>
      <c r="HD221" s="395"/>
      <c r="HE221" s="395"/>
      <c r="HF221" s="395"/>
      <c r="HG221" s="395"/>
      <c r="HH221" s="395"/>
      <c r="HI221" s="395"/>
      <c r="HJ221" s="395"/>
      <c r="HK221" s="395"/>
      <c r="HL221" s="395"/>
      <c r="HM221" s="395"/>
      <c r="HN221" s="395"/>
      <c r="HO221" s="395"/>
      <c r="HP221" s="395"/>
      <c r="HQ221" s="395"/>
      <c r="HR221" s="395"/>
    </row>
    <row r="222" spans="1:226" s="866" customFormat="1" x14ac:dyDescent="0.25">
      <c r="A222" s="395"/>
      <c r="B222" s="395"/>
      <c r="C222" s="395"/>
      <c r="D222" s="395"/>
      <c r="E222" s="395"/>
      <c r="F222" s="395"/>
      <c r="G222" s="395"/>
      <c r="H222" s="395"/>
      <c r="I222" s="395"/>
      <c r="J222" s="395"/>
      <c r="K222" s="395"/>
      <c r="L222" s="395"/>
      <c r="M222" s="395"/>
      <c r="N222" s="395"/>
      <c r="O222" s="395"/>
      <c r="P222" s="395"/>
      <c r="Q222" s="395"/>
      <c r="R222" s="395"/>
      <c r="S222" s="395"/>
      <c r="T222" s="395"/>
      <c r="U222" s="395"/>
      <c r="V222" s="1608"/>
      <c r="W222" s="395"/>
      <c r="X222" s="395"/>
      <c r="Y222" s="395"/>
      <c r="Z222" s="2140"/>
      <c r="AA222" s="395"/>
      <c r="AB222" s="395"/>
      <c r="AC222" s="395"/>
      <c r="AD222" s="395"/>
      <c r="AE222" s="395"/>
      <c r="AF222" s="395"/>
      <c r="AG222" s="395"/>
      <c r="AH222" s="395"/>
      <c r="AI222" s="395"/>
      <c r="AJ222" s="395"/>
      <c r="AK222" s="395"/>
      <c r="AL222" s="395"/>
      <c r="AM222" s="395"/>
      <c r="AN222" s="395"/>
      <c r="AO222" s="395"/>
      <c r="AP222" s="395"/>
      <c r="AQ222" s="395"/>
      <c r="AR222" s="395"/>
      <c r="AS222" s="395"/>
      <c r="AT222" s="395"/>
      <c r="AU222" s="395"/>
      <c r="AV222" s="395"/>
      <c r="AW222" s="395"/>
      <c r="AX222" s="395"/>
      <c r="AY222" s="395"/>
      <c r="AZ222" s="395"/>
      <c r="BA222" s="395"/>
      <c r="BB222" s="395"/>
      <c r="BC222" s="395"/>
      <c r="BD222" s="395"/>
      <c r="BE222" s="395"/>
      <c r="BF222" s="395"/>
      <c r="BG222" s="395"/>
      <c r="BH222" s="395"/>
      <c r="BI222" s="395"/>
      <c r="BJ222" s="395"/>
      <c r="BK222" s="395"/>
      <c r="BL222" s="395"/>
      <c r="BM222" s="395"/>
      <c r="BN222" s="395"/>
      <c r="BO222" s="395"/>
      <c r="BP222" s="395"/>
      <c r="BQ222" s="395"/>
      <c r="BR222" s="395"/>
      <c r="BS222" s="395"/>
      <c r="BT222" s="395"/>
      <c r="BU222" s="395"/>
      <c r="BV222" s="395"/>
      <c r="BW222" s="395"/>
      <c r="BX222" s="395"/>
      <c r="BY222" s="395"/>
      <c r="BZ222" s="395"/>
      <c r="CA222" s="395"/>
      <c r="CB222" s="395"/>
      <c r="CC222" s="395"/>
      <c r="CD222" s="395"/>
      <c r="CE222" s="395"/>
      <c r="CF222" s="395"/>
      <c r="CG222" s="395"/>
      <c r="CH222" s="395"/>
      <c r="CI222" s="395"/>
      <c r="CJ222" s="395"/>
      <c r="CK222" s="395"/>
      <c r="CL222" s="395"/>
      <c r="CM222" s="395"/>
      <c r="CN222" s="395"/>
      <c r="CO222" s="395"/>
      <c r="CP222" s="395"/>
      <c r="CQ222" s="395"/>
      <c r="CR222" s="395"/>
      <c r="CS222" s="395"/>
      <c r="CT222" s="395"/>
      <c r="CU222" s="395"/>
      <c r="CV222" s="395"/>
      <c r="CW222" s="395"/>
      <c r="CX222" s="395"/>
      <c r="CY222" s="395"/>
      <c r="CZ222" s="395"/>
      <c r="DA222" s="395"/>
      <c r="DB222" s="395"/>
      <c r="DC222" s="395"/>
      <c r="DD222" s="395"/>
      <c r="DE222" s="395"/>
      <c r="DF222" s="395"/>
      <c r="DG222" s="395"/>
      <c r="DH222" s="395"/>
      <c r="DI222" s="395"/>
      <c r="DJ222" s="395"/>
      <c r="DK222" s="395"/>
      <c r="DL222" s="395"/>
      <c r="DM222" s="395"/>
      <c r="DN222" s="395"/>
      <c r="DO222" s="395"/>
      <c r="DP222" s="395"/>
      <c r="DQ222" s="395"/>
      <c r="DR222" s="395"/>
      <c r="DS222" s="395"/>
      <c r="DT222" s="395"/>
      <c r="DU222" s="395"/>
      <c r="DV222" s="395"/>
      <c r="DW222" s="395"/>
      <c r="DX222" s="395"/>
      <c r="DY222" s="395"/>
      <c r="DZ222" s="395"/>
      <c r="EA222" s="395"/>
      <c r="EB222" s="395"/>
      <c r="EC222" s="395"/>
      <c r="ED222" s="395"/>
      <c r="EE222" s="395"/>
      <c r="EF222" s="395"/>
      <c r="EG222" s="395"/>
      <c r="EH222" s="395"/>
      <c r="EI222" s="395"/>
      <c r="EJ222" s="395"/>
      <c r="EK222" s="395"/>
      <c r="EL222" s="395"/>
      <c r="EM222" s="395"/>
      <c r="EN222" s="395"/>
      <c r="EO222" s="395"/>
      <c r="EP222" s="395"/>
      <c r="EQ222" s="395"/>
      <c r="ER222" s="395"/>
      <c r="ES222" s="395"/>
      <c r="ET222" s="395"/>
      <c r="EU222" s="395"/>
      <c r="EV222" s="395"/>
      <c r="EW222" s="395"/>
      <c r="EX222" s="395"/>
      <c r="EY222" s="395"/>
      <c r="EZ222" s="395"/>
      <c r="FA222" s="395"/>
      <c r="FB222" s="395"/>
      <c r="FC222" s="395"/>
      <c r="FD222" s="395"/>
      <c r="FE222" s="395"/>
      <c r="FF222" s="395"/>
      <c r="FG222" s="395"/>
      <c r="FH222" s="395"/>
      <c r="FI222" s="395"/>
      <c r="FJ222" s="395"/>
      <c r="FK222" s="395"/>
      <c r="FL222" s="395"/>
      <c r="FM222" s="395"/>
      <c r="FN222" s="395"/>
      <c r="FO222" s="395"/>
      <c r="FP222" s="395"/>
      <c r="FQ222" s="395"/>
      <c r="FR222" s="395"/>
      <c r="FS222" s="395"/>
      <c r="FT222" s="395"/>
      <c r="FU222" s="395"/>
      <c r="FV222" s="395"/>
      <c r="FW222" s="395"/>
      <c r="FX222" s="395"/>
      <c r="FY222" s="395"/>
      <c r="FZ222" s="395"/>
      <c r="GA222" s="395"/>
      <c r="GB222" s="395"/>
      <c r="GC222" s="395"/>
      <c r="GD222" s="395"/>
      <c r="GE222" s="395"/>
      <c r="GF222" s="395"/>
      <c r="GG222" s="395"/>
      <c r="GH222" s="395"/>
      <c r="GI222" s="395"/>
      <c r="GJ222" s="395"/>
      <c r="GK222" s="395"/>
      <c r="GL222" s="395"/>
      <c r="GM222" s="395"/>
      <c r="GN222" s="395"/>
      <c r="GO222" s="395"/>
      <c r="GP222" s="395"/>
      <c r="GQ222" s="395"/>
      <c r="GR222" s="395"/>
      <c r="GS222" s="395"/>
      <c r="GT222" s="395"/>
      <c r="GU222" s="395"/>
      <c r="GV222" s="395"/>
      <c r="GW222" s="395"/>
      <c r="GX222" s="395"/>
      <c r="GY222" s="395"/>
      <c r="GZ222" s="395"/>
      <c r="HA222" s="395"/>
      <c r="HB222" s="395"/>
      <c r="HC222" s="395"/>
      <c r="HD222" s="395"/>
      <c r="HE222" s="395"/>
      <c r="HF222" s="395"/>
      <c r="HG222" s="395"/>
      <c r="HH222" s="395"/>
      <c r="HI222" s="395"/>
      <c r="HJ222" s="395"/>
      <c r="HK222" s="395"/>
      <c r="HL222" s="395"/>
      <c r="HM222" s="395"/>
      <c r="HN222" s="395"/>
      <c r="HO222" s="395"/>
      <c r="HP222" s="395"/>
      <c r="HQ222" s="395"/>
      <c r="HR222" s="395"/>
    </row>
    <row r="223" spans="1:226" s="866" customFormat="1" x14ac:dyDescent="0.25">
      <c r="A223" s="395"/>
      <c r="B223" s="395"/>
      <c r="C223" s="395"/>
      <c r="D223" s="395"/>
      <c r="E223" s="395"/>
      <c r="F223" s="395"/>
      <c r="G223" s="395"/>
      <c r="H223" s="395"/>
      <c r="I223" s="395"/>
      <c r="J223" s="395"/>
      <c r="K223" s="395"/>
      <c r="L223" s="395"/>
      <c r="M223" s="395"/>
      <c r="N223" s="395"/>
      <c r="O223" s="395"/>
      <c r="P223" s="395"/>
      <c r="Q223" s="395"/>
      <c r="R223" s="395"/>
      <c r="S223" s="395"/>
      <c r="T223" s="395"/>
      <c r="U223" s="395"/>
      <c r="V223" s="1608"/>
      <c r="W223" s="395"/>
      <c r="X223" s="395"/>
      <c r="Y223" s="395"/>
      <c r="Z223" s="2140"/>
      <c r="AA223" s="395"/>
      <c r="AB223" s="395"/>
      <c r="AC223" s="395"/>
      <c r="AD223" s="395"/>
      <c r="AE223" s="395"/>
      <c r="AF223" s="395"/>
      <c r="AG223" s="395"/>
      <c r="AH223" s="395"/>
      <c r="AI223" s="395"/>
      <c r="AJ223" s="395"/>
      <c r="AK223" s="395"/>
      <c r="AL223" s="395"/>
      <c r="AM223" s="395"/>
      <c r="AN223" s="395"/>
      <c r="AO223" s="395"/>
      <c r="AP223" s="395"/>
      <c r="AQ223" s="395"/>
      <c r="AR223" s="395"/>
      <c r="AS223" s="395"/>
      <c r="AT223" s="395"/>
      <c r="AU223" s="395"/>
      <c r="AV223" s="395"/>
      <c r="AW223" s="395"/>
      <c r="AX223" s="395"/>
      <c r="AY223" s="395"/>
      <c r="AZ223" s="395"/>
      <c r="BA223" s="395"/>
      <c r="BB223" s="395"/>
      <c r="BC223" s="395"/>
      <c r="BD223" s="395"/>
      <c r="BE223" s="395"/>
      <c r="BF223" s="395"/>
      <c r="BG223" s="395"/>
      <c r="BH223" s="395"/>
      <c r="BI223" s="395"/>
      <c r="BJ223" s="395"/>
      <c r="BK223" s="395"/>
      <c r="BL223" s="395"/>
      <c r="BM223" s="395"/>
      <c r="BN223" s="395"/>
      <c r="BO223" s="395"/>
      <c r="BP223" s="395"/>
      <c r="BQ223" s="395"/>
      <c r="BR223" s="395"/>
      <c r="BS223" s="395"/>
      <c r="BT223" s="395"/>
      <c r="BU223" s="395"/>
      <c r="BV223" s="395"/>
      <c r="BW223" s="395"/>
      <c r="BX223" s="395"/>
      <c r="BY223" s="395"/>
      <c r="BZ223" s="395"/>
      <c r="CA223" s="395"/>
      <c r="CB223" s="395"/>
      <c r="CC223" s="395"/>
      <c r="CD223" s="395"/>
      <c r="CE223" s="395"/>
      <c r="CF223" s="395"/>
      <c r="CG223" s="395"/>
      <c r="CH223" s="395"/>
      <c r="CI223" s="395"/>
      <c r="CJ223" s="395"/>
      <c r="CK223" s="395"/>
      <c r="CL223" s="395"/>
      <c r="CM223" s="395"/>
      <c r="CN223" s="395"/>
      <c r="CO223" s="395"/>
      <c r="CP223" s="395"/>
      <c r="CQ223" s="395"/>
      <c r="CR223" s="395"/>
      <c r="CS223" s="395"/>
      <c r="CT223" s="395"/>
      <c r="CU223" s="395"/>
      <c r="CV223" s="395"/>
      <c r="CW223" s="395"/>
      <c r="CX223" s="395"/>
      <c r="CY223" s="395"/>
      <c r="CZ223" s="395"/>
      <c r="DA223" s="395"/>
      <c r="DB223" s="395"/>
      <c r="DC223" s="395"/>
      <c r="DD223" s="395"/>
      <c r="DE223" s="395"/>
      <c r="DF223" s="395"/>
      <c r="DG223" s="395"/>
      <c r="DH223" s="395"/>
      <c r="DI223" s="395"/>
      <c r="DJ223" s="395"/>
      <c r="DK223" s="395"/>
      <c r="DL223" s="395"/>
      <c r="DM223" s="395"/>
      <c r="DN223" s="395"/>
      <c r="DO223" s="395"/>
      <c r="DP223" s="395"/>
      <c r="DQ223" s="395"/>
      <c r="DR223" s="395"/>
      <c r="DS223" s="395"/>
      <c r="DT223" s="395"/>
      <c r="DU223" s="395"/>
      <c r="DV223" s="395"/>
      <c r="DW223" s="395"/>
      <c r="DX223" s="395"/>
      <c r="DY223" s="395"/>
      <c r="DZ223" s="395"/>
      <c r="EA223" s="395"/>
      <c r="EB223" s="395"/>
      <c r="EC223" s="395"/>
      <c r="ED223" s="395"/>
      <c r="EE223" s="395"/>
      <c r="EF223" s="395"/>
      <c r="EG223" s="395"/>
      <c r="EH223" s="395"/>
      <c r="EI223" s="395"/>
      <c r="EJ223" s="395"/>
      <c r="EK223" s="395"/>
      <c r="EL223" s="395"/>
      <c r="EM223" s="395"/>
      <c r="EN223" s="395"/>
      <c r="EO223" s="395"/>
      <c r="EP223" s="395"/>
      <c r="EQ223" s="395"/>
      <c r="ER223" s="395"/>
      <c r="ES223" s="395"/>
      <c r="ET223" s="395"/>
      <c r="EU223" s="395"/>
      <c r="EV223" s="395"/>
      <c r="EW223" s="395"/>
      <c r="EX223" s="395"/>
      <c r="EY223" s="395"/>
      <c r="EZ223" s="395"/>
      <c r="FA223" s="395"/>
      <c r="FB223" s="395"/>
      <c r="FC223" s="395"/>
      <c r="FD223" s="395"/>
      <c r="FE223" s="395"/>
      <c r="FF223" s="395"/>
      <c r="FG223" s="395"/>
      <c r="FH223" s="395"/>
      <c r="FI223" s="395"/>
      <c r="FJ223" s="395"/>
      <c r="FK223" s="395"/>
      <c r="FL223" s="395"/>
      <c r="FM223" s="395"/>
      <c r="FN223" s="395"/>
      <c r="FO223" s="395"/>
      <c r="FP223" s="395"/>
      <c r="FQ223" s="395"/>
      <c r="FR223" s="395"/>
      <c r="FS223" s="395"/>
      <c r="FT223" s="395"/>
      <c r="FU223" s="395"/>
      <c r="FV223" s="395"/>
      <c r="FW223" s="395"/>
      <c r="FX223" s="395"/>
      <c r="FY223" s="395"/>
      <c r="FZ223" s="395"/>
      <c r="GA223" s="395"/>
      <c r="GB223" s="395"/>
      <c r="GC223" s="395"/>
      <c r="GD223" s="395"/>
      <c r="GE223" s="395"/>
      <c r="GF223" s="395"/>
      <c r="GG223" s="395"/>
      <c r="GH223" s="395"/>
      <c r="GI223" s="395"/>
      <c r="GJ223" s="395"/>
      <c r="GK223" s="395"/>
      <c r="GL223" s="395"/>
      <c r="GM223" s="395"/>
      <c r="GN223" s="395"/>
      <c r="GO223" s="395"/>
      <c r="GP223" s="395"/>
      <c r="GQ223" s="395"/>
      <c r="GR223" s="395"/>
      <c r="GS223" s="395"/>
      <c r="GT223" s="395"/>
      <c r="GU223" s="395"/>
      <c r="GV223" s="395"/>
      <c r="GW223" s="395"/>
      <c r="GX223" s="395"/>
      <c r="GY223" s="395"/>
      <c r="GZ223" s="395"/>
      <c r="HA223" s="395"/>
      <c r="HB223" s="395"/>
      <c r="HC223" s="395"/>
      <c r="HD223" s="395"/>
      <c r="HE223" s="395"/>
      <c r="HF223" s="395"/>
      <c r="HG223" s="395"/>
      <c r="HH223" s="395"/>
      <c r="HI223" s="395"/>
      <c r="HJ223" s="395"/>
      <c r="HK223" s="395"/>
      <c r="HL223" s="395"/>
      <c r="HM223" s="395"/>
      <c r="HN223" s="395"/>
      <c r="HO223" s="395"/>
      <c r="HP223" s="395"/>
      <c r="HQ223" s="395"/>
      <c r="HR223" s="395"/>
    </row>
    <row r="224" spans="1:226" s="866" customFormat="1" x14ac:dyDescent="0.25">
      <c r="A224" s="395"/>
      <c r="B224" s="395"/>
      <c r="C224" s="395"/>
      <c r="D224" s="395"/>
      <c r="E224" s="395"/>
      <c r="F224" s="395"/>
      <c r="G224" s="395"/>
      <c r="H224" s="395"/>
      <c r="I224" s="395"/>
      <c r="J224" s="395"/>
      <c r="K224" s="395"/>
      <c r="L224" s="395"/>
      <c r="M224" s="395"/>
      <c r="N224" s="395"/>
      <c r="O224" s="395"/>
      <c r="P224" s="395"/>
      <c r="Q224" s="395"/>
      <c r="R224" s="395"/>
      <c r="S224" s="395"/>
      <c r="T224" s="395"/>
      <c r="U224" s="395"/>
      <c r="V224" s="1608"/>
      <c r="W224" s="395"/>
      <c r="X224" s="395"/>
      <c r="Y224" s="395"/>
      <c r="Z224" s="2140"/>
      <c r="AA224" s="395"/>
      <c r="AB224" s="395"/>
      <c r="AC224" s="395"/>
      <c r="AD224" s="395"/>
      <c r="AE224" s="395"/>
      <c r="AF224" s="395"/>
      <c r="AG224" s="395"/>
      <c r="AH224" s="395"/>
      <c r="AI224" s="395"/>
      <c r="AJ224" s="395"/>
      <c r="AK224" s="395"/>
      <c r="AL224" s="395"/>
      <c r="AM224" s="395"/>
      <c r="AN224" s="395"/>
      <c r="AO224" s="395"/>
      <c r="AP224" s="395"/>
      <c r="AQ224" s="395"/>
      <c r="AR224" s="395"/>
      <c r="AS224" s="395"/>
      <c r="AT224" s="395"/>
      <c r="AU224" s="395"/>
      <c r="AV224" s="395"/>
      <c r="AW224" s="395"/>
      <c r="AX224" s="395"/>
      <c r="AY224" s="395"/>
      <c r="AZ224" s="395"/>
      <c r="BA224" s="395"/>
      <c r="BB224" s="395"/>
      <c r="BC224" s="395"/>
      <c r="BD224" s="395"/>
      <c r="BE224" s="395"/>
      <c r="BF224" s="395"/>
      <c r="BG224" s="395"/>
      <c r="BH224" s="395"/>
      <c r="BI224" s="395"/>
      <c r="BJ224" s="395"/>
      <c r="BK224" s="395"/>
      <c r="BL224" s="395"/>
      <c r="BM224" s="395"/>
      <c r="BN224" s="395"/>
      <c r="BO224" s="395"/>
      <c r="BP224" s="395"/>
      <c r="BQ224" s="395"/>
      <c r="BR224" s="395"/>
      <c r="BS224" s="395"/>
      <c r="BT224" s="395"/>
      <c r="BU224" s="395"/>
      <c r="BV224" s="395"/>
      <c r="BW224" s="395"/>
      <c r="BX224" s="395"/>
      <c r="BY224" s="395"/>
      <c r="BZ224" s="395"/>
      <c r="CA224" s="395"/>
      <c r="CB224" s="395"/>
      <c r="CC224" s="395"/>
      <c r="CD224" s="395"/>
      <c r="CE224" s="395"/>
      <c r="CF224" s="395"/>
      <c r="CG224" s="395"/>
      <c r="CH224" s="395"/>
      <c r="CI224" s="395"/>
      <c r="CJ224" s="395"/>
      <c r="CK224" s="395"/>
      <c r="CL224" s="395"/>
      <c r="CM224" s="395"/>
      <c r="CN224" s="395"/>
      <c r="CO224" s="395"/>
      <c r="CP224" s="395"/>
      <c r="CQ224" s="395"/>
      <c r="CR224" s="395"/>
      <c r="CS224" s="395"/>
      <c r="CT224" s="395"/>
      <c r="CU224" s="395"/>
      <c r="CV224" s="395"/>
      <c r="CW224" s="395"/>
      <c r="CX224" s="395"/>
      <c r="CY224" s="395"/>
      <c r="CZ224" s="395"/>
      <c r="DA224" s="395"/>
      <c r="DB224" s="395"/>
      <c r="DC224" s="395"/>
      <c r="DD224" s="395"/>
      <c r="DE224" s="395"/>
      <c r="DF224" s="395"/>
      <c r="DG224" s="395"/>
      <c r="DH224" s="395"/>
      <c r="DI224" s="395"/>
      <c r="DJ224" s="395"/>
      <c r="DK224" s="395"/>
      <c r="DL224" s="395"/>
      <c r="DM224" s="395"/>
      <c r="DN224" s="395"/>
      <c r="DO224" s="395"/>
      <c r="DP224" s="395"/>
      <c r="DQ224" s="395"/>
      <c r="DR224" s="395"/>
      <c r="DS224" s="395"/>
      <c r="DT224" s="395"/>
      <c r="DU224" s="395"/>
      <c r="DV224" s="395"/>
      <c r="DW224" s="395"/>
      <c r="DX224" s="395"/>
      <c r="DY224" s="395"/>
      <c r="DZ224" s="395"/>
      <c r="EA224" s="395"/>
      <c r="EB224" s="395"/>
      <c r="EC224" s="395"/>
      <c r="ED224" s="395"/>
      <c r="EE224" s="395"/>
      <c r="EF224" s="395"/>
      <c r="EG224" s="395"/>
      <c r="EH224" s="395"/>
      <c r="EI224" s="395"/>
      <c r="EJ224" s="395"/>
      <c r="EK224" s="395"/>
      <c r="EL224" s="395"/>
      <c r="EM224" s="395"/>
      <c r="EN224" s="395"/>
      <c r="EO224" s="395"/>
      <c r="EP224" s="395"/>
      <c r="EQ224" s="395"/>
      <c r="ER224" s="395"/>
      <c r="ES224" s="395"/>
      <c r="ET224" s="395"/>
      <c r="EU224" s="395"/>
      <c r="EV224" s="395"/>
      <c r="EW224" s="395"/>
      <c r="EX224" s="395"/>
      <c r="EY224" s="395"/>
      <c r="EZ224" s="395"/>
      <c r="FA224" s="395"/>
      <c r="FB224" s="395"/>
      <c r="FC224" s="395"/>
      <c r="FD224" s="395"/>
      <c r="FE224" s="395"/>
      <c r="FF224" s="395"/>
      <c r="FG224" s="395"/>
      <c r="FH224" s="395"/>
      <c r="FI224" s="395"/>
      <c r="FJ224" s="395"/>
      <c r="FK224" s="395"/>
      <c r="FL224" s="395"/>
      <c r="FM224" s="395"/>
      <c r="FN224" s="395"/>
      <c r="FO224" s="395"/>
      <c r="FP224" s="395"/>
      <c r="FQ224" s="395"/>
      <c r="FR224" s="395"/>
      <c r="FS224" s="395"/>
      <c r="FT224" s="395"/>
      <c r="FU224" s="395"/>
      <c r="FV224" s="395"/>
      <c r="FW224" s="395"/>
      <c r="FX224" s="395"/>
      <c r="FY224" s="395"/>
      <c r="FZ224" s="395"/>
      <c r="GA224" s="395"/>
      <c r="GB224" s="395"/>
      <c r="GC224" s="395"/>
      <c r="GD224" s="395"/>
      <c r="GE224" s="395"/>
      <c r="GF224" s="395"/>
      <c r="GG224" s="395"/>
      <c r="GH224" s="395"/>
      <c r="GI224" s="395"/>
      <c r="GJ224" s="395"/>
      <c r="GK224" s="395"/>
      <c r="GL224" s="395"/>
      <c r="GM224" s="395"/>
      <c r="GN224" s="395"/>
      <c r="GO224" s="395"/>
      <c r="GP224" s="395"/>
      <c r="GQ224" s="395"/>
      <c r="GR224" s="395"/>
      <c r="GS224" s="395"/>
      <c r="GT224" s="395"/>
      <c r="GU224" s="395"/>
      <c r="GV224" s="395"/>
      <c r="GW224" s="395"/>
      <c r="GX224" s="395"/>
      <c r="GY224" s="395"/>
      <c r="GZ224" s="395"/>
      <c r="HA224" s="395"/>
      <c r="HB224" s="395"/>
      <c r="HC224" s="395"/>
      <c r="HD224" s="395"/>
      <c r="HE224" s="395"/>
      <c r="HF224" s="395"/>
      <c r="HG224" s="395"/>
      <c r="HH224" s="395"/>
      <c r="HI224" s="395"/>
      <c r="HJ224" s="395"/>
      <c r="HK224" s="395"/>
      <c r="HL224" s="395"/>
      <c r="HM224" s="395"/>
      <c r="HN224" s="395"/>
      <c r="HO224" s="395"/>
      <c r="HP224" s="395"/>
      <c r="HQ224" s="395"/>
      <c r="HR224" s="395"/>
    </row>
    <row r="225" spans="1:226" s="866" customFormat="1" x14ac:dyDescent="0.25">
      <c r="A225" s="395"/>
      <c r="B225" s="395"/>
      <c r="C225" s="395"/>
      <c r="D225" s="395"/>
      <c r="E225" s="395"/>
      <c r="F225" s="395"/>
      <c r="G225" s="395"/>
      <c r="H225" s="395"/>
      <c r="I225" s="395"/>
      <c r="J225" s="395"/>
      <c r="K225" s="395"/>
      <c r="L225" s="395"/>
      <c r="M225" s="395"/>
      <c r="N225" s="395"/>
      <c r="O225" s="395"/>
      <c r="P225" s="395"/>
      <c r="Q225" s="395"/>
      <c r="R225" s="395"/>
      <c r="S225" s="395"/>
      <c r="T225" s="395"/>
      <c r="U225" s="395"/>
      <c r="V225" s="1608"/>
      <c r="W225" s="395"/>
      <c r="X225" s="395"/>
      <c r="Y225" s="395"/>
      <c r="Z225" s="2140"/>
      <c r="AA225" s="395"/>
      <c r="AB225" s="395"/>
      <c r="AC225" s="395"/>
      <c r="AD225" s="395"/>
      <c r="AE225" s="395"/>
      <c r="AF225" s="395"/>
      <c r="AG225" s="395"/>
      <c r="AH225" s="395"/>
      <c r="AI225" s="395"/>
      <c r="AJ225" s="395"/>
      <c r="AK225" s="395"/>
      <c r="AL225" s="395"/>
      <c r="AM225" s="395"/>
      <c r="AN225" s="395"/>
      <c r="AO225" s="395"/>
      <c r="AP225" s="395"/>
      <c r="AQ225" s="395"/>
      <c r="AR225" s="395"/>
      <c r="AS225" s="395"/>
      <c r="AT225" s="395"/>
      <c r="AU225" s="395"/>
      <c r="AV225" s="395"/>
      <c r="AW225" s="395"/>
      <c r="AX225" s="395"/>
      <c r="AY225" s="395"/>
      <c r="AZ225" s="395"/>
      <c r="BA225" s="395"/>
      <c r="BB225" s="395"/>
      <c r="BC225" s="395"/>
      <c r="BD225" s="395"/>
      <c r="BE225" s="395"/>
      <c r="BF225" s="395"/>
      <c r="BG225" s="395"/>
      <c r="BH225" s="395"/>
      <c r="BI225" s="395"/>
      <c r="BJ225" s="395"/>
      <c r="BK225" s="395"/>
      <c r="BL225" s="395"/>
      <c r="BM225" s="395"/>
      <c r="BN225" s="395"/>
      <c r="BO225" s="395"/>
      <c r="BP225" s="395"/>
      <c r="BQ225" s="395"/>
      <c r="BR225" s="395"/>
      <c r="BS225" s="395"/>
      <c r="BT225" s="395"/>
      <c r="BU225" s="395"/>
      <c r="BV225" s="395"/>
      <c r="BW225" s="395"/>
      <c r="BX225" s="395"/>
      <c r="BY225" s="395"/>
      <c r="BZ225" s="395"/>
      <c r="CA225" s="395"/>
      <c r="CB225" s="395"/>
      <c r="CC225" s="395"/>
      <c r="CD225" s="395"/>
      <c r="CE225" s="395"/>
      <c r="CF225" s="395"/>
      <c r="CG225" s="395"/>
      <c r="CH225" s="395"/>
      <c r="CI225" s="395"/>
      <c r="CJ225" s="395"/>
      <c r="CK225" s="395"/>
      <c r="CL225" s="395"/>
      <c r="CM225" s="395"/>
      <c r="CN225" s="395"/>
      <c r="CO225" s="395"/>
      <c r="CP225" s="395"/>
      <c r="CQ225" s="395"/>
      <c r="CR225" s="395"/>
      <c r="CS225" s="395"/>
      <c r="CT225" s="395"/>
      <c r="CU225" s="395"/>
      <c r="CV225" s="395"/>
      <c r="CW225" s="395"/>
      <c r="CX225" s="395"/>
      <c r="CY225" s="395"/>
      <c r="CZ225" s="395"/>
      <c r="DA225" s="395"/>
      <c r="DB225" s="395"/>
      <c r="DC225" s="395"/>
      <c r="DD225" s="395"/>
      <c r="DE225" s="395"/>
      <c r="DF225" s="395"/>
      <c r="DG225" s="395"/>
      <c r="DH225" s="395"/>
      <c r="DI225" s="395"/>
      <c r="DJ225" s="395"/>
      <c r="DK225" s="395"/>
      <c r="DL225" s="395"/>
      <c r="DM225" s="395"/>
      <c r="DN225" s="395"/>
      <c r="DO225" s="395"/>
      <c r="DP225" s="395"/>
      <c r="DQ225" s="395"/>
      <c r="DR225" s="395"/>
      <c r="DS225" s="395"/>
      <c r="DT225" s="395"/>
      <c r="DU225" s="395"/>
      <c r="DV225" s="395"/>
      <c r="DW225" s="395"/>
      <c r="DX225" s="395"/>
      <c r="DY225" s="395"/>
      <c r="DZ225" s="395"/>
      <c r="EA225" s="395"/>
      <c r="EB225" s="395"/>
      <c r="EC225" s="395"/>
      <c r="ED225" s="395"/>
      <c r="EE225" s="395"/>
      <c r="EF225" s="395"/>
      <c r="EG225" s="395"/>
      <c r="EH225" s="395"/>
      <c r="EI225" s="395"/>
      <c r="EJ225" s="395"/>
      <c r="EK225" s="395"/>
      <c r="EL225" s="395"/>
      <c r="EM225" s="395"/>
      <c r="EN225" s="395"/>
      <c r="EO225" s="395"/>
      <c r="EP225" s="395"/>
      <c r="EQ225" s="395"/>
      <c r="ER225" s="395"/>
      <c r="ES225" s="395"/>
      <c r="ET225" s="395"/>
      <c r="EU225" s="395"/>
      <c r="EV225" s="395"/>
      <c r="EW225" s="395"/>
      <c r="EX225" s="395"/>
      <c r="EY225" s="395"/>
      <c r="EZ225" s="395"/>
      <c r="FA225" s="395"/>
      <c r="FB225" s="395"/>
      <c r="FC225" s="395"/>
      <c r="FD225" s="395"/>
      <c r="FE225" s="395"/>
      <c r="FF225" s="395"/>
      <c r="FG225" s="395"/>
      <c r="FH225" s="395"/>
      <c r="FI225" s="395"/>
      <c r="FJ225" s="395"/>
      <c r="FK225" s="395"/>
      <c r="FL225" s="395"/>
      <c r="FM225" s="395"/>
      <c r="FN225" s="395"/>
      <c r="FO225" s="395"/>
      <c r="FP225" s="395"/>
      <c r="FQ225" s="395"/>
      <c r="FR225" s="395"/>
      <c r="FS225" s="395"/>
      <c r="FT225" s="395"/>
      <c r="FU225" s="395"/>
      <c r="FV225" s="395"/>
      <c r="FW225" s="395"/>
      <c r="FX225" s="395"/>
      <c r="FY225" s="395"/>
      <c r="FZ225" s="395"/>
      <c r="GA225" s="395"/>
      <c r="GB225" s="395"/>
      <c r="GC225" s="395"/>
      <c r="GD225" s="395"/>
      <c r="GE225" s="395"/>
      <c r="GF225" s="395"/>
      <c r="GG225" s="395"/>
      <c r="GH225" s="395"/>
      <c r="GI225" s="395"/>
      <c r="GJ225" s="395"/>
      <c r="GK225" s="395"/>
      <c r="GL225" s="395"/>
      <c r="GM225" s="395"/>
      <c r="GN225" s="395"/>
      <c r="GO225" s="395"/>
      <c r="GP225" s="395"/>
      <c r="GQ225" s="395"/>
      <c r="GR225" s="395"/>
      <c r="GS225" s="395"/>
      <c r="GT225" s="395"/>
      <c r="GU225" s="395"/>
      <c r="GV225" s="395"/>
      <c r="GW225" s="395"/>
      <c r="GX225" s="395"/>
      <c r="GY225" s="395"/>
      <c r="GZ225" s="395"/>
      <c r="HA225" s="395"/>
      <c r="HB225" s="395"/>
      <c r="HC225" s="395"/>
      <c r="HD225" s="395"/>
      <c r="HE225" s="395"/>
      <c r="HF225" s="395"/>
      <c r="HG225" s="395"/>
      <c r="HH225" s="395"/>
      <c r="HI225" s="395"/>
      <c r="HJ225" s="395"/>
      <c r="HK225" s="395"/>
      <c r="HL225" s="395"/>
      <c r="HM225" s="395"/>
      <c r="HN225" s="395"/>
      <c r="HO225" s="395"/>
      <c r="HP225" s="395"/>
      <c r="HQ225" s="395"/>
      <c r="HR225" s="395"/>
    </row>
    <row r="226" spans="1:226" s="866" customFormat="1" x14ac:dyDescent="0.25">
      <c r="A226" s="395"/>
      <c r="B226" s="395"/>
      <c r="C226" s="395"/>
      <c r="D226" s="395"/>
      <c r="E226" s="395"/>
      <c r="F226" s="395"/>
      <c r="G226" s="395"/>
      <c r="H226" s="395"/>
      <c r="I226" s="395"/>
      <c r="J226" s="395"/>
      <c r="K226" s="395"/>
      <c r="L226" s="395"/>
      <c r="M226" s="395"/>
      <c r="N226" s="395"/>
      <c r="O226" s="395"/>
      <c r="P226" s="395"/>
      <c r="Q226" s="395"/>
      <c r="R226" s="395"/>
      <c r="S226" s="395"/>
      <c r="T226" s="395"/>
      <c r="U226" s="395"/>
      <c r="V226" s="1608"/>
      <c r="W226" s="395"/>
      <c r="X226" s="395"/>
      <c r="Y226" s="395"/>
      <c r="Z226" s="2140"/>
      <c r="AA226" s="395"/>
      <c r="AB226" s="395"/>
      <c r="AC226" s="395"/>
      <c r="AD226" s="395"/>
      <c r="AE226" s="395"/>
      <c r="AF226" s="395"/>
      <c r="AG226" s="395"/>
      <c r="AH226" s="395"/>
      <c r="AI226" s="395"/>
      <c r="AJ226" s="395"/>
      <c r="AK226" s="395"/>
      <c r="AL226" s="395"/>
      <c r="AM226" s="395"/>
      <c r="AN226" s="395"/>
      <c r="AO226" s="395"/>
      <c r="AP226" s="395"/>
      <c r="AQ226" s="395"/>
      <c r="AR226" s="395"/>
      <c r="AS226" s="395"/>
      <c r="AT226" s="395"/>
      <c r="AU226" s="395"/>
      <c r="AV226" s="395"/>
      <c r="AW226" s="395"/>
      <c r="AX226" s="395"/>
      <c r="AY226" s="395"/>
      <c r="AZ226" s="395"/>
      <c r="BA226" s="395"/>
      <c r="BB226" s="395"/>
      <c r="BC226" s="395"/>
      <c r="BD226" s="395"/>
      <c r="BE226" s="395"/>
      <c r="BF226" s="395"/>
      <c r="BG226" s="395"/>
      <c r="BH226" s="395"/>
      <c r="BI226" s="395"/>
      <c r="BJ226" s="395"/>
      <c r="BK226" s="395"/>
      <c r="BL226" s="395"/>
      <c r="BM226" s="395"/>
      <c r="BN226" s="395"/>
      <c r="BO226" s="395"/>
      <c r="BP226" s="395"/>
      <c r="BQ226" s="395"/>
      <c r="BR226" s="395"/>
      <c r="BS226" s="395"/>
      <c r="BT226" s="395"/>
      <c r="BU226" s="395"/>
      <c r="BV226" s="395"/>
      <c r="BW226" s="395"/>
      <c r="BX226" s="395"/>
      <c r="BY226" s="395"/>
      <c r="BZ226" s="395"/>
      <c r="CA226" s="395"/>
      <c r="CB226" s="395"/>
      <c r="CC226" s="395"/>
      <c r="CD226" s="395"/>
      <c r="CE226" s="395"/>
      <c r="CF226" s="395"/>
      <c r="CG226" s="395"/>
      <c r="CH226" s="395"/>
      <c r="CI226" s="395"/>
      <c r="CJ226" s="395"/>
      <c r="CK226" s="395"/>
      <c r="CL226" s="395"/>
      <c r="CM226" s="395"/>
      <c r="CN226" s="395"/>
      <c r="CO226" s="395"/>
      <c r="CP226" s="395"/>
      <c r="CQ226" s="395"/>
      <c r="CR226" s="395"/>
      <c r="CS226" s="395"/>
      <c r="CT226" s="395"/>
      <c r="CU226" s="395"/>
      <c r="CV226" s="395"/>
      <c r="CW226" s="395"/>
      <c r="CX226" s="395"/>
      <c r="CY226" s="395"/>
      <c r="CZ226" s="395"/>
      <c r="DA226" s="395"/>
      <c r="DB226" s="395"/>
      <c r="DC226" s="395"/>
      <c r="DD226" s="395"/>
      <c r="DE226" s="395"/>
      <c r="DF226" s="395"/>
      <c r="DG226" s="395"/>
      <c r="DH226" s="395"/>
      <c r="DI226" s="395"/>
      <c r="DJ226" s="395"/>
      <c r="DK226" s="395"/>
      <c r="DL226" s="395"/>
      <c r="DM226" s="395"/>
      <c r="DN226" s="395"/>
      <c r="DO226" s="395"/>
      <c r="DP226" s="395"/>
      <c r="DQ226" s="395"/>
      <c r="DR226" s="395"/>
      <c r="DS226" s="395"/>
      <c r="DT226" s="395"/>
      <c r="DU226" s="395"/>
      <c r="DV226" s="395"/>
      <c r="DW226" s="395"/>
      <c r="DX226" s="395"/>
      <c r="DY226" s="395"/>
      <c r="DZ226" s="395"/>
      <c r="EA226" s="395"/>
      <c r="EB226" s="395"/>
      <c r="EC226" s="395"/>
      <c r="ED226" s="395"/>
      <c r="EE226" s="395"/>
      <c r="EF226" s="395"/>
      <c r="EG226" s="395"/>
      <c r="EH226" s="395"/>
      <c r="EI226" s="395"/>
      <c r="EJ226" s="395"/>
      <c r="EK226" s="395"/>
      <c r="EL226" s="395"/>
      <c r="EM226" s="395"/>
      <c r="EN226" s="395"/>
      <c r="EO226" s="395"/>
      <c r="EP226" s="395"/>
      <c r="EQ226" s="395"/>
      <c r="ER226" s="395"/>
      <c r="ES226" s="395"/>
      <c r="ET226" s="395"/>
      <c r="EU226" s="395"/>
      <c r="EV226" s="395"/>
      <c r="EW226" s="395"/>
      <c r="EX226" s="395"/>
      <c r="EY226" s="395"/>
      <c r="EZ226" s="395"/>
      <c r="FA226" s="395"/>
      <c r="FB226" s="395"/>
      <c r="FC226" s="395"/>
      <c r="FD226" s="395"/>
      <c r="FE226" s="395"/>
      <c r="FF226" s="395"/>
      <c r="FG226" s="395"/>
      <c r="FH226" s="395"/>
      <c r="FI226" s="395"/>
      <c r="FJ226" s="395"/>
      <c r="FK226" s="395"/>
      <c r="FL226" s="395"/>
      <c r="FM226" s="395"/>
      <c r="FN226" s="395"/>
      <c r="FO226" s="395"/>
      <c r="FP226" s="395"/>
      <c r="FQ226" s="395"/>
      <c r="FR226" s="395"/>
      <c r="FS226" s="395"/>
      <c r="FT226" s="395"/>
      <c r="FU226" s="395"/>
      <c r="FV226" s="395"/>
      <c r="FW226" s="395"/>
      <c r="FX226" s="395"/>
      <c r="FY226" s="395"/>
      <c r="FZ226" s="395"/>
      <c r="GA226" s="395"/>
      <c r="GB226" s="395"/>
      <c r="GC226" s="395"/>
      <c r="GD226" s="395"/>
      <c r="GE226" s="395"/>
      <c r="GF226" s="395"/>
      <c r="GG226" s="395"/>
      <c r="GH226" s="395"/>
      <c r="GI226" s="395"/>
      <c r="GJ226" s="395"/>
      <c r="GK226" s="395"/>
      <c r="GL226" s="395"/>
      <c r="GM226" s="395"/>
      <c r="GN226" s="395"/>
      <c r="GO226" s="395"/>
      <c r="GP226" s="395"/>
      <c r="GQ226" s="395"/>
      <c r="GR226" s="395"/>
      <c r="GS226" s="395"/>
      <c r="GT226" s="395"/>
      <c r="GU226" s="395"/>
      <c r="GV226" s="395"/>
      <c r="GW226" s="395"/>
      <c r="GX226" s="395"/>
      <c r="GY226" s="395"/>
      <c r="GZ226" s="395"/>
      <c r="HA226" s="395"/>
      <c r="HB226" s="395"/>
      <c r="HC226" s="395"/>
      <c r="HD226" s="395"/>
      <c r="HE226" s="395"/>
      <c r="HF226" s="395"/>
      <c r="HG226" s="395"/>
      <c r="HH226" s="395"/>
      <c r="HI226" s="395"/>
      <c r="HJ226" s="395"/>
      <c r="HK226" s="395"/>
      <c r="HL226" s="395"/>
      <c r="HM226" s="395"/>
      <c r="HN226" s="395"/>
      <c r="HO226" s="395"/>
      <c r="HP226" s="395"/>
      <c r="HQ226" s="395"/>
      <c r="HR226" s="395"/>
    </row>
    <row r="227" spans="1:226" s="866" customFormat="1" x14ac:dyDescent="0.25">
      <c r="A227" s="395"/>
      <c r="B227" s="395"/>
      <c r="C227" s="395"/>
      <c r="D227" s="395"/>
      <c r="E227" s="395"/>
      <c r="F227" s="395"/>
      <c r="G227" s="395"/>
      <c r="H227" s="395"/>
      <c r="I227" s="395"/>
      <c r="J227" s="395"/>
      <c r="K227" s="395"/>
      <c r="L227" s="395"/>
      <c r="M227" s="395"/>
      <c r="N227" s="395"/>
      <c r="O227" s="395"/>
      <c r="P227" s="395"/>
      <c r="Q227" s="395"/>
      <c r="R227" s="395"/>
      <c r="S227" s="395"/>
      <c r="T227" s="395"/>
      <c r="U227" s="395"/>
      <c r="V227" s="1608"/>
      <c r="W227" s="395"/>
      <c r="X227" s="395"/>
      <c r="Y227" s="395"/>
      <c r="Z227" s="2140"/>
      <c r="AA227" s="395"/>
      <c r="AB227" s="395"/>
      <c r="AC227" s="395"/>
      <c r="AD227" s="395"/>
      <c r="AE227" s="395"/>
      <c r="AF227" s="395"/>
      <c r="AG227" s="395"/>
      <c r="AH227" s="395"/>
      <c r="AI227" s="395"/>
      <c r="AJ227" s="395"/>
      <c r="AK227" s="395"/>
      <c r="AL227" s="395"/>
      <c r="AM227" s="395"/>
      <c r="AN227" s="395"/>
      <c r="AO227" s="395"/>
      <c r="AP227" s="395"/>
      <c r="AQ227" s="395"/>
      <c r="AR227" s="395"/>
      <c r="AS227" s="395"/>
      <c r="AT227" s="395"/>
      <c r="AU227" s="395"/>
      <c r="AV227" s="395"/>
      <c r="AW227" s="395"/>
      <c r="AX227" s="395"/>
      <c r="AY227" s="395"/>
      <c r="AZ227" s="395"/>
      <c r="BA227" s="395"/>
      <c r="BB227" s="395"/>
      <c r="BC227" s="395"/>
      <c r="BD227" s="395"/>
      <c r="BE227" s="395"/>
      <c r="BF227" s="395"/>
      <c r="BG227" s="395"/>
      <c r="BH227" s="395"/>
      <c r="BI227" s="395"/>
      <c r="BJ227" s="395"/>
      <c r="BK227" s="395"/>
      <c r="BL227" s="395"/>
      <c r="BM227" s="395"/>
      <c r="BN227" s="395"/>
      <c r="BO227" s="395"/>
      <c r="BP227" s="395"/>
      <c r="BQ227" s="395"/>
      <c r="BR227" s="395"/>
      <c r="BS227" s="395"/>
      <c r="BT227" s="395"/>
      <c r="BU227" s="395"/>
      <c r="BV227" s="395"/>
      <c r="BW227" s="395"/>
      <c r="BX227" s="395"/>
      <c r="BY227" s="395"/>
      <c r="BZ227" s="395"/>
      <c r="CA227" s="395"/>
      <c r="CB227" s="395"/>
      <c r="CC227" s="395"/>
      <c r="CD227" s="395"/>
      <c r="CE227" s="395"/>
      <c r="CF227" s="395"/>
      <c r="CG227" s="395"/>
      <c r="CH227" s="395"/>
      <c r="CI227" s="395"/>
      <c r="CJ227" s="395"/>
      <c r="CK227" s="395"/>
      <c r="CL227" s="395"/>
      <c r="CM227" s="395"/>
      <c r="CN227" s="395"/>
      <c r="CO227" s="395"/>
      <c r="CP227" s="395"/>
      <c r="CQ227" s="395"/>
      <c r="CR227" s="395"/>
      <c r="CS227" s="395"/>
      <c r="CT227" s="395"/>
      <c r="CU227" s="395"/>
      <c r="CV227" s="395"/>
      <c r="CW227" s="395"/>
      <c r="CX227" s="395"/>
      <c r="CY227" s="395"/>
      <c r="CZ227" s="395"/>
      <c r="DA227" s="395"/>
      <c r="DB227" s="395"/>
      <c r="DC227" s="395"/>
      <c r="DD227" s="395"/>
      <c r="DE227" s="395"/>
      <c r="DF227" s="395"/>
      <c r="DG227" s="395"/>
      <c r="DH227" s="395"/>
      <c r="DI227" s="395"/>
      <c r="DJ227" s="395"/>
      <c r="DK227" s="395"/>
      <c r="DL227" s="395"/>
      <c r="DM227" s="395"/>
      <c r="DN227" s="395"/>
      <c r="DO227" s="395"/>
      <c r="DP227" s="395"/>
      <c r="DQ227" s="395"/>
      <c r="DR227" s="395"/>
      <c r="DS227" s="395"/>
      <c r="DT227" s="395"/>
      <c r="DU227" s="395"/>
      <c r="DV227" s="395"/>
      <c r="DW227" s="395"/>
      <c r="DX227" s="395"/>
      <c r="DY227" s="395"/>
      <c r="DZ227" s="395"/>
      <c r="EA227" s="395"/>
      <c r="EB227" s="395"/>
      <c r="EC227" s="395"/>
      <c r="ED227" s="395"/>
      <c r="EE227" s="395"/>
      <c r="EF227" s="395"/>
      <c r="EG227" s="395"/>
      <c r="EH227" s="395"/>
      <c r="EI227" s="395"/>
      <c r="EJ227" s="395"/>
      <c r="EK227" s="395"/>
      <c r="EL227" s="395"/>
      <c r="EM227" s="395"/>
      <c r="EN227" s="395"/>
      <c r="EO227" s="395"/>
      <c r="EP227" s="395"/>
      <c r="EQ227" s="395"/>
      <c r="ER227" s="395"/>
      <c r="ES227" s="395"/>
      <c r="ET227" s="395"/>
      <c r="EU227" s="395"/>
      <c r="EV227" s="395"/>
      <c r="EW227" s="395"/>
      <c r="EX227" s="395"/>
      <c r="EY227" s="395"/>
      <c r="EZ227" s="395"/>
      <c r="FA227" s="395"/>
      <c r="FB227" s="395"/>
      <c r="FC227" s="395"/>
      <c r="FD227" s="395"/>
      <c r="FE227" s="395"/>
      <c r="FF227" s="395"/>
      <c r="FG227" s="395"/>
      <c r="FH227" s="395"/>
      <c r="FI227" s="395"/>
      <c r="FJ227" s="395"/>
      <c r="FK227" s="395"/>
      <c r="FL227" s="395"/>
      <c r="FM227" s="395"/>
      <c r="FN227" s="395"/>
      <c r="FO227" s="395"/>
      <c r="FP227" s="395"/>
      <c r="FQ227" s="395"/>
      <c r="FR227" s="395"/>
      <c r="FS227" s="395"/>
      <c r="FT227" s="395"/>
      <c r="FU227" s="395"/>
      <c r="FV227" s="395"/>
      <c r="FW227" s="395"/>
      <c r="FX227" s="395"/>
      <c r="FY227" s="395"/>
      <c r="FZ227" s="395"/>
      <c r="GA227" s="395"/>
      <c r="GB227" s="395"/>
      <c r="GC227" s="395"/>
      <c r="GD227" s="395"/>
      <c r="GE227" s="395"/>
      <c r="GF227" s="395"/>
      <c r="GG227" s="395"/>
      <c r="GH227" s="395"/>
      <c r="GI227" s="395"/>
      <c r="GJ227" s="395"/>
      <c r="GK227" s="395"/>
      <c r="GL227" s="395"/>
      <c r="GM227" s="395"/>
      <c r="GN227" s="395"/>
      <c r="GO227" s="395"/>
      <c r="GP227" s="395"/>
      <c r="GQ227" s="395"/>
      <c r="GR227" s="395"/>
      <c r="GS227" s="395"/>
      <c r="GT227" s="395"/>
      <c r="GU227" s="395"/>
      <c r="GV227" s="395"/>
      <c r="GW227" s="395"/>
      <c r="GX227" s="395"/>
      <c r="GY227" s="395"/>
      <c r="GZ227" s="395"/>
      <c r="HA227" s="395"/>
      <c r="HB227" s="395"/>
      <c r="HC227" s="395"/>
      <c r="HD227" s="395"/>
      <c r="HE227" s="395"/>
      <c r="HF227" s="395"/>
      <c r="HG227" s="395"/>
      <c r="HH227" s="395"/>
      <c r="HI227" s="395"/>
      <c r="HJ227" s="395"/>
      <c r="HK227" s="395"/>
      <c r="HL227" s="395"/>
      <c r="HM227" s="395"/>
      <c r="HN227" s="395"/>
      <c r="HO227" s="395"/>
      <c r="HP227" s="395"/>
      <c r="HQ227" s="395"/>
      <c r="HR227" s="395"/>
    </row>
    <row r="228" spans="1:226" s="866" customFormat="1" x14ac:dyDescent="0.25">
      <c r="A228" s="395"/>
      <c r="B228" s="395"/>
      <c r="C228" s="395"/>
      <c r="D228" s="395"/>
      <c r="E228" s="395"/>
      <c r="F228" s="395"/>
      <c r="G228" s="395"/>
      <c r="H228" s="395"/>
      <c r="I228" s="395"/>
      <c r="J228" s="395"/>
      <c r="K228" s="395"/>
      <c r="L228" s="395"/>
      <c r="M228" s="395"/>
      <c r="N228" s="395"/>
      <c r="O228" s="395"/>
      <c r="P228" s="395"/>
      <c r="Q228" s="395"/>
      <c r="R228" s="395"/>
      <c r="S228" s="395"/>
      <c r="T228" s="395"/>
      <c r="U228" s="395"/>
      <c r="V228" s="1608"/>
      <c r="W228" s="395"/>
      <c r="X228" s="395"/>
      <c r="Y228" s="395"/>
      <c r="Z228" s="2140"/>
      <c r="AA228" s="395"/>
      <c r="AB228" s="395"/>
      <c r="AC228" s="395"/>
      <c r="AD228" s="395"/>
      <c r="AE228" s="395"/>
      <c r="AF228" s="395"/>
      <c r="AG228" s="395"/>
      <c r="AH228" s="395"/>
      <c r="AI228" s="395"/>
      <c r="AJ228" s="395"/>
      <c r="AK228" s="395"/>
      <c r="AL228" s="395"/>
      <c r="AM228" s="395"/>
      <c r="AN228" s="395"/>
      <c r="AO228" s="395"/>
      <c r="AP228" s="395"/>
      <c r="AQ228" s="395"/>
      <c r="AR228" s="395"/>
      <c r="AS228" s="395"/>
      <c r="AT228" s="395"/>
      <c r="AU228" s="395"/>
      <c r="AV228" s="395"/>
      <c r="AW228" s="395"/>
      <c r="AX228" s="395"/>
      <c r="AY228" s="395"/>
      <c r="AZ228" s="395"/>
      <c r="BA228" s="395"/>
      <c r="BB228" s="395"/>
      <c r="BC228" s="395"/>
      <c r="BD228" s="395"/>
      <c r="BE228" s="395"/>
      <c r="BF228" s="395"/>
      <c r="BG228" s="395"/>
      <c r="BH228" s="395"/>
      <c r="BI228" s="395"/>
      <c r="BJ228" s="395"/>
      <c r="BK228" s="395"/>
      <c r="BL228" s="395"/>
      <c r="BM228" s="395"/>
      <c r="BN228" s="395"/>
      <c r="BO228" s="395"/>
      <c r="BP228" s="395"/>
      <c r="BQ228" s="395"/>
      <c r="BR228" s="395"/>
      <c r="BS228" s="395"/>
      <c r="BT228" s="395"/>
      <c r="BU228" s="395"/>
      <c r="BV228" s="395"/>
      <c r="BW228" s="395"/>
      <c r="BX228" s="395"/>
      <c r="BY228" s="395"/>
      <c r="BZ228" s="395"/>
      <c r="CA228" s="395"/>
      <c r="CB228" s="395"/>
      <c r="CC228" s="395"/>
      <c r="CD228" s="395"/>
      <c r="CE228" s="395"/>
      <c r="CF228" s="395"/>
      <c r="CG228" s="395"/>
      <c r="CH228" s="395"/>
      <c r="CI228" s="395"/>
      <c r="CJ228" s="395"/>
      <c r="CK228" s="395"/>
      <c r="CL228" s="395"/>
      <c r="CM228" s="395"/>
      <c r="CN228" s="395"/>
      <c r="CO228" s="395"/>
      <c r="CP228" s="395"/>
      <c r="CQ228" s="395"/>
      <c r="CR228" s="395"/>
      <c r="CS228" s="395"/>
      <c r="CT228" s="395"/>
      <c r="CU228" s="395"/>
      <c r="CV228" s="395"/>
      <c r="CW228" s="395"/>
      <c r="CX228" s="395"/>
      <c r="CY228" s="395"/>
      <c r="CZ228" s="395"/>
      <c r="DA228" s="395"/>
      <c r="DB228" s="395"/>
      <c r="DC228" s="395"/>
      <c r="DD228" s="395"/>
      <c r="DE228" s="395"/>
      <c r="DF228" s="395"/>
      <c r="DG228" s="395"/>
      <c r="DH228" s="395"/>
      <c r="DI228" s="395"/>
      <c r="DJ228" s="395"/>
      <c r="DK228" s="395"/>
      <c r="DL228" s="395"/>
      <c r="DM228" s="395"/>
      <c r="DN228" s="395"/>
      <c r="DO228" s="395"/>
      <c r="DP228" s="395"/>
      <c r="DQ228" s="395"/>
      <c r="DR228" s="395"/>
      <c r="DS228" s="395"/>
      <c r="DT228" s="395"/>
      <c r="DU228" s="395"/>
      <c r="DV228" s="395"/>
      <c r="DW228" s="395"/>
      <c r="DX228" s="395"/>
      <c r="DY228" s="395"/>
      <c r="DZ228" s="395"/>
      <c r="EA228" s="395"/>
      <c r="EB228" s="395"/>
      <c r="EC228" s="395"/>
      <c r="ED228" s="395"/>
      <c r="EE228" s="395"/>
      <c r="EF228" s="395"/>
      <c r="EG228" s="395"/>
      <c r="EH228" s="395"/>
      <c r="EI228" s="395"/>
      <c r="EJ228" s="395"/>
      <c r="EK228" s="395"/>
      <c r="EL228" s="395"/>
      <c r="EM228" s="395"/>
      <c r="EN228" s="395"/>
      <c r="EO228" s="395"/>
      <c r="EP228" s="395"/>
      <c r="EQ228" s="395"/>
      <c r="ER228" s="395"/>
      <c r="ES228" s="395"/>
      <c r="ET228" s="395"/>
      <c r="EU228" s="395"/>
      <c r="EV228" s="395"/>
      <c r="EW228" s="395"/>
      <c r="EX228" s="395"/>
      <c r="EY228" s="395"/>
      <c r="EZ228" s="395"/>
      <c r="FA228" s="395"/>
      <c r="FB228" s="395"/>
      <c r="FC228" s="395"/>
      <c r="FD228" s="395"/>
      <c r="FE228" s="395"/>
      <c r="FF228" s="395"/>
      <c r="FG228" s="395"/>
      <c r="FH228" s="395"/>
      <c r="FI228" s="395"/>
      <c r="FJ228" s="395"/>
      <c r="FK228" s="395"/>
      <c r="FL228" s="395"/>
      <c r="FM228" s="395"/>
      <c r="FN228" s="395"/>
      <c r="FO228" s="395"/>
      <c r="FP228" s="395"/>
      <c r="FQ228" s="395"/>
      <c r="FR228" s="395"/>
      <c r="FS228" s="395"/>
      <c r="FT228" s="395"/>
      <c r="FU228" s="395"/>
      <c r="FV228" s="395"/>
      <c r="FW228" s="395"/>
      <c r="FX228" s="395"/>
      <c r="FY228" s="395"/>
      <c r="FZ228" s="395"/>
      <c r="GA228" s="395"/>
      <c r="GB228" s="395"/>
      <c r="GC228" s="395"/>
      <c r="GD228" s="395"/>
      <c r="GE228" s="395"/>
      <c r="GF228" s="395"/>
      <c r="GG228" s="395"/>
      <c r="GH228" s="395"/>
      <c r="GI228" s="395"/>
      <c r="GJ228" s="395"/>
      <c r="GK228" s="395"/>
      <c r="GL228" s="395"/>
      <c r="GM228" s="395"/>
      <c r="GN228" s="395"/>
      <c r="GO228" s="395"/>
      <c r="GP228" s="395"/>
      <c r="GQ228" s="395"/>
      <c r="GR228" s="395"/>
      <c r="GS228" s="395"/>
      <c r="GT228" s="395"/>
      <c r="GU228" s="395"/>
      <c r="GV228" s="395"/>
      <c r="GW228" s="395"/>
      <c r="GX228" s="395"/>
      <c r="GY228" s="395"/>
      <c r="GZ228" s="395"/>
      <c r="HA228" s="395"/>
      <c r="HB228" s="395"/>
      <c r="HC228" s="395"/>
      <c r="HD228" s="395"/>
      <c r="HE228" s="395"/>
      <c r="HF228" s="395"/>
      <c r="HG228" s="395"/>
      <c r="HH228" s="395"/>
      <c r="HI228" s="395"/>
      <c r="HJ228" s="395"/>
      <c r="HK228" s="395"/>
      <c r="HL228" s="395"/>
      <c r="HM228" s="395"/>
      <c r="HN228" s="395"/>
      <c r="HO228" s="395"/>
      <c r="HP228" s="395"/>
      <c r="HQ228" s="395"/>
      <c r="HR228" s="395"/>
    </row>
    <row r="229" spans="1:226" s="866" customFormat="1" x14ac:dyDescent="0.25">
      <c r="A229" s="395"/>
      <c r="B229" s="395"/>
      <c r="C229" s="395"/>
      <c r="D229" s="395"/>
      <c r="E229" s="395"/>
      <c r="F229" s="395"/>
      <c r="G229" s="395"/>
      <c r="H229" s="395"/>
      <c r="I229" s="395"/>
      <c r="J229" s="395"/>
      <c r="K229" s="395"/>
      <c r="L229" s="395"/>
      <c r="M229" s="395"/>
      <c r="N229" s="395"/>
      <c r="O229" s="395"/>
      <c r="P229" s="395"/>
      <c r="Q229" s="395"/>
      <c r="R229" s="395"/>
      <c r="S229" s="395"/>
      <c r="T229" s="395"/>
      <c r="U229" s="395"/>
      <c r="V229" s="1608"/>
      <c r="W229" s="395"/>
      <c r="X229" s="395"/>
      <c r="Y229" s="395"/>
      <c r="Z229" s="2140"/>
      <c r="AA229" s="395"/>
      <c r="AB229" s="395"/>
      <c r="AC229" s="395"/>
      <c r="AD229" s="395"/>
      <c r="AE229" s="395"/>
      <c r="AF229" s="395"/>
      <c r="AG229" s="395"/>
      <c r="AH229" s="395"/>
      <c r="AI229" s="395"/>
      <c r="AJ229" s="395"/>
      <c r="AK229" s="395"/>
      <c r="AL229" s="395"/>
      <c r="AM229" s="395"/>
      <c r="AN229" s="395"/>
      <c r="AO229" s="395"/>
      <c r="AP229" s="395"/>
      <c r="AQ229" s="395"/>
      <c r="AR229" s="395"/>
      <c r="AS229" s="395"/>
      <c r="AT229" s="395"/>
      <c r="AU229" s="395"/>
      <c r="AV229" s="395"/>
      <c r="AW229" s="395"/>
      <c r="AX229" s="395"/>
      <c r="AY229" s="395"/>
      <c r="AZ229" s="395"/>
      <c r="BA229" s="395"/>
      <c r="BB229" s="395"/>
      <c r="BC229" s="395"/>
      <c r="BD229" s="395"/>
      <c r="BE229" s="395"/>
      <c r="BF229" s="395"/>
      <c r="BG229" s="395"/>
      <c r="BH229" s="395"/>
      <c r="BI229" s="395"/>
      <c r="BJ229" s="395"/>
      <c r="BK229" s="395"/>
      <c r="BL229" s="395"/>
      <c r="BM229" s="395"/>
      <c r="BN229" s="395"/>
      <c r="BO229" s="395"/>
      <c r="BP229" s="395"/>
      <c r="BQ229" s="395"/>
      <c r="BR229" s="395"/>
      <c r="BS229" s="395"/>
      <c r="BT229" s="395"/>
      <c r="BU229" s="395"/>
      <c r="BV229" s="395"/>
      <c r="BW229" s="395"/>
      <c r="BX229" s="395"/>
      <c r="BY229" s="395"/>
      <c r="BZ229" s="395"/>
      <c r="CA229" s="395"/>
      <c r="CB229" s="395"/>
      <c r="CC229" s="395"/>
      <c r="CD229" s="395"/>
      <c r="CE229" s="395"/>
      <c r="CF229" s="395"/>
      <c r="CG229" s="395"/>
      <c r="CH229" s="395"/>
      <c r="CI229" s="395"/>
      <c r="CJ229" s="395"/>
      <c r="CK229" s="395"/>
      <c r="CL229" s="395"/>
      <c r="CM229" s="395"/>
      <c r="CN229" s="395"/>
      <c r="CO229" s="395"/>
      <c r="CP229" s="395"/>
      <c r="CQ229" s="395"/>
      <c r="CR229" s="395"/>
      <c r="CS229" s="395"/>
      <c r="CT229" s="395"/>
      <c r="CU229" s="395"/>
      <c r="CV229" s="395"/>
      <c r="CW229" s="395"/>
      <c r="CX229" s="395"/>
      <c r="CY229" s="395"/>
      <c r="CZ229" s="395"/>
      <c r="DA229" s="395"/>
      <c r="DB229" s="395"/>
      <c r="DC229" s="395"/>
      <c r="DD229" s="395"/>
      <c r="DE229" s="395"/>
      <c r="DF229" s="395"/>
      <c r="DG229" s="395"/>
      <c r="DH229" s="395"/>
      <c r="DI229" s="395"/>
      <c r="DJ229" s="395"/>
      <c r="DK229" s="395"/>
      <c r="DL229" s="395"/>
      <c r="DM229" s="395"/>
      <c r="DN229" s="395"/>
      <c r="DO229" s="395"/>
      <c r="DP229" s="395"/>
      <c r="DQ229" s="395"/>
      <c r="DR229" s="395"/>
      <c r="DS229" s="395"/>
      <c r="DT229" s="395"/>
      <c r="DU229" s="395"/>
      <c r="DV229" s="395"/>
      <c r="DW229" s="395"/>
      <c r="DX229" s="395"/>
      <c r="DY229" s="395"/>
      <c r="DZ229" s="395"/>
      <c r="EA229" s="395"/>
      <c r="EB229" s="395"/>
      <c r="EC229" s="395"/>
      <c r="ED229" s="395"/>
      <c r="EE229" s="395"/>
      <c r="EF229" s="395"/>
      <c r="EG229" s="395"/>
      <c r="EH229" s="395"/>
      <c r="EI229" s="395"/>
      <c r="EJ229" s="395"/>
      <c r="EK229" s="395"/>
      <c r="EL229" s="395"/>
      <c r="EM229" s="395"/>
      <c r="EN229" s="395"/>
      <c r="EO229" s="395"/>
      <c r="EP229" s="395"/>
      <c r="EQ229" s="395"/>
      <c r="ER229" s="395"/>
      <c r="ES229" s="395"/>
      <c r="ET229" s="395"/>
      <c r="EU229" s="395"/>
      <c r="EV229" s="395"/>
      <c r="EW229" s="395"/>
      <c r="EX229" s="395"/>
      <c r="EY229" s="395"/>
      <c r="EZ229" s="395"/>
      <c r="FA229" s="395"/>
      <c r="FB229" s="395"/>
      <c r="FC229" s="395"/>
      <c r="FD229" s="395"/>
      <c r="FE229" s="395"/>
      <c r="FF229" s="395"/>
      <c r="FG229" s="395"/>
      <c r="FH229" s="395"/>
      <c r="FI229" s="395"/>
      <c r="FJ229" s="395"/>
      <c r="FK229" s="395"/>
      <c r="FL229" s="395"/>
      <c r="FM229" s="395"/>
      <c r="FN229" s="395"/>
      <c r="FO229" s="395"/>
      <c r="FP229" s="395"/>
      <c r="FQ229" s="395"/>
      <c r="FR229" s="395"/>
      <c r="FS229" s="395"/>
      <c r="FT229" s="395"/>
      <c r="FU229" s="395"/>
      <c r="FV229" s="395"/>
      <c r="FW229" s="395"/>
      <c r="FX229" s="395"/>
      <c r="FY229" s="395"/>
      <c r="FZ229" s="395"/>
      <c r="GA229" s="395"/>
      <c r="GB229" s="395"/>
      <c r="GC229" s="395"/>
      <c r="GD229" s="395"/>
      <c r="GE229" s="395"/>
      <c r="GF229" s="395"/>
      <c r="GG229" s="395"/>
      <c r="GH229" s="395"/>
      <c r="GI229" s="395"/>
      <c r="GJ229" s="395"/>
      <c r="GK229" s="395"/>
      <c r="GL229" s="395"/>
      <c r="GM229" s="395"/>
      <c r="GN229" s="395"/>
      <c r="GO229" s="395"/>
      <c r="GP229" s="395"/>
      <c r="GQ229" s="395"/>
      <c r="GR229" s="395"/>
      <c r="GS229" s="395"/>
      <c r="GT229" s="395"/>
      <c r="GU229" s="395"/>
      <c r="GV229" s="395"/>
      <c r="GW229" s="395"/>
      <c r="GX229" s="395"/>
      <c r="GY229" s="395"/>
      <c r="GZ229" s="395"/>
      <c r="HA229" s="395"/>
      <c r="HB229" s="395"/>
      <c r="HC229" s="395"/>
      <c r="HD229" s="395"/>
      <c r="HE229" s="395"/>
      <c r="HF229" s="395"/>
      <c r="HG229" s="395"/>
      <c r="HH229" s="395"/>
      <c r="HI229" s="395"/>
      <c r="HJ229" s="395"/>
      <c r="HK229" s="395"/>
      <c r="HL229" s="395"/>
      <c r="HM229" s="395"/>
      <c r="HN229" s="395"/>
      <c r="HO229" s="395"/>
      <c r="HP229" s="395"/>
      <c r="HQ229" s="395"/>
      <c r="HR229" s="395"/>
    </row>
    <row r="230" spans="1:226" s="866" customFormat="1" x14ac:dyDescent="0.25">
      <c r="A230" s="395"/>
      <c r="B230" s="395"/>
      <c r="C230" s="395"/>
      <c r="D230" s="395"/>
      <c r="E230" s="395"/>
      <c r="F230" s="395"/>
      <c r="G230" s="395"/>
      <c r="H230" s="395"/>
      <c r="I230" s="395"/>
      <c r="J230" s="395"/>
      <c r="K230" s="395"/>
      <c r="L230" s="395"/>
      <c r="M230" s="395"/>
      <c r="N230" s="395"/>
      <c r="O230" s="395"/>
      <c r="P230" s="395"/>
      <c r="Q230" s="395"/>
      <c r="R230" s="395"/>
      <c r="S230" s="395"/>
      <c r="T230" s="395"/>
      <c r="U230" s="395"/>
      <c r="V230" s="1608"/>
      <c r="W230" s="395"/>
      <c r="X230" s="395"/>
      <c r="Y230" s="395"/>
      <c r="Z230" s="2140"/>
      <c r="AA230" s="395"/>
      <c r="AB230" s="395"/>
      <c r="AC230" s="395"/>
      <c r="AD230" s="395"/>
      <c r="AE230" s="395"/>
      <c r="AF230" s="395"/>
      <c r="AG230" s="395"/>
      <c r="AH230" s="395"/>
      <c r="AI230" s="395"/>
      <c r="AJ230" s="395"/>
      <c r="AK230" s="395"/>
      <c r="AL230" s="395"/>
      <c r="AM230" s="395"/>
      <c r="AN230" s="395"/>
      <c r="AO230" s="395"/>
      <c r="AP230" s="395"/>
      <c r="AQ230" s="395"/>
      <c r="AR230" s="395"/>
      <c r="AS230" s="395"/>
      <c r="AT230" s="395"/>
      <c r="AU230" s="395"/>
      <c r="AV230" s="395"/>
      <c r="AW230" s="395"/>
      <c r="AX230" s="395"/>
      <c r="AY230" s="395"/>
      <c r="AZ230" s="395"/>
      <c r="BA230" s="395"/>
      <c r="BB230" s="395"/>
      <c r="BC230" s="395"/>
      <c r="BD230" s="395"/>
      <c r="BE230" s="395"/>
      <c r="BF230" s="395"/>
      <c r="BG230" s="395"/>
      <c r="BH230" s="395"/>
      <c r="BI230" s="395"/>
      <c r="BJ230" s="395"/>
      <c r="BK230" s="395"/>
      <c r="BL230" s="395"/>
      <c r="BM230" s="395"/>
      <c r="BN230" s="395"/>
      <c r="BO230" s="395"/>
      <c r="BP230" s="395"/>
      <c r="BQ230" s="395"/>
      <c r="BR230" s="395"/>
      <c r="BS230" s="395"/>
      <c r="BT230" s="395"/>
      <c r="BU230" s="395"/>
      <c r="BV230" s="395"/>
      <c r="BW230" s="395"/>
      <c r="BX230" s="395"/>
      <c r="BY230" s="395"/>
      <c r="BZ230" s="395"/>
      <c r="CA230" s="395"/>
      <c r="CB230" s="395"/>
      <c r="CC230" s="395"/>
      <c r="CD230" s="395"/>
      <c r="CE230" s="395"/>
      <c r="CF230" s="395"/>
      <c r="CG230" s="395"/>
      <c r="CH230" s="395"/>
      <c r="CI230" s="395"/>
      <c r="CJ230" s="395"/>
      <c r="CK230" s="395"/>
      <c r="CL230" s="395"/>
      <c r="CM230" s="395"/>
      <c r="CN230" s="395"/>
      <c r="CO230" s="395"/>
      <c r="CP230" s="395"/>
      <c r="CQ230" s="395"/>
      <c r="CR230" s="395"/>
      <c r="CS230" s="395"/>
      <c r="CT230" s="395"/>
      <c r="CU230" s="395"/>
      <c r="CV230" s="395"/>
      <c r="CW230" s="395"/>
      <c r="CX230" s="395"/>
      <c r="CY230" s="395"/>
      <c r="CZ230" s="395"/>
      <c r="DA230" s="395"/>
      <c r="DB230" s="395"/>
      <c r="DC230" s="395"/>
      <c r="DD230" s="395"/>
      <c r="DE230" s="395"/>
      <c r="DF230" s="395"/>
      <c r="DG230" s="395"/>
      <c r="DH230" s="395"/>
      <c r="DI230" s="395"/>
      <c r="DJ230" s="395"/>
      <c r="DK230" s="395"/>
      <c r="DL230" s="395"/>
      <c r="DM230" s="395"/>
      <c r="DN230" s="395"/>
      <c r="DO230" s="395"/>
      <c r="DP230" s="395"/>
      <c r="DQ230" s="395"/>
      <c r="DR230" s="395"/>
      <c r="DS230" s="395"/>
      <c r="DT230" s="395"/>
      <c r="DU230" s="395"/>
      <c r="DV230" s="395"/>
      <c r="DW230" s="395"/>
      <c r="DX230" s="395"/>
      <c r="DY230" s="395"/>
      <c r="DZ230" s="395"/>
      <c r="EA230" s="395"/>
      <c r="EB230" s="395"/>
      <c r="EC230" s="395"/>
      <c r="ED230" s="395"/>
      <c r="EE230" s="395"/>
      <c r="EF230" s="395"/>
      <c r="EG230" s="395"/>
      <c r="EH230" s="395"/>
      <c r="EI230" s="395"/>
      <c r="EJ230" s="395"/>
      <c r="EK230" s="395"/>
      <c r="EL230" s="395"/>
      <c r="EM230" s="395"/>
      <c r="EN230" s="395"/>
      <c r="EO230" s="395"/>
      <c r="EP230" s="395"/>
      <c r="EQ230" s="395"/>
      <c r="ER230" s="395"/>
      <c r="ES230" s="395"/>
      <c r="ET230" s="395"/>
      <c r="EU230" s="395"/>
      <c r="EV230" s="395"/>
      <c r="EW230" s="395"/>
      <c r="EX230" s="395"/>
      <c r="EY230" s="395"/>
      <c r="EZ230" s="395"/>
      <c r="FA230" s="395"/>
      <c r="FB230" s="395"/>
      <c r="FC230" s="395"/>
      <c r="FD230" s="395"/>
      <c r="FE230" s="395"/>
      <c r="FF230" s="395"/>
      <c r="FG230" s="395"/>
      <c r="FH230" s="395"/>
      <c r="FI230" s="395"/>
      <c r="FJ230" s="395"/>
      <c r="FK230" s="395"/>
      <c r="FL230" s="395"/>
      <c r="FM230" s="395"/>
      <c r="FN230" s="395"/>
      <c r="FO230" s="395"/>
      <c r="FP230" s="395"/>
      <c r="FQ230" s="395"/>
      <c r="FR230" s="395"/>
      <c r="FS230" s="395"/>
      <c r="FT230" s="395"/>
      <c r="FU230" s="395"/>
      <c r="FV230" s="395"/>
      <c r="FW230" s="395"/>
      <c r="FX230" s="395"/>
      <c r="FY230" s="395"/>
      <c r="FZ230" s="395"/>
      <c r="GA230" s="395"/>
      <c r="GB230" s="395"/>
      <c r="GC230" s="395"/>
      <c r="GD230" s="395"/>
      <c r="GE230" s="395"/>
      <c r="GF230" s="395"/>
      <c r="GG230" s="395"/>
      <c r="GH230" s="395"/>
      <c r="GI230" s="395"/>
      <c r="GJ230" s="395"/>
      <c r="GK230" s="395"/>
      <c r="GL230" s="395"/>
      <c r="GM230" s="395"/>
      <c r="GN230" s="395"/>
      <c r="GO230" s="395"/>
      <c r="GP230" s="395"/>
      <c r="GQ230" s="395"/>
      <c r="GR230" s="395"/>
      <c r="GS230" s="395"/>
      <c r="GT230" s="395"/>
      <c r="GU230" s="395"/>
      <c r="GV230" s="395"/>
      <c r="GW230" s="395"/>
      <c r="GX230" s="395"/>
      <c r="GY230" s="395"/>
      <c r="GZ230" s="395"/>
      <c r="HA230" s="395"/>
      <c r="HB230" s="395"/>
      <c r="HC230" s="395"/>
      <c r="HD230" s="395"/>
      <c r="HE230" s="395"/>
      <c r="HF230" s="395"/>
      <c r="HG230" s="395"/>
      <c r="HH230" s="395"/>
      <c r="HI230" s="395"/>
      <c r="HJ230" s="395"/>
      <c r="HK230" s="395"/>
      <c r="HL230" s="395"/>
      <c r="HM230" s="395"/>
      <c r="HN230" s="395"/>
      <c r="HO230" s="395"/>
      <c r="HP230" s="395"/>
      <c r="HQ230" s="395"/>
      <c r="HR230" s="395"/>
    </row>
    <row r="231" spans="1:226" s="866" customFormat="1" x14ac:dyDescent="0.25">
      <c r="A231" s="395"/>
      <c r="B231" s="395"/>
      <c r="C231" s="395"/>
      <c r="D231" s="395"/>
      <c r="E231" s="395"/>
      <c r="F231" s="395"/>
      <c r="G231" s="395"/>
      <c r="H231" s="395"/>
      <c r="I231" s="395"/>
      <c r="J231" s="395"/>
      <c r="K231" s="395"/>
      <c r="L231" s="395"/>
      <c r="M231" s="395"/>
      <c r="N231" s="395"/>
      <c r="O231" s="395"/>
      <c r="P231" s="395"/>
      <c r="Q231" s="395"/>
      <c r="R231" s="395"/>
      <c r="S231" s="395"/>
      <c r="T231" s="395"/>
      <c r="U231" s="395"/>
      <c r="V231" s="1608"/>
      <c r="W231" s="395"/>
      <c r="X231" s="395"/>
      <c r="Y231" s="395"/>
      <c r="Z231" s="2140"/>
      <c r="AA231" s="395"/>
      <c r="AB231" s="395"/>
      <c r="AC231" s="395"/>
      <c r="AD231" s="395"/>
      <c r="AE231" s="395"/>
      <c r="AF231" s="395"/>
      <c r="AG231" s="395"/>
      <c r="AH231" s="395"/>
      <c r="AI231" s="395"/>
      <c r="AJ231" s="395"/>
      <c r="AK231" s="395"/>
      <c r="AL231" s="395"/>
      <c r="AM231" s="395"/>
      <c r="AN231" s="395"/>
      <c r="AO231" s="395"/>
      <c r="AP231" s="395"/>
      <c r="AQ231" s="395"/>
      <c r="AR231" s="395"/>
      <c r="AS231" s="395"/>
      <c r="AT231" s="395"/>
      <c r="AU231" s="395"/>
      <c r="AV231" s="395"/>
      <c r="AW231" s="395"/>
      <c r="AX231" s="395"/>
      <c r="AY231" s="395"/>
      <c r="AZ231" s="395"/>
      <c r="BA231" s="395"/>
      <c r="BB231" s="395"/>
      <c r="BC231" s="395"/>
      <c r="BD231" s="395"/>
      <c r="BE231" s="395"/>
      <c r="BF231" s="395"/>
      <c r="BG231" s="395"/>
      <c r="BH231" s="395"/>
      <c r="BI231" s="395"/>
      <c r="BJ231" s="395"/>
      <c r="BK231" s="395"/>
      <c r="BL231" s="395"/>
      <c r="BM231" s="395"/>
      <c r="BN231" s="395"/>
      <c r="BO231" s="395"/>
      <c r="BP231" s="395"/>
      <c r="BQ231" s="395"/>
      <c r="BR231" s="395"/>
      <c r="BS231" s="395"/>
      <c r="BT231" s="395"/>
      <c r="BU231" s="395"/>
      <c r="BV231" s="395"/>
      <c r="BW231" s="395"/>
      <c r="BX231" s="395"/>
      <c r="BY231" s="395"/>
      <c r="BZ231" s="395"/>
      <c r="CA231" s="395"/>
      <c r="CB231" s="395"/>
      <c r="CC231" s="395"/>
      <c r="CD231" s="395"/>
      <c r="CE231" s="395"/>
      <c r="CF231" s="395"/>
      <c r="CG231" s="395"/>
      <c r="CH231" s="395"/>
      <c r="CI231" s="395"/>
      <c r="CJ231" s="395"/>
      <c r="CK231" s="395"/>
      <c r="CL231" s="395"/>
      <c r="CM231" s="395"/>
      <c r="CN231" s="395"/>
      <c r="CO231" s="395"/>
      <c r="CP231" s="395"/>
      <c r="CQ231" s="395"/>
      <c r="CR231" s="395"/>
      <c r="CS231" s="395"/>
      <c r="CT231" s="395"/>
      <c r="CU231" s="395"/>
      <c r="CV231" s="395"/>
      <c r="CW231" s="395"/>
      <c r="CX231" s="395"/>
      <c r="CY231" s="395"/>
      <c r="CZ231" s="395"/>
      <c r="DA231" s="395"/>
      <c r="DB231" s="395"/>
      <c r="DC231" s="395"/>
      <c r="DD231" s="395"/>
      <c r="DE231" s="395"/>
      <c r="DF231" s="395"/>
      <c r="DG231" s="395"/>
      <c r="DH231" s="395"/>
      <c r="DI231" s="395"/>
      <c r="DJ231" s="395"/>
      <c r="DK231" s="395"/>
      <c r="DL231" s="395"/>
      <c r="DM231" s="395"/>
      <c r="DN231" s="395"/>
      <c r="DO231" s="395"/>
      <c r="DP231" s="395"/>
      <c r="DQ231" s="395"/>
      <c r="DR231" s="395"/>
      <c r="DS231" s="395"/>
      <c r="DT231" s="395"/>
      <c r="DU231" s="395"/>
      <c r="DV231" s="395"/>
      <c r="DW231" s="395"/>
      <c r="DX231" s="395"/>
      <c r="DY231" s="395"/>
      <c r="DZ231" s="395"/>
      <c r="EA231" s="395"/>
      <c r="EB231" s="395"/>
      <c r="EC231" s="395"/>
      <c r="ED231" s="395"/>
      <c r="EE231" s="395"/>
      <c r="EF231" s="395"/>
      <c r="EG231" s="395"/>
      <c r="EH231" s="395"/>
      <c r="EI231" s="395"/>
      <c r="EJ231" s="395"/>
      <c r="EK231" s="395"/>
      <c r="EL231" s="395"/>
      <c r="EM231" s="395"/>
      <c r="EN231" s="395"/>
      <c r="EO231" s="395"/>
      <c r="EP231" s="395"/>
      <c r="EQ231" s="395"/>
      <c r="ER231" s="395"/>
      <c r="ES231" s="395"/>
      <c r="ET231" s="395"/>
      <c r="EU231" s="395"/>
      <c r="EV231" s="395"/>
      <c r="EW231" s="395"/>
      <c r="EX231" s="395"/>
      <c r="EY231" s="395"/>
      <c r="EZ231" s="395"/>
      <c r="FA231" s="395"/>
      <c r="FB231" s="395"/>
      <c r="FC231" s="395"/>
      <c r="FD231" s="395"/>
      <c r="FE231" s="395"/>
      <c r="FF231" s="395"/>
      <c r="FG231" s="395"/>
      <c r="FH231" s="395"/>
      <c r="FI231" s="395"/>
      <c r="FJ231" s="395"/>
      <c r="FK231" s="395"/>
      <c r="FL231" s="395"/>
      <c r="FM231" s="395"/>
      <c r="FN231" s="395"/>
      <c r="FO231" s="395"/>
      <c r="FP231" s="395"/>
      <c r="FQ231" s="395"/>
      <c r="FR231" s="395"/>
      <c r="FS231" s="395"/>
      <c r="FT231" s="395"/>
      <c r="FU231" s="395"/>
      <c r="FV231" s="395"/>
      <c r="FW231" s="395"/>
      <c r="FX231" s="395"/>
      <c r="FY231" s="395"/>
      <c r="FZ231" s="395"/>
      <c r="GA231" s="395"/>
      <c r="GB231" s="395"/>
      <c r="GC231" s="395"/>
      <c r="GD231" s="395"/>
      <c r="GE231" s="395"/>
      <c r="GF231" s="395"/>
      <c r="GG231" s="395"/>
      <c r="GH231" s="395"/>
      <c r="GI231" s="395"/>
      <c r="GJ231" s="395"/>
      <c r="GK231" s="395"/>
      <c r="GL231" s="395"/>
      <c r="GM231" s="395"/>
      <c r="GN231" s="395"/>
      <c r="GO231" s="395"/>
      <c r="GP231" s="395"/>
      <c r="GQ231" s="395"/>
      <c r="GR231" s="395"/>
      <c r="GS231" s="395"/>
      <c r="GT231" s="395"/>
      <c r="GU231" s="395"/>
      <c r="GV231" s="395"/>
      <c r="GW231" s="395"/>
      <c r="GX231" s="395"/>
      <c r="GY231" s="395"/>
      <c r="GZ231" s="395"/>
      <c r="HA231" s="395"/>
      <c r="HB231" s="395"/>
      <c r="HC231" s="395"/>
      <c r="HD231" s="395"/>
      <c r="HE231" s="395"/>
      <c r="HF231" s="395"/>
      <c r="HG231" s="395"/>
      <c r="HH231" s="395"/>
      <c r="HI231" s="395"/>
      <c r="HJ231" s="395"/>
      <c r="HK231" s="395"/>
      <c r="HL231" s="395"/>
      <c r="HM231" s="395"/>
      <c r="HN231" s="395"/>
      <c r="HO231" s="395"/>
      <c r="HP231" s="395"/>
      <c r="HQ231" s="395"/>
      <c r="HR231" s="395"/>
    </row>
    <row r="232" spans="1:226" s="866" customFormat="1" x14ac:dyDescent="0.25">
      <c r="A232" s="395"/>
      <c r="B232" s="395"/>
      <c r="C232" s="395"/>
      <c r="D232" s="395"/>
      <c r="E232" s="395"/>
      <c r="F232" s="395"/>
      <c r="G232" s="395"/>
      <c r="H232" s="395"/>
      <c r="I232" s="395"/>
      <c r="J232" s="395"/>
      <c r="K232" s="395"/>
      <c r="L232" s="395"/>
      <c r="M232" s="395"/>
      <c r="N232" s="395"/>
      <c r="O232" s="395"/>
      <c r="P232" s="395"/>
      <c r="Q232" s="395"/>
      <c r="R232" s="395"/>
      <c r="S232" s="395"/>
      <c r="T232" s="395"/>
      <c r="U232" s="395"/>
      <c r="V232" s="1608"/>
      <c r="W232" s="395"/>
      <c r="X232" s="395"/>
      <c r="Y232" s="395"/>
      <c r="Z232" s="2140"/>
      <c r="AA232" s="395"/>
      <c r="AB232" s="395"/>
      <c r="AC232" s="395"/>
      <c r="AD232" s="395"/>
      <c r="AE232" s="395"/>
      <c r="AF232" s="395"/>
      <c r="AG232" s="395"/>
      <c r="AH232" s="395"/>
      <c r="AI232" s="395"/>
      <c r="AJ232" s="395"/>
      <c r="AK232" s="395"/>
      <c r="AL232" s="395"/>
      <c r="AM232" s="395"/>
      <c r="AN232" s="395"/>
      <c r="AO232" s="395"/>
      <c r="AP232" s="395"/>
      <c r="AQ232" s="395"/>
      <c r="AR232" s="395"/>
      <c r="AS232" s="395"/>
      <c r="AT232" s="395"/>
      <c r="AU232" s="395"/>
      <c r="AV232" s="395"/>
      <c r="AW232" s="395"/>
      <c r="AX232" s="395"/>
      <c r="AY232" s="395"/>
      <c r="AZ232" s="395"/>
      <c r="BA232" s="395"/>
      <c r="BB232" s="395"/>
      <c r="BC232" s="395"/>
      <c r="BD232" s="395"/>
      <c r="BE232" s="395"/>
      <c r="BF232" s="395"/>
      <c r="BG232" s="395"/>
      <c r="BH232" s="395"/>
      <c r="BI232" s="395"/>
      <c r="BJ232" s="395"/>
      <c r="BK232" s="395"/>
      <c r="BL232" s="395"/>
      <c r="BM232" s="395"/>
      <c r="BN232" s="395"/>
      <c r="BO232" s="395"/>
      <c r="BP232" s="395"/>
      <c r="BQ232" s="395"/>
      <c r="BR232" s="395"/>
      <c r="BS232" s="395"/>
      <c r="BT232" s="395"/>
      <c r="BU232" s="395"/>
      <c r="BV232" s="395"/>
      <c r="BW232" s="395"/>
      <c r="BX232" s="395"/>
      <c r="BY232" s="395"/>
      <c r="BZ232" s="395"/>
      <c r="CA232" s="395"/>
      <c r="CB232" s="395"/>
      <c r="CC232" s="395"/>
      <c r="CD232" s="395"/>
      <c r="CE232" s="395"/>
      <c r="CF232" s="395"/>
      <c r="CG232" s="395"/>
      <c r="CH232" s="395"/>
      <c r="CI232" s="395"/>
      <c r="CJ232" s="395"/>
      <c r="CK232" s="395"/>
      <c r="CL232" s="395"/>
      <c r="CM232" s="395"/>
      <c r="CN232" s="395"/>
      <c r="CO232" s="395"/>
      <c r="CP232" s="395"/>
      <c r="CQ232" s="395"/>
      <c r="CR232" s="395"/>
      <c r="CS232" s="395"/>
      <c r="CT232" s="395"/>
      <c r="CU232" s="395"/>
      <c r="CV232" s="395"/>
      <c r="CW232" s="395"/>
      <c r="CX232" s="395"/>
      <c r="CY232" s="395"/>
      <c r="CZ232" s="395"/>
      <c r="DA232" s="395"/>
      <c r="DB232" s="395"/>
      <c r="DC232" s="395"/>
      <c r="DD232" s="395"/>
      <c r="DE232" s="395"/>
      <c r="DF232" s="395"/>
      <c r="DG232" s="395"/>
      <c r="DH232" s="395"/>
      <c r="DI232" s="395"/>
      <c r="DJ232" s="395"/>
      <c r="DK232" s="395"/>
      <c r="DL232" s="395"/>
      <c r="DM232" s="395"/>
      <c r="DN232" s="395"/>
      <c r="DO232" s="395"/>
      <c r="DP232" s="395"/>
      <c r="DQ232" s="395"/>
      <c r="DR232" s="395"/>
      <c r="DS232" s="395"/>
      <c r="DT232" s="395"/>
      <c r="DU232" s="395"/>
      <c r="DV232" s="395"/>
      <c r="DW232" s="395"/>
      <c r="DX232" s="395"/>
      <c r="DY232" s="395"/>
      <c r="DZ232" s="395"/>
      <c r="EA232" s="395"/>
      <c r="EB232" s="395"/>
      <c r="EC232" s="395"/>
      <c r="ED232" s="395"/>
      <c r="EE232" s="395"/>
      <c r="EF232" s="395"/>
      <c r="EG232" s="395"/>
      <c r="EH232" s="395"/>
      <c r="EI232" s="395"/>
      <c r="EJ232" s="395"/>
      <c r="EK232" s="395"/>
      <c r="EL232" s="395"/>
      <c r="EM232" s="395"/>
      <c r="EN232" s="395"/>
      <c r="EO232" s="395"/>
      <c r="EP232" s="395"/>
      <c r="EQ232" s="395"/>
      <c r="ER232" s="395"/>
      <c r="ES232" s="395"/>
      <c r="ET232" s="395"/>
      <c r="EU232" s="395"/>
      <c r="EV232" s="395"/>
      <c r="EW232" s="395"/>
      <c r="EX232" s="395"/>
      <c r="EY232" s="395"/>
      <c r="EZ232" s="395"/>
      <c r="FA232" s="395"/>
      <c r="FB232" s="395"/>
      <c r="FC232" s="395"/>
      <c r="FD232" s="395"/>
      <c r="FE232" s="395"/>
      <c r="FF232" s="395"/>
      <c r="FG232" s="395"/>
      <c r="FH232" s="395"/>
      <c r="FI232" s="395"/>
      <c r="FJ232" s="395"/>
      <c r="FK232" s="395"/>
      <c r="FL232" s="395"/>
      <c r="FM232" s="395"/>
      <c r="FN232" s="395"/>
      <c r="FO232" s="395"/>
      <c r="FP232" s="395"/>
      <c r="FQ232" s="395"/>
      <c r="FR232" s="395"/>
      <c r="FS232" s="395"/>
      <c r="FT232" s="395"/>
      <c r="FU232" s="395"/>
      <c r="FV232" s="395"/>
      <c r="FW232" s="395"/>
      <c r="FX232" s="395"/>
      <c r="FY232" s="395"/>
      <c r="FZ232" s="395"/>
      <c r="GA232" s="395"/>
      <c r="GB232" s="395"/>
      <c r="GC232" s="395"/>
      <c r="GD232" s="395"/>
      <c r="GE232" s="395"/>
      <c r="GF232" s="395"/>
      <c r="GG232" s="395"/>
      <c r="GH232" s="395"/>
      <c r="GI232" s="395"/>
      <c r="GJ232" s="395"/>
      <c r="GK232" s="395"/>
      <c r="GL232" s="395"/>
      <c r="GM232" s="395"/>
      <c r="GN232" s="395"/>
      <c r="GO232" s="395"/>
      <c r="GP232" s="395"/>
      <c r="GQ232" s="395"/>
      <c r="GR232" s="395"/>
      <c r="GS232" s="395"/>
      <c r="GT232" s="395"/>
      <c r="GU232" s="395"/>
      <c r="GV232" s="395"/>
      <c r="GW232" s="395"/>
      <c r="GX232" s="395"/>
      <c r="GY232" s="395"/>
      <c r="GZ232" s="395"/>
      <c r="HA232" s="395"/>
      <c r="HB232" s="395"/>
      <c r="HC232" s="395"/>
      <c r="HD232" s="395"/>
      <c r="HE232" s="395"/>
      <c r="HF232" s="395"/>
      <c r="HG232" s="395"/>
      <c r="HH232" s="395"/>
      <c r="HI232" s="395"/>
      <c r="HJ232" s="395"/>
      <c r="HK232" s="395"/>
      <c r="HL232" s="395"/>
      <c r="HM232" s="395"/>
      <c r="HN232" s="395"/>
      <c r="HO232" s="395"/>
      <c r="HP232" s="395"/>
      <c r="HQ232" s="395"/>
      <c r="HR232" s="395"/>
    </row>
    <row r="233" spans="1:226" s="866" customFormat="1" x14ac:dyDescent="0.25">
      <c r="A233" s="395"/>
      <c r="B233" s="395"/>
      <c r="C233" s="395"/>
      <c r="D233" s="395"/>
      <c r="E233" s="395"/>
      <c r="F233" s="395"/>
      <c r="G233" s="395"/>
      <c r="H233" s="395"/>
      <c r="I233" s="395"/>
      <c r="J233" s="395"/>
      <c r="K233" s="395"/>
      <c r="L233" s="395"/>
      <c r="M233" s="395"/>
      <c r="N233" s="395"/>
      <c r="O233" s="395"/>
      <c r="P233" s="395"/>
      <c r="Q233" s="395"/>
      <c r="R233" s="395"/>
      <c r="S233" s="395"/>
      <c r="T233" s="395"/>
      <c r="U233" s="395"/>
      <c r="V233" s="1608"/>
      <c r="W233" s="395"/>
      <c r="X233" s="395"/>
      <c r="Y233" s="395"/>
      <c r="Z233" s="2140"/>
      <c r="AA233" s="395"/>
      <c r="AB233" s="395"/>
      <c r="AC233" s="395"/>
      <c r="AD233" s="395"/>
      <c r="AE233" s="395"/>
      <c r="AF233" s="395"/>
      <c r="AG233" s="395"/>
      <c r="AH233" s="395"/>
      <c r="AI233" s="395"/>
      <c r="AJ233" s="395"/>
      <c r="AK233" s="395"/>
      <c r="AL233" s="395"/>
      <c r="AM233" s="395"/>
      <c r="AN233" s="395"/>
      <c r="AO233" s="395"/>
      <c r="AP233" s="395"/>
      <c r="AQ233" s="395"/>
      <c r="AR233" s="395"/>
      <c r="AS233" s="395"/>
      <c r="AT233" s="395"/>
      <c r="AU233" s="395"/>
      <c r="AV233" s="395"/>
      <c r="AW233" s="395"/>
      <c r="AX233" s="395"/>
      <c r="AY233" s="395"/>
      <c r="AZ233" s="395"/>
      <c r="BA233" s="395"/>
      <c r="BB233" s="395"/>
      <c r="BC233" s="395"/>
      <c r="BD233" s="395"/>
      <c r="BE233" s="395"/>
      <c r="BF233" s="395"/>
      <c r="BG233" s="395"/>
      <c r="BH233" s="395"/>
      <c r="BI233" s="395"/>
      <c r="BJ233" s="395"/>
      <c r="BK233" s="395"/>
      <c r="BL233" s="395"/>
      <c r="BM233" s="395"/>
      <c r="BN233" s="395"/>
      <c r="BO233" s="395"/>
      <c r="BP233" s="395"/>
      <c r="BQ233" s="395"/>
      <c r="BR233" s="395"/>
      <c r="BS233" s="395"/>
      <c r="BT233" s="395"/>
      <c r="BU233" s="395"/>
      <c r="BV233" s="395"/>
      <c r="BW233" s="395"/>
      <c r="BX233" s="395"/>
      <c r="BY233" s="395"/>
      <c r="BZ233" s="395"/>
      <c r="CA233" s="395"/>
      <c r="CB233" s="395"/>
      <c r="CC233" s="395"/>
      <c r="CD233" s="395"/>
      <c r="CE233" s="395"/>
      <c r="CF233" s="395"/>
      <c r="CG233" s="395"/>
      <c r="CH233" s="395"/>
      <c r="CI233" s="395"/>
      <c r="CJ233" s="395"/>
      <c r="CK233" s="395"/>
      <c r="CL233" s="395"/>
      <c r="CM233" s="395"/>
      <c r="CN233" s="395"/>
      <c r="CO233" s="395"/>
      <c r="CP233" s="395"/>
      <c r="CQ233" s="395"/>
      <c r="CR233" s="395"/>
      <c r="CS233" s="395"/>
      <c r="CT233" s="395"/>
      <c r="CU233" s="395"/>
      <c r="CV233" s="395"/>
      <c r="CW233" s="395"/>
      <c r="CX233" s="395"/>
      <c r="CY233" s="395"/>
      <c r="CZ233" s="395"/>
      <c r="DA233" s="395"/>
      <c r="DB233" s="395"/>
      <c r="DC233" s="395"/>
      <c r="DD233" s="395"/>
      <c r="DE233" s="395"/>
      <c r="DF233" s="395"/>
      <c r="DG233" s="395"/>
      <c r="DH233" s="395"/>
      <c r="DI233" s="395"/>
      <c r="DJ233" s="395"/>
      <c r="DK233" s="395"/>
      <c r="DL233" s="395"/>
      <c r="DM233" s="395"/>
      <c r="DN233" s="395"/>
      <c r="DO233" s="395"/>
      <c r="DP233" s="395"/>
      <c r="DQ233" s="395"/>
      <c r="DR233" s="395"/>
      <c r="DS233" s="395"/>
      <c r="DT233" s="395"/>
      <c r="DU233" s="395"/>
      <c r="DV233" s="395"/>
      <c r="DW233" s="395"/>
      <c r="DX233" s="395"/>
      <c r="DY233" s="395"/>
      <c r="DZ233" s="395"/>
      <c r="EA233" s="395"/>
      <c r="EB233" s="395"/>
      <c r="EC233" s="395"/>
      <c r="ED233" s="395"/>
      <c r="EE233" s="395"/>
      <c r="EF233" s="395"/>
      <c r="EG233" s="395"/>
      <c r="EH233" s="395"/>
      <c r="EI233" s="395"/>
      <c r="EJ233" s="395"/>
      <c r="EK233" s="395"/>
      <c r="EL233" s="395"/>
      <c r="EM233" s="395"/>
      <c r="EN233" s="395"/>
      <c r="EO233" s="395"/>
      <c r="EP233" s="395"/>
      <c r="EQ233" s="395"/>
      <c r="ER233" s="395"/>
      <c r="ES233" s="395"/>
      <c r="ET233" s="395"/>
      <c r="EU233" s="395"/>
      <c r="EV233" s="395"/>
      <c r="EW233" s="395"/>
      <c r="EX233" s="395"/>
      <c r="EY233" s="395"/>
      <c r="EZ233" s="395"/>
      <c r="FA233" s="395"/>
      <c r="FB233" s="395"/>
      <c r="FC233" s="395"/>
      <c r="FD233" s="395"/>
      <c r="FE233" s="395"/>
      <c r="FF233" s="395"/>
      <c r="FG233" s="395"/>
      <c r="FH233" s="395"/>
      <c r="FI233" s="395"/>
      <c r="FJ233" s="395"/>
      <c r="FK233" s="395"/>
      <c r="FL233" s="395"/>
      <c r="FM233" s="395"/>
      <c r="FN233" s="395"/>
      <c r="FO233" s="395"/>
      <c r="FP233" s="395"/>
      <c r="FQ233" s="395"/>
      <c r="FR233" s="395"/>
      <c r="FS233" s="395"/>
      <c r="FT233" s="395"/>
      <c r="FU233" s="395"/>
      <c r="FV233" s="395"/>
      <c r="FW233" s="395"/>
      <c r="FX233" s="395"/>
      <c r="FY233" s="395"/>
      <c r="FZ233" s="395"/>
      <c r="GA233" s="395"/>
      <c r="GB233" s="395"/>
      <c r="GC233" s="395"/>
      <c r="GD233" s="395"/>
      <c r="GE233" s="395"/>
      <c r="GF233" s="395"/>
      <c r="GG233" s="395"/>
      <c r="GH233" s="395"/>
      <c r="GI233" s="395"/>
      <c r="GJ233" s="395"/>
      <c r="GK233" s="395"/>
      <c r="GL233" s="395"/>
      <c r="GM233" s="395"/>
      <c r="GN233" s="395"/>
      <c r="GO233" s="395"/>
      <c r="GP233" s="395"/>
      <c r="GQ233" s="395"/>
      <c r="GR233" s="395"/>
      <c r="GS233" s="395"/>
      <c r="GT233" s="395"/>
      <c r="GU233" s="395"/>
      <c r="GV233" s="395"/>
      <c r="GW233" s="395"/>
      <c r="GX233" s="395"/>
      <c r="GY233" s="395"/>
      <c r="GZ233" s="395"/>
      <c r="HA233" s="395"/>
      <c r="HB233" s="395"/>
      <c r="HC233" s="395"/>
      <c r="HD233" s="395"/>
      <c r="HE233" s="395"/>
      <c r="HF233" s="395"/>
      <c r="HG233" s="395"/>
      <c r="HH233" s="395"/>
      <c r="HI233" s="395"/>
      <c r="HJ233" s="395"/>
      <c r="HK233" s="395"/>
      <c r="HL233" s="395"/>
      <c r="HM233" s="395"/>
      <c r="HN233" s="395"/>
      <c r="HO233" s="395"/>
      <c r="HP233" s="395"/>
      <c r="HQ233" s="395"/>
      <c r="HR233" s="395"/>
    </row>
    <row r="234" spans="1:226" s="866" customFormat="1" x14ac:dyDescent="0.25">
      <c r="A234" s="395"/>
      <c r="B234" s="395"/>
      <c r="C234" s="395"/>
      <c r="D234" s="395"/>
      <c r="E234" s="395"/>
      <c r="F234" s="395"/>
      <c r="G234" s="395"/>
      <c r="H234" s="395"/>
      <c r="I234" s="395"/>
      <c r="J234" s="395"/>
      <c r="K234" s="395"/>
      <c r="L234" s="395"/>
      <c r="M234" s="395"/>
      <c r="N234" s="395"/>
      <c r="O234" s="395"/>
      <c r="P234" s="395"/>
      <c r="Q234" s="395"/>
      <c r="R234" s="395"/>
      <c r="S234" s="395"/>
      <c r="T234" s="395"/>
      <c r="U234" s="395"/>
      <c r="V234" s="1608"/>
      <c r="W234" s="395"/>
      <c r="X234" s="395"/>
      <c r="Y234" s="395"/>
      <c r="Z234" s="2140"/>
      <c r="AA234" s="395"/>
      <c r="AB234" s="395"/>
      <c r="AC234" s="395"/>
      <c r="AD234" s="395"/>
      <c r="AE234" s="395"/>
      <c r="AF234" s="395"/>
      <c r="AG234" s="395"/>
      <c r="AH234" s="395"/>
      <c r="AI234" s="395"/>
      <c r="AJ234" s="395"/>
      <c r="AK234" s="395"/>
      <c r="AL234" s="395"/>
      <c r="AM234" s="395"/>
      <c r="AN234" s="395"/>
      <c r="AO234" s="395"/>
      <c r="AP234" s="395"/>
      <c r="AQ234" s="395"/>
      <c r="AR234" s="395"/>
      <c r="AS234" s="395"/>
      <c r="AT234" s="395"/>
      <c r="AU234" s="395"/>
      <c r="AV234" s="395"/>
      <c r="AW234" s="395"/>
      <c r="AX234" s="395"/>
      <c r="AY234" s="395"/>
      <c r="AZ234" s="395"/>
      <c r="BA234" s="395"/>
      <c r="BB234" s="395"/>
      <c r="BC234" s="395"/>
      <c r="BD234" s="395"/>
      <c r="BE234" s="395"/>
      <c r="BF234" s="395"/>
      <c r="BG234" s="395"/>
      <c r="BH234" s="395"/>
      <c r="BI234" s="395"/>
      <c r="BJ234" s="395"/>
      <c r="BK234" s="395"/>
      <c r="BL234" s="395"/>
      <c r="BM234" s="395"/>
      <c r="BN234" s="395"/>
      <c r="BO234" s="395"/>
      <c r="BP234" s="395"/>
      <c r="BQ234" s="395"/>
      <c r="BR234" s="395"/>
      <c r="BS234" s="395"/>
      <c r="BT234" s="395"/>
      <c r="BU234" s="395"/>
      <c r="BV234" s="395"/>
      <c r="BW234" s="395"/>
      <c r="BX234" s="395"/>
      <c r="BY234" s="395"/>
      <c r="BZ234" s="395"/>
      <c r="CA234" s="395"/>
      <c r="CB234" s="395"/>
      <c r="CC234" s="395"/>
      <c r="CD234" s="395"/>
      <c r="CE234" s="395"/>
      <c r="CF234" s="395"/>
      <c r="CG234" s="395"/>
      <c r="CH234" s="395"/>
      <c r="CI234" s="395"/>
      <c r="CJ234" s="395"/>
      <c r="CK234" s="395"/>
      <c r="CL234" s="395"/>
      <c r="CM234" s="395"/>
      <c r="CN234" s="395"/>
      <c r="CO234" s="395"/>
      <c r="CP234" s="395"/>
      <c r="CQ234" s="395"/>
      <c r="CR234" s="395"/>
      <c r="CS234" s="395"/>
      <c r="CT234" s="395"/>
      <c r="CU234" s="395"/>
      <c r="CV234" s="395"/>
      <c r="CW234" s="395"/>
      <c r="CX234" s="395"/>
      <c r="CY234" s="395"/>
      <c r="CZ234" s="395"/>
      <c r="DA234" s="395"/>
      <c r="DB234" s="395"/>
      <c r="DC234" s="395"/>
      <c r="DD234" s="395"/>
      <c r="DE234" s="395"/>
      <c r="DF234" s="395"/>
      <c r="DG234" s="395"/>
      <c r="DH234" s="395"/>
      <c r="DI234" s="395"/>
      <c r="DJ234" s="395"/>
      <c r="DK234" s="395"/>
      <c r="DL234" s="395"/>
      <c r="DM234" s="395"/>
      <c r="DN234" s="395"/>
      <c r="DO234" s="395"/>
      <c r="DP234" s="395"/>
      <c r="DQ234" s="395"/>
      <c r="DR234" s="395"/>
      <c r="DS234" s="395"/>
      <c r="DT234" s="395"/>
      <c r="DU234" s="395"/>
      <c r="DV234" s="395"/>
      <c r="DW234" s="395"/>
      <c r="DX234" s="395"/>
      <c r="DY234" s="395"/>
      <c r="DZ234" s="395"/>
      <c r="EA234" s="395"/>
      <c r="EB234" s="395"/>
      <c r="EC234" s="395"/>
      <c r="ED234" s="395"/>
      <c r="EE234" s="395"/>
      <c r="EF234" s="395"/>
      <c r="EG234" s="395"/>
      <c r="EH234" s="395"/>
      <c r="EI234" s="395"/>
      <c r="EJ234" s="395"/>
      <c r="EK234" s="395"/>
      <c r="EL234" s="395"/>
      <c r="EM234" s="395"/>
      <c r="EN234" s="395"/>
      <c r="EO234" s="395"/>
      <c r="EP234" s="395"/>
      <c r="EQ234" s="395"/>
      <c r="ER234" s="395"/>
      <c r="ES234" s="395"/>
      <c r="ET234" s="395"/>
      <c r="EU234" s="395"/>
      <c r="EV234" s="395"/>
      <c r="EW234" s="395"/>
      <c r="EX234" s="395"/>
      <c r="EY234" s="395"/>
      <c r="EZ234" s="395"/>
      <c r="FA234" s="395"/>
      <c r="FB234" s="395"/>
      <c r="FC234" s="395"/>
      <c r="FD234" s="395"/>
      <c r="FE234" s="395"/>
      <c r="FF234" s="395"/>
      <c r="FG234" s="395"/>
      <c r="FH234" s="395"/>
      <c r="FI234" s="395"/>
      <c r="FJ234" s="395"/>
      <c r="FK234" s="395"/>
      <c r="FL234" s="395"/>
      <c r="FM234" s="395"/>
      <c r="FN234" s="395"/>
      <c r="FO234" s="395"/>
      <c r="FP234" s="395"/>
      <c r="FQ234" s="395"/>
      <c r="FR234" s="395"/>
      <c r="FS234" s="395"/>
      <c r="FT234" s="395"/>
      <c r="FU234" s="395"/>
      <c r="FV234" s="395"/>
      <c r="FW234" s="395"/>
      <c r="FX234" s="395"/>
      <c r="FY234" s="395"/>
      <c r="FZ234" s="395"/>
      <c r="GA234" s="395"/>
      <c r="GB234" s="395"/>
      <c r="GC234" s="395"/>
      <c r="GD234" s="395"/>
      <c r="GE234" s="395"/>
      <c r="GF234" s="395"/>
      <c r="GG234" s="395"/>
      <c r="GH234" s="395"/>
      <c r="GI234" s="395"/>
      <c r="GJ234" s="395"/>
      <c r="GK234" s="395"/>
      <c r="GL234" s="395"/>
      <c r="GM234" s="395"/>
      <c r="GN234" s="395"/>
      <c r="GO234" s="395"/>
      <c r="GP234" s="395"/>
      <c r="GQ234" s="395"/>
      <c r="GR234" s="395"/>
      <c r="GS234" s="395"/>
      <c r="GT234" s="395"/>
      <c r="GU234" s="395"/>
      <c r="GV234" s="395"/>
      <c r="GW234" s="395"/>
      <c r="GX234" s="395"/>
      <c r="GY234" s="395"/>
      <c r="GZ234" s="395"/>
      <c r="HA234" s="395"/>
      <c r="HB234" s="395"/>
      <c r="HC234" s="395"/>
      <c r="HD234" s="395"/>
      <c r="HE234" s="395"/>
      <c r="HF234" s="395"/>
      <c r="HG234" s="395"/>
      <c r="HH234" s="395"/>
      <c r="HI234" s="395"/>
      <c r="HJ234" s="395"/>
      <c r="HK234" s="395"/>
      <c r="HL234" s="395"/>
      <c r="HM234" s="395"/>
      <c r="HN234" s="395"/>
      <c r="HO234" s="395"/>
      <c r="HP234" s="395"/>
      <c r="HQ234" s="395"/>
      <c r="HR234" s="395"/>
    </row>
    <row r="235" spans="1:226" s="866" customFormat="1" x14ac:dyDescent="0.25">
      <c r="A235" s="395"/>
      <c r="B235" s="395"/>
      <c r="C235" s="395"/>
      <c r="D235" s="395"/>
      <c r="E235" s="395"/>
      <c r="F235" s="395"/>
      <c r="G235" s="395"/>
      <c r="H235" s="395"/>
      <c r="I235" s="395"/>
      <c r="J235" s="395"/>
      <c r="K235" s="395"/>
      <c r="L235" s="395"/>
      <c r="M235" s="395"/>
      <c r="N235" s="395"/>
      <c r="O235" s="395"/>
      <c r="P235" s="395"/>
      <c r="Q235" s="395"/>
      <c r="R235" s="395"/>
      <c r="S235" s="395"/>
      <c r="T235" s="395"/>
      <c r="U235" s="395"/>
      <c r="V235" s="1608"/>
      <c r="W235" s="395"/>
      <c r="X235" s="395"/>
      <c r="Y235" s="395"/>
      <c r="Z235" s="2140"/>
      <c r="AA235" s="395"/>
      <c r="AB235" s="395"/>
      <c r="AC235" s="395"/>
      <c r="AD235" s="395"/>
      <c r="AE235" s="395"/>
      <c r="AF235" s="395"/>
      <c r="AG235" s="395"/>
      <c r="AH235" s="395"/>
      <c r="AI235" s="395"/>
      <c r="AJ235" s="395"/>
      <c r="AK235" s="395"/>
      <c r="AL235" s="395"/>
      <c r="AM235" s="395"/>
      <c r="AN235" s="395"/>
      <c r="AO235" s="395"/>
      <c r="AP235" s="395"/>
      <c r="AQ235" s="395"/>
      <c r="AR235" s="395"/>
      <c r="AS235" s="395"/>
      <c r="AT235" s="395"/>
      <c r="AU235" s="395"/>
      <c r="AV235" s="395"/>
      <c r="AW235" s="395"/>
      <c r="AX235" s="395"/>
      <c r="AY235" s="395"/>
      <c r="AZ235" s="395"/>
      <c r="BA235" s="395"/>
      <c r="BB235" s="395"/>
      <c r="BC235" s="395"/>
      <c r="BD235" s="395"/>
      <c r="BE235" s="395"/>
      <c r="BF235" s="395"/>
      <c r="BG235" s="395"/>
      <c r="BH235" s="395"/>
      <c r="BI235" s="395"/>
      <c r="BJ235" s="395"/>
      <c r="BK235" s="395"/>
      <c r="BL235" s="395"/>
      <c r="BM235" s="395"/>
      <c r="BN235" s="395"/>
      <c r="BO235" s="395"/>
      <c r="BP235" s="395"/>
      <c r="BQ235" s="395"/>
      <c r="BR235" s="395"/>
      <c r="BS235" s="395"/>
      <c r="BT235" s="395"/>
      <c r="BU235" s="395"/>
      <c r="BV235" s="395"/>
      <c r="BW235" s="395"/>
      <c r="BX235" s="395"/>
      <c r="BY235" s="395"/>
      <c r="BZ235" s="395"/>
      <c r="CA235" s="395"/>
      <c r="CB235" s="395"/>
      <c r="CC235" s="395"/>
      <c r="CD235" s="395"/>
      <c r="CE235" s="395"/>
      <c r="CF235" s="395"/>
      <c r="CG235" s="395"/>
      <c r="CH235" s="395"/>
      <c r="CI235" s="395"/>
      <c r="CJ235" s="395"/>
      <c r="CK235" s="395"/>
      <c r="CL235" s="395"/>
      <c r="CM235" s="395"/>
      <c r="CN235" s="395"/>
      <c r="CO235" s="395"/>
      <c r="CP235" s="395"/>
      <c r="CQ235" s="395"/>
      <c r="CR235" s="395"/>
      <c r="CS235" s="395"/>
      <c r="CT235" s="395"/>
      <c r="CU235" s="395"/>
      <c r="CV235" s="395"/>
      <c r="CW235" s="395"/>
      <c r="CX235" s="395"/>
      <c r="CY235" s="395"/>
      <c r="CZ235" s="395"/>
      <c r="DA235" s="395"/>
      <c r="DB235" s="395"/>
      <c r="DC235" s="395"/>
      <c r="DD235" s="395"/>
      <c r="DE235" s="395"/>
      <c r="DF235" s="395"/>
      <c r="DG235" s="395"/>
      <c r="DH235" s="395"/>
      <c r="DI235" s="395"/>
      <c r="DJ235" s="395"/>
      <c r="DK235" s="395"/>
      <c r="DL235" s="395"/>
      <c r="DM235" s="395"/>
      <c r="DN235" s="395"/>
      <c r="DO235" s="395"/>
      <c r="DP235" s="395"/>
      <c r="DQ235" s="395"/>
      <c r="DR235" s="395"/>
      <c r="DS235" s="395"/>
      <c r="DT235" s="395"/>
      <c r="DU235" s="395"/>
      <c r="DV235" s="395"/>
      <c r="DW235" s="395"/>
      <c r="DX235" s="395"/>
      <c r="DY235" s="395"/>
      <c r="DZ235" s="395"/>
      <c r="EA235" s="395"/>
      <c r="EB235" s="395"/>
      <c r="EC235" s="395"/>
      <c r="ED235" s="395"/>
      <c r="EE235" s="395"/>
      <c r="EF235" s="395"/>
      <c r="EG235" s="395"/>
      <c r="EH235" s="395"/>
      <c r="EI235" s="395"/>
      <c r="EJ235" s="395"/>
      <c r="EK235" s="395"/>
      <c r="EL235" s="395"/>
      <c r="EM235" s="395"/>
      <c r="EN235" s="395"/>
      <c r="EO235" s="395"/>
      <c r="EP235" s="395"/>
      <c r="EQ235" s="395"/>
      <c r="ER235" s="395"/>
      <c r="ES235" s="395"/>
      <c r="ET235" s="395"/>
      <c r="EU235" s="395"/>
      <c r="EV235" s="395"/>
      <c r="EW235" s="395"/>
      <c r="EX235" s="395"/>
      <c r="EY235" s="395"/>
      <c r="EZ235" s="395"/>
      <c r="FA235" s="395"/>
      <c r="FB235" s="395"/>
      <c r="FC235" s="395"/>
      <c r="FD235" s="395"/>
      <c r="FE235" s="395"/>
      <c r="FF235" s="395"/>
      <c r="FG235" s="395"/>
      <c r="FH235" s="395"/>
      <c r="FI235" s="395"/>
      <c r="FJ235" s="395"/>
      <c r="FK235" s="395"/>
      <c r="FL235" s="395"/>
      <c r="FM235" s="395"/>
      <c r="FN235" s="395"/>
      <c r="FO235" s="395"/>
      <c r="FP235" s="395"/>
      <c r="FQ235" s="395"/>
      <c r="FR235" s="395"/>
      <c r="FS235" s="395"/>
      <c r="FT235" s="395"/>
      <c r="FU235" s="395"/>
      <c r="FV235" s="395"/>
      <c r="FW235" s="395"/>
      <c r="FX235" s="395"/>
      <c r="FY235" s="395"/>
      <c r="FZ235" s="395"/>
      <c r="GA235" s="395"/>
      <c r="GB235" s="395"/>
      <c r="GC235" s="395"/>
      <c r="GD235" s="395"/>
      <c r="GE235" s="395"/>
      <c r="GF235" s="395"/>
      <c r="GG235" s="395"/>
      <c r="GH235" s="395"/>
      <c r="GI235" s="395"/>
      <c r="GJ235" s="395"/>
      <c r="GK235" s="395"/>
      <c r="GL235" s="395"/>
      <c r="GM235" s="395"/>
      <c r="GN235" s="395"/>
      <c r="GO235" s="395"/>
      <c r="GP235" s="395"/>
      <c r="GQ235" s="395"/>
      <c r="GR235" s="395"/>
      <c r="GS235" s="395"/>
      <c r="GT235" s="395"/>
      <c r="GU235" s="395"/>
      <c r="GV235" s="395"/>
      <c r="GW235" s="395"/>
      <c r="GX235" s="395"/>
      <c r="GY235" s="395"/>
      <c r="GZ235" s="395"/>
      <c r="HA235" s="395"/>
      <c r="HB235" s="395"/>
      <c r="HC235" s="395"/>
      <c r="HD235" s="395"/>
      <c r="HE235" s="395"/>
      <c r="HF235" s="395"/>
      <c r="HG235" s="395"/>
      <c r="HH235" s="395"/>
      <c r="HI235" s="395"/>
      <c r="HJ235" s="395"/>
      <c r="HK235" s="395"/>
      <c r="HL235" s="395"/>
      <c r="HM235" s="395"/>
      <c r="HN235" s="395"/>
      <c r="HO235" s="395"/>
      <c r="HP235" s="395"/>
      <c r="HQ235" s="395"/>
      <c r="HR235" s="395"/>
    </row>
    <row r="236" spans="1:226" s="866" customFormat="1" x14ac:dyDescent="0.25">
      <c r="A236" s="395"/>
      <c r="B236" s="395"/>
      <c r="C236" s="395"/>
      <c r="D236" s="395"/>
      <c r="E236" s="395"/>
      <c r="F236" s="395"/>
      <c r="G236" s="395"/>
      <c r="H236" s="395"/>
      <c r="I236" s="395"/>
      <c r="J236" s="395"/>
      <c r="K236" s="395"/>
      <c r="L236" s="395"/>
      <c r="M236" s="395"/>
      <c r="N236" s="395"/>
      <c r="O236" s="395"/>
      <c r="P236" s="395"/>
      <c r="Q236" s="395"/>
      <c r="R236" s="395"/>
      <c r="S236" s="395"/>
      <c r="T236" s="395"/>
      <c r="U236" s="395"/>
      <c r="V236" s="1608"/>
      <c r="W236" s="395"/>
      <c r="X236" s="395"/>
      <c r="Y236" s="395"/>
      <c r="Z236" s="2140"/>
      <c r="AA236" s="395"/>
      <c r="AB236" s="395"/>
      <c r="AC236" s="395"/>
      <c r="AD236" s="395"/>
      <c r="AE236" s="395"/>
      <c r="AF236" s="395"/>
      <c r="AG236" s="395"/>
      <c r="AH236" s="395"/>
      <c r="AI236" s="395"/>
      <c r="AJ236" s="395"/>
      <c r="AK236" s="395"/>
      <c r="AL236" s="395"/>
      <c r="AM236" s="395"/>
      <c r="AN236" s="395"/>
      <c r="AO236" s="395"/>
      <c r="AP236" s="395"/>
      <c r="AQ236" s="395"/>
      <c r="AR236" s="395"/>
      <c r="AS236" s="395"/>
      <c r="AT236" s="395"/>
      <c r="AU236" s="395"/>
      <c r="AV236" s="395"/>
      <c r="AW236" s="395"/>
      <c r="AX236" s="395"/>
      <c r="AY236" s="395"/>
      <c r="AZ236" s="395"/>
      <c r="BA236" s="395"/>
      <c r="BB236" s="395"/>
      <c r="BC236" s="395"/>
      <c r="BD236" s="395"/>
      <c r="BE236" s="395"/>
      <c r="BF236" s="395"/>
      <c r="BG236" s="395"/>
      <c r="BH236" s="395"/>
      <c r="BI236" s="395"/>
      <c r="BJ236" s="395"/>
      <c r="BK236" s="395"/>
      <c r="BL236" s="395"/>
      <c r="BM236" s="395"/>
      <c r="BN236" s="395"/>
      <c r="BO236" s="395"/>
      <c r="BP236" s="395"/>
      <c r="BQ236" s="395"/>
      <c r="BR236" s="395"/>
      <c r="BS236" s="395"/>
      <c r="BT236" s="395"/>
      <c r="BU236" s="395"/>
      <c r="BV236" s="395"/>
      <c r="BW236" s="395"/>
      <c r="BX236" s="395"/>
      <c r="BY236" s="395"/>
      <c r="BZ236" s="395"/>
      <c r="CA236" s="395"/>
      <c r="CB236" s="395"/>
      <c r="CC236" s="395"/>
      <c r="CD236" s="395"/>
      <c r="CE236" s="395"/>
      <c r="CF236" s="395"/>
      <c r="CG236" s="395"/>
      <c r="CH236" s="395"/>
      <c r="CI236" s="395"/>
      <c r="CJ236" s="395"/>
      <c r="CK236" s="395"/>
      <c r="CL236" s="395"/>
      <c r="CM236" s="395"/>
      <c r="CN236" s="395"/>
      <c r="CO236" s="395"/>
      <c r="CP236" s="395"/>
      <c r="CQ236" s="395"/>
      <c r="CR236" s="395"/>
      <c r="CS236" s="395"/>
      <c r="CT236" s="395"/>
      <c r="CU236" s="395"/>
      <c r="CV236" s="395"/>
      <c r="CW236" s="395"/>
      <c r="CX236" s="395"/>
      <c r="CY236" s="395"/>
      <c r="CZ236" s="395"/>
      <c r="DA236" s="395"/>
      <c r="DB236" s="395"/>
      <c r="DC236" s="395"/>
      <c r="DD236" s="395"/>
      <c r="DE236" s="395"/>
      <c r="DF236" s="395"/>
      <c r="DG236" s="395"/>
      <c r="DH236" s="395"/>
      <c r="DI236" s="395"/>
      <c r="DJ236" s="395"/>
      <c r="DK236" s="395"/>
      <c r="DL236" s="395"/>
      <c r="DM236" s="395"/>
      <c r="DN236" s="395"/>
      <c r="DO236" s="395"/>
      <c r="DP236" s="395"/>
      <c r="DQ236" s="395"/>
      <c r="DR236" s="395"/>
      <c r="DS236" s="395"/>
      <c r="DT236" s="395"/>
      <c r="DU236" s="395"/>
      <c r="DV236" s="395"/>
      <c r="DW236" s="395"/>
      <c r="DX236" s="395"/>
      <c r="DY236" s="395"/>
      <c r="DZ236" s="395"/>
      <c r="EA236" s="395"/>
      <c r="EB236" s="395"/>
      <c r="EC236" s="395"/>
      <c r="ED236" s="395"/>
      <c r="EE236" s="395"/>
      <c r="EF236" s="395"/>
      <c r="EG236" s="395"/>
      <c r="EH236" s="395"/>
      <c r="EI236" s="395"/>
      <c r="EJ236" s="395"/>
      <c r="EK236" s="395"/>
      <c r="EL236" s="395"/>
      <c r="EM236" s="395"/>
      <c r="EN236" s="395"/>
      <c r="EO236" s="395"/>
      <c r="EP236" s="395"/>
      <c r="EQ236" s="395"/>
      <c r="ER236" s="395"/>
      <c r="ES236" s="395"/>
      <c r="ET236" s="395"/>
      <c r="EU236" s="395"/>
      <c r="EV236" s="395"/>
      <c r="EW236" s="395"/>
      <c r="EX236" s="395"/>
      <c r="EY236" s="395"/>
      <c r="EZ236" s="395"/>
      <c r="FA236" s="395"/>
      <c r="FB236" s="395"/>
      <c r="FC236" s="395"/>
      <c r="FD236" s="395"/>
      <c r="FE236" s="395"/>
      <c r="FF236" s="395"/>
      <c r="FG236" s="395"/>
      <c r="FH236" s="395"/>
      <c r="FI236" s="395"/>
      <c r="FJ236" s="395"/>
      <c r="FK236" s="395"/>
      <c r="FL236" s="395"/>
      <c r="FM236" s="395"/>
      <c r="FN236" s="395"/>
      <c r="FO236" s="395"/>
      <c r="FP236" s="395"/>
      <c r="FQ236" s="395"/>
      <c r="FR236" s="395"/>
      <c r="FS236" s="395"/>
      <c r="FT236" s="395"/>
      <c r="FU236" s="395"/>
      <c r="FV236" s="395"/>
      <c r="FW236" s="395"/>
      <c r="FX236" s="395"/>
      <c r="FY236" s="395"/>
      <c r="FZ236" s="395"/>
      <c r="GA236" s="395"/>
      <c r="GB236" s="395"/>
      <c r="GC236" s="395"/>
      <c r="GD236" s="395"/>
      <c r="GE236" s="395"/>
      <c r="GF236" s="395"/>
      <c r="GG236" s="395"/>
      <c r="GH236" s="395"/>
      <c r="GI236" s="395"/>
      <c r="GJ236" s="395"/>
      <c r="GK236" s="395"/>
      <c r="GL236" s="395"/>
      <c r="GM236" s="395"/>
      <c r="GN236" s="395"/>
      <c r="GO236" s="395"/>
      <c r="GP236" s="395"/>
      <c r="GQ236" s="395"/>
      <c r="GR236" s="395"/>
      <c r="GS236" s="395"/>
      <c r="GT236" s="395"/>
      <c r="GU236" s="395"/>
      <c r="GV236" s="395"/>
      <c r="GW236" s="395"/>
      <c r="GX236" s="395"/>
      <c r="GY236" s="395"/>
      <c r="GZ236" s="395"/>
      <c r="HA236" s="395"/>
      <c r="HB236" s="395"/>
      <c r="HC236" s="395"/>
      <c r="HD236" s="395"/>
      <c r="HE236" s="395"/>
      <c r="HF236" s="395"/>
      <c r="HG236" s="395"/>
      <c r="HH236" s="395"/>
      <c r="HI236" s="395"/>
      <c r="HJ236" s="395"/>
      <c r="HK236" s="395"/>
      <c r="HL236" s="395"/>
      <c r="HM236" s="395"/>
      <c r="HN236" s="395"/>
      <c r="HO236" s="395"/>
      <c r="HP236" s="395"/>
      <c r="HQ236" s="395"/>
      <c r="HR236" s="395"/>
    </row>
    <row r="237" spans="1:226" s="866" customFormat="1" x14ac:dyDescent="0.25">
      <c r="A237" s="395"/>
      <c r="B237" s="395"/>
      <c r="C237" s="395"/>
      <c r="D237" s="395"/>
      <c r="E237" s="395"/>
      <c r="F237" s="395"/>
      <c r="G237" s="395"/>
      <c r="H237" s="395"/>
      <c r="I237" s="395"/>
      <c r="J237" s="395"/>
      <c r="K237" s="395"/>
      <c r="L237" s="395"/>
      <c r="M237" s="395"/>
      <c r="N237" s="395"/>
      <c r="O237" s="395"/>
      <c r="P237" s="395"/>
      <c r="Q237" s="395"/>
      <c r="R237" s="395"/>
      <c r="S237" s="395"/>
      <c r="T237" s="395"/>
      <c r="U237" s="395"/>
      <c r="V237" s="1608"/>
      <c r="W237" s="395"/>
      <c r="X237" s="395"/>
      <c r="Y237" s="395"/>
      <c r="Z237" s="2140"/>
      <c r="AA237" s="395"/>
      <c r="AB237" s="395"/>
      <c r="AC237" s="395"/>
      <c r="AD237" s="395"/>
      <c r="AE237" s="395"/>
      <c r="AF237" s="395"/>
      <c r="AG237" s="395"/>
      <c r="AH237" s="395"/>
      <c r="AI237" s="395"/>
      <c r="AJ237" s="395"/>
      <c r="AK237" s="395"/>
      <c r="AL237" s="395"/>
      <c r="AM237" s="395"/>
      <c r="AN237" s="395"/>
      <c r="AO237" s="395"/>
      <c r="AP237" s="395"/>
      <c r="AQ237" s="395"/>
      <c r="AR237" s="395"/>
      <c r="AS237" s="395"/>
      <c r="AT237" s="395"/>
      <c r="AU237" s="395"/>
      <c r="AV237" s="395"/>
      <c r="AW237" s="395"/>
      <c r="AX237" s="395"/>
      <c r="AY237" s="395"/>
      <c r="AZ237" s="395"/>
      <c r="BA237" s="395"/>
      <c r="BB237" s="395"/>
      <c r="BC237" s="395"/>
      <c r="BD237" s="395"/>
      <c r="BE237" s="395"/>
      <c r="BF237" s="395"/>
      <c r="BG237" s="395"/>
      <c r="BH237" s="395"/>
      <c r="BI237" s="395"/>
      <c r="BJ237" s="395"/>
      <c r="BK237" s="395"/>
      <c r="BL237" s="395"/>
      <c r="BM237" s="395"/>
      <c r="BN237" s="395"/>
      <c r="BO237" s="395"/>
      <c r="BP237" s="395"/>
      <c r="BQ237" s="395"/>
      <c r="BR237" s="395"/>
      <c r="BS237" s="395"/>
      <c r="BT237" s="395"/>
      <c r="BU237" s="395"/>
      <c r="BV237" s="395"/>
      <c r="BW237" s="395"/>
      <c r="BX237" s="395"/>
      <c r="BY237" s="395"/>
      <c r="BZ237" s="395"/>
      <c r="CA237" s="395"/>
      <c r="CB237" s="395"/>
      <c r="CC237" s="395"/>
      <c r="CD237" s="395"/>
      <c r="CE237" s="395"/>
      <c r="CF237" s="395"/>
      <c r="CG237" s="395"/>
      <c r="CH237" s="395"/>
      <c r="CI237" s="395"/>
      <c r="CJ237" s="395"/>
      <c r="CK237" s="395"/>
      <c r="CL237" s="395"/>
      <c r="CM237" s="395"/>
      <c r="CN237" s="395"/>
      <c r="CO237" s="395"/>
      <c r="CP237" s="395"/>
      <c r="CQ237" s="395"/>
      <c r="CR237" s="395"/>
      <c r="CS237" s="395"/>
      <c r="CT237" s="395"/>
      <c r="CU237" s="395"/>
      <c r="CV237" s="395"/>
      <c r="CW237" s="395"/>
      <c r="CX237" s="395"/>
      <c r="CY237" s="395"/>
      <c r="CZ237" s="395"/>
      <c r="DA237" s="395"/>
      <c r="DB237" s="395"/>
      <c r="DC237" s="395"/>
      <c r="DD237" s="395"/>
      <c r="DE237" s="395"/>
      <c r="DF237" s="395"/>
      <c r="DG237" s="395"/>
      <c r="DH237" s="395"/>
      <c r="DI237" s="395"/>
      <c r="DJ237" s="395"/>
      <c r="DK237" s="395"/>
      <c r="DL237" s="395"/>
      <c r="DM237" s="395"/>
      <c r="DN237" s="395"/>
      <c r="DO237" s="395"/>
      <c r="DP237" s="395"/>
      <c r="DQ237" s="395"/>
      <c r="DR237" s="395"/>
      <c r="DS237" s="395"/>
      <c r="DT237" s="395"/>
      <c r="DU237" s="395"/>
      <c r="DV237" s="395"/>
      <c r="DW237" s="395"/>
      <c r="DX237" s="395"/>
      <c r="DY237" s="395"/>
      <c r="DZ237" s="395"/>
      <c r="EA237" s="395"/>
      <c r="EB237" s="395"/>
      <c r="EC237" s="395"/>
      <c r="ED237" s="395"/>
      <c r="EE237" s="395"/>
      <c r="EF237" s="395"/>
      <c r="EG237" s="395"/>
      <c r="EH237" s="395"/>
      <c r="EI237" s="395"/>
      <c r="EJ237" s="395"/>
      <c r="EK237" s="395"/>
      <c r="EL237" s="395"/>
      <c r="EM237" s="395"/>
      <c r="EN237" s="395"/>
      <c r="EO237" s="395"/>
      <c r="EP237" s="395"/>
      <c r="EQ237" s="395"/>
      <c r="ER237" s="395"/>
      <c r="ES237" s="395"/>
      <c r="ET237" s="395"/>
      <c r="EU237" s="395"/>
      <c r="EV237" s="395"/>
      <c r="EW237" s="395"/>
      <c r="EX237" s="395"/>
      <c r="EY237" s="395"/>
      <c r="EZ237" s="395"/>
      <c r="FA237" s="395"/>
      <c r="FB237" s="395"/>
      <c r="FC237" s="395"/>
      <c r="FD237" s="395"/>
      <c r="FE237" s="395"/>
      <c r="FF237" s="395"/>
      <c r="FG237" s="395"/>
      <c r="FH237" s="395"/>
      <c r="FI237" s="395"/>
      <c r="FJ237" s="395"/>
      <c r="FK237" s="395"/>
      <c r="FL237" s="395"/>
      <c r="FM237" s="395"/>
      <c r="FN237" s="395"/>
      <c r="FO237" s="395"/>
      <c r="FP237" s="395"/>
      <c r="FQ237" s="395"/>
      <c r="FR237" s="395"/>
      <c r="FS237" s="395"/>
      <c r="FT237" s="395"/>
      <c r="FU237" s="395"/>
      <c r="FV237" s="395"/>
      <c r="FW237" s="395"/>
      <c r="FX237" s="395"/>
      <c r="FY237" s="395"/>
      <c r="FZ237" s="395"/>
      <c r="GA237" s="395"/>
      <c r="GB237" s="395"/>
      <c r="GC237" s="395"/>
      <c r="GD237" s="395"/>
      <c r="GE237" s="395"/>
      <c r="GF237" s="395"/>
      <c r="GG237" s="395"/>
      <c r="GH237" s="395"/>
      <c r="GI237" s="395"/>
      <c r="GJ237" s="395"/>
      <c r="GK237" s="395"/>
      <c r="GL237" s="395"/>
      <c r="GM237" s="395"/>
      <c r="GN237" s="395"/>
      <c r="GO237" s="395"/>
      <c r="GP237" s="395"/>
      <c r="GQ237" s="395"/>
      <c r="GR237" s="395"/>
      <c r="GS237" s="395"/>
      <c r="GT237" s="395"/>
      <c r="GU237" s="395"/>
      <c r="GV237" s="395"/>
      <c r="GW237" s="395"/>
      <c r="GX237" s="395"/>
      <c r="GY237" s="395"/>
      <c r="GZ237" s="395"/>
      <c r="HA237" s="395"/>
      <c r="HB237" s="395"/>
      <c r="HC237" s="395"/>
      <c r="HD237" s="395"/>
      <c r="HE237" s="395"/>
      <c r="HF237" s="395"/>
      <c r="HG237" s="395"/>
      <c r="HH237" s="395"/>
      <c r="HI237" s="395"/>
      <c r="HJ237" s="395"/>
      <c r="HK237" s="395"/>
      <c r="HL237" s="395"/>
      <c r="HM237" s="395"/>
      <c r="HN237" s="395"/>
      <c r="HO237" s="395"/>
      <c r="HP237" s="395"/>
      <c r="HQ237" s="395"/>
      <c r="HR237" s="395"/>
    </row>
    <row r="238" spans="1:226" s="866" customFormat="1" x14ac:dyDescent="0.25">
      <c r="A238" s="395"/>
      <c r="B238" s="395"/>
      <c r="C238" s="395"/>
      <c r="D238" s="395"/>
      <c r="E238" s="395"/>
      <c r="F238" s="395"/>
      <c r="G238" s="395"/>
      <c r="H238" s="395"/>
      <c r="I238" s="395"/>
      <c r="J238" s="395"/>
      <c r="K238" s="395"/>
      <c r="L238" s="395"/>
      <c r="M238" s="395"/>
      <c r="N238" s="395"/>
      <c r="O238" s="395"/>
      <c r="P238" s="395"/>
      <c r="Q238" s="395"/>
      <c r="R238" s="395"/>
      <c r="S238" s="395"/>
      <c r="T238" s="395"/>
      <c r="U238" s="395"/>
      <c r="V238" s="1608"/>
      <c r="W238" s="395"/>
      <c r="X238" s="395"/>
      <c r="Y238" s="395"/>
      <c r="Z238" s="2140"/>
      <c r="AA238" s="395"/>
      <c r="AB238" s="395"/>
      <c r="AC238" s="395"/>
      <c r="AD238" s="395"/>
      <c r="AE238" s="395"/>
      <c r="AF238" s="395"/>
      <c r="AG238" s="395"/>
      <c r="AH238" s="395"/>
      <c r="AI238" s="395"/>
      <c r="AJ238" s="395"/>
      <c r="AK238" s="395"/>
      <c r="AL238" s="395"/>
      <c r="AM238" s="395"/>
      <c r="AN238" s="395"/>
      <c r="AO238" s="395"/>
      <c r="AP238" s="395"/>
      <c r="AQ238" s="395"/>
      <c r="AR238" s="395"/>
      <c r="AS238" s="395"/>
      <c r="AT238" s="395"/>
      <c r="AU238" s="395"/>
      <c r="AV238" s="395"/>
      <c r="AW238" s="395"/>
      <c r="AX238" s="395"/>
      <c r="AY238" s="395"/>
      <c r="AZ238" s="395"/>
      <c r="BA238" s="395"/>
      <c r="BB238" s="395"/>
      <c r="BC238" s="395"/>
      <c r="BD238" s="395"/>
      <c r="BE238" s="395"/>
      <c r="BF238" s="395"/>
      <c r="BG238" s="395"/>
      <c r="BH238" s="395"/>
      <c r="BI238" s="395"/>
      <c r="BJ238" s="395"/>
      <c r="BK238" s="395"/>
      <c r="BL238" s="395"/>
      <c r="BM238" s="395"/>
      <c r="BN238" s="395"/>
      <c r="BO238" s="395"/>
      <c r="BP238" s="395"/>
      <c r="BQ238" s="395"/>
      <c r="BR238" s="395"/>
      <c r="BS238" s="395"/>
      <c r="BT238" s="395"/>
      <c r="BU238" s="395"/>
      <c r="BV238" s="395"/>
      <c r="BW238" s="395"/>
      <c r="BX238" s="395"/>
      <c r="BY238" s="395"/>
      <c r="BZ238" s="395"/>
      <c r="CA238" s="395"/>
      <c r="CB238" s="395"/>
      <c r="CC238" s="395"/>
      <c r="CD238" s="395"/>
      <c r="CE238" s="395"/>
      <c r="CF238" s="395"/>
      <c r="CG238" s="395"/>
      <c r="CH238" s="395"/>
      <c r="CI238" s="395"/>
      <c r="CJ238" s="395"/>
      <c r="CK238" s="395"/>
      <c r="CL238" s="395"/>
      <c r="CM238" s="395"/>
      <c r="CN238" s="395"/>
      <c r="CO238" s="395"/>
      <c r="CP238" s="395"/>
      <c r="CQ238" s="395"/>
      <c r="CR238" s="395"/>
      <c r="CS238" s="395"/>
      <c r="CT238" s="395"/>
      <c r="CU238" s="395"/>
      <c r="CV238" s="395"/>
      <c r="CW238" s="395"/>
      <c r="CX238" s="395"/>
      <c r="CY238" s="395"/>
      <c r="CZ238" s="395"/>
      <c r="DA238" s="395"/>
      <c r="DB238" s="395"/>
      <c r="DC238" s="395"/>
      <c r="DD238" s="395"/>
      <c r="DE238" s="395"/>
      <c r="DF238" s="395"/>
      <c r="DG238" s="395"/>
      <c r="DH238" s="395"/>
      <c r="DI238" s="395"/>
      <c r="DJ238" s="395"/>
      <c r="DK238" s="395"/>
      <c r="DL238" s="395"/>
      <c r="DM238" s="395"/>
      <c r="DN238" s="395"/>
      <c r="DO238" s="395"/>
      <c r="DP238" s="395"/>
      <c r="DQ238" s="395"/>
      <c r="DR238" s="395"/>
      <c r="DS238" s="395"/>
      <c r="DT238" s="395"/>
      <c r="DU238" s="395"/>
      <c r="DV238" s="395"/>
      <c r="DW238" s="395"/>
      <c r="DX238" s="395"/>
      <c r="DY238" s="395"/>
      <c r="DZ238" s="395"/>
      <c r="EA238" s="395"/>
      <c r="EB238" s="395"/>
      <c r="EC238" s="395"/>
      <c r="ED238" s="395"/>
      <c r="EE238" s="395"/>
      <c r="EF238" s="395"/>
      <c r="EG238" s="395"/>
      <c r="EH238" s="395"/>
      <c r="EI238" s="395"/>
      <c r="EJ238" s="395"/>
      <c r="EK238" s="395"/>
      <c r="EL238" s="395"/>
      <c r="EM238" s="395"/>
      <c r="EN238" s="395"/>
      <c r="EO238" s="395"/>
      <c r="EP238" s="395"/>
      <c r="EQ238" s="395"/>
      <c r="ER238" s="395"/>
      <c r="ES238" s="395"/>
      <c r="ET238" s="395"/>
      <c r="EU238" s="395"/>
      <c r="EV238" s="395"/>
      <c r="EW238" s="395"/>
      <c r="EX238" s="395"/>
      <c r="EY238" s="395"/>
      <c r="EZ238" s="395"/>
      <c r="FA238" s="395"/>
      <c r="FB238" s="395"/>
      <c r="FC238" s="395"/>
      <c r="FD238" s="395"/>
      <c r="FE238" s="395"/>
      <c r="FF238" s="395"/>
      <c r="FG238" s="395"/>
      <c r="FH238" s="395"/>
      <c r="FI238" s="395"/>
      <c r="FJ238" s="395"/>
      <c r="FK238" s="395"/>
      <c r="FL238" s="395"/>
      <c r="FM238" s="395"/>
      <c r="FN238" s="395"/>
      <c r="FO238" s="395"/>
      <c r="FP238" s="395"/>
      <c r="FQ238" s="395"/>
      <c r="FR238" s="395"/>
      <c r="FS238" s="395"/>
      <c r="FT238" s="395"/>
      <c r="FU238" s="395"/>
      <c r="FV238" s="395"/>
      <c r="FW238" s="395"/>
      <c r="FX238" s="395"/>
      <c r="FY238" s="395"/>
      <c r="FZ238" s="395"/>
      <c r="GA238" s="395"/>
      <c r="GB238" s="395"/>
      <c r="GC238" s="395"/>
      <c r="GD238" s="395"/>
      <c r="GE238" s="395"/>
      <c r="GF238" s="395"/>
      <c r="GG238" s="395"/>
      <c r="GH238" s="395"/>
      <c r="GI238" s="395"/>
      <c r="GJ238" s="395"/>
      <c r="GK238" s="395"/>
      <c r="GL238" s="395"/>
      <c r="GM238" s="395"/>
      <c r="GN238" s="395"/>
      <c r="GO238" s="395"/>
      <c r="GP238" s="395"/>
      <c r="GQ238" s="395"/>
      <c r="GR238" s="395"/>
      <c r="GS238" s="395"/>
      <c r="GT238" s="395"/>
      <c r="GU238" s="395"/>
      <c r="GV238" s="395"/>
      <c r="GW238" s="395"/>
      <c r="GX238" s="395"/>
      <c r="GY238" s="395"/>
      <c r="GZ238" s="395"/>
      <c r="HA238" s="395"/>
      <c r="HB238" s="395"/>
      <c r="HC238" s="395"/>
      <c r="HD238" s="395"/>
      <c r="HE238" s="395"/>
      <c r="HF238" s="395"/>
      <c r="HG238" s="395"/>
      <c r="HH238" s="395"/>
      <c r="HI238" s="395"/>
      <c r="HJ238" s="395"/>
      <c r="HK238" s="395"/>
      <c r="HL238" s="395"/>
      <c r="HM238" s="395"/>
      <c r="HN238" s="395"/>
      <c r="HO238" s="395"/>
      <c r="HP238" s="395"/>
      <c r="HQ238" s="395"/>
      <c r="HR238" s="395"/>
    </row>
    <row r="239" spans="1:226" s="866" customFormat="1" x14ac:dyDescent="0.25">
      <c r="A239" s="395"/>
      <c r="B239" s="395"/>
      <c r="C239" s="395"/>
      <c r="D239" s="395"/>
      <c r="E239" s="395"/>
      <c r="F239" s="395"/>
      <c r="G239" s="395"/>
      <c r="H239" s="395"/>
      <c r="I239" s="395"/>
      <c r="J239" s="395"/>
      <c r="K239" s="395"/>
      <c r="L239" s="395"/>
      <c r="M239" s="395"/>
      <c r="N239" s="395"/>
      <c r="O239" s="395"/>
      <c r="P239" s="395"/>
      <c r="Q239" s="395"/>
      <c r="R239" s="395"/>
      <c r="S239" s="395"/>
      <c r="T239" s="395"/>
      <c r="U239" s="395"/>
      <c r="V239" s="1608"/>
      <c r="W239" s="395"/>
      <c r="X239" s="395"/>
      <c r="Y239" s="395"/>
      <c r="Z239" s="2140"/>
      <c r="AA239" s="395"/>
      <c r="AB239" s="395"/>
      <c r="AC239" s="395"/>
      <c r="AD239" s="395"/>
      <c r="AE239" s="395"/>
      <c r="AF239" s="395"/>
      <c r="AG239" s="395"/>
      <c r="AH239" s="395"/>
      <c r="AI239" s="395"/>
      <c r="AJ239" s="395"/>
      <c r="AK239" s="395"/>
      <c r="AL239" s="395"/>
      <c r="AM239" s="395"/>
      <c r="AN239" s="395"/>
      <c r="AO239" s="395"/>
      <c r="AP239" s="395"/>
      <c r="AQ239" s="395"/>
      <c r="AR239" s="395"/>
      <c r="AS239" s="395"/>
      <c r="AT239" s="395"/>
      <c r="AU239" s="395"/>
      <c r="AV239" s="395"/>
      <c r="AW239" s="395"/>
      <c r="AX239" s="395"/>
      <c r="AY239" s="395"/>
      <c r="AZ239" s="395"/>
      <c r="BA239" s="395"/>
      <c r="BB239" s="395"/>
      <c r="BC239" s="395"/>
      <c r="BD239" s="395"/>
      <c r="BE239" s="395"/>
      <c r="BF239" s="395"/>
      <c r="BG239" s="395"/>
      <c r="BH239" s="395"/>
      <c r="BI239" s="395"/>
      <c r="BJ239" s="395"/>
      <c r="BK239" s="395"/>
      <c r="BL239" s="395"/>
      <c r="BM239" s="395"/>
      <c r="BN239" s="395"/>
      <c r="BO239" s="395"/>
      <c r="BP239" s="395"/>
      <c r="BQ239" s="395"/>
      <c r="BR239" s="395"/>
      <c r="BS239" s="395"/>
      <c r="BT239" s="395"/>
      <c r="BU239" s="395"/>
      <c r="BV239" s="395"/>
      <c r="BW239" s="395"/>
      <c r="BX239" s="395"/>
      <c r="BY239" s="395"/>
      <c r="BZ239" s="395"/>
      <c r="CA239" s="395"/>
      <c r="CB239" s="395"/>
      <c r="CC239" s="395"/>
      <c r="CD239" s="395"/>
      <c r="CE239" s="395"/>
      <c r="CF239" s="395"/>
      <c r="CG239" s="395"/>
      <c r="CH239" s="395"/>
      <c r="CI239" s="395"/>
      <c r="CJ239" s="395"/>
      <c r="CK239" s="395"/>
      <c r="CL239" s="395"/>
      <c r="CM239" s="395"/>
      <c r="CN239" s="395"/>
      <c r="CO239" s="395"/>
      <c r="CP239" s="395"/>
      <c r="CQ239" s="395"/>
      <c r="CR239" s="395"/>
      <c r="CS239" s="395"/>
      <c r="CT239" s="395"/>
      <c r="CU239" s="395"/>
      <c r="CV239" s="395"/>
      <c r="CW239" s="395"/>
      <c r="CX239" s="395"/>
      <c r="CY239" s="395"/>
      <c r="CZ239" s="395"/>
      <c r="DA239" s="395"/>
      <c r="DB239" s="395"/>
      <c r="DC239" s="395"/>
      <c r="DD239" s="395"/>
      <c r="DE239" s="395"/>
      <c r="DF239" s="395"/>
      <c r="DG239" s="395"/>
      <c r="DH239" s="395"/>
      <c r="DI239" s="395"/>
      <c r="DJ239" s="395"/>
      <c r="DK239" s="395"/>
      <c r="DL239" s="395"/>
      <c r="DM239" s="395"/>
      <c r="DN239" s="395"/>
      <c r="DO239" s="395"/>
      <c r="DP239" s="395"/>
      <c r="DQ239" s="395"/>
      <c r="DR239" s="395"/>
      <c r="DS239" s="395"/>
      <c r="DT239" s="395"/>
      <c r="DU239" s="395"/>
      <c r="DV239" s="395"/>
      <c r="DW239" s="395"/>
      <c r="DX239" s="395"/>
      <c r="DY239" s="395"/>
      <c r="DZ239" s="395"/>
      <c r="EA239" s="395"/>
      <c r="EB239" s="395"/>
      <c r="EC239" s="395"/>
      <c r="ED239" s="395"/>
      <c r="EE239" s="395"/>
      <c r="EF239" s="395"/>
      <c r="EG239" s="395"/>
      <c r="EH239" s="395"/>
      <c r="EI239" s="395"/>
      <c r="EJ239" s="395"/>
      <c r="EK239" s="395"/>
      <c r="EL239" s="395"/>
      <c r="EM239" s="395"/>
      <c r="EN239" s="395"/>
      <c r="EO239" s="395"/>
      <c r="EP239" s="395"/>
      <c r="EQ239" s="395"/>
      <c r="ER239" s="395"/>
      <c r="ES239" s="395"/>
      <c r="ET239" s="395"/>
      <c r="EU239" s="395"/>
      <c r="EV239" s="395"/>
      <c r="EW239" s="395"/>
      <c r="EX239" s="395"/>
      <c r="EY239" s="395"/>
      <c r="EZ239" s="395"/>
      <c r="FA239" s="395"/>
      <c r="FB239" s="395"/>
      <c r="FC239" s="395"/>
      <c r="FD239" s="395"/>
      <c r="FE239" s="395"/>
      <c r="FF239" s="395"/>
      <c r="FG239" s="395"/>
      <c r="FH239" s="395"/>
      <c r="FI239" s="395"/>
      <c r="FJ239" s="395"/>
      <c r="FK239" s="395"/>
      <c r="FL239" s="395"/>
      <c r="FM239" s="395"/>
      <c r="FN239" s="395"/>
      <c r="FO239" s="395"/>
      <c r="FP239" s="395"/>
      <c r="FQ239" s="395"/>
      <c r="FR239" s="395"/>
      <c r="FS239" s="395"/>
      <c r="FT239" s="395"/>
      <c r="FU239" s="395"/>
      <c r="FV239" s="395"/>
      <c r="FW239" s="395"/>
      <c r="FX239" s="395"/>
      <c r="FY239" s="395"/>
      <c r="FZ239" s="395"/>
      <c r="GA239" s="395"/>
      <c r="GB239" s="395"/>
      <c r="GC239" s="395"/>
      <c r="GD239" s="395"/>
      <c r="GE239" s="395"/>
      <c r="GF239" s="395"/>
      <c r="GG239" s="395"/>
      <c r="GH239" s="395"/>
      <c r="GI239" s="395"/>
      <c r="GJ239" s="395"/>
      <c r="GK239" s="395"/>
      <c r="GL239" s="395"/>
      <c r="GM239" s="395"/>
      <c r="GN239" s="395"/>
      <c r="GO239" s="395"/>
      <c r="GP239" s="395"/>
      <c r="GQ239" s="395"/>
      <c r="GR239" s="395"/>
      <c r="GS239" s="395"/>
      <c r="GT239" s="395"/>
      <c r="GU239" s="395"/>
      <c r="GV239" s="395"/>
      <c r="GW239" s="395"/>
      <c r="GX239" s="395"/>
      <c r="GY239" s="395"/>
      <c r="GZ239" s="395"/>
      <c r="HA239" s="395"/>
      <c r="HB239" s="395"/>
      <c r="HC239" s="395"/>
      <c r="HD239" s="395"/>
      <c r="HE239" s="395"/>
      <c r="HF239" s="395"/>
      <c r="HG239" s="395"/>
      <c r="HH239" s="395"/>
      <c r="HI239" s="395"/>
      <c r="HJ239" s="395"/>
      <c r="HK239" s="395"/>
      <c r="HL239" s="395"/>
      <c r="HM239" s="395"/>
      <c r="HN239" s="395"/>
      <c r="HO239" s="395"/>
      <c r="HP239" s="395"/>
      <c r="HQ239" s="395"/>
      <c r="HR239" s="395"/>
    </row>
    <row r="240" spans="1:226" s="866" customFormat="1" x14ac:dyDescent="0.25">
      <c r="B240" s="395"/>
      <c r="C240" s="395"/>
      <c r="D240" s="395"/>
      <c r="E240" s="395"/>
      <c r="F240" s="395"/>
      <c r="G240" s="395"/>
      <c r="H240" s="395"/>
      <c r="I240" s="395"/>
      <c r="J240" s="395"/>
      <c r="K240" s="395"/>
      <c r="L240" s="395"/>
      <c r="M240" s="395"/>
      <c r="N240" s="395"/>
      <c r="O240" s="395"/>
      <c r="P240" s="395"/>
      <c r="Q240" s="395"/>
      <c r="R240" s="395"/>
      <c r="S240" s="395"/>
      <c r="T240" s="395"/>
      <c r="U240" s="395"/>
      <c r="V240" s="1608"/>
      <c r="W240" s="395"/>
      <c r="X240" s="395"/>
      <c r="Y240" s="395"/>
      <c r="Z240" s="2140"/>
      <c r="AA240" s="395"/>
      <c r="AB240" s="395"/>
      <c r="AC240" s="395"/>
      <c r="AD240" s="395"/>
      <c r="AE240" s="395"/>
      <c r="AF240" s="395"/>
      <c r="AG240" s="395"/>
      <c r="AH240" s="395"/>
      <c r="AI240" s="395"/>
      <c r="AJ240" s="395"/>
      <c r="AK240" s="395"/>
      <c r="AL240" s="395"/>
      <c r="AM240" s="395"/>
      <c r="AN240" s="395"/>
      <c r="AO240" s="395"/>
      <c r="AP240" s="395"/>
      <c r="AQ240" s="395"/>
      <c r="AR240" s="395"/>
      <c r="AS240" s="395"/>
      <c r="AT240" s="395"/>
      <c r="AU240" s="395"/>
      <c r="AV240" s="395"/>
      <c r="AW240" s="395"/>
      <c r="AX240" s="395"/>
      <c r="AY240" s="395"/>
      <c r="AZ240" s="395"/>
      <c r="BA240" s="395"/>
      <c r="BB240" s="395"/>
      <c r="BC240" s="395"/>
      <c r="BD240" s="395"/>
      <c r="BE240" s="395"/>
      <c r="BF240" s="395"/>
      <c r="BG240" s="395"/>
      <c r="BH240" s="395"/>
      <c r="BI240" s="395"/>
      <c r="BJ240" s="395"/>
      <c r="BK240" s="395"/>
      <c r="BL240" s="395"/>
      <c r="BM240" s="395"/>
      <c r="BN240" s="395"/>
      <c r="BO240" s="395"/>
      <c r="BP240" s="395"/>
      <c r="BQ240" s="395"/>
      <c r="BR240" s="395"/>
      <c r="BS240" s="395"/>
      <c r="BT240" s="395"/>
      <c r="BU240" s="395"/>
      <c r="BV240" s="395"/>
      <c r="BW240" s="395"/>
      <c r="BX240" s="395"/>
      <c r="BY240" s="395"/>
      <c r="BZ240" s="395"/>
      <c r="CA240" s="395"/>
      <c r="CB240" s="395"/>
      <c r="CC240" s="395"/>
      <c r="CD240" s="395"/>
      <c r="CE240" s="395"/>
      <c r="CF240" s="395"/>
      <c r="CG240" s="395"/>
      <c r="CH240" s="395"/>
      <c r="CI240" s="395"/>
      <c r="CJ240" s="395"/>
      <c r="CK240" s="395"/>
      <c r="CL240" s="395"/>
      <c r="CM240" s="395"/>
      <c r="CN240" s="395"/>
      <c r="CO240" s="395"/>
      <c r="CP240" s="395"/>
      <c r="CQ240" s="395"/>
      <c r="CR240" s="395"/>
      <c r="CS240" s="395"/>
      <c r="CT240" s="395"/>
      <c r="CU240" s="395"/>
      <c r="CV240" s="395"/>
      <c r="CW240" s="395"/>
      <c r="CX240" s="395"/>
      <c r="CY240" s="395"/>
      <c r="CZ240" s="395"/>
      <c r="DA240" s="395"/>
      <c r="DB240" s="395"/>
      <c r="DC240" s="395"/>
      <c r="DD240" s="395"/>
      <c r="DE240" s="395"/>
      <c r="DF240" s="395"/>
      <c r="DG240" s="395"/>
      <c r="DH240" s="395"/>
      <c r="DI240" s="395"/>
      <c r="DJ240" s="395"/>
      <c r="DK240" s="395"/>
      <c r="DL240" s="395"/>
      <c r="DM240" s="395"/>
      <c r="DN240" s="395"/>
      <c r="DO240" s="395"/>
      <c r="DP240" s="395"/>
      <c r="DQ240" s="395"/>
      <c r="DR240" s="395"/>
      <c r="DS240" s="395"/>
      <c r="DT240" s="395"/>
      <c r="DU240" s="395"/>
      <c r="DV240" s="395"/>
      <c r="DW240" s="395"/>
      <c r="DX240" s="395"/>
      <c r="DY240" s="395"/>
      <c r="DZ240" s="395"/>
      <c r="EA240" s="395"/>
      <c r="EB240" s="395"/>
      <c r="EC240" s="395"/>
      <c r="ED240" s="395"/>
      <c r="EE240" s="395"/>
      <c r="EF240" s="395"/>
      <c r="EG240" s="395"/>
      <c r="EH240" s="395"/>
      <c r="EI240" s="395"/>
      <c r="EJ240" s="395"/>
      <c r="EK240" s="395"/>
      <c r="EL240" s="395"/>
      <c r="EM240" s="395"/>
      <c r="EN240" s="395"/>
      <c r="EO240" s="395"/>
      <c r="EP240" s="395"/>
      <c r="EQ240" s="395"/>
      <c r="ER240" s="395"/>
      <c r="ES240" s="395"/>
      <c r="ET240" s="395"/>
      <c r="EU240" s="395"/>
      <c r="EV240" s="395"/>
      <c r="EW240" s="395"/>
      <c r="EX240" s="395"/>
      <c r="EY240" s="395"/>
      <c r="EZ240" s="395"/>
      <c r="FA240" s="395"/>
      <c r="FB240" s="395"/>
      <c r="FC240" s="395"/>
      <c r="FD240" s="395"/>
      <c r="FE240" s="395"/>
      <c r="FF240" s="395"/>
      <c r="FG240" s="395"/>
      <c r="FH240" s="395"/>
      <c r="FI240" s="395"/>
      <c r="FJ240" s="395"/>
      <c r="FK240" s="395"/>
      <c r="FL240" s="395"/>
      <c r="FM240" s="395"/>
      <c r="FN240" s="395"/>
      <c r="FO240" s="395"/>
      <c r="FP240" s="395"/>
      <c r="FQ240" s="395"/>
      <c r="FR240" s="395"/>
      <c r="FS240" s="395"/>
      <c r="FT240" s="395"/>
      <c r="FU240" s="395"/>
      <c r="FV240" s="395"/>
      <c r="FW240" s="395"/>
      <c r="FX240" s="395"/>
      <c r="FY240" s="395"/>
      <c r="FZ240" s="395"/>
      <c r="GA240" s="395"/>
      <c r="GB240" s="395"/>
      <c r="GC240" s="395"/>
      <c r="GD240" s="395"/>
      <c r="GE240" s="395"/>
      <c r="GF240" s="395"/>
      <c r="GG240" s="395"/>
      <c r="GH240" s="395"/>
      <c r="GI240" s="395"/>
      <c r="GJ240" s="395"/>
      <c r="GK240" s="395"/>
      <c r="GL240" s="395"/>
      <c r="GM240" s="395"/>
      <c r="GN240" s="395"/>
      <c r="GO240" s="395"/>
      <c r="GP240" s="395"/>
      <c r="GQ240" s="395"/>
      <c r="GR240" s="395"/>
      <c r="GS240" s="395"/>
      <c r="GT240" s="395"/>
      <c r="GU240" s="395"/>
      <c r="GV240" s="395"/>
      <c r="GW240" s="395"/>
      <c r="GX240" s="395"/>
      <c r="GY240" s="395"/>
      <c r="GZ240" s="395"/>
      <c r="HA240" s="395"/>
      <c r="HB240" s="395"/>
      <c r="HC240" s="395"/>
      <c r="HD240" s="395"/>
      <c r="HE240" s="395"/>
      <c r="HF240" s="395"/>
      <c r="HG240" s="395"/>
      <c r="HH240" s="395"/>
      <c r="HI240" s="395"/>
      <c r="HJ240" s="395"/>
      <c r="HK240" s="395"/>
      <c r="HL240" s="395"/>
      <c r="HM240" s="395"/>
      <c r="HN240" s="395"/>
      <c r="HO240" s="395"/>
      <c r="HP240" s="395"/>
      <c r="HQ240" s="395"/>
      <c r="HR240" s="395"/>
    </row>
    <row r="241" spans="2:226" s="866" customFormat="1" x14ac:dyDescent="0.25">
      <c r="B241" s="395"/>
      <c r="C241" s="395"/>
      <c r="D241" s="395"/>
      <c r="E241" s="395"/>
      <c r="F241" s="395"/>
      <c r="G241" s="395"/>
      <c r="H241" s="395"/>
      <c r="I241" s="395"/>
      <c r="J241" s="395"/>
      <c r="K241" s="395"/>
      <c r="L241" s="395"/>
      <c r="M241" s="395"/>
      <c r="N241" s="395"/>
      <c r="O241" s="395"/>
      <c r="P241" s="395"/>
      <c r="Q241" s="395"/>
      <c r="R241" s="395"/>
      <c r="S241" s="395"/>
      <c r="T241" s="395"/>
      <c r="U241" s="395"/>
      <c r="V241" s="1608"/>
      <c r="W241" s="395"/>
      <c r="X241" s="395"/>
      <c r="Y241" s="395"/>
      <c r="Z241" s="2140"/>
      <c r="AA241" s="395"/>
      <c r="AB241" s="395"/>
      <c r="AC241" s="395"/>
      <c r="AD241" s="395"/>
      <c r="AE241" s="395"/>
      <c r="AF241" s="395"/>
      <c r="AG241" s="395"/>
      <c r="AH241" s="395"/>
      <c r="AI241" s="395"/>
      <c r="AJ241" s="395"/>
      <c r="AK241" s="395"/>
      <c r="AL241" s="395"/>
      <c r="AM241" s="395"/>
      <c r="AN241" s="395"/>
      <c r="AO241" s="395"/>
      <c r="AP241" s="395"/>
      <c r="AQ241" s="395"/>
      <c r="AR241" s="395"/>
      <c r="AS241" s="395"/>
      <c r="AT241" s="395"/>
      <c r="AU241" s="395"/>
      <c r="AV241" s="395"/>
      <c r="AW241" s="395"/>
      <c r="AX241" s="395"/>
      <c r="AY241" s="395"/>
      <c r="AZ241" s="395"/>
      <c r="BA241" s="395"/>
      <c r="BB241" s="395"/>
      <c r="BC241" s="395"/>
      <c r="BD241" s="395"/>
      <c r="BE241" s="395"/>
      <c r="BF241" s="395"/>
      <c r="BG241" s="395"/>
      <c r="BH241" s="395"/>
      <c r="BI241" s="395"/>
      <c r="BJ241" s="395"/>
      <c r="BK241" s="395"/>
      <c r="BL241" s="395"/>
      <c r="BM241" s="395"/>
      <c r="BN241" s="395"/>
      <c r="BO241" s="395"/>
      <c r="BP241" s="395"/>
      <c r="BQ241" s="395"/>
      <c r="BR241" s="395"/>
      <c r="BS241" s="395"/>
      <c r="BT241" s="395"/>
      <c r="BU241" s="395"/>
      <c r="BV241" s="395"/>
      <c r="BW241" s="395"/>
      <c r="BX241" s="395"/>
      <c r="BY241" s="395"/>
      <c r="BZ241" s="395"/>
      <c r="CA241" s="395"/>
      <c r="CB241" s="395"/>
      <c r="CC241" s="395"/>
      <c r="CD241" s="395"/>
      <c r="CE241" s="395"/>
      <c r="CF241" s="395"/>
      <c r="CG241" s="395"/>
      <c r="CH241" s="395"/>
      <c r="CI241" s="395"/>
      <c r="CJ241" s="395"/>
      <c r="CK241" s="395"/>
      <c r="CL241" s="395"/>
      <c r="CM241" s="395"/>
      <c r="CN241" s="395"/>
      <c r="CO241" s="395"/>
      <c r="CP241" s="395"/>
      <c r="CQ241" s="395"/>
      <c r="CR241" s="395"/>
      <c r="CS241" s="395"/>
      <c r="CT241" s="395"/>
      <c r="CU241" s="395"/>
      <c r="CV241" s="395"/>
      <c r="CW241" s="395"/>
      <c r="CX241" s="395"/>
      <c r="CY241" s="395"/>
      <c r="CZ241" s="395"/>
      <c r="DA241" s="395"/>
      <c r="DB241" s="395"/>
      <c r="DC241" s="395"/>
      <c r="DD241" s="395"/>
      <c r="DE241" s="395"/>
      <c r="DF241" s="395"/>
      <c r="DG241" s="395"/>
      <c r="DH241" s="395"/>
      <c r="DI241" s="395"/>
      <c r="DJ241" s="395"/>
      <c r="DK241" s="395"/>
      <c r="DL241" s="395"/>
      <c r="DM241" s="395"/>
      <c r="DN241" s="395"/>
      <c r="DO241" s="395"/>
      <c r="DP241" s="395"/>
      <c r="DQ241" s="395"/>
      <c r="DR241" s="395"/>
      <c r="DS241" s="395"/>
      <c r="DT241" s="395"/>
      <c r="DU241" s="395"/>
      <c r="DV241" s="395"/>
      <c r="DW241" s="395"/>
      <c r="DX241" s="395"/>
      <c r="DY241" s="395"/>
      <c r="DZ241" s="395"/>
      <c r="EA241" s="395"/>
      <c r="EB241" s="395"/>
      <c r="EC241" s="395"/>
      <c r="ED241" s="395"/>
      <c r="EE241" s="395"/>
      <c r="EF241" s="395"/>
      <c r="EG241" s="395"/>
      <c r="EH241" s="395"/>
      <c r="EI241" s="395"/>
      <c r="EJ241" s="395"/>
      <c r="EK241" s="395"/>
      <c r="EL241" s="395"/>
      <c r="EM241" s="395"/>
      <c r="EN241" s="395"/>
      <c r="EO241" s="395"/>
      <c r="EP241" s="395"/>
      <c r="EQ241" s="395"/>
      <c r="ER241" s="395"/>
      <c r="ES241" s="395"/>
      <c r="ET241" s="395"/>
      <c r="EU241" s="395"/>
      <c r="EV241" s="395"/>
      <c r="EW241" s="395"/>
      <c r="EX241" s="395"/>
      <c r="EY241" s="395"/>
      <c r="EZ241" s="395"/>
      <c r="FA241" s="395"/>
      <c r="FB241" s="395"/>
      <c r="FC241" s="395"/>
      <c r="FD241" s="395"/>
      <c r="FE241" s="395"/>
      <c r="FF241" s="395"/>
      <c r="FG241" s="395"/>
      <c r="FH241" s="395"/>
      <c r="FI241" s="395"/>
      <c r="FJ241" s="395"/>
      <c r="FK241" s="395"/>
      <c r="FL241" s="395"/>
      <c r="FM241" s="395"/>
      <c r="FN241" s="395"/>
      <c r="FO241" s="395"/>
      <c r="FP241" s="395"/>
      <c r="FQ241" s="395"/>
      <c r="FR241" s="395"/>
      <c r="FS241" s="395"/>
      <c r="FT241" s="395"/>
      <c r="FU241" s="395"/>
      <c r="FV241" s="395"/>
      <c r="FW241" s="395"/>
      <c r="FX241" s="395"/>
      <c r="FY241" s="395"/>
      <c r="FZ241" s="395"/>
      <c r="GA241" s="395"/>
      <c r="GB241" s="395"/>
      <c r="GC241" s="395"/>
      <c r="GD241" s="395"/>
      <c r="GE241" s="395"/>
      <c r="GF241" s="395"/>
      <c r="GG241" s="395"/>
      <c r="GH241" s="395"/>
      <c r="GI241" s="395"/>
      <c r="GJ241" s="395"/>
      <c r="GK241" s="395"/>
      <c r="GL241" s="395"/>
      <c r="GM241" s="395"/>
      <c r="GN241" s="395"/>
      <c r="GO241" s="395"/>
      <c r="GP241" s="395"/>
      <c r="GQ241" s="395"/>
      <c r="GR241" s="395"/>
      <c r="GS241" s="395"/>
      <c r="GT241" s="395"/>
      <c r="GU241" s="395"/>
      <c r="GV241" s="395"/>
      <c r="GW241" s="395"/>
      <c r="GX241" s="395"/>
      <c r="GY241" s="395"/>
      <c r="GZ241" s="395"/>
      <c r="HA241" s="395"/>
      <c r="HB241" s="395"/>
      <c r="HC241" s="395"/>
      <c r="HD241" s="395"/>
      <c r="HE241" s="395"/>
      <c r="HF241" s="395"/>
      <c r="HG241" s="395"/>
      <c r="HH241" s="395"/>
      <c r="HI241" s="395"/>
      <c r="HJ241" s="395"/>
      <c r="HK241" s="395"/>
      <c r="HL241" s="395"/>
      <c r="HM241" s="395"/>
      <c r="HN241" s="395"/>
      <c r="HO241" s="395"/>
      <c r="HP241" s="395"/>
      <c r="HQ241" s="395"/>
      <c r="HR241" s="395"/>
    </row>
    <row r="242" spans="2:226" s="866" customFormat="1" x14ac:dyDescent="0.25">
      <c r="B242" s="395"/>
      <c r="C242" s="395"/>
      <c r="D242" s="395"/>
      <c r="E242" s="395"/>
      <c r="F242" s="395"/>
      <c r="G242" s="395"/>
      <c r="H242" s="395"/>
      <c r="I242" s="395"/>
      <c r="J242" s="395"/>
      <c r="K242" s="395"/>
      <c r="L242" s="395"/>
      <c r="M242" s="395"/>
      <c r="N242" s="395"/>
      <c r="O242" s="395"/>
      <c r="P242" s="395"/>
      <c r="Q242" s="395"/>
      <c r="R242" s="395"/>
      <c r="S242" s="395"/>
      <c r="T242" s="395"/>
      <c r="U242" s="395"/>
      <c r="V242" s="1608"/>
      <c r="W242" s="395"/>
      <c r="X242" s="395"/>
      <c r="Y242" s="395"/>
      <c r="Z242" s="2140"/>
      <c r="AA242" s="395"/>
      <c r="AB242" s="395"/>
      <c r="AC242" s="395"/>
      <c r="AD242" s="395"/>
      <c r="AE242" s="395"/>
      <c r="AF242" s="395"/>
      <c r="AG242" s="395"/>
      <c r="AH242" s="395"/>
      <c r="AI242" s="395"/>
      <c r="AJ242" s="395"/>
      <c r="AK242" s="395"/>
      <c r="AL242" s="395"/>
      <c r="AM242" s="395"/>
      <c r="AN242" s="395"/>
      <c r="AO242" s="395"/>
      <c r="AP242" s="395"/>
      <c r="AQ242" s="395"/>
      <c r="AR242" s="395"/>
      <c r="AS242" s="395"/>
      <c r="AT242" s="395"/>
      <c r="AU242" s="395"/>
      <c r="AV242" s="395"/>
      <c r="AW242" s="395"/>
      <c r="AX242" s="395"/>
      <c r="AY242" s="395"/>
      <c r="AZ242" s="395"/>
      <c r="BA242" s="395"/>
      <c r="BB242" s="395"/>
      <c r="BC242" s="395"/>
      <c r="BD242" s="395"/>
      <c r="BE242" s="395"/>
      <c r="BF242" s="395"/>
      <c r="BG242" s="395"/>
      <c r="BH242" s="395"/>
      <c r="BI242" s="395"/>
      <c r="BJ242" s="395"/>
      <c r="BK242" s="395"/>
      <c r="BL242" s="395"/>
      <c r="BM242" s="395"/>
      <c r="BN242" s="395"/>
      <c r="BO242" s="395"/>
      <c r="BP242" s="395"/>
      <c r="BQ242" s="395"/>
      <c r="BR242" s="395"/>
      <c r="BS242" s="395"/>
      <c r="BT242" s="395"/>
      <c r="BU242" s="395"/>
      <c r="BV242" s="395"/>
      <c r="BW242" s="395"/>
      <c r="BX242" s="395"/>
      <c r="BY242" s="395"/>
      <c r="BZ242" s="395"/>
      <c r="CA242" s="395"/>
      <c r="CB242" s="395"/>
      <c r="CC242" s="395"/>
      <c r="CD242" s="395"/>
      <c r="CE242" s="395"/>
      <c r="CF242" s="395"/>
      <c r="CG242" s="395"/>
      <c r="CH242" s="395"/>
      <c r="CI242" s="395"/>
      <c r="CJ242" s="395"/>
      <c r="CK242" s="395"/>
      <c r="CL242" s="395"/>
      <c r="CM242" s="395"/>
      <c r="CN242" s="395"/>
      <c r="CO242" s="395"/>
      <c r="CP242" s="395"/>
      <c r="CQ242" s="395"/>
      <c r="CR242" s="395"/>
      <c r="CS242" s="395"/>
      <c r="CT242" s="395"/>
      <c r="CU242" s="395"/>
      <c r="CV242" s="395"/>
      <c r="CW242" s="395"/>
      <c r="CX242" s="395"/>
      <c r="CY242" s="395"/>
      <c r="CZ242" s="395"/>
      <c r="DA242" s="395"/>
      <c r="DB242" s="395"/>
      <c r="DC242" s="395"/>
      <c r="DD242" s="395"/>
      <c r="DE242" s="395"/>
      <c r="DF242" s="395"/>
      <c r="DG242" s="395"/>
      <c r="DH242" s="395"/>
      <c r="DI242" s="395"/>
      <c r="DJ242" s="395"/>
      <c r="DK242" s="395"/>
      <c r="DL242" s="395"/>
      <c r="DM242" s="395"/>
      <c r="DN242" s="395"/>
      <c r="DO242" s="395"/>
      <c r="DP242" s="395"/>
      <c r="DQ242" s="395"/>
      <c r="DR242" s="395"/>
      <c r="DS242" s="395"/>
      <c r="DT242" s="395"/>
      <c r="DU242" s="395"/>
      <c r="DV242" s="395"/>
      <c r="DW242" s="395"/>
      <c r="DX242" s="395"/>
      <c r="DY242" s="395"/>
      <c r="DZ242" s="395"/>
      <c r="EA242" s="395"/>
      <c r="EB242" s="395"/>
      <c r="EC242" s="395"/>
      <c r="ED242" s="395"/>
      <c r="EE242" s="395"/>
      <c r="EF242" s="395"/>
      <c r="EG242" s="395"/>
      <c r="EH242" s="395"/>
      <c r="EI242" s="395"/>
      <c r="EJ242" s="395"/>
      <c r="EK242" s="395"/>
      <c r="EL242" s="395"/>
      <c r="EM242" s="395"/>
      <c r="EN242" s="395"/>
      <c r="EO242" s="395"/>
      <c r="EP242" s="395"/>
      <c r="EQ242" s="395"/>
      <c r="ER242" s="395"/>
      <c r="ES242" s="395"/>
      <c r="ET242" s="395"/>
      <c r="EU242" s="395"/>
      <c r="EV242" s="395"/>
      <c r="EW242" s="395"/>
      <c r="EX242" s="395"/>
      <c r="EY242" s="395"/>
      <c r="EZ242" s="395"/>
      <c r="FA242" s="395"/>
      <c r="FB242" s="395"/>
      <c r="FC242" s="395"/>
      <c r="FD242" s="395"/>
      <c r="FE242" s="395"/>
      <c r="FF242" s="395"/>
      <c r="FG242" s="395"/>
      <c r="FH242" s="395"/>
      <c r="FI242" s="395"/>
      <c r="FJ242" s="395"/>
      <c r="FK242" s="395"/>
      <c r="FL242" s="395"/>
      <c r="FM242" s="395"/>
      <c r="FN242" s="395"/>
      <c r="FO242" s="395"/>
      <c r="FP242" s="395"/>
      <c r="FQ242" s="395"/>
      <c r="FR242" s="395"/>
      <c r="FS242" s="395"/>
      <c r="FT242" s="395"/>
      <c r="FU242" s="395"/>
      <c r="FV242" s="395"/>
      <c r="FW242" s="395"/>
      <c r="FX242" s="395"/>
      <c r="FY242" s="395"/>
      <c r="FZ242" s="395"/>
      <c r="GA242" s="395"/>
      <c r="GB242" s="395"/>
      <c r="GC242" s="395"/>
      <c r="GD242" s="395"/>
      <c r="GE242" s="395"/>
      <c r="GF242" s="395"/>
      <c r="GG242" s="395"/>
      <c r="GH242" s="395"/>
      <c r="GI242" s="395"/>
      <c r="GJ242" s="395"/>
      <c r="GK242" s="395"/>
      <c r="GL242" s="395"/>
      <c r="GM242" s="395"/>
      <c r="GN242" s="395"/>
      <c r="GO242" s="395"/>
      <c r="GP242" s="395"/>
      <c r="GQ242" s="395"/>
      <c r="GR242" s="395"/>
      <c r="GS242" s="395"/>
      <c r="GT242" s="395"/>
      <c r="GU242" s="395"/>
      <c r="GV242" s="395"/>
      <c r="GW242" s="395"/>
      <c r="GX242" s="395"/>
      <c r="GY242" s="395"/>
      <c r="GZ242" s="395"/>
      <c r="HA242" s="395"/>
      <c r="HB242" s="395"/>
      <c r="HC242" s="395"/>
      <c r="HD242" s="395"/>
      <c r="HE242" s="395"/>
      <c r="HF242" s="395"/>
      <c r="HG242" s="395"/>
      <c r="HH242" s="395"/>
      <c r="HI242" s="395"/>
      <c r="HJ242" s="395"/>
      <c r="HK242" s="395"/>
      <c r="HL242" s="395"/>
      <c r="HM242" s="395"/>
      <c r="HN242" s="395"/>
      <c r="HO242" s="395"/>
      <c r="HP242" s="395"/>
      <c r="HQ242" s="395"/>
      <c r="HR242" s="395"/>
    </row>
    <row r="243" spans="2:226" s="866" customFormat="1" x14ac:dyDescent="0.25">
      <c r="B243" s="395"/>
      <c r="C243" s="395"/>
      <c r="D243" s="395"/>
      <c r="E243" s="395"/>
      <c r="F243" s="395"/>
      <c r="G243" s="395"/>
      <c r="H243" s="395"/>
      <c r="I243" s="395"/>
      <c r="J243" s="395"/>
      <c r="K243" s="395"/>
      <c r="L243" s="395"/>
      <c r="M243" s="395"/>
      <c r="N243" s="395"/>
      <c r="O243" s="395"/>
      <c r="P243" s="395"/>
      <c r="Q243" s="395"/>
      <c r="R243" s="395"/>
      <c r="S243" s="395"/>
      <c r="T243" s="395"/>
      <c r="U243" s="395"/>
      <c r="V243" s="1608"/>
      <c r="W243" s="395"/>
      <c r="X243" s="395"/>
      <c r="Y243" s="395"/>
      <c r="Z243" s="2140"/>
      <c r="AA243" s="395"/>
      <c r="AB243" s="395"/>
      <c r="AC243" s="395"/>
      <c r="AD243" s="395"/>
      <c r="AE243" s="395"/>
      <c r="AF243" s="395"/>
      <c r="AG243" s="395"/>
      <c r="AH243" s="395"/>
      <c r="AI243" s="395"/>
      <c r="AJ243" s="395"/>
      <c r="AK243" s="395"/>
      <c r="AL243" s="395"/>
      <c r="AM243" s="395"/>
      <c r="AN243" s="395"/>
      <c r="AO243" s="395"/>
      <c r="AP243" s="395"/>
      <c r="AQ243" s="395"/>
      <c r="AR243" s="395"/>
      <c r="AS243" s="395"/>
      <c r="AT243" s="395"/>
      <c r="AU243" s="395"/>
      <c r="AV243" s="395"/>
      <c r="AW243" s="395"/>
      <c r="AX243" s="395"/>
      <c r="AY243" s="395"/>
      <c r="AZ243" s="395"/>
      <c r="BA243" s="395"/>
      <c r="BB243" s="395"/>
      <c r="BC243" s="395"/>
      <c r="BD243" s="395"/>
      <c r="BE243" s="395"/>
      <c r="BF243" s="395"/>
      <c r="BG243" s="395"/>
      <c r="BH243" s="395"/>
      <c r="BI243" s="395"/>
      <c r="BJ243" s="395"/>
      <c r="BK243" s="395"/>
      <c r="BL243" s="395"/>
      <c r="BM243" s="395"/>
      <c r="BN243" s="395"/>
      <c r="BO243" s="395"/>
      <c r="BP243" s="395"/>
      <c r="BQ243" s="395"/>
      <c r="BR243" s="395"/>
      <c r="BS243" s="395"/>
      <c r="BT243" s="395"/>
      <c r="BU243" s="395"/>
      <c r="BV243" s="395"/>
      <c r="BW243" s="395"/>
      <c r="BX243" s="395"/>
      <c r="BY243" s="395"/>
      <c r="BZ243" s="395"/>
      <c r="CA243" s="395"/>
      <c r="CB243" s="395"/>
      <c r="CC243" s="395"/>
      <c r="CD243" s="395"/>
      <c r="CE243" s="395"/>
      <c r="CF243" s="395"/>
      <c r="CG243" s="395"/>
      <c r="CH243" s="395"/>
      <c r="CI243" s="395"/>
      <c r="CJ243" s="395"/>
      <c r="CK243" s="395"/>
      <c r="CL243" s="395"/>
      <c r="CM243" s="395"/>
      <c r="CN243" s="395"/>
      <c r="CO243" s="395"/>
      <c r="CP243" s="395"/>
      <c r="CQ243" s="395"/>
      <c r="CR243" s="395"/>
      <c r="CS243" s="395"/>
      <c r="CT243" s="395"/>
      <c r="CU243" s="395"/>
      <c r="CV243" s="395"/>
      <c r="CW243" s="395"/>
      <c r="CX243" s="395"/>
      <c r="CY243" s="395"/>
      <c r="CZ243" s="395"/>
      <c r="DA243" s="395"/>
      <c r="DB243" s="395"/>
      <c r="DC243" s="395"/>
      <c r="DD243" s="395"/>
      <c r="DE243" s="395"/>
      <c r="DF243" s="395"/>
      <c r="DG243" s="395"/>
      <c r="DH243" s="395"/>
      <c r="DI243" s="395"/>
      <c r="DJ243" s="395"/>
      <c r="DK243" s="395"/>
      <c r="DL243" s="395"/>
      <c r="DM243" s="395"/>
      <c r="DN243" s="395"/>
      <c r="DO243" s="395"/>
      <c r="DP243" s="395"/>
      <c r="DQ243" s="395"/>
      <c r="DR243" s="395"/>
      <c r="DS243" s="395"/>
      <c r="DT243" s="395"/>
      <c r="DU243" s="395"/>
      <c r="DV243" s="395"/>
      <c r="DW243" s="395"/>
      <c r="DX243" s="395"/>
      <c r="DY243" s="395"/>
      <c r="DZ243" s="395"/>
      <c r="EA243" s="395"/>
      <c r="EB243" s="395"/>
      <c r="EC243" s="395"/>
      <c r="ED243" s="395"/>
      <c r="EE243" s="395"/>
      <c r="EF243" s="395"/>
      <c r="EG243" s="395"/>
      <c r="EH243" s="395"/>
      <c r="EI243" s="395"/>
      <c r="EJ243" s="395"/>
      <c r="EK243" s="395"/>
      <c r="EL243" s="395"/>
      <c r="EM243" s="395"/>
      <c r="EN243" s="395"/>
      <c r="EO243" s="395"/>
      <c r="EP243" s="395"/>
      <c r="EQ243" s="395"/>
      <c r="ER243" s="395"/>
      <c r="ES243" s="395"/>
      <c r="ET243" s="395"/>
      <c r="EU243" s="395"/>
      <c r="EV243" s="395"/>
      <c r="EW243" s="395"/>
      <c r="EX243" s="395"/>
      <c r="EY243" s="395"/>
      <c r="EZ243" s="395"/>
      <c r="FA243" s="395"/>
      <c r="FB243" s="395"/>
      <c r="FC243" s="395"/>
      <c r="FD243" s="395"/>
      <c r="FE243" s="395"/>
      <c r="FF243" s="395"/>
      <c r="FG243" s="395"/>
      <c r="FH243" s="395"/>
      <c r="FI243" s="395"/>
      <c r="FJ243" s="395"/>
      <c r="FK243" s="395"/>
      <c r="FL243" s="395"/>
      <c r="FM243" s="395"/>
      <c r="FN243" s="395"/>
      <c r="FO243" s="395"/>
      <c r="FP243" s="395"/>
      <c r="FQ243" s="395"/>
      <c r="FR243" s="395"/>
      <c r="FS243" s="395"/>
      <c r="FT243" s="395"/>
      <c r="FU243" s="395"/>
      <c r="FV243" s="395"/>
      <c r="FW243" s="395"/>
      <c r="FX243" s="395"/>
      <c r="FY243" s="395"/>
      <c r="FZ243" s="395"/>
      <c r="GA243" s="395"/>
      <c r="GB243" s="395"/>
      <c r="GC243" s="395"/>
      <c r="GD243" s="395"/>
      <c r="GE243" s="395"/>
      <c r="GF243" s="395"/>
      <c r="GG243" s="395"/>
      <c r="GH243" s="395"/>
      <c r="GI243" s="395"/>
      <c r="GJ243" s="395"/>
      <c r="GK243" s="395"/>
      <c r="GL243" s="395"/>
      <c r="GM243" s="395"/>
      <c r="GN243" s="395"/>
      <c r="GO243" s="395"/>
      <c r="GP243" s="395"/>
      <c r="GQ243" s="395"/>
      <c r="GR243" s="395"/>
      <c r="GS243" s="395"/>
      <c r="GT243" s="395"/>
      <c r="GU243" s="395"/>
      <c r="GV243" s="395"/>
      <c r="GW243" s="395"/>
      <c r="GX243" s="395"/>
      <c r="GY243" s="395"/>
      <c r="GZ243" s="395"/>
      <c r="HA243" s="395"/>
      <c r="HB243" s="395"/>
      <c r="HC243" s="395"/>
      <c r="HD243" s="395"/>
      <c r="HE243" s="395"/>
      <c r="HF243" s="395"/>
      <c r="HG243" s="395"/>
      <c r="HH243" s="395"/>
      <c r="HI243" s="395"/>
      <c r="HJ243" s="395"/>
      <c r="HK243" s="395"/>
      <c r="HL243" s="395"/>
      <c r="HM243" s="395"/>
      <c r="HN243" s="395"/>
      <c r="HO243" s="395"/>
      <c r="HP243" s="395"/>
      <c r="HQ243" s="395"/>
      <c r="HR243" s="395"/>
    </row>
    <row r="244" spans="2:226" s="866" customFormat="1" x14ac:dyDescent="0.25">
      <c r="B244" s="395"/>
      <c r="C244" s="395"/>
      <c r="D244" s="395"/>
      <c r="E244" s="395"/>
      <c r="F244" s="395"/>
      <c r="G244" s="395"/>
      <c r="H244" s="395"/>
      <c r="I244" s="395"/>
      <c r="J244" s="395"/>
      <c r="K244" s="395"/>
      <c r="L244" s="395"/>
      <c r="M244" s="395"/>
      <c r="N244" s="395"/>
      <c r="O244" s="395"/>
      <c r="P244" s="395"/>
      <c r="Q244" s="395"/>
      <c r="R244" s="395"/>
      <c r="S244" s="395"/>
      <c r="T244" s="395"/>
      <c r="U244" s="395"/>
      <c r="V244" s="1608"/>
      <c r="W244" s="395"/>
      <c r="X244" s="395"/>
      <c r="Y244" s="395"/>
      <c r="Z244" s="2140"/>
      <c r="AA244" s="395"/>
      <c r="AB244" s="395"/>
      <c r="AC244" s="395"/>
      <c r="AD244" s="395"/>
      <c r="AE244" s="395"/>
      <c r="AF244" s="395"/>
      <c r="AG244" s="395"/>
      <c r="AH244" s="395"/>
      <c r="AI244" s="395"/>
      <c r="AJ244" s="395"/>
      <c r="AK244" s="395"/>
      <c r="AL244" s="395"/>
      <c r="AM244" s="395"/>
      <c r="AN244" s="395"/>
      <c r="AO244" s="395"/>
      <c r="AP244" s="395"/>
      <c r="AQ244" s="395"/>
      <c r="AR244" s="395"/>
      <c r="AS244" s="395"/>
      <c r="AT244" s="395"/>
      <c r="AU244" s="395"/>
      <c r="AV244" s="395"/>
      <c r="AW244" s="395"/>
      <c r="AX244" s="395"/>
      <c r="AY244" s="395"/>
      <c r="AZ244" s="395"/>
      <c r="BA244" s="395"/>
      <c r="BB244" s="395"/>
      <c r="BC244" s="395"/>
      <c r="BD244" s="395"/>
      <c r="BE244" s="395"/>
      <c r="BF244" s="395"/>
      <c r="BG244" s="395"/>
      <c r="BH244" s="395"/>
      <c r="BI244" s="395"/>
      <c r="BJ244" s="395"/>
      <c r="BK244" s="395"/>
      <c r="BL244" s="395"/>
      <c r="BM244" s="395"/>
      <c r="BN244" s="395"/>
      <c r="BO244" s="395"/>
      <c r="BP244" s="395"/>
      <c r="BQ244" s="395"/>
      <c r="BR244" s="395"/>
      <c r="BS244" s="395"/>
      <c r="BT244" s="395"/>
      <c r="BU244" s="395"/>
      <c r="BV244" s="395"/>
      <c r="BW244" s="395"/>
      <c r="BX244" s="395"/>
      <c r="BY244" s="395"/>
      <c r="BZ244" s="395"/>
      <c r="CA244" s="395"/>
      <c r="CB244" s="395"/>
      <c r="CC244" s="395"/>
      <c r="CD244" s="395"/>
      <c r="CE244" s="395"/>
      <c r="CF244" s="395"/>
      <c r="CG244" s="395"/>
      <c r="CH244" s="395"/>
      <c r="CI244" s="395"/>
      <c r="CJ244" s="395"/>
      <c r="CK244" s="395"/>
      <c r="CL244" s="395"/>
      <c r="CM244" s="395"/>
      <c r="CN244" s="395"/>
      <c r="CO244" s="395"/>
      <c r="CP244" s="395"/>
      <c r="CQ244" s="395"/>
      <c r="CR244" s="395"/>
      <c r="CS244" s="395"/>
      <c r="CT244" s="395"/>
      <c r="CU244" s="395"/>
      <c r="CV244" s="395"/>
      <c r="CW244" s="395"/>
      <c r="CX244" s="395"/>
      <c r="CY244" s="395"/>
      <c r="CZ244" s="395"/>
      <c r="DA244" s="395"/>
      <c r="DB244" s="395"/>
      <c r="DC244" s="395"/>
      <c r="DD244" s="395"/>
      <c r="DE244" s="395"/>
      <c r="DF244" s="395"/>
      <c r="DG244" s="395"/>
      <c r="DH244" s="395"/>
      <c r="DI244" s="395"/>
      <c r="DJ244" s="395"/>
      <c r="DK244" s="395"/>
      <c r="DL244" s="395"/>
      <c r="DM244" s="395"/>
      <c r="DN244" s="395"/>
      <c r="DO244" s="395"/>
      <c r="DP244" s="395"/>
      <c r="DQ244" s="395"/>
      <c r="DR244" s="395"/>
      <c r="DS244" s="395"/>
      <c r="DT244" s="395"/>
      <c r="DU244" s="395"/>
      <c r="DV244" s="395"/>
      <c r="DW244" s="395"/>
      <c r="DX244" s="395"/>
      <c r="DY244" s="395"/>
      <c r="DZ244" s="395"/>
      <c r="EA244" s="395"/>
      <c r="EB244" s="395"/>
      <c r="EC244" s="395"/>
      <c r="ED244" s="395"/>
      <c r="EE244" s="395"/>
      <c r="EF244" s="395"/>
      <c r="EG244" s="395"/>
      <c r="EH244" s="395"/>
      <c r="EI244" s="395"/>
      <c r="EJ244" s="395"/>
      <c r="EK244" s="395"/>
      <c r="EL244" s="395"/>
      <c r="EM244" s="395"/>
      <c r="EN244" s="395"/>
      <c r="EO244" s="395"/>
      <c r="EP244" s="395"/>
      <c r="EQ244" s="395"/>
      <c r="ER244" s="395"/>
      <c r="ES244" s="395"/>
      <c r="ET244" s="395"/>
      <c r="EU244" s="395"/>
      <c r="EV244" s="395"/>
      <c r="EW244" s="395"/>
      <c r="EX244" s="395"/>
      <c r="EY244" s="395"/>
      <c r="EZ244" s="395"/>
      <c r="FA244" s="395"/>
      <c r="FB244" s="395"/>
      <c r="FC244" s="395"/>
      <c r="FD244" s="395"/>
      <c r="FE244" s="395"/>
      <c r="FF244" s="395"/>
      <c r="FG244" s="395"/>
      <c r="FH244" s="395"/>
      <c r="FI244" s="395"/>
      <c r="FJ244" s="395"/>
      <c r="FK244" s="395"/>
      <c r="FL244" s="395"/>
      <c r="FM244" s="395"/>
      <c r="FN244" s="395"/>
      <c r="FO244" s="395"/>
      <c r="FP244" s="395"/>
      <c r="FQ244" s="395"/>
      <c r="FR244" s="395"/>
      <c r="FS244" s="395"/>
      <c r="FT244" s="395"/>
      <c r="FU244" s="395"/>
      <c r="FV244" s="395"/>
      <c r="FW244" s="395"/>
      <c r="FX244" s="395"/>
      <c r="FY244" s="395"/>
      <c r="FZ244" s="395"/>
      <c r="GA244" s="395"/>
      <c r="GB244" s="395"/>
      <c r="GC244" s="395"/>
      <c r="GD244" s="395"/>
      <c r="GE244" s="395"/>
      <c r="GF244" s="395"/>
      <c r="GG244" s="395"/>
      <c r="GH244" s="395"/>
      <c r="GI244" s="395"/>
      <c r="GJ244" s="395"/>
      <c r="GK244" s="395"/>
      <c r="GL244" s="395"/>
      <c r="GM244" s="395"/>
      <c r="GN244" s="395"/>
      <c r="GO244" s="395"/>
      <c r="GP244" s="395"/>
      <c r="GQ244" s="395"/>
      <c r="GR244" s="395"/>
      <c r="GS244" s="395"/>
      <c r="GT244" s="395"/>
      <c r="GU244" s="395"/>
      <c r="GV244" s="395"/>
      <c r="GW244" s="395"/>
      <c r="GX244" s="395"/>
      <c r="GY244" s="395"/>
      <c r="GZ244" s="395"/>
      <c r="HA244" s="395"/>
      <c r="HB244" s="395"/>
      <c r="HC244" s="395"/>
      <c r="HD244" s="395"/>
      <c r="HE244" s="395"/>
      <c r="HF244" s="395"/>
      <c r="HG244" s="395"/>
      <c r="HH244" s="395"/>
      <c r="HI244" s="395"/>
      <c r="HJ244" s="395"/>
      <c r="HK244" s="395"/>
      <c r="HL244" s="395"/>
      <c r="HM244" s="395"/>
      <c r="HN244" s="395"/>
      <c r="HO244" s="395"/>
      <c r="HP244" s="395"/>
      <c r="HQ244" s="395"/>
      <c r="HR244" s="395"/>
    </row>
    <row r="245" spans="2:226" s="866" customFormat="1" x14ac:dyDescent="0.25">
      <c r="B245" s="395"/>
      <c r="C245" s="395"/>
      <c r="D245" s="395"/>
      <c r="E245" s="395"/>
      <c r="F245" s="395"/>
      <c r="G245" s="395"/>
      <c r="H245" s="395"/>
      <c r="I245" s="395"/>
      <c r="J245" s="395"/>
      <c r="K245" s="395"/>
      <c r="L245" s="395"/>
      <c r="M245" s="395"/>
      <c r="N245" s="395"/>
      <c r="O245" s="395"/>
      <c r="P245" s="395"/>
      <c r="Q245" s="395"/>
      <c r="R245" s="395"/>
      <c r="S245" s="395"/>
      <c r="T245" s="395"/>
      <c r="U245" s="395"/>
      <c r="V245" s="1608"/>
      <c r="W245" s="395"/>
      <c r="X245" s="395"/>
      <c r="Y245" s="395"/>
      <c r="Z245" s="2140"/>
      <c r="AA245" s="395"/>
      <c r="AB245" s="395"/>
      <c r="AC245" s="395"/>
      <c r="AD245" s="395"/>
      <c r="AE245" s="395"/>
      <c r="AF245" s="395"/>
      <c r="AG245" s="395"/>
      <c r="AH245" s="395"/>
      <c r="AI245" s="395"/>
      <c r="AJ245" s="395"/>
      <c r="AK245" s="395"/>
      <c r="AL245" s="395"/>
      <c r="AM245" s="395"/>
      <c r="AN245" s="395"/>
      <c r="AO245" s="395"/>
      <c r="AP245" s="395"/>
      <c r="AQ245" s="395"/>
      <c r="AR245" s="395"/>
      <c r="AS245" s="395"/>
      <c r="AT245" s="395"/>
      <c r="AU245" s="395"/>
      <c r="AV245" s="395"/>
      <c r="AW245" s="395"/>
      <c r="AX245" s="395"/>
      <c r="AY245" s="395"/>
      <c r="AZ245" s="395"/>
      <c r="BA245" s="395"/>
      <c r="BB245" s="395"/>
      <c r="BC245" s="395"/>
      <c r="BD245" s="395"/>
      <c r="BE245" s="395"/>
      <c r="BF245" s="395"/>
      <c r="BG245" s="395"/>
      <c r="BH245" s="395"/>
      <c r="BI245" s="395"/>
      <c r="BJ245" s="395"/>
      <c r="BK245" s="395"/>
      <c r="BL245" s="395"/>
      <c r="BM245" s="395"/>
      <c r="BN245" s="395"/>
      <c r="BO245" s="395"/>
      <c r="BP245" s="395"/>
      <c r="BQ245" s="395"/>
      <c r="BR245" s="395"/>
      <c r="BS245" s="395"/>
      <c r="BT245" s="395"/>
      <c r="BU245" s="395"/>
      <c r="BV245" s="395"/>
      <c r="BW245" s="395"/>
      <c r="BX245" s="395"/>
      <c r="BY245" s="395"/>
      <c r="BZ245" s="395"/>
      <c r="CA245" s="395"/>
      <c r="CB245" s="395"/>
      <c r="CC245" s="395"/>
      <c r="CD245" s="395"/>
      <c r="CE245" s="395"/>
      <c r="CF245" s="395"/>
      <c r="CG245" s="395"/>
      <c r="CH245" s="395"/>
      <c r="CI245" s="395"/>
      <c r="CJ245" s="395"/>
      <c r="CK245" s="395"/>
      <c r="CL245" s="395"/>
      <c r="CM245" s="395"/>
      <c r="CN245" s="395"/>
      <c r="CO245" s="395"/>
      <c r="CP245" s="395"/>
      <c r="CQ245" s="395"/>
      <c r="CR245" s="395"/>
      <c r="CS245" s="395"/>
      <c r="CT245" s="395"/>
      <c r="CU245" s="395"/>
      <c r="CV245" s="395"/>
      <c r="CW245" s="395"/>
      <c r="CX245" s="395"/>
      <c r="CY245" s="395"/>
      <c r="CZ245" s="395"/>
      <c r="DA245" s="395"/>
      <c r="DB245" s="395"/>
      <c r="DC245" s="395"/>
      <c r="DD245" s="395"/>
      <c r="DE245" s="395"/>
      <c r="DF245" s="395"/>
      <c r="DG245" s="395"/>
      <c r="DH245" s="395"/>
      <c r="DI245" s="395"/>
      <c r="DJ245" s="395"/>
      <c r="DK245" s="395"/>
      <c r="DL245" s="395"/>
      <c r="DM245" s="395"/>
      <c r="DN245" s="395"/>
      <c r="DO245" s="395"/>
      <c r="DP245" s="395"/>
      <c r="DQ245" s="395"/>
      <c r="DR245" s="395"/>
      <c r="DS245" s="395"/>
      <c r="DT245" s="395"/>
      <c r="DU245" s="395"/>
      <c r="DV245" s="395"/>
      <c r="DW245" s="395"/>
      <c r="DX245" s="395"/>
      <c r="DY245" s="395"/>
      <c r="DZ245" s="395"/>
      <c r="EA245" s="395"/>
      <c r="EB245" s="395"/>
      <c r="EC245" s="395"/>
      <c r="ED245" s="395"/>
      <c r="EE245" s="395"/>
      <c r="EF245" s="395"/>
      <c r="EG245" s="395"/>
      <c r="EH245" s="395"/>
      <c r="EI245" s="395"/>
      <c r="EJ245" s="395"/>
      <c r="EK245" s="395"/>
      <c r="EL245" s="395"/>
      <c r="EM245" s="395"/>
      <c r="EN245" s="395"/>
      <c r="EO245" s="395"/>
      <c r="EP245" s="395"/>
      <c r="EQ245" s="395"/>
      <c r="ER245" s="395"/>
      <c r="ES245" s="395"/>
      <c r="ET245" s="395"/>
      <c r="EU245" s="395"/>
      <c r="EV245" s="395"/>
      <c r="EW245" s="395"/>
      <c r="EX245" s="395"/>
      <c r="EY245" s="395"/>
      <c r="EZ245" s="395"/>
      <c r="FA245" s="395"/>
      <c r="FB245" s="395"/>
      <c r="FC245" s="395"/>
      <c r="FD245" s="395"/>
      <c r="FE245" s="395"/>
      <c r="FF245" s="395"/>
      <c r="FG245" s="395"/>
      <c r="FH245" s="395"/>
      <c r="FI245" s="395"/>
      <c r="FJ245" s="395"/>
      <c r="FK245" s="395"/>
      <c r="FL245" s="395"/>
      <c r="FM245" s="395"/>
      <c r="FN245" s="395"/>
      <c r="FO245" s="395"/>
      <c r="FP245" s="395"/>
      <c r="FQ245" s="395"/>
      <c r="FR245" s="395"/>
      <c r="FS245" s="395"/>
      <c r="FT245" s="395"/>
      <c r="FU245" s="395"/>
      <c r="FV245" s="395"/>
      <c r="FW245" s="395"/>
      <c r="FX245" s="395"/>
      <c r="FY245" s="395"/>
      <c r="FZ245" s="395"/>
      <c r="GA245" s="395"/>
      <c r="GB245" s="395"/>
      <c r="GC245" s="395"/>
      <c r="GD245" s="395"/>
      <c r="GE245" s="395"/>
      <c r="GF245" s="395"/>
      <c r="GG245" s="395"/>
      <c r="GH245" s="395"/>
      <c r="GI245" s="395"/>
      <c r="GJ245" s="395"/>
      <c r="GK245" s="395"/>
      <c r="GL245" s="395"/>
      <c r="GM245" s="395"/>
      <c r="GN245" s="395"/>
      <c r="GO245" s="395"/>
      <c r="GP245" s="395"/>
      <c r="GQ245" s="395"/>
      <c r="GR245" s="395"/>
      <c r="GS245" s="395"/>
      <c r="GT245" s="395"/>
      <c r="GU245" s="395"/>
      <c r="GV245" s="395"/>
      <c r="GW245" s="395"/>
      <c r="GX245" s="395"/>
      <c r="GY245" s="395"/>
      <c r="GZ245" s="395"/>
      <c r="HA245" s="395"/>
      <c r="HB245" s="395"/>
      <c r="HC245" s="395"/>
      <c r="HD245" s="395"/>
      <c r="HE245" s="395"/>
      <c r="HF245" s="395"/>
      <c r="HG245" s="395"/>
      <c r="HH245" s="395"/>
      <c r="HI245" s="395"/>
      <c r="HJ245" s="395"/>
      <c r="HK245" s="395"/>
      <c r="HL245" s="395"/>
      <c r="HM245" s="395"/>
      <c r="HN245" s="395"/>
      <c r="HO245" s="395"/>
      <c r="HP245" s="395"/>
      <c r="HQ245" s="395"/>
      <c r="HR245" s="395"/>
    </row>
    <row r="246" spans="2:226" x14ac:dyDescent="0.25">
      <c r="B246" s="354"/>
      <c r="C246" s="354"/>
      <c r="D246" s="354"/>
      <c r="E246" s="354"/>
      <c r="F246" s="354"/>
      <c r="G246" s="354"/>
      <c r="H246" s="354"/>
      <c r="I246" s="354"/>
      <c r="J246" s="354"/>
      <c r="K246" s="354"/>
      <c r="L246" s="354"/>
      <c r="M246" s="354"/>
      <c r="N246" s="354"/>
      <c r="O246" s="354"/>
      <c r="P246" s="354"/>
      <c r="Q246" s="354"/>
      <c r="R246" s="354"/>
      <c r="S246" s="354"/>
      <c r="T246" s="354"/>
      <c r="U246" s="354"/>
    </row>
    <row r="247" spans="2:226" x14ac:dyDescent="0.25">
      <c r="B247" s="354"/>
      <c r="C247" s="354"/>
      <c r="D247" s="354"/>
      <c r="E247" s="354"/>
      <c r="F247" s="354"/>
      <c r="G247" s="354"/>
      <c r="H247" s="354"/>
      <c r="I247" s="354"/>
      <c r="J247" s="354"/>
      <c r="K247" s="354"/>
      <c r="L247" s="354"/>
      <c r="M247" s="354"/>
      <c r="N247" s="354"/>
      <c r="O247" s="354"/>
      <c r="P247" s="354"/>
      <c r="Q247" s="354"/>
      <c r="R247" s="354"/>
      <c r="S247" s="354"/>
      <c r="T247" s="354"/>
      <c r="U247" s="354"/>
    </row>
    <row r="248" spans="2:226" x14ac:dyDescent="0.25">
      <c r="B248" s="354"/>
      <c r="C248" s="354"/>
      <c r="D248" s="354"/>
      <c r="E248" s="354"/>
      <c r="F248" s="354"/>
      <c r="G248" s="354"/>
      <c r="H248" s="354"/>
      <c r="I248" s="354"/>
      <c r="J248" s="354"/>
      <c r="K248" s="354"/>
      <c r="L248" s="354"/>
      <c r="M248" s="354"/>
      <c r="N248" s="354"/>
      <c r="O248" s="354"/>
      <c r="P248" s="354"/>
      <c r="Q248" s="354"/>
      <c r="R248" s="354"/>
      <c r="S248" s="354"/>
      <c r="T248" s="354"/>
      <c r="U248" s="354"/>
    </row>
    <row r="249" spans="2:226" x14ac:dyDescent="0.25">
      <c r="B249" s="354"/>
      <c r="C249" s="354"/>
      <c r="D249" s="354"/>
      <c r="E249" s="354"/>
      <c r="F249" s="354"/>
      <c r="G249" s="354"/>
      <c r="H249" s="354"/>
      <c r="I249" s="354"/>
      <c r="J249" s="354"/>
      <c r="K249" s="354"/>
      <c r="L249" s="354"/>
      <c r="M249" s="354"/>
      <c r="N249" s="354"/>
      <c r="O249" s="354"/>
      <c r="P249" s="354"/>
      <c r="Q249" s="354"/>
      <c r="R249" s="354"/>
      <c r="S249" s="354"/>
      <c r="T249" s="354"/>
      <c r="U249" s="354"/>
    </row>
    <row r="250" spans="2:226" x14ac:dyDescent="0.25">
      <c r="B250" s="354"/>
      <c r="C250" s="354"/>
      <c r="D250" s="354"/>
      <c r="E250" s="354"/>
      <c r="F250" s="354"/>
      <c r="G250" s="354"/>
      <c r="H250" s="354"/>
      <c r="I250" s="354"/>
      <c r="J250" s="354"/>
      <c r="K250" s="354"/>
      <c r="L250" s="354"/>
      <c r="M250" s="354"/>
      <c r="N250" s="354"/>
      <c r="O250" s="354"/>
      <c r="P250" s="354"/>
      <c r="Q250" s="354"/>
      <c r="R250" s="354"/>
      <c r="S250" s="354"/>
      <c r="T250" s="354"/>
      <c r="U250" s="354"/>
    </row>
  </sheetData>
  <sheetProtection algorithmName="SHA-512" hashValue="YyPbem58TvEyG4mUhXrqLHLaARYWqC9TyEaT1O4McycETpgS0FuQELBOjEQbJ1fmFmFjoGBWS6zvg1twAZtOmg==" saltValue="CcF+1UUeTXkjvr0Jdsvhxg==" spinCount="100000" sheet="1" objects="1" scenarios="1"/>
  <dataConsolidate/>
  <customSheetViews>
    <customSheetView guid="{75D6F8CE-A4F4-4FDD-BA92-7996F9E19FA9}" hiddenRows="1" topLeftCell="A37">
      <selection activeCell="G52" sqref="G52"/>
      <pageMargins left="0.7" right="0.7" top="0.75" bottom="0.75" header="0.3" footer="0.3"/>
      <pageSetup orientation="portrait" r:id="rId1"/>
    </customSheetView>
  </customSheetViews>
  <mergeCells count="356">
    <mergeCell ref="B103:U103"/>
    <mergeCell ref="B121:U121"/>
    <mergeCell ref="Z9:Z10"/>
    <mergeCell ref="B26:U26"/>
    <mergeCell ref="T56:T57"/>
    <mergeCell ref="U56:U57"/>
    <mergeCell ref="B86:U86"/>
    <mergeCell ref="B88:B90"/>
    <mergeCell ref="C88:C90"/>
    <mergeCell ref="K88:L89"/>
    <mergeCell ref="M88:N89"/>
    <mergeCell ref="O88:P89"/>
    <mergeCell ref="Q88:R89"/>
    <mergeCell ref="H89:H90"/>
    <mergeCell ref="I89:I90"/>
    <mergeCell ref="M56:N56"/>
    <mergeCell ref="O56:O57"/>
    <mergeCell ref="P56:P57"/>
    <mergeCell ref="R56:R57"/>
    <mergeCell ref="S56:S57"/>
    <mergeCell ref="C84:Q84"/>
    <mergeCell ref="T84:U84"/>
    <mergeCell ref="Q55:Q57"/>
    <mergeCell ref="R55:U55"/>
    <mergeCell ref="H56:I56"/>
    <mergeCell ref="J56:J57"/>
    <mergeCell ref="K56:K57"/>
    <mergeCell ref="B81:Q81"/>
    <mergeCell ref="R81:U81"/>
    <mergeCell ref="C82:Q82"/>
    <mergeCell ref="T82:U82"/>
    <mergeCell ref="B55:B57"/>
    <mergeCell ref="C55:C57"/>
    <mergeCell ref="D55:D57"/>
    <mergeCell ref="E55:E57"/>
    <mergeCell ref="F55:F57"/>
    <mergeCell ref="G55:G57"/>
    <mergeCell ref="H55:K55"/>
    <mergeCell ref="L55:L57"/>
    <mergeCell ref="M55:P55"/>
    <mergeCell ref="C83:Q83"/>
    <mergeCell ref="T83:U83"/>
    <mergeCell ref="B69:U69"/>
    <mergeCell ref="B71:B73"/>
    <mergeCell ref="C71:C73"/>
    <mergeCell ref="D71:D73"/>
    <mergeCell ref="E71:E73"/>
    <mergeCell ref="F71:K71"/>
    <mergeCell ref="L71:L73"/>
    <mergeCell ref="M71:R71"/>
    <mergeCell ref="S71:S73"/>
    <mergeCell ref="T71:U72"/>
    <mergeCell ref="F72:H72"/>
    <mergeCell ref="I72:K72"/>
    <mergeCell ref="M72:O72"/>
    <mergeCell ref="P72:R72"/>
    <mergeCell ref="B42:V42"/>
    <mergeCell ref="B44:B46"/>
    <mergeCell ref="C44:C46"/>
    <mergeCell ref="D44:D46"/>
    <mergeCell ref="E44:E46"/>
    <mergeCell ref="L44:L46"/>
    <mergeCell ref="M44:R44"/>
    <mergeCell ref="M45:O45"/>
    <mergeCell ref="P45:R45"/>
    <mergeCell ref="S44:S46"/>
    <mergeCell ref="T44:U45"/>
    <mergeCell ref="C28:C30"/>
    <mergeCell ref="D28:D30"/>
    <mergeCell ref="E28:E30"/>
    <mergeCell ref="F28:F30"/>
    <mergeCell ref="P29:P30"/>
    <mergeCell ref="Q29:Q30"/>
    <mergeCell ref="R29:R30"/>
    <mergeCell ref="G28:G30"/>
    <mergeCell ref="H29:I29"/>
    <mergeCell ref="L29:L30"/>
    <mergeCell ref="J29:J30"/>
    <mergeCell ref="K29:K30"/>
    <mergeCell ref="S29:S30"/>
    <mergeCell ref="Q21:U21"/>
    <mergeCell ref="T9:U9"/>
    <mergeCell ref="N9:O9"/>
    <mergeCell ref="P9:Q9"/>
    <mergeCell ref="B15:S15"/>
    <mergeCell ref="D9:E9"/>
    <mergeCell ref="F9:G9"/>
    <mergeCell ref="B13:S13"/>
    <mergeCell ref="T29:T30"/>
    <mergeCell ref="U29:U30"/>
    <mergeCell ref="M29:N29"/>
    <mergeCell ref="B14:S14"/>
    <mergeCell ref="J9:K9"/>
    <mergeCell ref="L9:M9"/>
    <mergeCell ref="H9:I9"/>
    <mergeCell ref="B16:S16"/>
    <mergeCell ref="B17:S17"/>
    <mergeCell ref="B18:S18"/>
    <mergeCell ref="B19:S19"/>
    <mergeCell ref="R9:S9"/>
    <mergeCell ref="B9:C10"/>
    <mergeCell ref="O29:O30"/>
    <mergeCell ref="B28:B30"/>
    <mergeCell ref="D100:E100"/>
    <mergeCell ref="F100:G100"/>
    <mergeCell ref="H100:I100"/>
    <mergeCell ref="J100:K100"/>
    <mergeCell ref="L100:M100"/>
    <mergeCell ref="N100:O100"/>
    <mergeCell ref="P100:Q100"/>
    <mergeCell ref="R100:S100"/>
    <mergeCell ref="T100:U100"/>
    <mergeCell ref="J104:K104"/>
    <mergeCell ref="J105:K105"/>
    <mergeCell ref="J106:K106"/>
    <mergeCell ref="L104:M104"/>
    <mergeCell ref="L105:M105"/>
    <mergeCell ref="L106:M106"/>
    <mergeCell ref="B104:C104"/>
    <mergeCell ref="B105:C105"/>
    <mergeCell ref="B106:C106"/>
    <mergeCell ref="D104:E104"/>
    <mergeCell ref="D105:E105"/>
    <mergeCell ref="D106:E106"/>
    <mergeCell ref="F104:G104"/>
    <mergeCell ref="F105:G105"/>
    <mergeCell ref="F106:G106"/>
    <mergeCell ref="T104:U104"/>
    <mergeCell ref="T105:U105"/>
    <mergeCell ref="T106:U106"/>
    <mergeCell ref="D109:E109"/>
    <mergeCell ref="F109:G109"/>
    <mergeCell ref="H109:I109"/>
    <mergeCell ref="J109:K109"/>
    <mergeCell ref="L109:M109"/>
    <mergeCell ref="N109:O109"/>
    <mergeCell ref="P109:Q109"/>
    <mergeCell ref="R109:S109"/>
    <mergeCell ref="T109:U109"/>
    <mergeCell ref="N104:O104"/>
    <mergeCell ref="N105:O105"/>
    <mergeCell ref="N106:O106"/>
    <mergeCell ref="P104:Q104"/>
    <mergeCell ref="P105:Q105"/>
    <mergeCell ref="P106:Q106"/>
    <mergeCell ref="R104:S104"/>
    <mergeCell ref="R105:S105"/>
    <mergeCell ref="R106:S106"/>
    <mergeCell ref="H104:I104"/>
    <mergeCell ref="H105:I105"/>
    <mergeCell ref="H106:I106"/>
    <mergeCell ref="N108:O108"/>
    <mergeCell ref="P108:Q108"/>
    <mergeCell ref="R108:S108"/>
    <mergeCell ref="T108:U108"/>
    <mergeCell ref="B109:B110"/>
    <mergeCell ref="D110:E110"/>
    <mergeCell ref="F110:G110"/>
    <mergeCell ref="H110:I110"/>
    <mergeCell ref="J110:K110"/>
    <mergeCell ref="L110:M110"/>
    <mergeCell ref="N110:O110"/>
    <mergeCell ref="P110:Q110"/>
    <mergeCell ref="R110:S110"/>
    <mergeCell ref="B107:B108"/>
    <mergeCell ref="D108:E108"/>
    <mergeCell ref="F108:G108"/>
    <mergeCell ref="H108:I108"/>
    <mergeCell ref="J108:K108"/>
    <mergeCell ref="L108:M108"/>
    <mergeCell ref="D113:E113"/>
    <mergeCell ref="F113:G113"/>
    <mergeCell ref="H113:I113"/>
    <mergeCell ref="J113:K113"/>
    <mergeCell ref="L113:M113"/>
    <mergeCell ref="T107:U107"/>
    <mergeCell ref="D111:E111"/>
    <mergeCell ref="F111:G111"/>
    <mergeCell ref="H111:I111"/>
    <mergeCell ref="J111:K111"/>
    <mergeCell ref="L111:M111"/>
    <mergeCell ref="N111:O111"/>
    <mergeCell ref="P111:Q111"/>
    <mergeCell ref="R111:S111"/>
    <mergeCell ref="T111:U111"/>
    <mergeCell ref="D107:E107"/>
    <mergeCell ref="F107:G107"/>
    <mergeCell ref="H107:I107"/>
    <mergeCell ref="J107:K107"/>
    <mergeCell ref="L107:M107"/>
    <mergeCell ref="N107:O107"/>
    <mergeCell ref="P107:Q107"/>
    <mergeCell ref="R107:S107"/>
    <mergeCell ref="T110:U110"/>
    <mergeCell ref="P113:Q113"/>
    <mergeCell ref="T116:U116"/>
    <mergeCell ref="N114:O114"/>
    <mergeCell ref="P114:Q114"/>
    <mergeCell ref="R114:S114"/>
    <mergeCell ref="T114:U114"/>
    <mergeCell ref="N115:O115"/>
    <mergeCell ref="P115:Q115"/>
    <mergeCell ref="R115:S115"/>
    <mergeCell ref="T115:U115"/>
    <mergeCell ref="N119:O119"/>
    <mergeCell ref="P119:Q119"/>
    <mergeCell ref="J114:K114"/>
    <mergeCell ref="T118:U118"/>
    <mergeCell ref="T117:U117"/>
    <mergeCell ref="L114:M114"/>
    <mergeCell ref="N116:O116"/>
    <mergeCell ref="P116:Q116"/>
    <mergeCell ref="B111:B112"/>
    <mergeCell ref="P112:Q112"/>
    <mergeCell ref="B113:B114"/>
    <mergeCell ref="B115:B116"/>
    <mergeCell ref="F116:G116"/>
    <mergeCell ref="H116:I116"/>
    <mergeCell ref="J116:K116"/>
    <mergeCell ref="L116:M116"/>
    <mergeCell ref="D115:E115"/>
    <mergeCell ref="F115:G115"/>
    <mergeCell ref="H115:I115"/>
    <mergeCell ref="J115:K115"/>
    <mergeCell ref="D112:E112"/>
    <mergeCell ref="F112:G112"/>
    <mergeCell ref="H112:I112"/>
    <mergeCell ref="J112:K112"/>
    <mergeCell ref="R127:S127"/>
    <mergeCell ref="B123:C123"/>
    <mergeCell ref="D123:E123"/>
    <mergeCell ref="F123:G123"/>
    <mergeCell ref="H123:I123"/>
    <mergeCell ref="J123:K123"/>
    <mergeCell ref="L123:M123"/>
    <mergeCell ref="N123:O123"/>
    <mergeCell ref="P123:Q123"/>
    <mergeCell ref="R123:S123"/>
    <mergeCell ref="B127:C127"/>
    <mergeCell ref="D127:E127"/>
    <mergeCell ref="F127:G127"/>
    <mergeCell ref="H127:I127"/>
    <mergeCell ref="J127:K127"/>
    <mergeCell ref="L127:M127"/>
    <mergeCell ref="N127:O127"/>
    <mergeCell ref="P127:Q127"/>
    <mergeCell ref="B125:C125"/>
    <mergeCell ref="D125:E125"/>
    <mergeCell ref="F125:G125"/>
    <mergeCell ref="H125:I125"/>
    <mergeCell ref="J124:K124"/>
    <mergeCell ref="L124:M124"/>
    <mergeCell ref="T126:U126"/>
    <mergeCell ref="B122:C122"/>
    <mergeCell ref="D122:E122"/>
    <mergeCell ref="F122:G122"/>
    <mergeCell ref="D120:E120"/>
    <mergeCell ref="F120:G120"/>
    <mergeCell ref="H120:I120"/>
    <mergeCell ref="J120:K120"/>
    <mergeCell ref="L120:M120"/>
    <mergeCell ref="N120:O120"/>
    <mergeCell ref="P120:Q120"/>
    <mergeCell ref="N124:O124"/>
    <mergeCell ref="P124:Q124"/>
    <mergeCell ref="R124:S124"/>
    <mergeCell ref="B126:C126"/>
    <mergeCell ref="D126:E126"/>
    <mergeCell ref="F126:G126"/>
    <mergeCell ref="H126:I126"/>
    <mergeCell ref="J126:K126"/>
    <mergeCell ref="L126:M126"/>
    <mergeCell ref="N126:O126"/>
    <mergeCell ref="P126:Q126"/>
    <mergeCell ref="R126:S126"/>
    <mergeCell ref="B124:C124"/>
    <mergeCell ref="R128:S128"/>
    <mergeCell ref="T128:U128"/>
    <mergeCell ref="V55:V57"/>
    <mergeCell ref="V44:V46"/>
    <mergeCell ref="V28:V30"/>
    <mergeCell ref="V71:V73"/>
    <mergeCell ref="L125:M125"/>
    <mergeCell ref="N125:O125"/>
    <mergeCell ref="P125:Q125"/>
    <mergeCell ref="R125:S125"/>
    <mergeCell ref="T125:U125"/>
    <mergeCell ref="T123:U123"/>
    <mergeCell ref="N112:O112"/>
    <mergeCell ref="L122:M122"/>
    <mergeCell ref="N122:O122"/>
    <mergeCell ref="T127:U127"/>
    <mergeCell ref="T124:U124"/>
    <mergeCell ref="P122:Q122"/>
    <mergeCell ref="R122:S122"/>
    <mergeCell ref="T122:U122"/>
    <mergeCell ref="R119:S119"/>
    <mergeCell ref="T119:U119"/>
    <mergeCell ref="R120:S120"/>
    <mergeCell ref="T120:U120"/>
    <mergeCell ref="D128:E128"/>
    <mergeCell ref="F128:G128"/>
    <mergeCell ref="H128:I128"/>
    <mergeCell ref="J128:K128"/>
    <mergeCell ref="L128:M128"/>
    <mergeCell ref="N128:O128"/>
    <mergeCell ref="P128:Q128"/>
    <mergeCell ref="H122:I122"/>
    <mergeCell ref="J122:K122"/>
    <mergeCell ref="D124:E124"/>
    <mergeCell ref="F124:G124"/>
    <mergeCell ref="H124:I124"/>
    <mergeCell ref="J125:K125"/>
    <mergeCell ref="B119:B120"/>
    <mergeCell ref="L115:M115"/>
    <mergeCell ref="D114:E114"/>
    <mergeCell ref="F114:G114"/>
    <mergeCell ref="H114:I114"/>
    <mergeCell ref="D119:E119"/>
    <mergeCell ref="F119:G119"/>
    <mergeCell ref="H119:I119"/>
    <mergeCell ref="J119:K119"/>
    <mergeCell ref="L119:M119"/>
    <mergeCell ref="D116:E116"/>
    <mergeCell ref="B117:B118"/>
    <mergeCell ref="D117:E117"/>
    <mergeCell ref="F117:G117"/>
    <mergeCell ref="H117:I117"/>
    <mergeCell ref="J117:K117"/>
    <mergeCell ref="L117:M117"/>
    <mergeCell ref="F118:G118"/>
    <mergeCell ref="H118:I118"/>
    <mergeCell ref="V88:W89"/>
    <mergeCell ref="D88:G88"/>
    <mergeCell ref="D89:E89"/>
    <mergeCell ref="F89:G89"/>
    <mergeCell ref="H88:J88"/>
    <mergeCell ref="J89:J90"/>
    <mergeCell ref="S88:T89"/>
    <mergeCell ref="U88:U90"/>
    <mergeCell ref="D118:E118"/>
    <mergeCell ref="L112:M112"/>
    <mergeCell ref="R112:S112"/>
    <mergeCell ref="T112:U112"/>
    <mergeCell ref="N117:O117"/>
    <mergeCell ref="P117:Q117"/>
    <mergeCell ref="R117:S117"/>
    <mergeCell ref="J118:K118"/>
    <mergeCell ref="L118:M118"/>
    <mergeCell ref="N118:O118"/>
    <mergeCell ref="P118:Q118"/>
    <mergeCell ref="R118:S118"/>
    <mergeCell ref="R116:S116"/>
    <mergeCell ref="R113:S113"/>
    <mergeCell ref="T113:U113"/>
    <mergeCell ref="N113:O113"/>
  </mergeCells>
  <conditionalFormatting sqref="D124:U124">
    <cfRule type="containsText" dxfId="432" priority="1" operator="containsText" text="N/A">
      <formula>NOT(ISERROR(SEARCH("N/A",D124)))</formula>
    </cfRule>
  </conditionalFormatting>
  <dataValidations count="10">
    <dataValidation type="list" allowBlank="1" showInputMessage="1" showErrorMessage="1" sqref="E59:E62 E32:E35" xr:uid="{00000000-0002-0000-0800-000000000000}">
      <formula1>"Yes, No"</formula1>
    </dataValidation>
    <dataValidation type="list" allowBlank="1" showInputMessage="1" showErrorMessage="1" sqref="B48:B49 B59:B62 B32:B35" xr:uid="{00000000-0002-0000-0800-000001000000}">
      <formula1>BuildingIDLookup</formula1>
    </dataValidation>
    <dataValidation type="decimal" allowBlank="1" showInputMessage="1" showErrorMessage="1" sqref="D12:U12 U92" xr:uid="{00000000-0002-0000-0800-000002000000}">
      <formula1>0</formula1>
      <formula2>100000</formula2>
    </dataValidation>
    <dataValidation type="list" allowBlank="1" showInputMessage="1" showErrorMessage="1" sqref="C92" xr:uid="{00000000-0002-0000-0800-000003000000}">
      <formula1>MD_SWH_Profile</formula1>
    </dataValidation>
    <dataValidation type="list" allowBlank="1" showInputMessage="1" showErrorMessage="1" sqref="C59:C62" xr:uid="{00000000-0002-0000-0800-000004000000}">
      <formula1>Homes_LaundryEqpList</formula1>
    </dataValidation>
    <dataValidation type="list" allowBlank="1" showInputMessage="1" showErrorMessage="1" sqref="D107:U108" xr:uid="{00000000-0002-0000-0800-000005000000}">
      <formula1>"Intermittent, Continuous"</formula1>
    </dataValidation>
    <dataValidation type="list" allowBlank="1" showInputMessage="1" showErrorMessage="1" sqref="D111:U112" xr:uid="{00000000-0002-0000-0800-000006000000}">
      <formula1>"Rooftop, Range Hood &lt;500CFM, Bathroom &amp; Utility 90-500 CFM, In-line, Other"</formula1>
    </dataValidation>
    <dataValidation type="list" allowBlank="1" showInputMessage="1" showErrorMessage="1" sqref="D122:U122" xr:uid="{00000000-0002-0000-0800-000007000000}">
      <formula1>"Trickle Vent,In-Unit HRV,In-Unit ERV,Other Mechanical Supply,Natural Ventilation"</formula1>
    </dataValidation>
    <dataValidation type="list" allowBlank="1" showInputMessage="1" showErrorMessage="1" sqref="D123:U123" xr:uid="{00000000-0002-0000-0800-000008000000}">
      <formula1>"Yes,No,N/A"</formula1>
    </dataValidation>
    <dataValidation type="list" allowBlank="1" showInputMessage="1" showErrorMessage="1" sqref="C32:C35" xr:uid="{00000000-0002-0000-0800-000009000000}">
      <formula1>Homes_DwellingEqpList</formula1>
    </dataValidation>
  </dataValidations>
  <pageMargins left="0.7" right="0.7" top="0.75" bottom="0.75" header="0.3" footer="0.3"/>
  <pageSetup orientation="portrait" r:id="rId2"/>
  <ignoredErrors>
    <ignoredError sqref="C114" 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120835" r:id="rId5" name="Button 3">
              <controlPr defaultSize="0" print="0" autoFill="0" autoPict="0" macro="[0]!addA">
                <anchor moveWithCells="1" sizeWithCells="1">
                  <from>
                    <xdr:col>1</xdr:col>
                    <xdr:colOff>22860</xdr:colOff>
                    <xdr:row>36</xdr:row>
                    <xdr:rowOff>175260</xdr:rowOff>
                  </from>
                  <to>
                    <xdr:col>2</xdr:col>
                    <xdr:colOff>556260</xdr:colOff>
                    <xdr:row>38</xdr:row>
                    <xdr:rowOff>38100</xdr:rowOff>
                  </to>
                </anchor>
              </controlPr>
            </control>
          </mc:Choice>
        </mc:AlternateContent>
        <mc:AlternateContent xmlns:mc="http://schemas.openxmlformats.org/markup-compatibility/2006">
          <mc:Choice Requires="x14">
            <control shapeId="120837" r:id="rId6" name="Button 5">
              <controlPr defaultSize="0" print="0" autoFill="0" autoPict="0" macro="[0]!DeleteSome">
                <anchor moveWithCells="1" sizeWithCells="1">
                  <from>
                    <xdr:col>2</xdr:col>
                    <xdr:colOff>632460</xdr:colOff>
                    <xdr:row>36</xdr:row>
                    <xdr:rowOff>175260</xdr:rowOff>
                  </from>
                  <to>
                    <xdr:col>3</xdr:col>
                    <xdr:colOff>320040</xdr:colOff>
                    <xdr:row>38</xdr:row>
                    <xdr:rowOff>38100</xdr:rowOff>
                  </to>
                </anchor>
              </controlPr>
            </control>
          </mc:Choice>
        </mc:AlternateContent>
        <mc:AlternateContent xmlns:mc="http://schemas.openxmlformats.org/markup-compatibility/2006">
          <mc:Choice Requires="x14">
            <control shapeId="120839" r:id="rId7" name="Button 7">
              <controlPr defaultSize="0" print="0" autoFill="0" autoPict="0" macro="[0]!addB">
                <anchor moveWithCells="1" sizeWithCells="1">
                  <from>
                    <xdr:col>1</xdr:col>
                    <xdr:colOff>22860</xdr:colOff>
                    <xdr:row>63</xdr:row>
                    <xdr:rowOff>91440</xdr:rowOff>
                  </from>
                  <to>
                    <xdr:col>2</xdr:col>
                    <xdr:colOff>556260</xdr:colOff>
                    <xdr:row>64</xdr:row>
                    <xdr:rowOff>137160</xdr:rowOff>
                  </to>
                </anchor>
              </controlPr>
            </control>
          </mc:Choice>
        </mc:AlternateContent>
        <mc:AlternateContent xmlns:mc="http://schemas.openxmlformats.org/markup-compatibility/2006">
          <mc:Choice Requires="x14">
            <control shapeId="120840" r:id="rId8" name="Button 8">
              <controlPr defaultSize="0" print="0" autoFill="0" autoPict="0" macro="[0]!DeleteSome">
                <anchor moveWithCells="1" sizeWithCells="1">
                  <from>
                    <xdr:col>2</xdr:col>
                    <xdr:colOff>632460</xdr:colOff>
                    <xdr:row>63</xdr:row>
                    <xdr:rowOff>91440</xdr:rowOff>
                  </from>
                  <to>
                    <xdr:col>3</xdr:col>
                    <xdr:colOff>320040</xdr:colOff>
                    <xdr:row>64</xdr:row>
                    <xdr:rowOff>137160</xdr:rowOff>
                  </to>
                </anchor>
              </controlPr>
            </control>
          </mc:Choice>
        </mc:AlternateContent>
        <mc:AlternateContent xmlns:mc="http://schemas.openxmlformats.org/markup-compatibility/2006">
          <mc:Choice Requires="x14">
            <control shapeId="120841" r:id="rId9" name="Button 9">
              <controlPr defaultSize="0" print="0" autoFill="0" autoPict="0" macro="[0]!addC">
                <anchor moveWithCells="1" sizeWithCells="1">
                  <from>
                    <xdr:col>1</xdr:col>
                    <xdr:colOff>22860</xdr:colOff>
                    <xdr:row>76</xdr:row>
                    <xdr:rowOff>91440</xdr:rowOff>
                  </from>
                  <to>
                    <xdr:col>2</xdr:col>
                    <xdr:colOff>556260</xdr:colOff>
                    <xdr:row>77</xdr:row>
                    <xdr:rowOff>137160</xdr:rowOff>
                  </to>
                </anchor>
              </controlPr>
            </control>
          </mc:Choice>
        </mc:AlternateContent>
        <mc:AlternateContent xmlns:mc="http://schemas.openxmlformats.org/markup-compatibility/2006">
          <mc:Choice Requires="x14">
            <control shapeId="120842" r:id="rId10" name="Button 10">
              <controlPr defaultSize="0" print="0" autoFill="0" autoPict="0" macro="[0]!DeleteSome">
                <anchor moveWithCells="1" sizeWithCells="1">
                  <from>
                    <xdr:col>2</xdr:col>
                    <xdr:colOff>632460</xdr:colOff>
                    <xdr:row>76</xdr:row>
                    <xdr:rowOff>91440</xdr:rowOff>
                  </from>
                  <to>
                    <xdr:col>3</xdr:col>
                    <xdr:colOff>327660</xdr:colOff>
                    <xdr:row>77</xdr:row>
                    <xdr:rowOff>137160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theme="0" tint="-0.249977111117893"/>
  </sheetPr>
  <dimension ref="A1:AL216"/>
  <sheetViews>
    <sheetView showGridLines="0" zoomScale="90" zoomScaleNormal="90" workbookViewId="0">
      <selection activeCell="G33" sqref="G33"/>
    </sheetView>
  </sheetViews>
  <sheetFormatPr defaultColWidth="8.69921875" defaultRowHeight="13.2" outlineLevelCol="1" x14ac:dyDescent="0.25"/>
  <cols>
    <col min="1" max="1" width="1.796875" style="154" customWidth="1"/>
    <col min="2" max="2" width="15.296875" style="170" customWidth="1"/>
    <col min="3" max="3" width="15.19921875" style="170" customWidth="1"/>
    <col min="4" max="4" width="16.69921875" style="170" customWidth="1"/>
    <col min="5" max="5" width="1.796875" style="154" customWidth="1"/>
    <col min="6" max="6" width="23.796875" style="170" customWidth="1"/>
    <col min="7" max="7" width="11.19921875" style="170" customWidth="1"/>
    <col min="8" max="8" width="11.69921875" style="154" customWidth="1"/>
    <col min="9" max="9" width="23.69921875" style="170" customWidth="1"/>
    <col min="10" max="10" width="27.796875" style="170" customWidth="1"/>
    <col min="11" max="11" width="11.69921875" style="170" customWidth="1"/>
    <col min="12" max="12" width="10.796875" style="154" customWidth="1"/>
    <col min="13" max="13" width="10.796875" style="375" customWidth="1"/>
    <col min="14" max="14" width="11.69921875" style="375" customWidth="1"/>
    <col min="15" max="15" width="11.69921875" style="170" customWidth="1"/>
    <col min="16" max="16" width="1.796875" style="375" customWidth="1"/>
    <col min="17" max="17" width="24.796875" style="375" customWidth="1"/>
    <col min="18" max="18" width="10.69921875" style="375" customWidth="1"/>
    <col min="19" max="20" width="10.69921875" style="42" hidden="1" customWidth="1" outlineLevel="1"/>
    <col min="21" max="24" width="8.69921875" style="42" hidden="1" customWidth="1" outlineLevel="1"/>
    <col min="25" max="29" width="11.796875" style="42" hidden="1" customWidth="1" outlineLevel="1"/>
    <col min="30" max="31" width="12.19921875" style="42" hidden="1" customWidth="1" outlineLevel="1"/>
    <col min="32" max="32" width="2.69921875" style="154" customWidth="1" collapsed="1"/>
    <col min="33" max="33" width="2.69921875" style="154" customWidth="1"/>
    <col min="34" max="34" width="68.296875" style="2144" customWidth="1"/>
    <col min="35" max="39" width="8.69921875" style="154" customWidth="1"/>
    <col min="40" max="40" width="7.69921875" style="154" customWidth="1"/>
    <col min="41" max="16384" width="8.69921875" style="154"/>
  </cols>
  <sheetData>
    <row r="1" spans="1:34" x14ac:dyDescent="0.25">
      <c r="A1" s="331" t="s">
        <v>1038</v>
      </c>
      <c r="B1" s="169"/>
      <c r="C1" s="169"/>
      <c r="D1" s="169"/>
      <c r="E1" s="169"/>
      <c r="F1" s="168"/>
      <c r="G1" s="169"/>
      <c r="H1" s="168"/>
      <c r="I1" s="168"/>
      <c r="J1" s="169"/>
      <c r="K1" s="169"/>
      <c r="L1" s="169"/>
      <c r="M1" s="376"/>
      <c r="N1" s="376"/>
      <c r="P1" s="376"/>
      <c r="Q1" s="376"/>
      <c r="R1" s="376"/>
      <c r="S1" s="32"/>
      <c r="T1" s="32"/>
    </row>
    <row r="2" spans="1:34" ht="24.75" customHeight="1" x14ac:dyDescent="0.25">
      <c r="A2" s="331" t="s">
        <v>1038</v>
      </c>
      <c r="B2" s="15" t="s">
        <v>843</v>
      </c>
      <c r="C2" s="16"/>
      <c r="D2" s="16"/>
      <c r="E2" s="16"/>
      <c r="F2" s="16"/>
      <c r="G2" s="16"/>
      <c r="H2" s="16"/>
      <c r="I2" s="16"/>
      <c r="J2" s="16"/>
      <c r="K2" s="16"/>
      <c r="L2" s="16"/>
      <c r="M2" s="377"/>
      <c r="N2" s="377"/>
      <c r="O2" s="1325"/>
      <c r="P2" s="377"/>
      <c r="Q2" s="377"/>
      <c r="R2" s="377"/>
      <c r="S2" s="1201"/>
      <c r="T2" s="1201"/>
    </row>
    <row r="3" spans="1:34" ht="15" customHeight="1" x14ac:dyDescent="0.25">
      <c r="A3" s="331" t="s">
        <v>1038</v>
      </c>
      <c r="B3" s="169"/>
      <c r="C3" s="169"/>
      <c r="D3" s="169"/>
      <c r="E3" s="169"/>
      <c r="F3" s="168"/>
      <c r="G3" s="169"/>
      <c r="H3" s="168"/>
      <c r="I3" s="168"/>
      <c r="J3" s="169"/>
      <c r="K3" s="169"/>
      <c r="L3" s="169"/>
      <c r="M3" s="376"/>
      <c r="N3" s="376"/>
      <c r="P3" s="376"/>
      <c r="Q3" s="376"/>
      <c r="R3" s="376"/>
      <c r="S3" s="32"/>
      <c r="T3" s="32"/>
    </row>
    <row r="4" spans="1:34" s="339" customFormat="1" ht="15" customHeight="1" x14ac:dyDescent="0.25">
      <c r="A4" s="304" t="s">
        <v>1038</v>
      </c>
      <c r="M4" s="390"/>
      <c r="N4" s="390"/>
      <c r="O4" s="952"/>
      <c r="P4" s="390"/>
      <c r="Q4" s="390"/>
      <c r="R4" s="390"/>
      <c r="S4" s="1"/>
      <c r="T4" s="1"/>
      <c r="U4" s="1"/>
      <c r="V4" s="1"/>
      <c r="W4" s="1"/>
      <c r="X4" s="1"/>
      <c r="Y4" s="1"/>
      <c r="Z4" s="1"/>
      <c r="AA4" s="1"/>
      <c r="AB4" s="1"/>
      <c r="AC4" s="1"/>
      <c r="AD4" s="1"/>
      <c r="AE4" s="1"/>
      <c r="AH4" s="1521"/>
    </row>
    <row r="5" spans="1:34" s="347" customFormat="1" ht="30" customHeight="1" x14ac:dyDescent="0.25">
      <c r="A5" s="304" t="s">
        <v>1038</v>
      </c>
      <c r="B5" s="196" t="s">
        <v>1219</v>
      </c>
      <c r="C5" s="9"/>
      <c r="D5" s="9"/>
      <c r="E5" s="9"/>
      <c r="F5" s="9"/>
      <c r="G5" s="9"/>
      <c r="H5" s="9"/>
      <c r="I5" s="9"/>
      <c r="J5" s="9"/>
      <c r="K5" s="9"/>
      <c r="M5" s="351"/>
      <c r="N5" s="351"/>
      <c r="O5" s="1511"/>
      <c r="P5" s="351"/>
      <c r="Q5" s="351"/>
      <c r="R5" s="351"/>
      <c r="S5" s="42"/>
      <c r="T5" s="1"/>
      <c r="U5" s="42"/>
      <c r="V5" s="42"/>
      <c r="W5" s="42"/>
      <c r="X5" s="42"/>
      <c r="Y5" s="42"/>
      <c r="Z5" s="42"/>
      <c r="AA5" s="42"/>
      <c r="AB5" s="42"/>
      <c r="AC5" s="42"/>
      <c r="AD5" s="42"/>
      <c r="AE5" s="42"/>
      <c r="AH5" s="1521"/>
    </row>
    <row r="6" spans="1:34" s="347" customFormat="1" ht="40.5" customHeight="1" x14ac:dyDescent="0.25">
      <c r="A6" s="304" t="s">
        <v>1038</v>
      </c>
      <c r="B6" s="3444" t="s">
        <v>857</v>
      </c>
      <c r="C6" s="3444"/>
      <c r="D6" s="3444"/>
      <c r="E6" s="3444"/>
      <c r="F6" s="3444"/>
      <c r="G6" s="3444"/>
      <c r="H6" s="3444"/>
      <c r="I6" s="3444"/>
      <c r="J6" s="3444"/>
      <c r="K6" s="14"/>
      <c r="M6" s="351"/>
      <c r="N6" s="351"/>
      <c r="O6" s="1511"/>
      <c r="P6" s="351"/>
      <c r="Q6" s="351"/>
      <c r="R6" s="351"/>
      <c r="S6" s="42"/>
      <c r="T6" s="1"/>
      <c r="U6" s="42"/>
      <c r="V6" s="42"/>
      <c r="W6" s="42"/>
      <c r="X6" s="42"/>
      <c r="Y6" s="42"/>
      <c r="Z6" s="42"/>
      <c r="AA6" s="42"/>
      <c r="AB6" s="42"/>
      <c r="AC6" s="42"/>
      <c r="AD6" s="42"/>
      <c r="AE6" s="42"/>
      <c r="AH6" s="1271" t="s">
        <v>2277</v>
      </c>
    </row>
    <row r="7" spans="1:34" s="347" customFormat="1" ht="39" customHeight="1" x14ac:dyDescent="0.25">
      <c r="A7" s="304"/>
      <c r="B7" s="3462" t="s">
        <v>2694</v>
      </c>
      <c r="C7" s="3462"/>
      <c r="D7" s="3462"/>
      <c r="E7" s="3462"/>
      <c r="F7" s="3462"/>
      <c r="G7" s="3462"/>
      <c r="H7" s="3462"/>
      <c r="I7" s="3462"/>
      <c r="J7" s="3462"/>
      <c r="K7" s="3462"/>
      <c r="L7" s="1506"/>
      <c r="M7" s="351"/>
      <c r="N7" s="351"/>
      <c r="O7" s="1511"/>
      <c r="P7" s="351"/>
      <c r="Q7" s="351"/>
      <c r="R7" s="351"/>
      <c r="S7" s="42"/>
      <c r="T7" s="1"/>
      <c r="U7" s="42"/>
      <c r="V7" s="42"/>
      <c r="W7" s="42"/>
      <c r="X7" s="42"/>
      <c r="Y7" s="42"/>
      <c r="Z7" s="42"/>
      <c r="AA7" s="42"/>
      <c r="AB7" s="42"/>
      <c r="AC7" s="42"/>
      <c r="AD7" s="42"/>
      <c r="AE7" s="42"/>
      <c r="AH7" s="1802"/>
    </row>
    <row r="8" spans="1:34" s="347" customFormat="1" ht="39" customHeight="1" x14ac:dyDescent="0.25">
      <c r="A8" s="304"/>
      <c r="B8" s="3462" t="s">
        <v>2695</v>
      </c>
      <c r="C8" s="3462"/>
      <c r="D8" s="3462"/>
      <c r="E8" s="3462"/>
      <c r="F8" s="3462"/>
      <c r="G8" s="3462"/>
      <c r="H8" s="3462"/>
      <c r="I8" s="3462"/>
      <c r="J8" s="3462"/>
      <c r="K8" s="3462"/>
      <c r="L8" s="1506"/>
      <c r="M8" s="351"/>
      <c r="N8" s="351"/>
      <c r="O8" s="1511"/>
      <c r="P8" s="351"/>
      <c r="Q8" s="351"/>
      <c r="R8" s="351"/>
      <c r="S8" s="42"/>
      <c r="T8" s="1"/>
      <c r="U8" s="42"/>
      <c r="V8" s="42"/>
      <c r="W8" s="42"/>
      <c r="X8" s="42"/>
      <c r="Y8" s="42"/>
      <c r="Z8" s="42"/>
      <c r="AA8" s="42"/>
      <c r="AB8" s="42"/>
      <c r="AC8" s="42"/>
      <c r="AD8" s="42"/>
      <c r="AE8" s="42"/>
      <c r="AH8" s="1802"/>
    </row>
    <row r="9" spans="1:34" s="347" customFormat="1" ht="39" customHeight="1" x14ac:dyDescent="0.25">
      <c r="A9" s="304"/>
      <c r="B9" s="3462" t="s">
        <v>2696</v>
      </c>
      <c r="C9" s="3462"/>
      <c r="D9" s="3462"/>
      <c r="E9" s="3462"/>
      <c r="F9" s="3462"/>
      <c r="G9" s="3462"/>
      <c r="H9" s="3462"/>
      <c r="I9" s="3462"/>
      <c r="J9" s="3462"/>
      <c r="K9" s="3462"/>
      <c r="L9" s="1506"/>
      <c r="M9" s="351"/>
      <c r="N9" s="351"/>
      <c r="O9" s="1511"/>
      <c r="P9" s="351"/>
      <c r="Q9" s="351"/>
      <c r="R9" s="351"/>
      <c r="S9" s="42"/>
      <c r="T9" s="1"/>
      <c r="U9" s="42"/>
      <c r="V9" s="42"/>
      <c r="W9" s="42"/>
      <c r="X9" s="42"/>
      <c r="Y9" s="42"/>
      <c r="Z9" s="42"/>
      <c r="AA9" s="42"/>
      <c r="AB9" s="42"/>
      <c r="AC9" s="42"/>
      <c r="AD9" s="42"/>
      <c r="AE9" s="42"/>
      <c r="AH9" s="1802"/>
    </row>
    <row r="10" spans="1:34" s="347" customFormat="1" ht="39" customHeight="1" x14ac:dyDescent="0.25">
      <c r="A10" s="304"/>
      <c r="B10" s="3463" t="s">
        <v>2697</v>
      </c>
      <c r="C10" s="3463"/>
      <c r="D10" s="3463"/>
      <c r="E10" s="3463"/>
      <c r="F10" s="3463"/>
      <c r="G10" s="3463"/>
      <c r="H10" s="3463"/>
      <c r="I10" s="3463"/>
      <c r="J10" s="3463"/>
      <c r="K10" s="3463"/>
      <c r="L10" s="1506"/>
      <c r="O10" s="1511"/>
      <c r="P10" s="351"/>
      <c r="Q10" s="351"/>
      <c r="R10" s="351"/>
      <c r="S10" s="42"/>
      <c r="T10" s="1"/>
      <c r="U10" s="42"/>
      <c r="V10" s="42"/>
      <c r="W10" s="42"/>
      <c r="X10" s="42"/>
      <c r="Y10" s="42"/>
      <c r="Z10" s="42"/>
      <c r="AA10" s="42"/>
      <c r="AB10" s="42"/>
      <c r="AC10" s="42"/>
      <c r="AD10" s="42"/>
      <c r="AE10" s="42"/>
      <c r="AH10" s="1802"/>
    </row>
    <row r="11" spans="1:34" s="347" customFormat="1" ht="39" customHeight="1" x14ac:dyDescent="0.25">
      <c r="A11" s="304"/>
      <c r="B11" s="3463" t="s">
        <v>2698</v>
      </c>
      <c r="C11" s="3463"/>
      <c r="D11" s="3463"/>
      <c r="E11" s="3463"/>
      <c r="F11" s="3463"/>
      <c r="G11" s="3463"/>
      <c r="H11" s="3463"/>
      <c r="I11" s="3463"/>
      <c r="J11" s="3463"/>
      <c r="K11" s="3463"/>
      <c r="L11" s="1506"/>
      <c r="O11" s="1511"/>
      <c r="P11" s="351"/>
      <c r="Q11" s="351"/>
      <c r="R11" s="351"/>
      <c r="S11" s="42"/>
      <c r="T11" s="1"/>
      <c r="U11" s="42"/>
      <c r="V11" s="42"/>
      <c r="W11" s="42"/>
      <c r="X11" s="42"/>
      <c r="Y11" s="42"/>
      <c r="Z11" s="42"/>
      <c r="AA11" s="42"/>
      <c r="AB11" s="42"/>
      <c r="AC11" s="42"/>
      <c r="AD11" s="42"/>
      <c r="AE11" s="42"/>
      <c r="AH11" s="1802"/>
    </row>
    <row r="12" spans="1:34" s="347" customFormat="1" ht="39" customHeight="1" x14ac:dyDescent="0.25">
      <c r="A12" s="304"/>
      <c r="B12" s="3462" t="str">
        <f>IF('General Information'!J9="ENERGY STAR MFHR","For ENERGY STAR MFHR projects, manual shading such as blinds or shades have not been modeled in either the baseline or proposed design.","Manual fenestration shading devices such as blinds or shades have been modeled or not modeled, the same in the baseline and proposed design.")</f>
        <v>Manual fenestration shading devices such as blinds or shades have been modeled or not modeled, the same in the baseline and proposed design.</v>
      </c>
      <c r="C12" s="3462"/>
      <c r="D12" s="3462"/>
      <c r="E12" s="3462"/>
      <c r="F12" s="3462"/>
      <c r="G12" s="3462"/>
      <c r="H12" s="3462"/>
      <c r="I12" s="3462"/>
      <c r="J12" s="3462"/>
      <c r="K12" s="3462"/>
      <c r="L12" s="1506"/>
      <c r="O12" s="1511"/>
      <c r="P12" s="351"/>
      <c r="Q12" s="351"/>
      <c r="R12" s="351"/>
      <c r="S12" s="42"/>
      <c r="T12" s="1"/>
      <c r="U12" s="42"/>
      <c r="V12" s="42"/>
      <c r="W12" s="42"/>
      <c r="X12" s="42"/>
      <c r="Y12" s="42"/>
      <c r="Z12" s="42"/>
      <c r="AA12" s="42"/>
      <c r="AB12" s="42"/>
      <c r="AC12" s="42"/>
      <c r="AD12" s="42"/>
      <c r="AE12" s="42"/>
      <c r="AH12" s="1802"/>
    </row>
    <row r="13" spans="1:34" s="347" customFormat="1" ht="39" customHeight="1" x14ac:dyDescent="0.25">
      <c r="A13" s="304"/>
      <c r="B13" s="3462" t="s">
        <v>2699</v>
      </c>
      <c r="C13" s="3462"/>
      <c r="D13" s="3462"/>
      <c r="E13" s="3462"/>
      <c r="F13" s="3462"/>
      <c r="G13" s="3462"/>
      <c r="H13" s="3462"/>
      <c r="I13" s="3462"/>
      <c r="J13" s="3462"/>
      <c r="K13" s="3462"/>
      <c r="L13" s="1506"/>
      <c r="O13" s="1511"/>
      <c r="P13" s="351"/>
      <c r="Q13" s="351"/>
      <c r="R13" s="351"/>
      <c r="S13" s="42"/>
      <c r="T13" s="1"/>
      <c r="U13" s="42"/>
      <c r="V13" s="42"/>
      <c r="W13" s="42"/>
      <c r="X13" s="42"/>
      <c r="Y13" s="42"/>
      <c r="Z13" s="42"/>
      <c r="AA13" s="42"/>
      <c r="AB13" s="42"/>
      <c r="AC13" s="42"/>
      <c r="AD13" s="42"/>
      <c r="AE13" s="42"/>
      <c r="AH13" s="1802"/>
    </row>
    <row r="14" spans="1:34" s="347" customFormat="1" ht="39" customHeight="1" x14ac:dyDescent="0.25">
      <c r="A14" s="304"/>
      <c r="B14" s="3462" t="s">
        <v>2700</v>
      </c>
      <c r="C14" s="3462"/>
      <c r="D14" s="3462"/>
      <c r="E14" s="3462"/>
      <c r="F14" s="3462"/>
      <c r="G14" s="3462"/>
      <c r="H14" s="3462"/>
      <c r="I14" s="3462"/>
      <c r="J14" s="3462"/>
      <c r="K14" s="3462"/>
      <c r="L14" s="1506"/>
      <c r="O14" s="1511"/>
      <c r="P14" s="351"/>
      <c r="Q14" s="351"/>
      <c r="R14" s="351"/>
      <c r="S14" s="42"/>
      <c r="T14" s="1"/>
      <c r="U14" s="42"/>
      <c r="V14" s="42"/>
      <c r="W14" s="42"/>
      <c r="X14" s="42"/>
      <c r="Y14" s="42"/>
      <c r="Z14" s="42"/>
      <c r="AA14" s="42"/>
      <c r="AB14" s="42"/>
      <c r="AC14" s="42"/>
      <c r="AD14" s="42"/>
      <c r="AE14" s="42"/>
      <c r="AH14" s="1802"/>
    </row>
    <row r="15" spans="1:34" s="347" customFormat="1" ht="39" customHeight="1" x14ac:dyDescent="0.25">
      <c r="A15" s="304"/>
      <c r="B15" s="3462" t="s">
        <v>2735</v>
      </c>
      <c r="C15" s="3462"/>
      <c r="D15" s="3462"/>
      <c r="E15" s="3462"/>
      <c r="F15" s="3462"/>
      <c r="G15" s="3462"/>
      <c r="H15" s="3462"/>
      <c r="I15" s="3462"/>
      <c r="J15" s="3462"/>
      <c r="K15" s="3462"/>
      <c r="L15" s="1506"/>
      <c r="O15" s="1511"/>
      <c r="P15" s="351"/>
      <c r="Q15" s="351"/>
      <c r="R15" s="351"/>
      <c r="S15" s="42"/>
      <c r="T15" s="1"/>
      <c r="U15" s="42"/>
      <c r="V15" s="42"/>
      <c r="W15" s="42"/>
      <c r="X15" s="42"/>
      <c r="Y15" s="42"/>
      <c r="Z15" s="42"/>
      <c r="AA15" s="42"/>
      <c r="AB15" s="42"/>
      <c r="AC15" s="42"/>
      <c r="AD15" s="42"/>
      <c r="AE15" s="42"/>
      <c r="AH15" s="1802"/>
    </row>
    <row r="16" spans="1:34" s="347" customFormat="1" ht="39" customHeight="1" x14ac:dyDescent="0.25">
      <c r="A16" s="304"/>
      <c r="B16" s="3462" t="s">
        <v>2702</v>
      </c>
      <c r="C16" s="3462"/>
      <c r="D16" s="3462"/>
      <c r="E16" s="3462"/>
      <c r="F16" s="3462"/>
      <c r="G16" s="3462"/>
      <c r="H16" s="3462"/>
      <c r="I16" s="3462"/>
      <c r="J16" s="3462"/>
      <c r="K16" s="3462"/>
      <c r="L16" s="1506"/>
      <c r="O16" s="1511"/>
      <c r="P16" s="351"/>
      <c r="Q16" s="351"/>
      <c r="R16" s="351"/>
      <c r="S16" s="42"/>
      <c r="T16" s="1"/>
      <c r="U16" s="42"/>
      <c r="V16" s="42"/>
      <c r="W16" s="42"/>
      <c r="X16" s="42"/>
      <c r="Y16" s="42"/>
      <c r="Z16" s="42"/>
      <c r="AA16" s="42"/>
      <c r="AB16" s="42"/>
      <c r="AC16" s="42"/>
      <c r="AD16" s="42"/>
      <c r="AE16" s="42"/>
      <c r="AH16" s="1802"/>
    </row>
    <row r="17" spans="1:34" s="347" customFormat="1" ht="39" customHeight="1" x14ac:dyDescent="0.25">
      <c r="A17" s="304"/>
      <c r="B17" s="3462" t="s">
        <v>2703</v>
      </c>
      <c r="C17" s="3462"/>
      <c r="D17" s="3462"/>
      <c r="E17" s="3462"/>
      <c r="F17" s="3462"/>
      <c r="G17" s="3462"/>
      <c r="H17" s="3462"/>
      <c r="I17" s="3462"/>
      <c r="J17" s="3462"/>
      <c r="K17" s="3462"/>
      <c r="L17" s="1506"/>
      <c r="O17" s="1511"/>
      <c r="P17" s="351"/>
      <c r="Q17" s="351"/>
      <c r="R17" s="351"/>
      <c r="S17" s="42"/>
      <c r="T17" s="1"/>
      <c r="U17" s="42"/>
      <c r="V17" s="42"/>
      <c r="W17" s="42"/>
      <c r="X17" s="42"/>
      <c r="Y17" s="42"/>
      <c r="Z17" s="42"/>
      <c r="AA17" s="42"/>
      <c r="AB17" s="42"/>
      <c r="AC17" s="42"/>
      <c r="AD17" s="42"/>
      <c r="AE17" s="42"/>
      <c r="AH17" s="1802"/>
    </row>
    <row r="18" spans="1:34" s="347" customFormat="1" ht="39" customHeight="1" x14ac:dyDescent="0.25">
      <c r="A18" s="304"/>
      <c r="B18" s="3469" t="s">
        <v>2701</v>
      </c>
      <c r="C18" s="3470"/>
      <c r="D18" s="3470"/>
      <c r="E18" s="3470"/>
      <c r="F18" s="3470"/>
      <c r="G18" s="3471"/>
      <c r="H18" s="3472"/>
      <c r="I18" s="3473"/>
      <c r="J18" s="3473"/>
      <c r="K18" s="3473"/>
      <c r="L18" s="3474"/>
      <c r="O18" s="1511"/>
      <c r="P18" s="351"/>
      <c r="Q18" s="351"/>
      <c r="R18" s="351"/>
      <c r="S18" s="42"/>
      <c r="T18" s="1"/>
      <c r="U18" s="42"/>
      <c r="V18" s="42"/>
      <c r="W18" s="42"/>
      <c r="X18" s="42"/>
      <c r="Y18" s="42"/>
      <c r="Z18" s="42"/>
      <c r="AA18" s="42"/>
      <c r="AB18" s="42"/>
      <c r="AC18" s="42"/>
      <c r="AD18" s="42"/>
      <c r="AE18" s="42"/>
      <c r="AH18" s="1802"/>
    </row>
    <row r="19" spans="1:34" s="347" customFormat="1" ht="17.25" customHeight="1" x14ac:dyDescent="0.25">
      <c r="A19" s="304"/>
      <c r="B19" s="353"/>
      <c r="C19" s="353"/>
      <c r="D19" s="353"/>
      <c r="E19" s="353"/>
      <c r="F19" s="353"/>
      <c r="G19" s="353"/>
      <c r="H19" s="353"/>
      <c r="I19" s="353"/>
      <c r="J19" s="353"/>
      <c r="K19" s="353"/>
      <c r="L19" s="351"/>
      <c r="O19" s="1511"/>
      <c r="P19" s="351"/>
      <c r="Q19" s="351"/>
      <c r="R19" s="351"/>
      <c r="S19" s="42"/>
      <c r="T19" s="1"/>
      <c r="U19" s="42"/>
      <c r="V19" s="42"/>
      <c r="W19" s="42"/>
      <c r="X19" s="42"/>
      <c r="Y19" s="42"/>
      <c r="Z19" s="42"/>
      <c r="AA19" s="42"/>
      <c r="AB19" s="42"/>
      <c r="AC19" s="42"/>
      <c r="AD19" s="42"/>
      <c r="AE19" s="42"/>
      <c r="AH19" s="1521"/>
    </row>
    <row r="20" spans="1:34" s="347" customFormat="1" ht="56.25" customHeight="1" x14ac:dyDescent="0.25">
      <c r="A20" s="304"/>
      <c r="B20" s="3330" t="s">
        <v>1303</v>
      </c>
      <c r="C20" s="3330"/>
      <c r="D20" s="3330"/>
      <c r="E20" s="3330"/>
      <c r="F20" s="3330"/>
      <c r="G20" s="3330"/>
      <c r="H20" s="3330"/>
      <c r="I20" s="3330"/>
      <c r="J20" s="3330"/>
      <c r="K20" s="3330"/>
      <c r="L20" s="3330"/>
      <c r="M20" s="1505"/>
      <c r="N20" s="1505"/>
      <c r="O20" s="1511"/>
      <c r="P20" s="351"/>
      <c r="Q20" s="351"/>
      <c r="R20" s="351"/>
      <c r="S20" s="42"/>
      <c r="T20" s="1"/>
      <c r="U20" s="42"/>
      <c r="V20" s="42"/>
      <c r="W20" s="42"/>
      <c r="X20" s="42"/>
      <c r="Y20" s="42"/>
      <c r="Z20" s="42"/>
      <c r="AA20" s="42"/>
      <c r="AB20" s="42"/>
      <c r="AC20" s="42"/>
      <c r="AD20" s="42"/>
      <c r="AE20" s="42"/>
      <c r="AH20" s="1521"/>
    </row>
    <row r="21" spans="1:34" s="347" customFormat="1" ht="40.5" customHeight="1" x14ac:dyDescent="0.25">
      <c r="A21" s="304"/>
      <c r="B21" s="3464"/>
      <c r="C21" s="3464"/>
      <c r="D21" s="3464"/>
      <c r="E21" s="3464"/>
      <c r="F21" s="3464"/>
      <c r="G21" s="3464"/>
      <c r="H21" s="3464"/>
      <c r="I21" s="3464"/>
      <c r="J21" s="3464"/>
      <c r="K21" s="3464"/>
      <c r="L21" s="3464"/>
      <c r="M21" s="353"/>
      <c r="N21" s="353"/>
      <c r="O21" s="1511"/>
      <c r="P21" s="351"/>
      <c r="Q21" s="351"/>
      <c r="R21" s="351"/>
      <c r="S21" s="42"/>
      <c r="T21" s="1"/>
      <c r="U21" s="42"/>
      <c r="V21" s="42"/>
      <c r="W21" s="42"/>
      <c r="X21" s="42"/>
      <c r="Y21" s="42"/>
      <c r="Z21" s="42"/>
      <c r="AA21" s="42"/>
      <c r="AB21" s="42"/>
      <c r="AC21" s="42"/>
      <c r="AD21" s="42"/>
      <c r="AE21" s="42"/>
      <c r="AH21" s="1802"/>
    </row>
    <row r="22" spans="1:34" s="347" customFormat="1" ht="20.25" customHeight="1" x14ac:dyDescent="0.25">
      <c r="A22" s="304"/>
      <c r="B22" s="1504"/>
      <c r="C22" s="1504"/>
      <c r="D22" s="1504"/>
      <c r="E22" s="1504"/>
      <c r="F22" s="1504"/>
      <c r="G22" s="1504"/>
      <c r="H22" s="1504"/>
      <c r="I22" s="1504"/>
      <c r="J22" s="1504"/>
      <c r="K22" s="14"/>
      <c r="M22" s="353"/>
      <c r="N22" s="353"/>
      <c r="O22" s="1511"/>
      <c r="P22" s="351"/>
      <c r="Q22" s="351"/>
      <c r="R22" s="351"/>
      <c r="S22" s="42"/>
      <c r="T22" s="1"/>
      <c r="U22" s="42"/>
      <c r="V22" s="42"/>
      <c r="W22" s="42"/>
      <c r="X22" s="42"/>
      <c r="Y22" s="42"/>
      <c r="Z22" s="42"/>
      <c r="AA22" s="42"/>
      <c r="AB22" s="42"/>
      <c r="AC22" s="42"/>
      <c r="AD22" s="42"/>
      <c r="AE22" s="42"/>
      <c r="AH22" s="1521"/>
    </row>
    <row r="23" spans="1:34" s="347" customFormat="1" ht="20.25" customHeight="1" x14ac:dyDescent="0.25">
      <c r="A23" s="304"/>
      <c r="B23" s="3330" t="s">
        <v>3044</v>
      </c>
      <c r="C23" s="3330"/>
      <c r="D23" s="3330"/>
      <c r="E23" s="3330"/>
      <c r="F23" s="3330"/>
      <c r="G23" s="3330"/>
      <c r="H23" s="3330"/>
      <c r="I23" s="3330"/>
      <c r="J23" s="3330"/>
      <c r="K23" s="3330"/>
      <c r="L23" s="3330"/>
      <c r="M23" s="353"/>
      <c r="N23" s="353"/>
      <c r="O23" s="1511"/>
      <c r="P23" s="351"/>
      <c r="Q23" s="351"/>
      <c r="R23" s="351"/>
      <c r="S23" s="42"/>
      <c r="T23" s="1"/>
      <c r="U23" s="42"/>
      <c r="V23" s="42"/>
      <c r="W23" s="42"/>
      <c r="X23" s="42"/>
      <c r="Y23" s="42"/>
      <c r="Z23" s="42"/>
      <c r="AA23" s="42"/>
      <c r="AB23" s="42"/>
      <c r="AC23" s="42"/>
      <c r="AD23" s="42"/>
      <c r="AE23" s="42"/>
      <c r="AH23" s="1521"/>
    </row>
    <row r="24" spans="1:34" s="347" customFormat="1" ht="20.25" customHeight="1" x14ac:dyDescent="0.25">
      <c r="A24" s="304"/>
      <c r="B24" s="3421"/>
      <c r="C24" s="3422"/>
      <c r="D24" s="1504"/>
      <c r="E24" s="1504"/>
      <c r="F24" s="1504"/>
      <c r="G24" s="1504"/>
      <c r="H24" s="1504"/>
      <c r="I24" s="1504"/>
      <c r="J24" s="1504"/>
      <c r="K24" s="14"/>
      <c r="M24" s="353"/>
      <c r="N24" s="353"/>
      <c r="O24" s="1511"/>
      <c r="P24" s="351"/>
      <c r="Q24" s="351"/>
      <c r="R24" s="351"/>
      <c r="S24" s="42"/>
      <c r="T24" s="1"/>
      <c r="U24" s="42"/>
      <c r="V24" s="42"/>
      <c r="W24" s="42"/>
      <c r="X24" s="42"/>
      <c r="Y24" s="42"/>
      <c r="Z24" s="42"/>
      <c r="AA24" s="42"/>
      <c r="AB24" s="42"/>
      <c r="AC24" s="42"/>
      <c r="AD24" s="42"/>
      <c r="AE24" s="42"/>
      <c r="AH24" s="1521"/>
    </row>
    <row r="25" spans="1:34" s="347" customFormat="1" ht="20.25" customHeight="1" x14ac:dyDescent="0.25">
      <c r="A25" s="304"/>
      <c r="B25" s="3421"/>
      <c r="C25" s="3422"/>
      <c r="D25" s="1504"/>
      <c r="E25" s="1504"/>
      <c r="F25" s="1504"/>
      <c r="G25" s="1504"/>
      <c r="H25" s="1504"/>
      <c r="I25" s="1504"/>
      <c r="J25" s="1504"/>
      <c r="K25" s="14"/>
      <c r="M25" s="353"/>
      <c r="N25" s="353"/>
      <c r="O25" s="1511"/>
      <c r="P25" s="351"/>
      <c r="Q25" s="351"/>
      <c r="R25" s="351"/>
      <c r="S25" s="42"/>
      <c r="T25" s="1"/>
      <c r="U25" s="42"/>
      <c r="V25" s="42"/>
      <c r="W25" s="42"/>
      <c r="X25" s="42"/>
      <c r="Y25" s="42"/>
      <c r="Z25" s="42"/>
      <c r="AA25" s="42"/>
      <c r="AB25" s="42"/>
      <c r="AC25" s="42"/>
      <c r="AD25" s="42"/>
      <c r="AE25" s="42"/>
      <c r="AH25" s="1521"/>
    </row>
    <row r="26" spans="1:34" s="347" customFormat="1" ht="20.25" customHeight="1" x14ac:dyDescent="0.25">
      <c r="A26" s="304"/>
      <c r="B26" s="3421"/>
      <c r="C26" s="3422"/>
      <c r="D26" s="1504"/>
      <c r="E26" s="1504"/>
      <c r="F26" s="1504"/>
      <c r="G26" s="1504"/>
      <c r="H26" s="1504"/>
      <c r="I26" s="1504"/>
      <c r="J26" s="1504"/>
      <c r="K26" s="14"/>
      <c r="M26" s="353"/>
      <c r="N26" s="353"/>
      <c r="O26" s="1511"/>
      <c r="P26" s="351"/>
      <c r="Q26" s="351"/>
      <c r="R26" s="351"/>
      <c r="S26" s="42"/>
      <c r="T26" s="1"/>
      <c r="U26" s="42"/>
      <c r="V26" s="42"/>
      <c r="W26" s="42"/>
      <c r="X26" s="42"/>
      <c r="Y26" s="42"/>
      <c r="Z26" s="42"/>
      <c r="AA26" s="42"/>
      <c r="AB26" s="42"/>
      <c r="AC26" s="42"/>
      <c r="AD26" s="42"/>
      <c r="AE26" s="42"/>
      <c r="AH26" s="1521"/>
    </row>
    <row r="27" spans="1:34" s="347" customFormat="1" ht="20.25" customHeight="1" x14ac:dyDescent="0.25">
      <c r="A27" s="304"/>
      <c r="B27" s="3421"/>
      <c r="C27" s="3422"/>
      <c r="D27" s="1504"/>
      <c r="E27" s="1504"/>
      <c r="F27" s="1504"/>
      <c r="G27" s="1504"/>
      <c r="H27" s="1504"/>
      <c r="I27" s="1504"/>
      <c r="J27" s="1504"/>
      <c r="K27" s="14"/>
      <c r="M27" s="353"/>
      <c r="N27" s="353"/>
      <c r="O27" s="1511"/>
      <c r="P27" s="351"/>
      <c r="Q27" s="351"/>
      <c r="R27" s="351"/>
      <c r="S27" s="42"/>
      <c r="T27" s="1"/>
      <c r="U27" s="42"/>
      <c r="V27" s="42"/>
      <c r="W27" s="42"/>
      <c r="X27" s="42"/>
      <c r="Y27" s="42"/>
      <c r="Z27" s="42"/>
      <c r="AA27" s="42"/>
      <c r="AB27" s="42"/>
      <c r="AC27" s="42"/>
      <c r="AD27" s="42"/>
      <c r="AE27" s="42"/>
      <c r="AH27" s="1521"/>
    </row>
    <row r="28" spans="1:34" s="347" customFormat="1" ht="20.25" customHeight="1" x14ac:dyDescent="0.25">
      <c r="A28" s="304"/>
      <c r="B28" s="1504"/>
      <c r="C28" s="1504"/>
      <c r="D28" s="1504"/>
      <c r="E28" s="1504"/>
      <c r="F28" s="1504"/>
      <c r="G28" s="1504"/>
      <c r="H28" s="1504"/>
      <c r="I28" s="1504"/>
      <c r="J28" s="1504"/>
      <c r="K28" s="14"/>
      <c r="M28" s="353"/>
      <c r="N28" s="353"/>
      <c r="O28" s="1511"/>
      <c r="P28" s="351"/>
      <c r="Q28" s="351"/>
      <c r="R28" s="351"/>
      <c r="S28" s="42"/>
      <c r="T28" s="1"/>
      <c r="U28" s="42"/>
      <c r="V28" s="42"/>
      <c r="W28" s="42"/>
      <c r="X28" s="42"/>
      <c r="Y28" s="42"/>
      <c r="Z28" s="42"/>
      <c r="AA28" s="42"/>
      <c r="AB28" s="42"/>
      <c r="AC28" s="42"/>
      <c r="AD28" s="42"/>
      <c r="AE28" s="42"/>
      <c r="AH28" s="1521"/>
    </row>
    <row r="29" spans="1:34" s="347" customFormat="1" ht="20.25" customHeight="1" x14ac:dyDescent="0.25">
      <c r="A29" s="304"/>
      <c r="B29" s="668" t="s">
        <v>2684</v>
      </c>
      <c r="C29" s="1511"/>
      <c r="D29" s="1511"/>
      <c r="E29" s="1683"/>
      <c r="F29" s="1684"/>
      <c r="G29" s="1684"/>
      <c r="H29" s="1684"/>
      <c r="I29" s="1592"/>
      <c r="J29" s="1592"/>
      <c r="K29" s="1685"/>
      <c r="M29" s="351"/>
      <c r="N29" s="351"/>
      <c r="O29" s="1511"/>
      <c r="P29" s="351"/>
      <c r="Q29" s="351"/>
      <c r="R29" s="351"/>
      <c r="S29" s="42"/>
      <c r="T29" s="1"/>
      <c r="U29" s="42"/>
      <c r="V29" s="42"/>
      <c r="W29" s="42"/>
      <c r="X29" s="42"/>
      <c r="Y29" s="42"/>
      <c r="Z29" s="42"/>
      <c r="AA29" s="42"/>
      <c r="AB29" s="42"/>
      <c r="AC29" s="42"/>
      <c r="AD29" s="42"/>
      <c r="AE29" s="42"/>
      <c r="AH29" s="1521"/>
    </row>
    <row r="30" spans="1:34" s="347" customFormat="1" ht="20.25" customHeight="1" x14ac:dyDescent="0.25">
      <c r="A30" s="304"/>
      <c r="B30" s="3436" t="s">
        <v>1644</v>
      </c>
      <c r="C30" s="3481"/>
      <c r="D30" s="3434" t="s">
        <v>16</v>
      </c>
      <c r="E30" s="1373"/>
      <c r="F30" s="3432" t="str">
        <f>"Baseline"&amp;"-"&amp;'General Information'!$H$49</f>
        <v>Baseline-</v>
      </c>
      <c r="G30" s="3433"/>
      <c r="H30" s="3433"/>
      <c r="I30" s="3433" t="s">
        <v>2682</v>
      </c>
      <c r="J30" s="3433"/>
      <c r="K30" s="3430"/>
      <c r="L30" s="1593"/>
      <c r="M30" s="3438" t="s">
        <v>2544</v>
      </c>
      <c r="N30" s="3439"/>
      <c r="O30" s="1511"/>
      <c r="P30" s="351"/>
      <c r="Q30" s="351"/>
      <c r="R30" s="351"/>
      <c r="S30" s="42"/>
      <c r="T30" s="1"/>
      <c r="U30" s="42"/>
      <c r="V30" s="42"/>
      <c r="W30" s="42"/>
      <c r="X30" s="42"/>
      <c r="Y30" s="42"/>
      <c r="Z30" s="42"/>
      <c r="AA30" s="42"/>
      <c r="AB30" s="42"/>
      <c r="AC30" s="42"/>
      <c r="AD30" s="42"/>
      <c r="AE30" s="42"/>
      <c r="AH30" s="1521"/>
    </row>
    <row r="31" spans="1:34" s="347" customFormat="1" ht="226.5" customHeight="1" x14ac:dyDescent="0.25">
      <c r="A31" s="304"/>
      <c r="B31" s="3482"/>
      <c r="C31" s="3483"/>
      <c r="D31" s="3485"/>
      <c r="E31" s="1374"/>
      <c r="F31" s="3475" t="s">
        <v>2607</v>
      </c>
      <c r="G31" s="3467"/>
      <c r="H31" s="3467"/>
      <c r="I31" s="3467" t="s">
        <v>2608</v>
      </c>
      <c r="J31" s="3467"/>
      <c r="K31" s="3468"/>
      <c r="L31" s="1372"/>
      <c r="M31" s="3440"/>
      <c r="N31" s="3441"/>
      <c r="O31" s="1511"/>
      <c r="P31" s="351"/>
      <c r="Q31" s="351"/>
      <c r="R31" s="351"/>
      <c r="S31" s="42"/>
      <c r="T31" s="1"/>
      <c r="U31" s="42"/>
      <c r="V31" s="42"/>
      <c r="W31" s="42"/>
      <c r="X31" s="42"/>
      <c r="Y31" s="42"/>
      <c r="Z31" s="42"/>
      <c r="AA31" s="42"/>
      <c r="AB31" s="42"/>
      <c r="AC31" s="42"/>
      <c r="AD31" s="42"/>
      <c r="AE31" s="42"/>
      <c r="AH31" s="1521"/>
    </row>
    <row r="32" spans="1:34" s="347" customFormat="1" ht="20.25" customHeight="1" x14ac:dyDescent="0.25">
      <c r="A32" s="304"/>
      <c r="B32" s="3482"/>
      <c r="C32" s="3483"/>
      <c r="D32" s="3485"/>
      <c r="E32" s="1371"/>
      <c r="F32" s="3457" t="str">
        <f>CONCATENATE("Gross Above-Grade Wall Area
",IF(SI_IP_Units="IP"," (sq ft)"," (sq m)"))</f>
        <v>Gross Above-Grade Wall Area
 (sq ft)</v>
      </c>
      <c r="G32" s="3395" t="s">
        <v>10</v>
      </c>
      <c r="H32" s="3395"/>
      <c r="I32" s="3395" t="str">
        <f>CONCATENATE("Gross Above-Grade Wall Area
",IF(SI_IP_Units="IP"," (sq ft)"," (sq m)"))</f>
        <v>Gross Above-Grade Wall Area
 (sq ft)</v>
      </c>
      <c r="J32" s="3395" t="s">
        <v>10</v>
      </c>
      <c r="K32" s="3456"/>
      <c r="L32" s="1372"/>
      <c r="M32" s="3440"/>
      <c r="N32" s="3441"/>
      <c r="O32" s="1511"/>
      <c r="P32" s="351"/>
      <c r="Q32" s="351"/>
      <c r="R32" s="351"/>
      <c r="S32" s="42"/>
      <c r="T32" s="1"/>
      <c r="U32" s="42"/>
      <c r="V32" s="42"/>
      <c r="W32" s="42"/>
      <c r="X32" s="42"/>
      <c r="Y32" s="42"/>
      <c r="Z32" s="42"/>
      <c r="AA32" s="42"/>
      <c r="AB32" s="42"/>
      <c r="AC32" s="42"/>
      <c r="AD32" s="42"/>
      <c r="AE32" s="42"/>
      <c r="AH32" s="1521"/>
    </row>
    <row r="33" spans="1:34" s="347" customFormat="1" ht="20.25" customHeight="1" x14ac:dyDescent="0.25">
      <c r="A33" s="304"/>
      <c r="B33" s="3437"/>
      <c r="C33" s="3484"/>
      <c r="D33" s="3435"/>
      <c r="E33" s="1371"/>
      <c r="F33" s="3457"/>
      <c r="G33" s="1491" t="str">
        <f>IF(SI_IP_Units="IP"," (sq ft)"," (sq m)")</f>
        <v xml:space="preserve"> (sq ft)</v>
      </c>
      <c r="H33" s="1491" t="s">
        <v>17</v>
      </c>
      <c r="I33" s="3395"/>
      <c r="J33" s="1491" t="str">
        <f>IF(SI_IP_Units="IP"," (sq ft)"," (sq m)")</f>
        <v xml:space="preserve"> (sq ft)</v>
      </c>
      <c r="K33" s="1503" t="s">
        <v>17</v>
      </c>
      <c r="L33" s="1372"/>
      <c r="M33" s="3442"/>
      <c r="N33" s="3443"/>
      <c r="O33" s="1511"/>
      <c r="P33" s="351"/>
      <c r="Q33" s="351"/>
      <c r="R33" s="351"/>
      <c r="S33" s="42"/>
      <c r="T33" s="1"/>
      <c r="U33" s="42"/>
      <c r="V33" s="42"/>
      <c r="W33" s="42"/>
      <c r="X33" s="42"/>
      <c r="Y33" s="42"/>
      <c r="Z33" s="42"/>
      <c r="AA33" s="42"/>
      <c r="AB33" s="42"/>
      <c r="AC33" s="42"/>
      <c r="AD33" s="42"/>
      <c r="AE33" s="42"/>
      <c r="AH33" s="1521"/>
    </row>
    <row r="34" spans="1:34" s="347" customFormat="1" ht="20.25" customHeight="1" x14ac:dyDescent="0.25">
      <c r="A34" s="304"/>
      <c r="B34" s="3421"/>
      <c r="C34" s="3422"/>
      <c r="D34" s="1864" t="s">
        <v>11</v>
      </c>
      <c r="E34" s="1371"/>
      <c r="F34" s="1348" t="s">
        <v>2209</v>
      </c>
      <c r="G34" s="1865" t="str">
        <f t="shared" ref="G34:G40" ca="1" si="0">IFERROR(J34/(SUMIF($B$41:$C$44,B34,$J$41:$J$44))*(SUMIF($B$41:$C$44,B34,$G$41:$G$44)),"-")</f>
        <v>-</v>
      </c>
      <c r="H34" s="2100" t="str">
        <f ca="1">IFERROR(G34/I34,"")</f>
        <v/>
      </c>
      <c r="I34" s="1515"/>
      <c r="J34" s="1515"/>
      <c r="K34" s="2101" t="str">
        <f>IFERROR(J34/I34,"")</f>
        <v/>
      </c>
      <c r="L34" s="1372"/>
      <c r="M34" s="3421"/>
      <c r="N34" s="3422"/>
      <c r="O34" s="1511"/>
      <c r="P34" s="351"/>
      <c r="Q34" s="1505"/>
      <c r="R34" s="351"/>
      <c r="S34" s="42"/>
      <c r="T34" s="1"/>
      <c r="U34" s="42"/>
      <c r="V34" s="42"/>
      <c r="W34" s="42"/>
      <c r="X34" s="42"/>
      <c r="Y34" s="42"/>
      <c r="Z34" s="42"/>
      <c r="AA34" s="42"/>
      <c r="AB34" s="42"/>
      <c r="AC34" s="42"/>
      <c r="AD34" s="42"/>
      <c r="AE34" s="42"/>
      <c r="AH34" s="1802"/>
    </row>
    <row r="35" spans="1:34" s="347" customFormat="1" ht="20.25" customHeight="1" x14ac:dyDescent="0.25">
      <c r="A35" s="304"/>
      <c r="B35" s="3421"/>
      <c r="C35" s="3422"/>
      <c r="D35" s="1864" t="s">
        <v>12</v>
      </c>
      <c r="E35" s="1371"/>
      <c r="F35" s="1348" t="str">
        <f>$F$34</f>
        <v>Identical to Proposed</v>
      </c>
      <c r="G35" s="1865" t="str">
        <f t="shared" ca="1" si="0"/>
        <v>-</v>
      </c>
      <c r="H35" s="2100" t="str">
        <f t="shared" ref="H35:H40" ca="1" si="1">IFERROR(G35/I35,"")</f>
        <v/>
      </c>
      <c r="I35" s="1515"/>
      <c r="J35" s="1515"/>
      <c r="K35" s="2101" t="str">
        <f t="shared" ref="K35:K40" si="2">IFERROR(J35/I35,"")</f>
        <v/>
      </c>
      <c r="L35" s="1372"/>
      <c r="M35" s="3421"/>
      <c r="N35" s="3422"/>
      <c r="O35" s="1511"/>
      <c r="P35" s="351"/>
      <c r="Q35" s="1505"/>
      <c r="R35" s="351"/>
      <c r="S35" s="42"/>
      <c r="T35" s="1"/>
      <c r="U35" s="42"/>
      <c r="V35" s="42"/>
      <c r="W35" s="42"/>
      <c r="X35" s="42"/>
      <c r="Y35" s="42"/>
      <c r="Z35" s="42"/>
      <c r="AA35" s="42"/>
      <c r="AB35" s="42"/>
      <c r="AC35" s="42"/>
      <c r="AD35" s="42"/>
      <c r="AE35" s="42"/>
      <c r="AH35" s="1802"/>
    </row>
    <row r="36" spans="1:34" s="347" customFormat="1" ht="20.25" customHeight="1" x14ac:dyDescent="0.25">
      <c r="A36" s="304"/>
      <c r="B36" s="3421"/>
      <c r="C36" s="3422"/>
      <c r="D36" s="1864" t="s">
        <v>13</v>
      </c>
      <c r="E36" s="1371"/>
      <c r="F36" s="1348" t="str">
        <f t="shared" ref="F36:F39" si="3">$F$34</f>
        <v>Identical to Proposed</v>
      </c>
      <c r="G36" s="1865" t="str">
        <f t="shared" ca="1" si="0"/>
        <v>-</v>
      </c>
      <c r="H36" s="2100" t="str">
        <f t="shared" ca="1" si="1"/>
        <v/>
      </c>
      <c r="I36" s="1515"/>
      <c r="J36" s="1515"/>
      <c r="K36" s="2101" t="str">
        <f t="shared" si="2"/>
        <v/>
      </c>
      <c r="L36" s="1372"/>
      <c r="M36" s="3421"/>
      <c r="N36" s="3422"/>
      <c r="O36" s="1511"/>
      <c r="P36" s="351"/>
      <c r="Q36" s="1505"/>
      <c r="R36" s="351"/>
      <c r="S36" s="42"/>
      <c r="T36" s="1"/>
      <c r="U36" s="42"/>
      <c r="V36" s="42"/>
      <c r="W36" s="42"/>
      <c r="X36" s="42"/>
      <c r="Y36" s="42"/>
      <c r="Z36" s="42"/>
      <c r="AA36" s="42"/>
      <c r="AB36" s="42"/>
      <c r="AC36" s="42"/>
      <c r="AD36" s="42"/>
      <c r="AE36" s="42"/>
      <c r="AH36" s="1802"/>
    </row>
    <row r="37" spans="1:34" s="347" customFormat="1" ht="20.25" customHeight="1" x14ac:dyDescent="0.25">
      <c r="A37" s="304"/>
      <c r="B37" s="3421"/>
      <c r="C37" s="3422"/>
      <c r="D37" s="1864" t="s">
        <v>14</v>
      </c>
      <c r="E37" s="1371"/>
      <c r="F37" s="1348" t="str">
        <f t="shared" si="3"/>
        <v>Identical to Proposed</v>
      </c>
      <c r="G37" s="1865" t="str">
        <f t="shared" ca="1" si="0"/>
        <v>-</v>
      </c>
      <c r="H37" s="2100" t="str">
        <f t="shared" ca="1" si="1"/>
        <v/>
      </c>
      <c r="I37" s="1515"/>
      <c r="J37" s="1515"/>
      <c r="K37" s="2101" t="str">
        <f t="shared" si="2"/>
        <v/>
      </c>
      <c r="L37" s="1372"/>
      <c r="M37" s="3421"/>
      <c r="N37" s="3422"/>
      <c r="O37" s="1511"/>
      <c r="P37" s="351"/>
      <c r="Q37" s="1505"/>
      <c r="R37" s="351"/>
      <c r="S37" s="42"/>
      <c r="T37" s="1"/>
      <c r="U37" s="42"/>
      <c r="V37" s="42"/>
      <c r="W37" s="42"/>
      <c r="X37" s="42"/>
      <c r="Y37" s="42"/>
      <c r="Z37" s="42"/>
      <c r="AA37" s="42"/>
      <c r="AB37" s="42"/>
      <c r="AC37" s="42"/>
      <c r="AD37" s="42"/>
      <c r="AE37" s="42"/>
      <c r="AH37" s="1802"/>
    </row>
    <row r="38" spans="1:34" s="347" customFormat="1" ht="20.25" customHeight="1" x14ac:dyDescent="0.25">
      <c r="A38" s="304" t="s">
        <v>805</v>
      </c>
      <c r="B38" s="3421"/>
      <c r="C38" s="3422"/>
      <c r="D38" s="1515"/>
      <c r="E38" s="1371"/>
      <c r="F38" s="1348" t="str">
        <f t="shared" si="3"/>
        <v>Identical to Proposed</v>
      </c>
      <c r="G38" s="1349" t="str">
        <f t="shared" ca="1" si="0"/>
        <v>-</v>
      </c>
      <c r="H38" s="2100" t="str">
        <f t="shared" ca="1" si="1"/>
        <v/>
      </c>
      <c r="I38" s="1515"/>
      <c r="J38" s="1515"/>
      <c r="K38" s="2101" t="str">
        <f t="shared" si="2"/>
        <v/>
      </c>
      <c r="L38" s="1372"/>
      <c r="M38" s="3421"/>
      <c r="N38" s="3422"/>
      <c r="O38" s="1511"/>
      <c r="P38" s="351"/>
      <c r="Q38" s="351"/>
      <c r="R38" s="351"/>
      <c r="S38" s="42"/>
      <c r="T38" s="1"/>
      <c r="U38" s="42"/>
      <c r="V38" s="42"/>
      <c r="W38" s="42"/>
      <c r="X38" s="42"/>
      <c r="Y38" s="42"/>
      <c r="Z38" s="42"/>
      <c r="AA38" s="42"/>
      <c r="AB38" s="42"/>
      <c r="AC38" s="42"/>
      <c r="AD38" s="42"/>
      <c r="AE38" s="42"/>
      <c r="AH38" s="1802"/>
    </row>
    <row r="39" spans="1:34" s="347" customFormat="1" ht="20.25" customHeight="1" x14ac:dyDescent="0.25">
      <c r="A39" s="304"/>
      <c r="B39" s="3421"/>
      <c r="C39" s="3422"/>
      <c r="D39" s="1515"/>
      <c r="E39" s="1371"/>
      <c r="F39" s="1348" t="str">
        <f t="shared" si="3"/>
        <v>Identical to Proposed</v>
      </c>
      <c r="G39" s="1349" t="str">
        <f t="shared" ca="1" si="0"/>
        <v>-</v>
      </c>
      <c r="H39" s="2100" t="str">
        <f t="shared" ref="H39" ca="1" si="4">IFERROR(G39/I39,"")</f>
        <v/>
      </c>
      <c r="I39" s="1515"/>
      <c r="J39" s="1515"/>
      <c r="K39" s="2101" t="str">
        <f t="shared" ref="K39" si="5">IFERROR(J39/I39,"")</f>
        <v/>
      </c>
      <c r="L39" s="1372"/>
      <c r="M39" s="3421"/>
      <c r="N39" s="3422"/>
      <c r="O39" s="1511"/>
      <c r="P39" s="351"/>
      <c r="Q39" s="351"/>
      <c r="R39" s="351"/>
      <c r="S39" s="42"/>
      <c r="T39" s="1"/>
      <c r="U39" s="42"/>
      <c r="V39" s="42"/>
      <c r="W39" s="42"/>
      <c r="X39" s="42"/>
      <c r="Y39" s="42"/>
      <c r="Z39" s="42"/>
      <c r="AA39" s="42"/>
      <c r="AB39" s="42"/>
      <c r="AC39" s="42"/>
      <c r="AD39" s="42"/>
      <c r="AE39" s="42"/>
      <c r="AH39" s="1802"/>
    </row>
    <row r="40" spans="1:34" s="347" customFormat="1" ht="20.25" customHeight="1" x14ac:dyDescent="0.25">
      <c r="A40" s="304"/>
      <c r="B40" s="3421"/>
      <c r="C40" s="3422"/>
      <c r="D40" s="1515"/>
      <c r="E40" s="1371"/>
      <c r="F40" s="1348" t="s">
        <v>2209</v>
      </c>
      <c r="G40" s="1349" t="str">
        <f t="shared" ca="1" si="0"/>
        <v>-</v>
      </c>
      <c r="H40" s="2100" t="str">
        <f t="shared" ca="1" si="1"/>
        <v/>
      </c>
      <c r="I40" s="1515"/>
      <c r="J40" s="1515"/>
      <c r="K40" s="2101" t="str">
        <f t="shared" si="2"/>
        <v/>
      </c>
      <c r="L40" s="1372"/>
      <c r="M40" s="3421"/>
      <c r="N40" s="3422"/>
      <c r="O40" s="1511"/>
      <c r="P40" s="351"/>
      <c r="Q40" s="351"/>
      <c r="R40" s="351"/>
      <c r="S40" s="42"/>
      <c r="T40" s="1"/>
      <c r="U40" s="42"/>
      <c r="V40" s="42"/>
      <c r="W40" s="42"/>
      <c r="X40" s="42"/>
      <c r="Y40" s="42"/>
      <c r="Z40" s="42"/>
      <c r="AA40" s="42"/>
      <c r="AB40" s="42"/>
      <c r="AC40" s="42"/>
      <c r="AD40" s="42"/>
      <c r="AE40" s="42"/>
      <c r="AH40" s="1802"/>
    </row>
    <row r="41" spans="1:34" s="347" customFormat="1" ht="20.25" customHeight="1" x14ac:dyDescent="0.25">
      <c r="A41" s="304"/>
      <c r="B41" s="3428" t="str">
        <f>IF(B24="","-",B24)</f>
        <v>-</v>
      </c>
      <c r="C41" s="3429"/>
      <c r="D41" s="1864" t="s">
        <v>15</v>
      </c>
      <c r="E41" s="1371"/>
      <c r="F41" s="1350">
        <f ca="1">I41</f>
        <v>0</v>
      </c>
      <c r="G41" s="1865">
        <f ca="1">F41*H41</f>
        <v>0</v>
      </c>
      <c r="H41" s="1150">
        <f ca="1">IFERROR(1*VLOOKUP(B41,'Envelope Assumptions'!$CI$3:$CJ$17,2,FALSE),MIN(40%,$K41))</f>
        <v>0</v>
      </c>
      <c r="I41" s="1865">
        <f ca="1">SUMIF($B$34:$C$40,B41,$I$34:$I$40)</f>
        <v>0</v>
      </c>
      <c r="J41" s="1865">
        <f ca="1">SUMIF($B$34:$C$40,B41,$J$34:$J$40)</f>
        <v>0</v>
      </c>
      <c r="K41" s="1340">
        <f ca="1">IFERROR(J41/I41,0)</f>
        <v>0</v>
      </c>
      <c r="L41" s="1372"/>
      <c r="M41" s="3421"/>
      <c r="N41" s="3422"/>
      <c r="O41" s="1943"/>
      <c r="P41" s="351"/>
      <c r="Q41" s="351"/>
      <c r="R41" s="351"/>
      <c r="S41" s="42"/>
      <c r="T41" s="1"/>
      <c r="U41" s="42"/>
      <c r="V41" s="42"/>
      <c r="W41" s="42"/>
      <c r="X41" s="42"/>
      <c r="Y41" s="42"/>
      <c r="Z41" s="42"/>
      <c r="AA41" s="42"/>
      <c r="AB41" s="42"/>
      <c r="AC41" s="42"/>
      <c r="AD41" s="42"/>
      <c r="AE41" s="42"/>
      <c r="AH41" s="1802"/>
    </row>
    <row r="42" spans="1:34" s="347" customFormat="1" ht="20.25" customHeight="1" x14ac:dyDescent="0.25">
      <c r="A42" s="304"/>
      <c r="B42" s="3428" t="str">
        <f>IF(B25="","-",B25)</f>
        <v>-</v>
      </c>
      <c r="C42" s="3429"/>
      <c r="D42" s="1864" t="s">
        <v>15</v>
      </c>
      <c r="E42" s="1371"/>
      <c r="F42" s="1350">
        <f ca="1">I42</f>
        <v>0</v>
      </c>
      <c r="G42" s="1865">
        <f ca="1">F42*H42</f>
        <v>0</v>
      </c>
      <c r="H42" s="1150">
        <f ca="1">IFERROR(1*VLOOKUP(B42,'Envelope Assumptions'!$CI$3:$CJ$17,2,FALSE),MIN(40%,$K42))</f>
        <v>0</v>
      </c>
      <c r="I42" s="1865">
        <f ca="1">SUMIF($B$34:$C$40,B42,$I$34:$I$40)</f>
        <v>0</v>
      </c>
      <c r="J42" s="1865">
        <f ca="1">SUMIF($B$34:$C$40,B42,$J$34:$J$40)</f>
        <v>0</v>
      </c>
      <c r="K42" s="1340">
        <f ca="1">IFERROR(J42/I42,0)</f>
        <v>0</v>
      </c>
      <c r="L42" s="1372"/>
      <c r="M42" s="3421"/>
      <c r="N42" s="3422"/>
      <c r="O42" s="1943"/>
      <c r="P42" s="351"/>
      <c r="Q42" s="351"/>
      <c r="R42" s="351"/>
      <c r="S42" s="42"/>
      <c r="T42" s="1"/>
      <c r="U42" s="42"/>
      <c r="V42" s="42"/>
      <c r="W42" s="42"/>
      <c r="X42" s="42"/>
      <c r="Y42" s="42"/>
      <c r="Z42" s="42"/>
      <c r="AA42" s="42"/>
      <c r="AB42" s="42"/>
      <c r="AC42" s="42"/>
      <c r="AD42" s="42"/>
      <c r="AE42" s="42"/>
      <c r="AH42" s="1802"/>
    </row>
    <row r="43" spans="1:34" s="347" customFormat="1" ht="20.25" customHeight="1" x14ac:dyDescent="0.25">
      <c r="A43" s="304"/>
      <c r="B43" s="3428" t="str">
        <f>IF(B26="","-",B26)</f>
        <v>-</v>
      </c>
      <c r="C43" s="3429"/>
      <c r="D43" s="1864" t="s">
        <v>15</v>
      </c>
      <c r="E43" s="1371"/>
      <c r="F43" s="1350">
        <f ca="1">I43</f>
        <v>0</v>
      </c>
      <c r="G43" s="1865">
        <f ca="1">F43*H43</f>
        <v>0</v>
      </c>
      <c r="H43" s="1150">
        <f ca="1">IFERROR(1*VLOOKUP(B43,'Envelope Assumptions'!$CI$3:$CJ$17,2,FALSE),MIN(40%,$K43))</f>
        <v>0</v>
      </c>
      <c r="I43" s="1865">
        <f ca="1">SUMIF($B$34:$C$40,B43,$I$34:$I$40)</f>
        <v>0</v>
      </c>
      <c r="J43" s="1865">
        <f ca="1">SUMIF($B$34:$C$40,B43,$J$34:$J$40)</f>
        <v>0</v>
      </c>
      <c r="K43" s="1340">
        <f ca="1">IFERROR(J43/I43,0)</f>
        <v>0</v>
      </c>
      <c r="L43" s="1372"/>
      <c r="M43" s="3421"/>
      <c r="N43" s="3422"/>
      <c r="O43" s="1943"/>
      <c r="P43" s="351"/>
      <c r="Q43" s="351"/>
      <c r="R43" s="351"/>
      <c r="S43" s="42"/>
      <c r="T43" s="1"/>
      <c r="U43" s="42"/>
      <c r="V43" s="42"/>
      <c r="W43" s="42"/>
      <c r="X43" s="42"/>
      <c r="Y43" s="42"/>
      <c r="Z43" s="42"/>
      <c r="AA43" s="42"/>
      <c r="AB43" s="42"/>
      <c r="AC43" s="42"/>
      <c r="AD43" s="42"/>
      <c r="AE43" s="42"/>
      <c r="AH43" s="1802"/>
    </row>
    <row r="44" spans="1:34" s="347" customFormat="1" ht="20.25" customHeight="1" x14ac:dyDescent="0.25">
      <c r="A44" s="304"/>
      <c r="B44" s="3428" t="str">
        <f>IF(B27="","-",B27)</f>
        <v>-</v>
      </c>
      <c r="C44" s="3429"/>
      <c r="D44" s="1864" t="s">
        <v>15</v>
      </c>
      <c r="E44" s="1371"/>
      <c r="F44" s="1350">
        <f ca="1">I44</f>
        <v>0</v>
      </c>
      <c r="G44" s="1865">
        <f ca="1">F44*H44</f>
        <v>0</v>
      </c>
      <c r="H44" s="1150">
        <f ca="1">IFERROR(1*VLOOKUP(B44,'Envelope Assumptions'!$CI$3:$CJ$17,2,FALSE),MIN(40%,$K44))</f>
        <v>0</v>
      </c>
      <c r="I44" s="1865">
        <f ca="1">SUMIF($B$34:$C$40,B44,$I$34:$I$40)</f>
        <v>0</v>
      </c>
      <c r="J44" s="1865">
        <f ca="1">SUMIF($B$34:$C$40,B44,$J$34:$J$40)</f>
        <v>0</v>
      </c>
      <c r="K44" s="1340">
        <f ca="1">IFERROR(J44/I44,0)</f>
        <v>0</v>
      </c>
      <c r="L44" s="1372"/>
      <c r="M44" s="3421"/>
      <c r="N44" s="3422"/>
      <c r="O44" s="1943"/>
      <c r="P44" s="351"/>
      <c r="Q44" s="351"/>
      <c r="R44" s="351"/>
      <c r="S44" s="42"/>
      <c r="T44" s="1"/>
      <c r="U44" s="42"/>
      <c r="V44" s="42"/>
      <c r="W44" s="42"/>
      <c r="X44" s="42"/>
      <c r="Y44" s="42"/>
      <c r="Z44" s="42"/>
      <c r="AA44" s="42"/>
      <c r="AB44" s="42"/>
      <c r="AC44" s="42"/>
      <c r="AD44" s="42"/>
      <c r="AE44" s="42"/>
      <c r="AH44" s="1802"/>
    </row>
    <row r="45" spans="1:34" s="347" customFormat="1" ht="20.25" customHeight="1" x14ac:dyDescent="0.25">
      <c r="A45" s="304"/>
      <c r="B45" s="3428" t="s">
        <v>3040</v>
      </c>
      <c r="C45" s="3450"/>
      <c r="D45" s="3429"/>
      <c r="E45" s="1371"/>
      <c r="F45" s="1350">
        <f ca="1">SUM(F41:F44)</f>
        <v>0</v>
      </c>
      <c r="G45" s="1865">
        <f ca="1">SUM(G41:G44)</f>
        <v>0</v>
      </c>
      <c r="H45" s="1150" t="str">
        <f ca="1">IFERROR(G45/F45,"-")</f>
        <v>-</v>
      </c>
      <c r="I45" s="1350">
        <f ca="1">SUM(I41:I44)</f>
        <v>0</v>
      </c>
      <c r="J45" s="1865">
        <f ca="1">SUM(J41:J44)</f>
        <v>0</v>
      </c>
      <c r="K45" s="1150" t="str">
        <f ca="1">IFERROR(J45/I45,"-")</f>
        <v>-</v>
      </c>
      <c r="L45" s="1372"/>
      <c r="M45" s="3421"/>
      <c r="N45" s="3422"/>
      <c r="O45" s="1943"/>
      <c r="P45" s="351"/>
      <c r="Q45" s="351"/>
      <c r="R45" s="351"/>
      <c r="S45" s="42"/>
      <c r="T45" s="1"/>
      <c r="U45" s="42"/>
      <c r="V45" s="42"/>
      <c r="W45" s="42"/>
      <c r="X45" s="42"/>
      <c r="Y45" s="42"/>
      <c r="Z45" s="42"/>
      <c r="AA45" s="42"/>
      <c r="AB45" s="42"/>
      <c r="AC45" s="42"/>
      <c r="AD45" s="42"/>
      <c r="AE45" s="42"/>
      <c r="AH45" s="1802"/>
    </row>
    <row r="46" spans="1:34" s="347" customFormat="1" ht="20.25" customHeight="1" x14ac:dyDescent="0.25">
      <c r="A46" s="304"/>
      <c r="B46" s="3460" t="s">
        <v>342</v>
      </c>
      <c r="C46" s="3460"/>
      <c r="D46" s="3461"/>
      <c r="E46" s="1371"/>
      <c r="F46" s="3457" t="str">
        <f>CONCATENATE("Roof Area
",IF(SI_IP_Units="IP"," (sq ft)"," (sq m)"))</f>
        <v>Roof Area
 (sq ft)</v>
      </c>
      <c r="G46" s="3395" t="s">
        <v>24</v>
      </c>
      <c r="H46" s="3395"/>
      <c r="I46" s="3395" t="str">
        <f>CONCATENATE("Roof Area
",IF(SI_IP_Units="IP"," (sq ft)"," (sq m)"))</f>
        <v>Roof Area
 (sq ft)</v>
      </c>
      <c r="J46" s="3395" t="s">
        <v>24</v>
      </c>
      <c r="K46" s="3456"/>
      <c r="L46" s="1372"/>
      <c r="M46" s="351"/>
      <c r="N46" s="351"/>
      <c r="O46" s="1511"/>
      <c r="P46" s="351"/>
      <c r="Q46" s="351"/>
      <c r="R46" s="351"/>
      <c r="S46" s="42"/>
      <c r="T46" s="1"/>
      <c r="U46" s="42"/>
      <c r="V46" s="42"/>
      <c r="W46" s="42"/>
      <c r="X46" s="42"/>
      <c r="Y46" s="42"/>
      <c r="Z46" s="42"/>
      <c r="AA46" s="42"/>
      <c r="AB46" s="42"/>
      <c r="AC46" s="42"/>
      <c r="AD46" s="42"/>
      <c r="AE46" s="42"/>
      <c r="AH46" s="1521"/>
    </row>
    <row r="47" spans="1:34" s="347" customFormat="1" ht="20.25" customHeight="1" x14ac:dyDescent="0.25">
      <c r="A47" s="304"/>
      <c r="B47" s="3460"/>
      <c r="C47" s="3460"/>
      <c r="D47" s="3461"/>
      <c r="E47" s="1371"/>
      <c r="F47" s="3457"/>
      <c r="G47" s="1491" t="str">
        <f>IF(SI_IP_Units="IP"," (sq ft)"," (sq m)")</f>
        <v xml:space="preserve"> (sq ft)</v>
      </c>
      <c r="H47" s="1491" t="s">
        <v>17</v>
      </c>
      <c r="I47" s="3395"/>
      <c r="J47" s="1491" t="str">
        <f>IF(SI_IP_Units="IP"," (sq ft)"," (sq m)")</f>
        <v xml:space="preserve"> (sq ft)</v>
      </c>
      <c r="K47" s="1503" t="s">
        <v>17</v>
      </c>
      <c r="L47" s="1372"/>
      <c r="M47" s="351"/>
      <c r="N47" s="351"/>
      <c r="O47" s="1511"/>
      <c r="P47" s="351"/>
      <c r="Q47" s="351"/>
      <c r="R47" s="351"/>
      <c r="S47" s="42"/>
      <c r="T47" s="1"/>
      <c r="U47" s="42"/>
      <c r="V47" s="42"/>
      <c r="W47" s="42"/>
      <c r="X47" s="42"/>
      <c r="Y47" s="42"/>
      <c r="Z47" s="42"/>
      <c r="AA47" s="42"/>
      <c r="AB47" s="42"/>
      <c r="AC47" s="42"/>
      <c r="AD47" s="42"/>
      <c r="AE47" s="42"/>
      <c r="AH47" s="1521"/>
    </row>
    <row r="48" spans="1:34" s="347" customFormat="1" ht="17.25" customHeight="1" x14ac:dyDescent="0.25">
      <c r="A48" s="304"/>
      <c r="B48" s="3460"/>
      <c r="C48" s="3460"/>
      <c r="D48" s="3461"/>
      <c r="E48" s="1371"/>
      <c r="F48" s="1348" t="s">
        <v>2209</v>
      </c>
      <c r="G48" s="1349" t="str">
        <f>IF(J48="","-",(MIN(J48,(0.05*I48))))</f>
        <v>-</v>
      </c>
      <c r="H48" s="1200" t="str">
        <f>IFERROR(G48/I48,"-")</f>
        <v>-</v>
      </c>
      <c r="I48" s="1515"/>
      <c r="J48" s="1515"/>
      <c r="K48" s="1340">
        <f>IFERROR(J48/I48,0)</f>
        <v>0</v>
      </c>
      <c r="L48" s="1372"/>
      <c r="M48" s="351"/>
      <c r="N48" s="351"/>
      <c r="O48" s="1511"/>
      <c r="P48" s="351"/>
      <c r="Q48" s="351"/>
      <c r="R48" s="351"/>
      <c r="S48" s="42"/>
      <c r="T48" s="1"/>
      <c r="U48" s="42"/>
      <c r="V48" s="42"/>
      <c r="W48" s="42"/>
      <c r="X48" s="42"/>
      <c r="Y48" s="42"/>
      <c r="Z48" s="42"/>
      <c r="AA48" s="42"/>
      <c r="AB48" s="42"/>
      <c r="AC48" s="42"/>
      <c r="AD48" s="42"/>
      <c r="AE48" s="42"/>
      <c r="AH48" s="1802"/>
    </row>
    <row r="49" spans="1:34" s="347" customFormat="1" ht="17.25" customHeight="1" x14ac:dyDescent="0.25">
      <c r="A49" s="304" t="s">
        <v>1038</v>
      </c>
      <c r="B49" s="3460" t="s">
        <v>1392</v>
      </c>
      <c r="C49" s="3460"/>
      <c r="D49" s="3461"/>
      <c r="E49" s="1371"/>
      <c r="F49" s="1381" t="s">
        <v>1216</v>
      </c>
      <c r="G49" s="1491" t="s">
        <v>1220</v>
      </c>
      <c r="H49" s="1491" t="s">
        <v>348</v>
      </c>
      <c r="I49" s="1491" t="s">
        <v>1216</v>
      </c>
      <c r="J49" s="1491" t="s">
        <v>1220</v>
      </c>
      <c r="K49" s="1503" t="s">
        <v>348</v>
      </c>
      <c r="L49" s="1372"/>
      <c r="M49" s="351"/>
      <c r="N49" s="351"/>
      <c r="O49" s="1511"/>
      <c r="P49" s="351"/>
      <c r="Q49" s="351"/>
      <c r="R49" s="351"/>
      <c r="S49" s="42"/>
      <c r="T49" s="42"/>
      <c r="U49" s="42"/>
      <c r="V49" s="42"/>
      <c r="W49" s="42"/>
      <c r="X49" s="42"/>
      <c r="Y49" s="42"/>
      <c r="Z49" s="42"/>
      <c r="AA49" s="42"/>
      <c r="AB49" s="42"/>
      <c r="AC49" s="42"/>
      <c r="AD49" s="42"/>
      <c r="AE49" s="42"/>
      <c r="AH49" s="1521"/>
    </row>
    <row r="50" spans="1:34" s="347" customFormat="1" ht="28.5" customHeight="1" x14ac:dyDescent="0.25">
      <c r="A50" s="304" t="s">
        <v>1038</v>
      </c>
      <c r="B50" s="3460"/>
      <c r="C50" s="3460"/>
      <c r="D50" s="3461"/>
      <c r="E50" s="1863"/>
      <c r="F50" s="1348" t="s">
        <v>2209</v>
      </c>
      <c r="G50" s="1349" t="s">
        <v>2209</v>
      </c>
      <c r="H50" s="1349" t="s">
        <v>2209</v>
      </c>
      <c r="I50" s="1515"/>
      <c r="J50" s="1515"/>
      <c r="K50" s="1515"/>
      <c r="L50" s="1375"/>
      <c r="M50" s="351"/>
      <c r="N50" s="351"/>
      <c r="O50" s="1511"/>
      <c r="P50" s="351"/>
      <c r="Q50" s="351"/>
      <c r="R50" s="351"/>
      <c r="S50" s="1202" t="e">
        <f ca="1">CONCATENATE(INDEX(MBD_BS_Table,MATCH(OFFSET(S50,-14,-11,1,1),MBD_BS_Index,0),MATCH('1 - Multiple Buildings Details'!$E$22,MBD_BS_Hdr,0))," zones")</f>
        <v>#N/A</v>
      </c>
      <c r="T50" s="1202">
        <f t="array" ref="T50">SUM(IFERROR(VALUE(IF(ISNUMBER(F50:H50),F50:H50,IFERROR(LEFT(F50:H50,IFERROR(FIND("to",F50:H50)-1,"")),""))),""))+SUM(IFERROR(FIND("&gt;100",F50:H50)*100,""))</f>
        <v>0</v>
      </c>
      <c r="U50" s="42"/>
      <c r="V50" s="42"/>
      <c r="W50" s="42"/>
      <c r="X50" s="42"/>
      <c r="Y50" s="42"/>
      <c r="Z50" s="42"/>
      <c r="AA50" s="42"/>
      <c r="AB50" s="42"/>
      <c r="AC50" s="42"/>
      <c r="AD50" s="42"/>
      <c r="AE50" s="42"/>
      <c r="AH50" s="1802"/>
    </row>
    <row r="51" spans="1:34" s="347" customFormat="1" ht="53.25" customHeight="1" x14ac:dyDescent="0.25">
      <c r="A51" s="304"/>
      <c r="B51" s="3486"/>
      <c r="C51" s="3486"/>
      <c r="D51" s="3486"/>
      <c r="E51" s="3487"/>
      <c r="F51" s="3486"/>
      <c r="G51" s="3486"/>
      <c r="H51" s="3486"/>
      <c r="I51" s="3486"/>
      <c r="J51" s="3486"/>
      <c r="K51" s="3486"/>
      <c r="L51" s="3487"/>
      <c r="M51" s="42"/>
      <c r="N51" s="42"/>
      <c r="O51" s="32"/>
      <c r="P51" s="382"/>
      <c r="Q51" s="382"/>
      <c r="R51" s="382"/>
      <c r="S51" s="826"/>
      <c r="T51" s="826"/>
      <c r="U51" s="42"/>
      <c r="V51" s="42"/>
      <c r="W51" s="42"/>
      <c r="X51" s="42"/>
      <c r="Y51" s="42"/>
      <c r="Z51" s="42"/>
      <c r="AA51" s="42"/>
      <c r="AB51" s="42"/>
      <c r="AC51" s="42"/>
      <c r="AD51" s="42"/>
      <c r="AE51" s="42"/>
      <c r="AH51" s="1521"/>
    </row>
    <row r="52" spans="1:34" s="347" customFormat="1" ht="21" customHeight="1" x14ac:dyDescent="0.25">
      <c r="A52" s="304"/>
      <c r="B52" s="3433" t="str">
        <f>"Baseline Vertical Glazing"&amp;"-"&amp;'General Information'!$H$49</f>
        <v>Baseline Vertical Glazing-</v>
      </c>
      <c r="C52" s="3433"/>
      <c r="D52" s="3433"/>
      <c r="E52" s="3433"/>
      <c r="F52" s="3433"/>
      <c r="G52" s="3433"/>
      <c r="H52" s="3433"/>
      <c r="I52" s="3433"/>
      <c r="J52" s="3433"/>
      <c r="K52" s="3433"/>
      <c r="L52" s="3433"/>
      <c r="M52" s="351"/>
      <c r="N52" s="42"/>
      <c r="O52" s="32"/>
      <c r="P52" s="382"/>
      <c r="Q52" s="382"/>
      <c r="R52" s="382"/>
      <c r="S52" s="826"/>
      <c r="T52" s="826"/>
      <c r="U52" s="42"/>
      <c r="V52" s="42"/>
      <c r="W52" s="42"/>
      <c r="X52" s="42"/>
      <c r="Y52" s="42"/>
      <c r="Z52" s="42"/>
      <c r="AA52" s="42"/>
      <c r="AB52" s="42"/>
      <c r="AC52" s="42"/>
      <c r="AD52" s="42"/>
      <c r="AE52" s="42"/>
      <c r="AH52" s="1521"/>
    </row>
    <row r="53" spans="1:34" s="347" customFormat="1" ht="42" customHeight="1" x14ac:dyDescent="0.25">
      <c r="A53" s="304"/>
      <c r="B53" s="3395" t="s">
        <v>2095</v>
      </c>
      <c r="C53" s="3395"/>
      <c r="D53" s="1491" t="s">
        <v>2983</v>
      </c>
      <c r="E53" s="3395" t="s">
        <v>2210</v>
      </c>
      <c r="F53" s="3446"/>
      <c r="G53" s="3446"/>
      <c r="H53" s="3446"/>
      <c r="I53" s="3446"/>
      <c r="J53" s="3446"/>
      <c r="K53" s="3446"/>
      <c r="L53" s="3446"/>
      <c r="M53" s="351"/>
      <c r="N53" s="806"/>
      <c r="O53" s="1175"/>
      <c r="P53" s="1011"/>
      <c r="Q53" s="1011"/>
      <c r="R53" s="1011"/>
      <c r="S53" s="42"/>
      <c r="T53" s="826"/>
      <c r="U53" s="826"/>
      <c r="V53" s="42"/>
      <c r="W53" s="42"/>
      <c r="X53" s="42"/>
      <c r="Y53" s="42"/>
      <c r="Z53" s="42"/>
      <c r="AA53" s="42"/>
      <c r="AB53" s="42"/>
      <c r="AC53" s="42"/>
      <c r="AD53" s="42"/>
      <c r="AE53" s="42"/>
      <c r="AH53" s="1521"/>
    </row>
    <row r="54" spans="1:34" s="347" customFormat="1" ht="28.5" customHeight="1" x14ac:dyDescent="0.25">
      <c r="A54" s="304"/>
      <c r="B54" s="3445" t="str">
        <f ca="1">IFERROR($H$45,"-")</f>
        <v>-</v>
      </c>
      <c r="C54" s="3445"/>
      <c r="D54" s="2259"/>
      <c r="E54" s="3447"/>
      <c r="F54" s="3448"/>
      <c r="G54" s="3448"/>
      <c r="H54" s="3448"/>
      <c r="I54" s="3448"/>
      <c r="J54" s="3448"/>
      <c r="K54" s="3448"/>
      <c r="L54" s="3449"/>
      <c r="M54" s="351"/>
      <c r="N54" s="806"/>
      <c r="O54" s="1594"/>
      <c r="P54" s="1595"/>
      <c r="Q54" s="1595"/>
      <c r="R54" s="1595"/>
      <c r="S54" s="42"/>
      <c r="T54" s="826"/>
      <c r="U54" s="826"/>
      <c r="V54" s="42"/>
      <c r="W54" s="42"/>
      <c r="X54" s="42"/>
      <c r="Y54" s="42"/>
      <c r="Z54" s="42"/>
      <c r="AA54" s="42"/>
      <c r="AB54" s="42"/>
      <c r="AC54" s="42"/>
      <c r="AD54" s="42"/>
      <c r="AE54" s="42"/>
      <c r="AH54" s="1802"/>
    </row>
    <row r="55" spans="1:34" s="347" customFormat="1" ht="15" customHeight="1" x14ac:dyDescent="0.25">
      <c r="A55" s="304"/>
      <c r="B55" s="32"/>
      <c r="C55" s="32"/>
      <c r="D55" s="32"/>
      <c r="E55" s="32"/>
      <c r="F55" s="824"/>
      <c r="G55" s="824"/>
      <c r="H55" s="824"/>
      <c r="I55" s="825"/>
      <c r="J55" s="825"/>
      <c r="K55" s="825"/>
      <c r="L55" s="42"/>
      <c r="M55" s="891"/>
      <c r="N55" s="997"/>
      <c r="O55" s="997"/>
      <c r="P55" s="1010"/>
      <c r="Q55" s="1010"/>
      <c r="R55" s="1010"/>
      <c r="S55" s="826"/>
      <c r="T55" s="826"/>
      <c r="U55" s="42"/>
      <c r="V55" s="42"/>
      <c r="W55" s="42"/>
      <c r="X55" s="42"/>
      <c r="Y55" s="42"/>
      <c r="Z55" s="42"/>
      <c r="AA55" s="42"/>
      <c r="AB55" s="42"/>
      <c r="AC55" s="42"/>
      <c r="AD55" s="42"/>
      <c r="AE55" s="42"/>
      <c r="AH55" s="1521"/>
    </row>
    <row r="56" spans="1:34" s="42" customFormat="1" ht="21" customHeight="1" x14ac:dyDescent="0.25">
      <c r="A56" s="675" t="s">
        <v>1038</v>
      </c>
      <c r="B56" s="3479" t="s">
        <v>1590</v>
      </c>
      <c r="C56" s="3479"/>
      <c r="D56" s="3479"/>
      <c r="E56" s="3479"/>
      <c r="F56" s="3479"/>
      <c r="G56" s="3479"/>
      <c r="H56" s="3479"/>
      <c r="I56" s="3479"/>
      <c r="J56" s="3479"/>
      <c r="K56" s="3479"/>
      <c r="L56" s="676"/>
      <c r="M56" s="167"/>
      <c r="N56" s="997"/>
      <c r="O56" s="998"/>
      <c r="P56" s="1012"/>
      <c r="Q56" s="1012"/>
      <c r="R56" s="1012"/>
      <c r="S56" s="676"/>
      <c r="AH56" s="33"/>
    </row>
    <row r="57" spans="1:34" s="347" customFormat="1" ht="15" customHeight="1" x14ac:dyDescent="0.25">
      <c r="A57" s="304"/>
      <c r="B57" s="3476"/>
      <c r="C57" s="3477"/>
      <c r="D57" s="3477"/>
      <c r="E57" s="3477"/>
      <c r="F57" s="3477"/>
      <c r="G57" s="3477"/>
      <c r="H57" s="3477"/>
      <c r="I57" s="3477"/>
      <c r="J57" s="3477"/>
      <c r="K57" s="3477"/>
      <c r="L57" s="3478"/>
      <c r="M57" s="167"/>
      <c r="N57" s="1594"/>
      <c r="O57" s="1594"/>
      <c r="P57" s="1595"/>
      <c r="Q57" s="1595"/>
      <c r="R57" s="1595"/>
      <c r="S57" s="1203" t="s">
        <v>15</v>
      </c>
      <c r="T57" s="1204">
        <f>MAX(T48:T56)</f>
        <v>0</v>
      </c>
      <c r="U57" s="1202" t="b">
        <f>IF(COUNTIF(U48:U56,TRUE)&gt;0,TRUE,FALSE)</f>
        <v>0</v>
      </c>
      <c r="V57" s="42"/>
      <c r="W57" s="42"/>
      <c r="X57" s="42"/>
      <c r="Y57" s="42"/>
      <c r="Z57" s="42"/>
      <c r="AA57" s="42"/>
      <c r="AB57" s="42"/>
      <c r="AC57" s="42"/>
      <c r="AD57" s="42"/>
      <c r="AE57" s="42"/>
      <c r="AH57" s="1802"/>
    </row>
    <row r="58" spans="1:34" s="347" customFormat="1" ht="30.75" customHeight="1" x14ac:dyDescent="0.25">
      <c r="A58" s="304"/>
      <c r="B58" s="3480" t="str">
        <f>IF(IFERROR(FIND("*",B57),FALSE),"* Please ensure that the site plan provided for the Project Information forms clearly indicate the constraints to comply with Table G3.1.5 (a) (baseline) Exception 1","")</f>
        <v/>
      </c>
      <c r="C58" s="3480"/>
      <c r="D58" s="3480"/>
      <c r="E58" s="3480"/>
      <c r="F58" s="3480"/>
      <c r="G58" s="3480"/>
      <c r="H58" s="3480"/>
      <c r="I58" s="3480"/>
      <c r="J58" s="3480"/>
      <c r="K58" s="1504"/>
      <c r="L58" s="14"/>
      <c r="M58" s="644"/>
      <c r="N58" s="644"/>
      <c r="O58" s="1162"/>
      <c r="P58" s="644"/>
      <c r="Q58" s="644"/>
      <c r="R58" s="644"/>
      <c r="S58" s="1205"/>
      <c r="T58" s="1205"/>
      <c r="U58" s="42"/>
      <c r="V58" s="42"/>
      <c r="W58" s="42"/>
      <c r="X58" s="42"/>
      <c r="Y58" s="42"/>
      <c r="Z58" s="42"/>
      <c r="AA58" s="42"/>
      <c r="AB58" s="42"/>
      <c r="AC58" s="42"/>
      <c r="AD58" s="42"/>
      <c r="AE58" s="42"/>
      <c r="AH58" s="1521"/>
    </row>
    <row r="59" spans="1:34" s="347" customFormat="1" ht="9" customHeight="1" x14ac:dyDescent="0.25">
      <c r="A59" s="304"/>
      <c r="B59" s="1504"/>
      <c r="C59" s="1504"/>
      <c r="D59" s="1504"/>
      <c r="E59" s="1504"/>
      <c r="F59" s="1504"/>
      <c r="G59" s="1504"/>
      <c r="H59" s="1504"/>
      <c r="I59" s="1504"/>
      <c r="J59" s="1504"/>
      <c r="K59" s="1504"/>
      <c r="L59" s="14"/>
      <c r="M59" s="644"/>
      <c r="N59" s="644"/>
      <c r="O59" s="1162"/>
      <c r="P59" s="644"/>
      <c r="Q59" s="644"/>
      <c r="R59" s="644"/>
      <c r="S59" s="1205"/>
      <c r="T59" s="1205"/>
      <c r="U59" s="42"/>
      <c r="V59" s="42"/>
      <c r="W59" s="42"/>
      <c r="X59" s="42"/>
      <c r="Y59" s="42"/>
      <c r="Z59" s="42"/>
      <c r="AA59" s="42"/>
      <c r="AB59" s="42"/>
      <c r="AC59" s="42"/>
      <c r="AD59" s="42"/>
      <c r="AE59" s="42"/>
      <c r="AH59" s="1521"/>
    </row>
    <row r="60" spans="1:34" s="347" customFormat="1" ht="25.5" customHeight="1" x14ac:dyDescent="0.25">
      <c r="A60" s="304"/>
      <c r="B60" s="1504"/>
      <c r="C60" s="1504"/>
      <c r="D60" s="1504"/>
      <c r="E60" s="1504"/>
      <c r="F60" s="370"/>
      <c r="G60" s="370"/>
      <c r="H60" s="1504"/>
      <c r="I60" s="1504"/>
      <c r="J60" s="1504"/>
      <c r="K60" s="1504"/>
      <c r="L60" s="14"/>
      <c r="M60" s="644"/>
      <c r="N60" s="644"/>
      <c r="O60" s="1162"/>
      <c r="P60" s="644"/>
      <c r="Q60" s="644"/>
      <c r="R60" s="644"/>
      <c r="S60" s="1205"/>
      <c r="T60" s="1205"/>
      <c r="U60" s="42"/>
      <c r="V60" s="42"/>
      <c r="W60" s="42"/>
      <c r="X60" s="42"/>
      <c r="Y60" s="42"/>
      <c r="Z60" s="42"/>
      <c r="AA60" s="42"/>
      <c r="AB60" s="42"/>
      <c r="AC60" s="42"/>
      <c r="AD60" s="42"/>
      <c r="AE60" s="42"/>
      <c r="AH60" s="1521"/>
    </row>
    <row r="61" spans="1:34" s="347" customFormat="1" ht="9" customHeight="1" x14ac:dyDescent="0.25">
      <c r="A61" s="304"/>
      <c r="B61" s="1504"/>
      <c r="C61" s="1504"/>
      <c r="D61" s="1504"/>
      <c r="E61" s="1504"/>
      <c r="F61" s="1504"/>
      <c r="G61" s="1504"/>
      <c r="H61" s="1504"/>
      <c r="I61" s="1504"/>
      <c r="J61" s="1504"/>
      <c r="K61" s="1504"/>
      <c r="L61" s="14"/>
      <c r="M61" s="644"/>
      <c r="N61" s="644"/>
      <c r="O61" s="1162"/>
      <c r="P61" s="644"/>
      <c r="Q61" s="644"/>
      <c r="R61" s="644"/>
      <c r="S61" s="1205"/>
      <c r="T61" s="1205"/>
      <c r="U61" s="42"/>
      <c r="V61" s="42"/>
      <c r="W61" s="42"/>
      <c r="X61" s="42"/>
      <c r="Y61" s="42"/>
      <c r="Z61" s="42"/>
      <c r="AA61" s="42"/>
      <c r="AB61" s="42"/>
      <c r="AC61" s="42"/>
      <c r="AD61" s="42"/>
      <c r="AE61" s="42"/>
      <c r="AH61" s="1521"/>
    </row>
    <row r="62" spans="1:34" s="347" customFormat="1" ht="30" customHeight="1" x14ac:dyDescent="0.25">
      <c r="A62" s="304" t="s">
        <v>1038</v>
      </c>
      <c r="B62" s="196" t="s">
        <v>235</v>
      </c>
      <c r="C62" s="9"/>
      <c r="D62" s="9"/>
      <c r="E62" s="9"/>
      <c r="F62" s="9"/>
      <c r="G62" s="9"/>
      <c r="H62" s="9"/>
      <c r="I62" s="9"/>
      <c r="J62" s="9"/>
      <c r="K62" s="9"/>
      <c r="M62" s="351"/>
      <c r="N62" s="351"/>
      <c r="O62" s="1511"/>
      <c r="P62" s="351"/>
      <c r="Q62" s="351"/>
      <c r="R62" s="351"/>
      <c r="S62" s="42"/>
      <c r="T62" s="42"/>
      <c r="U62" s="42"/>
      <c r="V62" s="42"/>
      <c r="W62" s="42"/>
      <c r="X62" s="42"/>
      <c r="Y62" s="42"/>
      <c r="Z62" s="42"/>
      <c r="AA62" s="42"/>
      <c r="AB62" s="42"/>
      <c r="AC62" s="42"/>
      <c r="AD62" s="42"/>
      <c r="AE62" s="42"/>
      <c r="AH62" s="1521"/>
    </row>
    <row r="63" spans="1:34" s="347" customFormat="1" ht="41.25" customHeight="1" x14ac:dyDescent="0.25">
      <c r="A63" s="304" t="s">
        <v>1038</v>
      </c>
      <c r="B63" s="3444" t="s">
        <v>920</v>
      </c>
      <c r="C63" s="3444"/>
      <c r="D63" s="3444"/>
      <c r="E63" s="3444"/>
      <c r="F63" s="3444"/>
      <c r="G63" s="3444"/>
      <c r="H63" s="3444"/>
      <c r="I63" s="3444"/>
      <c r="J63" s="3444"/>
      <c r="K63" s="3444"/>
      <c r="L63" s="14"/>
      <c r="M63" s="644"/>
      <c r="N63" s="644"/>
      <c r="O63" s="1162"/>
      <c r="P63" s="644"/>
      <c r="Q63" s="644"/>
      <c r="R63" s="644"/>
      <c r="S63" s="1205"/>
      <c r="T63" s="1205"/>
      <c r="U63" s="42"/>
      <c r="V63" s="42"/>
      <c r="W63" s="42"/>
      <c r="X63" s="42"/>
      <c r="Y63" s="42"/>
      <c r="Z63" s="42"/>
      <c r="AA63" s="42"/>
      <c r="AB63" s="42"/>
      <c r="AC63" s="42"/>
      <c r="AD63" s="42"/>
      <c r="AE63" s="42"/>
      <c r="AH63" s="1521"/>
    </row>
    <row r="64" spans="1:34" s="347" customFormat="1" ht="26.25" customHeight="1" x14ac:dyDescent="0.25">
      <c r="A64" s="304" t="s">
        <v>1038</v>
      </c>
      <c r="B64" s="47" t="s">
        <v>2378</v>
      </c>
      <c r="C64" s="9"/>
      <c r="D64" s="9"/>
      <c r="E64" s="9"/>
      <c r="F64" s="9"/>
      <c r="G64" s="9"/>
      <c r="H64" s="9"/>
      <c r="I64" s="9"/>
      <c r="J64" s="9"/>
      <c r="K64" s="9"/>
      <c r="O64" s="351"/>
      <c r="P64" s="351"/>
      <c r="Q64" s="1511"/>
      <c r="R64" s="351"/>
      <c r="S64" s="42"/>
      <c r="T64" s="42"/>
      <c r="U64" s="42"/>
      <c r="V64" s="42"/>
      <c r="W64" s="42"/>
      <c r="X64" s="42"/>
      <c r="Y64" s="42"/>
      <c r="Z64" s="42"/>
      <c r="AA64" s="42"/>
      <c r="AB64" s="42"/>
      <c r="AC64" s="42"/>
      <c r="AD64" s="42"/>
      <c r="AE64" s="42"/>
      <c r="AH64" s="1521"/>
    </row>
    <row r="65" spans="1:35" s="347" customFormat="1" ht="17.7" customHeight="1" x14ac:dyDescent="0.25">
      <c r="A65" s="304" t="s">
        <v>1038</v>
      </c>
      <c r="B65" s="3430" t="s">
        <v>244</v>
      </c>
      <c r="C65" s="3431"/>
      <c r="D65" s="3432"/>
      <c r="E65" s="1376"/>
      <c r="F65" s="3465" t="str">
        <f>"Baseline"&amp;"-"&amp;'General Information'!$H$49</f>
        <v>Baseline-</v>
      </c>
      <c r="G65" s="3466"/>
      <c r="H65" s="3466"/>
      <c r="I65" s="3430" t="s">
        <v>2682</v>
      </c>
      <c r="J65" s="3431"/>
      <c r="K65" s="3431"/>
      <c r="L65" s="3431"/>
      <c r="M65" s="3431"/>
      <c r="N65" s="3431"/>
      <c r="O65" s="3432"/>
      <c r="P65" s="1501"/>
      <c r="Q65" s="3390" t="str">
        <f>"Prescriptive Requirement of "&amp;'General Information'!H55&amp;" Applicable to App. G Baseline"</f>
        <v>Prescriptive Requirement of ASHRAE 90.1-2016 Applicable to App. G Baseline</v>
      </c>
      <c r="R65" s="3390" t="s">
        <v>2544</v>
      </c>
      <c r="S65" s="42"/>
      <c r="T65" s="42"/>
      <c r="U65" s="42"/>
      <c r="V65" s="42"/>
      <c r="W65" s="42"/>
      <c r="X65" s="42"/>
      <c r="Y65" s="42"/>
      <c r="Z65" s="42"/>
      <c r="AA65" s="42"/>
      <c r="AB65" s="42"/>
      <c r="AC65" s="42"/>
      <c r="AD65" s="42"/>
      <c r="AE65" s="42"/>
      <c r="AH65" s="1521"/>
    </row>
    <row r="66" spans="1:35" s="347" customFormat="1" ht="39.450000000000003" customHeight="1" x14ac:dyDescent="0.25">
      <c r="A66" s="304" t="s">
        <v>1038</v>
      </c>
      <c r="B66" s="3434" t="s">
        <v>1087</v>
      </c>
      <c r="C66" s="3434" t="s">
        <v>245</v>
      </c>
      <c r="D66" s="3434" t="s">
        <v>19</v>
      </c>
      <c r="E66" s="1377"/>
      <c r="F66" s="1381" t="s">
        <v>2</v>
      </c>
      <c r="G66" s="1491" t="s">
        <v>1567</v>
      </c>
      <c r="H66" s="1491" t="s">
        <v>8</v>
      </c>
      <c r="I66" s="1491" t="s">
        <v>2736</v>
      </c>
      <c r="J66" s="1491" t="s">
        <v>2</v>
      </c>
      <c r="K66" s="1491" t="s">
        <v>246</v>
      </c>
      <c r="L66" s="1491" t="s">
        <v>8</v>
      </c>
      <c r="M66" s="1503" t="s">
        <v>9</v>
      </c>
      <c r="N66" s="1503" t="s">
        <v>2609</v>
      </c>
      <c r="O66" s="1503" t="s">
        <v>2610</v>
      </c>
      <c r="P66" s="1402"/>
      <c r="Q66" s="3391"/>
      <c r="R66" s="3391"/>
      <c r="S66" s="42"/>
      <c r="T66" s="42"/>
      <c r="U66" s="42"/>
      <c r="V66" s="42"/>
      <c r="W66" s="42"/>
      <c r="X66" s="42"/>
      <c r="Y66" s="42"/>
      <c r="Z66" s="42"/>
      <c r="AA66" s="42"/>
      <c r="AB66" s="42"/>
      <c r="AC66" s="42"/>
      <c r="AD66" s="42"/>
      <c r="AE66" s="42"/>
      <c r="AH66" s="1521"/>
    </row>
    <row r="67" spans="1:35" s="347" customFormat="1" ht="123.75" customHeight="1" x14ac:dyDescent="0.25">
      <c r="A67" s="304" t="s">
        <v>1038</v>
      </c>
      <c r="B67" s="3435"/>
      <c r="C67" s="3435"/>
      <c r="D67" s="3435"/>
      <c r="E67" s="1374"/>
      <c r="F67" s="3427" t="s">
        <v>2281</v>
      </c>
      <c r="G67" s="3453"/>
      <c r="H67" s="3453"/>
      <c r="I67" s="3425" t="s">
        <v>2714</v>
      </c>
      <c r="J67" s="3426"/>
      <c r="K67" s="3426"/>
      <c r="L67" s="3426"/>
      <c r="M67" s="3426"/>
      <c r="N67" s="3426"/>
      <c r="O67" s="3427"/>
      <c r="P67" s="2353"/>
      <c r="Q67" s="2794" t="e">
        <f>"In accordance with Prescriptive Requirements of 90.1-2016 "&amp;INDEX(DropdownData!AW2:AW18,MATCH('General Information'!H53,AshraeClimate,0))</f>
        <v>#N/A</v>
      </c>
      <c r="R67" s="3441"/>
      <c r="S67" s="42"/>
      <c r="T67" s="42"/>
      <c r="U67" s="42"/>
      <c r="V67" s="42"/>
      <c r="W67" s="42"/>
      <c r="X67" s="42"/>
      <c r="Y67" s="42"/>
      <c r="Z67" s="42"/>
      <c r="AA67" s="3452"/>
      <c r="AB67" s="3452"/>
      <c r="AC67" s="32"/>
      <c r="AD67" s="32"/>
      <c r="AE67" s="32"/>
      <c r="AH67" s="1521"/>
    </row>
    <row r="68" spans="1:35" s="347" customFormat="1" ht="51" hidden="1" customHeight="1" x14ac:dyDescent="0.25">
      <c r="A68" s="304" t="s">
        <v>1038</v>
      </c>
      <c r="B68" s="1378" t="str">
        <f>B66</f>
        <v>Building ID</v>
      </c>
      <c r="C68" s="1378" t="str">
        <f>C66</f>
        <v>New or 
Existing Construction</v>
      </c>
      <c r="D68" s="1379" t="str">
        <f>D66</f>
        <v>Space-Conditioning Category</v>
      </c>
      <c r="E68" s="1374"/>
      <c r="F68" s="1380" t="str">
        <f t="shared" ref="F68" si="6">F66</f>
        <v>Description</v>
      </c>
      <c r="G68" s="1378" t="s">
        <v>1574</v>
      </c>
      <c r="H68" s="1378" t="s">
        <v>1573</v>
      </c>
      <c r="J68" s="1378" t="str">
        <f>J66</f>
        <v>Description</v>
      </c>
      <c r="K68" s="1378" t="str">
        <f>K66</f>
        <v>Assembly 
U-factor</v>
      </c>
      <c r="L68" s="1378" t="str">
        <f>L66</f>
        <v>SHGC</v>
      </c>
      <c r="M68" s="1379" t="str">
        <f>M66</f>
        <v>VLT</v>
      </c>
      <c r="N68" s="1379" t="str">
        <f t="shared" ref="N68:O68" si="7">N66</f>
        <v>Area (sf)</v>
      </c>
      <c r="O68" s="1379" t="str">
        <f t="shared" si="7"/>
        <v>Plans / Specs</v>
      </c>
      <c r="P68" s="2780"/>
      <c r="Q68" s="1497" t="s">
        <v>2200</v>
      </c>
      <c r="R68" s="2354"/>
      <c r="S68" s="42"/>
      <c r="T68" s="42"/>
      <c r="U68" s="42"/>
      <c r="V68" s="1015" t="s">
        <v>1564</v>
      </c>
      <c r="W68" s="1015" t="s">
        <v>1572</v>
      </c>
      <c r="X68" s="1015"/>
      <c r="Y68" s="3451" t="s">
        <v>2185</v>
      </c>
      <c r="Z68" s="3451"/>
      <c r="AA68" s="3451" t="s">
        <v>2207</v>
      </c>
      <c r="AB68" s="3451"/>
      <c r="AC68" s="1502"/>
      <c r="AD68" s="1353" t="s">
        <v>2185</v>
      </c>
      <c r="AE68" s="1353" t="s">
        <v>2207</v>
      </c>
      <c r="AH68" s="1521"/>
    </row>
    <row r="69" spans="1:35" s="347" customFormat="1" ht="50.55" customHeight="1" x14ac:dyDescent="0.25">
      <c r="A69" s="303"/>
      <c r="B69" s="1517"/>
      <c r="C69" s="1517"/>
      <c r="D69" s="1522"/>
      <c r="E69" s="1637"/>
      <c r="F69" s="1347"/>
      <c r="G69" s="2102" t="str">
        <f>IF(D69="Unconditioned",K69,IF($T69&lt;&gt;0,$T69,""))</f>
        <v/>
      </c>
      <c r="H69" s="2102" t="str">
        <f>IF(D69="Unconditioned",L69,IF($U69&lt;&gt;0,$U69,""))</f>
        <v/>
      </c>
      <c r="I69" s="1517"/>
      <c r="J69" s="1517"/>
      <c r="K69" s="1939"/>
      <c r="L69" s="1939"/>
      <c r="M69" s="1940"/>
      <c r="N69" s="1892"/>
      <c r="O69" s="1522"/>
      <c r="P69" s="2559"/>
      <c r="Q69" s="2795" t="str">
        <f>IFERROR(IF('General Information'!$R$55=2016,Y69,""),"-")</f>
        <v/>
      </c>
      <c r="R69" s="1347"/>
      <c r="S69" s="1013" t="str">
        <f>D69&amp;F69</f>
        <v/>
      </c>
      <c r="T69" s="1013">
        <f>IFERROR(INDEX('Envelope Assumptions'!$AT$2:$BE$38,MATCH('General Information'!$S$14,'Envelope Assumptions'!$A$2:$A$38,0),MATCH(S69,'Envelope Assumptions'!$AT$2:$BE$2,0)),0)</f>
        <v>0</v>
      </c>
      <c r="U69" s="1014">
        <f>IFERROR(INDEX('Envelope Assumptions'!$BF$2:$BQ$38,MATCH('General Information'!$S$14,'Envelope Assumptions'!$A$2:$A$38,0),MATCH(S69,'Envelope Assumptions'!$BF$2:$BQ$2,0)),0)</f>
        <v>0</v>
      </c>
      <c r="V69" s="1206" t="str">
        <f>IF($C69="Existing","Provide U-Factor",IF($T69&lt;&gt;0,$T69,""))</f>
        <v/>
      </c>
      <c r="W69" s="1206" t="str">
        <f>IF($C69="Existing", "Provide SHGC",IF($U69&lt;&gt;0,$U69,""))</f>
        <v/>
      </c>
      <c r="X69" s="1977" t="str">
        <f>'General Information'!$R$53&amp;"-"&amp;I69</f>
        <v>-</v>
      </c>
      <c r="Y69" s="3454" t="str">
        <f>IF(D69="","",INDEX(Env_Lookup_2013_Windows,MATCH(X69,Env_Lookup_2013_Windows_CZ,0),MATCH(D69,Env_Lookup_2013_Windows_BT,0)))</f>
        <v/>
      </c>
      <c r="Z69" s="3455"/>
      <c r="AA69" s="3454" t="str">
        <f>IF(D69="","",INDEX('Envelope Lookup 90.1-2010'!DI$2:DL$16,MATCH(X69,'Envelope Lookup 90.1-2010'!DI$2:DI$16,0),MATCH(D69,'Envelope Lookup 90.1-2010'!DI$2:DL$2,0)))</f>
        <v/>
      </c>
      <c r="AB69" s="3455"/>
      <c r="AC69" s="1974" t="str">
        <f>D69&amp;" "&amp;I69</f>
        <v xml:space="preserve"> </v>
      </c>
      <c r="AD69" s="1207">
        <f>IFERROR(INDEX('Envelope Lookup 90.1-2013'!$BR$2:$CC$38,MATCH('General Information'!$S$14,'Envelope Lookup 90.1-2013'!$A$2:$A$38,0),MATCH(AC69,'Envelope Lookup 90.1-2013'!$BR$2:$CC$2,0)),0)</f>
        <v>0</v>
      </c>
      <c r="AE69" s="1207">
        <f>IFERROR(INDEX('Envelope Lookup 90.1-2010'!$BR$2:$CC$38,MATCH('General Information'!$S$14,'Envelope Lookup 90.1-2010'!$A$2:$A$38,0),MATCH(AC69,'Envelope Lookup 90.1-2010'!$BR$2:$CC$2,0)),0)</f>
        <v>0</v>
      </c>
      <c r="AF69" s="1596"/>
      <c r="AH69" s="1802"/>
    </row>
    <row r="70" spans="1:35" s="347" customFormat="1" ht="50.55" hidden="1" customHeight="1" x14ac:dyDescent="0.25">
      <c r="A70" s="303" t="s">
        <v>802</v>
      </c>
      <c r="B70" s="1517">
        <f>GI_Project_Name</f>
        <v>0</v>
      </c>
      <c r="C70" s="1517"/>
      <c r="D70" s="1522"/>
      <c r="E70" s="1638"/>
      <c r="F70" s="1347"/>
      <c r="G70" s="2102" t="str">
        <f>IF(D70="Unconditioned",K70,IF($T70&lt;&gt;0,$T70,""))</f>
        <v/>
      </c>
      <c r="H70" s="2102" t="str">
        <f>IF(D70="Unconditioned",L70,IF($U70&lt;&gt;0,$U70,""))</f>
        <v/>
      </c>
      <c r="I70" s="1517"/>
      <c r="J70" s="1517"/>
      <c r="K70" s="1939"/>
      <c r="L70" s="1939"/>
      <c r="M70" s="1940"/>
      <c r="N70" s="1892"/>
      <c r="O70" s="1522"/>
      <c r="P70" s="1638"/>
      <c r="Q70" s="2560" t="b">
        <f>IFERROR(IF('General Information'!$R$55=2013,Y70,IF('General Information'!$R$55=2010,AA70,IF('General Information'!$R$55=2007,"Not Supported"))),"-")</f>
        <v>0</v>
      </c>
      <c r="R70" s="1498"/>
      <c r="S70" s="1013" t="str">
        <f>D70&amp;F70</f>
        <v/>
      </c>
      <c r="T70" s="1013">
        <f>IFERROR(INDEX('Envelope Assumptions'!$AT$2:$BE$38,MATCH('General Information'!$S$14,'Envelope Assumptions'!$A$2:$A$38,0),MATCH(S70,'Envelope Assumptions'!$AT$2:$BE$2,0)),0)</f>
        <v>0</v>
      </c>
      <c r="U70" s="1014">
        <f>IFERROR(INDEX('Envelope Assumptions'!$BF$2:$BQ$38,MATCH('General Information'!$S$14,'Envelope Assumptions'!$A$2:$A$38,0),MATCH(S70,'Envelope Assumptions'!$BF$2:$BQ$2,0)),0)</f>
        <v>0</v>
      </c>
      <c r="V70" s="1206" t="str">
        <f>IF($C70="Existing","Provide U-Factor",IF($T70&lt;&gt;0,$T70,""))</f>
        <v/>
      </c>
      <c r="W70" s="1206" t="str">
        <f>IF($C70="Existing", "Provide SHGC",IF($U70&lt;&gt;0,$U70,""))</f>
        <v/>
      </c>
      <c r="X70" s="1977" t="str">
        <f>'General Information'!$R$53&amp;"-"&amp;I70</f>
        <v>-</v>
      </c>
      <c r="Y70" s="3454" t="str">
        <f>IF(D70="","",INDEX(Env_Lookup_2013_Windows,MATCH(X70,Env_Lookup_2013_Windows_CZ,0),MATCH(D70,Env_Lookup_2013_Windows_BT,0)))</f>
        <v/>
      </c>
      <c r="Z70" s="3455"/>
      <c r="AA70" s="3454" t="str">
        <f>IF(D70="","",INDEX('Envelope Lookup 90.1-2010'!DI$2:DL$16,MATCH(X70,'Envelope Lookup 90.1-2010'!DI$2:DI$16,0),MATCH(D70,'Envelope Lookup 90.1-2010'!DI$2:DL$2,0)))</f>
        <v/>
      </c>
      <c r="AB70" s="3455"/>
      <c r="AC70" s="1974" t="str">
        <f>D70&amp;" "&amp;I70</f>
        <v xml:space="preserve"> </v>
      </c>
      <c r="AD70" s="1207">
        <f>IFERROR(INDEX('Envelope Lookup 90.1-2013'!$BR$2:$CC$38,MATCH('General Information'!$S$14,'Envelope Lookup 90.1-2013'!$A$2:$A$38,0),MATCH(AC70,'Envelope Lookup 90.1-2013'!$BR$2:$CC$2,0)),0)</f>
        <v>0</v>
      </c>
      <c r="AE70" s="1207">
        <f>IFERROR(INDEX('Envelope Lookup 90.1-2010'!$BR$2:$CC$38,MATCH('General Information'!$S$14,'Envelope Lookup 90.1-2010'!$A$2:$A$38,0),MATCH(AC70,'Envelope Lookup 90.1-2010'!$BR$2:$CC$2,0)),0)</f>
        <v>0</v>
      </c>
      <c r="AH70" s="1802"/>
    </row>
    <row r="71" spans="1:35" s="339" customFormat="1" ht="48.45" customHeight="1" x14ac:dyDescent="0.25">
      <c r="A71" s="304" t="s">
        <v>1038</v>
      </c>
      <c r="G71" s="1941"/>
      <c r="H71" s="1941"/>
      <c r="K71" s="1941"/>
      <c r="L71" s="1941"/>
      <c r="M71" s="1941"/>
      <c r="N71" s="2103"/>
      <c r="P71" s="390"/>
      <c r="Q71" s="390"/>
      <c r="R71" s="952"/>
      <c r="S71" s="1"/>
      <c r="T71" s="1"/>
      <c r="U71" s="1"/>
      <c r="V71" s="1"/>
      <c r="W71" s="42"/>
      <c r="X71" s="42"/>
      <c r="Y71" s="42"/>
      <c r="Z71" s="42"/>
      <c r="AA71" s="42"/>
      <c r="AB71" s="42"/>
      <c r="AC71" s="42"/>
      <c r="AD71" s="42"/>
      <c r="AE71" s="42"/>
      <c r="AF71" s="347"/>
      <c r="AG71" s="347"/>
      <c r="AH71" s="1521"/>
      <c r="AI71" s="347"/>
    </row>
    <row r="72" spans="1:35" s="339" customFormat="1" ht="15.45" customHeight="1" x14ac:dyDescent="0.25">
      <c r="A72" s="304" t="s">
        <v>1038</v>
      </c>
      <c r="O72" s="390"/>
      <c r="P72" s="390"/>
      <c r="Q72" s="952"/>
      <c r="R72" s="390"/>
      <c r="S72" s="1"/>
      <c r="T72" s="1"/>
      <c r="U72" s="1"/>
      <c r="V72" s="1"/>
      <c r="W72" s="891"/>
      <c r="X72" s="891"/>
      <c r="Y72" s="891"/>
      <c r="Z72" s="891"/>
      <c r="AA72" s="891"/>
      <c r="AB72" s="891"/>
      <c r="AC72" s="891"/>
      <c r="AD72" s="891"/>
      <c r="AE72" s="891"/>
      <c r="AF72" s="6"/>
      <c r="AG72" s="6"/>
      <c r="AH72" s="36"/>
      <c r="AI72" s="6"/>
    </row>
    <row r="73" spans="1:35" s="347" customFormat="1" ht="26.25" customHeight="1" x14ac:dyDescent="0.25">
      <c r="A73" s="304" t="s">
        <v>1038</v>
      </c>
      <c r="B73" s="49" t="s">
        <v>2379</v>
      </c>
      <c r="C73" s="17"/>
      <c r="D73" s="17"/>
      <c r="E73" s="9"/>
      <c r="F73" s="17"/>
      <c r="G73" s="17"/>
      <c r="H73" s="17"/>
      <c r="I73" s="17"/>
      <c r="J73" s="17"/>
      <c r="K73" s="17"/>
      <c r="O73" s="351"/>
      <c r="P73" s="351"/>
      <c r="Q73" s="1511"/>
      <c r="R73" s="351"/>
      <c r="S73" s="42"/>
      <c r="T73" s="42"/>
      <c r="U73" s="42"/>
      <c r="V73" s="42"/>
      <c r="W73" s="42"/>
      <c r="X73" s="42"/>
      <c r="Y73" s="42"/>
      <c r="Z73" s="42"/>
      <c r="AA73" s="42"/>
      <c r="AB73" s="42"/>
      <c r="AC73" s="42"/>
      <c r="AD73" s="42"/>
      <c r="AE73" s="42"/>
      <c r="AH73" s="1521"/>
    </row>
    <row r="74" spans="1:35" s="347" customFormat="1" ht="19.95" customHeight="1" x14ac:dyDescent="0.25">
      <c r="A74" s="304" t="s">
        <v>1038</v>
      </c>
      <c r="B74" s="3433" t="s">
        <v>244</v>
      </c>
      <c r="C74" s="3433"/>
      <c r="D74" s="3430"/>
      <c r="E74" s="1376"/>
      <c r="F74" s="3465" t="str">
        <f>"Baseline"&amp;"-"&amp;'General Information'!$H$49</f>
        <v>Baseline-</v>
      </c>
      <c r="G74" s="3466"/>
      <c r="H74" s="3466"/>
      <c r="I74" s="3430" t="s">
        <v>2682</v>
      </c>
      <c r="J74" s="3431"/>
      <c r="K74" s="3431"/>
      <c r="L74" s="3431"/>
      <c r="M74" s="3431"/>
      <c r="N74" s="3431"/>
      <c r="O74" s="3432"/>
      <c r="P74" s="1501"/>
      <c r="Q74" s="3390" t="str">
        <f>"Prescriptive Requirement of "&amp;'General Information'!H55&amp;" Applicable to App. G Baseline"</f>
        <v>Prescriptive Requirement of ASHRAE 90.1-2016 Applicable to App. G Baseline</v>
      </c>
      <c r="R74" s="3390" t="s">
        <v>2544</v>
      </c>
      <c r="S74" s="42"/>
      <c r="T74" s="42"/>
      <c r="U74" s="42"/>
      <c r="V74" s="42"/>
      <c r="W74" s="42"/>
      <c r="X74" s="42"/>
      <c r="Y74" s="42"/>
      <c r="Z74" s="42"/>
      <c r="AA74" s="42"/>
      <c r="AB74" s="42"/>
      <c r="AC74" s="42"/>
      <c r="AD74" s="42"/>
      <c r="AE74" s="42"/>
      <c r="AH74" s="1521"/>
    </row>
    <row r="75" spans="1:35" s="347" customFormat="1" ht="38.25" customHeight="1" x14ac:dyDescent="0.25">
      <c r="A75" s="304" t="s">
        <v>1038</v>
      </c>
      <c r="B75" s="3434" t="s">
        <v>1087</v>
      </c>
      <c r="C75" s="3434" t="s">
        <v>245</v>
      </c>
      <c r="D75" s="3436" t="s">
        <v>19</v>
      </c>
      <c r="E75" s="1377"/>
      <c r="F75" s="1381" t="s">
        <v>2</v>
      </c>
      <c r="G75" s="1491" t="s">
        <v>246</v>
      </c>
      <c r="H75" s="1491" t="s">
        <v>8</v>
      </c>
      <c r="I75" s="3456" t="s">
        <v>2</v>
      </c>
      <c r="J75" s="3457"/>
      <c r="K75" s="1491" t="s">
        <v>246</v>
      </c>
      <c r="L75" s="1491" t="s">
        <v>8</v>
      </c>
      <c r="M75" s="1503" t="s">
        <v>9</v>
      </c>
      <c r="N75" s="1503" t="s">
        <v>2609</v>
      </c>
      <c r="O75" s="1503" t="s">
        <v>2610</v>
      </c>
      <c r="P75" s="1402"/>
      <c r="Q75" s="3391"/>
      <c r="R75" s="3391"/>
      <c r="S75" s="42"/>
      <c r="T75" s="42"/>
      <c r="U75" s="42"/>
      <c r="V75" s="42"/>
      <c r="W75" s="42"/>
      <c r="X75" s="42"/>
      <c r="Y75" s="42"/>
      <c r="Z75" s="42"/>
      <c r="AA75" s="42"/>
      <c r="AB75" s="42"/>
      <c r="AC75" s="42"/>
      <c r="AD75" s="42"/>
      <c r="AE75" s="42"/>
      <c r="AH75" s="1521"/>
    </row>
    <row r="76" spans="1:35" s="347" customFormat="1" ht="132.75" customHeight="1" x14ac:dyDescent="0.25">
      <c r="A76" s="304" t="s">
        <v>1038</v>
      </c>
      <c r="B76" s="3435"/>
      <c r="C76" s="3435"/>
      <c r="D76" s="3437"/>
      <c r="E76" s="1374"/>
      <c r="F76" s="3427" t="s">
        <v>2282</v>
      </c>
      <c r="G76" s="3453"/>
      <c r="H76" s="3453"/>
      <c r="I76" s="3425" t="s">
        <v>2715</v>
      </c>
      <c r="J76" s="3426"/>
      <c r="K76" s="3426"/>
      <c r="L76" s="3426"/>
      <c r="M76" s="3426"/>
      <c r="N76" s="3426"/>
      <c r="O76" s="3427"/>
      <c r="P76" s="2353"/>
      <c r="Q76" s="2794" t="e">
        <f>"In accordance with Prescriptive Requirements of 90.1-2016 "&amp;INDEX(DropdownData!AW2:AW18,MATCH('General Information'!H53,AshraeClimate,0))</f>
        <v>#N/A</v>
      </c>
      <c r="R76" s="3441"/>
      <c r="S76" s="42"/>
      <c r="T76" s="42"/>
      <c r="U76" s="42"/>
      <c r="V76" s="42"/>
      <c r="W76" s="42"/>
      <c r="X76" s="42"/>
      <c r="Y76" s="42"/>
      <c r="Z76" s="42"/>
      <c r="AA76" s="3452"/>
      <c r="AB76" s="3452"/>
      <c r="AC76" s="32"/>
      <c r="AD76" s="32"/>
      <c r="AE76" s="32"/>
      <c r="AH76" s="1521"/>
    </row>
    <row r="77" spans="1:35" s="347" customFormat="1" ht="33.75" hidden="1" customHeight="1" x14ac:dyDescent="0.25">
      <c r="A77" s="304" t="s">
        <v>1038</v>
      </c>
      <c r="B77" s="1378" t="str">
        <f>B75</f>
        <v>Building ID</v>
      </c>
      <c r="C77" s="1378" t="str">
        <f>C75</f>
        <v>New or 
Existing Construction</v>
      </c>
      <c r="D77" s="1379" t="str">
        <f>D75</f>
        <v>Space-Conditioning Category</v>
      </c>
      <c r="E77" s="1371"/>
      <c r="F77" s="1380" t="s">
        <v>1565</v>
      </c>
      <c r="G77" s="1378" t="s">
        <v>1574</v>
      </c>
      <c r="H77" s="1378" t="s">
        <v>1573</v>
      </c>
      <c r="J77" s="1378" t="s">
        <v>1566</v>
      </c>
      <c r="K77" s="1378" t="str">
        <f>K75</f>
        <v>Assembly 
U-factor</v>
      </c>
      <c r="L77" s="1378" t="str">
        <f>L75</f>
        <v>SHGC</v>
      </c>
      <c r="M77" s="1379" t="str">
        <f>M75</f>
        <v>VLT</v>
      </c>
      <c r="N77" s="1379" t="str">
        <f>N75</f>
        <v>Area (sf)</v>
      </c>
      <c r="O77" s="1379" t="str">
        <f>O75</f>
        <v>Plans / Specs</v>
      </c>
      <c r="P77" s="2780"/>
      <c r="Q77" s="1497" t="s">
        <v>2200</v>
      </c>
      <c r="R77" s="2354"/>
      <c r="S77" s="42"/>
      <c r="T77" s="42"/>
      <c r="U77" s="42"/>
      <c r="V77" s="1015" t="s">
        <v>1564</v>
      </c>
      <c r="W77" s="1015" t="s">
        <v>1572</v>
      </c>
      <c r="X77" s="42"/>
      <c r="Y77" s="3451" t="s">
        <v>2185</v>
      </c>
      <c r="Z77" s="3451"/>
      <c r="AA77" s="3451" t="s">
        <v>2207</v>
      </c>
      <c r="AB77" s="3451"/>
      <c r="AC77" s="32"/>
      <c r="AD77" s="891"/>
      <c r="AE77" s="891"/>
      <c r="AH77" s="1521"/>
    </row>
    <row r="78" spans="1:35" s="347" customFormat="1" ht="50.55" customHeight="1" x14ac:dyDescent="0.25">
      <c r="A78" s="303"/>
      <c r="B78" s="1517"/>
      <c r="C78" s="1517"/>
      <c r="D78" s="1522"/>
      <c r="E78" s="1638"/>
      <c r="F78" s="1347"/>
      <c r="G78" s="2102" t="str">
        <f>IF(D78="Unconditioned",K78,IF($T78&lt;&gt;0,$T78,""))</f>
        <v/>
      </c>
      <c r="H78" s="2102" t="str">
        <f>IF(D78="Unconditioned",L78,IF($U78&lt;&gt;0,$U78,""))</f>
        <v/>
      </c>
      <c r="I78" s="3423"/>
      <c r="J78" s="3424"/>
      <c r="K78" s="1939"/>
      <c r="L78" s="1939"/>
      <c r="M78" s="1940"/>
      <c r="N78" s="1892"/>
      <c r="O78" s="1522"/>
      <c r="P78" s="2559"/>
      <c r="Q78" s="2795" t="str">
        <f>IF('General Information'!$R$55=2007,"Not Supported",IF(D78="Unconditioned","-",IF('General Information'!$R$55=2016,IF(AND($Y78&lt;&gt;0,$Z78&lt;&gt;0),"U-"&amp;$Y78&amp;", SHGC-"&amp;$Z78,""),IF(AND($AA78&lt;&gt;0,$AB78&lt;&gt;0),"U-"&amp;$AA78&amp;", SHGC-"&amp;$AB78,""))))</f>
        <v/>
      </c>
      <c r="R78" s="1347"/>
      <c r="S78" s="1013" t="str">
        <f>D78&amp;F78</f>
        <v/>
      </c>
      <c r="T78" s="1013">
        <f>IFERROR(INDEX('Envelope Assumptions'!$BR$2:$BW$38,MATCH('General Information'!$S$14,'Envelope Assumptions'!$A$2:$A$38,0),MATCH(S78,'Envelope Assumptions'!$BR$2:$BW$2,0)),0)</f>
        <v>0</v>
      </c>
      <c r="U78" s="1013">
        <f>IFERROR(INDEX('Envelope Assumptions'!$BX$2:$CC$38,MATCH('General Information'!$S$14,'Envelope Assumptions'!$A$2:$A$38,0),MATCH(S78,'Envelope Assumptions'!$BX$2:$CC$2,0)),0)</f>
        <v>0</v>
      </c>
      <c r="V78" s="1206" t="str">
        <f>IF($C78="Existing","Provide U-Factor",IF($T78&lt;&gt;0,$T78,""))</f>
        <v/>
      </c>
      <c r="W78" s="1206" t="str">
        <f>IF($C78="Existing", "Provide SHGC",IF($U78&lt;&gt;0,$U78,""))</f>
        <v/>
      </c>
      <c r="X78" s="42"/>
      <c r="Y78" s="1207">
        <f>IFERROR(INDEX('Envelope Lookup 90.1-2013'!$CP$2:$CU$38,MATCH('General Information'!$S$14,'Envelope Lookup 90.1-2013'!$A$2:$A$38,0),MATCH(S78,'Envelope Lookup 90.1-2013'!$CP$2:$CU$2,0)),0)</f>
        <v>0</v>
      </c>
      <c r="Z78" s="1207">
        <f>IFERROR(INDEX('Envelope Lookup 90.1-2013'!$CV$2:$DA$38,MATCH('General Information'!$S$14,'Envelope Lookup 90.1-2013'!$A$2:$A$38,0),MATCH(S78,'Envelope Lookup 90.1-2013'!$CV$2:$DA$2,0)),0)</f>
        <v>0</v>
      </c>
      <c r="AA78" s="1207">
        <f>IFERROR(INDEX('Envelope Lookup 90.1-2010'!$CP$2:$CU$38,MATCH('General Information'!$S$14,'Envelope Lookup 90.1-2010'!$A$2:$A$38,0),MATCH(S78,'Envelope Lookup 90.1-2010'!$CP$2:$CU$2,0)),0)</f>
        <v>0</v>
      </c>
      <c r="AB78" s="1207">
        <f>IFERROR(INDEX('Envelope Lookup 90.1-2010'!$CV$2:$DA$38,MATCH('General Information'!$S$14,'Envelope Lookup 90.1-2010'!$A$2:$A$38,0),MATCH(S78,'Envelope Lookup 90.1-2010'!$CV$2:$DA$2,0)),0)</f>
        <v>0</v>
      </c>
      <c r="AC78" s="32"/>
      <c r="AD78" s="42"/>
      <c r="AE78" s="42"/>
      <c r="AH78" s="1802"/>
    </row>
    <row r="79" spans="1:35" s="347" customFormat="1" ht="50.55" hidden="1" customHeight="1" x14ac:dyDescent="0.25">
      <c r="A79" s="303" t="s">
        <v>803</v>
      </c>
      <c r="B79" s="1517">
        <f>GI_Project_Name</f>
        <v>0</v>
      </c>
      <c r="C79" s="1517"/>
      <c r="D79" s="1522"/>
      <c r="E79" s="1637"/>
      <c r="F79" s="1347" t="str">
        <f>IF(D79="Unconditioned",J79,"")</f>
        <v/>
      </c>
      <c r="G79" s="2102" t="str">
        <f>IF(D79="Unconditioned",K79,IF($T79&lt;&gt;0,$T79,""))</f>
        <v/>
      </c>
      <c r="H79" s="2102" t="str">
        <f>IF(D79="Unconditioned",L79,IF($U79&lt;&gt;0,$U79,""))</f>
        <v/>
      </c>
      <c r="I79" s="3423"/>
      <c r="J79" s="3424"/>
      <c r="K79" s="1939"/>
      <c r="L79" s="1939"/>
      <c r="M79" s="1940"/>
      <c r="N79" s="1892"/>
      <c r="O79" s="1522"/>
      <c r="P79" s="1637"/>
      <c r="Q79" s="2560" t="str">
        <f>IF('General Information'!$R$55=2007,"Not Supported",IF(D79="Unconditioned","-",IF('General Information'!$R$55=2013,IF(AND($Y79&lt;&gt;0,$Z79&lt;&gt;0),"U-"&amp;$Y79&amp;", SHGC-"&amp;$Z79,""),IF(AND($AA79&lt;&gt;0,$AB79&lt;&gt;0),"U-"&amp;$AA79&amp;", SHGC-"&amp;$AB79,""))))</f>
        <v/>
      </c>
      <c r="R79" s="1498"/>
      <c r="S79" s="1013" t="str">
        <f>D79&amp;F79</f>
        <v/>
      </c>
      <c r="T79" s="1013">
        <f>IFERROR(INDEX('Envelope Assumptions'!$BR$2:$BW$38,MATCH('General Information'!$S$14,'Envelope Assumptions'!$A$2:$A$38,0),MATCH(S79,'Envelope Assumptions'!$BR$2:$BW$2,0)),0)</f>
        <v>0</v>
      </c>
      <c r="U79" s="1013">
        <f>IFERROR(INDEX('Envelope Assumptions'!$BX$2:$CC$38,MATCH('General Information'!$S$14,'Envelope Assumptions'!$A$2:$A$38,0),MATCH(S79,'Envelope Assumptions'!$BX$2:$CC$2,0)),0)</f>
        <v>0</v>
      </c>
      <c r="V79" s="1206" t="str">
        <f>IF($C79="Existing","Provide U-Factor",IF($T79&lt;&gt;0,$T79,""))</f>
        <v/>
      </c>
      <c r="W79" s="1206" t="str">
        <f>IF($C79="Existing", "Provide SHGC",IF($U79&lt;&gt;0,$U79,""))</f>
        <v/>
      </c>
      <c r="X79" s="42"/>
      <c r="Y79" s="1207">
        <f>IFERROR(INDEX('Envelope Lookup 90.1-2013'!$CP$2:$CU$38,MATCH('General Information'!$S$14,'Envelope Lookup 90.1-2013'!$A$2:$A$38,0),MATCH(S79,'Envelope Lookup 90.1-2013'!$CP$2:$CU$2,0)),0)</f>
        <v>0</v>
      </c>
      <c r="Z79" s="1207">
        <f>IFERROR(INDEX('Envelope Lookup 90.1-2013'!$CV$2:$DA$38,MATCH('General Information'!$S$14,'Envelope Lookup 90.1-2013'!$A$2:$A$38,0),MATCH(S79,'Envelope Lookup 90.1-2013'!$CV$2:$DA$2,0)),0)</f>
        <v>0</v>
      </c>
      <c r="AA79" s="1207">
        <f>IFERROR(INDEX('Envelope Lookup 90.1-2010'!$CP$2:$CU$38,MATCH('General Information'!$S$14,'Envelope Lookup 90.1-2010'!$A$2:$A$38,0),MATCH(S79,'Envelope Lookup 90.1-2010'!$CP$2:$CU$2,0)),0)</f>
        <v>0</v>
      </c>
      <c r="AB79" s="1207">
        <f>IFERROR(INDEX('Envelope Lookup 90.1-2010'!$CV$2:$DA$38,MATCH('General Information'!$S$14,'Envelope Lookup 90.1-2010'!$A$2:$A$38,0),MATCH(S79,'Envelope Lookup 90.1-2010'!$CV$2:$DA$2,0)),0)</f>
        <v>0</v>
      </c>
      <c r="AC79" s="32"/>
      <c r="AD79" s="42"/>
      <c r="AE79" s="42"/>
      <c r="AH79" s="1802"/>
    </row>
    <row r="80" spans="1:35" s="339" customFormat="1" ht="53.25" customHeight="1" x14ac:dyDescent="0.25">
      <c r="A80" s="304" t="s">
        <v>1038</v>
      </c>
      <c r="G80" s="1941"/>
      <c r="H80" s="1941"/>
      <c r="K80" s="1941"/>
      <c r="L80" s="1941"/>
      <c r="M80" s="1941"/>
      <c r="N80" s="2104"/>
      <c r="P80" s="390"/>
      <c r="Q80" s="390"/>
      <c r="R80" s="952"/>
      <c r="S80" s="1"/>
      <c r="T80" s="1"/>
      <c r="U80" s="1"/>
      <c r="V80" s="1"/>
      <c r="W80" s="42"/>
      <c r="X80" s="42"/>
      <c r="Y80" s="42"/>
      <c r="Z80" s="42"/>
      <c r="AA80" s="42"/>
      <c r="AB80" s="42"/>
      <c r="AC80" s="42"/>
      <c r="AD80" s="42"/>
      <c r="AE80" s="42"/>
      <c r="AF80" s="347"/>
      <c r="AG80" s="347"/>
      <c r="AH80" s="1521"/>
      <c r="AI80" s="347"/>
    </row>
    <row r="81" spans="1:38" s="347" customFormat="1" ht="20.25" customHeight="1" x14ac:dyDescent="0.25">
      <c r="A81" s="304" t="s">
        <v>1038</v>
      </c>
      <c r="B81" s="36"/>
      <c r="C81" s="36"/>
      <c r="D81" s="36"/>
      <c r="E81" s="36"/>
      <c r="F81" s="36"/>
      <c r="G81" s="36"/>
      <c r="H81" s="36"/>
      <c r="I81" s="36"/>
      <c r="J81" s="36"/>
      <c r="K81" s="36"/>
      <c r="M81" s="351"/>
      <c r="N81" s="351"/>
      <c r="O81" s="1511"/>
      <c r="P81" s="351"/>
      <c r="Q81" s="351"/>
      <c r="R81" s="351"/>
      <c r="S81" s="42"/>
      <c r="T81" s="42"/>
      <c r="U81" s="42"/>
      <c r="V81" s="42"/>
      <c r="W81" s="42"/>
      <c r="X81" s="42"/>
      <c r="Y81" s="42"/>
      <c r="Z81" s="42"/>
      <c r="AA81" s="42"/>
      <c r="AB81" s="42"/>
      <c r="AC81" s="42"/>
      <c r="AD81" s="42"/>
      <c r="AE81" s="42"/>
      <c r="AH81" s="1521"/>
    </row>
    <row r="82" spans="1:38" s="347" customFormat="1" ht="20.25" customHeight="1" x14ac:dyDescent="0.25">
      <c r="A82" s="304" t="s">
        <v>1038</v>
      </c>
      <c r="B82" s="396" t="s">
        <v>20</v>
      </c>
      <c r="C82" s="396"/>
      <c r="D82" s="396"/>
      <c r="E82" s="396"/>
      <c r="F82" s="396"/>
      <c r="G82" s="396"/>
      <c r="H82" s="396"/>
      <c r="I82" s="396"/>
      <c r="J82" s="396"/>
      <c r="K82" s="396"/>
      <c r="M82" s="351"/>
      <c r="N82" s="351"/>
      <c r="O82" s="1511"/>
      <c r="P82" s="351"/>
      <c r="Q82" s="351"/>
      <c r="R82" s="351"/>
      <c r="S82" s="42"/>
      <c r="T82" s="42"/>
      <c r="U82" s="42"/>
      <c r="V82" s="42"/>
      <c r="W82" s="42"/>
      <c r="X82" s="42"/>
      <c r="Y82" s="42"/>
      <c r="Z82" s="42"/>
      <c r="AA82" s="42"/>
      <c r="AB82" s="42"/>
      <c r="AC82" s="42"/>
      <c r="AD82" s="42"/>
      <c r="AE82" s="42"/>
      <c r="AH82" s="1521"/>
    </row>
    <row r="83" spans="1:38" s="347" customFormat="1" ht="21" customHeight="1" x14ac:dyDescent="0.25">
      <c r="A83" s="304" t="s">
        <v>1038</v>
      </c>
      <c r="B83" s="3458"/>
      <c r="C83" s="3459"/>
      <c r="D83" s="3459"/>
      <c r="E83" s="3459"/>
      <c r="F83" s="3459"/>
      <c r="G83" s="3459"/>
      <c r="H83" s="3459"/>
      <c r="I83" s="3459"/>
      <c r="J83" s="3459"/>
      <c r="K83" s="3459"/>
      <c r="L83" s="3459"/>
      <c r="M83" s="351"/>
      <c r="N83" s="351"/>
      <c r="O83" s="1511"/>
      <c r="P83" s="351"/>
      <c r="Q83" s="351"/>
      <c r="R83" s="351"/>
      <c r="S83" s="42"/>
      <c r="T83" s="42"/>
      <c r="U83" s="42"/>
      <c r="V83" s="42"/>
      <c r="W83" s="42"/>
      <c r="X83" s="42"/>
      <c r="Y83" s="42"/>
      <c r="Z83" s="42"/>
      <c r="AA83" s="42"/>
      <c r="AB83" s="42"/>
      <c r="AC83" s="42"/>
      <c r="AD83" s="42"/>
      <c r="AE83" s="42"/>
      <c r="AH83" s="1521"/>
    </row>
    <row r="84" spans="1:38" s="347" customFormat="1" x14ac:dyDescent="0.25">
      <c r="C84" s="1511"/>
      <c r="D84" s="1511"/>
      <c r="F84" s="1511"/>
      <c r="G84" s="1511"/>
      <c r="I84" s="1511"/>
      <c r="J84" s="1511"/>
      <c r="K84" s="1511"/>
      <c r="M84" s="351"/>
      <c r="N84" s="351"/>
      <c r="O84" s="1511"/>
      <c r="P84" s="351"/>
      <c r="Q84" s="351"/>
      <c r="R84" s="351"/>
      <c r="S84" s="42"/>
      <c r="T84" s="42"/>
      <c r="U84" s="42"/>
      <c r="V84" s="42"/>
      <c r="W84" s="42"/>
      <c r="X84" s="42"/>
      <c r="Y84" s="42"/>
      <c r="Z84" s="42"/>
      <c r="AA84" s="42"/>
      <c r="AB84" s="42"/>
      <c r="AC84" s="42"/>
      <c r="AD84" s="42"/>
      <c r="AE84" s="42"/>
      <c r="AH84" s="1521"/>
    </row>
    <row r="85" spans="1:38" s="347" customFormat="1" hidden="1" x14ac:dyDescent="0.25">
      <c r="B85" s="1511"/>
      <c r="C85" s="1511"/>
      <c r="D85" s="1511"/>
      <c r="F85" s="1511"/>
      <c r="G85" s="1511"/>
      <c r="I85" s="1511"/>
      <c r="J85" s="1511"/>
      <c r="K85" s="1511"/>
      <c r="M85" s="351"/>
      <c r="N85" s="351"/>
      <c r="O85" s="1511"/>
      <c r="P85" s="351"/>
      <c r="Q85" s="351"/>
      <c r="R85" s="351"/>
      <c r="S85" s="42"/>
      <c r="T85" s="42"/>
      <c r="U85" s="42"/>
      <c r="V85" s="42"/>
      <c r="W85" s="42"/>
      <c r="X85" s="42"/>
      <c r="Y85" s="42"/>
      <c r="Z85" s="42"/>
      <c r="AA85" s="42"/>
      <c r="AB85" s="42"/>
      <c r="AC85" s="42"/>
      <c r="AD85" s="42"/>
      <c r="AE85" s="42"/>
      <c r="AH85" s="1521"/>
    </row>
    <row r="86" spans="1:38" s="1511" customFormat="1" hidden="1" x14ac:dyDescent="0.25">
      <c r="A86" s="347"/>
      <c r="E86" s="347"/>
      <c r="H86" s="352" t="s">
        <v>25</v>
      </c>
      <c r="L86" s="347"/>
      <c r="M86" s="351"/>
      <c r="N86" s="351"/>
      <c r="P86" s="351"/>
      <c r="Q86" s="351"/>
      <c r="R86" s="351"/>
      <c r="S86" s="42"/>
      <c r="T86" s="42"/>
      <c r="U86" s="42"/>
      <c r="V86" s="42"/>
      <c r="W86" s="42"/>
      <c r="X86" s="42"/>
      <c r="Y86" s="42"/>
      <c r="Z86" s="42"/>
      <c r="AA86" s="42"/>
      <c r="AB86" s="42"/>
      <c r="AC86" s="42"/>
      <c r="AD86" s="42"/>
      <c r="AE86" s="42"/>
      <c r="AF86" s="347"/>
      <c r="AG86" s="347"/>
      <c r="AH86" s="1521"/>
      <c r="AI86" s="347"/>
      <c r="AJ86" s="347"/>
      <c r="AK86" s="347"/>
      <c r="AL86" s="347"/>
    </row>
    <row r="87" spans="1:38" s="1511" customFormat="1" hidden="1" x14ac:dyDescent="0.25">
      <c r="E87" s="347"/>
      <c r="H87" s="352" t="s">
        <v>28</v>
      </c>
      <c r="M87" s="353"/>
      <c r="N87" s="353"/>
      <c r="P87" s="353"/>
      <c r="Q87" s="353"/>
      <c r="R87" s="353"/>
      <c r="S87" s="32"/>
      <c r="T87" s="32"/>
      <c r="U87" s="32"/>
      <c r="V87" s="32"/>
      <c r="W87" s="32"/>
      <c r="X87" s="32"/>
      <c r="Y87" s="32"/>
      <c r="Z87" s="32"/>
      <c r="AA87" s="32"/>
      <c r="AB87" s="32"/>
      <c r="AC87" s="32"/>
      <c r="AD87" s="32"/>
      <c r="AE87" s="32"/>
      <c r="AH87" s="1521"/>
    </row>
    <row r="88" spans="1:38" s="1511" customFormat="1" hidden="1" x14ac:dyDescent="0.25">
      <c r="E88" s="347"/>
      <c r="H88" s="352" t="s">
        <v>26</v>
      </c>
      <c r="M88" s="353"/>
      <c r="N88" s="353"/>
      <c r="P88" s="353"/>
      <c r="Q88" s="353"/>
      <c r="R88" s="353"/>
      <c r="S88" s="32"/>
      <c r="T88" s="32"/>
      <c r="U88" s="32"/>
      <c r="V88" s="32"/>
      <c r="W88" s="32"/>
      <c r="X88" s="32"/>
      <c r="Y88" s="32"/>
      <c r="Z88" s="32"/>
      <c r="AA88" s="32"/>
      <c r="AB88" s="32"/>
      <c r="AC88" s="32"/>
      <c r="AD88" s="32"/>
      <c r="AE88" s="32"/>
      <c r="AH88" s="1521"/>
    </row>
    <row r="89" spans="1:38" s="1511" customFormat="1" hidden="1" x14ac:dyDescent="0.25">
      <c r="E89" s="347"/>
      <c r="H89" s="352" t="s">
        <v>27</v>
      </c>
      <c r="M89" s="353"/>
      <c r="N89" s="353"/>
      <c r="P89" s="353"/>
      <c r="Q89" s="353"/>
      <c r="R89" s="353"/>
      <c r="S89" s="32"/>
      <c r="T89" s="32"/>
      <c r="U89" s="32"/>
      <c r="V89" s="32"/>
      <c r="W89" s="32"/>
      <c r="X89" s="32"/>
      <c r="Y89" s="32"/>
      <c r="Z89" s="32"/>
      <c r="AA89" s="32"/>
      <c r="AB89" s="32"/>
      <c r="AC89" s="32"/>
      <c r="AD89" s="32"/>
      <c r="AE89" s="32"/>
      <c r="AH89" s="1521"/>
    </row>
    <row r="90" spans="1:38" s="1511" customFormat="1" hidden="1" x14ac:dyDescent="0.25">
      <c r="E90" s="347"/>
      <c r="H90" s="352" t="s">
        <v>29</v>
      </c>
      <c r="M90" s="353"/>
      <c r="N90" s="353"/>
      <c r="P90" s="353"/>
      <c r="Q90" s="353"/>
      <c r="R90" s="353"/>
      <c r="S90" s="32"/>
      <c r="T90" s="32"/>
      <c r="U90" s="32"/>
      <c r="V90" s="32"/>
      <c r="W90" s="32"/>
      <c r="X90" s="32"/>
      <c r="Y90" s="32"/>
      <c r="Z90" s="32"/>
      <c r="AA90" s="32"/>
      <c r="AB90" s="32"/>
      <c r="AC90" s="32"/>
      <c r="AD90" s="32"/>
      <c r="AE90" s="32"/>
      <c r="AH90" s="1521"/>
    </row>
    <row r="91" spans="1:38" s="1511" customFormat="1" hidden="1" x14ac:dyDescent="0.25">
      <c r="E91" s="347"/>
      <c r="H91" s="352" t="s">
        <v>125</v>
      </c>
      <c r="M91" s="353"/>
      <c r="N91" s="353"/>
      <c r="P91" s="353"/>
      <c r="Q91" s="353"/>
      <c r="R91" s="353"/>
      <c r="S91" s="32"/>
      <c r="T91" s="32"/>
      <c r="U91" s="32"/>
      <c r="V91" s="32"/>
      <c r="W91" s="32"/>
      <c r="X91" s="32"/>
      <c r="Y91" s="32"/>
      <c r="Z91" s="32"/>
      <c r="AA91" s="32"/>
      <c r="AB91" s="32"/>
      <c r="AC91" s="32"/>
      <c r="AD91" s="32"/>
      <c r="AE91" s="32"/>
      <c r="AH91" s="1521"/>
    </row>
    <row r="92" spans="1:38" s="1511" customFormat="1" hidden="1" x14ac:dyDescent="0.25">
      <c r="B92" s="352"/>
      <c r="E92" s="347"/>
      <c r="H92" s="347"/>
      <c r="M92" s="353"/>
      <c r="N92" s="353"/>
      <c r="P92" s="353"/>
      <c r="Q92" s="353"/>
      <c r="R92" s="353"/>
      <c r="S92" s="32"/>
      <c r="T92" s="32"/>
      <c r="U92" s="32"/>
      <c r="V92" s="32"/>
      <c r="W92" s="32"/>
      <c r="X92" s="32"/>
      <c r="Y92" s="32"/>
      <c r="Z92" s="32"/>
      <c r="AA92" s="32"/>
      <c r="AB92" s="32"/>
      <c r="AC92" s="32"/>
      <c r="AD92" s="32"/>
      <c r="AE92" s="32"/>
      <c r="AH92" s="1521"/>
    </row>
    <row r="93" spans="1:38" s="347" customFormat="1" x14ac:dyDescent="0.25">
      <c r="B93" s="1511"/>
      <c r="C93" s="1511"/>
      <c r="D93" s="1511"/>
      <c r="F93" s="1511"/>
      <c r="G93" s="1511"/>
      <c r="I93" s="1511"/>
      <c r="J93" s="1511"/>
      <c r="K93" s="1511"/>
      <c r="M93" s="351"/>
      <c r="N93" s="351"/>
      <c r="O93" s="1511"/>
      <c r="P93" s="351"/>
      <c r="Q93" s="351"/>
      <c r="R93" s="351"/>
      <c r="S93" s="42"/>
      <c r="T93" s="42"/>
      <c r="U93" s="42"/>
      <c r="V93" s="42"/>
      <c r="W93" s="42"/>
      <c r="X93" s="42"/>
      <c r="Y93" s="42"/>
      <c r="Z93" s="42"/>
      <c r="AA93" s="42"/>
      <c r="AB93" s="42"/>
      <c r="AC93" s="42"/>
      <c r="AD93" s="42"/>
      <c r="AE93" s="42"/>
      <c r="AH93" s="1521"/>
    </row>
    <row r="94" spans="1:38" s="347" customFormat="1" x14ac:dyDescent="0.25">
      <c r="B94" s="1511"/>
      <c r="C94" s="1511"/>
      <c r="D94" s="1511"/>
      <c r="F94" s="1511"/>
      <c r="G94" s="1511"/>
      <c r="I94" s="1511"/>
      <c r="J94" s="1511"/>
      <c r="K94" s="1511"/>
      <c r="M94" s="351"/>
      <c r="N94" s="351"/>
      <c r="O94" s="1511"/>
      <c r="P94" s="351"/>
      <c r="Q94" s="351"/>
      <c r="R94" s="351"/>
      <c r="S94" s="42"/>
      <c r="T94" s="42"/>
      <c r="U94" s="42"/>
      <c r="V94" s="42"/>
      <c r="W94" s="42"/>
      <c r="X94" s="42"/>
      <c r="Y94" s="42"/>
      <c r="Z94" s="42"/>
      <c r="AA94" s="42"/>
      <c r="AB94" s="42"/>
      <c r="AC94" s="42"/>
      <c r="AD94" s="42"/>
      <c r="AE94" s="42"/>
      <c r="AH94" s="1521"/>
    </row>
    <row r="95" spans="1:38" s="347" customFormat="1" x14ac:dyDescent="0.25">
      <c r="B95" s="1511"/>
      <c r="C95" s="1511"/>
      <c r="D95" s="1511"/>
      <c r="F95" s="1511"/>
      <c r="G95" s="1511"/>
      <c r="I95" s="1511"/>
      <c r="J95" s="1511"/>
      <c r="K95" s="1511"/>
      <c r="M95" s="351"/>
      <c r="N95" s="351"/>
      <c r="O95" s="1511"/>
      <c r="P95" s="351"/>
      <c r="Q95" s="351"/>
      <c r="R95" s="351"/>
      <c r="S95" s="42"/>
      <c r="T95" s="42"/>
      <c r="U95" s="42"/>
      <c r="V95" s="42"/>
      <c r="W95" s="42"/>
      <c r="X95" s="42"/>
      <c r="Y95" s="42"/>
      <c r="Z95" s="42"/>
      <c r="AA95" s="42"/>
      <c r="AB95" s="42"/>
      <c r="AC95" s="42"/>
      <c r="AD95" s="42"/>
      <c r="AE95" s="42"/>
      <c r="AH95" s="1521"/>
    </row>
    <row r="96" spans="1:38" s="347" customFormat="1" x14ac:dyDescent="0.25">
      <c r="B96" s="1511"/>
      <c r="C96" s="1511"/>
      <c r="D96" s="1511"/>
      <c r="F96" s="1511"/>
      <c r="G96" s="1511"/>
      <c r="I96" s="1511"/>
      <c r="J96" s="1511"/>
      <c r="K96" s="1511"/>
      <c r="M96" s="351"/>
      <c r="N96" s="351"/>
      <c r="O96" s="1511"/>
      <c r="P96" s="351"/>
      <c r="Q96" s="351"/>
      <c r="R96" s="351"/>
      <c r="S96" s="42"/>
      <c r="T96" s="42"/>
      <c r="U96" s="42"/>
      <c r="V96" s="42"/>
      <c r="W96" s="42"/>
      <c r="X96" s="42"/>
      <c r="Y96" s="42"/>
      <c r="Z96" s="42"/>
      <c r="AA96" s="42"/>
      <c r="AB96" s="42"/>
      <c r="AC96" s="42"/>
      <c r="AD96" s="42"/>
      <c r="AE96" s="42"/>
      <c r="AH96" s="1521"/>
    </row>
    <row r="97" spans="2:34" s="347" customFormat="1" x14ac:dyDescent="0.25">
      <c r="B97" s="1511"/>
      <c r="C97" s="1511"/>
      <c r="D97" s="1511"/>
      <c r="F97" s="1511"/>
      <c r="G97" s="1511"/>
      <c r="I97" s="1511"/>
      <c r="J97" s="1511"/>
      <c r="K97" s="1511"/>
      <c r="M97" s="351"/>
      <c r="N97" s="351"/>
      <c r="O97" s="1511"/>
      <c r="P97" s="351"/>
      <c r="Q97" s="351"/>
      <c r="R97" s="351"/>
      <c r="S97" s="42"/>
      <c r="T97" s="42"/>
      <c r="U97" s="42"/>
      <c r="V97" s="42"/>
      <c r="W97" s="42"/>
      <c r="X97" s="42"/>
      <c r="Y97" s="42"/>
      <c r="Z97" s="42"/>
      <c r="AA97" s="42"/>
      <c r="AB97" s="42"/>
      <c r="AC97" s="42"/>
      <c r="AD97" s="42"/>
      <c r="AE97" s="42"/>
      <c r="AH97" s="1521"/>
    </row>
    <row r="98" spans="2:34" s="347" customFormat="1" x14ac:dyDescent="0.25">
      <c r="B98" s="1511"/>
      <c r="C98" s="1511"/>
      <c r="D98" s="1511"/>
      <c r="F98" s="1511"/>
      <c r="G98" s="1511"/>
      <c r="I98" s="1511"/>
      <c r="J98" s="1511"/>
      <c r="K98" s="1511"/>
      <c r="M98" s="351"/>
      <c r="N98" s="351"/>
      <c r="O98" s="1511"/>
      <c r="P98" s="351"/>
      <c r="Q98" s="351"/>
      <c r="R98" s="351"/>
      <c r="S98" s="42"/>
      <c r="T98" s="42"/>
      <c r="U98" s="42"/>
      <c r="V98" s="42"/>
      <c r="W98" s="42"/>
      <c r="X98" s="42"/>
      <c r="Y98" s="42"/>
      <c r="Z98" s="42"/>
      <c r="AA98" s="42"/>
      <c r="AB98" s="42"/>
      <c r="AC98" s="42"/>
      <c r="AD98" s="42"/>
      <c r="AE98" s="42"/>
      <c r="AH98" s="1521"/>
    </row>
    <row r="99" spans="2:34" s="347" customFormat="1" x14ac:dyDescent="0.25">
      <c r="B99" s="1511"/>
      <c r="C99" s="1511"/>
      <c r="D99" s="1511"/>
      <c r="F99" s="1511"/>
      <c r="G99" s="1511"/>
      <c r="I99" s="1511"/>
      <c r="J99" s="1511"/>
      <c r="K99" s="1511"/>
      <c r="M99" s="351"/>
      <c r="N99" s="351"/>
      <c r="O99" s="1511"/>
      <c r="P99" s="351"/>
      <c r="Q99" s="351"/>
      <c r="R99" s="351"/>
      <c r="S99" s="42"/>
      <c r="T99" s="42"/>
      <c r="U99" s="42"/>
      <c r="V99" s="42"/>
      <c r="W99" s="42"/>
      <c r="X99" s="42"/>
      <c r="Y99" s="42"/>
      <c r="Z99" s="42"/>
      <c r="AA99" s="42"/>
      <c r="AB99" s="42"/>
      <c r="AC99" s="42"/>
      <c r="AD99" s="42"/>
      <c r="AE99" s="42"/>
      <c r="AH99" s="1521"/>
    </row>
    <row r="100" spans="2:34" s="347" customFormat="1" x14ac:dyDescent="0.25">
      <c r="B100" s="1511"/>
      <c r="C100" s="1511"/>
      <c r="D100" s="1511"/>
      <c r="F100" s="1511"/>
      <c r="G100" s="1511"/>
      <c r="I100" s="1511"/>
      <c r="J100" s="1511"/>
      <c r="K100" s="1511"/>
      <c r="M100" s="351"/>
      <c r="N100" s="351"/>
      <c r="O100" s="1511"/>
      <c r="P100" s="351"/>
      <c r="Q100" s="351"/>
      <c r="R100" s="351"/>
      <c r="S100" s="42"/>
      <c r="T100" s="42"/>
      <c r="U100" s="42"/>
      <c r="V100" s="42"/>
      <c r="W100" s="42"/>
      <c r="X100" s="42"/>
      <c r="Y100" s="42"/>
      <c r="Z100" s="42"/>
      <c r="AA100" s="42"/>
      <c r="AB100" s="42"/>
      <c r="AC100" s="42"/>
      <c r="AD100" s="42"/>
      <c r="AE100" s="42"/>
      <c r="AH100" s="1521"/>
    </row>
    <row r="101" spans="2:34" s="347" customFormat="1" x14ac:dyDescent="0.25">
      <c r="B101" s="1511"/>
      <c r="C101" s="1511"/>
      <c r="D101" s="1511"/>
      <c r="F101" s="1511"/>
      <c r="G101" s="1511"/>
      <c r="I101" s="1511"/>
      <c r="J101" s="1511"/>
      <c r="K101" s="1511"/>
      <c r="M101" s="351"/>
      <c r="N101" s="351"/>
      <c r="O101" s="1511"/>
      <c r="P101" s="351"/>
      <c r="Q101" s="351"/>
      <c r="R101" s="351"/>
      <c r="S101" s="42"/>
      <c r="T101" s="42"/>
      <c r="U101" s="42"/>
      <c r="V101" s="42"/>
      <c r="W101" s="42"/>
      <c r="X101" s="42"/>
      <c r="Y101" s="42"/>
      <c r="Z101" s="42"/>
      <c r="AA101" s="42"/>
      <c r="AB101" s="42"/>
      <c r="AC101" s="42"/>
      <c r="AD101" s="42"/>
      <c r="AE101" s="42"/>
      <c r="AH101" s="1521"/>
    </row>
    <row r="102" spans="2:34" s="347" customFormat="1" x14ac:dyDescent="0.25">
      <c r="B102" s="1511"/>
      <c r="C102" s="1511"/>
      <c r="D102" s="1511"/>
      <c r="F102" s="1511"/>
      <c r="G102" s="1511"/>
      <c r="I102" s="1511"/>
      <c r="J102" s="1511"/>
      <c r="K102" s="1511"/>
      <c r="M102" s="351"/>
      <c r="N102" s="351"/>
      <c r="O102" s="1511"/>
      <c r="P102" s="351"/>
      <c r="Q102" s="351"/>
      <c r="R102" s="351"/>
      <c r="S102" s="42"/>
      <c r="T102" s="42"/>
      <c r="U102" s="42"/>
      <c r="V102" s="42"/>
      <c r="W102" s="42"/>
      <c r="X102" s="42"/>
      <c r="Y102" s="42"/>
      <c r="Z102" s="42"/>
      <c r="AA102" s="42"/>
      <c r="AB102" s="42"/>
      <c r="AC102" s="42"/>
      <c r="AD102" s="42"/>
      <c r="AE102" s="42"/>
      <c r="AH102" s="1521"/>
    </row>
    <row r="103" spans="2:34" s="347" customFormat="1" x14ac:dyDescent="0.25">
      <c r="B103" s="1511"/>
      <c r="C103" s="1511"/>
      <c r="D103" s="1511"/>
      <c r="F103" s="1511"/>
      <c r="G103" s="1511"/>
      <c r="I103" s="1511"/>
      <c r="J103" s="1511"/>
      <c r="K103" s="1511"/>
      <c r="M103" s="351"/>
      <c r="N103" s="351"/>
      <c r="O103" s="1511"/>
      <c r="P103" s="351"/>
      <c r="Q103" s="351"/>
      <c r="R103" s="351"/>
      <c r="S103" s="42"/>
      <c r="T103" s="42"/>
      <c r="U103" s="42"/>
      <c r="V103" s="42"/>
      <c r="W103" s="42"/>
      <c r="X103" s="42"/>
      <c r="Y103" s="42"/>
      <c r="Z103" s="42"/>
      <c r="AA103" s="42"/>
      <c r="AB103" s="42"/>
      <c r="AC103" s="42"/>
      <c r="AD103" s="42"/>
      <c r="AE103" s="42"/>
      <c r="AH103" s="1521"/>
    </row>
    <row r="104" spans="2:34" s="347" customFormat="1" x14ac:dyDescent="0.25">
      <c r="B104" s="1511"/>
      <c r="C104" s="1511"/>
      <c r="D104" s="1511"/>
      <c r="F104" s="1511"/>
      <c r="G104" s="1511"/>
      <c r="I104" s="1511"/>
      <c r="J104" s="1511"/>
      <c r="K104" s="1511"/>
      <c r="M104" s="351"/>
      <c r="N104" s="351"/>
      <c r="O104" s="1511"/>
      <c r="P104" s="351"/>
      <c r="Q104" s="351"/>
      <c r="R104" s="351"/>
      <c r="S104" s="42"/>
      <c r="T104" s="42"/>
      <c r="U104" s="42"/>
      <c r="V104" s="42"/>
      <c r="W104" s="42"/>
      <c r="X104" s="42"/>
      <c r="Y104" s="42"/>
      <c r="Z104" s="42"/>
      <c r="AA104" s="42"/>
      <c r="AB104" s="42"/>
      <c r="AC104" s="42"/>
      <c r="AD104" s="42"/>
      <c r="AE104" s="42"/>
      <c r="AH104" s="1521"/>
    </row>
    <row r="105" spans="2:34" s="347" customFormat="1" x14ac:dyDescent="0.25">
      <c r="B105" s="1511"/>
      <c r="C105" s="1511"/>
      <c r="D105" s="1511"/>
      <c r="F105" s="1511"/>
      <c r="G105" s="1511"/>
      <c r="I105" s="1511"/>
      <c r="J105" s="1511"/>
      <c r="K105" s="1511"/>
      <c r="M105" s="351"/>
      <c r="N105" s="351"/>
      <c r="O105" s="1511"/>
      <c r="P105" s="351"/>
      <c r="Q105" s="351"/>
      <c r="R105" s="351"/>
      <c r="S105" s="42"/>
      <c r="T105" s="42"/>
      <c r="U105" s="42"/>
      <c r="V105" s="42"/>
      <c r="W105" s="42"/>
      <c r="X105" s="42"/>
      <c r="Y105" s="42"/>
      <c r="Z105" s="42"/>
      <c r="AA105" s="42"/>
      <c r="AB105" s="42"/>
      <c r="AC105" s="42"/>
      <c r="AD105" s="42"/>
      <c r="AE105" s="42"/>
      <c r="AH105" s="1521"/>
    </row>
    <row r="106" spans="2:34" s="347" customFormat="1" x14ac:dyDescent="0.25">
      <c r="B106" s="1511"/>
      <c r="C106" s="1511"/>
      <c r="D106" s="1511"/>
      <c r="F106" s="1511"/>
      <c r="G106" s="1511"/>
      <c r="I106" s="1511"/>
      <c r="J106" s="1511"/>
      <c r="K106" s="1511"/>
      <c r="M106" s="351"/>
      <c r="N106" s="351"/>
      <c r="O106" s="1511"/>
      <c r="P106" s="351"/>
      <c r="Q106" s="351"/>
      <c r="R106" s="351"/>
      <c r="S106" s="42"/>
      <c r="T106" s="42"/>
      <c r="U106" s="42"/>
      <c r="V106" s="42"/>
      <c r="W106" s="42"/>
      <c r="X106" s="42"/>
      <c r="Y106" s="42"/>
      <c r="Z106" s="42"/>
      <c r="AA106" s="42"/>
      <c r="AB106" s="42"/>
      <c r="AC106" s="42"/>
      <c r="AD106" s="42"/>
      <c r="AE106" s="42"/>
      <c r="AH106" s="1521"/>
    </row>
    <row r="107" spans="2:34" s="347" customFormat="1" x14ac:dyDescent="0.25">
      <c r="B107" s="1511"/>
      <c r="C107" s="1511"/>
      <c r="D107" s="1511"/>
      <c r="F107" s="1511"/>
      <c r="G107" s="1511"/>
      <c r="I107" s="1511"/>
      <c r="J107" s="1511"/>
      <c r="K107" s="1511"/>
      <c r="M107" s="351"/>
      <c r="N107" s="351"/>
      <c r="O107" s="1511"/>
      <c r="P107" s="351"/>
      <c r="Q107" s="351"/>
      <c r="R107" s="351"/>
      <c r="S107" s="42"/>
      <c r="T107" s="42"/>
      <c r="U107" s="42"/>
      <c r="V107" s="42"/>
      <c r="W107" s="42"/>
      <c r="X107" s="42"/>
      <c r="Y107" s="42"/>
      <c r="Z107" s="42"/>
      <c r="AA107" s="42"/>
      <c r="AB107" s="42"/>
      <c r="AC107" s="42"/>
      <c r="AD107" s="42"/>
      <c r="AE107" s="42"/>
      <c r="AH107" s="1521"/>
    </row>
    <row r="108" spans="2:34" s="347" customFormat="1" x14ac:dyDescent="0.25">
      <c r="B108" s="1511"/>
      <c r="C108" s="1511"/>
      <c r="D108" s="1511"/>
      <c r="F108" s="1511"/>
      <c r="G108" s="1511"/>
      <c r="I108" s="1511"/>
      <c r="J108" s="1511"/>
      <c r="K108" s="1511"/>
      <c r="M108" s="351"/>
      <c r="N108" s="351"/>
      <c r="O108" s="1511"/>
      <c r="P108" s="351"/>
      <c r="Q108" s="351"/>
      <c r="R108" s="351"/>
      <c r="S108" s="42"/>
      <c r="T108" s="42"/>
      <c r="U108" s="42"/>
      <c r="V108" s="42"/>
      <c r="W108" s="42"/>
      <c r="X108" s="42"/>
      <c r="Y108" s="42"/>
      <c r="Z108" s="42"/>
      <c r="AA108" s="42"/>
      <c r="AB108" s="42"/>
      <c r="AC108" s="42"/>
      <c r="AD108" s="42"/>
      <c r="AE108" s="42"/>
      <c r="AH108" s="1521"/>
    </row>
    <row r="109" spans="2:34" s="347" customFormat="1" x14ac:dyDescent="0.25">
      <c r="B109" s="1511"/>
      <c r="C109" s="1511"/>
      <c r="D109" s="1511"/>
      <c r="F109" s="1511"/>
      <c r="G109" s="1511"/>
      <c r="I109" s="1511"/>
      <c r="J109" s="1511"/>
      <c r="K109" s="1511"/>
      <c r="M109" s="351"/>
      <c r="N109" s="351"/>
      <c r="O109" s="1511"/>
      <c r="P109" s="351"/>
      <c r="Q109" s="351"/>
      <c r="R109" s="351"/>
      <c r="S109" s="42"/>
      <c r="T109" s="42"/>
      <c r="U109" s="42"/>
      <c r="V109" s="42"/>
      <c r="W109" s="42"/>
      <c r="X109" s="42"/>
      <c r="Y109" s="42"/>
      <c r="Z109" s="42"/>
      <c r="AA109" s="42"/>
      <c r="AB109" s="42"/>
      <c r="AC109" s="42"/>
      <c r="AD109" s="42"/>
      <c r="AE109" s="42"/>
      <c r="AH109" s="1521"/>
    </row>
    <row r="110" spans="2:34" s="347" customFormat="1" x14ac:dyDescent="0.25">
      <c r="B110" s="1511"/>
      <c r="C110" s="1511"/>
      <c r="D110" s="1511"/>
      <c r="F110" s="1511"/>
      <c r="G110" s="1511"/>
      <c r="I110" s="1511"/>
      <c r="J110" s="1511"/>
      <c r="K110" s="1511"/>
      <c r="M110" s="351"/>
      <c r="N110" s="351"/>
      <c r="O110" s="1511"/>
      <c r="P110" s="351"/>
      <c r="Q110" s="351"/>
      <c r="R110" s="351"/>
      <c r="S110" s="42"/>
      <c r="T110" s="42"/>
      <c r="U110" s="42"/>
      <c r="V110" s="42"/>
      <c r="W110" s="42"/>
      <c r="X110" s="42"/>
      <c r="Y110" s="42"/>
      <c r="Z110" s="42"/>
      <c r="AA110" s="42"/>
      <c r="AB110" s="42"/>
      <c r="AC110" s="42"/>
      <c r="AD110" s="42"/>
      <c r="AE110" s="42"/>
      <c r="AH110" s="1521"/>
    </row>
    <row r="111" spans="2:34" s="347" customFormat="1" x14ac:dyDescent="0.25">
      <c r="B111" s="1511"/>
      <c r="C111" s="1511"/>
      <c r="D111" s="1511"/>
      <c r="F111" s="1511"/>
      <c r="G111" s="1511"/>
      <c r="I111" s="1511"/>
      <c r="J111" s="1511"/>
      <c r="K111" s="1511"/>
      <c r="M111" s="351"/>
      <c r="N111" s="351"/>
      <c r="O111" s="1511"/>
      <c r="P111" s="351"/>
      <c r="Q111" s="351"/>
      <c r="R111" s="351"/>
      <c r="S111" s="42"/>
      <c r="T111" s="42"/>
      <c r="U111" s="42"/>
      <c r="V111" s="42"/>
      <c r="W111" s="42"/>
      <c r="X111" s="42"/>
      <c r="Y111" s="42"/>
      <c r="Z111" s="42"/>
      <c r="AA111" s="42"/>
      <c r="AB111" s="42"/>
      <c r="AC111" s="42"/>
      <c r="AD111" s="42"/>
      <c r="AE111" s="42"/>
      <c r="AH111" s="1521"/>
    </row>
    <row r="112" spans="2:34" s="347" customFormat="1" x14ac:dyDescent="0.25">
      <c r="B112" s="1511"/>
      <c r="C112" s="1511"/>
      <c r="D112" s="1511"/>
      <c r="F112" s="1511"/>
      <c r="G112" s="1511"/>
      <c r="I112" s="1511"/>
      <c r="J112" s="1511"/>
      <c r="K112" s="1511"/>
      <c r="M112" s="351"/>
      <c r="N112" s="351"/>
      <c r="O112" s="1511"/>
      <c r="P112" s="351"/>
      <c r="Q112" s="351"/>
      <c r="R112" s="351"/>
      <c r="S112" s="42"/>
      <c r="T112" s="42"/>
      <c r="U112" s="42"/>
      <c r="V112" s="42"/>
      <c r="W112" s="42"/>
      <c r="X112" s="42"/>
      <c r="Y112" s="42"/>
      <c r="Z112" s="42"/>
      <c r="AA112" s="42"/>
      <c r="AB112" s="42"/>
      <c r="AC112" s="42"/>
      <c r="AD112" s="42"/>
      <c r="AE112" s="42"/>
      <c r="AH112" s="1521"/>
    </row>
    <row r="113" spans="2:34" s="347" customFormat="1" x14ac:dyDescent="0.25">
      <c r="B113" s="1511"/>
      <c r="C113" s="1511"/>
      <c r="D113" s="1511"/>
      <c r="F113" s="1511"/>
      <c r="G113" s="1511"/>
      <c r="I113" s="1511"/>
      <c r="J113" s="1511"/>
      <c r="K113" s="1511"/>
      <c r="M113" s="351"/>
      <c r="N113" s="351"/>
      <c r="O113" s="1511"/>
      <c r="P113" s="351"/>
      <c r="Q113" s="351"/>
      <c r="R113" s="351"/>
      <c r="S113" s="42"/>
      <c r="T113" s="42"/>
      <c r="U113" s="42"/>
      <c r="V113" s="42"/>
      <c r="W113" s="42"/>
      <c r="X113" s="42"/>
      <c r="Y113" s="42"/>
      <c r="Z113" s="42"/>
      <c r="AA113" s="42"/>
      <c r="AB113" s="42"/>
      <c r="AC113" s="42"/>
      <c r="AD113" s="42"/>
      <c r="AE113" s="42"/>
      <c r="AH113" s="1521"/>
    </row>
    <row r="114" spans="2:34" s="347" customFormat="1" x14ac:dyDescent="0.25">
      <c r="B114" s="1511"/>
      <c r="C114" s="1511"/>
      <c r="D114" s="1511"/>
      <c r="F114" s="1511"/>
      <c r="G114" s="1511"/>
      <c r="I114" s="1511"/>
      <c r="J114" s="1511"/>
      <c r="K114" s="1511"/>
      <c r="M114" s="351"/>
      <c r="N114" s="351"/>
      <c r="O114" s="1511"/>
      <c r="P114" s="351"/>
      <c r="Q114" s="351"/>
      <c r="R114" s="351"/>
      <c r="S114" s="42"/>
      <c r="T114" s="42"/>
      <c r="U114" s="42"/>
      <c r="V114" s="42"/>
      <c r="W114" s="42"/>
      <c r="X114" s="42"/>
      <c r="Y114" s="42"/>
      <c r="Z114" s="42"/>
      <c r="AA114" s="42"/>
      <c r="AB114" s="42"/>
      <c r="AC114" s="42"/>
      <c r="AD114" s="42"/>
      <c r="AE114" s="42"/>
      <c r="AH114" s="1521"/>
    </row>
    <row r="115" spans="2:34" s="347" customFormat="1" x14ac:dyDescent="0.25">
      <c r="B115" s="1511"/>
      <c r="C115" s="1511"/>
      <c r="D115" s="1511"/>
      <c r="F115" s="1511"/>
      <c r="G115" s="1511"/>
      <c r="I115" s="1511"/>
      <c r="J115" s="1511"/>
      <c r="K115" s="1511"/>
      <c r="M115" s="351"/>
      <c r="N115" s="351"/>
      <c r="O115" s="1511"/>
      <c r="P115" s="351"/>
      <c r="Q115" s="351"/>
      <c r="R115" s="351"/>
      <c r="S115" s="42"/>
      <c r="T115" s="42"/>
      <c r="U115" s="42"/>
      <c r="V115" s="42"/>
      <c r="W115" s="42"/>
      <c r="X115" s="42"/>
      <c r="Y115" s="42"/>
      <c r="Z115" s="42"/>
      <c r="AA115" s="42"/>
      <c r="AB115" s="42"/>
      <c r="AC115" s="42"/>
      <c r="AD115" s="42"/>
      <c r="AE115" s="42"/>
      <c r="AH115" s="1521"/>
    </row>
    <row r="116" spans="2:34" s="347" customFormat="1" x14ac:dyDescent="0.25">
      <c r="B116" s="1511"/>
      <c r="C116" s="1511"/>
      <c r="D116" s="1511"/>
      <c r="F116" s="1511"/>
      <c r="G116" s="1511"/>
      <c r="I116" s="1511"/>
      <c r="J116" s="1511"/>
      <c r="K116" s="1511"/>
      <c r="M116" s="351"/>
      <c r="N116" s="351"/>
      <c r="O116" s="1511"/>
      <c r="P116" s="351"/>
      <c r="Q116" s="351"/>
      <c r="R116" s="351"/>
      <c r="S116" s="42"/>
      <c r="T116" s="42"/>
      <c r="U116" s="42"/>
      <c r="V116" s="42"/>
      <c r="W116" s="42"/>
      <c r="X116" s="42"/>
      <c r="Y116" s="42"/>
      <c r="Z116" s="42"/>
      <c r="AA116" s="42"/>
      <c r="AB116" s="42"/>
      <c r="AC116" s="42"/>
      <c r="AD116" s="42"/>
      <c r="AE116" s="42"/>
      <c r="AH116" s="1521"/>
    </row>
    <row r="117" spans="2:34" s="347" customFormat="1" x14ac:dyDescent="0.25">
      <c r="B117" s="1511"/>
      <c r="C117" s="1511"/>
      <c r="D117" s="1511"/>
      <c r="F117" s="1511"/>
      <c r="G117" s="1511"/>
      <c r="I117" s="1511"/>
      <c r="J117" s="1511"/>
      <c r="K117" s="1511"/>
      <c r="M117" s="351"/>
      <c r="N117" s="351"/>
      <c r="O117" s="1511"/>
      <c r="P117" s="351"/>
      <c r="Q117" s="351"/>
      <c r="R117" s="351"/>
      <c r="S117" s="42"/>
      <c r="T117" s="42"/>
      <c r="U117" s="42"/>
      <c r="V117" s="42"/>
      <c r="W117" s="42"/>
      <c r="X117" s="42"/>
      <c r="Y117" s="42"/>
      <c r="Z117" s="42"/>
      <c r="AA117" s="42"/>
      <c r="AB117" s="42"/>
      <c r="AC117" s="42"/>
      <c r="AD117" s="42"/>
      <c r="AE117" s="42"/>
      <c r="AH117" s="1521"/>
    </row>
    <row r="118" spans="2:34" s="347" customFormat="1" x14ac:dyDescent="0.25">
      <c r="B118" s="1511"/>
      <c r="C118" s="1511"/>
      <c r="D118" s="1511"/>
      <c r="F118" s="1511"/>
      <c r="G118" s="1511"/>
      <c r="I118" s="1511"/>
      <c r="J118" s="1511"/>
      <c r="K118" s="1511"/>
      <c r="M118" s="351"/>
      <c r="N118" s="351"/>
      <c r="O118" s="1511"/>
      <c r="P118" s="351"/>
      <c r="Q118" s="351"/>
      <c r="R118" s="351"/>
      <c r="S118" s="42"/>
      <c r="T118" s="42"/>
      <c r="U118" s="42"/>
      <c r="V118" s="42"/>
      <c r="W118" s="42"/>
      <c r="X118" s="42"/>
      <c r="Y118" s="42"/>
      <c r="Z118" s="42"/>
      <c r="AA118" s="42"/>
      <c r="AB118" s="42"/>
      <c r="AC118" s="42"/>
      <c r="AD118" s="42"/>
      <c r="AE118" s="42"/>
      <c r="AH118" s="1521"/>
    </row>
    <row r="119" spans="2:34" s="347" customFormat="1" x14ac:dyDescent="0.25">
      <c r="B119" s="1511"/>
      <c r="C119" s="1511"/>
      <c r="D119" s="1511"/>
      <c r="F119" s="1511"/>
      <c r="G119" s="1511"/>
      <c r="I119" s="1511"/>
      <c r="J119" s="1511"/>
      <c r="K119" s="1511"/>
      <c r="M119" s="351"/>
      <c r="N119" s="351"/>
      <c r="O119" s="1511"/>
      <c r="P119" s="351"/>
      <c r="Q119" s="351"/>
      <c r="R119" s="351"/>
      <c r="S119" s="42"/>
      <c r="T119" s="42"/>
      <c r="U119" s="42"/>
      <c r="V119" s="42"/>
      <c r="W119" s="42"/>
      <c r="X119" s="42"/>
      <c r="Y119" s="42"/>
      <c r="Z119" s="42"/>
      <c r="AA119" s="42"/>
      <c r="AB119" s="42"/>
      <c r="AC119" s="42"/>
      <c r="AD119" s="42"/>
      <c r="AE119" s="42"/>
      <c r="AH119" s="1521"/>
    </row>
    <row r="120" spans="2:34" s="347" customFormat="1" x14ac:dyDescent="0.25">
      <c r="B120" s="1511"/>
      <c r="C120" s="1511"/>
      <c r="D120" s="1511"/>
      <c r="F120" s="1511"/>
      <c r="G120" s="1511"/>
      <c r="I120" s="1511"/>
      <c r="J120" s="1511"/>
      <c r="K120" s="1511"/>
      <c r="M120" s="351"/>
      <c r="N120" s="351"/>
      <c r="O120" s="1511"/>
      <c r="P120" s="351"/>
      <c r="Q120" s="351"/>
      <c r="R120" s="351"/>
      <c r="S120" s="42"/>
      <c r="T120" s="42"/>
      <c r="U120" s="42"/>
      <c r="V120" s="42"/>
      <c r="W120" s="42"/>
      <c r="X120" s="42"/>
      <c r="Y120" s="42"/>
      <c r="Z120" s="42"/>
      <c r="AA120" s="42"/>
      <c r="AB120" s="42"/>
      <c r="AC120" s="42"/>
      <c r="AD120" s="42"/>
      <c r="AE120" s="42"/>
      <c r="AH120" s="1521"/>
    </row>
    <row r="121" spans="2:34" s="347" customFormat="1" x14ac:dyDescent="0.25">
      <c r="B121" s="1511"/>
      <c r="C121" s="1511"/>
      <c r="D121" s="1511"/>
      <c r="F121" s="1511"/>
      <c r="G121" s="1511"/>
      <c r="I121" s="1511"/>
      <c r="J121" s="1511"/>
      <c r="K121" s="1511"/>
      <c r="M121" s="351"/>
      <c r="N121" s="351"/>
      <c r="O121" s="1511"/>
      <c r="P121" s="351"/>
      <c r="Q121" s="351"/>
      <c r="R121" s="351"/>
      <c r="S121" s="42"/>
      <c r="T121" s="42"/>
      <c r="U121" s="42"/>
      <c r="V121" s="42"/>
      <c r="W121" s="42"/>
      <c r="X121" s="42"/>
      <c r="Y121" s="42"/>
      <c r="Z121" s="42"/>
      <c r="AA121" s="42"/>
      <c r="AB121" s="42"/>
      <c r="AC121" s="42"/>
      <c r="AD121" s="42"/>
      <c r="AE121" s="42"/>
      <c r="AH121" s="1521"/>
    </row>
    <row r="122" spans="2:34" s="347" customFormat="1" x14ac:dyDescent="0.25">
      <c r="B122" s="1511"/>
      <c r="C122" s="1511"/>
      <c r="D122" s="1511"/>
      <c r="F122" s="1511"/>
      <c r="G122" s="1511"/>
      <c r="I122" s="1511"/>
      <c r="J122" s="1511"/>
      <c r="K122" s="1511"/>
      <c r="M122" s="351"/>
      <c r="N122" s="351"/>
      <c r="O122" s="1511"/>
      <c r="P122" s="351"/>
      <c r="Q122" s="351"/>
      <c r="R122" s="351"/>
      <c r="S122" s="42"/>
      <c r="T122" s="42"/>
      <c r="U122" s="42"/>
      <c r="V122" s="42"/>
      <c r="W122" s="42"/>
      <c r="X122" s="42"/>
      <c r="Y122" s="42"/>
      <c r="Z122" s="42"/>
      <c r="AA122" s="42"/>
      <c r="AB122" s="42"/>
      <c r="AC122" s="42"/>
      <c r="AD122" s="42"/>
      <c r="AE122" s="42"/>
      <c r="AH122" s="1521"/>
    </row>
    <row r="123" spans="2:34" s="347" customFormat="1" x14ac:dyDescent="0.25">
      <c r="B123" s="1511"/>
      <c r="C123" s="1511"/>
      <c r="D123" s="1511"/>
      <c r="F123" s="1511"/>
      <c r="G123" s="1511"/>
      <c r="I123" s="1511"/>
      <c r="J123" s="1511"/>
      <c r="K123" s="1511"/>
      <c r="M123" s="351"/>
      <c r="N123" s="351"/>
      <c r="O123" s="1511"/>
      <c r="P123" s="351"/>
      <c r="Q123" s="351"/>
      <c r="R123" s="351"/>
      <c r="S123" s="42"/>
      <c r="T123" s="42"/>
      <c r="U123" s="42"/>
      <c r="V123" s="42"/>
      <c r="W123" s="42"/>
      <c r="X123" s="42"/>
      <c r="Y123" s="42"/>
      <c r="Z123" s="42"/>
      <c r="AA123" s="42"/>
      <c r="AB123" s="42"/>
      <c r="AC123" s="42"/>
      <c r="AD123" s="42"/>
      <c r="AE123" s="42"/>
      <c r="AH123" s="1521"/>
    </row>
    <row r="124" spans="2:34" s="347" customFormat="1" x14ac:dyDescent="0.25">
      <c r="B124" s="1511"/>
      <c r="C124" s="1511"/>
      <c r="D124" s="1511"/>
      <c r="F124" s="1511"/>
      <c r="G124" s="1511"/>
      <c r="I124" s="1511"/>
      <c r="J124" s="1511"/>
      <c r="K124" s="1511"/>
      <c r="M124" s="351"/>
      <c r="N124" s="351"/>
      <c r="O124" s="1511"/>
      <c r="P124" s="351"/>
      <c r="Q124" s="351"/>
      <c r="R124" s="351"/>
      <c r="S124" s="42"/>
      <c r="T124" s="42"/>
      <c r="U124" s="42"/>
      <c r="V124" s="42"/>
      <c r="W124" s="42"/>
      <c r="X124" s="42"/>
      <c r="Y124" s="42"/>
      <c r="Z124" s="42"/>
      <c r="AA124" s="42"/>
      <c r="AB124" s="42"/>
      <c r="AC124" s="42"/>
      <c r="AD124" s="42"/>
      <c r="AE124" s="42"/>
      <c r="AH124" s="1521"/>
    </row>
    <row r="125" spans="2:34" s="347" customFormat="1" x14ac:dyDescent="0.25">
      <c r="B125" s="1511"/>
      <c r="C125" s="1511"/>
      <c r="D125" s="1511"/>
      <c r="F125" s="1511"/>
      <c r="G125" s="1511"/>
      <c r="I125" s="1511"/>
      <c r="J125" s="1511"/>
      <c r="K125" s="1511"/>
      <c r="M125" s="351"/>
      <c r="N125" s="351"/>
      <c r="O125" s="1511"/>
      <c r="P125" s="351"/>
      <c r="Q125" s="351"/>
      <c r="R125" s="351"/>
      <c r="S125" s="42"/>
      <c r="T125" s="42"/>
      <c r="U125" s="42"/>
      <c r="V125" s="42"/>
      <c r="W125" s="42"/>
      <c r="X125" s="42"/>
      <c r="Y125" s="42"/>
      <c r="Z125" s="42"/>
      <c r="AA125" s="42"/>
      <c r="AB125" s="42"/>
      <c r="AC125" s="42"/>
      <c r="AD125" s="42"/>
      <c r="AE125" s="42"/>
      <c r="AH125" s="1521"/>
    </row>
    <row r="126" spans="2:34" s="347" customFormat="1" x14ac:dyDescent="0.25">
      <c r="B126" s="1511"/>
      <c r="C126" s="1511"/>
      <c r="D126" s="1511"/>
      <c r="F126" s="1511"/>
      <c r="G126" s="1511"/>
      <c r="I126" s="1511"/>
      <c r="J126" s="1511"/>
      <c r="K126" s="1511"/>
      <c r="M126" s="351"/>
      <c r="N126" s="351"/>
      <c r="O126" s="1511"/>
      <c r="P126" s="351"/>
      <c r="Q126" s="351"/>
      <c r="R126" s="351"/>
      <c r="S126" s="42"/>
      <c r="T126" s="42"/>
      <c r="U126" s="42"/>
      <c r="V126" s="42"/>
      <c r="W126" s="42"/>
      <c r="X126" s="42"/>
      <c r="Y126" s="42"/>
      <c r="Z126" s="42"/>
      <c r="AA126" s="42"/>
      <c r="AB126" s="42"/>
      <c r="AC126" s="42"/>
      <c r="AD126" s="42"/>
      <c r="AE126" s="42"/>
      <c r="AH126" s="1521"/>
    </row>
    <row r="127" spans="2:34" s="347" customFormat="1" x14ac:dyDescent="0.25">
      <c r="B127" s="1511"/>
      <c r="C127" s="1511"/>
      <c r="D127" s="1511"/>
      <c r="F127" s="1511"/>
      <c r="G127" s="1511"/>
      <c r="I127" s="1511"/>
      <c r="J127" s="1511"/>
      <c r="K127" s="1511"/>
      <c r="M127" s="351"/>
      <c r="N127" s="351"/>
      <c r="O127" s="1511"/>
      <c r="P127" s="351"/>
      <c r="Q127" s="351"/>
      <c r="R127" s="351"/>
      <c r="S127" s="42"/>
      <c r="T127" s="42"/>
      <c r="U127" s="42"/>
      <c r="V127" s="42"/>
      <c r="W127" s="42"/>
      <c r="X127" s="42"/>
      <c r="Y127" s="42"/>
      <c r="Z127" s="42"/>
      <c r="AA127" s="42"/>
      <c r="AB127" s="42"/>
      <c r="AC127" s="42"/>
      <c r="AD127" s="42"/>
      <c r="AE127" s="42"/>
      <c r="AH127" s="1521"/>
    </row>
    <row r="128" spans="2:34" s="347" customFormat="1" x14ac:dyDescent="0.25">
      <c r="B128" s="1511"/>
      <c r="C128" s="1511"/>
      <c r="D128" s="1511"/>
      <c r="F128" s="1511"/>
      <c r="G128" s="1511"/>
      <c r="I128" s="1511"/>
      <c r="J128" s="1511"/>
      <c r="K128" s="1511"/>
      <c r="M128" s="351"/>
      <c r="N128" s="351"/>
      <c r="O128" s="1511"/>
      <c r="P128" s="351"/>
      <c r="Q128" s="351"/>
      <c r="R128" s="351"/>
      <c r="S128" s="42"/>
      <c r="T128" s="42"/>
      <c r="U128" s="42"/>
      <c r="V128" s="42"/>
      <c r="W128" s="42"/>
      <c r="X128" s="42"/>
      <c r="Y128" s="42"/>
      <c r="Z128" s="42"/>
      <c r="AA128" s="42"/>
      <c r="AB128" s="42"/>
      <c r="AC128" s="42"/>
      <c r="AD128" s="42"/>
      <c r="AE128" s="42"/>
      <c r="AH128" s="1521"/>
    </row>
    <row r="129" spans="2:34" s="347" customFormat="1" x14ac:dyDescent="0.25">
      <c r="B129" s="1511"/>
      <c r="C129" s="1511"/>
      <c r="D129" s="1511"/>
      <c r="F129" s="1511"/>
      <c r="G129" s="1511"/>
      <c r="I129" s="1511"/>
      <c r="J129" s="1511"/>
      <c r="K129" s="1511"/>
      <c r="M129" s="351"/>
      <c r="N129" s="351"/>
      <c r="O129" s="1511"/>
      <c r="P129" s="351"/>
      <c r="Q129" s="351"/>
      <c r="R129" s="351"/>
      <c r="S129" s="42"/>
      <c r="T129" s="42"/>
      <c r="U129" s="42"/>
      <c r="V129" s="42"/>
      <c r="W129" s="42"/>
      <c r="X129" s="42"/>
      <c r="Y129" s="42"/>
      <c r="Z129" s="42"/>
      <c r="AA129" s="42"/>
      <c r="AB129" s="42"/>
      <c r="AC129" s="42"/>
      <c r="AD129" s="42"/>
      <c r="AE129" s="42"/>
      <c r="AH129" s="1521"/>
    </row>
    <row r="130" spans="2:34" s="347" customFormat="1" x14ac:dyDescent="0.25">
      <c r="B130" s="1511"/>
      <c r="C130" s="1511"/>
      <c r="D130" s="1511"/>
      <c r="F130" s="1511"/>
      <c r="G130" s="1511"/>
      <c r="I130" s="1511"/>
      <c r="J130" s="1511"/>
      <c r="K130" s="1511"/>
      <c r="M130" s="351"/>
      <c r="N130" s="351"/>
      <c r="O130" s="1511"/>
      <c r="P130" s="351"/>
      <c r="Q130" s="351"/>
      <c r="R130" s="351"/>
      <c r="S130" s="42"/>
      <c r="T130" s="42"/>
      <c r="U130" s="42"/>
      <c r="V130" s="42"/>
      <c r="W130" s="42"/>
      <c r="X130" s="42"/>
      <c r="Y130" s="42"/>
      <c r="Z130" s="42"/>
      <c r="AA130" s="42"/>
      <c r="AB130" s="42"/>
      <c r="AC130" s="42"/>
      <c r="AD130" s="42"/>
      <c r="AE130" s="42"/>
      <c r="AH130" s="1521"/>
    </row>
    <row r="131" spans="2:34" s="347" customFormat="1" x14ac:dyDescent="0.25">
      <c r="B131" s="1511"/>
      <c r="C131" s="1511"/>
      <c r="D131" s="1511"/>
      <c r="F131" s="1511"/>
      <c r="G131" s="1511"/>
      <c r="I131" s="1511"/>
      <c r="J131" s="1511"/>
      <c r="K131" s="1511"/>
      <c r="M131" s="351"/>
      <c r="N131" s="351"/>
      <c r="O131" s="1511"/>
      <c r="P131" s="351"/>
      <c r="Q131" s="351"/>
      <c r="R131" s="351"/>
      <c r="S131" s="42"/>
      <c r="T131" s="42"/>
      <c r="U131" s="42"/>
      <c r="V131" s="42"/>
      <c r="W131" s="42"/>
      <c r="X131" s="42"/>
      <c r="Y131" s="42"/>
      <c r="Z131" s="42"/>
      <c r="AA131" s="42"/>
      <c r="AB131" s="42"/>
      <c r="AC131" s="42"/>
      <c r="AD131" s="42"/>
      <c r="AE131" s="42"/>
      <c r="AH131" s="1521"/>
    </row>
    <row r="132" spans="2:34" s="347" customFormat="1" x14ac:dyDescent="0.25">
      <c r="B132" s="1511"/>
      <c r="C132" s="1511"/>
      <c r="D132" s="1511"/>
      <c r="F132" s="1511"/>
      <c r="G132" s="1511"/>
      <c r="I132" s="1511"/>
      <c r="J132" s="1511"/>
      <c r="K132" s="1511"/>
      <c r="M132" s="351"/>
      <c r="N132" s="351"/>
      <c r="O132" s="1511"/>
      <c r="P132" s="351"/>
      <c r="Q132" s="351"/>
      <c r="R132" s="351"/>
      <c r="S132" s="42"/>
      <c r="T132" s="42"/>
      <c r="U132" s="42"/>
      <c r="V132" s="42"/>
      <c r="W132" s="42"/>
      <c r="X132" s="42"/>
      <c r="Y132" s="42"/>
      <c r="Z132" s="42"/>
      <c r="AA132" s="42"/>
      <c r="AB132" s="42"/>
      <c r="AC132" s="42"/>
      <c r="AD132" s="42"/>
      <c r="AE132" s="42"/>
      <c r="AH132" s="1521"/>
    </row>
    <row r="133" spans="2:34" s="347" customFormat="1" x14ac:dyDescent="0.25">
      <c r="B133" s="1511"/>
      <c r="C133" s="1511"/>
      <c r="D133" s="1511"/>
      <c r="F133" s="1511"/>
      <c r="G133" s="1511"/>
      <c r="I133" s="1511"/>
      <c r="J133" s="1511"/>
      <c r="K133" s="1511"/>
      <c r="M133" s="351"/>
      <c r="N133" s="351"/>
      <c r="O133" s="1511"/>
      <c r="P133" s="351"/>
      <c r="Q133" s="351"/>
      <c r="R133" s="351"/>
      <c r="S133" s="42"/>
      <c r="T133" s="42"/>
      <c r="U133" s="42"/>
      <c r="V133" s="42"/>
      <c r="W133" s="42"/>
      <c r="X133" s="42"/>
      <c r="Y133" s="42"/>
      <c r="Z133" s="42"/>
      <c r="AA133" s="42"/>
      <c r="AB133" s="42"/>
      <c r="AC133" s="42"/>
      <c r="AD133" s="42"/>
      <c r="AE133" s="42"/>
      <c r="AH133" s="1521"/>
    </row>
    <row r="134" spans="2:34" s="347" customFormat="1" x14ac:dyDescent="0.25">
      <c r="B134" s="1511"/>
      <c r="C134" s="1511"/>
      <c r="D134" s="1511"/>
      <c r="F134" s="1511"/>
      <c r="G134" s="1511"/>
      <c r="I134" s="1511"/>
      <c r="J134" s="1511"/>
      <c r="K134" s="1511"/>
      <c r="M134" s="351"/>
      <c r="N134" s="351"/>
      <c r="O134" s="1511"/>
      <c r="P134" s="351"/>
      <c r="Q134" s="351"/>
      <c r="R134" s="351"/>
      <c r="S134" s="42"/>
      <c r="T134" s="42"/>
      <c r="U134" s="42"/>
      <c r="V134" s="42"/>
      <c r="W134" s="42"/>
      <c r="X134" s="42"/>
      <c r="Y134" s="42"/>
      <c r="Z134" s="42"/>
      <c r="AA134" s="42"/>
      <c r="AB134" s="42"/>
      <c r="AC134" s="42"/>
      <c r="AD134" s="42"/>
      <c r="AE134" s="42"/>
      <c r="AH134" s="1521"/>
    </row>
    <row r="135" spans="2:34" s="347" customFormat="1" x14ac:dyDescent="0.25">
      <c r="B135" s="1511"/>
      <c r="C135" s="1511"/>
      <c r="D135" s="1511"/>
      <c r="F135" s="1511"/>
      <c r="G135" s="1511"/>
      <c r="I135" s="1511"/>
      <c r="J135" s="1511"/>
      <c r="K135" s="1511"/>
      <c r="M135" s="351"/>
      <c r="N135" s="351"/>
      <c r="O135" s="1511"/>
      <c r="P135" s="351"/>
      <c r="Q135" s="351"/>
      <c r="R135" s="351"/>
      <c r="S135" s="42"/>
      <c r="T135" s="42"/>
      <c r="U135" s="42"/>
      <c r="V135" s="42"/>
      <c r="W135" s="42"/>
      <c r="X135" s="42"/>
      <c r="Y135" s="42"/>
      <c r="Z135" s="42"/>
      <c r="AA135" s="42"/>
      <c r="AB135" s="42"/>
      <c r="AC135" s="42"/>
      <c r="AD135" s="42"/>
      <c r="AE135" s="42"/>
      <c r="AH135" s="1521"/>
    </row>
    <row r="136" spans="2:34" s="347" customFormat="1" x14ac:dyDescent="0.25">
      <c r="B136" s="1511"/>
      <c r="C136" s="1511"/>
      <c r="D136" s="1511"/>
      <c r="F136" s="1511"/>
      <c r="G136" s="1511"/>
      <c r="I136" s="1511"/>
      <c r="J136" s="1511"/>
      <c r="K136" s="1511"/>
      <c r="M136" s="351"/>
      <c r="N136" s="351"/>
      <c r="O136" s="1511"/>
      <c r="P136" s="351"/>
      <c r="Q136" s="351"/>
      <c r="R136" s="351"/>
      <c r="S136" s="42"/>
      <c r="T136" s="42"/>
      <c r="U136" s="42"/>
      <c r="V136" s="42"/>
      <c r="W136" s="42"/>
      <c r="X136" s="42"/>
      <c r="Y136" s="42"/>
      <c r="Z136" s="42"/>
      <c r="AA136" s="42"/>
      <c r="AB136" s="42"/>
      <c r="AC136" s="42"/>
      <c r="AD136" s="42"/>
      <c r="AE136" s="42"/>
      <c r="AH136" s="1521"/>
    </row>
    <row r="137" spans="2:34" s="347" customFormat="1" x14ac:dyDescent="0.25">
      <c r="B137" s="1511"/>
      <c r="C137" s="1511"/>
      <c r="D137" s="1511"/>
      <c r="F137" s="1511"/>
      <c r="G137" s="1511"/>
      <c r="I137" s="1511"/>
      <c r="J137" s="1511"/>
      <c r="K137" s="1511"/>
      <c r="M137" s="351"/>
      <c r="N137" s="351"/>
      <c r="O137" s="1511"/>
      <c r="P137" s="351"/>
      <c r="Q137" s="351"/>
      <c r="R137" s="351"/>
      <c r="S137" s="42"/>
      <c r="T137" s="42"/>
      <c r="U137" s="42"/>
      <c r="V137" s="42"/>
      <c r="W137" s="42"/>
      <c r="X137" s="42"/>
      <c r="Y137" s="42"/>
      <c r="Z137" s="42"/>
      <c r="AA137" s="42"/>
      <c r="AB137" s="42"/>
      <c r="AC137" s="42"/>
      <c r="AD137" s="42"/>
      <c r="AE137" s="42"/>
      <c r="AH137" s="1521"/>
    </row>
    <row r="138" spans="2:34" s="347" customFormat="1" x14ac:dyDescent="0.25">
      <c r="B138" s="1511"/>
      <c r="C138" s="1511"/>
      <c r="D138" s="1511"/>
      <c r="F138" s="1511"/>
      <c r="G138" s="1511"/>
      <c r="I138" s="1511"/>
      <c r="J138" s="1511"/>
      <c r="K138" s="1511"/>
      <c r="M138" s="351"/>
      <c r="N138" s="351"/>
      <c r="O138" s="1511"/>
      <c r="P138" s="351"/>
      <c r="Q138" s="351"/>
      <c r="R138" s="351"/>
      <c r="S138" s="42"/>
      <c r="T138" s="42"/>
      <c r="U138" s="42"/>
      <c r="V138" s="42"/>
      <c r="W138" s="42"/>
      <c r="X138" s="42"/>
      <c r="Y138" s="42"/>
      <c r="Z138" s="42"/>
      <c r="AA138" s="42"/>
      <c r="AB138" s="42"/>
      <c r="AC138" s="42"/>
      <c r="AD138" s="42"/>
      <c r="AE138" s="42"/>
      <c r="AH138" s="1521"/>
    </row>
    <row r="139" spans="2:34" s="347" customFormat="1" x14ac:dyDescent="0.25">
      <c r="B139" s="1511"/>
      <c r="C139" s="1511"/>
      <c r="D139" s="1511"/>
      <c r="F139" s="1511"/>
      <c r="G139" s="1511"/>
      <c r="I139" s="1511"/>
      <c r="J139" s="1511"/>
      <c r="K139" s="1511"/>
      <c r="M139" s="351"/>
      <c r="N139" s="351"/>
      <c r="O139" s="1511"/>
      <c r="P139" s="351"/>
      <c r="Q139" s="351"/>
      <c r="R139" s="351"/>
      <c r="S139" s="42"/>
      <c r="T139" s="42"/>
      <c r="U139" s="42"/>
      <c r="V139" s="42"/>
      <c r="W139" s="42"/>
      <c r="X139" s="42"/>
      <c r="Y139" s="42"/>
      <c r="Z139" s="42"/>
      <c r="AA139" s="42"/>
      <c r="AB139" s="42"/>
      <c r="AC139" s="42"/>
      <c r="AD139" s="42"/>
      <c r="AE139" s="42"/>
      <c r="AH139" s="1521"/>
    </row>
    <row r="140" spans="2:34" s="347" customFormat="1" x14ac:dyDescent="0.25">
      <c r="B140" s="1511"/>
      <c r="C140" s="1511"/>
      <c r="D140" s="1511"/>
      <c r="F140" s="1511"/>
      <c r="G140" s="1511"/>
      <c r="I140" s="1511"/>
      <c r="J140" s="1511"/>
      <c r="K140" s="1511"/>
      <c r="M140" s="351"/>
      <c r="N140" s="351"/>
      <c r="O140" s="1511"/>
      <c r="P140" s="351"/>
      <c r="Q140" s="351"/>
      <c r="R140" s="351"/>
      <c r="S140" s="42"/>
      <c r="T140" s="42"/>
      <c r="U140" s="42"/>
      <c r="V140" s="42"/>
      <c r="W140" s="42"/>
      <c r="X140" s="42"/>
      <c r="Y140" s="42"/>
      <c r="Z140" s="42"/>
      <c r="AA140" s="42"/>
      <c r="AB140" s="42"/>
      <c r="AC140" s="42"/>
      <c r="AD140" s="42"/>
      <c r="AE140" s="42"/>
      <c r="AH140" s="1521"/>
    </row>
    <row r="141" spans="2:34" s="347" customFormat="1" x14ac:dyDescent="0.25">
      <c r="B141" s="1511"/>
      <c r="C141" s="1511"/>
      <c r="D141" s="1511"/>
      <c r="F141" s="1511"/>
      <c r="G141" s="1511"/>
      <c r="I141" s="1511"/>
      <c r="J141" s="1511"/>
      <c r="K141" s="1511"/>
      <c r="M141" s="351"/>
      <c r="N141" s="351"/>
      <c r="O141" s="1511"/>
      <c r="P141" s="351"/>
      <c r="Q141" s="351"/>
      <c r="R141" s="351"/>
      <c r="S141" s="42"/>
      <c r="T141" s="42"/>
      <c r="U141" s="42"/>
      <c r="V141" s="42"/>
      <c r="W141" s="42"/>
      <c r="X141" s="42"/>
      <c r="Y141" s="42"/>
      <c r="Z141" s="42"/>
      <c r="AA141" s="42"/>
      <c r="AB141" s="42"/>
      <c r="AC141" s="42"/>
      <c r="AD141" s="42"/>
      <c r="AE141" s="42"/>
      <c r="AH141" s="1521"/>
    </row>
    <row r="142" spans="2:34" s="347" customFormat="1" x14ac:dyDescent="0.25">
      <c r="B142" s="1511"/>
      <c r="C142" s="1511"/>
      <c r="D142" s="1511"/>
      <c r="F142" s="1511"/>
      <c r="G142" s="1511"/>
      <c r="I142" s="1511"/>
      <c r="J142" s="1511"/>
      <c r="K142" s="1511"/>
      <c r="M142" s="351"/>
      <c r="N142" s="351"/>
      <c r="O142" s="1511"/>
      <c r="P142" s="351"/>
      <c r="Q142" s="351"/>
      <c r="R142" s="351"/>
      <c r="S142" s="42"/>
      <c r="T142" s="42"/>
      <c r="U142" s="42"/>
      <c r="V142" s="42"/>
      <c r="W142" s="42"/>
      <c r="X142" s="42"/>
      <c r="Y142" s="42"/>
      <c r="Z142" s="42"/>
      <c r="AA142" s="42"/>
      <c r="AB142" s="42"/>
      <c r="AC142" s="42"/>
      <c r="AD142" s="42"/>
      <c r="AE142" s="42"/>
      <c r="AH142" s="1521"/>
    </row>
    <row r="143" spans="2:34" s="347" customFormat="1" x14ac:dyDescent="0.25">
      <c r="B143" s="1511"/>
      <c r="C143" s="1511"/>
      <c r="D143" s="1511"/>
      <c r="F143" s="1511"/>
      <c r="G143" s="1511"/>
      <c r="I143" s="1511"/>
      <c r="J143" s="1511"/>
      <c r="K143" s="1511"/>
      <c r="M143" s="351"/>
      <c r="N143" s="351"/>
      <c r="O143" s="1511"/>
      <c r="P143" s="351"/>
      <c r="Q143" s="351"/>
      <c r="R143" s="351"/>
      <c r="S143" s="42"/>
      <c r="T143" s="42"/>
      <c r="U143" s="42"/>
      <c r="V143" s="42"/>
      <c r="W143" s="42"/>
      <c r="X143" s="42"/>
      <c r="Y143" s="42"/>
      <c r="Z143" s="42"/>
      <c r="AA143" s="42"/>
      <c r="AB143" s="42"/>
      <c r="AC143" s="42"/>
      <c r="AD143" s="42"/>
      <c r="AE143" s="42"/>
      <c r="AH143" s="1521"/>
    </row>
    <row r="144" spans="2:34" s="347" customFormat="1" x14ac:dyDescent="0.25">
      <c r="B144" s="1511"/>
      <c r="C144" s="1511"/>
      <c r="D144" s="1511"/>
      <c r="F144" s="1511"/>
      <c r="G144" s="1511"/>
      <c r="I144" s="1511"/>
      <c r="J144" s="1511"/>
      <c r="K144" s="1511"/>
      <c r="M144" s="351"/>
      <c r="N144" s="351"/>
      <c r="O144" s="1511"/>
      <c r="P144" s="351"/>
      <c r="Q144" s="351"/>
      <c r="R144" s="351"/>
      <c r="S144" s="42"/>
      <c r="T144" s="42"/>
      <c r="U144" s="42"/>
      <c r="V144" s="42"/>
      <c r="W144" s="42"/>
      <c r="X144" s="42"/>
      <c r="Y144" s="42"/>
      <c r="Z144" s="42"/>
      <c r="AA144" s="42"/>
      <c r="AB144" s="42"/>
      <c r="AC144" s="42"/>
      <c r="AD144" s="42"/>
      <c r="AE144" s="42"/>
      <c r="AH144" s="1521"/>
    </row>
    <row r="145" spans="2:34" s="347" customFormat="1" x14ac:dyDescent="0.25">
      <c r="B145" s="1511"/>
      <c r="C145" s="1511"/>
      <c r="D145" s="1511"/>
      <c r="F145" s="1511"/>
      <c r="G145" s="1511"/>
      <c r="I145" s="1511"/>
      <c r="J145" s="1511"/>
      <c r="K145" s="1511"/>
      <c r="M145" s="351"/>
      <c r="N145" s="351"/>
      <c r="O145" s="1511"/>
      <c r="P145" s="351"/>
      <c r="Q145" s="351"/>
      <c r="R145" s="351"/>
      <c r="S145" s="42"/>
      <c r="T145" s="42"/>
      <c r="U145" s="42"/>
      <c r="V145" s="42"/>
      <c r="W145" s="42"/>
      <c r="X145" s="42"/>
      <c r="Y145" s="42"/>
      <c r="Z145" s="42"/>
      <c r="AA145" s="42"/>
      <c r="AB145" s="42"/>
      <c r="AC145" s="42"/>
      <c r="AD145" s="42"/>
      <c r="AE145" s="42"/>
      <c r="AH145" s="1521"/>
    </row>
    <row r="146" spans="2:34" s="347" customFormat="1" x14ac:dyDescent="0.25">
      <c r="B146" s="1511"/>
      <c r="C146" s="1511"/>
      <c r="D146" s="1511"/>
      <c r="F146" s="1511"/>
      <c r="G146" s="1511"/>
      <c r="I146" s="1511"/>
      <c r="J146" s="1511"/>
      <c r="K146" s="1511"/>
      <c r="M146" s="351"/>
      <c r="N146" s="351"/>
      <c r="O146" s="1511"/>
      <c r="P146" s="351"/>
      <c r="Q146" s="351"/>
      <c r="R146" s="351"/>
      <c r="S146" s="42"/>
      <c r="T146" s="42"/>
      <c r="U146" s="42"/>
      <c r="V146" s="42"/>
      <c r="W146" s="42"/>
      <c r="X146" s="42"/>
      <c r="Y146" s="42"/>
      <c r="Z146" s="42"/>
      <c r="AA146" s="42"/>
      <c r="AB146" s="42"/>
      <c r="AC146" s="42"/>
      <c r="AD146" s="42"/>
      <c r="AE146" s="42"/>
      <c r="AH146" s="1521"/>
    </row>
    <row r="147" spans="2:34" s="347" customFormat="1" x14ac:dyDescent="0.25">
      <c r="B147" s="1511"/>
      <c r="C147" s="1511"/>
      <c r="D147" s="1511"/>
      <c r="F147" s="1511"/>
      <c r="G147" s="1511"/>
      <c r="I147" s="1511"/>
      <c r="J147" s="1511"/>
      <c r="K147" s="1511"/>
      <c r="M147" s="351"/>
      <c r="N147" s="351"/>
      <c r="O147" s="1511"/>
      <c r="P147" s="351"/>
      <c r="Q147" s="351"/>
      <c r="R147" s="351"/>
      <c r="S147" s="42"/>
      <c r="T147" s="42"/>
      <c r="U147" s="42"/>
      <c r="V147" s="42"/>
      <c r="W147" s="42"/>
      <c r="X147" s="42"/>
      <c r="Y147" s="42"/>
      <c r="Z147" s="42"/>
      <c r="AA147" s="42"/>
      <c r="AB147" s="42"/>
      <c r="AC147" s="42"/>
      <c r="AD147" s="42"/>
      <c r="AE147" s="42"/>
      <c r="AH147" s="1521"/>
    </row>
    <row r="148" spans="2:34" s="347" customFormat="1" x14ac:dyDescent="0.25">
      <c r="B148" s="1511"/>
      <c r="C148" s="1511"/>
      <c r="D148" s="1511"/>
      <c r="F148" s="1511"/>
      <c r="G148" s="1511"/>
      <c r="I148" s="1511"/>
      <c r="J148" s="1511"/>
      <c r="K148" s="1511"/>
      <c r="M148" s="351"/>
      <c r="N148" s="351"/>
      <c r="O148" s="1511"/>
      <c r="P148" s="351"/>
      <c r="Q148" s="351"/>
      <c r="R148" s="351"/>
      <c r="S148" s="42"/>
      <c r="T148" s="42"/>
      <c r="U148" s="42"/>
      <c r="V148" s="42"/>
      <c r="W148" s="42"/>
      <c r="X148" s="42"/>
      <c r="Y148" s="42"/>
      <c r="Z148" s="42"/>
      <c r="AA148" s="42"/>
      <c r="AB148" s="42"/>
      <c r="AC148" s="42"/>
      <c r="AD148" s="42"/>
      <c r="AE148" s="42"/>
      <c r="AH148" s="1521"/>
    </row>
    <row r="149" spans="2:34" s="347" customFormat="1" x14ac:dyDescent="0.25">
      <c r="B149" s="1511"/>
      <c r="C149" s="1511"/>
      <c r="D149" s="1511"/>
      <c r="F149" s="1511"/>
      <c r="G149" s="1511"/>
      <c r="I149" s="1511"/>
      <c r="J149" s="1511"/>
      <c r="K149" s="1511"/>
      <c r="M149" s="351"/>
      <c r="N149" s="351"/>
      <c r="O149" s="1511"/>
      <c r="P149" s="351"/>
      <c r="Q149" s="351"/>
      <c r="R149" s="351"/>
      <c r="S149" s="42"/>
      <c r="T149" s="42"/>
      <c r="U149" s="42"/>
      <c r="V149" s="42"/>
      <c r="W149" s="42"/>
      <c r="X149" s="42"/>
      <c r="Y149" s="42"/>
      <c r="Z149" s="42"/>
      <c r="AA149" s="42"/>
      <c r="AB149" s="42"/>
      <c r="AC149" s="42"/>
      <c r="AD149" s="42"/>
      <c r="AE149" s="42"/>
      <c r="AH149" s="1521"/>
    </row>
    <row r="150" spans="2:34" s="347" customFormat="1" x14ac:dyDescent="0.25">
      <c r="B150" s="1511"/>
      <c r="C150" s="1511"/>
      <c r="D150" s="1511"/>
      <c r="F150" s="1511"/>
      <c r="G150" s="1511"/>
      <c r="I150" s="1511"/>
      <c r="J150" s="1511"/>
      <c r="K150" s="1511"/>
      <c r="M150" s="351"/>
      <c r="N150" s="351"/>
      <c r="O150" s="1511"/>
      <c r="P150" s="351"/>
      <c r="Q150" s="351"/>
      <c r="R150" s="351"/>
      <c r="S150" s="42"/>
      <c r="T150" s="42"/>
      <c r="U150" s="42"/>
      <c r="V150" s="42"/>
      <c r="W150" s="42"/>
      <c r="X150" s="42"/>
      <c r="Y150" s="42"/>
      <c r="Z150" s="42"/>
      <c r="AA150" s="42"/>
      <c r="AB150" s="42"/>
      <c r="AC150" s="42"/>
      <c r="AD150" s="42"/>
      <c r="AE150" s="42"/>
      <c r="AH150" s="1521"/>
    </row>
    <row r="151" spans="2:34" s="347" customFormat="1" x14ac:dyDescent="0.25">
      <c r="B151" s="1511"/>
      <c r="C151" s="1511"/>
      <c r="D151" s="1511"/>
      <c r="F151" s="1511"/>
      <c r="G151" s="1511"/>
      <c r="I151" s="1511"/>
      <c r="J151" s="1511"/>
      <c r="K151" s="1511"/>
      <c r="M151" s="351"/>
      <c r="N151" s="351"/>
      <c r="O151" s="1511"/>
      <c r="P151" s="351"/>
      <c r="Q151" s="351"/>
      <c r="R151" s="351"/>
      <c r="S151" s="42"/>
      <c r="T151" s="42"/>
      <c r="U151" s="42"/>
      <c r="V151" s="42"/>
      <c r="W151" s="42"/>
      <c r="X151" s="42"/>
      <c r="Y151" s="42"/>
      <c r="Z151" s="42"/>
      <c r="AA151" s="42"/>
      <c r="AB151" s="42"/>
      <c r="AC151" s="42"/>
      <c r="AD151" s="42"/>
      <c r="AE151" s="42"/>
      <c r="AH151" s="1521"/>
    </row>
    <row r="152" spans="2:34" s="347" customFormat="1" x14ac:dyDescent="0.25">
      <c r="B152" s="1511"/>
      <c r="C152" s="1511"/>
      <c r="D152" s="1511"/>
      <c r="F152" s="1511"/>
      <c r="G152" s="1511"/>
      <c r="I152" s="1511"/>
      <c r="J152" s="1511"/>
      <c r="K152" s="1511"/>
      <c r="M152" s="351"/>
      <c r="N152" s="351"/>
      <c r="O152" s="1511"/>
      <c r="P152" s="351"/>
      <c r="Q152" s="351"/>
      <c r="R152" s="351"/>
      <c r="S152" s="42"/>
      <c r="T152" s="42"/>
      <c r="U152" s="42"/>
      <c r="V152" s="42"/>
      <c r="W152" s="42"/>
      <c r="X152" s="42"/>
      <c r="Y152" s="42"/>
      <c r="Z152" s="42"/>
      <c r="AA152" s="42"/>
      <c r="AB152" s="42"/>
      <c r="AC152" s="42"/>
      <c r="AD152" s="42"/>
      <c r="AE152" s="42"/>
      <c r="AH152" s="1521"/>
    </row>
    <row r="153" spans="2:34" s="347" customFormat="1" x14ac:dyDescent="0.25">
      <c r="B153" s="1511"/>
      <c r="C153" s="1511"/>
      <c r="D153" s="1511"/>
      <c r="F153" s="1511"/>
      <c r="G153" s="1511"/>
      <c r="I153" s="1511"/>
      <c r="J153" s="1511"/>
      <c r="K153" s="1511"/>
      <c r="M153" s="351"/>
      <c r="N153" s="351"/>
      <c r="O153" s="1511"/>
      <c r="P153" s="351"/>
      <c r="Q153" s="351"/>
      <c r="R153" s="351"/>
      <c r="S153" s="42"/>
      <c r="T153" s="42"/>
      <c r="U153" s="42"/>
      <c r="V153" s="42"/>
      <c r="W153" s="42"/>
      <c r="X153" s="42"/>
      <c r="Y153" s="42"/>
      <c r="Z153" s="42"/>
      <c r="AA153" s="42"/>
      <c r="AB153" s="42"/>
      <c r="AC153" s="42"/>
      <c r="AD153" s="42"/>
      <c r="AE153" s="42"/>
      <c r="AH153" s="1521"/>
    </row>
    <row r="154" spans="2:34" s="347" customFormat="1" x14ac:dyDescent="0.25">
      <c r="B154" s="1511"/>
      <c r="C154" s="1511"/>
      <c r="D154" s="1511"/>
      <c r="F154" s="1511"/>
      <c r="G154" s="1511"/>
      <c r="I154" s="1511"/>
      <c r="J154" s="1511"/>
      <c r="K154" s="1511"/>
      <c r="M154" s="351"/>
      <c r="N154" s="351"/>
      <c r="O154" s="1511"/>
      <c r="P154" s="351"/>
      <c r="Q154" s="351"/>
      <c r="R154" s="351"/>
      <c r="S154" s="42"/>
      <c r="T154" s="42"/>
      <c r="U154" s="42"/>
      <c r="V154" s="42"/>
      <c r="W154" s="42"/>
      <c r="X154" s="42"/>
      <c r="Y154" s="42"/>
      <c r="Z154" s="42"/>
      <c r="AA154" s="42"/>
      <c r="AB154" s="42"/>
      <c r="AC154" s="42"/>
      <c r="AD154" s="42"/>
      <c r="AE154" s="42"/>
      <c r="AH154" s="1521"/>
    </row>
    <row r="155" spans="2:34" s="347" customFormat="1" x14ac:dyDescent="0.25">
      <c r="B155" s="1511"/>
      <c r="C155" s="1511"/>
      <c r="D155" s="1511"/>
      <c r="F155" s="1511"/>
      <c r="G155" s="1511"/>
      <c r="I155" s="1511"/>
      <c r="J155" s="1511"/>
      <c r="K155" s="1511"/>
      <c r="M155" s="351"/>
      <c r="N155" s="351"/>
      <c r="O155" s="1511"/>
      <c r="P155" s="351"/>
      <c r="Q155" s="351"/>
      <c r="R155" s="351"/>
      <c r="S155" s="42"/>
      <c r="T155" s="42"/>
      <c r="U155" s="42"/>
      <c r="V155" s="42"/>
      <c r="W155" s="42"/>
      <c r="X155" s="42"/>
      <c r="Y155" s="42"/>
      <c r="Z155" s="42"/>
      <c r="AA155" s="42"/>
      <c r="AB155" s="42"/>
      <c r="AC155" s="42"/>
      <c r="AD155" s="42"/>
      <c r="AE155" s="42"/>
      <c r="AH155" s="1521"/>
    </row>
    <row r="156" spans="2:34" s="347" customFormat="1" x14ac:dyDescent="0.25">
      <c r="B156" s="1511"/>
      <c r="C156" s="1511"/>
      <c r="D156" s="1511"/>
      <c r="F156" s="1511"/>
      <c r="G156" s="1511"/>
      <c r="I156" s="1511"/>
      <c r="J156" s="1511"/>
      <c r="K156" s="1511"/>
      <c r="M156" s="351"/>
      <c r="N156" s="351"/>
      <c r="O156" s="1511"/>
      <c r="P156" s="351"/>
      <c r="Q156" s="351"/>
      <c r="R156" s="351"/>
      <c r="S156" s="42"/>
      <c r="T156" s="42"/>
      <c r="U156" s="42"/>
      <c r="V156" s="42"/>
      <c r="W156" s="42"/>
      <c r="X156" s="42"/>
      <c r="Y156" s="42"/>
      <c r="Z156" s="42"/>
      <c r="AA156" s="42"/>
      <c r="AB156" s="42"/>
      <c r="AC156" s="42"/>
      <c r="AD156" s="42"/>
      <c r="AE156" s="42"/>
      <c r="AH156" s="1521"/>
    </row>
    <row r="157" spans="2:34" s="347" customFormat="1" x14ac:dyDescent="0.25">
      <c r="B157" s="1511"/>
      <c r="C157" s="1511"/>
      <c r="D157" s="1511"/>
      <c r="F157" s="1511"/>
      <c r="G157" s="1511"/>
      <c r="I157" s="1511"/>
      <c r="J157" s="1511"/>
      <c r="K157" s="1511"/>
      <c r="M157" s="351"/>
      <c r="N157" s="351"/>
      <c r="O157" s="1511"/>
      <c r="P157" s="351"/>
      <c r="Q157" s="351"/>
      <c r="R157" s="351"/>
      <c r="S157" s="42"/>
      <c r="T157" s="42"/>
      <c r="U157" s="42"/>
      <c r="V157" s="42"/>
      <c r="W157" s="42"/>
      <c r="X157" s="42"/>
      <c r="Y157" s="42"/>
      <c r="Z157" s="42"/>
      <c r="AA157" s="42"/>
      <c r="AB157" s="42"/>
      <c r="AC157" s="42"/>
      <c r="AD157" s="42"/>
      <c r="AE157" s="42"/>
      <c r="AH157" s="1521"/>
    </row>
    <row r="158" spans="2:34" s="347" customFormat="1" x14ac:dyDescent="0.25">
      <c r="B158" s="1511"/>
      <c r="C158" s="1511"/>
      <c r="D158" s="1511"/>
      <c r="F158" s="1511"/>
      <c r="G158" s="1511"/>
      <c r="I158" s="1511"/>
      <c r="J158" s="1511"/>
      <c r="K158" s="1511"/>
      <c r="M158" s="351"/>
      <c r="N158" s="351"/>
      <c r="O158" s="1511"/>
      <c r="P158" s="351"/>
      <c r="Q158" s="351"/>
      <c r="R158" s="351"/>
      <c r="S158" s="42"/>
      <c r="T158" s="42"/>
      <c r="U158" s="42"/>
      <c r="V158" s="42"/>
      <c r="W158" s="42"/>
      <c r="X158" s="42"/>
      <c r="Y158" s="42"/>
      <c r="Z158" s="42"/>
      <c r="AA158" s="42"/>
      <c r="AB158" s="42"/>
      <c r="AC158" s="42"/>
      <c r="AD158" s="42"/>
      <c r="AE158" s="42"/>
      <c r="AH158" s="1521"/>
    </row>
    <row r="159" spans="2:34" s="347" customFormat="1" x14ac:dyDescent="0.25">
      <c r="B159" s="1511"/>
      <c r="C159" s="1511"/>
      <c r="D159" s="1511"/>
      <c r="F159" s="1511"/>
      <c r="G159" s="1511"/>
      <c r="I159" s="1511"/>
      <c r="J159" s="1511"/>
      <c r="K159" s="1511"/>
      <c r="M159" s="351"/>
      <c r="N159" s="351"/>
      <c r="O159" s="1511"/>
      <c r="P159" s="351"/>
      <c r="Q159" s="351"/>
      <c r="R159" s="351"/>
      <c r="S159" s="42"/>
      <c r="T159" s="42"/>
      <c r="U159" s="42"/>
      <c r="V159" s="42"/>
      <c r="W159" s="42"/>
      <c r="X159" s="42"/>
      <c r="Y159" s="42"/>
      <c r="Z159" s="42"/>
      <c r="AA159" s="42"/>
      <c r="AB159" s="42"/>
      <c r="AC159" s="42"/>
      <c r="AD159" s="42"/>
      <c r="AE159" s="42"/>
      <c r="AH159" s="1521"/>
    </row>
    <row r="160" spans="2:34" s="347" customFormat="1" x14ac:dyDescent="0.25">
      <c r="B160" s="1511"/>
      <c r="C160" s="1511"/>
      <c r="D160" s="1511"/>
      <c r="F160" s="1511"/>
      <c r="G160" s="1511"/>
      <c r="I160" s="1511"/>
      <c r="J160" s="1511"/>
      <c r="K160" s="1511"/>
      <c r="M160" s="351"/>
      <c r="N160" s="351"/>
      <c r="O160" s="1511"/>
      <c r="P160" s="351"/>
      <c r="Q160" s="351"/>
      <c r="R160" s="351"/>
      <c r="S160" s="42"/>
      <c r="T160" s="42"/>
      <c r="U160" s="42"/>
      <c r="V160" s="42"/>
      <c r="W160" s="42"/>
      <c r="X160" s="42"/>
      <c r="Y160" s="42"/>
      <c r="Z160" s="42"/>
      <c r="AA160" s="42"/>
      <c r="AB160" s="42"/>
      <c r="AC160" s="42"/>
      <c r="AD160" s="42"/>
      <c r="AE160" s="42"/>
      <c r="AH160" s="1521"/>
    </row>
    <row r="161" spans="2:34" s="347" customFormat="1" x14ac:dyDescent="0.25">
      <c r="B161" s="1511"/>
      <c r="C161" s="1511"/>
      <c r="D161" s="1511"/>
      <c r="F161" s="1511"/>
      <c r="G161" s="1511"/>
      <c r="I161" s="1511"/>
      <c r="J161" s="1511"/>
      <c r="K161" s="1511"/>
      <c r="M161" s="351"/>
      <c r="N161" s="351"/>
      <c r="O161" s="1511"/>
      <c r="P161" s="351"/>
      <c r="Q161" s="351"/>
      <c r="R161" s="351"/>
      <c r="S161" s="42"/>
      <c r="T161" s="42"/>
      <c r="U161" s="42"/>
      <c r="V161" s="42"/>
      <c r="W161" s="42"/>
      <c r="X161" s="42"/>
      <c r="Y161" s="42"/>
      <c r="Z161" s="42"/>
      <c r="AA161" s="42"/>
      <c r="AB161" s="42"/>
      <c r="AC161" s="42"/>
      <c r="AD161" s="42"/>
      <c r="AE161" s="42"/>
      <c r="AH161" s="1521"/>
    </row>
    <row r="162" spans="2:34" s="347" customFormat="1" x14ac:dyDescent="0.25">
      <c r="B162" s="1511"/>
      <c r="C162" s="1511"/>
      <c r="D162" s="1511"/>
      <c r="F162" s="1511"/>
      <c r="G162" s="1511"/>
      <c r="I162" s="1511"/>
      <c r="J162" s="1511"/>
      <c r="K162" s="1511"/>
      <c r="M162" s="351"/>
      <c r="N162" s="351"/>
      <c r="O162" s="1511"/>
      <c r="P162" s="351"/>
      <c r="Q162" s="351"/>
      <c r="R162" s="351"/>
      <c r="S162" s="42"/>
      <c r="T162" s="42"/>
      <c r="U162" s="42"/>
      <c r="V162" s="42"/>
      <c r="W162" s="42"/>
      <c r="X162" s="42"/>
      <c r="Y162" s="42"/>
      <c r="Z162" s="42"/>
      <c r="AA162" s="42"/>
      <c r="AB162" s="42"/>
      <c r="AC162" s="42"/>
      <c r="AD162" s="42"/>
      <c r="AE162" s="42"/>
      <c r="AH162" s="1521"/>
    </row>
    <row r="163" spans="2:34" s="347" customFormat="1" x14ac:dyDescent="0.25">
      <c r="B163" s="1511"/>
      <c r="C163" s="1511"/>
      <c r="D163" s="1511"/>
      <c r="F163" s="1511"/>
      <c r="G163" s="1511"/>
      <c r="I163" s="1511"/>
      <c r="J163" s="1511"/>
      <c r="K163" s="1511"/>
      <c r="M163" s="351"/>
      <c r="N163" s="351"/>
      <c r="O163" s="1511"/>
      <c r="P163" s="351"/>
      <c r="Q163" s="351"/>
      <c r="R163" s="351"/>
      <c r="S163" s="42"/>
      <c r="T163" s="42"/>
      <c r="U163" s="42"/>
      <c r="V163" s="42"/>
      <c r="W163" s="42"/>
      <c r="X163" s="42"/>
      <c r="Y163" s="42"/>
      <c r="Z163" s="42"/>
      <c r="AA163" s="42"/>
      <c r="AB163" s="42"/>
      <c r="AC163" s="42"/>
      <c r="AD163" s="42"/>
      <c r="AE163" s="42"/>
      <c r="AH163" s="1521"/>
    </row>
    <row r="164" spans="2:34" s="347" customFormat="1" x14ac:dyDescent="0.25">
      <c r="B164" s="1511"/>
      <c r="C164" s="1511"/>
      <c r="D164" s="1511"/>
      <c r="F164" s="1511"/>
      <c r="G164" s="1511"/>
      <c r="I164" s="1511"/>
      <c r="J164" s="1511"/>
      <c r="K164" s="1511"/>
      <c r="M164" s="351"/>
      <c r="N164" s="351"/>
      <c r="O164" s="1511"/>
      <c r="P164" s="351"/>
      <c r="Q164" s="351"/>
      <c r="R164" s="351"/>
      <c r="S164" s="42"/>
      <c r="T164" s="42"/>
      <c r="U164" s="42"/>
      <c r="V164" s="42"/>
      <c r="W164" s="42"/>
      <c r="X164" s="42"/>
      <c r="Y164" s="42"/>
      <c r="Z164" s="42"/>
      <c r="AA164" s="42"/>
      <c r="AB164" s="42"/>
      <c r="AC164" s="42"/>
      <c r="AD164" s="42"/>
      <c r="AE164" s="42"/>
      <c r="AH164" s="1521"/>
    </row>
    <row r="165" spans="2:34" s="347" customFormat="1" x14ac:dyDescent="0.25">
      <c r="B165" s="1511"/>
      <c r="C165" s="1511"/>
      <c r="D165" s="1511"/>
      <c r="F165" s="1511"/>
      <c r="G165" s="1511"/>
      <c r="I165" s="1511"/>
      <c r="J165" s="1511"/>
      <c r="K165" s="1511"/>
      <c r="M165" s="351"/>
      <c r="N165" s="351"/>
      <c r="O165" s="1511"/>
      <c r="P165" s="351"/>
      <c r="Q165" s="351"/>
      <c r="R165" s="351"/>
      <c r="S165" s="42"/>
      <c r="T165" s="42"/>
      <c r="U165" s="42"/>
      <c r="V165" s="42"/>
      <c r="W165" s="42"/>
      <c r="X165" s="42"/>
      <c r="Y165" s="42"/>
      <c r="Z165" s="42"/>
      <c r="AA165" s="42"/>
      <c r="AB165" s="42"/>
      <c r="AC165" s="42"/>
      <c r="AD165" s="42"/>
      <c r="AE165" s="42"/>
      <c r="AH165" s="1521"/>
    </row>
    <row r="166" spans="2:34" s="347" customFormat="1" x14ac:dyDescent="0.25">
      <c r="B166" s="1511"/>
      <c r="C166" s="1511"/>
      <c r="D166" s="1511"/>
      <c r="F166" s="1511"/>
      <c r="G166" s="1511"/>
      <c r="I166" s="1511"/>
      <c r="J166" s="1511"/>
      <c r="K166" s="1511"/>
      <c r="M166" s="351"/>
      <c r="N166" s="351"/>
      <c r="O166" s="1511"/>
      <c r="P166" s="351"/>
      <c r="Q166" s="351"/>
      <c r="R166" s="351"/>
      <c r="S166" s="42"/>
      <c r="T166" s="42"/>
      <c r="U166" s="42"/>
      <c r="V166" s="42"/>
      <c r="W166" s="42"/>
      <c r="X166" s="42"/>
      <c r="Y166" s="42"/>
      <c r="Z166" s="42"/>
      <c r="AA166" s="42"/>
      <c r="AB166" s="42"/>
      <c r="AC166" s="42"/>
      <c r="AD166" s="42"/>
      <c r="AE166" s="42"/>
      <c r="AH166" s="1521"/>
    </row>
    <row r="167" spans="2:34" s="347" customFormat="1" x14ac:dyDescent="0.25">
      <c r="B167" s="1511"/>
      <c r="C167" s="1511"/>
      <c r="D167" s="1511"/>
      <c r="F167" s="1511"/>
      <c r="G167" s="1511"/>
      <c r="I167" s="1511"/>
      <c r="J167" s="1511"/>
      <c r="K167" s="1511"/>
      <c r="M167" s="351"/>
      <c r="N167" s="351"/>
      <c r="O167" s="1511"/>
      <c r="P167" s="351"/>
      <c r="Q167" s="351"/>
      <c r="R167" s="351"/>
      <c r="S167" s="42"/>
      <c r="T167" s="42"/>
      <c r="U167" s="42"/>
      <c r="V167" s="42"/>
      <c r="W167" s="42"/>
      <c r="X167" s="42"/>
      <c r="Y167" s="42"/>
      <c r="Z167" s="42"/>
      <c r="AA167" s="42"/>
      <c r="AB167" s="42"/>
      <c r="AC167" s="42"/>
      <c r="AD167" s="42"/>
      <c r="AE167" s="42"/>
      <c r="AH167" s="1521"/>
    </row>
    <row r="168" spans="2:34" s="347" customFormat="1" x14ac:dyDescent="0.25">
      <c r="B168" s="1511"/>
      <c r="C168" s="1511"/>
      <c r="D168" s="1511"/>
      <c r="F168" s="1511"/>
      <c r="G168" s="1511"/>
      <c r="I168" s="1511"/>
      <c r="J168" s="1511"/>
      <c r="K168" s="1511"/>
      <c r="M168" s="351"/>
      <c r="N168" s="351"/>
      <c r="O168" s="1511"/>
      <c r="P168" s="351"/>
      <c r="Q168" s="351"/>
      <c r="R168" s="351"/>
      <c r="S168" s="42"/>
      <c r="T168" s="42"/>
      <c r="U168" s="42"/>
      <c r="V168" s="42"/>
      <c r="W168" s="42"/>
      <c r="X168" s="42"/>
      <c r="Y168" s="42"/>
      <c r="Z168" s="42"/>
      <c r="AA168" s="42"/>
      <c r="AB168" s="42"/>
      <c r="AC168" s="42"/>
      <c r="AD168" s="42"/>
      <c r="AE168" s="42"/>
      <c r="AH168" s="1521"/>
    </row>
    <row r="169" spans="2:34" s="347" customFormat="1" x14ac:dyDescent="0.25">
      <c r="B169" s="1511"/>
      <c r="C169" s="1511"/>
      <c r="D169" s="1511"/>
      <c r="F169" s="1511"/>
      <c r="G169" s="1511"/>
      <c r="I169" s="1511"/>
      <c r="J169" s="1511"/>
      <c r="K169" s="1511"/>
      <c r="M169" s="351"/>
      <c r="N169" s="351"/>
      <c r="O169" s="1511"/>
      <c r="P169" s="351"/>
      <c r="Q169" s="351"/>
      <c r="R169" s="351"/>
      <c r="S169" s="42"/>
      <c r="T169" s="42"/>
      <c r="U169" s="42"/>
      <c r="V169" s="42"/>
      <c r="W169" s="42"/>
      <c r="X169" s="42"/>
      <c r="Y169" s="42"/>
      <c r="Z169" s="42"/>
      <c r="AA169" s="42"/>
      <c r="AB169" s="42"/>
      <c r="AC169" s="42"/>
      <c r="AD169" s="42"/>
      <c r="AE169" s="42"/>
      <c r="AH169" s="1521"/>
    </row>
    <row r="170" spans="2:34" s="347" customFormat="1" x14ac:dyDescent="0.25">
      <c r="B170" s="1511"/>
      <c r="C170" s="1511"/>
      <c r="D170" s="1511"/>
      <c r="F170" s="1511"/>
      <c r="G170" s="1511"/>
      <c r="I170" s="1511"/>
      <c r="J170" s="1511"/>
      <c r="K170" s="1511"/>
      <c r="M170" s="351"/>
      <c r="N170" s="351"/>
      <c r="O170" s="1511"/>
      <c r="P170" s="351"/>
      <c r="Q170" s="351"/>
      <c r="R170" s="351"/>
      <c r="S170" s="42"/>
      <c r="T170" s="42"/>
      <c r="U170" s="42"/>
      <c r="V170" s="42"/>
      <c r="W170" s="42"/>
      <c r="X170" s="42"/>
      <c r="Y170" s="42"/>
      <c r="Z170" s="42"/>
      <c r="AA170" s="42"/>
      <c r="AB170" s="42"/>
      <c r="AC170" s="42"/>
      <c r="AD170" s="42"/>
      <c r="AE170" s="42"/>
      <c r="AH170" s="1521"/>
    </row>
    <row r="171" spans="2:34" s="347" customFormat="1" x14ac:dyDescent="0.25">
      <c r="B171" s="1511"/>
      <c r="C171" s="1511"/>
      <c r="D171" s="1511"/>
      <c r="F171" s="1511"/>
      <c r="G171" s="1511"/>
      <c r="I171" s="1511"/>
      <c r="J171" s="1511"/>
      <c r="K171" s="1511"/>
      <c r="M171" s="351"/>
      <c r="N171" s="351"/>
      <c r="O171" s="1511"/>
      <c r="P171" s="351"/>
      <c r="Q171" s="351"/>
      <c r="R171" s="351"/>
      <c r="S171" s="42"/>
      <c r="T171" s="42"/>
      <c r="U171" s="42"/>
      <c r="V171" s="42"/>
      <c r="W171" s="42"/>
      <c r="X171" s="42"/>
      <c r="Y171" s="42"/>
      <c r="Z171" s="42"/>
      <c r="AA171" s="42"/>
      <c r="AB171" s="42"/>
      <c r="AC171" s="42"/>
      <c r="AD171" s="42"/>
      <c r="AE171" s="42"/>
      <c r="AH171" s="1521"/>
    </row>
    <row r="172" spans="2:34" s="347" customFormat="1" x14ac:dyDescent="0.25">
      <c r="B172" s="1511"/>
      <c r="C172" s="1511"/>
      <c r="D172" s="1511"/>
      <c r="F172" s="1511"/>
      <c r="G172" s="1511"/>
      <c r="I172" s="1511"/>
      <c r="J172" s="1511"/>
      <c r="K172" s="1511"/>
      <c r="M172" s="351"/>
      <c r="N172" s="351"/>
      <c r="O172" s="1511"/>
      <c r="P172" s="351"/>
      <c r="Q172" s="351"/>
      <c r="R172" s="351"/>
      <c r="S172" s="42"/>
      <c r="T172" s="42"/>
      <c r="U172" s="42"/>
      <c r="V172" s="42"/>
      <c r="W172" s="42"/>
      <c r="X172" s="42"/>
      <c r="Y172" s="42"/>
      <c r="Z172" s="42"/>
      <c r="AA172" s="42"/>
      <c r="AB172" s="42"/>
      <c r="AC172" s="42"/>
      <c r="AD172" s="42"/>
      <c r="AE172" s="42"/>
      <c r="AH172" s="1521"/>
    </row>
    <row r="173" spans="2:34" s="347" customFormat="1" x14ac:dyDescent="0.25">
      <c r="B173" s="1511"/>
      <c r="C173" s="1511"/>
      <c r="D173" s="1511"/>
      <c r="F173" s="1511"/>
      <c r="G173" s="1511"/>
      <c r="I173" s="1511"/>
      <c r="J173" s="1511"/>
      <c r="K173" s="1511"/>
      <c r="M173" s="351"/>
      <c r="N173" s="351"/>
      <c r="O173" s="1511"/>
      <c r="P173" s="351"/>
      <c r="Q173" s="351"/>
      <c r="R173" s="351"/>
      <c r="S173" s="42"/>
      <c r="T173" s="42"/>
      <c r="U173" s="42"/>
      <c r="V173" s="42"/>
      <c r="W173" s="42"/>
      <c r="X173" s="42"/>
      <c r="Y173" s="42"/>
      <c r="Z173" s="42"/>
      <c r="AA173" s="42"/>
      <c r="AB173" s="42"/>
      <c r="AC173" s="42"/>
      <c r="AD173" s="42"/>
      <c r="AE173" s="42"/>
      <c r="AH173" s="1521"/>
    </row>
    <row r="174" spans="2:34" s="347" customFormat="1" x14ac:dyDescent="0.25">
      <c r="B174" s="1511"/>
      <c r="C174" s="1511"/>
      <c r="D174" s="1511"/>
      <c r="F174" s="1511"/>
      <c r="G174" s="1511"/>
      <c r="I174" s="1511"/>
      <c r="J174" s="1511"/>
      <c r="K174" s="1511"/>
      <c r="M174" s="351"/>
      <c r="N174" s="351"/>
      <c r="O174" s="1511"/>
      <c r="P174" s="351"/>
      <c r="Q174" s="351"/>
      <c r="R174" s="351"/>
      <c r="S174" s="42"/>
      <c r="T174" s="42"/>
      <c r="U174" s="42"/>
      <c r="V174" s="42"/>
      <c r="W174" s="42"/>
      <c r="X174" s="42"/>
      <c r="Y174" s="42"/>
      <c r="Z174" s="42"/>
      <c r="AA174" s="42"/>
      <c r="AB174" s="42"/>
      <c r="AC174" s="42"/>
      <c r="AD174" s="42"/>
      <c r="AE174" s="42"/>
      <c r="AH174" s="1521"/>
    </row>
    <row r="175" spans="2:34" s="347" customFormat="1" x14ac:dyDescent="0.25">
      <c r="B175" s="1511"/>
      <c r="C175" s="1511"/>
      <c r="D175" s="1511"/>
      <c r="F175" s="1511"/>
      <c r="G175" s="1511"/>
      <c r="I175" s="1511"/>
      <c r="J175" s="1511"/>
      <c r="K175" s="1511"/>
      <c r="M175" s="351"/>
      <c r="N175" s="351"/>
      <c r="O175" s="1511"/>
      <c r="P175" s="351"/>
      <c r="Q175" s="351"/>
      <c r="R175" s="351"/>
      <c r="S175" s="42"/>
      <c r="T175" s="42"/>
      <c r="U175" s="42"/>
      <c r="V175" s="42"/>
      <c r="W175" s="42"/>
      <c r="X175" s="42"/>
      <c r="Y175" s="42"/>
      <c r="Z175" s="42"/>
      <c r="AA175" s="42"/>
      <c r="AB175" s="42"/>
      <c r="AC175" s="42"/>
      <c r="AD175" s="42"/>
      <c r="AE175" s="42"/>
      <c r="AH175" s="1521"/>
    </row>
    <row r="176" spans="2:34" s="347" customFormat="1" x14ac:dyDescent="0.25">
      <c r="B176" s="1511"/>
      <c r="C176" s="1511"/>
      <c r="D176" s="1511"/>
      <c r="F176" s="1511"/>
      <c r="G176" s="1511"/>
      <c r="I176" s="1511"/>
      <c r="J176" s="1511"/>
      <c r="K176" s="1511"/>
      <c r="M176" s="351"/>
      <c r="N176" s="351"/>
      <c r="O176" s="1511"/>
      <c r="P176" s="351"/>
      <c r="Q176" s="351"/>
      <c r="R176" s="351"/>
      <c r="S176" s="42"/>
      <c r="T176" s="42"/>
      <c r="U176" s="42"/>
      <c r="V176" s="42"/>
      <c r="W176" s="42"/>
      <c r="X176" s="42"/>
      <c r="Y176" s="42"/>
      <c r="Z176" s="42"/>
      <c r="AA176" s="42"/>
      <c r="AB176" s="42"/>
      <c r="AC176" s="42"/>
      <c r="AD176" s="42"/>
      <c r="AE176" s="42"/>
      <c r="AH176" s="1521"/>
    </row>
    <row r="177" spans="2:34" s="347" customFormat="1" x14ac:dyDescent="0.25">
      <c r="B177" s="1511"/>
      <c r="C177" s="1511"/>
      <c r="D177" s="1511"/>
      <c r="F177" s="1511"/>
      <c r="G177" s="1511"/>
      <c r="I177" s="1511"/>
      <c r="J177" s="1511"/>
      <c r="K177" s="1511"/>
      <c r="M177" s="351"/>
      <c r="N177" s="351"/>
      <c r="O177" s="1511"/>
      <c r="P177" s="351"/>
      <c r="Q177" s="351"/>
      <c r="R177" s="351"/>
      <c r="S177" s="42"/>
      <c r="T177" s="42"/>
      <c r="U177" s="42"/>
      <c r="V177" s="42"/>
      <c r="W177" s="42"/>
      <c r="X177" s="42"/>
      <c r="Y177" s="42"/>
      <c r="Z177" s="42"/>
      <c r="AA177" s="42"/>
      <c r="AB177" s="42"/>
      <c r="AC177" s="42"/>
      <c r="AD177" s="42"/>
      <c r="AE177" s="42"/>
      <c r="AH177" s="1521"/>
    </row>
    <row r="178" spans="2:34" s="347" customFormat="1" x14ac:dyDescent="0.25">
      <c r="B178" s="1511"/>
      <c r="C178" s="1511"/>
      <c r="D178" s="1511"/>
      <c r="F178" s="1511"/>
      <c r="G178" s="1511"/>
      <c r="I178" s="1511"/>
      <c r="J178" s="1511"/>
      <c r="K178" s="1511"/>
      <c r="M178" s="351"/>
      <c r="N178" s="351"/>
      <c r="O178" s="1511"/>
      <c r="P178" s="351"/>
      <c r="Q178" s="351"/>
      <c r="R178" s="351"/>
      <c r="S178" s="42"/>
      <c r="T178" s="42"/>
      <c r="U178" s="42"/>
      <c r="V178" s="42"/>
      <c r="W178" s="42"/>
      <c r="X178" s="42"/>
      <c r="Y178" s="42"/>
      <c r="Z178" s="42"/>
      <c r="AA178" s="42"/>
      <c r="AB178" s="42"/>
      <c r="AC178" s="42"/>
      <c r="AD178" s="42"/>
      <c r="AE178" s="42"/>
      <c r="AH178" s="1521"/>
    </row>
    <row r="179" spans="2:34" s="347" customFormat="1" x14ac:dyDescent="0.25">
      <c r="B179" s="1511"/>
      <c r="C179" s="1511"/>
      <c r="D179" s="1511"/>
      <c r="F179" s="1511"/>
      <c r="G179" s="1511"/>
      <c r="I179" s="1511"/>
      <c r="J179" s="1511"/>
      <c r="K179" s="1511"/>
      <c r="M179" s="351"/>
      <c r="N179" s="351"/>
      <c r="O179" s="1511"/>
      <c r="P179" s="351"/>
      <c r="Q179" s="351"/>
      <c r="R179" s="351"/>
      <c r="S179" s="42"/>
      <c r="T179" s="42"/>
      <c r="U179" s="42"/>
      <c r="V179" s="42"/>
      <c r="W179" s="42"/>
      <c r="X179" s="42"/>
      <c r="Y179" s="42"/>
      <c r="Z179" s="42"/>
      <c r="AA179" s="42"/>
      <c r="AB179" s="42"/>
      <c r="AC179" s="42"/>
      <c r="AD179" s="42"/>
      <c r="AE179" s="42"/>
      <c r="AH179" s="1521"/>
    </row>
    <row r="180" spans="2:34" s="347" customFormat="1" x14ac:dyDescent="0.25">
      <c r="B180" s="1511"/>
      <c r="C180" s="1511"/>
      <c r="D180" s="1511"/>
      <c r="F180" s="1511"/>
      <c r="G180" s="1511"/>
      <c r="I180" s="1511"/>
      <c r="J180" s="1511"/>
      <c r="K180" s="1511"/>
      <c r="M180" s="351"/>
      <c r="N180" s="351"/>
      <c r="O180" s="1511"/>
      <c r="P180" s="351"/>
      <c r="Q180" s="351"/>
      <c r="R180" s="351"/>
      <c r="S180" s="42"/>
      <c r="T180" s="42"/>
      <c r="U180" s="42"/>
      <c r="V180" s="42"/>
      <c r="W180" s="42"/>
      <c r="X180" s="42"/>
      <c r="Y180" s="42"/>
      <c r="Z180" s="42"/>
      <c r="AA180" s="42"/>
      <c r="AB180" s="42"/>
      <c r="AC180" s="42"/>
      <c r="AD180" s="42"/>
      <c r="AE180" s="42"/>
      <c r="AH180" s="1521"/>
    </row>
    <row r="181" spans="2:34" s="347" customFormat="1" x14ac:dyDescent="0.25">
      <c r="B181" s="1511"/>
      <c r="C181" s="1511"/>
      <c r="D181" s="1511"/>
      <c r="F181" s="1511"/>
      <c r="G181" s="1511"/>
      <c r="I181" s="1511"/>
      <c r="J181" s="1511"/>
      <c r="K181" s="1511"/>
      <c r="M181" s="351"/>
      <c r="N181" s="351"/>
      <c r="O181" s="1511"/>
      <c r="P181" s="351"/>
      <c r="Q181" s="351"/>
      <c r="R181" s="351"/>
      <c r="S181" s="42"/>
      <c r="T181" s="42"/>
      <c r="U181" s="42"/>
      <c r="V181" s="42"/>
      <c r="W181" s="42"/>
      <c r="X181" s="42"/>
      <c r="Y181" s="42"/>
      <c r="Z181" s="42"/>
      <c r="AA181" s="42"/>
      <c r="AB181" s="42"/>
      <c r="AC181" s="42"/>
      <c r="AD181" s="42"/>
      <c r="AE181" s="42"/>
      <c r="AH181" s="1521"/>
    </row>
    <row r="182" spans="2:34" s="347" customFormat="1" x14ac:dyDescent="0.25">
      <c r="B182" s="1511"/>
      <c r="C182" s="1511"/>
      <c r="D182" s="1511"/>
      <c r="F182" s="1511"/>
      <c r="G182" s="1511"/>
      <c r="I182" s="1511"/>
      <c r="J182" s="1511"/>
      <c r="K182" s="1511"/>
      <c r="M182" s="351"/>
      <c r="N182" s="351"/>
      <c r="O182" s="1511"/>
      <c r="P182" s="351"/>
      <c r="Q182" s="351"/>
      <c r="R182" s="351"/>
      <c r="S182" s="42"/>
      <c r="T182" s="42"/>
      <c r="U182" s="42"/>
      <c r="V182" s="42"/>
      <c r="W182" s="42"/>
      <c r="X182" s="42"/>
      <c r="Y182" s="42"/>
      <c r="Z182" s="42"/>
      <c r="AA182" s="42"/>
      <c r="AB182" s="42"/>
      <c r="AC182" s="42"/>
      <c r="AD182" s="42"/>
      <c r="AE182" s="42"/>
      <c r="AH182" s="1521"/>
    </row>
    <row r="183" spans="2:34" s="347" customFormat="1" x14ac:dyDescent="0.25">
      <c r="B183" s="1511"/>
      <c r="C183" s="1511"/>
      <c r="D183" s="1511"/>
      <c r="F183" s="1511"/>
      <c r="G183" s="1511"/>
      <c r="I183" s="1511"/>
      <c r="J183" s="1511"/>
      <c r="K183" s="1511"/>
      <c r="M183" s="351"/>
      <c r="N183" s="351"/>
      <c r="O183" s="1511"/>
      <c r="P183" s="351"/>
      <c r="Q183" s="351"/>
      <c r="R183" s="351"/>
      <c r="S183" s="42"/>
      <c r="T183" s="42"/>
      <c r="U183" s="42"/>
      <c r="V183" s="42"/>
      <c r="W183" s="42"/>
      <c r="X183" s="42"/>
      <c r="Y183" s="42"/>
      <c r="Z183" s="42"/>
      <c r="AA183" s="42"/>
      <c r="AB183" s="42"/>
      <c r="AC183" s="42"/>
      <c r="AD183" s="42"/>
      <c r="AE183" s="42"/>
      <c r="AH183" s="1521"/>
    </row>
    <row r="184" spans="2:34" s="347" customFormat="1" x14ac:dyDescent="0.25">
      <c r="B184" s="1511"/>
      <c r="C184" s="1511"/>
      <c r="D184" s="1511"/>
      <c r="F184" s="1511"/>
      <c r="G184" s="1511"/>
      <c r="I184" s="1511"/>
      <c r="J184" s="1511"/>
      <c r="K184" s="1511"/>
      <c r="M184" s="351"/>
      <c r="N184" s="351"/>
      <c r="O184" s="1511"/>
      <c r="P184" s="351"/>
      <c r="Q184" s="351"/>
      <c r="R184" s="351"/>
      <c r="S184" s="42"/>
      <c r="T184" s="42"/>
      <c r="U184" s="42"/>
      <c r="V184" s="42"/>
      <c r="W184" s="42"/>
      <c r="X184" s="42"/>
      <c r="Y184" s="42"/>
      <c r="Z184" s="42"/>
      <c r="AA184" s="42"/>
      <c r="AB184" s="42"/>
      <c r="AC184" s="42"/>
      <c r="AD184" s="42"/>
      <c r="AE184" s="42"/>
      <c r="AH184" s="1521"/>
    </row>
    <row r="185" spans="2:34" s="347" customFormat="1" x14ac:dyDescent="0.25">
      <c r="B185" s="1511"/>
      <c r="C185" s="1511"/>
      <c r="D185" s="1511"/>
      <c r="F185" s="1511"/>
      <c r="G185" s="1511"/>
      <c r="I185" s="1511"/>
      <c r="J185" s="1511"/>
      <c r="K185" s="1511"/>
      <c r="M185" s="351"/>
      <c r="N185" s="351"/>
      <c r="O185" s="1511"/>
      <c r="P185" s="351"/>
      <c r="Q185" s="351"/>
      <c r="R185" s="351"/>
      <c r="S185" s="42"/>
      <c r="T185" s="42"/>
      <c r="U185" s="42"/>
      <c r="V185" s="42"/>
      <c r="W185" s="42"/>
      <c r="X185" s="42"/>
      <c r="Y185" s="42"/>
      <c r="Z185" s="42"/>
      <c r="AA185" s="42"/>
      <c r="AB185" s="42"/>
      <c r="AC185" s="42"/>
      <c r="AD185" s="42"/>
      <c r="AE185" s="42"/>
      <c r="AH185" s="1521"/>
    </row>
    <row r="186" spans="2:34" s="347" customFormat="1" x14ac:dyDescent="0.25">
      <c r="B186" s="1511"/>
      <c r="C186" s="1511"/>
      <c r="D186" s="1511"/>
      <c r="F186" s="1511"/>
      <c r="G186" s="1511"/>
      <c r="I186" s="1511"/>
      <c r="J186" s="1511"/>
      <c r="K186" s="1511"/>
      <c r="M186" s="351"/>
      <c r="N186" s="351"/>
      <c r="O186" s="1511"/>
      <c r="P186" s="351"/>
      <c r="Q186" s="351"/>
      <c r="R186" s="351"/>
      <c r="S186" s="42"/>
      <c r="T186" s="42"/>
      <c r="U186" s="42"/>
      <c r="V186" s="42"/>
      <c r="W186" s="42"/>
      <c r="X186" s="42"/>
      <c r="Y186" s="42"/>
      <c r="Z186" s="42"/>
      <c r="AA186" s="42"/>
      <c r="AB186" s="42"/>
      <c r="AC186" s="42"/>
      <c r="AD186" s="42"/>
      <c r="AE186" s="42"/>
      <c r="AH186" s="1521"/>
    </row>
    <row r="187" spans="2:34" s="347" customFormat="1" x14ac:dyDescent="0.25">
      <c r="B187" s="1511"/>
      <c r="C187" s="1511"/>
      <c r="D187" s="1511"/>
      <c r="F187" s="1511"/>
      <c r="G187" s="1511"/>
      <c r="I187" s="1511"/>
      <c r="J187" s="1511"/>
      <c r="K187" s="1511"/>
      <c r="M187" s="351"/>
      <c r="N187" s="351"/>
      <c r="O187" s="1511"/>
      <c r="P187" s="351"/>
      <c r="Q187" s="351"/>
      <c r="R187" s="351"/>
      <c r="S187" s="42"/>
      <c r="T187" s="42"/>
      <c r="U187" s="42"/>
      <c r="V187" s="42"/>
      <c r="W187" s="42"/>
      <c r="X187" s="42"/>
      <c r="Y187" s="42"/>
      <c r="Z187" s="42"/>
      <c r="AA187" s="42"/>
      <c r="AB187" s="42"/>
      <c r="AC187" s="42"/>
      <c r="AD187" s="42"/>
      <c r="AE187" s="42"/>
      <c r="AH187" s="1521"/>
    </row>
    <row r="188" spans="2:34" s="347" customFormat="1" x14ac:dyDescent="0.25">
      <c r="B188" s="1511"/>
      <c r="C188" s="1511"/>
      <c r="D188" s="1511"/>
      <c r="F188" s="1511"/>
      <c r="G188" s="1511"/>
      <c r="I188" s="1511"/>
      <c r="J188" s="1511"/>
      <c r="K188" s="1511"/>
      <c r="M188" s="351"/>
      <c r="N188" s="351"/>
      <c r="O188" s="1511"/>
      <c r="P188" s="351"/>
      <c r="Q188" s="351"/>
      <c r="R188" s="351"/>
      <c r="S188" s="42"/>
      <c r="T188" s="42"/>
      <c r="U188" s="42"/>
      <c r="V188" s="42"/>
      <c r="W188" s="42"/>
      <c r="X188" s="42"/>
      <c r="Y188" s="42"/>
      <c r="Z188" s="42"/>
      <c r="AA188" s="42"/>
      <c r="AB188" s="42"/>
      <c r="AC188" s="42"/>
      <c r="AD188" s="42"/>
      <c r="AE188" s="42"/>
      <c r="AH188" s="1521"/>
    </row>
    <row r="189" spans="2:34" s="347" customFormat="1" x14ac:dyDescent="0.25">
      <c r="B189" s="1511"/>
      <c r="C189" s="1511"/>
      <c r="D189" s="1511"/>
      <c r="F189" s="1511"/>
      <c r="G189" s="1511"/>
      <c r="I189" s="1511"/>
      <c r="J189" s="1511"/>
      <c r="K189" s="1511"/>
      <c r="M189" s="351"/>
      <c r="N189" s="351"/>
      <c r="O189" s="1511"/>
      <c r="P189" s="351"/>
      <c r="Q189" s="351"/>
      <c r="R189" s="351"/>
      <c r="S189" s="42"/>
      <c r="T189" s="42"/>
      <c r="U189" s="42"/>
      <c r="V189" s="42"/>
      <c r="W189" s="42"/>
      <c r="X189" s="42"/>
      <c r="Y189" s="42"/>
      <c r="Z189" s="42"/>
      <c r="AA189" s="42"/>
      <c r="AB189" s="42"/>
      <c r="AC189" s="42"/>
      <c r="AD189" s="42"/>
      <c r="AE189" s="42"/>
      <c r="AH189" s="1521"/>
    </row>
    <row r="190" spans="2:34" s="347" customFormat="1" x14ac:dyDescent="0.25">
      <c r="B190" s="1511"/>
      <c r="C190" s="1511"/>
      <c r="D190" s="1511"/>
      <c r="F190" s="1511"/>
      <c r="G190" s="1511"/>
      <c r="I190" s="1511"/>
      <c r="J190" s="1511"/>
      <c r="K190" s="1511"/>
      <c r="M190" s="351"/>
      <c r="N190" s="351"/>
      <c r="O190" s="1511"/>
      <c r="P190" s="351"/>
      <c r="Q190" s="351"/>
      <c r="R190" s="351"/>
      <c r="S190" s="42"/>
      <c r="T190" s="42"/>
      <c r="U190" s="42"/>
      <c r="V190" s="42"/>
      <c r="W190" s="42"/>
      <c r="X190" s="42"/>
      <c r="Y190" s="42"/>
      <c r="Z190" s="42"/>
      <c r="AA190" s="42"/>
      <c r="AB190" s="42"/>
      <c r="AC190" s="42"/>
      <c r="AD190" s="42"/>
      <c r="AE190" s="42"/>
      <c r="AH190" s="1521"/>
    </row>
    <row r="191" spans="2:34" s="347" customFormat="1" x14ac:dyDescent="0.25">
      <c r="B191" s="1511"/>
      <c r="C191" s="1511"/>
      <c r="D191" s="1511"/>
      <c r="F191" s="1511"/>
      <c r="G191" s="1511"/>
      <c r="I191" s="1511"/>
      <c r="J191" s="1511"/>
      <c r="K191" s="1511"/>
      <c r="M191" s="351"/>
      <c r="N191" s="351"/>
      <c r="O191" s="1511"/>
      <c r="P191" s="351"/>
      <c r="Q191" s="351"/>
      <c r="R191" s="351"/>
      <c r="S191" s="42"/>
      <c r="T191" s="42"/>
      <c r="U191" s="42"/>
      <c r="V191" s="42"/>
      <c r="W191" s="42"/>
      <c r="X191" s="42"/>
      <c r="Y191" s="42"/>
      <c r="Z191" s="42"/>
      <c r="AA191" s="42"/>
      <c r="AB191" s="42"/>
      <c r="AC191" s="42"/>
      <c r="AD191" s="42"/>
      <c r="AE191" s="42"/>
      <c r="AH191" s="1521"/>
    </row>
    <row r="192" spans="2:34" s="347" customFormat="1" x14ac:dyDescent="0.25">
      <c r="B192" s="1511"/>
      <c r="C192" s="1511"/>
      <c r="D192" s="1511"/>
      <c r="F192" s="1511"/>
      <c r="G192" s="1511"/>
      <c r="I192" s="1511"/>
      <c r="J192" s="1511"/>
      <c r="K192" s="1511"/>
      <c r="M192" s="351"/>
      <c r="N192" s="351"/>
      <c r="O192" s="1511"/>
      <c r="P192" s="351"/>
      <c r="Q192" s="351"/>
      <c r="R192" s="351"/>
      <c r="S192" s="42"/>
      <c r="T192" s="42"/>
      <c r="U192" s="42"/>
      <c r="V192" s="42"/>
      <c r="W192" s="42"/>
      <c r="X192" s="42"/>
      <c r="Y192" s="42"/>
      <c r="Z192" s="42"/>
      <c r="AA192" s="42"/>
      <c r="AB192" s="42"/>
      <c r="AC192" s="42"/>
      <c r="AD192" s="42"/>
      <c r="AE192" s="42"/>
      <c r="AH192" s="1521"/>
    </row>
    <row r="193" spans="2:34" s="347" customFormat="1" x14ac:dyDescent="0.25">
      <c r="B193" s="1511"/>
      <c r="C193" s="1511"/>
      <c r="D193" s="1511"/>
      <c r="F193" s="1511"/>
      <c r="G193" s="1511"/>
      <c r="I193" s="1511"/>
      <c r="J193" s="1511"/>
      <c r="K193" s="1511"/>
      <c r="M193" s="351"/>
      <c r="N193" s="351"/>
      <c r="O193" s="1511"/>
      <c r="P193" s="351"/>
      <c r="Q193" s="351"/>
      <c r="R193" s="351"/>
      <c r="S193" s="42"/>
      <c r="T193" s="42"/>
      <c r="U193" s="42"/>
      <c r="V193" s="42"/>
      <c r="W193" s="42"/>
      <c r="X193" s="42"/>
      <c r="Y193" s="42"/>
      <c r="Z193" s="42"/>
      <c r="AA193" s="42"/>
      <c r="AB193" s="42"/>
      <c r="AC193" s="42"/>
      <c r="AD193" s="42"/>
      <c r="AE193" s="42"/>
      <c r="AH193" s="1521"/>
    </row>
    <row r="194" spans="2:34" s="347" customFormat="1" x14ac:dyDescent="0.25">
      <c r="B194" s="1511"/>
      <c r="C194" s="1511"/>
      <c r="D194" s="1511"/>
      <c r="F194" s="1511"/>
      <c r="G194" s="1511"/>
      <c r="I194" s="1511"/>
      <c r="J194" s="1511"/>
      <c r="K194" s="1511"/>
      <c r="M194" s="351"/>
      <c r="N194" s="351"/>
      <c r="O194" s="1511"/>
      <c r="P194" s="351"/>
      <c r="Q194" s="351"/>
      <c r="R194" s="351"/>
      <c r="S194" s="42"/>
      <c r="T194" s="42"/>
      <c r="U194" s="42"/>
      <c r="V194" s="42"/>
      <c r="W194" s="42"/>
      <c r="X194" s="42"/>
      <c r="Y194" s="42"/>
      <c r="Z194" s="42"/>
      <c r="AA194" s="42"/>
      <c r="AB194" s="42"/>
      <c r="AC194" s="42"/>
      <c r="AD194" s="42"/>
      <c r="AE194" s="42"/>
      <c r="AH194" s="1521"/>
    </row>
    <row r="195" spans="2:34" s="347" customFormat="1" x14ac:dyDescent="0.25">
      <c r="B195" s="1511"/>
      <c r="C195" s="1511"/>
      <c r="D195" s="1511"/>
      <c r="F195" s="1511"/>
      <c r="G195" s="1511"/>
      <c r="I195" s="1511"/>
      <c r="J195" s="1511"/>
      <c r="K195" s="1511"/>
      <c r="M195" s="351"/>
      <c r="N195" s="351"/>
      <c r="O195" s="1511"/>
      <c r="P195" s="351"/>
      <c r="Q195" s="351"/>
      <c r="R195" s="351"/>
      <c r="S195" s="42"/>
      <c r="T195" s="42"/>
      <c r="U195" s="42"/>
      <c r="V195" s="42"/>
      <c r="W195" s="42"/>
      <c r="X195" s="42"/>
      <c r="Y195" s="42"/>
      <c r="Z195" s="42"/>
      <c r="AA195" s="42"/>
      <c r="AB195" s="42"/>
      <c r="AC195" s="42"/>
      <c r="AD195" s="42"/>
      <c r="AE195" s="42"/>
      <c r="AH195" s="1521"/>
    </row>
    <row r="196" spans="2:34" s="347" customFormat="1" x14ac:dyDescent="0.25">
      <c r="B196" s="1511"/>
      <c r="C196" s="1511"/>
      <c r="D196" s="1511"/>
      <c r="F196" s="1511"/>
      <c r="G196" s="1511"/>
      <c r="I196" s="1511"/>
      <c r="J196" s="1511"/>
      <c r="K196" s="1511"/>
      <c r="M196" s="351"/>
      <c r="N196" s="351"/>
      <c r="O196" s="1511"/>
      <c r="P196" s="351"/>
      <c r="Q196" s="351"/>
      <c r="R196" s="351"/>
      <c r="S196" s="42"/>
      <c r="T196" s="42"/>
      <c r="U196" s="42"/>
      <c r="V196" s="42"/>
      <c r="W196" s="42"/>
      <c r="X196" s="42"/>
      <c r="Y196" s="42"/>
      <c r="Z196" s="42"/>
      <c r="AA196" s="42"/>
      <c r="AB196" s="42"/>
      <c r="AC196" s="42"/>
      <c r="AD196" s="42"/>
      <c r="AE196" s="42"/>
      <c r="AH196" s="1521"/>
    </row>
    <row r="197" spans="2:34" s="347" customFormat="1" x14ac:dyDescent="0.25">
      <c r="B197" s="1511"/>
      <c r="C197" s="1511"/>
      <c r="D197" s="1511"/>
      <c r="F197" s="1511"/>
      <c r="G197" s="1511"/>
      <c r="I197" s="1511"/>
      <c r="J197" s="1511"/>
      <c r="K197" s="1511"/>
      <c r="M197" s="351"/>
      <c r="N197" s="351"/>
      <c r="O197" s="1511"/>
      <c r="P197" s="351"/>
      <c r="Q197" s="351"/>
      <c r="R197" s="351"/>
      <c r="S197" s="42"/>
      <c r="T197" s="42"/>
      <c r="U197" s="42"/>
      <c r="V197" s="42"/>
      <c r="W197" s="42"/>
      <c r="X197" s="42"/>
      <c r="Y197" s="42"/>
      <c r="Z197" s="42"/>
      <c r="AA197" s="42"/>
      <c r="AB197" s="42"/>
      <c r="AC197" s="42"/>
      <c r="AD197" s="42"/>
      <c r="AE197" s="42"/>
      <c r="AH197" s="1521"/>
    </row>
    <row r="198" spans="2:34" s="347" customFormat="1" x14ac:dyDescent="0.25">
      <c r="B198" s="1511"/>
      <c r="C198" s="1511"/>
      <c r="D198" s="1511"/>
      <c r="F198" s="1511"/>
      <c r="G198" s="1511"/>
      <c r="I198" s="1511"/>
      <c r="J198" s="1511"/>
      <c r="K198" s="1511"/>
      <c r="M198" s="351"/>
      <c r="N198" s="351"/>
      <c r="O198" s="1511"/>
      <c r="P198" s="351"/>
      <c r="Q198" s="351"/>
      <c r="R198" s="351"/>
      <c r="S198" s="42"/>
      <c r="T198" s="42"/>
      <c r="U198" s="42"/>
      <c r="V198" s="42"/>
      <c r="W198" s="42"/>
      <c r="X198" s="42"/>
      <c r="Y198" s="42"/>
      <c r="Z198" s="42"/>
      <c r="AA198" s="42"/>
      <c r="AB198" s="42"/>
      <c r="AC198" s="42"/>
      <c r="AD198" s="42"/>
      <c r="AE198" s="42"/>
      <c r="AH198" s="1521"/>
    </row>
    <row r="199" spans="2:34" s="347" customFormat="1" x14ac:dyDescent="0.25">
      <c r="B199" s="1511"/>
      <c r="C199" s="1511"/>
      <c r="D199" s="1511"/>
      <c r="F199" s="1511"/>
      <c r="G199" s="1511"/>
      <c r="I199" s="1511"/>
      <c r="J199" s="1511"/>
      <c r="K199" s="1511"/>
      <c r="M199" s="351"/>
      <c r="N199" s="351"/>
      <c r="O199" s="1511"/>
      <c r="P199" s="351"/>
      <c r="Q199" s="351"/>
      <c r="R199" s="351"/>
      <c r="S199" s="42"/>
      <c r="T199" s="42"/>
      <c r="U199" s="42"/>
      <c r="V199" s="42"/>
      <c r="W199" s="42"/>
      <c r="X199" s="42"/>
      <c r="Y199" s="42"/>
      <c r="Z199" s="42"/>
      <c r="AA199" s="42"/>
      <c r="AB199" s="42"/>
      <c r="AC199" s="42"/>
      <c r="AD199" s="42"/>
      <c r="AE199" s="42"/>
      <c r="AH199" s="1521"/>
    </row>
    <row r="200" spans="2:34" s="347" customFormat="1" x14ac:dyDescent="0.25">
      <c r="B200" s="1511"/>
      <c r="C200" s="1511"/>
      <c r="D200" s="1511"/>
      <c r="F200" s="1511"/>
      <c r="G200" s="1511"/>
      <c r="I200" s="1511"/>
      <c r="J200" s="1511"/>
      <c r="K200" s="1511"/>
      <c r="M200" s="351"/>
      <c r="N200" s="351"/>
      <c r="O200" s="1511"/>
      <c r="P200" s="351"/>
      <c r="Q200" s="351"/>
      <c r="R200" s="351"/>
      <c r="S200" s="42"/>
      <c r="T200" s="42"/>
      <c r="U200" s="42"/>
      <c r="V200" s="42"/>
      <c r="W200" s="42"/>
      <c r="X200" s="42"/>
      <c r="Y200" s="42"/>
      <c r="Z200" s="42"/>
      <c r="AA200" s="42"/>
      <c r="AB200" s="42"/>
      <c r="AC200" s="42"/>
      <c r="AD200" s="42"/>
      <c r="AE200" s="42"/>
      <c r="AH200" s="1521"/>
    </row>
    <row r="201" spans="2:34" s="347" customFormat="1" x14ac:dyDescent="0.25">
      <c r="B201" s="1511"/>
      <c r="C201" s="1511"/>
      <c r="D201" s="1511"/>
      <c r="F201" s="1511"/>
      <c r="G201" s="1511"/>
      <c r="I201" s="1511"/>
      <c r="J201" s="1511"/>
      <c r="K201" s="1511"/>
      <c r="M201" s="351"/>
      <c r="N201" s="351"/>
      <c r="O201" s="1511"/>
      <c r="P201" s="351"/>
      <c r="Q201" s="351"/>
      <c r="R201" s="351"/>
      <c r="S201" s="42"/>
      <c r="T201" s="42"/>
      <c r="U201" s="42"/>
      <c r="V201" s="42"/>
      <c r="W201" s="42"/>
      <c r="X201" s="42"/>
      <c r="Y201" s="42"/>
      <c r="Z201" s="42"/>
      <c r="AA201" s="42"/>
      <c r="AB201" s="42"/>
      <c r="AC201" s="42"/>
      <c r="AD201" s="42"/>
      <c r="AE201" s="42"/>
      <c r="AH201" s="1521"/>
    </row>
    <row r="202" spans="2:34" s="347" customFormat="1" x14ac:dyDescent="0.25">
      <c r="B202" s="1511"/>
      <c r="C202" s="1511"/>
      <c r="D202" s="1511"/>
      <c r="F202" s="1511"/>
      <c r="G202" s="1511"/>
      <c r="I202" s="1511"/>
      <c r="J202" s="1511"/>
      <c r="K202" s="1511"/>
      <c r="M202" s="351"/>
      <c r="N202" s="351"/>
      <c r="O202" s="1511"/>
      <c r="P202" s="351"/>
      <c r="Q202" s="351"/>
      <c r="R202" s="351"/>
      <c r="S202" s="42"/>
      <c r="T202" s="42"/>
      <c r="U202" s="42"/>
      <c r="V202" s="42"/>
      <c r="W202" s="42"/>
      <c r="X202" s="42"/>
      <c r="Y202" s="42"/>
      <c r="Z202" s="42"/>
      <c r="AA202" s="42"/>
      <c r="AB202" s="42"/>
      <c r="AC202" s="42"/>
      <c r="AD202" s="42"/>
      <c r="AE202" s="42"/>
      <c r="AH202" s="1521"/>
    </row>
    <row r="203" spans="2:34" s="347" customFormat="1" x14ac:dyDescent="0.25">
      <c r="B203" s="1511"/>
      <c r="C203" s="1511"/>
      <c r="D203" s="1511"/>
      <c r="F203" s="1511"/>
      <c r="G203" s="1511"/>
      <c r="I203" s="1511"/>
      <c r="J203" s="1511"/>
      <c r="K203" s="1511"/>
      <c r="M203" s="351"/>
      <c r="N203" s="351"/>
      <c r="O203" s="1511"/>
      <c r="P203" s="351"/>
      <c r="Q203" s="351"/>
      <c r="R203" s="351"/>
      <c r="S203" s="42"/>
      <c r="T203" s="42"/>
      <c r="U203" s="42"/>
      <c r="V203" s="42"/>
      <c r="W203" s="42"/>
      <c r="X203" s="42"/>
      <c r="Y203" s="42"/>
      <c r="Z203" s="42"/>
      <c r="AA203" s="42"/>
      <c r="AB203" s="42"/>
      <c r="AC203" s="42"/>
      <c r="AD203" s="42"/>
      <c r="AE203" s="42"/>
      <c r="AH203" s="1521"/>
    </row>
    <row r="204" spans="2:34" s="347" customFormat="1" x14ac:dyDescent="0.25">
      <c r="B204" s="1511"/>
      <c r="C204" s="1511"/>
      <c r="D204" s="1511"/>
      <c r="F204" s="1511"/>
      <c r="G204" s="1511"/>
      <c r="I204" s="1511"/>
      <c r="J204" s="1511"/>
      <c r="K204" s="1511"/>
      <c r="M204" s="351"/>
      <c r="N204" s="351"/>
      <c r="O204" s="1511"/>
      <c r="P204" s="351"/>
      <c r="Q204" s="351"/>
      <c r="R204" s="351"/>
      <c r="S204" s="42"/>
      <c r="T204" s="42"/>
      <c r="U204" s="42"/>
      <c r="V204" s="42"/>
      <c r="W204" s="42"/>
      <c r="X204" s="42"/>
      <c r="Y204" s="42"/>
      <c r="Z204" s="42"/>
      <c r="AA204" s="42"/>
      <c r="AB204" s="42"/>
      <c r="AC204" s="42"/>
      <c r="AD204" s="42"/>
      <c r="AE204" s="42"/>
      <c r="AH204" s="1521"/>
    </row>
    <row r="205" spans="2:34" s="347" customFormat="1" x14ac:dyDescent="0.25">
      <c r="B205" s="1511"/>
      <c r="C205" s="1511"/>
      <c r="D205" s="1511"/>
      <c r="F205" s="1511"/>
      <c r="G205" s="1511"/>
      <c r="I205" s="1511"/>
      <c r="J205" s="1511"/>
      <c r="K205" s="1511"/>
      <c r="M205" s="351"/>
      <c r="N205" s="351"/>
      <c r="O205" s="1511"/>
      <c r="P205" s="351"/>
      <c r="Q205" s="351"/>
      <c r="R205" s="351"/>
      <c r="S205" s="42"/>
      <c r="T205" s="42"/>
      <c r="U205" s="42"/>
      <c r="V205" s="42"/>
      <c r="W205" s="42"/>
      <c r="X205" s="42"/>
      <c r="Y205" s="42"/>
      <c r="Z205" s="42"/>
      <c r="AA205" s="42"/>
      <c r="AB205" s="42"/>
      <c r="AC205" s="42"/>
      <c r="AD205" s="42"/>
      <c r="AE205" s="42"/>
      <c r="AH205" s="1521"/>
    </row>
    <row r="206" spans="2:34" s="347" customFormat="1" x14ac:dyDescent="0.25">
      <c r="B206" s="1511"/>
      <c r="C206" s="1511"/>
      <c r="D206" s="1511"/>
      <c r="F206" s="1511"/>
      <c r="G206" s="1511"/>
      <c r="I206" s="1511"/>
      <c r="J206" s="1511"/>
      <c r="K206" s="1511"/>
      <c r="M206" s="351"/>
      <c r="N206" s="351"/>
      <c r="O206" s="1511"/>
      <c r="P206" s="351"/>
      <c r="Q206" s="351"/>
      <c r="R206" s="351"/>
      <c r="S206" s="42"/>
      <c r="T206" s="42"/>
      <c r="U206" s="42"/>
      <c r="V206" s="42"/>
      <c r="W206" s="42"/>
      <c r="X206" s="42"/>
      <c r="Y206" s="42"/>
      <c r="Z206" s="42"/>
      <c r="AA206" s="42"/>
      <c r="AB206" s="42"/>
      <c r="AC206" s="42"/>
      <c r="AD206" s="42"/>
      <c r="AE206" s="42"/>
      <c r="AH206" s="1521"/>
    </row>
    <row r="207" spans="2:34" s="347" customFormat="1" x14ac:dyDescent="0.25">
      <c r="B207" s="1511"/>
      <c r="C207" s="1511"/>
      <c r="D207" s="1511"/>
      <c r="F207" s="1511"/>
      <c r="G207" s="1511"/>
      <c r="I207" s="1511"/>
      <c r="J207" s="1511"/>
      <c r="K207" s="1511"/>
      <c r="M207" s="351"/>
      <c r="N207" s="351"/>
      <c r="O207" s="1511"/>
      <c r="P207" s="351"/>
      <c r="Q207" s="351"/>
      <c r="R207" s="351"/>
      <c r="S207" s="42"/>
      <c r="T207" s="42"/>
      <c r="U207" s="42"/>
      <c r="V207" s="42"/>
      <c r="W207" s="42"/>
      <c r="X207" s="42"/>
      <c r="Y207" s="42"/>
      <c r="Z207" s="42"/>
      <c r="AA207" s="42"/>
      <c r="AB207" s="42"/>
      <c r="AC207" s="42"/>
      <c r="AD207" s="42"/>
      <c r="AE207" s="42"/>
      <c r="AH207" s="1521"/>
    </row>
    <row r="208" spans="2:34" s="347" customFormat="1" x14ac:dyDescent="0.25">
      <c r="B208" s="1511"/>
      <c r="C208" s="1511"/>
      <c r="D208" s="1511"/>
      <c r="F208" s="1511"/>
      <c r="G208" s="1511"/>
      <c r="I208" s="1511"/>
      <c r="J208" s="1511"/>
      <c r="K208" s="1511"/>
      <c r="M208" s="351"/>
      <c r="N208" s="351"/>
      <c r="O208" s="1511"/>
      <c r="P208" s="351"/>
      <c r="Q208" s="351"/>
      <c r="R208" s="351"/>
      <c r="S208" s="42"/>
      <c r="T208" s="42"/>
      <c r="U208" s="42"/>
      <c r="V208" s="42"/>
      <c r="W208" s="42"/>
      <c r="X208" s="42"/>
      <c r="Y208" s="42"/>
      <c r="Z208" s="42"/>
      <c r="AA208" s="42"/>
      <c r="AB208" s="42"/>
      <c r="AC208" s="42"/>
      <c r="AD208" s="42"/>
      <c r="AE208" s="42"/>
      <c r="AH208" s="1521"/>
    </row>
    <row r="209" spans="2:34" s="347" customFormat="1" x14ac:dyDescent="0.25">
      <c r="B209" s="1511"/>
      <c r="C209" s="1511"/>
      <c r="D209" s="1511"/>
      <c r="F209" s="1511"/>
      <c r="G209" s="1511"/>
      <c r="I209" s="1511"/>
      <c r="J209" s="1511"/>
      <c r="K209" s="1511"/>
      <c r="M209" s="351"/>
      <c r="N209" s="351"/>
      <c r="O209" s="1511"/>
      <c r="P209" s="351"/>
      <c r="Q209" s="351"/>
      <c r="R209" s="351"/>
      <c r="S209" s="42"/>
      <c r="T209" s="42"/>
      <c r="U209" s="42"/>
      <c r="V209" s="42"/>
      <c r="W209" s="42"/>
      <c r="X209" s="42"/>
      <c r="Y209" s="42"/>
      <c r="Z209" s="42"/>
      <c r="AA209" s="42"/>
      <c r="AB209" s="42"/>
      <c r="AC209" s="42"/>
      <c r="AD209" s="42"/>
      <c r="AE209" s="42"/>
      <c r="AH209" s="1521"/>
    </row>
    <row r="210" spans="2:34" s="347" customFormat="1" x14ac:dyDescent="0.25">
      <c r="B210" s="1511"/>
      <c r="C210" s="1511"/>
      <c r="D210" s="1511"/>
      <c r="F210" s="1511"/>
      <c r="G210" s="1511"/>
      <c r="I210" s="1511"/>
      <c r="J210" s="1511"/>
      <c r="K210" s="1511"/>
      <c r="M210" s="351"/>
      <c r="N210" s="351"/>
      <c r="O210" s="1511"/>
      <c r="P210" s="351"/>
      <c r="Q210" s="351"/>
      <c r="R210" s="351"/>
      <c r="S210" s="42"/>
      <c r="T210" s="42"/>
      <c r="U210" s="42"/>
      <c r="V210" s="42"/>
      <c r="W210" s="42"/>
      <c r="X210" s="42"/>
      <c r="Y210" s="42"/>
      <c r="Z210" s="42"/>
      <c r="AA210" s="42"/>
      <c r="AB210" s="42"/>
      <c r="AC210" s="42"/>
      <c r="AD210" s="42"/>
      <c r="AE210" s="42"/>
      <c r="AH210" s="1521"/>
    </row>
    <row r="211" spans="2:34" s="347" customFormat="1" x14ac:dyDescent="0.25">
      <c r="B211" s="1511"/>
      <c r="C211" s="1511"/>
      <c r="D211" s="1511"/>
      <c r="F211" s="1511"/>
      <c r="G211" s="1511"/>
      <c r="I211" s="1511"/>
      <c r="J211" s="1511"/>
      <c r="K211" s="1511"/>
      <c r="M211" s="351"/>
      <c r="N211" s="351"/>
      <c r="O211" s="1511"/>
      <c r="P211" s="351"/>
      <c r="Q211" s="351"/>
      <c r="R211" s="351"/>
      <c r="S211" s="42"/>
      <c r="T211" s="42"/>
      <c r="U211" s="42"/>
      <c r="V211" s="42"/>
      <c r="W211" s="42"/>
      <c r="X211" s="42"/>
      <c r="Y211" s="42"/>
      <c r="Z211" s="42"/>
      <c r="AA211" s="42"/>
      <c r="AB211" s="42"/>
      <c r="AC211" s="42"/>
      <c r="AD211" s="42"/>
      <c r="AE211" s="42"/>
      <c r="AH211" s="1521"/>
    </row>
    <row r="212" spans="2:34" s="347" customFormat="1" x14ac:dyDescent="0.25">
      <c r="B212" s="1511"/>
      <c r="C212" s="1511"/>
      <c r="D212" s="1511"/>
      <c r="F212" s="1511"/>
      <c r="G212" s="1511"/>
      <c r="I212" s="1511"/>
      <c r="J212" s="1511"/>
      <c r="K212" s="1511"/>
      <c r="M212" s="351"/>
      <c r="N212" s="351"/>
      <c r="O212" s="1511"/>
      <c r="P212" s="351"/>
      <c r="Q212" s="351"/>
      <c r="R212" s="351"/>
      <c r="S212" s="42"/>
      <c r="T212" s="42"/>
      <c r="U212" s="42"/>
      <c r="V212" s="42"/>
      <c r="W212" s="42"/>
      <c r="X212" s="42"/>
      <c r="Y212" s="42"/>
      <c r="Z212" s="42"/>
      <c r="AA212" s="42"/>
      <c r="AB212" s="42"/>
      <c r="AC212" s="42"/>
      <c r="AD212" s="42"/>
      <c r="AE212" s="42"/>
      <c r="AH212" s="1521"/>
    </row>
    <row r="213" spans="2:34" s="347" customFormat="1" x14ac:dyDescent="0.25">
      <c r="B213" s="1511"/>
      <c r="C213" s="1511"/>
      <c r="D213" s="1511"/>
      <c r="F213" s="1511"/>
      <c r="G213" s="1511"/>
      <c r="I213" s="1511"/>
      <c r="J213" s="1511"/>
      <c r="K213" s="1511"/>
      <c r="M213" s="351"/>
      <c r="N213" s="351"/>
      <c r="O213" s="1511"/>
      <c r="P213" s="351"/>
      <c r="Q213" s="351"/>
      <c r="R213" s="351"/>
      <c r="S213" s="42"/>
      <c r="T213" s="42"/>
      <c r="U213" s="42"/>
      <c r="V213" s="42"/>
      <c r="W213" s="42"/>
      <c r="X213" s="42"/>
      <c r="Y213" s="42"/>
      <c r="Z213" s="42"/>
      <c r="AA213" s="42"/>
      <c r="AB213" s="42"/>
      <c r="AC213" s="42"/>
      <c r="AD213" s="42"/>
      <c r="AE213" s="42"/>
      <c r="AH213" s="1521"/>
    </row>
    <row r="214" spans="2:34" s="347" customFormat="1" x14ac:dyDescent="0.25">
      <c r="B214" s="1511"/>
      <c r="C214" s="1511"/>
      <c r="D214" s="1511"/>
      <c r="F214" s="1511"/>
      <c r="G214" s="1511"/>
      <c r="I214" s="1511"/>
      <c r="J214" s="1511"/>
      <c r="K214" s="1511"/>
      <c r="M214" s="351"/>
      <c r="N214" s="351"/>
      <c r="O214" s="1511"/>
      <c r="P214" s="351"/>
      <c r="Q214" s="351"/>
      <c r="R214" s="351"/>
      <c r="S214" s="42"/>
      <c r="T214" s="42"/>
      <c r="U214" s="42"/>
      <c r="V214" s="42"/>
      <c r="W214" s="42"/>
      <c r="X214" s="42"/>
      <c r="Y214" s="42"/>
      <c r="Z214" s="42"/>
      <c r="AA214" s="42"/>
      <c r="AB214" s="42"/>
      <c r="AC214" s="42"/>
      <c r="AD214" s="42"/>
      <c r="AE214" s="42"/>
      <c r="AH214" s="1521"/>
    </row>
    <row r="215" spans="2:34" s="347" customFormat="1" x14ac:dyDescent="0.25">
      <c r="B215" s="1511"/>
      <c r="C215" s="1511"/>
      <c r="D215" s="1511"/>
      <c r="F215" s="1511"/>
      <c r="G215" s="1511"/>
      <c r="I215" s="1511"/>
      <c r="J215" s="1511"/>
      <c r="K215" s="1511"/>
      <c r="M215" s="351"/>
      <c r="N215" s="351"/>
      <c r="O215" s="1511"/>
      <c r="P215" s="351"/>
      <c r="Q215" s="351"/>
      <c r="R215" s="351"/>
      <c r="S215" s="42"/>
      <c r="T215" s="42"/>
      <c r="U215" s="42"/>
      <c r="V215" s="42"/>
      <c r="W215" s="42"/>
      <c r="X215" s="42"/>
      <c r="Y215" s="42"/>
      <c r="Z215" s="42"/>
      <c r="AA215" s="42"/>
      <c r="AB215" s="42"/>
      <c r="AC215" s="42"/>
      <c r="AD215" s="42"/>
      <c r="AE215" s="42"/>
      <c r="AH215" s="1521"/>
    </row>
    <row r="216" spans="2:34" s="347" customFormat="1" x14ac:dyDescent="0.25">
      <c r="B216" s="1511"/>
      <c r="C216" s="1511"/>
      <c r="D216" s="1511"/>
      <c r="F216" s="1511"/>
      <c r="G216" s="1511"/>
      <c r="I216" s="1511"/>
      <c r="J216" s="1511"/>
      <c r="K216" s="1511"/>
      <c r="M216" s="351"/>
      <c r="N216" s="351"/>
      <c r="O216" s="1511"/>
      <c r="P216" s="351"/>
      <c r="Q216" s="351"/>
      <c r="R216" s="351"/>
      <c r="S216" s="42"/>
      <c r="T216" s="42"/>
      <c r="U216" s="42"/>
      <c r="V216" s="42"/>
      <c r="W216" s="42"/>
      <c r="X216" s="42"/>
      <c r="Y216" s="42"/>
      <c r="Z216" s="42"/>
      <c r="AA216" s="42"/>
      <c r="AB216" s="42"/>
      <c r="AC216" s="42"/>
      <c r="AD216" s="42"/>
      <c r="AE216" s="42"/>
      <c r="AH216" s="1521"/>
    </row>
  </sheetData>
  <sheetProtection algorithmName="SHA-512" hashValue="TOIbcK3sziyDw7e0JRo4RsHyvg3ntJBw3eUNxlhH9Ms1JPtYjlFdUCYu0bUQ/jOCaf2yF9Hu3+hGc/mxD7bo4w==" saltValue="0wTHNejroRbTifcOJXCEzQ==" spinCount="100000" sheet="1" objects="1" scenarios="1"/>
  <dataConsolidate/>
  <customSheetViews>
    <customSheetView guid="{75D6F8CE-A4F4-4FDD-BA92-7996F9E19FA9}" scale="90" showGridLines="0" hiddenRows="1">
      <selection activeCell="O14" sqref="O14"/>
      <pageMargins left="0.25" right="0.25" top="0.75" bottom="0.75" header="0.3" footer="0.3"/>
      <pageSetup scale="75" fitToWidth="0" fitToHeight="0" orientation="portrait" verticalDpi="1200" r:id="rId1"/>
    </customSheetView>
  </customSheetViews>
  <mergeCells count="107">
    <mergeCell ref="B17:K17"/>
    <mergeCell ref="B12:K12"/>
    <mergeCell ref="B13:K13"/>
    <mergeCell ref="B14:K14"/>
    <mergeCell ref="B15:K15"/>
    <mergeCell ref="B35:C35"/>
    <mergeCell ref="B36:C36"/>
    <mergeCell ref="B37:C37"/>
    <mergeCell ref="B65:D65"/>
    <mergeCell ref="F65:H65"/>
    <mergeCell ref="B57:L57"/>
    <mergeCell ref="G32:H32"/>
    <mergeCell ref="I32:I33"/>
    <mergeCell ref="J32:K32"/>
    <mergeCell ref="B56:K56"/>
    <mergeCell ref="B58:J58"/>
    <mergeCell ref="G46:H46"/>
    <mergeCell ref="I46:I47"/>
    <mergeCell ref="B34:C34"/>
    <mergeCell ref="B30:C33"/>
    <mergeCell ref="D30:D33"/>
    <mergeCell ref="B51:G51"/>
    <mergeCell ref="H51:L51"/>
    <mergeCell ref="B23:L23"/>
    <mergeCell ref="B83:L83"/>
    <mergeCell ref="B49:D50"/>
    <mergeCell ref="B6:J6"/>
    <mergeCell ref="F30:H30"/>
    <mergeCell ref="I30:K30"/>
    <mergeCell ref="B7:K7"/>
    <mergeCell ref="B9:K9"/>
    <mergeCell ref="B10:K10"/>
    <mergeCell ref="B20:L20"/>
    <mergeCell ref="B21:L21"/>
    <mergeCell ref="J46:K46"/>
    <mergeCell ref="F32:F33"/>
    <mergeCell ref="F74:H74"/>
    <mergeCell ref="B8:K8"/>
    <mergeCell ref="B11:K11"/>
    <mergeCell ref="B46:D48"/>
    <mergeCell ref="F46:F47"/>
    <mergeCell ref="I31:K31"/>
    <mergeCell ref="B18:G18"/>
    <mergeCell ref="H18:L18"/>
    <mergeCell ref="F31:H31"/>
    <mergeCell ref="B16:K16"/>
    <mergeCell ref="B24:C24"/>
    <mergeCell ref="B25:C25"/>
    <mergeCell ref="AA68:AB68"/>
    <mergeCell ref="AA67:AB67"/>
    <mergeCell ref="AA76:AB76"/>
    <mergeCell ref="F76:H76"/>
    <mergeCell ref="AA77:AB77"/>
    <mergeCell ref="Y68:Z68"/>
    <mergeCell ref="Y77:Z77"/>
    <mergeCell ref="Y69:Z69"/>
    <mergeCell ref="Y70:Z70"/>
    <mergeCell ref="AA69:AB69"/>
    <mergeCell ref="AA70:AB70"/>
    <mergeCell ref="F67:H67"/>
    <mergeCell ref="R74:R76"/>
    <mergeCell ref="R65:R67"/>
    <mergeCell ref="I75:J75"/>
    <mergeCell ref="Q65:Q66"/>
    <mergeCell ref="Q74:Q75"/>
    <mergeCell ref="M38:N38"/>
    <mergeCell ref="M40:N40"/>
    <mergeCell ref="B63:K63"/>
    <mergeCell ref="B53:C53"/>
    <mergeCell ref="B54:C54"/>
    <mergeCell ref="B52:L52"/>
    <mergeCell ref="E53:L53"/>
    <mergeCell ref="E54:L54"/>
    <mergeCell ref="B41:C41"/>
    <mergeCell ref="M41:N41"/>
    <mergeCell ref="B45:D45"/>
    <mergeCell ref="B44:C44"/>
    <mergeCell ref="M44:N44"/>
    <mergeCell ref="M45:N45"/>
    <mergeCell ref="B38:C38"/>
    <mergeCell ref="B40:C40"/>
    <mergeCell ref="B39:C39"/>
    <mergeCell ref="M39:N39"/>
    <mergeCell ref="B26:C26"/>
    <mergeCell ref="B27:C27"/>
    <mergeCell ref="I79:J79"/>
    <mergeCell ref="I76:O76"/>
    <mergeCell ref="B43:C43"/>
    <mergeCell ref="B42:C42"/>
    <mergeCell ref="M42:N42"/>
    <mergeCell ref="I78:J78"/>
    <mergeCell ref="I67:O67"/>
    <mergeCell ref="I65:O65"/>
    <mergeCell ref="I74:O74"/>
    <mergeCell ref="B74:D74"/>
    <mergeCell ref="B66:B67"/>
    <mergeCell ref="C66:C67"/>
    <mergeCell ref="D66:D67"/>
    <mergeCell ref="B75:B76"/>
    <mergeCell ref="C75:C76"/>
    <mergeCell ref="D75:D76"/>
    <mergeCell ref="M34:N34"/>
    <mergeCell ref="M35:N35"/>
    <mergeCell ref="M30:N33"/>
    <mergeCell ref="M43:N43"/>
    <mergeCell ref="M36:N36"/>
    <mergeCell ref="M37:N37"/>
  </mergeCells>
  <conditionalFormatting sqref="B54">
    <cfRule type="expression" dxfId="431" priority="86">
      <formula>ROUND($B$54,3)&gt;ROUND($D$54,3)</formula>
    </cfRule>
  </conditionalFormatting>
  <conditionalFormatting sqref="F69:F70">
    <cfRule type="expression" dxfId="430" priority="4">
      <formula>$D$69="Unconditioned"</formula>
    </cfRule>
  </conditionalFormatting>
  <conditionalFormatting sqref="F78:F79">
    <cfRule type="expression" dxfId="429" priority="3">
      <formula>$D$78="Unconditioned"</formula>
    </cfRule>
  </conditionalFormatting>
  <conditionalFormatting sqref="K78:K79 K69:K70">
    <cfRule type="expression" dxfId="428" priority="1983">
      <formula>$K69&gt;$G69</formula>
    </cfRule>
    <cfRule type="expression" dxfId="427" priority="1984">
      <formula>$K69&lt;$G69</formula>
    </cfRule>
  </conditionalFormatting>
  <conditionalFormatting sqref="K34:K37">
    <cfRule type="expression" dxfId="426" priority="1">
      <formula>$K34&gt;1</formula>
    </cfRule>
  </conditionalFormatting>
  <dataValidations count="20">
    <dataValidation allowBlank="1" showErrorMessage="1" sqref="O72:S72 J71:S71 B72:L72 B71:H71 B80:H80 J80:S80" xr:uid="{00000000-0002-0000-0900-000000000000}"/>
    <dataValidation type="list" errorStyle="warning" allowBlank="1" showErrorMessage="1" errorTitle="Invalid Entry" error="Please select Nonresidential, Residential, Semiheated, or Unconditioned" sqref="D78:D79 D69:D70" xr:uid="{00000000-0002-0000-0900-000001000000}">
      <formula1>"Nonresidential,Residential,Semiheated,Unconditioned"</formula1>
    </dataValidation>
    <dataValidation type="list" allowBlank="1" showInputMessage="1" showErrorMessage="1" sqref="C78:C79 C69:C70" xr:uid="{00000000-0002-0000-0900-000002000000}">
      <formula1>"New,Existing"</formula1>
    </dataValidation>
    <dataValidation type="list" allowBlank="1" showInputMessage="1" showErrorMessage="1" sqref="B57" xr:uid="{00000000-0002-0000-0900-000003000000}">
      <formula1>BaselineOrientationExemptions</formula1>
    </dataValidation>
    <dataValidation type="list" allowBlank="1" showInputMessage="1" showErrorMessage="1" sqref="L7:L17" xr:uid="{00000000-0002-0000-0900-000004000000}">
      <formula1>"Yes,No,N/A"</formula1>
    </dataValidation>
    <dataValidation type="list" allowBlank="1" showInputMessage="1" showErrorMessage="1" sqref="B78:B79 B69:B70" xr:uid="{00000000-0002-0000-0900-000005000000}">
      <formula1>BuildingIDLookup</formula1>
    </dataValidation>
    <dataValidation type="list" allowBlank="1" sqref="J50:K50" xr:uid="{00000000-0002-0000-0900-000006000000}">
      <formula1>"0,1 to 5,6 to 10,11 to 15,16 to 25,25 to 50,50 to 100,&gt;100"</formula1>
    </dataValidation>
    <dataValidation type="list" errorStyle="warning" allowBlank="1" showErrorMessage="1" errorTitle="Invalid Entry" error="Please verify that the Proposed roof has been modeled with a reflectivity of 0.30 or 0.45 as required by Table G3.1#5(Proposed)(c)" sqref="O56:R56" xr:uid="{00000000-0002-0000-0900-000007000000}">
      <formula1>"Reflectance 0.3 / Emittance 0.9, Other (describe in additional notes below)"</formula1>
    </dataValidation>
    <dataValidation allowBlank="1" sqref="C55:L55" xr:uid="{00000000-0002-0000-0900-000008000000}"/>
    <dataValidation type="list" allowBlank="1" sqref="F69:F70" xr:uid="{00000000-0002-0000-0900-000009000000}">
      <formula1>FenestrationPercent</formula1>
    </dataValidation>
    <dataValidation type="list" allowBlank="1" sqref="F78:F79" xr:uid="{00000000-0002-0000-0900-00000A000000}">
      <formula1>SkylightPercent</formula1>
    </dataValidation>
    <dataValidation type="list" errorStyle="warning" allowBlank="1" showErrorMessage="1" errorTitle="Invalid Entry" error="Please select Nonresidential, Residential, Semiheated, or Unconditioned" sqref="D69:D70" xr:uid="{00000000-0002-0000-0900-00000B000000}">
      <formula1>#REF!</formula1>
    </dataValidation>
    <dataValidation type="list" allowBlank="1" showInputMessage="1" showErrorMessage="1" sqref="C69:C70" xr:uid="{00000000-0002-0000-0900-00000C000000}">
      <formula1>#REF!</formula1>
    </dataValidation>
    <dataValidation type="list" allowBlank="1" showInputMessage="1" showErrorMessage="1" sqref="I69:I70" xr:uid="{00000000-0002-0000-0900-00000D000000}">
      <formula1>"Nonmetal framing all,Metal framing fixed,Metal framing operable,Metal framing entrance door"</formula1>
    </dataValidation>
    <dataValidation type="list" allowBlank="1" sqref="I50" xr:uid="{00000000-0002-0000-0900-00000E000000}">
      <formula1>"0,1 to 5,6 to 9,10 to 15,16 to 25,25 to 50,50 to 100,&gt;100"</formula1>
    </dataValidation>
    <dataValidation type="list" allowBlank="1" showInputMessage="1" showErrorMessage="1" sqref="C26:C27 B24:B27" xr:uid="{00000000-0002-0000-0900-00000F000000}">
      <formula1>BuildingAreaType</formula1>
    </dataValidation>
    <dataValidation type="list" allowBlank="1" showInputMessage="1" showErrorMessage="1" sqref="D40" xr:uid="{00000000-0002-0000-0900-000010000000}">
      <formula1>"North,East,South,West"</formula1>
    </dataValidation>
    <dataValidation type="list" allowBlank="1" showInputMessage="1" showErrorMessage="1" sqref="B34:C40" xr:uid="{00000000-0002-0000-0900-000011000000}">
      <formula1>$B$24:$B$27</formula1>
    </dataValidation>
    <dataValidation type="custom" allowBlank="1" showInputMessage="1" showErrorMessage="1" sqref="J34:J40" xr:uid="{00000000-0002-0000-0900-000012000000}">
      <formula1>AND(J34&lt;I34,J34&gt;0)</formula1>
    </dataValidation>
    <dataValidation type="list" allowBlank="1" showInputMessage="1" showErrorMessage="1" sqref="D38:D39" xr:uid="{00000000-0002-0000-0900-000013000000}">
      <formula1>"North,Northwest,West,Southwest,South,Southeast,East, Northeast"</formula1>
    </dataValidation>
  </dataValidations>
  <pageMargins left="0.25" right="0.25" top="0.75" bottom="0.75" header="0.3" footer="0.3"/>
  <pageSetup scale="75" fitToWidth="0" fitToHeight="0"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5319" r:id="rId5" name="Button 23">
              <controlPr defaultSize="0" print="0" autoFill="0" autoPict="0" macro="[0]!addA">
                <anchor moveWithCells="1">
                  <from>
                    <xdr:col>1</xdr:col>
                    <xdr:colOff>0</xdr:colOff>
                    <xdr:row>70</xdr:row>
                    <xdr:rowOff>175260</xdr:rowOff>
                  </from>
                  <to>
                    <xdr:col>2</xdr:col>
                    <xdr:colOff>213360</xdr:colOff>
                    <xdr:row>70</xdr:row>
                    <xdr:rowOff>441960</xdr:rowOff>
                  </to>
                </anchor>
              </controlPr>
            </control>
          </mc:Choice>
        </mc:AlternateContent>
        <mc:AlternateContent xmlns:mc="http://schemas.openxmlformats.org/markup-compatibility/2006">
          <mc:Choice Requires="x14">
            <control shapeId="55320" r:id="rId6" name="Button 24">
              <controlPr defaultSize="0" print="0" autoFill="0" autoPict="0" macro="[0]!addB">
                <anchor moveWithCells="1">
                  <from>
                    <xdr:col>1</xdr:col>
                    <xdr:colOff>0</xdr:colOff>
                    <xdr:row>79</xdr:row>
                    <xdr:rowOff>152400</xdr:rowOff>
                  </from>
                  <to>
                    <xdr:col>2</xdr:col>
                    <xdr:colOff>213360</xdr:colOff>
                    <xdr:row>79</xdr:row>
                    <xdr:rowOff>441960</xdr:rowOff>
                  </to>
                </anchor>
              </controlPr>
            </control>
          </mc:Choice>
        </mc:AlternateContent>
        <mc:AlternateContent xmlns:mc="http://schemas.openxmlformats.org/markup-compatibility/2006">
          <mc:Choice Requires="x14">
            <control shapeId="55339" r:id="rId7" name="Button 43">
              <controlPr defaultSize="0" print="0" autoFill="0" autoPict="0" macro="[0]!DeleteSome">
                <anchor moveWithCells="1">
                  <from>
                    <xdr:col>2</xdr:col>
                    <xdr:colOff>472440</xdr:colOff>
                    <xdr:row>70</xdr:row>
                    <xdr:rowOff>167640</xdr:rowOff>
                  </from>
                  <to>
                    <xdr:col>3</xdr:col>
                    <xdr:colOff>708660</xdr:colOff>
                    <xdr:row>70</xdr:row>
                    <xdr:rowOff>441960</xdr:rowOff>
                  </to>
                </anchor>
              </controlPr>
            </control>
          </mc:Choice>
        </mc:AlternateContent>
        <mc:AlternateContent xmlns:mc="http://schemas.openxmlformats.org/markup-compatibility/2006">
          <mc:Choice Requires="x14">
            <control shapeId="55340" r:id="rId8" name="Button 44">
              <controlPr defaultSize="0" print="0" autoFill="0" autoPict="0" macro="[0]!DeleteSome">
                <anchor moveWithCells="1">
                  <from>
                    <xdr:col>2</xdr:col>
                    <xdr:colOff>480060</xdr:colOff>
                    <xdr:row>79</xdr:row>
                    <xdr:rowOff>152400</xdr:rowOff>
                  </from>
                  <to>
                    <xdr:col>3</xdr:col>
                    <xdr:colOff>708660</xdr:colOff>
                    <xdr:row>79</xdr:row>
                    <xdr:rowOff>419100</xdr:rowOff>
                  </to>
                </anchor>
              </controlPr>
            </control>
          </mc:Choice>
        </mc:AlternateContent>
        <mc:AlternateContent xmlns:mc="http://schemas.openxmlformats.org/markup-compatibility/2006">
          <mc:Choice Requires="x14">
            <control shapeId="55342" r:id="rId9" name="Button 46">
              <controlPr defaultSize="0" print="0" autoFill="0" autoPict="0" macro="[0]!Copy_Default_SF_VG_Table">
                <anchor moveWithCells="1" sizeWithCells="1">
                  <from>
                    <xdr:col>19</xdr:col>
                    <xdr:colOff>114300</xdr:colOff>
                    <xdr:row>70</xdr:row>
                    <xdr:rowOff>167640</xdr:rowOff>
                  </from>
                  <to>
                    <xdr:col>21</xdr:col>
                    <xdr:colOff>190500</xdr:colOff>
                    <xdr:row>70</xdr:row>
                    <xdr:rowOff>441960</xdr:rowOff>
                  </to>
                </anchor>
              </controlPr>
            </control>
          </mc:Choice>
        </mc:AlternateContent>
        <mc:AlternateContent xmlns:mc="http://schemas.openxmlformats.org/markup-compatibility/2006">
          <mc:Choice Requires="x14">
            <control shapeId="55343" r:id="rId10" name="Button 47">
              <controlPr defaultSize="0" print="0" autoFill="0" autoPict="0" macro="[0]!Copy_Default_SF_S_Table">
                <anchor moveWithCells="1" sizeWithCells="1">
                  <from>
                    <xdr:col>18</xdr:col>
                    <xdr:colOff>472440</xdr:colOff>
                    <xdr:row>79</xdr:row>
                    <xdr:rowOff>152400</xdr:rowOff>
                  </from>
                  <to>
                    <xdr:col>20</xdr:col>
                    <xdr:colOff>396240</xdr:colOff>
                    <xdr:row>79</xdr:row>
                    <xdr:rowOff>419100</xdr:rowOff>
                  </to>
                </anchor>
              </controlPr>
            </control>
          </mc:Choice>
        </mc:AlternateContent>
        <mc:AlternateContent xmlns:mc="http://schemas.openxmlformats.org/markup-compatibility/2006">
          <mc:Choice Requires="x14">
            <control shapeId="55344" r:id="rId11" name="Button 48">
              <controlPr defaultSize="0" print="0" autoFill="0" autoPict="0" macro="[0]!DeleteSome">
                <anchor moveWithCells="1">
                  <from>
                    <xdr:col>2</xdr:col>
                    <xdr:colOff>518160</xdr:colOff>
                    <xdr:row>50</xdr:row>
                    <xdr:rowOff>175260</xdr:rowOff>
                  </from>
                  <to>
                    <xdr:col>3</xdr:col>
                    <xdr:colOff>762000</xdr:colOff>
                    <xdr:row>50</xdr:row>
                    <xdr:rowOff>441960</xdr:rowOff>
                  </to>
                </anchor>
              </controlPr>
            </control>
          </mc:Choice>
        </mc:AlternateContent>
        <mc:AlternateContent xmlns:mc="http://schemas.openxmlformats.org/markup-compatibility/2006">
          <mc:Choice Requires="x14">
            <control shapeId="55345" r:id="rId12" name="Button 49">
              <controlPr defaultSize="0" print="0" autoFill="0" autoPict="0" macro="[0]!addD">
                <anchor moveWithCells="1">
                  <from>
                    <xdr:col>1</xdr:col>
                    <xdr:colOff>0</xdr:colOff>
                    <xdr:row>50</xdr:row>
                    <xdr:rowOff>175260</xdr:rowOff>
                  </from>
                  <to>
                    <xdr:col>2</xdr:col>
                    <xdr:colOff>213360</xdr:colOff>
                    <xdr:row>50</xdr:row>
                    <xdr:rowOff>441960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87" id="{EEAD7A6B-4EA1-4AB3-916A-90D84DE85FD7}">
            <xm:f>IF($K69="","",$K69&gt;(IF('General Information'!$R$55=2013,$AD69,$AE69)))</xm:f>
            <x14:dxf>
              <font>
                <color rgb="FFFF0000"/>
              </font>
              <fill>
                <patternFill>
                  <bgColor theme="0" tint="-4.9989318521683403E-2"/>
                </patternFill>
              </fill>
            </x14:dxf>
          </x14:cfRule>
          <x14:cfRule type="expression" priority="1988" id="{88D9A8B4-7C68-4A3F-9ED9-532EF09C8507}">
            <xm:f>IF($K69="","",$K69&lt;(IF('General Information'!$R$55=2013,$AD69,$AE69)))</xm:f>
            <x14:dxf>
              <font>
                <color rgb="FF00B050"/>
              </font>
              <fill>
                <patternFill>
                  <bgColor theme="0" tint="-4.9989318521683403E-2"/>
                </patternFill>
              </fill>
            </x14:dxf>
          </x14:cfRule>
          <xm:sqref>K69:K70</xm:sqref>
        </x14:conditionalFormatting>
        <x14:conditionalFormatting xmlns:xm="http://schemas.microsoft.com/office/excel/2006/main">
          <x14:cfRule type="expression" priority="1991" id="{72AF560A-5E65-4249-BC8B-914F6B18D6B7}">
            <xm:f>IF($K78="","",$K78&gt;(IF('General Information'!$R$55=2013,$AA78,$AB78)))</xm:f>
            <x14:dxf>
              <font>
                <color rgb="FFFF0000"/>
              </font>
              <fill>
                <patternFill>
                  <bgColor theme="0" tint="-4.9989318521683403E-2"/>
                </patternFill>
              </fill>
            </x14:dxf>
          </x14:cfRule>
          <x14:cfRule type="expression" priority="1992" id="{4A8613E5-8B59-47E8-933A-F9614B4AECF0}">
            <xm:f>IF($K78="","",$K78&lt;(IF('General Information'!$R$55=2013,$AA78,$AB78)))</xm:f>
            <x14:dxf>
              <font>
                <color rgb="FF00B050"/>
              </font>
              <fill>
                <patternFill>
                  <bgColor theme="0" tint="-4.9989318521683403E-2"/>
                </patternFill>
              </fill>
            </x14:dxf>
          </x14:cfRule>
          <xm:sqref>K78:K79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4000000}">
          <x14:formula1>
            <xm:f>DropdownData!$DY$2:$DY$7</xm:f>
          </x14:formula1>
          <xm:sqref>H18:L18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249977111117893"/>
  </sheetPr>
  <dimension ref="A1:AE118"/>
  <sheetViews>
    <sheetView showGridLines="0" topLeftCell="A34" zoomScale="90" zoomScaleNormal="90" workbookViewId="0">
      <selection activeCell="F38" sqref="F38:G38"/>
    </sheetView>
  </sheetViews>
  <sheetFormatPr defaultColWidth="8.69921875" defaultRowHeight="13.2" outlineLevelCol="1" x14ac:dyDescent="0.25"/>
  <cols>
    <col min="1" max="1" width="2" style="303" customWidth="1"/>
    <col min="2" max="2" width="14.69921875" style="41" customWidth="1"/>
    <col min="3" max="4" width="12.69921875" style="41" customWidth="1"/>
    <col min="5" max="5" width="1.5" style="37" customWidth="1"/>
    <col min="6" max="6" width="32.69921875" style="41" customWidth="1"/>
    <col min="7" max="7" width="8" style="37" customWidth="1"/>
    <col min="8" max="8" width="26.19921875" style="41" customWidth="1"/>
    <col min="9" max="9" width="25.19921875" style="41" customWidth="1"/>
    <col min="10" max="10" width="8" style="41" customWidth="1"/>
    <col min="11" max="11" width="8.5" style="37" customWidth="1"/>
    <col min="12" max="12" width="8.5" style="41" customWidth="1"/>
    <col min="13" max="13" width="1.5" style="37" customWidth="1"/>
    <col min="14" max="14" width="21.69921875" style="37" customWidth="1"/>
    <col min="15" max="15" width="15.69921875" style="37" customWidth="1"/>
    <col min="16" max="16" width="1.5" style="37" customWidth="1"/>
    <col min="17" max="17" width="20.796875" style="37" customWidth="1"/>
    <col min="18" max="18" width="15.69921875" style="37" customWidth="1"/>
    <col min="19" max="19" width="2.69921875" style="37" customWidth="1"/>
    <col min="20" max="20" width="4.296875" style="184" hidden="1" customWidth="1" outlineLevel="1"/>
    <col min="21" max="22" width="10.69921875" style="42" hidden="1" customWidth="1" outlineLevel="1"/>
    <col min="23" max="24" width="8.69921875" style="42" hidden="1" customWidth="1" outlineLevel="1"/>
    <col min="25" max="26" width="13.19921875" style="42" hidden="1" customWidth="1" outlineLevel="1"/>
    <col min="27" max="27" width="11.5" style="806" hidden="1" customWidth="1" outlineLevel="1"/>
    <col min="28" max="28" width="8.69921875" style="806" hidden="1" customWidth="1" outlineLevel="1"/>
    <col min="29" max="29" width="2.69921875" style="37" customWidth="1" collapsed="1"/>
    <col min="30" max="30" width="2.69921875" style="37" customWidth="1"/>
    <col min="31" max="31" width="50.69921875" style="2145" customWidth="1"/>
    <col min="32" max="36" width="8.69921875" style="37" customWidth="1"/>
    <col min="37" max="16384" width="8.69921875" style="37"/>
  </cols>
  <sheetData>
    <row r="1" spans="1:31" x14ac:dyDescent="0.25">
      <c r="A1" s="331" t="s">
        <v>1038</v>
      </c>
      <c r="B1" s="39"/>
      <c r="C1" s="39"/>
      <c r="D1" s="39"/>
      <c r="E1" s="39"/>
      <c r="F1" s="38"/>
      <c r="G1" s="39"/>
      <c r="H1" s="38"/>
      <c r="I1" s="38"/>
      <c r="J1" s="39"/>
      <c r="K1" s="39"/>
      <c r="L1" s="39"/>
      <c r="M1" s="41"/>
      <c r="N1" s="41"/>
      <c r="O1" s="41"/>
      <c r="P1" s="40"/>
      <c r="Q1" s="40"/>
      <c r="R1" s="40"/>
      <c r="S1" s="40"/>
      <c r="T1" s="1"/>
      <c r="U1" s="1"/>
    </row>
    <row r="2" spans="1:31" ht="24.75" customHeight="1" x14ac:dyDescent="0.25">
      <c r="A2" s="331" t="s">
        <v>1038</v>
      </c>
      <c r="B2" s="15" t="s">
        <v>842</v>
      </c>
      <c r="C2" s="15"/>
      <c r="D2" s="15"/>
      <c r="E2" s="15"/>
      <c r="F2" s="15"/>
      <c r="G2" s="15"/>
      <c r="H2" s="15"/>
      <c r="I2" s="15"/>
      <c r="J2" s="15"/>
      <c r="K2" s="15"/>
      <c r="L2" s="1161"/>
      <c r="M2" s="996"/>
      <c r="N2" s="996"/>
      <c r="O2" s="996"/>
      <c r="P2" s="40"/>
      <c r="Q2" s="40"/>
      <c r="R2" s="40"/>
      <c r="S2" s="40"/>
      <c r="T2" s="1"/>
      <c r="U2" s="1"/>
    </row>
    <row r="3" spans="1:31" ht="15" customHeight="1" x14ac:dyDescent="0.25">
      <c r="A3" s="331" t="s">
        <v>1038</v>
      </c>
      <c r="B3" s="39"/>
      <c r="C3" s="39"/>
      <c r="D3" s="39"/>
      <c r="E3" s="39"/>
      <c r="F3" s="38"/>
      <c r="G3" s="39"/>
      <c r="H3" s="38"/>
      <c r="I3" s="38"/>
      <c r="J3" s="39"/>
      <c r="K3" s="39"/>
      <c r="L3" s="39"/>
      <c r="M3" s="41"/>
      <c r="N3" s="41"/>
      <c r="O3" s="41"/>
      <c r="P3" s="40"/>
      <c r="Q3" s="40"/>
      <c r="R3" s="40"/>
      <c r="S3" s="40"/>
      <c r="T3" s="1"/>
      <c r="U3" s="1"/>
    </row>
    <row r="4" spans="1:31" s="339" customFormat="1" ht="21.75" customHeight="1" x14ac:dyDescent="0.25">
      <c r="A4" s="304" t="s">
        <v>1038</v>
      </c>
      <c r="L4" s="952"/>
      <c r="T4" s="1"/>
      <c r="U4" s="1"/>
      <c r="V4" s="1"/>
      <c r="W4" s="1"/>
      <c r="X4" s="1"/>
      <c r="Y4" s="1"/>
      <c r="Z4" s="1"/>
      <c r="AA4" s="1008"/>
      <c r="AB4" s="1008"/>
      <c r="AE4" s="1521"/>
    </row>
    <row r="5" spans="1:31" s="347" customFormat="1" ht="46.5" customHeight="1" x14ac:dyDescent="0.25">
      <c r="A5" s="304" t="s">
        <v>1038</v>
      </c>
      <c r="B5" s="3444" t="s">
        <v>919</v>
      </c>
      <c r="C5" s="3444"/>
      <c r="D5" s="3444"/>
      <c r="E5" s="3444"/>
      <c r="F5" s="3444"/>
      <c r="G5" s="3444"/>
      <c r="H5" s="3444"/>
      <c r="I5" s="3444"/>
      <c r="J5" s="3444"/>
      <c r="K5" s="3444"/>
      <c r="L5" s="1162"/>
      <c r="M5" s="14"/>
      <c r="N5" s="14"/>
      <c r="O5" s="14"/>
      <c r="P5" s="14"/>
      <c r="Q5" s="14"/>
      <c r="R5" s="14"/>
      <c r="S5" s="14"/>
      <c r="T5" s="1205"/>
      <c r="U5" s="42"/>
      <c r="V5" s="42"/>
      <c r="W5" s="42"/>
      <c r="X5" s="42"/>
      <c r="Y5" s="42"/>
      <c r="Z5" s="42"/>
      <c r="AA5" s="806"/>
      <c r="AB5" s="806"/>
      <c r="AE5" s="1521"/>
    </row>
    <row r="6" spans="1:31" s="347" customFormat="1" ht="20.25" customHeight="1" x14ac:dyDescent="0.25">
      <c r="A6" s="304" t="s">
        <v>1038</v>
      </c>
      <c r="B6" s="1504"/>
      <c r="C6" s="1504"/>
      <c r="D6" s="1504"/>
      <c r="E6" s="1504"/>
      <c r="F6" s="1504"/>
      <c r="G6" s="1504"/>
      <c r="H6" s="1504"/>
      <c r="I6" s="1504"/>
      <c r="J6" s="1504"/>
      <c r="K6" s="1504"/>
      <c r="L6" s="1162"/>
      <c r="M6" s="1504"/>
      <c r="N6" s="1504"/>
      <c r="O6" s="1504"/>
      <c r="T6" s="42"/>
      <c r="U6" s="42"/>
      <c r="V6" s="42"/>
      <c r="W6" s="42"/>
      <c r="X6" s="42"/>
      <c r="Y6" s="42"/>
      <c r="Z6" s="42"/>
      <c r="AA6" s="806"/>
      <c r="AB6" s="806"/>
      <c r="AE6" s="1521"/>
    </row>
    <row r="7" spans="1:31" s="347" customFormat="1" ht="24" customHeight="1" x14ac:dyDescent="0.25">
      <c r="A7" s="304" t="s">
        <v>1038</v>
      </c>
      <c r="B7" s="196" t="s">
        <v>147</v>
      </c>
      <c r="C7" s="333"/>
      <c r="D7" s="333"/>
      <c r="E7" s="333"/>
      <c r="F7" s="333"/>
      <c r="G7" s="333"/>
      <c r="H7" s="333"/>
      <c r="I7" s="333"/>
      <c r="J7" s="333"/>
      <c r="K7" s="333"/>
      <c r="L7" s="1577"/>
      <c r="M7" s="333"/>
      <c r="N7" s="333"/>
      <c r="O7" s="333"/>
      <c r="T7" s="42"/>
      <c r="U7" s="42"/>
      <c r="V7" s="42"/>
      <c r="W7" s="42"/>
      <c r="X7" s="42"/>
      <c r="Y7" s="42"/>
      <c r="Z7" s="42"/>
      <c r="AA7" s="806"/>
      <c r="AB7" s="806"/>
      <c r="AE7" s="1497" t="s">
        <v>1635</v>
      </c>
    </row>
    <row r="8" spans="1:31" s="347" customFormat="1" ht="15" customHeight="1" x14ac:dyDescent="0.25">
      <c r="A8" s="304" t="s">
        <v>1038</v>
      </c>
      <c r="B8" s="7"/>
      <c r="C8" s="333"/>
      <c r="D8" s="333"/>
      <c r="E8" s="333"/>
      <c r="F8" s="333"/>
      <c r="G8" s="333"/>
      <c r="H8" s="333"/>
      <c r="I8" s="333"/>
      <c r="J8" s="333"/>
      <c r="K8" s="333"/>
      <c r="L8" s="1577"/>
      <c r="M8" s="333"/>
      <c r="N8" s="333"/>
      <c r="O8" s="333"/>
      <c r="T8" s="42"/>
      <c r="U8" s="42"/>
      <c r="V8" s="42"/>
      <c r="W8" s="42"/>
      <c r="X8" s="42"/>
      <c r="Y8" s="42"/>
      <c r="Z8" s="42"/>
      <c r="AA8" s="806"/>
      <c r="AB8" s="806"/>
      <c r="AE8" s="1521"/>
    </row>
    <row r="9" spans="1:31" s="347" customFormat="1" ht="49.2" customHeight="1" x14ac:dyDescent="0.25">
      <c r="A9" s="304" t="s">
        <v>1038</v>
      </c>
      <c r="B9" s="3463" t="s">
        <v>2447</v>
      </c>
      <c r="C9" s="3463"/>
      <c r="D9" s="3463"/>
      <c r="E9" s="3463"/>
      <c r="F9" s="3463"/>
      <c r="G9" s="3504"/>
      <c r="H9" s="3504"/>
      <c r="I9" s="3504"/>
      <c r="J9" s="3504"/>
      <c r="K9" s="3504"/>
      <c r="L9" s="3505"/>
      <c r="M9" s="1564"/>
      <c r="N9" s="1564"/>
      <c r="O9" s="1564"/>
      <c r="T9" s="42"/>
      <c r="U9" s="42"/>
      <c r="V9" s="42"/>
      <c r="W9" s="42"/>
      <c r="X9" s="42"/>
      <c r="Y9" s="42"/>
      <c r="Z9" s="42"/>
      <c r="AA9" s="806"/>
      <c r="AB9" s="806"/>
      <c r="AE9" s="1802"/>
    </row>
    <row r="10" spans="1:31" s="347" customFormat="1" ht="15" customHeight="1" x14ac:dyDescent="0.25">
      <c r="A10" s="304" t="s">
        <v>1038</v>
      </c>
      <c r="B10" s="1578"/>
      <c r="C10" s="1578"/>
      <c r="D10" s="1578"/>
      <c r="E10" s="1578"/>
      <c r="F10" s="1578"/>
      <c r="G10" s="1579"/>
      <c r="H10" s="1579"/>
      <c r="I10" s="1579"/>
      <c r="J10" s="1579"/>
      <c r="K10" s="1579"/>
      <c r="L10" s="1577"/>
      <c r="M10" s="1580"/>
      <c r="N10" s="1580"/>
      <c r="O10" s="1580"/>
      <c r="T10" s="42"/>
      <c r="U10" s="42"/>
      <c r="V10" s="42"/>
      <c r="W10" s="42"/>
      <c r="X10" s="42"/>
      <c r="Y10" s="42"/>
      <c r="Z10" s="42"/>
      <c r="AA10" s="806"/>
      <c r="AB10" s="806"/>
      <c r="AE10" s="1521"/>
    </row>
    <row r="11" spans="1:31" s="347" customFormat="1" ht="49.2" customHeight="1" x14ac:dyDescent="0.25">
      <c r="A11" s="304" t="s">
        <v>1038</v>
      </c>
      <c r="B11" s="3463" t="s">
        <v>148</v>
      </c>
      <c r="C11" s="3463"/>
      <c r="D11" s="3463"/>
      <c r="E11" s="3463"/>
      <c r="F11" s="3463"/>
      <c r="G11" s="3504"/>
      <c r="H11" s="3504"/>
      <c r="I11" s="3504"/>
      <c r="J11" s="3504"/>
      <c r="K11" s="3504"/>
      <c r="L11" s="3505"/>
      <c r="M11" s="1564"/>
      <c r="N11" s="1564"/>
      <c r="O11" s="1564"/>
      <c r="T11" s="42"/>
      <c r="U11" s="42"/>
      <c r="V11" s="42"/>
      <c r="W11" s="42"/>
      <c r="X11" s="42"/>
      <c r="Y11" s="42"/>
      <c r="Z11" s="42"/>
      <c r="AA11" s="806"/>
      <c r="AB11" s="806"/>
      <c r="AE11" s="1802"/>
    </row>
    <row r="12" spans="1:31" s="347" customFormat="1" ht="15" customHeight="1" x14ac:dyDescent="0.25">
      <c r="A12" s="304" t="s">
        <v>1038</v>
      </c>
      <c r="B12" s="1578"/>
      <c r="C12" s="1578"/>
      <c r="D12" s="1578"/>
      <c r="E12" s="1578"/>
      <c r="F12" s="1578"/>
      <c r="G12" s="1579"/>
      <c r="H12" s="1579"/>
      <c r="I12" s="1579"/>
      <c r="J12" s="1579"/>
      <c r="K12" s="1579"/>
      <c r="L12" s="1577"/>
      <c r="M12" s="1580"/>
      <c r="N12" s="1580"/>
      <c r="O12" s="1580"/>
      <c r="T12" s="42"/>
      <c r="U12" s="42"/>
      <c r="V12" s="42"/>
      <c r="W12" s="42"/>
      <c r="X12" s="42"/>
      <c r="Y12" s="42"/>
      <c r="Z12" s="42"/>
      <c r="AA12" s="806"/>
      <c r="AB12" s="806"/>
      <c r="AE12" s="1521"/>
    </row>
    <row r="13" spans="1:31" s="347" customFormat="1" ht="49.2" customHeight="1" x14ac:dyDescent="0.25">
      <c r="A13" s="304" t="s">
        <v>1038</v>
      </c>
      <c r="B13" s="3463" t="s">
        <v>2097</v>
      </c>
      <c r="C13" s="3463"/>
      <c r="D13" s="3463"/>
      <c r="E13" s="3463"/>
      <c r="F13" s="3463"/>
      <c r="G13" s="3504"/>
      <c r="H13" s="3504"/>
      <c r="I13" s="3504"/>
      <c r="J13" s="3504"/>
      <c r="K13" s="3504"/>
      <c r="L13" s="3505"/>
      <c r="M13" s="1564"/>
      <c r="N13" s="1564"/>
      <c r="O13" s="1564"/>
      <c r="T13" s="42"/>
      <c r="U13" s="42"/>
      <c r="V13" s="42"/>
      <c r="W13" s="42"/>
      <c r="X13" s="42"/>
      <c r="Y13" s="42"/>
      <c r="Z13" s="42"/>
      <c r="AA13" s="806"/>
      <c r="AB13" s="806"/>
      <c r="AE13" s="1802"/>
    </row>
    <row r="14" spans="1:31" s="347" customFormat="1" ht="15" customHeight="1" x14ac:dyDescent="0.25">
      <c r="A14" s="304" t="s">
        <v>1038</v>
      </c>
      <c r="B14" s="1571"/>
      <c r="C14" s="1571"/>
      <c r="D14" s="1571"/>
      <c r="E14" s="1571"/>
      <c r="F14" s="1571"/>
      <c r="G14" s="1571"/>
      <c r="J14" s="1581"/>
      <c r="K14" s="1581"/>
      <c r="L14" s="1577"/>
      <c r="M14" s="333"/>
      <c r="N14" s="333"/>
      <c r="O14" s="333"/>
      <c r="T14" s="42"/>
      <c r="U14" s="42"/>
      <c r="V14" s="42"/>
      <c r="W14" s="42"/>
      <c r="X14" s="42"/>
      <c r="Y14" s="42"/>
      <c r="Z14" s="42"/>
      <c r="AA14" s="806"/>
      <c r="AB14" s="806"/>
      <c r="AE14" s="1521"/>
    </row>
    <row r="15" spans="1:31" s="347" customFormat="1" ht="49.2" customHeight="1" x14ac:dyDescent="0.25">
      <c r="A15" s="304" t="s">
        <v>1038</v>
      </c>
      <c r="B15" s="3462" t="s">
        <v>2098</v>
      </c>
      <c r="C15" s="3462"/>
      <c r="D15" s="3462"/>
      <c r="E15" s="3462"/>
      <c r="F15" s="3462"/>
      <c r="G15" s="3504"/>
      <c r="H15" s="3504"/>
      <c r="I15" s="3504"/>
      <c r="J15" s="3504"/>
      <c r="K15" s="3504"/>
      <c r="L15" s="3505"/>
      <c r="M15" s="1564"/>
      <c r="N15" s="1564"/>
      <c r="O15" s="1564"/>
      <c r="T15" s="42"/>
      <c r="U15" s="42"/>
      <c r="V15" s="42"/>
      <c r="W15" s="42"/>
      <c r="X15" s="42"/>
      <c r="Y15" s="42"/>
      <c r="Z15" s="42"/>
      <c r="AA15" s="806"/>
      <c r="AB15" s="806"/>
      <c r="AE15" s="1802"/>
    </row>
    <row r="16" spans="1:31" s="866" customFormat="1" ht="15" customHeight="1" x14ac:dyDescent="0.25">
      <c r="A16" s="304" t="s">
        <v>1038</v>
      </c>
      <c r="H16" s="347"/>
      <c r="I16" s="347"/>
      <c r="L16" s="1573"/>
      <c r="T16" s="42"/>
      <c r="U16" s="42"/>
      <c r="V16" s="42"/>
      <c r="W16" s="1553"/>
      <c r="X16" s="1553"/>
      <c r="Y16" s="1553"/>
      <c r="Z16" s="1553"/>
      <c r="AA16" s="1582"/>
      <c r="AB16" s="1582"/>
      <c r="AE16" s="1609"/>
    </row>
    <row r="17" spans="1:31" s="347" customFormat="1" ht="49.2" customHeight="1" x14ac:dyDescent="0.25">
      <c r="A17" s="304" t="s">
        <v>1038</v>
      </c>
      <c r="B17" s="3463" t="s">
        <v>3046</v>
      </c>
      <c r="C17" s="3463"/>
      <c r="D17" s="3463"/>
      <c r="E17" s="3463"/>
      <c r="F17" s="3463"/>
      <c r="G17" s="3463"/>
      <c r="H17" s="3463"/>
      <c r="I17" s="3463"/>
      <c r="J17" s="3463"/>
      <c r="K17" s="3506"/>
      <c r="L17" s="3505"/>
      <c r="M17" s="1564"/>
      <c r="N17" s="1564"/>
      <c r="O17" s="1564"/>
      <c r="P17" s="866"/>
      <c r="Q17" s="866"/>
      <c r="R17" s="866"/>
      <c r="S17" s="866"/>
      <c r="T17" s="42"/>
      <c r="U17" s="42"/>
      <c r="V17" s="42"/>
      <c r="W17" s="42"/>
      <c r="X17" s="42"/>
      <c r="Y17" s="42"/>
      <c r="Z17" s="42"/>
      <c r="AA17" s="806"/>
      <c r="AB17" s="806"/>
      <c r="AE17" s="1802"/>
    </row>
    <row r="18" spans="1:31" s="347" customFormat="1" ht="10.5" customHeight="1" x14ac:dyDescent="0.25">
      <c r="A18" s="304" t="s">
        <v>1038</v>
      </c>
      <c r="B18" s="1583"/>
      <c r="C18" s="1584"/>
      <c r="D18" s="1584"/>
      <c r="E18" s="1584"/>
      <c r="F18" s="1584"/>
      <c r="G18" s="1584"/>
      <c r="H18" s="1571"/>
      <c r="I18" s="1571"/>
      <c r="J18" s="1571"/>
      <c r="K18" s="1581"/>
      <c r="L18" s="1573"/>
      <c r="M18" s="866"/>
      <c r="N18" s="866"/>
      <c r="O18" s="866"/>
      <c r="P18" s="866"/>
      <c r="Q18" s="866"/>
      <c r="R18" s="866"/>
      <c r="S18" s="866"/>
      <c r="T18" s="42"/>
      <c r="U18" s="42"/>
      <c r="V18" s="42"/>
      <c r="W18" s="42"/>
      <c r="X18" s="42"/>
      <c r="Y18" s="42"/>
      <c r="Z18" s="42"/>
      <c r="AA18" s="806"/>
      <c r="AB18" s="806"/>
      <c r="AE18" s="1521"/>
    </row>
    <row r="19" spans="1:31" s="347" customFormat="1" ht="49.2" customHeight="1" x14ac:dyDescent="0.25">
      <c r="A19" s="304" t="s">
        <v>1038</v>
      </c>
      <c r="B19" s="3462" t="str">
        <f>IF(RatingSystem_IDC,CONCATENATE("All existing envelope opaque assemblies were modeled as required by Tables G3.4-1 through G3.4-8 per ASHRAE 90.1-2016 Appendix G for the project's climate zone and Table G3.1#5(Proposed)(b) as lightweight assembly types,"," and are not modeled using Exception (f) per Rating system requirements"),CONCATENATE("All baseline existing roofs, above-grade exterior walls, below-grade exterior walls, exposed floors, slab-on-grade floors, and opaque doors were modeled"," using Tables G3.4-1 through G3.4-8 per ASHRAE 90.1-2016 Appendix G."))</f>
        <v>All baseline existing roofs, above-grade exterior walls, below-grade exterior walls, exposed floors, slab-on-grade floors, and opaque doors were modeled using Tables G3.4-1 through G3.4-8 per ASHRAE 90.1-2016 Appendix G.</v>
      </c>
      <c r="C19" s="3462"/>
      <c r="D19" s="3462"/>
      <c r="E19" s="3462"/>
      <c r="F19" s="3462"/>
      <c r="G19" s="3462"/>
      <c r="H19" s="3462"/>
      <c r="I19" s="3462"/>
      <c r="J19" s="3462"/>
      <c r="K19" s="3506"/>
      <c r="L19" s="3505"/>
      <c r="M19" s="1564"/>
      <c r="N19" s="1564"/>
      <c r="O19" s="1564"/>
      <c r="P19" s="1581"/>
      <c r="Q19" s="1581"/>
      <c r="R19" s="1581"/>
      <c r="S19" s="1581"/>
      <c r="T19" s="42"/>
      <c r="U19" s="42"/>
      <c r="V19" s="42"/>
      <c r="W19" s="42"/>
      <c r="X19" s="42"/>
      <c r="Y19" s="42"/>
      <c r="Z19" s="42"/>
      <c r="AA19" s="806"/>
      <c r="AB19" s="806"/>
      <c r="AE19" s="1802"/>
    </row>
    <row r="20" spans="1:31" s="347" customFormat="1" ht="10.5" customHeight="1" x14ac:dyDescent="0.25">
      <c r="A20" s="304" t="s">
        <v>1038</v>
      </c>
      <c r="B20" s="1583"/>
      <c r="C20" s="1584"/>
      <c r="D20" s="1584"/>
      <c r="E20" s="1584"/>
      <c r="F20" s="1584"/>
      <c r="G20" s="1584"/>
      <c r="H20" s="1571"/>
      <c r="I20" s="1571"/>
      <c r="J20" s="1571"/>
      <c r="K20" s="1581"/>
      <c r="L20" s="1577"/>
      <c r="M20" s="1581"/>
      <c r="N20" s="1581"/>
      <c r="O20" s="1581"/>
      <c r="P20" s="1581"/>
      <c r="Q20" s="1581"/>
      <c r="R20" s="1581"/>
      <c r="S20" s="1581"/>
      <c r="T20" s="42"/>
      <c r="U20" s="42"/>
      <c r="V20" s="42"/>
      <c r="W20" s="42"/>
      <c r="X20" s="42"/>
      <c r="Y20" s="42"/>
      <c r="Z20" s="42"/>
      <c r="AA20" s="806"/>
      <c r="AB20" s="806"/>
      <c r="AE20" s="1521"/>
    </row>
    <row r="21" spans="1:31" s="347" customFormat="1" ht="49.2" customHeight="1" x14ac:dyDescent="0.25">
      <c r="A21" s="304" t="s">
        <v>1038</v>
      </c>
      <c r="B21" s="3463" t="s">
        <v>918</v>
      </c>
      <c r="C21" s="3463"/>
      <c r="D21" s="3463"/>
      <c r="E21" s="3463"/>
      <c r="F21" s="3463"/>
      <c r="G21" s="3463"/>
      <c r="H21" s="3463"/>
      <c r="I21" s="3463"/>
      <c r="J21" s="3463"/>
      <c r="K21" s="3506"/>
      <c r="L21" s="3505"/>
      <c r="M21" s="1564"/>
      <c r="N21" s="1564"/>
      <c r="O21" s="1564"/>
      <c r="P21" s="1581"/>
      <c r="Q21" s="1581"/>
      <c r="R21" s="1581"/>
      <c r="S21" s="1581"/>
      <c r="T21" s="42"/>
      <c r="U21" s="42"/>
      <c r="V21" s="42"/>
      <c r="W21" s="42"/>
      <c r="X21" s="42"/>
      <c r="Y21" s="42"/>
      <c r="Z21" s="42"/>
      <c r="AA21" s="806"/>
      <c r="AB21" s="806"/>
      <c r="AE21" s="1802"/>
    </row>
    <row r="22" spans="1:31" s="347" customFormat="1" ht="10.5" customHeight="1" x14ac:dyDescent="0.25">
      <c r="A22" s="304" t="s">
        <v>1038</v>
      </c>
      <c r="B22" s="1583"/>
      <c r="C22" s="1584"/>
      <c r="D22" s="1584"/>
      <c r="E22" s="1584"/>
      <c r="F22" s="1584"/>
      <c r="G22" s="1584"/>
      <c r="H22" s="1571"/>
      <c r="I22" s="1571"/>
      <c r="J22" s="1571"/>
      <c r="K22" s="1581"/>
      <c r="L22" s="1577"/>
      <c r="M22" s="1581"/>
      <c r="N22" s="1581"/>
      <c r="O22" s="1581"/>
      <c r="P22" s="1581"/>
      <c r="Q22" s="1581"/>
      <c r="R22" s="1581"/>
      <c r="S22" s="1581"/>
      <c r="T22" s="42"/>
      <c r="U22" s="42"/>
      <c r="V22" s="42"/>
      <c r="W22" s="42"/>
      <c r="X22" s="42"/>
      <c r="Y22" s="42"/>
      <c r="Z22" s="42"/>
      <c r="AA22" s="806"/>
      <c r="AB22" s="806"/>
      <c r="AE22" s="1521"/>
    </row>
    <row r="23" spans="1:31" s="347" customFormat="1" ht="49.2" customHeight="1" x14ac:dyDescent="0.25">
      <c r="A23" s="304" t="s">
        <v>1038</v>
      </c>
      <c r="B23" s="3463" t="str">
        <f>IF('General Information'!J9="ENERGY STAR MFHR",DropdownData!DV2,DropdownData!DW2)</f>
        <v>Infiltration rates and schedules have been modeled identically in the baseline and proposed, unless whole-building air leakage testing, in accordance with ASTM e779, is specified during design and completed after construction (per Table G3.1#5). If performance credit is modeled for infiltration reduction, complete the Infiltration table below.</v>
      </c>
      <c r="C23" s="3463"/>
      <c r="D23" s="3463"/>
      <c r="E23" s="3463"/>
      <c r="F23" s="3463"/>
      <c r="G23" s="3463"/>
      <c r="H23" s="3463"/>
      <c r="I23" s="3463"/>
      <c r="J23" s="3463"/>
      <c r="K23" s="3507"/>
      <c r="L23" s="3508"/>
      <c r="M23" s="1564"/>
      <c r="N23" s="1564"/>
      <c r="O23" s="1564"/>
      <c r="P23" s="1581"/>
      <c r="Q23" s="1581"/>
      <c r="R23" s="1581"/>
      <c r="S23" s="1581"/>
      <c r="T23" s="42"/>
      <c r="U23" s="42"/>
      <c r="V23" s="42"/>
      <c r="W23" s="42"/>
      <c r="X23" s="42"/>
      <c r="Y23" s="42"/>
      <c r="Z23" s="42"/>
      <c r="AA23" s="806"/>
      <c r="AB23" s="806"/>
      <c r="AE23" s="1802"/>
    </row>
    <row r="24" spans="1:31" s="866" customFormat="1" ht="21" customHeight="1" x14ac:dyDescent="0.25">
      <c r="A24" s="304" t="s">
        <v>1038</v>
      </c>
      <c r="L24" s="1577"/>
      <c r="M24" s="1581"/>
      <c r="N24" s="1581"/>
      <c r="O24" s="1581"/>
      <c r="P24" s="1581"/>
      <c r="Q24" s="1581"/>
      <c r="R24" s="1581"/>
      <c r="S24" s="1581"/>
      <c r="T24" s="42"/>
      <c r="U24" s="42"/>
      <c r="V24" s="1553"/>
      <c r="W24" s="1553"/>
      <c r="X24" s="1553"/>
      <c r="Y24" s="1553"/>
      <c r="Z24" s="1553"/>
      <c r="AA24" s="1582"/>
      <c r="AB24" s="1582"/>
      <c r="AE24" s="1609"/>
    </row>
    <row r="25" spans="1:31" s="347" customFormat="1" ht="54.75" customHeight="1" x14ac:dyDescent="0.25">
      <c r="A25" s="304" t="s">
        <v>1038</v>
      </c>
      <c r="B25" s="3509" t="s">
        <v>243</v>
      </c>
      <c r="C25" s="3509"/>
      <c r="D25" s="3509"/>
      <c r="E25" s="3509"/>
      <c r="F25" s="3509"/>
      <c r="G25" s="3509"/>
      <c r="H25" s="3509"/>
      <c r="I25" s="3509"/>
      <c r="J25" s="3509"/>
      <c r="K25" s="3509"/>
      <c r="L25" s="3510"/>
      <c r="M25" s="1585"/>
      <c r="N25" s="1585"/>
      <c r="O25" s="1585"/>
      <c r="P25" s="1554"/>
      <c r="Q25" s="1554"/>
      <c r="R25" s="1554"/>
      <c r="S25" s="1554"/>
      <c r="T25" s="1210"/>
      <c r="U25" s="42"/>
      <c r="V25" s="42"/>
      <c r="W25" s="42"/>
      <c r="X25" s="42"/>
      <c r="Y25" s="42"/>
      <c r="Z25" s="42"/>
      <c r="AA25" s="806"/>
      <c r="AB25" s="806"/>
      <c r="AE25" s="1521"/>
    </row>
    <row r="26" spans="1:31" s="347" customFormat="1" ht="21" customHeight="1" x14ac:dyDescent="0.25">
      <c r="A26" s="304" t="s">
        <v>1038</v>
      </c>
      <c r="B26" s="3458"/>
      <c r="C26" s="3458"/>
      <c r="D26" s="3458"/>
      <c r="E26" s="3458"/>
      <c r="F26" s="3458"/>
      <c r="G26" s="3458"/>
      <c r="H26" s="3458"/>
      <c r="I26" s="3458"/>
      <c r="J26" s="3458"/>
      <c r="K26" s="3458"/>
      <c r="L26" s="3511"/>
      <c r="M26" s="1586"/>
      <c r="N26" s="1586"/>
      <c r="O26" s="1586"/>
      <c r="P26" s="1554"/>
      <c r="Q26" s="1554"/>
      <c r="R26" s="1554"/>
      <c r="S26" s="1554"/>
      <c r="T26" s="1210"/>
      <c r="U26" s="42"/>
      <c r="V26" s="42"/>
      <c r="W26" s="42"/>
      <c r="X26" s="42"/>
      <c r="Y26" s="42"/>
      <c r="Z26" s="42"/>
      <c r="AA26" s="806"/>
      <c r="AB26" s="806"/>
      <c r="AE26" s="1802"/>
    </row>
    <row r="27" spans="1:31" s="347" customFormat="1" ht="30.75" customHeight="1" x14ac:dyDescent="0.25">
      <c r="A27" s="304" t="s">
        <v>1038</v>
      </c>
      <c r="B27" s="8"/>
      <c r="C27" s="9"/>
      <c r="D27" s="9"/>
      <c r="E27" s="9"/>
      <c r="F27" s="9"/>
      <c r="G27" s="9"/>
      <c r="H27" s="9"/>
      <c r="I27" s="9"/>
      <c r="J27" s="9"/>
      <c r="K27" s="9"/>
      <c r="L27" s="1587"/>
      <c r="M27" s="1554"/>
      <c r="N27" s="1554"/>
      <c r="O27" s="1554"/>
      <c r="T27" s="42"/>
      <c r="U27" s="42"/>
      <c r="V27" s="42"/>
      <c r="W27" s="42"/>
      <c r="X27" s="42"/>
      <c r="Y27" s="42"/>
      <c r="Z27" s="42"/>
      <c r="AA27" s="806"/>
      <c r="AB27" s="806"/>
      <c r="AE27" s="1521"/>
    </row>
    <row r="28" spans="1:31" s="347" customFormat="1" ht="18.75" customHeight="1" x14ac:dyDescent="0.25">
      <c r="A28" s="304"/>
      <c r="B28" s="196" t="s">
        <v>2380</v>
      </c>
      <c r="C28" s="9"/>
      <c r="D28" s="9"/>
      <c r="E28" s="9"/>
      <c r="F28" s="9"/>
      <c r="G28" s="9"/>
      <c r="H28" s="9"/>
      <c r="J28" s="9"/>
      <c r="K28" s="9"/>
      <c r="L28" s="1587"/>
      <c r="M28" s="1554"/>
      <c r="N28" s="1554"/>
      <c r="O28" s="1554"/>
      <c r="T28" s="42"/>
      <c r="U28" s="42"/>
      <c r="V28" s="42"/>
      <c r="W28" s="42"/>
      <c r="X28" s="42"/>
      <c r="Y28" s="42"/>
      <c r="Z28" s="42"/>
      <c r="AA28" s="806"/>
      <c r="AB28" s="806"/>
      <c r="AE28" s="1521"/>
    </row>
    <row r="29" spans="1:31" s="347" customFormat="1" ht="18" customHeight="1" x14ac:dyDescent="0.25">
      <c r="A29" s="304"/>
      <c r="B29" s="13"/>
      <c r="C29" s="9"/>
      <c r="D29" s="9"/>
      <c r="E29" s="9"/>
      <c r="F29" s="9"/>
      <c r="G29" s="9"/>
      <c r="J29" s="9"/>
      <c r="K29" s="9"/>
      <c r="L29" s="1587"/>
      <c r="M29" s="1554"/>
      <c r="N29" s="1554"/>
      <c r="O29" s="1554"/>
      <c r="T29" s="42"/>
      <c r="U29" s="42"/>
      <c r="V29" s="42"/>
      <c r="W29" s="42"/>
      <c r="X29" s="42"/>
      <c r="Y29" s="42"/>
      <c r="Z29" s="42"/>
      <c r="AA29" s="806"/>
      <c r="AB29" s="806"/>
      <c r="AE29" s="1521"/>
    </row>
    <row r="30" spans="1:31" s="347" customFormat="1" ht="30.75" customHeight="1" x14ac:dyDescent="0.25">
      <c r="A30" s="304"/>
      <c r="B30" s="3514" t="s">
        <v>2439</v>
      </c>
      <c r="C30" s="3514"/>
      <c r="D30" s="3514"/>
      <c r="E30" s="3514"/>
      <c r="F30" s="3514"/>
      <c r="G30" s="3514"/>
      <c r="H30" s="3514"/>
      <c r="I30" s="3514"/>
      <c r="J30" s="3514"/>
      <c r="K30" s="3514"/>
      <c r="L30" s="1587"/>
      <c r="M30" s="1554"/>
      <c r="N30" s="1554"/>
      <c r="O30" s="1554"/>
      <c r="T30" s="42"/>
      <c r="U30" s="42"/>
      <c r="V30" s="42"/>
      <c r="W30" s="42"/>
      <c r="X30" s="42"/>
      <c r="Y30" s="42"/>
      <c r="Z30" s="42"/>
      <c r="AA30" s="806"/>
      <c r="AB30" s="806"/>
      <c r="AE30" s="1521"/>
    </row>
    <row r="31" spans="1:31" s="347" customFormat="1" ht="23.7" customHeight="1" x14ac:dyDescent="0.25">
      <c r="A31" s="304"/>
      <c r="B31" s="1208"/>
      <c r="C31" s="1208"/>
      <c r="D31" s="1208"/>
      <c r="E31" s="1208"/>
      <c r="F31" s="3433" t="str">
        <f>"Baseline"&amp;"-"&amp;'General Information'!$H$49</f>
        <v>Baseline-</v>
      </c>
      <c r="G31" s="3433"/>
      <c r="H31" s="3433" t="s">
        <v>2682</v>
      </c>
      <c r="I31" s="3433"/>
      <c r="J31" s="3438" t="s">
        <v>2544</v>
      </c>
      <c r="K31" s="3439"/>
      <c r="L31" s="1554"/>
      <c r="M31" s="1554"/>
      <c r="N31" s="1554"/>
      <c r="O31" s="1554"/>
      <c r="T31" s="42"/>
      <c r="U31" s="42"/>
      <c r="V31" s="42"/>
      <c r="W31" s="42"/>
      <c r="X31" s="42"/>
      <c r="Y31" s="42"/>
      <c r="Z31" s="42"/>
      <c r="AA31" s="806"/>
      <c r="AB31" s="806"/>
      <c r="AE31" s="1521"/>
    </row>
    <row r="32" spans="1:31" s="347" customFormat="1" ht="78" customHeight="1" x14ac:dyDescent="0.25">
      <c r="A32" s="304"/>
      <c r="B32" s="1208"/>
      <c r="C32" s="1208"/>
      <c r="D32" s="1208"/>
      <c r="E32" s="1208"/>
      <c r="F32" s="3513" t="str">
        <f>IF(SI_IP_Units="IP","Per Table G3.1#5, the air leakage rate at a fixed building pressure differential of 0.3 in. H2O shall be 0.4 cfm/ft2, and infiltration rates must be converted into appropriate modeling inputs using one of the two methods in G3.1.1.4","Per Table G3.1#5, the air leakage rate at a fixed building pressure differential of 75 Pa shall be 2.03 L/sm2, and infiltration rates must be converted into appropriate modeling inputs using one of the two methods in G3.1.1.4")</f>
        <v>Per Table G3.1#5, the air leakage rate at a fixed building pressure differential of 0.3 in. H2O shall be 0.4 cfm/ft2, and infiltration rates must be converted into appropriate modeling inputs using one of the two methods in G3.1.1.4</v>
      </c>
      <c r="G32" s="3513"/>
      <c r="H32" s="3467" t="s">
        <v>2261</v>
      </c>
      <c r="I32" s="3467"/>
      <c r="J32" s="3440"/>
      <c r="K32" s="3441"/>
      <c r="L32" s="1554"/>
      <c r="M32" s="1554"/>
      <c r="N32" s="1554"/>
      <c r="O32" s="1554"/>
      <c r="T32" s="42"/>
      <c r="U32" s="42"/>
      <c r="V32" s="42"/>
      <c r="W32" s="42"/>
      <c r="X32" s="42"/>
      <c r="Y32" s="42"/>
      <c r="Z32" s="42"/>
      <c r="AA32" s="806"/>
      <c r="AB32" s="806"/>
      <c r="AE32" s="1521"/>
    </row>
    <row r="33" spans="1:31" s="347" customFormat="1" ht="23.7" customHeight="1" x14ac:dyDescent="0.25">
      <c r="A33" s="304"/>
      <c r="B33" s="3456" t="str">
        <f>CONCATENATE("A FLR = total gross floor area, ",IF(SI_IP_Units="IP"," (ft2)"," (m2)"))</f>
        <v>A FLR = total gross floor area,  (ft2)</v>
      </c>
      <c r="C33" s="3495"/>
      <c r="D33" s="3495"/>
      <c r="E33" s="3457"/>
      <c r="F33" s="3498">
        <f>H33</f>
        <v>0</v>
      </c>
      <c r="G33" s="3499"/>
      <c r="H33" s="3512"/>
      <c r="I33" s="3503"/>
      <c r="J33" s="3440"/>
      <c r="K33" s="3441"/>
      <c r="L33" s="1554"/>
      <c r="M33" s="1554"/>
      <c r="N33" s="1554"/>
      <c r="O33" s="1554"/>
      <c r="T33" s="42"/>
      <c r="U33" s="42"/>
      <c r="V33" s="42"/>
      <c r="W33" s="42"/>
      <c r="X33" s="42"/>
      <c r="Y33" s="42"/>
      <c r="Z33" s="42"/>
      <c r="AA33" s="806"/>
      <c r="AB33" s="806"/>
      <c r="AE33" s="1521"/>
    </row>
    <row r="34" spans="1:31" s="347" customFormat="1" ht="23.7" customHeight="1" x14ac:dyDescent="0.25">
      <c r="A34" s="304"/>
      <c r="B34" s="3456" t="str">
        <f>CONCATENATE("A EW = total above grade exterior wall area, ",IF(SI_IP_Units="IP"," (ft2)"," (m2)"))</f>
        <v>A EW = total above grade exterior wall area,  (ft2)</v>
      </c>
      <c r="C34" s="3495"/>
      <c r="D34" s="3495"/>
      <c r="E34" s="3457"/>
      <c r="F34" s="3498">
        <f>H34</f>
        <v>0</v>
      </c>
      <c r="G34" s="3499"/>
      <c r="H34" s="3512"/>
      <c r="I34" s="3503"/>
      <c r="J34" s="3440"/>
      <c r="K34" s="3441"/>
      <c r="L34" s="1554"/>
      <c r="M34" s="1954"/>
      <c r="N34" s="1554"/>
      <c r="O34" s="1554"/>
      <c r="T34" s="42"/>
      <c r="U34" s="42"/>
      <c r="V34" s="42"/>
      <c r="W34" s="42"/>
      <c r="X34" s="42"/>
      <c r="Y34" s="42"/>
      <c r="Z34" s="42"/>
      <c r="AA34" s="806"/>
      <c r="AB34" s="806"/>
      <c r="AE34" s="1521"/>
    </row>
    <row r="35" spans="1:31" s="347" customFormat="1" ht="85.5" customHeight="1" x14ac:dyDescent="0.25">
      <c r="A35" s="304"/>
      <c r="B35" s="3456" t="str">
        <f>CONCATENATE("S = total area of the envelope air pressure boundary (expressed in ",IF(SI_IP_Units="IP","ft2","m2"),"), including the lowest floor, any below- or above-grade walls, and roof (or ceiling) (including windows and skylights), separating the interior conditioned space from the unconditioned environment measured")</f>
        <v>S = total area of the envelope air pressure boundary (expressed in ft2), including the lowest floor, any below- or above-grade walls, and roof (or ceiling) (including windows and skylights), separating the interior conditioned space from the unconditioned environment measured</v>
      </c>
      <c r="C35" s="3495"/>
      <c r="D35" s="3495"/>
      <c r="E35" s="3457"/>
      <c r="F35" s="3498">
        <f>H35</f>
        <v>0</v>
      </c>
      <c r="G35" s="3499"/>
      <c r="H35" s="3512"/>
      <c r="I35" s="3503"/>
      <c r="J35" s="3442"/>
      <c r="K35" s="3443"/>
      <c r="L35" s="1554"/>
      <c r="M35" s="1954"/>
      <c r="N35" s="1554"/>
      <c r="O35" s="1554"/>
      <c r="T35" s="42"/>
      <c r="U35" s="42"/>
      <c r="V35" s="42"/>
      <c r="W35" s="42"/>
      <c r="X35" s="42"/>
      <c r="Y35" s="42"/>
      <c r="Z35" s="42"/>
      <c r="AA35" s="806"/>
      <c r="AB35" s="806"/>
      <c r="AE35" s="1521"/>
    </row>
    <row r="36" spans="1:31" s="347" customFormat="1" ht="23.7" customHeight="1" x14ac:dyDescent="0.25">
      <c r="A36" s="304"/>
      <c r="B36" s="3456" t="s">
        <v>2435</v>
      </c>
      <c r="C36" s="3495"/>
      <c r="D36" s="3495"/>
      <c r="E36" s="3457"/>
      <c r="F36" s="3498" t="s">
        <v>2436</v>
      </c>
      <c r="G36" s="3499"/>
      <c r="H36" s="3500"/>
      <c r="I36" s="3501"/>
      <c r="J36" s="3488"/>
      <c r="K36" s="3489"/>
      <c r="L36" s="1554"/>
      <c r="M36" s="1554"/>
      <c r="N36" s="1554"/>
      <c r="O36" s="1554"/>
      <c r="T36" s="42"/>
      <c r="U36" s="42"/>
      <c r="V36" s="42"/>
      <c r="W36" s="42"/>
      <c r="X36" s="42"/>
      <c r="Y36" s="42"/>
      <c r="Z36" s="42"/>
      <c r="AA36" s="806"/>
      <c r="AB36" s="806"/>
      <c r="AE36" s="1521"/>
    </row>
    <row r="37" spans="1:31" s="347" customFormat="1" ht="23.7" customHeight="1" x14ac:dyDescent="0.25">
      <c r="A37" s="304"/>
      <c r="B37" s="3456" t="s">
        <v>2437</v>
      </c>
      <c r="C37" s="3495"/>
      <c r="D37" s="3495"/>
      <c r="E37" s="3457"/>
      <c r="F37" s="3498" t="s">
        <v>2438</v>
      </c>
      <c r="G37" s="3499"/>
      <c r="H37" s="3500"/>
      <c r="I37" s="3501"/>
      <c r="J37" s="3490"/>
      <c r="K37" s="3491"/>
      <c r="L37" s="1554"/>
      <c r="M37" s="1554"/>
      <c r="N37" s="1554"/>
      <c r="O37" s="1554"/>
      <c r="T37" s="42"/>
      <c r="U37" s="42"/>
      <c r="V37" s="42"/>
      <c r="W37" s="42"/>
      <c r="X37" s="42"/>
      <c r="Y37" s="42"/>
      <c r="Z37" s="42"/>
      <c r="AA37" s="806"/>
      <c r="AB37" s="806"/>
      <c r="AE37" s="1521"/>
    </row>
    <row r="38" spans="1:31" s="347" customFormat="1" ht="41.25" customHeight="1" x14ac:dyDescent="0.25">
      <c r="A38" s="304"/>
      <c r="B38" s="3456" t="str">
        <f>CONCATENATE("I 75Pa / I 50 Pa = air leakage rate of the building envelope expressed in ",IF(SI_IP_Units="IP","cfm/ft2","l/sm2")," at the specified fixed building pressure differential.")</f>
        <v>I 75Pa / I 50 Pa = air leakage rate of the building envelope expressed in cfm/ft2 at the specified fixed building pressure differential.</v>
      </c>
      <c r="C38" s="3495"/>
      <c r="D38" s="3495"/>
      <c r="E38" s="3457"/>
      <c r="F38" s="3496" t="str">
        <f>IF(SI_IP_Units="IP","0.4","2.03")</f>
        <v>0.4</v>
      </c>
      <c r="G38" s="3496"/>
      <c r="H38" s="3502"/>
      <c r="I38" s="3503"/>
      <c r="J38" s="3490"/>
      <c r="K38" s="3491"/>
      <c r="L38" s="1554"/>
      <c r="M38" s="1554"/>
      <c r="N38" s="1554"/>
      <c r="O38" s="1554"/>
      <c r="T38" s="42"/>
      <c r="U38" s="42"/>
      <c r="V38" s="42"/>
      <c r="W38" s="42"/>
      <c r="X38" s="42"/>
      <c r="Y38" s="42"/>
      <c r="Z38" s="42"/>
      <c r="AA38" s="806"/>
      <c r="AB38" s="806"/>
      <c r="AE38" s="1521"/>
    </row>
    <row r="39" spans="1:31" s="347" customFormat="1" ht="49.2" customHeight="1" x14ac:dyDescent="0.25">
      <c r="A39" s="304"/>
      <c r="B39" s="3456" t="str">
        <f>CONCATENATE("Q = Volume of air in ",IF(SI_IP_Units="IP","cfm","l/s")," flowing through the whole building envelope when subjected to the specified fixed building pressure differential.")</f>
        <v>Q = Volume of air in cfm flowing through the whole building envelope when subjected to the specified fixed building pressure differential.</v>
      </c>
      <c r="C39" s="3495"/>
      <c r="D39" s="3495"/>
      <c r="E39" s="3457"/>
      <c r="F39" s="3498">
        <f>F38*F35</f>
        <v>0</v>
      </c>
      <c r="G39" s="3499"/>
      <c r="H39" s="3498">
        <f>H38*H35</f>
        <v>0</v>
      </c>
      <c r="I39" s="3499"/>
      <c r="J39" s="3490"/>
      <c r="K39" s="3491"/>
      <c r="L39" s="1554"/>
      <c r="M39" s="1554"/>
      <c r="N39" s="1554"/>
      <c r="O39" s="1554"/>
      <c r="T39" s="42"/>
      <c r="U39" s="42"/>
      <c r="V39" s="42"/>
      <c r="W39" s="42"/>
      <c r="X39" s="42"/>
      <c r="Y39" s="42"/>
      <c r="Z39" s="42"/>
      <c r="AA39" s="806"/>
      <c r="AB39" s="806"/>
      <c r="AE39" s="1521"/>
    </row>
    <row r="40" spans="1:31" s="347" customFormat="1" ht="23.7" customHeight="1" x14ac:dyDescent="0.25">
      <c r="A40" s="304"/>
      <c r="B40" s="3456" t="str">
        <f>IF(SI_IP_Units="IP","Building Volume (ft3)","Building Volume (m3)")</f>
        <v>Building Volume (ft3)</v>
      </c>
      <c r="C40" s="3495"/>
      <c r="D40" s="3495"/>
      <c r="E40" s="3457"/>
      <c r="F40" s="3498">
        <f>H40</f>
        <v>0</v>
      </c>
      <c r="G40" s="3499"/>
      <c r="H40" s="3515"/>
      <c r="I40" s="3516"/>
      <c r="J40" s="3490"/>
      <c r="K40" s="3491"/>
      <c r="L40" s="1554"/>
      <c r="M40" s="1554"/>
      <c r="N40" s="1554"/>
      <c r="O40" s="1554"/>
      <c r="T40" s="42"/>
      <c r="U40" s="42"/>
      <c r="V40" s="42"/>
      <c r="W40" s="42"/>
      <c r="X40" s="42"/>
      <c r="Y40" s="42"/>
      <c r="Z40" s="42"/>
      <c r="AA40" s="806"/>
      <c r="AB40" s="806"/>
      <c r="AE40" s="1521"/>
    </row>
    <row r="41" spans="1:31" s="347" customFormat="1" ht="23.7" customHeight="1" x14ac:dyDescent="0.25">
      <c r="A41" s="304"/>
      <c r="B41" s="3456"/>
      <c r="C41" s="3495"/>
      <c r="D41" s="3495"/>
      <c r="E41" s="3457"/>
      <c r="F41" s="3430" t="s">
        <v>2473</v>
      </c>
      <c r="G41" s="3431"/>
      <c r="H41" s="3431"/>
      <c r="I41" s="3432"/>
      <c r="J41" s="3490"/>
      <c r="K41" s="3491"/>
      <c r="L41" s="1554"/>
      <c r="M41" s="1554"/>
      <c r="N41" s="1554"/>
      <c r="O41" s="1554"/>
      <c r="T41" s="42"/>
      <c r="U41" s="42"/>
      <c r="V41" s="42"/>
      <c r="W41" s="42"/>
      <c r="X41" s="42"/>
      <c r="Y41" s="42"/>
      <c r="Z41" s="42"/>
      <c r="AA41" s="806"/>
      <c r="AB41" s="806"/>
      <c r="AE41" s="1521"/>
    </row>
    <row r="42" spans="1:31" s="347" customFormat="1" ht="29.25" customHeight="1" x14ac:dyDescent="0.25">
      <c r="A42" s="304"/>
      <c r="B42" s="3456" t="str">
        <f>IF(SI_IP_Units="IP"," I flr = Baseline Model Infiltration as a Function of Floor Area [cfm/ft2]"," I flr Baseline Model Infiltration as a Function of Floor Area [l/sm2]")</f>
        <v xml:space="preserve"> I flr = Baseline Model Infiltration as a Function of Floor Area [cfm/ft2]</v>
      </c>
      <c r="C42" s="3495"/>
      <c r="D42" s="3495"/>
      <c r="E42" s="3457"/>
      <c r="F42" s="3497" t="str">
        <f>IFERROR(IF(F39="","-",(0.112*F39/F33)),"-")</f>
        <v>-</v>
      </c>
      <c r="G42" s="3497"/>
      <c r="H42" s="3497" t="str">
        <f>IFERROR(IF(H37="","-",IF(H37="75 Pa",0.112*H39/H33,IF(H37="50 Pa",0.146*H39/H33))),"-")</f>
        <v>-</v>
      </c>
      <c r="I42" s="3497"/>
      <c r="J42" s="3490"/>
      <c r="K42" s="3491"/>
      <c r="L42" s="1554"/>
      <c r="M42" s="1554"/>
      <c r="N42" s="1554"/>
      <c r="O42" s="1554"/>
      <c r="T42" s="42"/>
      <c r="U42" s="42"/>
      <c r="V42" s="42"/>
      <c r="W42" s="42"/>
      <c r="X42" s="42"/>
      <c r="Y42" s="42"/>
      <c r="Z42" s="42"/>
      <c r="AA42" s="806"/>
      <c r="AB42" s="806"/>
      <c r="AE42" s="1521"/>
    </row>
    <row r="43" spans="1:31" s="347" customFormat="1" ht="29.25" customHeight="1" x14ac:dyDescent="0.25">
      <c r="A43" s="304"/>
      <c r="B43" s="3456" t="str">
        <f>IF(SI_IP_Units="IP","I ew = Baseline Model Infiltration as a Function of Exterior Wall Area  [cfm/ft2]","I ew -Baseline Model Infiltration as a Function of Exterior Wall Area [l/sm2]")</f>
        <v>I ew = Baseline Model Infiltration as a Function of Exterior Wall Area  [cfm/ft2]</v>
      </c>
      <c r="C43" s="3495"/>
      <c r="D43" s="3495"/>
      <c r="E43" s="3457"/>
      <c r="F43" s="3497" t="str">
        <f>IFERROR(IF(F39="","-",(0.112*F39/F34)),"-")</f>
        <v>-</v>
      </c>
      <c r="G43" s="3497"/>
      <c r="H43" s="3497" t="str">
        <f>IFERROR(IF(H37="","-",IF(H37="75 Pa",0.112*H39/H34,IF(H37="50 Pa",0.146*H39/H34))),"-")</f>
        <v>-</v>
      </c>
      <c r="I43" s="3497"/>
      <c r="J43" s="3492"/>
      <c r="K43" s="3493"/>
      <c r="L43" s="1554"/>
      <c r="M43" s="1554"/>
      <c r="N43" s="1554"/>
      <c r="O43" s="1554"/>
      <c r="T43" s="42"/>
      <c r="U43" s="42"/>
      <c r="V43" s="42"/>
      <c r="W43" s="42"/>
      <c r="X43" s="42"/>
      <c r="Y43" s="42"/>
      <c r="Z43" s="42"/>
      <c r="AA43" s="806"/>
      <c r="AB43" s="806"/>
      <c r="AE43" s="1521"/>
    </row>
    <row r="44" spans="1:31" s="347" customFormat="1" ht="23.7" customHeight="1" x14ac:dyDescent="0.25">
      <c r="A44" s="304"/>
      <c r="B44" s="3456" t="s">
        <v>2441</v>
      </c>
      <c r="C44" s="3495"/>
      <c r="D44" s="3495"/>
      <c r="E44" s="3457"/>
      <c r="F44" s="3497" t="str">
        <f>IFERROR(((F39*60)/F40)*0.112,"-")</f>
        <v>-</v>
      </c>
      <c r="G44" s="3497"/>
      <c r="H44" s="3497" t="str">
        <f>IFERROR(IF(H37="","-",IF(H37="75 Pa",0.112*((H39*60)/H40),IF(H37="50 Pa",0.146*((H39*60)/H40)))),"-")</f>
        <v>-</v>
      </c>
      <c r="I44" s="3497"/>
      <c r="J44" s="1173"/>
      <c r="K44" s="1173"/>
      <c r="L44" s="1554"/>
      <c r="M44" s="1554"/>
      <c r="N44" s="1554"/>
      <c r="O44" s="1554"/>
      <c r="T44" s="42"/>
      <c r="U44" s="42"/>
      <c r="V44" s="42"/>
      <c r="W44" s="42"/>
      <c r="X44" s="42"/>
      <c r="Y44" s="42"/>
      <c r="Z44" s="42"/>
      <c r="AA44" s="806"/>
      <c r="AB44" s="806"/>
      <c r="AE44" s="1521"/>
    </row>
    <row r="45" spans="1:31" s="347" customFormat="1" ht="25.5" customHeight="1" x14ac:dyDescent="0.25">
      <c r="A45" s="304"/>
      <c r="B45" s="8"/>
      <c r="C45" s="9"/>
      <c r="D45" s="9"/>
      <c r="E45" s="9"/>
      <c r="F45" s="9"/>
      <c r="G45" s="9"/>
      <c r="H45" s="9"/>
      <c r="I45" s="9"/>
      <c r="J45" s="9"/>
      <c r="K45" s="9"/>
      <c r="L45" s="1587"/>
      <c r="M45" s="1554"/>
      <c r="N45" s="1554"/>
      <c r="O45" s="1554"/>
      <c r="T45" s="42"/>
      <c r="U45" s="42"/>
      <c r="V45" s="42"/>
      <c r="W45" s="42"/>
      <c r="X45" s="42"/>
      <c r="Y45" s="42"/>
      <c r="Z45" s="42"/>
      <c r="AA45" s="806"/>
      <c r="AB45" s="806"/>
      <c r="AE45" s="1521"/>
    </row>
    <row r="46" spans="1:31" s="347" customFormat="1" ht="17.25" customHeight="1" x14ac:dyDescent="0.25">
      <c r="A46" s="304" t="s">
        <v>1038</v>
      </c>
      <c r="B46" s="196" t="s">
        <v>149</v>
      </c>
      <c r="C46" s="9"/>
      <c r="D46" s="9"/>
      <c r="E46" s="9"/>
      <c r="F46" s="9"/>
      <c r="G46" s="1168"/>
      <c r="H46" s="1167"/>
      <c r="I46" s="1166"/>
      <c r="J46" s="9"/>
      <c r="K46" s="1165"/>
      <c r="L46" s="1346"/>
      <c r="M46" s="9"/>
      <c r="N46" s="9"/>
      <c r="O46" s="9"/>
      <c r="T46" s="42"/>
      <c r="U46" s="42"/>
      <c r="V46" s="42"/>
      <c r="W46" s="42"/>
      <c r="X46" s="42"/>
      <c r="Y46" s="42"/>
      <c r="Z46" s="42"/>
      <c r="AA46" s="806"/>
      <c r="AB46" s="806"/>
      <c r="AE46" s="1521"/>
    </row>
    <row r="47" spans="1:31" s="347" customFormat="1" ht="26.25" customHeight="1" x14ac:dyDescent="0.25">
      <c r="A47" s="304" t="s">
        <v>1038</v>
      </c>
      <c r="B47" s="47" t="s">
        <v>2381</v>
      </c>
      <c r="C47" s="9"/>
      <c r="D47" s="9"/>
      <c r="E47" s="9"/>
      <c r="F47" s="9"/>
      <c r="G47" s="9"/>
      <c r="H47" s="9"/>
      <c r="I47" s="9"/>
      <c r="L47" s="9"/>
      <c r="M47" s="9"/>
      <c r="N47" s="1346"/>
      <c r="O47" s="9"/>
      <c r="P47" s="9"/>
      <c r="Q47" s="9"/>
      <c r="T47" s="42"/>
      <c r="U47" s="42"/>
      <c r="V47" s="42"/>
      <c r="W47" s="42"/>
      <c r="X47" s="42"/>
      <c r="Y47" s="42"/>
      <c r="Z47" s="42"/>
      <c r="AA47" s="806"/>
      <c r="AB47" s="806"/>
      <c r="AE47" s="1521"/>
    </row>
    <row r="48" spans="1:31" s="347" customFormat="1" ht="24" customHeight="1" x14ac:dyDescent="0.25">
      <c r="A48" s="304" t="s">
        <v>1038</v>
      </c>
      <c r="B48" s="3433" t="s">
        <v>244</v>
      </c>
      <c r="C48" s="3433"/>
      <c r="D48" s="3430"/>
      <c r="E48" s="1501"/>
      <c r="F48" s="3432" t="str">
        <f>"Baseline"&amp;"-"&amp;'General Information'!$H$49</f>
        <v>Baseline-</v>
      </c>
      <c r="G48" s="3433"/>
      <c r="H48" s="3430" t="s">
        <v>2682</v>
      </c>
      <c r="I48" s="3431"/>
      <c r="J48" s="3431"/>
      <c r="K48" s="3431"/>
      <c r="L48" s="3432"/>
      <c r="M48" s="1501"/>
      <c r="N48" s="3430" t="s">
        <v>943</v>
      </c>
      <c r="O48" s="3432"/>
      <c r="P48" s="2352"/>
      <c r="Q48" s="3433" t="str">
        <f>"Prescriptive Requirement of "&amp;'General Information'!H55&amp;" Applicable to App. G Baseline"</f>
        <v>Prescriptive Requirement of ASHRAE 90.1-2016 Applicable to App. G Baseline</v>
      </c>
      <c r="R48" s="3439" t="s">
        <v>2544</v>
      </c>
      <c r="S48" s="9"/>
      <c r="T48" s="42"/>
      <c r="U48" s="42"/>
      <c r="V48" s="42"/>
      <c r="W48" s="42"/>
      <c r="X48" s="42"/>
      <c r="Y48" s="42"/>
      <c r="Z48" s="42"/>
      <c r="AA48" s="806"/>
      <c r="AB48" s="806"/>
      <c r="AE48" s="1521"/>
    </row>
    <row r="49" spans="1:31" s="347" customFormat="1" ht="44.55" customHeight="1" x14ac:dyDescent="0.25">
      <c r="A49" s="304" t="s">
        <v>1038</v>
      </c>
      <c r="B49" s="3434" t="s">
        <v>1087</v>
      </c>
      <c r="C49" s="3434" t="s">
        <v>242</v>
      </c>
      <c r="D49" s="3434" t="s">
        <v>19</v>
      </c>
      <c r="E49" s="1402"/>
      <c r="F49" s="1381" t="s">
        <v>2</v>
      </c>
      <c r="G49" s="1491" t="s">
        <v>1567</v>
      </c>
      <c r="H49" s="1491" t="s">
        <v>2736</v>
      </c>
      <c r="I49" s="1491" t="s">
        <v>2</v>
      </c>
      <c r="J49" s="1503" t="s">
        <v>246</v>
      </c>
      <c r="K49" s="1503" t="str">
        <f>IF(SI_IP_Units="IP","Area 
(sq ft)","Area 
(sq m)")</f>
        <v>Area 
(sq ft)</v>
      </c>
      <c r="L49" s="1503" t="s">
        <v>2610</v>
      </c>
      <c r="M49" s="1402"/>
      <c r="N49" s="1381" t="s">
        <v>272</v>
      </c>
      <c r="O49" s="1503" t="s">
        <v>273</v>
      </c>
      <c r="P49" s="2353"/>
      <c r="Q49" s="3433"/>
      <c r="R49" s="3441"/>
      <c r="S49" s="9"/>
      <c r="T49" s="42"/>
      <c r="U49" s="42"/>
      <c r="V49" s="42"/>
      <c r="W49" s="42"/>
      <c r="X49" s="42"/>
      <c r="Y49" s="42"/>
      <c r="Z49" s="42"/>
      <c r="AA49" s="806"/>
      <c r="AB49" s="806"/>
      <c r="AE49" s="1521"/>
    </row>
    <row r="50" spans="1:31" s="347" customFormat="1" ht="112.2" customHeight="1" x14ac:dyDescent="0.25">
      <c r="A50" s="304" t="s">
        <v>1038</v>
      </c>
      <c r="B50" s="3435"/>
      <c r="C50" s="3435"/>
      <c r="D50" s="3435"/>
      <c r="E50" s="1402"/>
      <c r="F50" s="3475" t="s">
        <v>2283</v>
      </c>
      <c r="G50" s="3467"/>
      <c r="H50" s="3425" t="s">
        <v>2716</v>
      </c>
      <c r="I50" s="3426"/>
      <c r="J50" s="3426"/>
      <c r="K50" s="3426"/>
      <c r="L50" s="3427"/>
      <c r="M50" s="1402"/>
      <c r="N50" s="1976" t="s">
        <v>2284</v>
      </c>
      <c r="O50" s="1975"/>
      <c r="P50" s="2353"/>
      <c r="Q50" s="1789" t="str">
        <f>IFERROR("In accordance with Prescriptive Requirements of 90.1-2016 "&amp;INDEX(DropdownData!AW2:AW18,MATCH('General Information'!H53,AshraeClimate,0)),"")</f>
        <v/>
      </c>
      <c r="R50" s="3441"/>
      <c r="S50" s="9"/>
      <c r="T50" s="42"/>
      <c r="U50" s="42"/>
      <c r="V50" s="42"/>
      <c r="W50" s="42"/>
      <c r="X50" s="42"/>
      <c r="Y50" s="42"/>
      <c r="Z50" s="42"/>
      <c r="AA50" s="806"/>
      <c r="AB50" s="806"/>
      <c r="AE50" s="1521"/>
    </row>
    <row r="51" spans="1:31" s="347" customFormat="1" ht="68.25" hidden="1" customHeight="1" x14ac:dyDescent="0.25">
      <c r="A51" s="304" t="s">
        <v>1038</v>
      </c>
      <c r="B51" s="1497" t="str">
        <f>B49</f>
        <v>Building ID</v>
      </c>
      <c r="C51" s="1497" t="str">
        <f t="shared" ref="C51:G51" si="0">C49</f>
        <v>New or 
Existing
Construction</v>
      </c>
      <c r="D51" s="1500" t="str">
        <f t="shared" si="0"/>
        <v>Space-Conditioning Category</v>
      </c>
      <c r="E51" s="1371"/>
      <c r="F51" s="1499" t="s">
        <v>1565</v>
      </c>
      <c r="G51" s="1497" t="str">
        <f t="shared" si="0"/>
        <v>Assembly U-factor</v>
      </c>
      <c r="H51" s="1497"/>
      <c r="I51" s="1497" t="s">
        <v>1566</v>
      </c>
      <c r="J51" s="1500" t="str">
        <f>J49</f>
        <v>Assembly 
U-factor</v>
      </c>
      <c r="K51" s="1500" t="str">
        <f t="shared" ref="K51:L51" si="1">K49</f>
        <v>Area 
(sq ft)</v>
      </c>
      <c r="L51" s="1500" t="str">
        <f t="shared" si="1"/>
        <v>Plans / Specs</v>
      </c>
      <c r="M51" s="1371"/>
      <c r="N51" s="1499" t="str">
        <f>N49</f>
        <v>Baseline</v>
      </c>
      <c r="O51" s="1500" t="str">
        <f>O49</f>
        <v>Proposed</v>
      </c>
      <c r="P51" s="2780"/>
      <c r="Q51" s="1497" t="s">
        <v>2200</v>
      </c>
      <c r="R51" s="2354"/>
      <c r="S51" s="9"/>
      <c r="T51" s="42"/>
      <c r="U51" s="42"/>
      <c r="V51" s="42"/>
      <c r="W51" s="1502" t="s">
        <v>1563</v>
      </c>
      <c r="X51" s="1502" t="s">
        <v>1564</v>
      </c>
      <c r="Z51" s="1502" t="s">
        <v>2185</v>
      </c>
      <c r="AA51" s="1502" t="s">
        <v>2207</v>
      </c>
      <c r="AB51" s="806"/>
      <c r="AE51" s="1521"/>
    </row>
    <row r="52" spans="1:31" s="347" customFormat="1" ht="33" customHeight="1" x14ac:dyDescent="0.25">
      <c r="A52" s="303"/>
      <c r="B52" s="1498" t="s">
        <v>569</v>
      </c>
      <c r="C52" s="1498" t="s">
        <v>347</v>
      </c>
      <c r="D52" s="1639" t="s">
        <v>23</v>
      </c>
      <c r="E52" s="1407"/>
      <c r="F52" s="1640" t="str">
        <f>IF(D52="Unconditioned",I52,IF(AND($U52&lt;&gt;0,$D52&lt;&gt;""),$U52,""))</f>
        <v/>
      </c>
      <c r="G52" s="2040" t="str">
        <f>IF(D52="Unconditioned",J52,IF(AND($V52&lt;&gt;0,$D52&lt;&gt;""),$V52,""))</f>
        <v/>
      </c>
      <c r="H52" s="1498" t="s">
        <v>3457</v>
      </c>
      <c r="I52" s="1498"/>
      <c r="J52" s="1871"/>
      <c r="K52" s="1892"/>
      <c r="L52" s="1639"/>
      <c r="M52" s="1405"/>
      <c r="N52" s="1347"/>
      <c r="O52" s="1341"/>
      <c r="P52" s="2497"/>
      <c r="Q52" s="1556" t="str">
        <f>IF('General Information'!$R$55=2007,"Not Supported",IF(D52="Unconditioned","-",IF(AND($Z52&lt;&gt;0,$D52&lt;&gt;""),"U-"&amp;$Z52&amp;"; Reflectance 0.55 / Emittance 0.75","")))</f>
        <v/>
      </c>
      <c r="R52" s="1347"/>
      <c r="S52" s="9"/>
      <c r="T52" s="42"/>
      <c r="U52" s="1211">
        <f>IFERROR(IF(C52="","",INDEX('Envelope Assumptions'!$A$2:$D$38,MATCH('General Information'!$S$14,'Envelope Assumptions'!$A$2:$A$38,0),MATCH(D52,'Envelope Assumptions'!$A$2:$D$2,0))),0)</f>
        <v>0</v>
      </c>
      <c r="V52" s="1211">
        <f>IFERROR(IF(C52="","",INDEX('Envelope Assumptions'!$X$2:$Z$38,MATCH('General Information'!$S$14,'Envelope Assumptions'!$A$2:$A$38,0),MATCH(D52,'Envelope Assumptions'!$X$2:$Z$2,0))),0)</f>
        <v>0</v>
      </c>
      <c r="W52" s="1211" t="str">
        <f>IF(AND($U52&lt;&gt;0,$D52&lt;&gt;""),$U52,"")</f>
        <v/>
      </c>
      <c r="X52" s="1206" t="str">
        <f>IF(AND($V52&lt;&gt;0,$D52&lt;&gt;""),$V52,"")</f>
        <v/>
      </c>
      <c r="Y52" s="1207" t="str">
        <f>D52&amp;" "&amp;H52</f>
        <v>Residential Insulation Entirely above Deck</v>
      </c>
      <c r="Z52" s="1207">
        <f>IFERROR(IF(C52="","",INDEX('Envelope Lookup 90.1-2013'!$X$2:$AF$38,MATCH('General Information'!$S$14,'Envelope Lookup 90.1-2013'!$A$2:$A$38,0),MATCH(Y52,'Envelope Lookup 90.1-2013'!$X$2:$AF$2,0))),0)</f>
        <v>0</v>
      </c>
      <c r="AA52" s="1207">
        <f>IFERROR(IF(C52="","",INDEX('Envelope Lookup 90.1-2010'!$X$2:$AF$38,MATCH('General Information'!$S$14,'Envelope Lookup 90.1-2010'!$A$2:$A$38,0),MATCH(Y52,'Envelope Lookup 90.1-2010'!$X$2:$AF$2,0))),0)</f>
        <v>0</v>
      </c>
      <c r="AB52" s="806"/>
      <c r="AE52" s="1802"/>
    </row>
    <row r="53" spans="1:31" s="347" customFormat="1" ht="33" hidden="1" customHeight="1" x14ac:dyDescent="0.25">
      <c r="A53" s="303" t="s">
        <v>802</v>
      </c>
      <c r="B53" s="1498">
        <f>GI_Project_Name</f>
        <v>0</v>
      </c>
      <c r="C53" s="1498"/>
      <c r="D53" s="1639"/>
      <c r="E53" s="1405"/>
      <c r="F53" s="1640" t="str">
        <f>IF(D53="Unconditioned",I53,IF(AND($U53&lt;&gt;0,$D53&lt;&gt;""),$U53,""))</f>
        <v/>
      </c>
      <c r="G53" s="2040" t="str">
        <f>IF(D53="Unconditioned",J53,IF(AND($V53&lt;&gt;0,$D53&lt;&gt;""),$V53,""))</f>
        <v/>
      </c>
      <c r="H53" s="1498"/>
      <c r="I53" s="1498"/>
      <c r="J53" s="1871"/>
      <c r="K53" s="1892"/>
      <c r="L53" s="1639"/>
      <c r="M53" s="1405"/>
      <c r="N53" s="1347"/>
      <c r="O53" s="1341"/>
      <c r="P53" s="2498"/>
      <c r="Q53" s="1556" t="str">
        <f>IF('General Information'!$R$55=2007,"Not Supported",IF(D53="Unconditioned","-",IF(AND($Z53&lt;&gt;0,$D53&lt;&gt;""),"U-"&amp;$Z53&amp;"; Reflectance 0.55 / Emittance 0.75","")))</f>
        <v/>
      </c>
      <c r="R53" s="2365"/>
      <c r="S53" s="9"/>
      <c r="T53" s="42"/>
      <c r="U53" s="1211" t="str">
        <f>IFERROR(IF(C53="","",INDEX('Envelope Assumptions'!$A$2:$D$38,MATCH('General Information'!$S$14,'Envelope Assumptions'!$A$2:$A$38,0),MATCH(D53,'Envelope Assumptions'!$A$2:$D$2,0))),0)</f>
        <v/>
      </c>
      <c r="V53" s="1211" t="str">
        <f>IFERROR(IF(C53="","",INDEX('Envelope Assumptions'!$X$2:$Z$38,MATCH('General Information'!$S$14,'Envelope Assumptions'!$A$2:$A$38,0),MATCH(D53,'Envelope Assumptions'!$X$2:$Z$2,0))),0)</f>
        <v/>
      </c>
      <c r="W53" s="1211" t="str">
        <f>IF(AND($U53&lt;&gt;0,$D53&lt;&gt;""),$U53,"")</f>
        <v/>
      </c>
      <c r="X53" s="1206" t="str">
        <f>IF(AND($V53&lt;&gt;0,$D53&lt;&gt;""),$V53,"")</f>
        <v/>
      </c>
      <c r="Y53" s="1207" t="str">
        <f t="shared" ref="Y53:Y54" si="2">D53&amp;" "&amp;H53</f>
        <v xml:space="preserve"> </v>
      </c>
      <c r="Z53" s="1207" t="str">
        <f>IFERROR(IF(C53="","",INDEX('Envelope Lookup 90.1-2013'!$X$2:$AF$38,MATCH('General Information'!$S$14,'Envelope Lookup 90.1-2013'!$A$2:$A$38,0),MATCH(Y53,'Envelope Lookup 90.1-2013'!$X$2:$AF$2,0))),0)</f>
        <v/>
      </c>
      <c r="AA53" s="1207" t="str">
        <f>IFERROR(IF(C53="","",INDEX('Envelope Lookup 90.1-2010'!$X$2:$AF$38,MATCH('General Information'!$S$14,'Envelope Lookup 90.1-2010'!$A$2:$A$38,0),MATCH(Y53,'Envelope Lookup 90.1-2010'!$X$2:$AF$2,0))),0)</f>
        <v/>
      </c>
      <c r="AB53" s="806"/>
      <c r="AE53" s="1802"/>
    </row>
    <row r="54" spans="1:31" s="347" customFormat="1" ht="33" customHeight="1" x14ac:dyDescent="0.25">
      <c r="A54" s="303"/>
      <c r="B54" s="1498"/>
      <c r="C54" s="1498"/>
      <c r="D54" s="1639"/>
      <c r="E54" s="1405"/>
      <c r="F54" s="1640" t="str">
        <f>IF(D54="Unconditioned",I54,IF(AND($U54&lt;&gt;0,$D54&lt;&gt;""),$U54,""))</f>
        <v/>
      </c>
      <c r="G54" s="2040" t="str">
        <f>IF(D54="Unconditioned",J54,IF(AND($V54&lt;&gt;0,$D54&lt;&gt;""),$V54,""))</f>
        <v/>
      </c>
      <c r="H54" s="1498"/>
      <c r="I54" s="1498"/>
      <c r="J54" s="1871"/>
      <c r="K54" s="1892"/>
      <c r="L54" s="1639"/>
      <c r="M54" s="1407"/>
      <c r="N54" s="1347"/>
      <c r="O54" s="1341"/>
      <c r="P54" s="2498"/>
      <c r="Q54" s="1556" t="str">
        <f>IF('General Information'!$R$55=2007,"Not Supported",IF(D54="Unconditioned","-",IF(AND($Z54&lt;&gt;0,$D54&lt;&gt;""),"U-"&amp;$Z54&amp;"; Reflectance 0.55 / Emittance 0.75","")))</f>
        <v/>
      </c>
      <c r="R54" s="2365"/>
      <c r="S54" s="9"/>
      <c r="T54" s="42"/>
      <c r="U54" s="1211" t="str">
        <f>IFERROR(IF(C54="","",INDEX('Envelope Assumptions'!$A$2:$D$38,MATCH('General Information'!$S$14,'Envelope Assumptions'!$A$2:$A$38,0),MATCH(D54,'Envelope Assumptions'!$A$2:$D$2,0))),0)</f>
        <v/>
      </c>
      <c r="V54" s="1211" t="str">
        <f>IFERROR(IF(C54="","",INDEX('Envelope Assumptions'!$X$2:$Z$38,MATCH('General Information'!$S$14,'Envelope Assumptions'!$A$2:$A$38,0),MATCH(D54,'Envelope Assumptions'!$X$2:$Z$2,0))),0)</f>
        <v/>
      </c>
      <c r="W54" s="1211" t="str">
        <f>IF(AND($U54&lt;&gt;0,$D54&lt;&gt;""),$U54,"")</f>
        <v/>
      </c>
      <c r="X54" s="1206" t="str">
        <f>IF(AND($V54&lt;&gt;0,$D54&lt;&gt;""),$V54,"")</f>
        <v/>
      </c>
      <c r="Y54" s="1207" t="str">
        <f t="shared" si="2"/>
        <v xml:space="preserve"> </v>
      </c>
      <c r="Z54" s="1207" t="str">
        <f>IFERROR(IF(C54="","",INDEX('Envelope Lookup 90.1-2013'!$X$2:$AF$38,MATCH('General Information'!$S$14,'Envelope Lookup 90.1-2013'!$A$2:$A$38,0),MATCH(Y54,'Envelope Lookup 90.1-2013'!$X$2:$AF$2,0))),0)</f>
        <v/>
      </c>
      <c r="AA54" s="1207" t="str">
        <f>IFERROR(IF(C54="","",INDEX('Envelope Lookup 90.1-2010'!$X$2:$AF$38,MATCH('General Information'!$S$14,'Envelope Lookup 90.1-2010'!$A$2:$A$38,0),MATCH(Y54,'Envelope Lookup 90.1-2010'!$X$2:$AF$2,0))),0)</f>
        <v/>
      </c>
      <c r="AB54" s="806"/>
      <c r="AE54" s="1802"/>
    </row>
    <row r="55" spans="1:31" s="866" customFormat="1" ht="40.5" customHeight="1" x14ac:dyDescent="0.25">
      <c r="A55" s="304" t="s">
        <v>1038</v>
      </c>
      <c r="E55" s="185"/>
      <c r="G55" s="2105"/>
      <c r="I55" s="1967"/>
      <c r="J55" s="2105"/>
      <c r="K55" s="2106"/>
      <c r="N55" s="1573"/>
      <c r="T55" s="1588"/>
      <c r="U55" s="1589"/>
      <c r="V55" s="575"/>
      <c r="W55" s="1553"/>
      <c r="X55" s="1553"/>
      <c r="Y55" s="1553"/>
      <c r="Z55" s="1553"/>
      <c r="AA55" s="1582"/>
      <c r="AB55" s="1582"/>
      <c r="AE55" s="1609"/>
    </row>
    <row r="56" spans="1:31" s="866" customFormat="1" ht="20.25" customHeight="1" x14ac:dyDescent="0.25">
      <c r="A56" s="304" t="s">
        <v>1038</v>
      </c>
      <c r="N56" s="1573"/>
      <c r="T56" s="1588"/>
      <c r="U56" s="1589"/>
      <c r="V56" s="575"/>
      <c r="W56" s="1553"/>
      <c r="X56" s="1553"/>
      <c r="Y56" s="1553"/>
      <c r="Z56" s="1553"/>
      <c r="AA56" s="1582"/>
      <c r="AB56" s="1582"/>
      <c r="AE56" s="1609"/>
    </row>
    <row r="57" spans="1:31" s="347" customFormat="1" ht="26.25" customHeight="1" x14ac:dyDescent="0.25">
      <c r="A57" s="304" t="s">
        <v>1038</v>
      </c>
      <c r="B57" s="47" t="s">
        <v>2382</v>
      </c>
      <c r="C57" s="9"/>
      <c r="D57" s="9"/>
      <c r="E57" s="9"/>
      <c r="F57" s="9"/>
      <c r="G57" s="9"/>
      <c r="H57" s="9"/>
      <c r="I57" s="9"/>
      <c r="L57" s="9"/>
      <c r="M57" s="9"/>
      <c r="N57" s="1346"/>
      <c r="O57" s="9"/>
      <c r="P57" s="9"/>
      <c r="Q57" s="9"/>
      <c r="T57" s="878"/>
      <c r="U57" s="1009"/>
      <c r="V57" s="129"/>
      <c r="W57" s="42"/>
      <c r="X57" s="42"/>
      <c r="Y57" s="42"/>
      <c r="Z57" s="42"/>
      <c r="AA57" s="806"/>
      <c r="AB57" s="806"/>
      <c r="AE57" s="1521"/>
    </row>
    <row r="58" spans="1:31" s="347" customFormat="1" ht="20.55" customHeight="1" x14ac:dyDescent="0.25">
      <c r="A58" s="304" t="s">
        <v>1038</v>
      </c>
      <c r="B58" s="3433" t="s">
        <v>244</v>
      </c>
      <c r="C58" s="3433"/>
      <c r="D58" s="3430"/>
      <c r="E58" s="1501"/>
      <c r="F58" s="3432" t="str">
        <f>"Baseline"&amp;"-"&amp;'General Information'!$H$49</f>
        <v>Baseline-</v>
      </c>
      <c r="G58" s="3433"/>
      <c r="H58" s="3430" t="s">
        <v>2682</v>
      </c>
      <c r="I58" s="3431"/>
      <c r="J58" s="3431"/>
      <c r="K58" s="3431"/>
      <c r="L58" s="3432"/>
      <c r="M58" s="2352"/>
      <c r="N58" s="3433" t="str">
        <f>"Prescriptive Requirement of "&amp;'General Information'!H55&amp;" Applicable to App. G Baseline"</f>
        <v>Prescriptive Requirement of ASHRAE 90.1-2016 Applicable to App. G Baseline</v>
      </c>
      <c r="O58" s="3439" t="s">
        <v>2544</v>
      </c>
      <c r="P58" s="9"/>
      <c r="Q58" s="9"/>
      <c r="T58" s="878"/>
      <c r="U58" s="1009"/>
      <c r="V58" s="129"/>
      <c r="W58" s="42"/>
      <c r="X58" s="42"/>
      <c r="Y58" s="42"/>
      <c r="Z58" s="42"/>
      <c r="AA58" s="806"/>
      <c r="AB58" s="806"/>
      <c r="AE58" s="1521"/>
    </row>
    <row r="59" spans="1:31" s="347" customFormat="1" ht="44.55" customHeight="1" x14ac:dyDescent="0.25">
      <c r="A59" s="304" t="s">
        <v>1038</v>
      </c>
      <c r="B59" s="3434" t="s">
        <v>1087</v>
      </c>
      <c r="C59" s="3434" t="s">
        <v>242</v>
      </c>
      <c r="D59" s="3434" t="s">
        <v>19</v>
      </c>
      <c r="E59" s="1402"/>
      <c r="F59" s="1381" t="s">
        <v>2</v>
      </c>
      <c r="G59" s="1491" t="s">
        <v>1567</v>
      </c>
      <c r="H59" s="1491" t="s">
        <v>2736</v>
      </c>
      <c r="I59" s="1491" t="s">
        <v>2</v>
      </c>
      <c r="J59" s="1503" t="s">
        <v>246</v>
      </c>
      <c r="K59" s="1503" t="str">
        <f>IF(SI_IP_Units="IP","Area 
(sq ft)","Area 
(sq m)")</f>
        <v>Area 
(sq ft)</v>
      </c>
      <c r="L59" s="1491" t="s">
        <v>2610</v>
      </c>
      <c r="M59" s="2353"/>
      <c r="N59" s="3433"/>
      <c r="O59" s="3441"/>
      <c r="T59" s="878"/>
      <c r="U59" s="1009"/>
      <c r="V59" s="129"/>
      <c r="W59" s="42"/>
      <c r="X59" s="42"/>
      <c r="Y59" s="42"/>
      <c r="Z59" s="42"/>
      <c r="AA59" s="806"/>
      <c r="AB59" s="806"/>
      <c r="AE59" s="1521"/>
    </row>
    <row r="60" spans="1:31" s="347" customFormat="1" ht="134.25" customHeight="1" x14ac:dyDescent="0.25">
      <c r="A60" s="304" t="s">
        <v>1038</v>
      </c>
      <c r="B60" s="3435"/>
      <c r="C60" s="3435"/>
      <c r="D60" s="3435"/>
      <c r="E60" s="1383"/>
      <c r="F60" s="3475" t="s">
        <v>2285</v>
      </c>
      <c r="G60" s="3467"/>
      <c r="H60" s="3425" t="s">
        <v>2717</v>
      </c>
      <c r="I60" s="3426"/>
      <c r="J60" s="3426"/>
      <c r="K60" s="3426"/>
      <c r="L60" s="3427"/>
      <c r="M60" s="2353"/>
      <c r="N60" s="1789" t="str">
        <f>IFERROR("In accordance with Prescriptive Requirements of 90.1-2016 "&amp;INDEX(DropdownData!AW2:AW18,MATCH('General Information'!H53,AshraeClimate,0)),"")</f>
        <v/>
      </c>
      <c r="O60" s="3441"/>
      <c r="T60" s="878"/>
      <c r="U60" s="1009"/>
      <c r="V60" s="129"/>
      <c r="W60" s="42"/>
      <c r="X60" s="42"/>
      <c r="Y60" s="42"/>
      <c r="Z60" s="42"/>
      <c r="AA60" s="806"/>
      <c r="AB60" s="806"/>
      <c r="AE60" s="1521"/>
    </row>
    <row r="61" spans="1:31" s="347" customFormat="1" ht="63.75" hidden="1" customHeight="1" x14ac:dyDescent="0.25">
      <c r="A61" s="304" t="s">
        <v>1038</v>
      </c>
      <c r="B61" s="1378" t="str">
        <f>B59</f>
        <v>Building ID</v>
      </c>
      <c r="C61" s="1378" t="str">
        <f>C59</f>
        <v>New or 
Existing
Construction</v>
      </c>
      <c r="D61" s="1379" t="str">
        <f>D59</f>
        <v>Space-Conditioning Category</v>
      </c>
      <c r="E61" s="1382"/>
      <c r="F61" s="1380" t="s">
        <v>1565</v>
      </c>
      <c r="G61" s="1378" t="str">
        <f>G59</f>
        <v>Assembly U-factor</v>
      </c>
      <c r="H61" s="1378"/>
      <c r="I61" s="1378" t="s">
        <v>1566</v>
      </c>
      <c r="J61" s="1379" t="str">
        <f>J59</f>
        <v>Assembly 
U-factor</v>
      </c>
      <c r="K61" s="1379" t="str">
        <f>K59</f>
        <v>Area 
(sq ft)</v>
      </c>
      <c r="L61" s="1378" t="str">
        <f>L59</f>
        <v>Plans / Specs</v>
      </c>
      <c r="M61" s="2780"/>
      <c r="N61" s="1497" t="s">
        <v>2200</v>
      </c>
      <c r="O61" s="3443"/>
      <c r="T61" s="878"/>
      <c r="U61" s="1009"/>
      <c r="V61" s="129"/>
      <c r="W61" s="1502" t="s">
        <v>1563</v>
      </c>
      <c r="X61" s="1502" t="s">
        <v>1564</v>
      </c>
      <c r="Z61" s="1502" t="s">
        <v>2185</v>
      </c>
      <c r="AA61" s="1502" t="s">
        <v>2207</v>
      </c>
      <c r="AB61" s="997"/>
      <c r="AE61" s="1521"/>
    </row>
    <row r="62" spans="1:31" s="347" customFormat="1" ht="33" customHeight="1" x14ac:dyDescent="0.25">
      <c r="A62" s="1590"/>
      <c r="B62" s="1498"/>
      <c r="C62" s="1498"/>
      <c r="D62" s="1639"/>
      <c r="E62" s="1407"/>
      <c r="F62" s="1640" t="str">
        <f>IF(D62="Unconditioned",I62,IF(AND($U62&lt;&gt;0,$D62&lt;&gt;""),$U62,""))</f>
        <v/>
      </c>
      <c r="G62" s="2040" t="str">
        <f>IF(D62="Unconditioned",J62,IF(AND($V62&lt;&gt;0,$D62&lt;&gt;""),$V62,""))</f>
        <v/>
      </c>
      <c r="H62" s="1498"/>
      <c r="I62" s="1498"/>
      <c r="J62" s="1641"/>
      <c r="K62" s="1892"/>
      <c r="L62" s="1871"/>
      <c r="M62" s="2497"/>
      <c r="N62" s="1556" t="str">
        <f>IF('General Information'!$R$55=2007,"Not Supported",IF(D62="Unconditioned","-",IF(AND($Z62&lt;&gt;0,$D62&lt;&gt;""),"U-"&amp;$Z62,"")))</f>
        <v/>
      </c>
      <c r="O62" s="1347"/>
      <c r="T62" s="184"/>
      <c r="U62" s="1206" t="str">
        <f>IFERROR(IF(C62="","",INDEX('Envelope Assumptions'!$E$2:$G$38,MATCH('General Information'!$S$14,'Envelope Assumptions'!$A$2:$A$38,0),MATCH(D62,'Envelope Assumptions'!$E$2:$G$2,0))),0)</f>
        <v/>
      </c>
      <c r="V62" s="1212" t="str">
        <f>IFERROR(IF(C62="","",INDEX('Envelope Assumptions'!$AA$2:$AC$38,MATCH('General Information'!$S$14,'Envelope Assumptions'!$A$2:$A$38,0),MATCH(D62,'Envelope Assumptions'!$AA$2:$AC$2,0))),0)</f>
        <v/>
      </c>
      <c r="W62" s="1206" t="str">
        <f>IF(AND($U62&lt;&gt;0,$D62&lt;&gt;""),$U62,"")</f>
        <v/>
      </c>
      <c r="X62" s="1206" t="str">
        <f>IF(AND($V62&lt;&gt;0,$D62&lt;&gt;""),$V62,"")</f>
        <v/>
      </c>
      <c r="Y62" s="1207" t="str">
        <f>D62&amp;" "&amp;H62</f>
        <v xml:space="preserve"> </v>
      </c>
      <c r="Z62" s="1982" t="str">
        <f>IFERROR(IF(C62="","",INDEX('Envelope Lookup 90.1-2013'!$AG$2:$AR$38,MATCH('General Information'!$S$14,'Envelope Lookup 90.1-2013'!$A$2:$A$38,0),MATCH(Y62,'Envelope Lookup 90.1-2013'!$AG$2:$AR$2,0))),0)</f>
        <v/>
      </c>
      <c r="AA62" s="1982" t="str">
        <f>IFERROR(IF(C62="","",INDEX('Envelope Lookup 90.1-2010'!$AG$2:$BG$38,MATCH('General Information'!$S$14,'Envelope Lookup 90.1-2010'!$A$2:$A$38,0),MATCH(Y62,'Envelope Lookup 90.1-2010'!$AG$2:$BG$2,0))),0)</f>
        <v/>
      </c>
      <c r="AB62" s="1153"/>
      <c r="AE62" s="1802"/>
    </row>
    <row r="63" spans="1:31" s="347" customFormat="1" ht="33" hidden="1" customHeight="1" x14ac:dyDescent="0.25">
      <c r="A63" s="1590" t="s">
        <v>803</v>
      </c>
      <c r="B63" s="1498">
        <f>GI_Project_Name</f>
        <v>0</v>
      </c>
      <c r="C63" s="1498"/>
      <c r="D63" s="1639"/>
      <c r="E63" s="1405"/>
      <c r="F63" s="1640" t="str">
        <f>IF(D63="Unconditioned",I63,IF(AND($U63&lt;&gt;0,$D63&lt;&gt;""),$U63,""))</f>
        <v/>
      </c>
      <c r="G63" s="2040" t="str">
        <f>IF(D63="Unconditioned",J63,IF(AND($V63&lt;&gt;0,$D63&lt;&gt;""),$V63,""))</f>
        <v/>
      </c>
      <c r="H63" s="1498"/>
      <c r="I63" s="1498"/>
      <c r="J63" s="1641"/>
      <c r="K63" s="1892"/>
      <c r="L63" s="1641"/>
      <c r="M63" s="2498"/>
      <c r="N63" s="1556" t="str">
        <f>IF('General Information'!$R$55=2007,"Not Supported",IF(D63="Unconditioned","-",IF(AND($Z63&lt;&gt;0,$D63&lt;&gt;""),"U-"&amp;$Z63,"")))</f>
        <v/>
      </c>
      <c r="O63" s="2365"/>
      <c r="T63" s="184"/>
      <c r="U63" s="1206" t="str">
        <f>IFERROR(IF(C63="","",INDEX('Envelope Assumptions'!$E$2:$G$38,MATCH('General Information'!$S$14,'Envelope Assumptions'!$A$2:$A$38,0),MATCH(D63,'Envelope Assumptions'!$E$2:$G$2,0))),0)</f>
        <v/>
      </c>
      <c r="V63" s="1212" t="str">
        <f>IFERROR(IF(C63="","",INDEX('Envelope Assumptions'!$AA$2:$AC$38,MATCH('General Information'!$S$14,'Envelope Assumptions'!$A$2:$A$38,0),MATCH(D63,'Envelope Assumptions'!$AA$2:$AC$2,0))),0)</f>
        <v/>
      </c>
      <c r="W63" s="1206" t="str">
        <f>IF(AND($U63&lt;&gt;0,$D63&lt;&gt;""),$U63,"")</f>
        <v/>
      </c>
      <c r="X63" s="1206" t="str">
        <f>IF(AND($V63&lt;&gt;0,$D63&lt;&gt;""),$V63,"")</f>
        <v/>
      </c>
      <c r="Y63" s="1207" t="str">
        <f>D63&amp;" "&amp;H63</f>
        <v xml:space="preserve"> </v>
      </c>
      <c r="Z63" s="1982" t="str">
        <f>IFERROR(IF(C63="","",INDEX('Envelope Lookup 90.1-2013'!$AG$2:$AR$38,MATCH('General Information'!$S$14,'Envelope Lookup 90.1-2013'!$A$2:$A$38,0),MATCH(Y63,'Envelope Lookup 90.1-2013'!$AG$2:$AR$2,0))),0)</f>
        <v/>
      </c>
      <c r="AA63" s="1982" t="str">
        <f>IFERROR(IF(C63="","",INDEX('Envelope Lookup 90.1-2010'!$AG$2:$BG$38,MATCH('General Information'!$S$14,'Envelope Lookup 90.1-2010'!$A$2:$A$38,0),MATCH(Y63,'Envelope Lookup 90.1-2010'!$AG$2:$BG$2,0))),0)</f>
        <v/>
      </c>
      <c r="AB63" s="1153"/>
      <c r="AE63" s="1802"/>
    </row>
    <row r="64" spans="1:31" s="347" customFormat="1" ht="33" customHeight="1" x14ac:dyDescent="0.25">
      <c r="A64" s="1590"/>
      <c r="B64" s="1498"/>
      <c r="C64" s="1498"/>
      <c r="D64" s="1639"/>
      <c r="E64" s="1405"/>
      <c r="F64" s="1640" t="str">
        <f>IF(D64="Unconditioned",I64,IF(AND($U64&lt;&gt;0,$D64&lt;&gt;""),$U64,""))</f>
        <v/>
      </c>
      <c r="G64" s="2040" t="str">
        <f>IF(D64="Unconditioned",J64,IF(AND($V64&lt;&gt;0,$D64&lt;&gt;""),$V64,""))</f>
        <v/>
      </c>
      <c r="H64" s="1498"/>
      <c r="I64" s="1498"/>
      <c r="J64" s="1641"/>
      <c r="K64" s="1892"/>
      <c r="L64" s="1641"/>
      <c r="M64" s="2498"/>
      <c r="N64" s="1556" t="str">
        <f>IF('General Information'!$R$55=2007,"Not Supported",IF(D64="Unconditioned","-",IF(AND($Z64&lt;&gt;0,$D64&lt;&gt;""),"U-"&amp;$Z64,"")))</f>
        <v/>
      </c>
      <c r="O64" s="2365"/>
      <c r="T64" s="184"/>
      <c r="U64" s="1206" t="str">
        <f>IFERROR(IF(C64="","",INDEX('Envelope Assumptions'!$E$2:$G$38,MATCH('General Information'!$S$14,'Envelope Assumptions'!$A$2:$A$38,0),MATCH(D64,'Envelope Assumptions'!$E$2:$G$2,0))),0)</f>
        <v/>
      </c>
      <c r="V64" s="1212" t="str">
        <f>IFERROR(IF(C64="","",INDEX('Envelope Assumptions'!$AA$2:$AC$38,MATCH('General Information'!$S$14,'Envelope Assumptions'!$A$2:$A$38,0),MATCH(D64,'Envelope Assumptions'!$AA$2:$AC$2,0))),0)</f>
        <v/>
      </c>
      <c r="W64" s="1206" t="str">
        <f>IF(AND($U64&lt;&gt;0,$D64&lt;&gt;""),$U64,"")</f>
        <v/>
      </c>
      <c r="X64" s="1206" t="str">
        <f>IF(AND($V64&lt;&gt;0,$D64&lt;&gt;""),$V64,"")</f>
        <v/>
      </c>
      <c r="Y64" s="1207" t="str">
        <f>D64&amp;" "&amp;H64</f>
        <v xml:space="preserve"> </v>
      </c>
      <c r="Z64" s="1982" t="str">
        <f>IFERROR(IF(C64="","",INDEX('Envelope Lookup 90.1-2013'!$AG$2:$AR$38,MATCH('General Information'!$S$14,'Envelope Lookup 90.1-2013'!$A$2:$A$38,0),MATCH(Y64,'Envelope Lookup 90.1-2013'!$AG$2:$AR$2,0))),0)</f>
        <v/>
      </c>
      <c r="AA64" s="1982" t="str">
        <f>IFERROR(IF(C64="","",INDEX('Envelope Lookup 90.1-2010'!$AG$2:$BG$38,MATCH('General Information'!$S$14,'Envelope Lookup 90.1-2010'!$A$2:$A$38,0),MATCH(Y64,'Envelope Lookup 90.1-2010'!$AG$2:$BG$2,0))),0)</f>
        <v/>
      </c>
      <c r="AB64" s="1153"/>
      <c r="AE64" s="1802"/>
    </row>
    <row r="65" spans="1:31" s="866" customFormat="1" ht="40.5" customHeight="1" x14ac:dyDescent="0.25">
      <c r="A65" s="304" t="s">
        <v>1038</v>
      </c>
      <c r="G65" s="2105"/>
      <c r="I65" s="1967"/>
      <c r="J65" s="2105"/>
      <c r="K65" s="2106"/>
      <c r="N65" s="1573"/>
      <c r="T65" s="1588"/>
      <c r="U65" s="1589"/>
      <c r="V65" s="575"/>
      <c r="W65" s="1553"/>
      <c r="X65" s="1553"/>
      <c r="Y65" s="1553"/>
      <c r="Z65" s="1553"/>
      <c r="AA65" s="1582"/>
      <c r="AB65" s="1582"/>
      <c r="AE65" s="1609"/>
    </row>
    <row r="66" spans="1:31" s="866" customFormat="1" ht="20.25" customHeight="1" x14ac:dyDescent="0.25">
      <c r="A66" s="304" t="s">
        <v>1038</v>
      </c>
      <c r="N66" s="1573"/>
      <c r="T66" s="1588"/>
      <c r="U66" s="1589"/>
      <c r="V66" s="575"/>
      <c r="W66" s="1553"/>
      <c r="X66" s="1553"/>
      <c r="Y66" s="1553"/>
      <c r="Z66" s="1553"/>
      <c r="AA66" s="1582"/>
      <c r="AB66" s="1582"/>
      <c r="AE66" s="1609"/>
    </row>
    <row r="67" spans="1:31" s="347" customFormat="1" ht="26.25" customHeight="1" x14ac:dyDescent="0.25">
      <c r="A67" s="304" t="s">
        <v>1038</v>
      </c>
      <c r="B67" s="47" t="s">
        <v>2383</v>
      </c>
      <c r="C67" s="9"/>
      <c r="D67" s="9"/>
      <c r="E67" s="9"/>
      <c r="F67" s="9"/>
      <c r="G67" s="9"/>
      <c r="H67" s="9"/>
      <c r="I67" s="9"/>
      <c r="L67" s="9"/>
      <c r="M67" s="9"/>
      <c r="N67" s="1346"/>
      <c r="O67" s="9"/>
      <c r="P67" s="9"/>
      <c r="Q67" s="9"/>
      <c r="T67" s="878"/>
      <c r="U67" s="1009"/>
      <c r="V67" s="129"/>
      <c r="W67" s="42"/>
      <c r="X67" s="42"/>
      <c r="Y67" s="42"/>
      <c r="Z67" s="42"/>
      <c r="AA67" s="806"/>
      <c r="AB67" s="806"/>
      <c r="AE67" s="1521"/>
    </row>
    <row r="68" spans="1:31" s="347" customFormat="1" ht="20.55" customHeight="1" x14ac:dyDescent="0.25">
      <c r="A68" s="304" t="s">
        <v>1038</v>
      </c>
      <c r="B68" s="3433" t="s">
        <v>244</v>
      </c>
      <c r="C68" s="3433"/>
      <c r="D68" s="3430"/>
      <c r="E68" s="1501"/>
      <c r="F68" s="3432" t="str">
        <f>"Baseline"&amp;"-"&amp;'General Information'!$H$49</f>
        <v>Baseline-</v>
      </c>
      <c r="G68" s="3433"/>
      <c r="H68" s="3430" t="s">
        <v>2682</v>
      </c>
      <c r="I68" s="3431"/>
      <c r="J68" s="3431"/>
      <c r="K68" s="3431"/>
      <c r="L68" s="3432"/>
      <c r="M68" s="2352"/>
      <c r="N68" s="3433" t="str">
        <f>"Prescriptive Requirement of "&amp;'General Information'!H55&amp;" Applicable to App. G Baseline"</f>
        <v>Prescriptive Requirement of ASHRAE 90.1-2016 Applicable to App. G Baseline</v>
      </c>
      <c r="O68" s="3439" t="s">
        <v>2544</v>
      </c>
      <c r="P68" s="9"/>
      <c r="Q68" s="9"/>
      <c r="T68" s="878"/>
      <c r="U68" s="1009"/>
      <c r="V68" s="129"/>
      <c r="W68" s="42"/>
      <c r="X68" s="42"/>
      <c r="Y68" s="42"/>
      <c r="Z68" s="42"/>
      <c r="AA68" s="806"/>
      <c r="AB68" s="806"/>
      <c r="AE68" s="1521"/>
    </row>
    <row r="69" spans="1:31" s="347" customFormat="1" ht="44.55" customHeight="1" x14ac:dyDescent="0.25">
      <c r="A69" s="304" t="s">
        <v>1038</v>
      </c>
      <c r="B69" s="3434" t="s">
        <v>1087</v>
      </c>
      <c r="C69" s="3434" t="s">
        <v>242</v>
      </c>
      <c r="D69" s="3434" t="s">
        <v>19</v>
      </c>
      <c r="E69" s="1402"/>
      <c r="F69" s="1381" t="s">
        <v>2</v>
      </c>
      <c r="G69" s="1491" t="s">
        <v>1569</v>
      </c>
      <c r="H69" s="1491" t="s">
        <v>2736</v>
      </c>
      <c r="I69" s="1491" t="s">
        <v>2</v>
      </c>
      <c r="J69" s="1491" t="s">
        <v>705</v>
      </c>
      <c r="K69" s="1503" t="str">
        <f>IF(SI_IP_Units="IP","Area 
(sq ft)","Area 
(sq m)")</f>
        <v>Area 
(sq ft)</v>
      </c>
      <c r="L69" s="1491" t="s">
        <v>2610</v>
      </c>
      <c r="M69" s="2353"/>
      <c r="N69" s="3433"/>
      <c r="O69" s="3441"/>
      <c r="T69" s="878"/>
      <c r="U69" s="1009"/>
      <c r="V69" s="129"/>
      <c r="W69" s="42"/>
      <c r="X69" s="42"/>
      <c r="Y69" s="42"/>
      <c r="Z69" s="42"/>
      <c r="AA69" s="806"/>
      <c r="AB69" s="806"/>
      <c r="AE69" s="1521"/>
    </row>
    <row r="70" spans="1:31" s="347" customFormat="1" ht="142.5" customHeight="1" x14ac:dyDescent="0.25">
      <c r="A70" s="304" t="s">
        <v>1038</v>
      </c>
      <c r="B70" s="3435"/>
      <c r="C70" s="3435"/>
      <c r="D70" s="3435"/>
      <c r="E70" s="1383"/>
      <c r="F70" s="3475" t="s">
        <v>2286</v>
      </c>
      <c r="G70" s="3467"/>
      <c r="H70" s="3425" t="s">
        <v>2718</v>
      </c>
      <c r="I70" s="3426"/>
      <c r="J70" s="3426"/>
      <c r="K70" s="3426"/>
      <c r="L70" s="3427"/>
      <c r="M70" s="2353"/>
      <c r="N70" s="1789" t="str">
        <f>IFERROR("In accordance with Prescriptive Requirements of 90.1-2016 "&amp;INDEX(DropdownData!AW2:AW18,MATCH('General Information'!H53,AshraeClimate,0)),"")</f>
        <v/>
      </c>
      <c r="O70" s="3441"/>
      <c r="T70" s="878"/>
      <c r="U70" s="1009"/>
      <c r="V70" s="129"/>
      <c r="W70" s="42"/>
      <c r="X70" s="42"/>
      <c r="Y70" s="42"/>
      <c r="Z70" s="42"/>
      <c r="AA70" s="806"/>
      <c r="AB70" s="806"/>
      <c r="AE70" s="1521"/>
    </row>
    <row r="71" spans="1:31" s="347" customFormat="1" ht="63.75" hidden="1" customHeight="1" x14ac:dyDescent="0.25">
      <c r="A71" s="304" t="s">
        <v>1038</v>
      </c>
      <c r="B71" s="1378" t="str">
        <f>B69</f>
        <v>Building ID</v>
      </c>
      <c r="C71" s="1378" t="str">
        <f>C69</f>
        <v>New or 
Existing
Construction</v>
      </c>
      <c r="D71" s="1379" t="str">
        <f>D69</f>
        <v>Space-Conditioning Category</v>
      </c>
      <c r="E71" s="1382"/>
      <c r="F71" s="1380" t="s">
        <v>1565</v>
      </c>
      <c r="G71" s="1378" t="str">
        <f>G69</f>
        <v>Assembly C-factor</v>
      </c>
      <c r="H71" s="1378"/>
      <c r="I71" s="1378" t="s">
        <v>1566</v>
      </c>
      <c r="J71" s="1378" t="str">
        <f>J69</f>
        <v>Assembly
C-factor</v>
      </c>
      <c r="K71" s="1378" t="str">
        <f>K69</f>
        <v>Area 
(sq ft)</v>
      </c>
      <c r="L71" s="1378" t="str">
        <f>L69</f>
        <v>Plans / Specs</v>
      </c>
      <c r="M71" s="2780"/>
      <c r="N71" s="1497" t="s">
        <v>2200</v>
      </c>
      <c r="O71" s="3443"/>
      <c r="T71" s="878"/>
      <c r="U71" s="1009"/>
      <c r="V71" s="129"/>
      <c r="W71" s="1502" t="s">
        <v>1563</v>
      </c>
      <c r="X71" s="1502" t="s">
        <v>1568</v>
      </c>
      <c r="Y71" s="1502" t="s">
        <v>2185</v>
      </c>
      <c r="Z71" s="1502" t="s">
        <v>2207</v>
      </c>
      <c r="AA71" s="1502"/>
      <c r="AB71" s="997"/>
      <c r="AE71" s="1521"/>
    </row>
    <row r="72" spans="1:31" s="347" customFormat="1" ht="33" customHeight="1" x14ac:dyDescent="0.25">
      <c r="A72" s="304"/>
      <c r="B72" s="1498"/>
      <c r="C72" s="1498"/>
      <c r="D72" s="1639"/>
      <c r="E72" s="1407"/>
      <c r="F72" s="1640" t="str">
        <f>IF(D72="Unconditioned",I72,IF(AND($U72&lt;&gt;0,$D72&lt;&gt;""),$U72,""))</f>
        <v/>
      </c>
      <c r="G72" s="2040" t="str">
        <f>IF(D72="Unconditioned",J72,IF(AND($V72&lt;&gt;0,$D72&lt;&gt;""),$V72,""))</f>
        <v/>
      </c>
      <c r="H72" s="1498"/>
      <c r="I72" s="1498"/>
      <c r="J72" s="1871"/>
      <c r="K72" s="1892"/>
      <c r="L72" s="1871"/>
      <c r="M72" s="2497"/>
      <c r="N72" s="1556" t="str">
        <f>IF('General Information'!$R$55=2007,"Not Supported",IF(D72="Unconditioned","-",IF(AND($Y72&lt;&gt;0,$D72&lt;&gt;""),"C-"&amp;$Y72,"")))</f>
        <v/>
      </c>
      <c r="O72" s="1347"/>
      <c r="T72" s="184"/>
      <c r="U72" s="1206" t="str">
        <f>IFERROR(IF(C72="","",INDEX('Envelope Assumptions'!H$2:$J$38,MATCH('General Information'!$S$14,'Envelope Assumptions'!$A$2:$A$38,0),MATCH(D72,'Envelope Assumptions'!$H$2:$J$2,0))),0)</f>
        <v/>
      </c>
      <c r="V72" s="1212" t="str">
        <f>IFERROR(IF(C72="","",INDEX('Envelope Assumptions'!$AD$2:$AF$38,MATCH('General Information'!$S$14,'Envelope Assumptions'!$A$2:$A$38,0),MATCH(D72,'Envelope Assumptions'!$AD$2:$AF$2,0))),0)</f>
        <v/>
      </c>
      <c r="W72" s="1206" t="str">
        <f>IF(AND($U72&lt;&gt;0,$D72&lt;&gt;""),$U72,"")</f>
        <v/>
      </c>
      <c r="X72" s="1206" t="str">
        <f>IF(AND($V72&lt;&gt;0,$D72&lt;&gt;""),$V72,"")</f>
        <v/>
      </c>
      <c r="Y72" s="1207" t="str">
        <f>IFERROR(IF(C72="","",INDEX('Envelope Lookup 90.1-2013'!$AS$2:$AU$38,MATCH('General Information'!$S$14,'Envelope Lookup 90.1-2013'!$A$2:$A$38,0),MATCH(D72,'Envelope Lookup 90.1-2013'!$AS$2:$AU$2,0))),0)</f>
        <v/>
      </c>
      <c r="Z72" s="1207" t="str">
        <f>IFERROR(IF(C72="","",INDEX('Envelope Lookup 90.1-2010'!$AS$2:$AU$38,MATCH('General Information'!$S$14,'Envelope Lookup 90.1-2010'!$A$2:$A$38,0),MATCH(D72,'Envelope Lookup 90.1-2010'!$AS$2:$AU$2,0))),0)</f>
        <v/>
      </c>
      <c r="AA72" s="1206"/>
      <c r="AB72" s="1153"/>
      <c r="AE72" s="1802"/>
    </row>
    <row r="73" spans="1:31" s="347" customFormat="1" ht="33" hidden="1" customHeight="1" x14ac:dyDescent="0.25">
      <c r="A73" s="304" t="s">
        <v>804</v>
      </c>
      <c r="B73" s="1498">
        <f>GI_Project_Name</f>
        <v>0</v>
      </c>
      <c r="C73" s="1498"/>
      <c r="D73" s="1639"/>
      <c r="E73" s="1405"/>
      <c r="F73" s="1640" t="str">
        <f>IF(D73="Unconditioned",I73,IF(AND($U73&lt;&gt;0,$D73&lt;&gt;""),$U73,""))</f>
        <v/>
      </c>
      <c r="G73" s="2040" t="str">
        <f>IF(D73="Unconditioned",J73,IF(AND($V73&lt;&gt;0,$D73&lt;&gt;""),$V73,""))</f>
        <v/>
      </c>
      <c r="H73" s="1498"/>
      <c r="I73" s="1498"/>
      <c r="J73" s="1641"/>
      <c r="K73" s="1892"/>
      <c r="L73" s="1641"/>
      <c r="M73" s="2498"/>
      <c r="N73" s="1556" t="str">
        <f>IF('General Information'!$R$55=2007,"Not Supported",IF(D73="Unconditioned","-",IF(AND($Y73&lt;&gt;0,$D73&lt;&gt;""),"C-"&amp;$Y73,"")))</f>
        <v/>
      </c>
      <c r="O73" s="2365"/>
      <c r="T73" s="184"/>
      <c r="U73" s="1206" t="str">
        <f>IFERROR(IF(C73="","",INDEX('Envelope Assumptions'!H$2:$J$38,MATCH('General Information'!$S$14,'Envelope Assumptions'!$A$2:$A$38,0),MATCH(D73,'Envelope Assumptions'!$H$2:$J$2,0))),0)</f>
        <v/>
      </c>
      <c r="V73" s="1212" t="str">
        <f>IFERROR(IF(C73="","",INDEX('Envelope Assumptions'!$AD$2:$AF$38,MATCH('General Information'!$S$14,'Envelope Assumptions'!$A$2:$A$38,0),MATCH(D73,'Envelope Assumptions'!$AD$2:$AF$2,0))),0)</f>
        <v/>
      </c>
      <c r="W73" s="1206" t="str">
        <f>IF(AND($U73&lt;&gt;0,$D73&lt;&gt;""),$U73,"")</f>
        <v/>
      </c>
      <c r="X73" s="1206" t="str">
        <f>IF(AND($V73&lt;&gt;0,$D73&lt;&gt;""),$V73,"")</f>
        <v/>
      </c>
      <c r="Y73" s="1207" t="str">
        <f>IFERROR(IF(C73="","",INDEX('Envelope Lookup 90.1-2013'!$AS$2:$AU$38,MATCH('General Information'!$S$14,'Envelope Lookup 90.1-2013'!$A$2:$A$38,0),MATCH(D73,'Envelope Lookup 90.1-2013'!$AS$2:$AU$2,0))),0)</f>
        <v/>
      </c>
      <c r="Z73" s="1207" t="str">
        <f>IFERROR(IF(C73="","",INDEX('Envelope Lookup 90.1-2010'!$AS$2:$AU$38,MATCH('General Information'!$S$14,'Envelope Lookup 90.1-2010'!$A$2:$A$38,0),MATCH(D73,'Envelope Lookup 90.1-2010'!$AS$2:$AU$2,0))),0)</f>
        <v/>
      </c>
      <c r="AA73" s="1206"/>
      <c r="AB73" s="1153"/>
      <c r="AE73" s="1802"/>
    </row>
    <row r="74" spans="1:31" s="347" customFormat="1" ht="33" customHeight="1" x14ac:dyDescent="0.25">
      <c r="A74" s="304"/>
      <c r="B74" s="1498"/>
      <c r="C74" s="1498"/>
      <c r="D74" s="1639"/>
      <c r="E74" s="1405"/>
      <c r="F74" s="1640" t="str">
        <f>IF(D74="Unconditioned",I74,IF(AND($U74&lt;&gt;0,$D74&lt;&gt;""),$U74,""))</f>
        <v/>
      </c>
      <c r="G74" s="2040" t="str">
        <f>IF(D74="Unconditioned",J74,IF(AND($V74&lt;&gt;0,$D74&lt;&gt;""),$V74,""))</f>
        <v/>
      </c>
      <c r="H74" s="1498"/>
      <c r="I74" s="1498"/>
      <c r="J74" s="1641"/>
      <c r="K74" s="1892"/>
      <c r="L74" s="1641"/>
      <c r="M74" s="2498"/>
      <c r="N74" s="1556" t="str">
        <f>IF('General Information'!$R$55=2007,"Not Supported",IF(D74="Unconditioned","-",IF(AND($Y74&lt;&gt;0,$D74&lt;&gt;""),"C-"&amp;$Y74,"")))</f>
        <v/>
      </c>
      <c r="O74" s="2365"/>
      <c r="T74" s="184"/>
      <c r="U74" s="1206" t="str">
        <f>IFERROR(IF(C74="","",INDEX('Envelope Assumptions'!H$2:$J$38,MATCH('General Information'!$S$14,'Envelope Assumptions'!$A$2:$A$38,0),MATCH(D74,'Envelope Assumptions'!$H$2:$J$2,0))),0)</f>
        <v/>
      </c>
      <c r="V74" s="1212" t="str">
        <f>IFERROR(IF(C74="","",INDEX('Envelope Assumptions'!$AD$2:$AF$38,MATCH('General Information'!$S$14,'Envelope Assumptions'!$A$2:$A$38,0),MATCH(D74,'Envelope Assumptions'!$AD$2:$AF$2,0))),0)</f>
        <v/>
      </c>
      <c r="W74" s="1206" t="str">
        <f>IF(AND($U74&lt;&gt;0,$D74&lt;&gt;""),$U74,"")</f>
        <v/>
      </c>
      <c r="X74" s="1206" t="str">
        <f>IF(AND($V74&lt;&gt;0,$D74&lt;&gt;""),$V74,"")</f>
        <v/>
      </c>
      <c r="Y74" s="1207" t="str">
        <f>IFERROR(IF(C74="","",INDEX('Envelope Lookup 90.1-2013'!$AS$2:$AU$38,MATCH('General Information'!$S$14,'Envelope Lookup 90.1-2013'!$A$2:$A$38,0),MATCH(D74,'Envelope Lookup 90.1-2013'!$AS$2:$AU$2,0))),0)</f>
        <v/>
      </c>
      <c r="Z74" s="1207" t="str">
        <f>IFERROR(IF(C74="","",INDEX('Envelope Lookup 90.1-2010'!$AS$2:$AU$38,MATCH('General Information'!$S$14,'Envelope Lookup 90.1-2010'!$A$2:$A$38,0),MATCH(D74,'Envelope Lookup 90.1-2010'!$AS$2:$AU$2,0))),0)</f>
        <v/>
      </c>
      <c r="AA74" s="1206"/>
      <c r="AB74" s="1153"/>
      <c r="AE74" s="1802"/>
    </row>
    <row r="75" spans="1:31" s="866" customFormat="1" ht="39" customHeight="1" x14ac:dyDescent="0.25">
      <c r="A75" s="1591" t="s">
        <v>1038</v>
      </c>
      <c r="G75" s="2105"/>
      <c r="J75" s="2105"/>
      <c r="K75" s="2106"/>
      <c r="O75" s="1573"/>
      <c r="T75" s="1553"/>
      <c r="U75" s="1588"/>
      <c r="V75" s="1589"/>
      <c r="W75" s="1553"/>
      <c r="X75" s="1553"/>
      <c r="Y75" s="1553"/>
      <c r="Z75" s="1553"/>
      <c r="AA75" s="1582"/>
      <c r="AB75" s="1582"/>
      <c r="AE75" s="1609"/>
    </row>
    <row r="76" spans="1:31" s="866" customFormat="1" ht="20.25" customHeight="1" x14ac:dyDescent="0.25">
      <c r="A76" s="1591" t="s">
        <v>1038</v>
      </c>
      <c r="O76" s="1573"/>
      <c r="T76" s="1553"/>
      <c r="U76" s="1588"/>
      <c r="V76" s="1589"/>
      <c r="W76" s="1553"/>
      <c r="X76" s="1553"/>
      <c r="Y76" s="1553"/>
      <c r="Z76" s="1553"/>
      <c r="AA76" s="1582"/>
      <c r="AB76" s="1582"/>
      <c r="AE76" s="1609"/>
    </row>
    <row r="77" spans="1:31" s="347" customFormat="1" ht="26.25" customHeight="1" x14ac:dyDescent="0.25">
      <c r="A77" s="1591" t="s">
        <v>1038</v>
      </c>
      <c r="B77" s="47" t="s">
        <v>2384</v>
      </c>
      <c r="C77" s="9"/>
      <c r="D77" s="9"/>
      <c r="E77" s="9"/>
      <c r="F77" s="9"/>
      <c r="G77" s="9"/>
      <c r="I77" s="9"/>
      <c r="J77" s="9"/>
      <c r="M77" s="9"/>
      <c r="N77" s="9"/>
      <c r="O77" s="1346"/>
      <c r="P77" s="9"/>
      <c r="Q77" s="9"/>
      <c r="T77" s="184"/>
      <c r="U77" s="878"/>
      <c r="V77" s="1009"/>
      <c r="W77" s="42"/>
      <c r="X77" s="42"/>
      <c r="Y77" s="42"/>
      <c r="Z77" s="42"/>
      <c r="AA77" s="806"/>
      <c r="AB77" s="806"/>
      <c r="AE77" s="1521"/>
    </row>
    <row r="78" spans="1:31" s="347" customFormat="1" ht="20.55" customHeight="1" x14ac:dyDescent="0.25">
      <c r="A78" s="1591" t="s">
        <v>1038</v>
      </c>
      <c r="B78" s="3433" t="s">
        <v>244</v>
      </c>
      <c r="C78" s="3433"/>
      <c r="D78" s="3430"/>
      <c r="E78" s="1501"/>
      <c r="F78" s="3432" t="str">
        <f>"Baseline"&amp;"-"&amp;'General Information'!$H$49</f>
        <v>Baseline-</v>
      </c>
      <c r="G78" s="3433"/>
      <c r="H78" s="3430" t="s">
        <v>2682</v>
      </c>
      <c r="I78" s="3431"/>
      <c r="J78" s="3431"/>
      <c r="K78" s="3431"/>
      <c r="L78" s="3432"/>
      <c r="M78" s="2352"/>
      <c r="N78" s="3433" t="str">
        <f>"Prescriptive Requirement of "&amp;'General Information'!H55&amp;" Applicable to App. G Baseline"</f>
        <v>Prescriptive Requirement of ASHRAE 90.1-2016 Applicable to App. G Baseline</v>
      </c>
      <c r="O78" s="3439" t="s">
        <v>2544</v>
      </c>
      <c r="P78" s="9"/>
      <c r="Q78" s="9"/>
      <c r="T78" s="184"/>
      <c r="U78" s="878"/>
      <c r="V78" s="1009"/>
      <c r="W78" s="42"/>
      <c r="X78" s="42"/>
      <c r="Y78" s="42"/>
      <c r="Z78" s="42"/>
      <c r="AA78" s="806"/>
      <c r="AB78" s="806"/>
      <c r="AE78" s="1521"/>
    </row>
    <row r="79" spans="1:31" s="347" customFormat="1" ht="44.55" customHeight="1" x14ac:dyDescent="0.25">
      <c r="A79" s="1591" t="s">
        <v>1038</v>
      </c>
      <c r="B79" s="3434" t="s">
        <v>1087</v>
      </c>
      <c r="C79" s="3434" t="s">
        <v>242</v>
      </c>
      <c r="D79" s="3434" t="s">
        <v>19</v>
      </c>
      <c r="E79" s="1402"/>
      <c r="F79" s="1381" t="s">
        <v>2</v>
      </c>
      <c r="G79" s="1491" t="s">
        <v>1567</v>
      </c>
      <c r="H79" s="1491" t="s">
        <v>2736</v>
      </c>
      <c r="I79" s="1491" t="s">
        <v>2</v>
      </c>
      <c r="J79" s="1491" t="s">
        <v>246</v>
      </c>
      <c r="K79" s="1503" t="str">
        <f>IF(SI_IP_Units="IP","Area 
(sq ft)","Area 
(sq m)")</f>
        <v>Area 
(sq ft)</v>
      </c>
      <c r="L79" s="1491" t="s">
        <v>2610</v>
      </c>
      <c r="M79" s="2353"/>
      <c r="N79" s="3433"/>
      <c r="O79" s="3441"/>
      <c r="T79" s="184"/>
      <c r="U79" s="878"/>
      <c r="V79" s="1009"/>
      <c r="W79" s="42"/>
      <c r="X79" s="42"/>
      <c r="Y79" s="42"/>
      <c r="Z79" s="42"/>
      <c r="AA79" s="806"/>
      <c r="AB79" s="806"/>
      <c r="AE79" s="1521"/>
    </row>
    <row r="80" spans="1:31" s="347" customFormat="1" ht="168" customHeight="1" x14ac:dyDescent="0.25">
      <c r="A80" s="1591" t="s">
        <v>1038</v>
      </c>
      <c r="B80" s="3435"/>
      <c r="C80" s="3435"/>
      <c r="D80" s="3435"/>
      <c r="E80" s="1383"/>
      <c r="F80" s="3475" t="s">
        <v>2287</v>
      </c>
      <c r="G80" s="3467"/>
      <c r="H80" s="3425" t="s">
        <v>2719</v>
      </c>
      <c r="I80" s="3426"/>
      <c r="J80" s="3426"/>
      <c r="K80" s="3426"/>
      <c r="L80" s="3427"/>
      <c r="M80" s="2353"/>
      <c r="N80" s="1789" t="str">
        <f>IFERROR("In accordance with Prescriptive Requirements of 90.1-2016 "&amp;INDEX(DropdownData!AW2:AW18,MATCH('General Information'!H53,AshraeClimate,0)),"")</f>
        <v/>
      </c>
      <c r="O80" s="3441"/>
      <c r="T80" s="184"/>
      <c r="U80" s="878"/>
      <c r="V80" s="1009"/>
      <c r="W80" s="42"/>
      <c r="X80" s="42"/>
      <c r="Y80" s="42"/>
      <c r="Z80" s="42"/>
      <c r="AA80" s="806"/>
      <c r="AB80" s="806"/>
      <c r="AE80" s="1521"/>
    </row>
    <row r="81" spans="1:31" s="347" customFormat="1" ht="8.6999999999999993" hidden="1" customHeight="1" x14ac:dyDescent="0.25">
      <c r="A81" s="1591" t="s">
        <v>1038</v>
      </c>
      <c r="B81" s="1378" t="str">
        <f>B79</f>
        <v>Building ID</v>
      </c>
      <c r="C81" s="1378" t="str">
        <f>C79</f>
        <v>New or 
Existing
Construction</v>
      </c>
      <c r="D81" s="1379" t="str">
        <f>D79</f>
        <v>Space-Conditioning Category</v>
      </c>
      <c r="E81" s="1382"/>
      <c r="F81" s="1380" t="s">
        <v>1565</v>
      </c>
      <c r="G81" s="1378" t="str">
        <f>G79</f>
        <v>Assembly U-factor</v>
      </c>
      <c r="H81" s="1378"/>
      <c r="I81" s="1378" t="s">
        <v>1566</v>
      </c>
      <c r="J81" s="1378" t="str">
        <f>J79</f>
        <v>Assembly 
U-factor</v>
      </c>
      <c r="K81" s="1378" t="str">
        <f>K79</f>
        <v>Area 
(sq ft)</v>
      </c>
      <c r="L81" s="1378" t="str">
        <f>L79</f>
        <v>Plans / Specs</v>
      </c>
      <c r="M81" s="2780"/>
      <c r="N81" s="1497" t="s">
        <v>2200</v>
      </c>
      <c r="O81" s="3443"/>
      <c r="T81" s="184"/>
      <c r="U81" s="878"/>
      <c r="V81" s="1009"/>
      <c r="W81" s="1502" t="s">
        <v>1563</v>
      </c>
      <c r="X81" s="1502" t="s">
        <v>1564</v>
      </c>
      <c r="Z81" s="1502" t="s">
        <v>2185</v>
      </c>
      <c r="AA81" s="1502" t="s">
        <v>2207</v>
      </c>
      <c r="AB81" s="997"/>
      <c r="AE81" s="1521"/>
    </row>
    <row r="82" spans="1:31" s="347" customFormat="1" ht="33" customHeight="1" x14ac:dyDescent="0.25">
      <c r="A82" s="1590"/>
      <c r="B82" s="1498"/>
      <c r="C82" s="1498"/>
      <c r="D82" s="1639"/>
      <c r="E82" s="1407"/>
      <c r="F82" s="1640" t="str">
        <f>IF(D82="Unconditioned",I82,IF(AND($U82&lt;&gt;0,$D82&lt;&gt;""),$U82,""))</f>
        <v/>
      </c>
      <c r="G82" s="2040" t="str">
        <f>IF(D82="Unconditioned",J82,IF(AND($V82&lt;&gt;0,$D82&lt;&gt;""),$V82,""))</f>
        <v/>
      </c>
      <c r="H82" s="1498"/>
      <c r="I82" s="1498"/>
      <c r="J82" s="1871"/>
      <c r="K82" s="1892"/>
      <c r="L82" s="1871"/>
      <c r="M82" s="2497"/>
      <c r="N82" s="1556" t="str">
        <f>IF('General Information'!$R$55=2007,"Not Supported",IF(D82="Unconditioned","-",IF(AND($Z82&lt;&gt;0,$D82&lt;&gt;""),"U-"&amp;$Z82,"")))</f>
        <v/>
      </c>
      <c r="O82" s="1347"/>
      <c r="T82" s="184"/>
      <c r="U82" s="1206" t="str">
        <f>IFERROR(IF(C82="","",INDEX('Envelope Assumptions'!K$2:$M$38,MATCH('General Information'!$S$14,'Envelope Assumptions'!$A$2:$A$38,0),MATCH(D82,'Envelope Assumptions'!$K$2:$M$2,0))),0)</f>
        <v/>
      </c>
      <c r="V82" s="1212" t="str">
        <f>IFERROR(IF(C82="","",INDEX('Envelope Assumptions'!$AG$2:$AI$38,MATCH('General Information'!$S$14,'Envelope Assumptions'!$A$2:$A$38,0),MATCH(D82,'Envelope Assumptions'!$AG$2:$AI$2,0))),0)</f>
        <v/>
      </c>
      <c r="W82" s="1206" t="str">
        <f>IF(AND($U82&lt;&gt;0,$D82&lt;&gt;""),$U82,"")</f>
        <v/>
      </c>
      <c r="X82" s="1206" t="str">
        <f>IF(AND($V82&lt;&gt;0,$D82&lt;&gt;""),$V82,"")</f>
        <v/>
      </c>
      <c r="Y82" s="1207" t="str">
        <f>D82&amp;" "&amp;H82</f>
        <v xml:space="preserve"> </v>
      </c>
      <c r="Z82" s="1207" t="str">
        <f>IFERROR(IF(C82="","",INDEX('Envelope Lookup 90.1-2013'!$AV$2:$BD$38,MATCH('General Information'!$S$14,'Envelope Lookup 90.1-2013'!$A$2:$A$38,0),MATCH(Y82,'Envelope Lookup 90.1-2013'!$AV$2:$BD$2,0))),0)</f>
        <v/>
      </c>
      <c r="AA82" s="1207" t="str">
        <f>IFERROR(IF(C82="","",INDEX('Envelope Lookup 90.1-2010'!$AV$2:$BM$38,MATCH('General Information'!$S$14,'Envelope Lookup 90.1-2010'!$A$2:$A$38,0),MATCH(Y82,'Envelope Lookup 90.1-2010'!$AV$2:$BM$2,0))),0)</f>
        <v/>
      </c>
      <c r="AB82" s="1153"/>
      <c r="AE82" s="1802"/>
    </row>
    <row r="83" spans="1:31" s="347" customFormat="1" ht="33" hidden="1" customHeight="1" x14ac:dyDescent="0.25">
      <c r="A83" s="1590" t="s">
        <v>805</v>
      </c>
      <c r="B83" s="1498">
        <f>GI_Project_Name</f>
        <v>0</v>
      </c>
      <c r="C83" s="1498"/>
      <c r="D83" s="1639"/>
      <c r="E83" s="1405"/>
      <c r="F83" s="1640" t="str">
        <f>IF(D83="Unconditioned",I83,IF(AND($U83&lt;&gt;0,$D83&lt;&gt;""),$U83,""))</f>
        <v/>
      </c>
      <c r="G83" s="2040" t="str">
        <f>IF(D83="Unconditioned",J83,IF(AND($V83&lt;&gt;0,$D83&lt;&gt;""),$V83,""))</f>
        <v/>
      </c>
      <c r="H83" s="1498"/>
      <c r="I83" s="1498"/>
      <c r="J83" s="1641"/>
      <c r="K83" s="1892"/>
      <c r="L83" s="1641"/>
      <c r="M83" s="2498"/>
      <c r="N83" s="1556" t="str">
        <f>IF('General Information'!$R$55=2007,"Not Supported",IF(D83="Unconditioned","-",IF('General Information'!$R$55=2013,IF(AND($Z83&lt;&gt;0,$D83&lt;&gt;""),"U-"&amp;$Z83,""),IF(AND($AA83&lt;&gt;0,$D83&lt;&gt;""),"U-"&amp;$AA83,""))))</f>
        <v/>
      </c>
      <c r="O83" s="2365"/>
      <c r="T83" s="184"/>
      <c r="U83" s="1206" t="str">
        <f>IFERROR(IF(C83="","",INDEX('Envelope Assumptions'!K$2:$M$38,MATCH('General Information'!$S$14,'Envelope Assumptions'!$A$2:$A$38,0),MATCH(D83,'Envelope Assumptions'!$K$2:$M$2,0))),0)</f>
        <v/>
      </c>
      <c r="V83" s="1212" t="str">
        <f>IFERROR(IF(C83="","",INDEX('Envelope Assumptions'!$AG$2:$AI$38,MATCH('General Information'!$S$14,'Envelope Assumptions'!$A$2:$A$38,0),MATCH(D83,'Envelope Assumptions'!$AG$2:$AI$2,0))),0)</f>
        <v/>
      </c>
      <c r="W83" s="1206" t="str">
        <f>IF(AND($U83&lt;&gt;0,$D83&lt;&gt;""),$U83,"")</f>
        <v/>
      </c>
      <c r="X83" s="1206" t="str">
        <f>IF(AND($V83&lt;&gt;0,$D83&lt;&gt;""),$V83,"")</f>
        <v/>
      </c>
      <c r="Y83" s="1207" t="str">
        <f>D83&amp;" "&amp;H83</f>
        <v xml:space="preserve"> </v>
      </c>
      <c r="Z83" s="1207" t="str">
        <f>IFERROR(IF(C83="","",INDEX('Envelope Lookup 90.1-2013'!$AV$2:$BD$38,MATCH('General Information'!$S$14,'Envelope Lookup 90.1-2013'!$A$2:$A$38,0),MATCH(Y83,'Envelope Lookup 90.1-2013'!$AV$2:$BD$2,0))),0)</f>
        <v/>
      </c>
      <c r="AA83" s="1207" t="str">
        <f>IFERROR(IF(C83="","",INDEX('Envelope Lookup 90.1-2010'!$AV$2:$BM$38,MATCH('General Information'!$S$14,'Envelope Lookup 90.1-2010'!$A$2:$A$38,0),MATCH(Y83,'Envelope Lookup 90.1-2010'!$AV$2:$BM$2,0))),0)</f>
        <v/>
      </c>
      <c r="AB83" s="1153"/>
      <c r="AE83" s="1802"/>
    </row>
    <row r="84" spans="1:31" s="347" customFormat="1" ht="33" customHeight="1" x14ac:dyDescent="0.25">
      <c r="A84" s="1590"/>
      <c r="B84" s="1498"/>
      <c r="C84" s="1498"/>
      <c r="D84" s="1639"/>
      <c r="E84" s="1405"/>
      <c r="F84" s="1640" t="str">
        <f>IF(D84="Unconditioned",I84,IF(AND($U84&lt;&gt;0,$D84&lt;&gt;""),$U84,""))</f>
        <v/>
      </c>
      <c r="G84" s="2040" t="str">
        <f>IF(D84="Unconditioned",J84,IF(AND($V84&lt;&gt;0,$D84&lt;&gt;""),$V84,""))</f>
        <v/>
      </c>
      <c r="H84" s="1498"/>
      <c r="I84" s="1498"/>
      <c r="J84" s="1641"/>
      <c r="K84" s="1892"/>
      <c r="L84" s="1641"/>
      <c r="M84" s="2498"/>
      <c r="N84" s="1556" t="str">
        <f>IF('General Information'!$R$55=2007,"Not Supported",IF(D84="Unconditioned","-",IF('General Information'!$R$55=2013,IF(AND($Z84&lt;&gt;0,$D84&lt;&gt;""),"U-"&amp;$Z84,""),IF(AND($AA84&lt;&gt;0,$D84&lt;&gt;""),"U-"&amp;$AA84,""))))</f>
        <v/>
      </c>
      <c r="O84" s="2365"/>
      <c r="T84" s="184"/>
      <c r="U84" s="1206" t="str">
        <f>IFERROR(IF(C84="","",INDEX('Envelope Assumptions'!K$2:$M$38,MATCH('General Information'!$S$14,'Envelope Assumptions'!$A$2:$A$38,0),MATCH(D84,'Envelope Assumptions'!$K$2:$M$2,0))),0)</f>
        <v/>
      </c>
      <c r="V84" s="1212" t="str">
        <f>IFERROR(IF(C84="","",INDEX('Envelope Assumptions'!$AG$2:$AI$38,MATCH('General Information'!$S$14,'Envelope Assumptions'!$A$2:$A$38,0),MATCH(D84,'Envelope Assumptions'!$AG$2:$AI$2,0))),0)</f>
        <v/>
      </c>
      <c r="W84" s="1206" t="str">
        <f>IF(AND($U84&lt;&gt;0,$D84&lt;&gt;""),$U84,"")</f>
        <v/>
      </c>
      <c r="X84" s="1206" t="str">
        <f>IF(AND($V84&lt;&gt;0,$D84&lt;&gt;""),$V84,"")</f>
        <v/>
      </c>
      <c r="Y84" s="1207" t="str">
        <f>D84&amp;" "&amp;H84</f>
        <v xml:space="preserve"> </v>
      </c>
      <c r="Z84" s="1207" t="str">
        <f>IFERROR(IF(C84="","",INDEX('Envelope Lookup 90.1-2013'!$AV$2:$BD$38,MATCH('General Information'!$S$14,'Envelope Lookup 90.1-2013'!$A$2:$A$38,0),MATCH(Y84,'Envelope Lookup 90.1-2013'!$AV$2:$BD$2,0))),0)</f>
        <v/>
      </c>
      <c r="AA84" s="1207" t="str">
        <f>IFERROR(IF(C84="","",INDEX('Envelope Lookup 90.1-2010'!$AV$2:$BM$38,MATCH('General Information'!$S$14,'Envelope Lookup 90.1-2010'!$A$2:$A$38,0),MATCH(Y84,'Envelope Lookup 90.1-2010'!$AV$2:$BM$2,0))),0)</f>
        <v/>
      </c>
      <c r="AB84" s="1153"/>
      <c r="AE84" s="1802"/>
    </row>
    <row r="85" spans="1:31" s="866" customFormat="1" ht="41.25" customHeight="1" x14ac:dyDescent="0.25">
      <c r="A85" s="1591" t="s">
        <v>1038</v>
      </c>
      <c r="G85" s="2105"/>
      <c r="J85" s="2105"/>
      <c r="K85" s="2106"/>
      <c r="O85" s="1573"/>
      <c r="T85" s="1553"/>
      <c r="U85" s="1588"/>
      <c r="V85" s="1589"/>
      <c r="W85" s="1553"/>
      <c r="X85" s="1553"/>
      <c r="Y85" s="1553"/>
      <c r="Z85" s="1553"/>
      <c r="AA85" s="1582"/>
      <c r="AB85" s="1582"/>
      <c r="AE85" s="1609"/>
    </row>
    <row r="86" spans="1:31" s="866" customFormat="1" ht="20.25" customHeight="1" x14ac:dyDescent="0.25">
      <c r="A86" s="1591" t="s">
        <v>1038</v>
      </c>
      <c r="O86" s="1573"/>
      <c r="T86" s="1553"/>
      <c r="U86" s="1588"/>
      <c r="V86" s="1589"/>
      <c r="W86" s="1553"/>
      <c r="X86" s="1553"/>
      <c r="Y86" s="1553"/>
      <c r="Z86" s="1553"/>
      <c r="AA86" s="1582"/>
      <c r="AB86" s="1582"/>
      <c r="AE86" s="1609"/>
    </row>
    <row r="87" spans="1:31" s="347" customFormat="1" ht="26.25" customHeight="1" x14ac:dyDescent="0.25">
      <c r="A87" s="1591" t="s">
        <v>1038</v>
      </c>
      <c r="B87" s="47" t="s">
        <v>2385</v>
      </c>
      <c r="C87" s="9"/>
      <c r="D87" s="9"/>
      <c r="E87" s="9"/>
      <c r="F87" s="9"/>
      <c r="G87" s="9"/>
      <c r="H87" s="9"/>
      <c r="I87" s="9"/>
      <c r="J87" s="9"/>
      <c r="M87" s="9"/>
      <c r="N87" s="9"/>
      <c r="O87" s="1346"/>
      <c r="P87" s="9"/>
      <c r="Q87" s="9"/>
      <c r="T87" s="184"/>
      <c r="U87" s="878"/>
      <c r="V87" s="1009"/>
      <c r="W87" s="42"/>
      <c r="X87" s="42"/>
      <c r="Y87" s="42"/>
      <c r="Z87" s="42"/>
      <c r="AA87" s="806"/>
      <c r="AB87" s="806"/>
      <c r="AE87" s="1521"/>
    </row>
    <row r="88" spans="1:31" s="347" customFormat="1" ht="20.55" customHeight="1" x14ac:dyDescent="0.25">
      <c r="A88" s="1591" t="s">
        <v>1038</v>
      </c>
      <c r="B88" s="3433" t="s">
        <v>244</v>
      </c>
      <c r="C88" s="3433"/>
      <c r="D88" s="3430"/>
      <c r="E88" s="1501"/>
      <c r="F88" s="3432" t="str">
        <f>"Baseline"&amp;"-"&amp;'General Information'!$H$49</f>
        <v>Baseline-</v>
      </c>
      <c r="G88" s="3433"/>
      <c r="H88" s="3430" t="s">
        <v>2682</v>
      </c>
      <c r="I88" s="3431"/>
      <c r="J88" s="3431"/>
      <c r="K88" s="3431"/>
      <c r="L88" s="3432"/>
      <c r="M88" s="2352"/>
      <c r="N88" s="3433" t="str">
        <f>"Prescriptive Requirement of "&amp;'General Information'!H55&amp;" Applicable to App. G Baseline"</f>
        <v>Prescriptive Requirement of ASHRAE 90.1-2016 Applicable to App. G Baseline</v>
      </c>
      <c r="O88" s="3439" t="s">
        <v>2544</v>
      </c>
      <c r="P88" s="9"/>
      <c r="Q88" s="9"/>
      <c r="T88" s="184"/>
      <c r="U88" s="878"/>
      <c r="V88" s="1009"/>
      <c r="W88" s="42"/>
      <c r="X88" s="42"/>
      <c r="Y88" s="42"/>
      <c r="Z88" s="42"/>
      <c r="AA88" s="806"/>
      <c r="AB88" s="806"/>
      <c r="AE88" s="1521"/>
    </row>
    <row r="89" spans="1:31" s="347" customFormat="1" ht="44.55" customHeight="1" x14ac:dyDescent="0.25">
      <c r="A89" s="1591" t="s">
        <v>1038</v>
      </c>
      <c r="B89" s="3434" t="s">
        <v>1087</v>
      </c>
      <c r="C89" s="3434" t="s">
        <v>242</v>
      </c>
      <c r="D89" s="3434" t="s">
        <v>19</v>
      </c>
      <c r="E89" s="1402"/>
      <c r="F89" s="1381" t="s">
        <v>2</v>
      </c>
      <c r="G89" s="1491" t="s">
        <v>1571</v>
      </c>
      <c r="H89" s="1491" t="s">
        <v>2736</v>
      </c>
      <c r="I89" s="1491" t="s">
        <v>2</v>
      </c>
      <c r="J89" s="1491" t="s">
        <v>706</v>
      </c>
      <c r="K89" s="1503" t="str">
        <f>IF(SI_IP_Units="IP","Area 
(sq ft)","Area 
(sq m)")</f>
        <v>Area 
(sq ft)</v>
      </c>
      <c r="L89" s="1491" t="s">
        <v>2610</v>
      </c>
      <c r="M89" s="2353"/>
      <c r="N89" s="3433"/>
      <c r="O89" s="3441"/>
      <c r="T89" s="184"/>
      <c r="U89" s="878"/>
      <c r="V89" s="1009"/>
      <c r="W89" s="42"/>
      <c r="X89" s="42"/>
      <c r="Y89" s="42"/>
      <c r="Z89" s="42"/>
      <c r="AA89" s="806"/>
      <c r="AB89" s="806"/>
      <c r="AE89" s="1521"/>
    </row>
    <row r="90" spans="1:31" s="347" customFormat="1" ht="149.25" customHeight="1" x14ac:dyDescent="0.25">
      <c r="A90" s="1591" t="s">
        <v>1038</v>
      </c>
      <c r="B90" s="3435"/>
      <c r="C90" s="3435"/>
      <c r="D90" s="3435"/>
      <c r="E90" s="1383"/>
      <c r="F90" s="3475" t="s">
        <v>2288</v>
      </c>
      <c r="G90" s="3467"/>
      <c r="H90" s="3425" t="s">
        <v>2720</v>
      </c>
      <c r="I90" s="3426"/>
      <c r="J90" s="3426"/>
      <c r="K90" s="3426"/>
      <c r="L90" s="3427"/>
      <c r="M90" s="2353"/>
      <c r="N90" s="1789" t="str">
        <f>IFERROR("In accordance with Prescriptive Requirements of 90.1-2016 "&amp;INDEX(DropdownData!AW2:AW18,MATCH('General Information'!H53,AshraeClimate,0)),"")</f>
        <v/>
      </c>
      <c r="O90" s="3441"/>
      <c r="T90" s="184"/>
      <c r="U90" s="878"/>
      <c r="V90" s="1009"/>
      <c r="W90" s="42"/>
      <c r="X90" s="42"/>
      <c r="Y90" s="42"/>
      <c r="Z90" s="42"/>
      <c r="AA90" s="806"/>
      <c r="AB90" s="806"/>
      <c r="AE90" s="1521"/>
    </row>
    <row r="91" spans="1:31" s="347" customFormat="1" ht="63.75" hidden="1" customHeight="1" x14ac:dyDescent="0.25">
      <c r="A91" s="1591" t="s">
        <v>1038</v>
      </c>
      <c r="B91" s="1378" t="str">
        <f>B89</f>
        <v>Building ID</v>
      </c>
      <c r="C91" s="1378" t="str">
        <f>C89</f>
        <v>New or 
Existing
Construction</v>
      </c>
      <c r="D91" s="1379" t="str">
        <f>D89</f>
        <v>Space-Conditioning Category</v>
      </c>
      <c r="E91" s="1382"/>
      <c r="F91" s="1380" t="s">
        <v>1565</v>
      </c>
      <c r="G91" s="1378" t="str">
        <f>G89</f>
        <v>Assembly F-factor</v>
      </c>
      <c r="H91" s="1378"/>
      <c r="I91" s="1378" t="s">
        <v>1566</v>
      </c>
      <c r="J91" s="1378" t="str">
        <f>J89</f>
        <v>Assembly 
F-factor</v>
      </c>
      <c r="K91" s="1378" t="str">
        <f>K89</f>
        <v>Area 
(sq ft)</v>
      </c>
      <c r="L91" s="1378" t="str">
        <f>L89</f>
        <v>Plans / Specs</v>
      </c>
      <c r="M91" s="1371"/>
      <c r="N91" s="2354" t="s">
        <v>2200</v>
      </c>
      <c r="O91" s="3392"/>
      <c r="T91" s="184"/>
      <c r="U91" s="878"/>
      <c r="V91" s="1009"/>
      <c r="W91" s="1502" t="s">
        <v>1563</v>
      </c>
      <c r="X91" s="1502" t="s">
        <v>1570</v>
      </c>
      <c r="Z91" s="1502" t="s">
        <v>2185</v>
      </c>
      <c r="AA91" s="1502" t="s">
        <v>2207</v>
      </c>
      <c r="AB91" s="997"/>
      <c r="AE91" s="1521"/>
    </row>
    <row r="92" spans="1:31" s="347" customFormat="1" ht="50.55" customHeight="1" x14ac:dyDescent="0.25">
      <c r="A92" s="1590"/>
      <c r="B92" s="1498">
        <f>GI_Project_Name</f>
        <v>0</v>
      </c>
      <c r="C92" s="1498"/>
      <c r="D92" s="1639"/>
      <c r="E92" s="1407"/>
      <c r="F92" s="1640" t="str">
        <f>IF(D92="Unconditioned",I92,IF(AND($U92&lt;&gt;0,$D92&lt;&gt;""),$U92,""))</f>
        <v/>
      </c>
      <c r="G92" s="2040" t="str">
        <f>IF(D92="Unconditioned",J92,IF(AND($V92&lt;&gt;0,$D92&lt;&gt;""),$V92,""))</f>
        <v/>
      </c>
      <c r="H92" s="1498"/>
      <c r="I92" s="1498"/>
      <c r="J92" s="1871"/>
      <c r="K92" s="1892"/>
      <c r="L92" s="1871"/>
      <c r="M92" s="1407"/>
      <c r="N92" s="2561" t="str">
        <f>IF('General Information'!$R$55=2007,"Not Supported",IF(D92="Unconditioned","-",IF('General Information'!$R$55=2013,IF(AND($Z92&lt;&gt;0,$D92&lt;&gt;""),"F-"&amp;$Z92,""),IF(AND($AA92&lt;&gt;0,$D92&lt;&gt;""),"F-"&amp;$AA92,""))))</f>
        <v/>
      </c>
      <c r="O92" s="1498"/>
      <c r="T92" s="184"/>
      <c r="U92" s="1206" t="str">
        <f>IFERROR(IF(C92="","",INDEX('Envelope Assumptions'!N$2:$P$38,MATCH('General Information'!$S$14,'Envelope Assumptions'!$A$2:$A$38,0),MATCH(D92,'Envelope Assumptions'!$N$2:$P$2,0))),0)</f>
        <v/>
      </c>
      <c r="V92" s="1212" t="str">
        <f>IFERROR(IF(C92="","",INDEX('Envelope Assumptions'!$AJ$2:$AL$38,MATCH('General Information'!$S$14,'Envelope Assumptions'!$A$2:$A$38,0),MATCH(D92,'Envelope Assumptions'!$AJ$2:$AL$2,0))),0)</f>
        <v/>
      </c>
      <c r="W92" s="1206" t="str">
        <f>IF(AND($U92&lt;&gt;0,$D92&lt;&gt;""),$U92,"")</f>
        <v/>
      </c>
      <c r="X92" s="1206" t="str">
        <f>IF(AND($V92&lt;&gt;0,$D92&lt;&gt;""),$V92,"")</f>
        <v/>
      </c>
      <c r="Y92" s="1207" t="str">
        <f>D92&amp;" "&amp;H92</f>
        <v xml:space="preserve"> </v>
      </c>
      <c r="Z92" s="1207" t="str">
        <f>IFERROR(IF(C92="","",INDEX('Envelope Lookup 90.1-2013'!$BE$2:$BJ$38,MATCH('General Information'!$S$14,'Envelope Lookup 90.1-2013'!$A$2:$A$38,0),MATCH(Y92,'Envelope Lookup 90.1-2013'!$BE$2:$BJ$2,0))),0)</f>
        <v/>
      </c>
      <c r="AA92" s="1207" t="str">
        <f>IFERROR(IF(C92="","",INDEX('Envelope Lookup 90.1-2010'!$BE$2:$BM$38,MATCH('General Information'!$S$14,'Envelope Lookup 90.1-2010'!$A$2:$A$38,0),MATCH(Y92,'Envelope Lookup 90.1-2010'!$BE$2:$BM$2,0))),0)</f>
        <v/>
      </c>
      <c r="AB92" s="1153"/>
      <c r="AE92" s="1802"/>
    </row>
    <row r="93" spans="1:31" s="347" customFormat="1" ht="33" hidden="1" customHeight="1" x14ac:dyDescent="0.25">
      <c r="A93" s="1590" t="s">
        <v>806</v>
      </c>
      <c r="B93" s="1498">
        <f>GI_Project_Name</f>
        <v>0</v>
      </c>
      <c r="C93" s="1498"/>
      <c r="D93" s="1639"/>
      <c r="E93" s="1405"/>
      <c r="F93" s="1640" t="str">
        <f>IF(D93="Unconditioned",I93,IF(AND($U93&lt;&gt;0,$D93&lt;&gt;""),$U93,""))</f>
        <v/>
      </c>
      <c r="G93" s="2040" t="str">
        <f>IF(D93="Unconditioned",J93,IF(AND($V93&lt;&gt;0,$D93&lt;&gt;""),$V93,""))</f>
        <v/>
      </c>
      <c r="H93" s="1498"/>
      <c r="I93" s="1498"/>
      <c r="J93" s="1641"/>
      <c r="K93" s="1892"/>
      <c r="L93" s="1641"/>
      <c r="M93" s="1405"/>
      <c r="N93" s="2561" t="str">
        <f>IF('General Information'!$R$55=2007,"Not Supported",IF(D93="Unconditioned","-",IF('General Information'!$R$55=2013,IF(AND($Z93&lt;&gt;0,$D93&lt;&gt;""),"F-"&amp;$Z93,""),IF(AND($AA93&lt;&gt;0,$D93&lt;&gt;""),"F-"&amp;$AA93,""))))</f>
        <v/>
      </c>
      <c r="O93" s="1343"/>
      <c r="T93" s="184"/>
      <c r="U93" s="1206" t="str">
        <f>IFERROR(IF(C93="","",INDEX('Envelope Assumptions'!N$2:$P$38,MATCH('General Information'!$S$14,'Envelope Assumptions'!$A$2:$A$38,0),MATCH(D93,'Envelope Assumptions'!$N$2:$P$2,0))),0)</f>
        <v/>
      </c>
      <c r="V93" s="1212" t="str">
        <f>IFERROR(IF(C93="","",INDEX('Envelope Assumptions'!$AJ$2:$AL$38,MATCH('General Information'!$S$14,'Envelope Assumptions'!$A$2:$A$38,0),MATCH(D93,'Envelope Assumptions'!$AJ$2:$AL$2,0))),0)</f>
        <v/>
      </c>
      <c r="W93" s="1206" t="str">
        <f>IF(AND($U93&lt;&gt;0,$D93&lt;&gt;""),$U93,"")</f>
        <v/>
      </c>
      <c r="X93" s="1206" t="str">
        <f>IF(AND($V93&lt;&gt;0,$D93&lt;&gt;""),$V93,"")</f>
        <v/>
      </c>
      <c r="Y93" s="1207" t="str">
        <f>D93&amp;" "&amp;H93</f>
        <v xml:space="preserve"> </v>
      </c>
      <c r="Z93" s="1207" t="str">
        <f>IFERROR(IF(C93="","",INDEX('Envelope Lookup 90.1-2013'!$BE$2:$BJ$38,MATCH('General Information'!$S$14,'Envelope Lookup 90.1-2013'!$A$2:$A$38,0),MATCH(Y93,'Envelope Lookup 90.1-2013'!$BE$2:$BJ$2,0))),0)</f>
        <v/>
      </c>
      <c r="AA93" s="1207" t="str">
        <f>IFERROR(IF(C93="","",INDEX('Envelope Lookup 90.1-2010'!$BE$2:$BM$38,MATCH('General Information'!$S$14,'Envelope Lookup 90.1-2010'!$A$2:$A$38,0),MATCH(Y93,'Envelope Lookup 90.1-2010'!$BE$2:$BM$2,0))),0)</f>
        <v/>
      </c>
      <c r="AB93" s="1153"/>
      <c r="AE93" s="1802"/>
    </row>
    <row r="94" spans="1:31" s="347" customFormat="1" ht="33" customHeight="1" x14ac:dyDescent="0.25">
      <c r="A94" s="1590"/>
      <c r="B94" s="1498">
        <f>GI_Project_Name</f>
        <v>0</v>
      </c>
      <c r="C94" s="1498"/>
      <c r="D94" s="1639"/>
      <c r="E94" s="1405"/>
      <c r="F94" s="1640" t="str">
        <f>IF(D94="Unconditioned",I94,IF(AND($U94&lt;&gt;0,$D94&lt;&gt;""),$U94,""))</f>
        <v/>
      </c>
      <c r="G94" s="2040" t="str">
        <f>IF(D94="Unconditioned",J94,IF(AND($V94&lt;&gt;0,$D94&lt;&gt;""),$V94,""))</f>
        <v/>
      </c>
      <c r="H94" s="1498"/>
      <c r="I94" s="1498"/>
      <c r="J94" s="1641"/>
      <c r="K94" s="1892"/>
      <c r="L94" s="1641"/>
      <c r="M94" s="1405"/>
      <c r="N94" s="2561" t="str">
        <f>IF('General Information'!$R$55=2007,"Not Supported",IF(D94="Unconditioned","-",IF('General Information'!$R$55=2013,IF(AND($Z94&lt;&gt;0,$D94&lt;&gt;""),"F-"&amp;$Z94,""),IF(AND($AA94&lt;&gt;0,$D94&lt;&gt;""),"F-"&amp;$AA94,""))))</f>
        <v/>
      </c>
      <c r="O94" s="1343"/>
      <c r="T94" s="184"/>
      <c r="U94" s="1206" t="str">
        <f>IFERROR(IF(C94="","",INDEX('Envelope Assumptions'!N$2:$P$38,MATCH('General Information'!$S$14,'Envelope Assumptions'!$A$2:$A$38,0),MATCH(D94,'Envelope Assumptions'!$N$2:$P$2,0))),0)</f>
        <v/>
      </c>
      <c r="V94" s="1212" t="str">
        <f>IFERROR(IF(C94="","",INDEX('Envelope Assumptions'!$AJ$2:$AL$38,MATCH('General Information'!$S$14,'Envelope Assumptions'!$A$2:$A$38,0),MATCH(D94,'Envelope Assumptions'!$AJ$2:$AL$2,0))),0)</f>
        <v/>
      </c>
      <c r="W94" s="1206" t="str">
        <f>IF(AND($U94&lt;&gt;0,$D94&lt;&gt;""),$U94,"")</f>
        <v/>
      </c>
      <c r="X94" s="1206" t="str">
        <f>IF(AND($V94&lt;&gt;0,$D94&lt;&gt;""),$V94,"")</f>
        <v/>
      </c>
      <c r="Y94" s="1207" t="str">
        <f>D94&amp;" "&amp;H94</f>
        <v xml:space="preserve"> </v>
      </c>
      <c r="Z94" s="1207" t="str">
        <f>IFERROR(IF(C94="","",INDEX('Envelope Lookup 90.1-2013'!$BE$2:$BJ$38,MATCH('General Information'!$S$14,'Envelope Lookup 90.1-2013'!$A$2:$A$38,0),MATCH(Y94,'Envelope Lookup 90.1-2013'!$BE$2:$BJ$2,0))),0)</f>
        <v/>
      </c>
      <c r="AA94" s="1207" t="str">
        <f>IFERROR(IF(C94="","",INDEX('Envelope Lookup 90.1-2010'!$BE$2:$BM$38,MATCH('General Information'!$S$14,'Envelope Lookup 90.1-2010'!$A$2:$A$38,0),MATCH(Y94,'Envelope Lookup 90.1-2010'!$BE$2:$BM$2,0))),0)</f>
        <v/>
      </c>
      <c r="AB94" s="1153"/>
      <c r="AE94" s="1802"/>
    </row>
    <row r="95" spans="1:31" s="866" customFormat="1" ht="39.75" customHeight="1" x14ac:dyDescent="0.25">
      <c r="A95" s="1591" t="s">
        <v>1038</v>
      </c>
      <c r="G95" s="2105"/>
      <c r="J95" s="2105"/>
      <c r="K95" s="2106"/>
      <c r="O95" s="1573"/>
      <c r="T95" s="1553"/>
      <c r="U95" s="1588"/>
      <c r="V95" s="1589"/>
      <c r="W95" s="1553"/>
      <c r="X95" s="1553"/>
      <c r="Y95" s="1553"/>
      <c r="Z95" s="1553"/>
      <c r="AA95" s="1582"/>
      <c r="AB95" s="1582"/>
      <c r="AE95" s="1609"/>
    </row>
    <row r="96" spans="1:31" s="866" customFormat="1" ht="20.25" customHeight="1" x14ac:dyDescent="0.25">
      <c r="A96" s="1591" t="s">
        <v>1038</v>
      </c>
      <c r="O96" s="1573"/>
      <c r="T96" s="1553"/>
      <c r="U96" s="1588"/>
      <c r="V96" s="1589"/>
      <c r="W96" s="1553"/>
      <c r="X96" s="1553"/>
      <c r="Y96" s="1553"/>
      <c r="Z96" s="1553"/>
      <c r="AA96" s="1582"/>
      <c r="AB96" s="1582"/>
      <c r="AE96" s="1609"/>
    </row>
    <row r="97" spans="1:31" s="347" customFormat="1" ht="26.25" customHeight="1" x14ac:dyDescent="0.25">
      <c r="A97" s="1591" t="s">
        <v>1038</v>
      </c>
      <c r="B97" s="47" t="s">
        <v>2386</v>
      </c>
      <c r="C97" s="9"/>
      <c r="D97" s="9"/>
      <c r="E97" s="9"/>
      <c r="F97" s="9"/>
      <c r="G97" s="9"/>
      <c r="H97" s="9"/>
      <c r="I97" s="9"/>
      <c r="J97" s="9"/>
      <c r="M97" s="9"/>
      <c r="N97" s="9"/>
      <c r="O97" s="1346"/>
      <c r="P97" s="9"/>
      <c r="Q97" s="9"/>
      <c r="T97" s="184"/>
      <c r="U97" s="878"/>
      <c r="V97" s="1009"/>
      <c r="W97" s="42"/>
      <c r="X97" s="42"/>
      <c r="Y97" s="42"/>
      <c r="Z97" s="42"/>
      <c r="AA97" s="806"/>
      <c r="AB97" s="806"/>
      <c r="AE97" s="1521"/>
    </row>
    <row r="98" spans="1:31" s="347" customFormat="1" ht="20.55" customHeight="1" x14ac:dyDescent="0.25">
      <c r="A98" s="1591" t="s">
        <v>1038</v>
      </c>
      <c r="B98" s="3433" t="s">
        <v>244</v>
      </c>
      <c r="C98" s="3433"/>
      <c r="D98" s="3430"/>
      <c r="E98" s="1501"/>
      <c r="F98" s="3465" t="str">
        <f>"Baseline"&amp;"-"&amp;'General Information'!$H$49</f>
        <v>Baseline-</v>
      </c>
      <c r="G98" s="3466"/>
      <c r="H98" s="3430" t="s">
        <v>2682</v>
      </c>
      <c r="I98" s="3431"/>
      <c r="J98" s="3431"/>
      <c r="K98" s="3431"/>
      <c r="L98" s="3432"/>
      <c r="M98" s="2352"/>
      <c r="N98" s="3433" t="str">
        <f>"Prescriptive Requirement of "&amp;'General Information'!H55&amp;" Applicable to App. G Baseline"</f>
        <v>Prescriptive Requirement of ASHRAE 90.1-2016 Applicable to App. G Baseline</v>
      </c>
      <c r="O98" s="3432" t="s">
        <v>2544</v>
      </c>
      <c r="P98" s="9"/>
      <c r="Q98" s="9"/>
      <c r="T98" s="184"/>
      <c r="U98" s="878"/>
      <c r="V98" s="1009"/>
      <c r="W98" s="42"/>
      <c r="X98" s="42"/>
      <c r="Y98" s="42"/>
      <c r="Z98" s="42"/>
      <c r="AA98" s="806"/>
      <c r="AB98" s="806"/>
      <c r="AE98" s="1521"/>
    </row>
    <row r="99" spans="1:31" s="347" customFormat="1" ht="44.55" customHeight="1" x14ac:dyDescent="0.25">
      <c r="A99" s="1591" t="s">
        <v>1038</v>
      </c>
      <c r="B99" s="3434" t="s">
        <v>1087</v>
      </c>
      <c r="C99" s="3434" t="s">
        <v>242</v>
      </c>
      <c r="D99" s="3434" t="s">
        <v>19</v>
      </c>
      <c r="E99" s="1402"/>
      <c r="F99" s="1381" t="s">
        <v>2</v>
      </c>
      <c r="G99" s="1491" t="s">
        <v>1567</v>
      </c>
      <c r="H99" s="1491" t="s">
        <v>2736</v>
      </c>
      <c r="I99" s="1491" t="s">
        <v>2</v>
      </c>
      <c r="J99" s="1503" t="s">
        <v>246</v>
      </c>
      <c r="K99" s="1503" t="str">
        <f>IF(SI_IP_Units="IP","Area 
(sq ft)","Area 
(sq m)")</f>
        <v>Area 
(sq ft)</v>
      </c>
      <c r="L99" s="1491" t="s">
        <v>2610</v>
      </c>
      <c r="M99" s="2353"/>
      <c r="N99" s="3433"/>
      <c r="O99" s="3432"/>
      <c r="T99" s="184"/>
      <c r="U99" s="878"/>
      <c r="V99" s="1009"/>
      <c r="W99" s="42"/>
      <c r="X99" s="42"/>
      <c r="Y99" s="42"/>
      <c r="Z99" s="42"/>
      <c r="AA99" s="806"/>
      <c r="AB99" s="806"/>
      <c r="AE99" s="1521"/>
    </row>
    <row r="100" spans="1:31" s="347" customFormat="1" ht="196.95" customHeight="1" x14ac:dyDescent="0.25">
      <c r="A100" s="1591" t="s">
        <v>1038</v>
      </c>
      <c r="B100" s="3435"/>
      <c r="C100" s="3435"/>
      <c r="D100" s="3435"/>
      <c r="E100" s="1383"/>
      <c r="F100" s="3475" t="s">
        <v>2289</v>
      </c>
      <c r="G100" s="3467"/>
      <c r="H100" s="3425" t="s">
        <v>2721</v>
      </c>
      <c r="I100" s="3426"/>
      <c r="J100" s="3426"/>
      <c r="K100" s="3426"/>
      <c r="L100" s="3427"/>
      <c r="M100" s="2353"/>
      <c r="N100" s="2781" t="str">
        <f>IFERROR(IF('General Information'!$R$55=2007,"Not Supported",IF('General Information'!$R$55=2016,"Opaque door types shall match the proposed design and confrom to the Prescriptive Requirements of 90.1-2016 "&amp;INDEX(DropdownData!AW2:AW18,MATCH('General Information'!H53,AshraeClimate,0))&amp;". Swinging doors include all operable opaque panels with hinges on one side and opaque revolving doors, while nonswinging doors include roll-up,"&amp;" metal coiling, sliding, and all other doors that are not swining doors.","All opaque doors shall have a U-factor not greater than listed in the Prescriptive Requirements of 90.1-2016 "&amp;INDEX(DropdownData!AX2:AX18,MATCH('General Information'!H53,AshraeClimate,0)&amp;". Swinging doors include all operable opaque panels with hinges on one side and opaque revolving doors, while nonswinging doors include roll-up,"&amp;" metal coiling, sliding, and all other doors that are not swining doors."))),"")</f>
        <v/>
      </c>
      <c r="O100" s="3432"/>
      <c r="T100" s="184"/>
      <c r="U100" s="878"/>
      <c r="V100" s="1009"/>
      <c r="W100" s="42"/>
      <c r="X100" s="42"/>
      <c r="Y100" s="42"/>
      <c r="Z100" s="42"/>
      <c r="AA100" s="806"/>
      <c r="AB100" s="806"/>
      <c r="AE100" s="1521"/>
    </row>
    <row r="101" spans="1:31" s="347" customFormat="1" ht="63.75" hidden="1" customHeight="1" x14ac:dyDescent="0.25">
      <c r="A101" s="1591" t="s">
        <v>1038</v>
      </c>
      <c r="B101" s="1378" t="str">
        <f>B99</f>
        <v>Building ID</v>
      </c>
      <c r="C101" s="1378" t="str">
        <f>C99</f>
        <v>New or 
Existing
Construction</v>
      </c>
      <c r="D101" s="1378" t="str">
        <f>D99</f>
        <v>Space-Conditioning Category</v>
      </c>
      <c r="E101" s="1382"/>
      <c r="F101" s="1378" t="s">
        <v>1565</v>
      </c>
      <c r="G101" s="1378" t="str">
        <f>G99</f>
        <v>Assembly U-factor</v>
      </c>
      <c r="H101" s="1378"/>
      <c r="I101" s="1378" t="s">
        <v>1566</v>
      </c>
      <c r="J101" s="1378" t="str">
        <f>J99</f>
        <v>Assembly 
U-factor</v>
      </c>
      <c r="K101" s="1378" t="str">
        <f>K99</f>
        <v>Area 
(sq ft)</v>
      </c>
      <c r="L101" s="1378" t="str">
        <f>L99</f>
        <v>Plans / Specs</v>
      </c>
      <c r="M101" s="1371"/>
      <c r="N101" s="1863" t="s">
        <v>2200</v>
      </c>
      <c r="O101" s="3433"/>
      <c r="T101" s="184"/>
      <c r="U101" s="878"/>
      <c r="V101" s="1009"/>
      <c r="W101" s="1342" t="s">
        <v>1563</v>
      </c>
      <c r="X101" s="1342" t="s">
        <v>1564</v>
      </c>
      <c r="Z101" s="1342" t="s">
        <v>2185</v>
      </c>
      <c r="AA101" s="1342" t="s">
        <v>2207</v>
      </c>
      <c r="AB101" s="997"/>
      <c r="AE101" s="1521"/>
    </row>
    <row r="102" spans="1:31" s="347" customFormat="1" ht="39" customHeight="1" x14ac:dyDescent="0.25">
      <c r="A102" s="1591"/>
      <c r="B102" s="1343">
        <f>GI_Project_Name</f>
        <v>0</v>
      </c>
      <c r="C102" s="1343"/>
      <c r="D102" s="1642"/>
      <c r="E102" s="1407"/>
      <c r="F102" s="1643" t="str">
        <f>IF(D102="Unconditioned",I102,IF(AND($U102&lt;&gt;0,$D102&lt;&gt;""),$U102,""))</f>
        <v/>
      </c>
      <c r="G102" s="1644" t="str">
        <f>IF(D102="Unconditioned",J102,IF(AND($V102&lt;&gt;0,$D102&lt;&gt;""),$V102,""))</f>
        <v/>
      </c>
      <c r="H102" s="1343"/>
      <c r="I102" s="1343"/>
      <c r="J102" s="1968"/>
      <c r="K102" s="1892"/>
      <c r="L102" s="1870"/>
      <c r="M102" s="1407"/>
      <c r="N102" s="2562" t="str">
        <f>IF('General Information'!$R$55=2007,"Not Supported",IF(D102="Unconditioned","-",IF('General Information'!$R$55=2013,IF(AND($Z102&lt;&gt;0,$D102&lt;&gt;""),"U-"&amp;$Z102,""),IF(AND($AA102&lt;&gt;0,$D102&lt;&gt;""),"U-"&amp;$AA102,""))))</f>
        <v/>
      </c>
      <c r="O102" s="1498"/>
      <c r="T102" s="184"/>
      <c r="U102" s="1206" t="str">
        <f>IFERROR(IF(C102="","",CONCATENATE("Swinging Doors: ",INDEX('Envelope Assumptions'!Q$2:$S$38,MATCH('General Information'!$S$14,'Envelope Assumptions'!$A$2:$A$38,0),MATCH(D102,'Envelope Assumptions'!$Q$2:$S$2,0)),"; Nonswinging Doors: ",INDEX('Envelope Assumptions'!T$2:$V$38,MATCH('General Information'!$S$14,'Envelope Assumptions'!$A$2:$A$38,0),MATCH(D102,'Envelope Assumptions'!$T$2:$V$2,0)))),0)</f>
        <v/>
      </c>
      <c r="V102" s="1206" t="str">
        <f>IFERROR(IF(C102="","",CONCATENATE(INDEX('Envelope Assumptions'!AM$2:$AO$38,MATCH('General Information'!$S$14,'Envelope Assumptions'!$A$2:$A$38,0),MATCH(D102,'Envelope Assumptions'!$AM$2:$AO$2,0))," / ",INDEX('Envelope Assumptions'!AP$2:$AR$38,MATCH('General Information'!$S$14,'Envelope Assumptions'!$A$2:$A$38,0),MATCH(D102,'Envelope Assumptions'!$AP$2:$AR$2,0)))),0)</f>
        <v/>
      </c>
      <c r="W102" s="1206" t="str">
        <f>IF(AND($U102&lt;&gt;0,$D102&lt;&gt;""),$U102,"")</f>
        <v/>
      </c>
      <c r="X102" s="1206" t="str">
        <f>IF(AND($V102&lt;&gt;0,$D102&lt;&gt;""),$V102,"")</f>
        <v/>
      </c>
      <c r="Y102" s="1207" t="str">
        <f>D102&amp;" "&amp;H102</f>
        <v xml:space="preserve"> </v>
      </c>
      <c r="Z102" s="1207" t="str">
        <f>IFERROR(IF(C102="","",CONCATENATE(INDEX('Envelope Lookup 90.1-2013'!BK$2:$BP$38,MATCH('General Information'!$S$14,'Envelope Lookup 90.1-2013'!$A$2:$A$38,0),MATCH(Y102,'Envelope Lookup 90.1-2013'!$BK$2:$BP$2,0)))),0)</f>
        <v/>
      </c>
      <c r="AA102" s="1207" t="str">
        <f>IFERROR(IF(C102="","",CONCATENATE(INDEX('Envelope Lookup 90.1-2010'!BK$2:$BP$38,MATCH('General Information'!$S$14,'Envelope Lookup 90.1-2010'!$A$2:$A$38,0),MATCH(Y102,'Envelope Lookup 90.1-2010'!$BK$2:$BP$2,0)))),0)</f>
        <v/>
      </c>
      <c r="AB102" s="997"/>
      <c r="AE102" s="1802"/>
    </row>
    <row r="103" spans="1:31" s="347" customFormat="1" ht="39" hidden="1" customHeight="1" x14ac:dyDescent="0.25">
      <c r="A103" s="1591" t="s">
        <v>807</v>
      </c>
      <c r="B103" s="1343">
        <f>GI_Project_Name</f>
        <v>0</v>
      </c>
      <c r="C103" s="1343"/>
      <c r="D103" s="1642"/>
      <c r="E103" s="1407"/>
      <c r="F103" s="1643" t="str">
        <f>IF(D103="Unconditioned",I103,IF(AND($U103&lt;&gt;0,$D103&lt;&gt;""),$U103,""))</f>
        <v/>
      </c>
      <c r="G103" s="1644" t="str">
        <f>IF(D103="Unconditioned",J103,IF(AND($V103&lt;&gt;0,$D103&lt;&gt;""),$V103,""))</f>
        <v/>
      </c>
      <c r="H103" s="1343"/>
      <c r="I103" s="1343"/>
      <c r="J103" s="1968"/>
      <c r="K103" s="1892"/>
      <c r="L103" s="1645"/>
      <c r="M103" s="1407"/>
      <c r="N103" s="2562" t="str">
        <f>IF('General Information'!$R$55=2007,"Not Supported",IF(D103="Unconditioned","-",IF('General Information'!$R$55=2013,IF(AND($Z103&lt;&gt;0,$D103&lt;&gt;""),"U-"&amp;$Z103,""),IF(AND($AA103&lt;&gt;0,$D103&lt;&gt;""),"U-"&amp;$AA103,""))))</f>
        <v/>
      </c>
      <c r="O103" s="1343"/>
      <c r="T103" s="184"/>
      <c r="U103" s="1206" t="str">
        <f>IFERROR(IF(C103="","",CONCATENATE("Swinging Doors: ",INDEX('Envelope Assumptions'!Q$2:$S$38,MATCH('General Information'!$S$14,'Envelope Assumptions'!$A$2:$A$38,0),MATCH(D103,'Envelope Assumptions'!$Q$2:$S$2,0)),"; Nonswinging Doors: ",INDEX('Envelope Assumptions'!T$2:$V$38,MATCH('General Information'!$S$14,'Envelope Assumptions'!$A$2:$A$38,0),MATCH(D103,'Envelope Assumptions'!$T$2:$V$2,0)))),0)</f>
        <v/>
      </c>
      <c r="V103" s="1206" t="str">
        <f>IFERROR(IF(C103="","",CONCATENATE(INDEX('Envelope Assumptions'!AM$2:$AO$38,MATCH('General Information'!$S$14,'Envelope Assumptions'!$A$2:$A$38,0),MATCH(D103,'Envelope Assumptions'!$AM$2:$AO$2,0))," / ",INDEX('Envelope Assumptions'!AP$2:$AR$38,MATCH('General Information'!$S$14,'Envelope Assumptions'!$A$2:$A$38,0),MATCH(D103,'Envelope Assumptions'!$AP$2:$AR$2,0)))),0)</f>
        <v/>
      </c>
      <c r="W103" s="1206" t="str">
        <f>IF(AND($U103&lt;&gt;0,$D103&lt;&gt;""),$U103,"")</f>
        <v/>
      </c>
      <c r="X103" s="1206" t="str">
        <f>IF(AND($V103&lt;&gt;0,$D103&lt;&gt;""),$V103,"")</f>
        <v/>
      </c>
      <c r="Y103" s="1207" t="str">
        <f>D103&amp;" "&amp;H103</f>
        <v xml:space="preserve"> </v>
      </c>
      <c r="Z103" s="1207" t="str">
        <f>IFERROR(IF(C103="","",CONCATENATE(INDEX('Envelope Lookup 90.1-2013'!BK$2:$BP$38,MATCH('General Information'!$S$14,'Envelope Lookup 90.1-2013'!$A$2:$A$38,0),MATCH(Y103,'Envelope Lookup 90.1-2013'!$BK$2:$BP$2,0)))),0)</f>
        <v/>
      </c>
      <c r="AA103" s="1207" t="str">
        <f>IFERROR(IF(C103="","",CONCATENATE(INDEX('Envelope Lookup 90.1-2010'!BK$2:$BP$38,MATCH('General Information'!$S$14,'Envelope Lookup 90.1-2010'!$A$2:$A$38,0),MATCH(Y103,'Envelope Lookup 90.1-2010'!$BK$2:$BP$2,0)))),0)</f>
        <v/>
      </c>
      <c r="AB103" s="997"/>
      <c r="AE103" s="1802"/>
    </row>
    <row r="104" spans="1:31" s="347" customFormat="1" ht="39" customHeight="1" x14ac:dyDescent="0.25">
      <c r="A104" s="1591"/>
      <c r="B104" s="1343">
        <f>GI_Project_Name</f>
        <v>0</v>
      </c>
      <c r="C104" s="1343"/>
      <c r="D104" s="1642"/>
      <c r="E104" s="1407"/>
      <c r="F104" s="1643" t="str">
        <f>IF(D104="Unconditioned",I104,IF(AND($U104&lt;&gt;0,$D104&lt;&gt;""),$U104,""))</f>
        <v/>
      </c>
      <c r="G104" s="1644" t="str">
        <f>IF(D104="Unconditioned",J104,IF(AND($V104&lt;&gt;0,$D104&lt;&gt;""),$V104,""))</f>
        <v/>
      </c>
      <c r="H104" s="1343"/>
      <c r="I104" s="1343"/>
      <c r="J104" s="1968"/>
      <c r="K104" s="1892"/>
      <c r="L104" s="1645"/>
      <c r="M104" s="1407"/>
      <c r="N104" s="2562" t="str">
        <f>IF('General Information'!$R$55=2007,"Not Supported",IF(D104="Unconditioned","-",IF('General Information'!$R$55=2013,IF(AND($Z104&lt;&gt;0,$D104&lt;&gt;""),"U-"&amp;$Z104,""),IF(AND($AA104&lt;&gt;0,$D104&lt;&gt;""),"U-"&amp;$AA104,""))))</f>
        <v/>
      </c>
      <c r="O104" s="1343"/>
      <c r="T104" s="184"/>
      <c r="U104" s="1206" t="str">
        <f>IFERROR(IF(C104="","",CONCATENATE("Swinging Doors: ",INDEX('Envelope Assumptions'!Q$2:$S$38,MATCH('General Information'!$S$14,'Envelope Assumptions'!$A$2:$A$38,0),MATCH(D104,'Envelope Assumptions'!$Q$2:$S$2,0)),"; Nonswinging Doors: ",INDEX('Envelope Assumptions'!T$2:$V$38,MATCH('General Information'!$S$14,'Envelope Assumptions'!$A$2:$A$38,0),MATCH(D104,'Envelope Assumptions'!$T$2:$V$2,0)))),0)</f>
        <v/>
      </c>
      <c r="V104" s="1206" t="str">
        <f>IFERROR(IF(C104="","",CONCATENATE(INDEX('Envelope Assumptions'!AM$2:$AO$38,MATCH('General Information'!$S$14,'Envelope Assumptions'!$A$2:$A$38,0),MATCH(D104,'Envelope Assumptions'!$AM$2:$AO$2,0))," / ",INDEX('Envelope Assumptions'!AP$2:$AR$38,MATCH('General Information'!$S$14,'Envelope Assumptions'!$A$2:$A$38,0),MATCH(D104,'Envelope Assumptions'!$AP$2:$AR$2,0)))),0)</f>
        <v/>
      </c>
      <c r="W104" s="1206" t="str">
        <f>IF(AND($U104&lt;&gt;0,$D104&lt;&gt;""),$U104,"")</f>
        <v/>
      </c>
      <c r="X104" s="1206" t="str">
        <f>IF(AND($V104&lt;&gt;0,$D104&lt;&gt;""),$V104,"")</f>
        <v/>
      </c>
      <c r="Y104" s="1207" t="str">
        <f>D104&amp;" "&amp;H104</f>
        <v xml:space="preserve"> </v>
      </c>
      <c r="Z104" s="1207" t="str">
        <f>IFERROR(IF(C104="","",CONCATENATE(INDEX('Envelope Lookup 90.1-2013'!BK$2:$BP$38,MATCH('General Information'!$S$14,'Envelope Lookup 90.1-2013'!$A$2:$A$38,0),MATCH(Y104,'Envelope Lookup 90.1-2013'!$BK$2:$BP$2,0)))),0)</f>
        <v/>
      </c>
      <c r="AA104" s="1207" t="str">
        <f>IFERROR(IF(C104="","",CONCATENATE(INDEX('Envelope Lookup 90.1-2010'!BK$2:$BP$38,MATCH('General Information'!$S$14,'Envelope Lookup 90.1-2010'!$A$2:$A$38,0),MATCH(Y104,'Envelope Lookup 90.1-2010'!$BK$2:$BP$2,0)))),0)</f>
        <v/>
      </c>
      <c r="AB104" s="997"/>
      <c r="AE104" s="1802"/>
    </row>
    <row r="105" spans="1:31" s="347" customFormat="1" ht="36.75" customHeight="1" x14ac:dyDescent="0.25">
      <c r="A105" s="1591" t="s">
        <v>1038</v>
      </c>
      <c r="I105" s="1596"/>
      <c r="N105" s="1511"/>
      <c r="T105" s="42"/>
      <c r="U105" s="42"/>
      <c r="V105" s="42"/>
      <c r="W105" s="42"/>
      <c r="X105" s="42"/>
      <c r="Y105" s="42"/>
      <c r="Z105" s="42"/>
      <c r="AA105" s="806"/>
      <c r="AB105" s="806"/>
      <c r="AE105" s="1521"/>
    </row>
    <row r="106" spans="1:31" s="347" customFormat="1" ht="15.75" customHeight="1" x14ac:dyDescent="0.25">
      <c r="A106" s="1591"/>
      <c r="L106" s="1511"/>
      <c r="T106" s="42"/>
      <c r="U106" s="42"/>
      <c r="V106" s="42"/>
      <c r="W106" s="42"/>
      <c r="X106" s="42"/>
      <c r="Y106" s="42"/>
      <c r="Z106" s="42"/>
      <c r="AA106" s="806"/>
      <c r="AB106" s="806"/>
      <c r="AE106" s="1521"/>
    </row>
    <row r="107" spans="1:31" s="347" customFormat="1" ht="15.75" customHeight="1" x14ac:dyDescent="0.25">
      <c r="A107" s="1591"/>
      <c r="L107" s="1511"/>
      <c r="T107" s="42"/>
      <c r="U107" s="42"/>
      <c r="V107" s="42"/>
      <c r="W107" s="42"/>
      <c r="X107" s="42"/>
      <c r="Y107" s="42"/>
      <c r="Z107" s="42"/>
      <c r="AA107" s="806"/>
      <c r="AB107" s="806"/>
      <c r="AE107" s="1521"/>
    </row>
    <row r="108" spans="1:31" s="866" customFormat="1" ht="15.75" customHeight="1" x14ac:dyDescent="0.25">
      <c r="A108" s="1591" t="s">
        <v>1038</v>
      </c>
      <c r="L108" s="1573"/>
      <c r="T108" s="1553"/>
      <c r="U108" s="1553"/>
      <c r="V108" s="1553"/>
      <c r="W108" s="1553"/>
      <c r="X108" s="1553"/>
      <c r="Y108" s="1553"/>
      <c r="Z108" s="1553"/>
      <c r="AA108" s="1582"/>
      <c r="AB108" s="1582"/>
      <c r="AE108" s="1609"/>
    </row>
    <row r="109" spans="1:31" s="347" customFormat="1" ht="20.25" customHeight="1" x14ac:dyDescent="0.25">
      <c r="A109" s="1591" t="s">
        <v>1038</v>
      </c>
      <c r="B109" s="396" t="s">
        <v>20</v>
      </c>
      <c r="C109" s="396"/>
      <c r="D109" s="396"/>
      <c r="E109" s="396"/>
      <c r="F109" s="396"/>
      <c r="G109" s="396"/>
      <c r="H109" s="396"/>
      <c r="I109" s="396"/>
      <c r="J109" s="396"/>
      <c r="K109" s="396"/>
      <c r="L109" s="387"/>
      <c r="M109" s="396"/>
      <c r="N109" s="396"/>
      <c r="O109" s="396"/>
      <c r="T109" s="42"/>
      <c r="U109" s="42"/>
      <c r="V109" s="42"/>
      <c r="W109" s="42"/>
      <c r="X109" s="42"/>
      <c r="Y109" s="42"/>
      <c r="Z109" s="42"/>
      <c r="AA109" s="806"/>
      <c r="AB109" s="806"/>
      <c r="AE109" s="1521"/>
    </row>
    <row r="110" spans="1:31" s="347" customFormat="1" ht="21" customHeight="1" x14ac:dyDescent="0.25">
      <c r="A110" s="1591" t="s">
        <v>1038</v>
      </c>
      <c r="B110" s="3458"/>
      <c r="C110" s="3458"/>
      <c r="D110" s="3458"/>
      <c r="E110" s="3458"/>
      <c r="F110" s="3458"/>
      <c r="G110" s="3458"/>
      <c r="H110" s="3458"/>
      <c r="I110" s="3494"/>
      <c r="J110" s="3494"/>
      <c r="K110" s="3494"/>
      <c r="L110" s="3494"/>
      <c r="M110" s="1565"/>
      <c r="N110" s="1565"/>
      <c r="O110" s="1565"/>
      <c r="T110" s="42"/>
      <c r="U110" s="42"/>
      <c r="V110" s="42"/>
      <c r="W110" s="42"/>
      <c r="X110" s="42"/>
      <c r="Y110" s="42"/>
      <c r="Z110" s="42"/>
      <c r="AA110" s="806"/>
      <c r="AB110" s="806"/>
      <c r="AE110" s="1521"/>
    </row>
    <row r="111" spans="1:31" s="347" customFormat="1" x14ac:dyDescent="0.25">
      <c r="A111" s="303"/>
      <c r="C111" s="1511"/>
      <c r="D111" s="1511"/>
      <c r="F111" s="1511"/>
      <c r="H111" s="1511"/>
      <c r="I111" s="396"/>
      <c r="J111" s="396"/>
      <c r="K111" s="396"/>
      <c r="L111" s="387"/>
      <c r="M111" s="396"/>
      <c r="N111" s="396"/>
      <c r="O111" s="396"/>
      <c r="T111" s="184"/>
      <c r="U111" s="42"/>
      <c r="V111" s="42"/>
      <c r="W111" s="42"/>
      <c r="X111" s="42"/>
      <c r="Y111" s="42"/>
      <c r="Z111" s="42"/>
      <c r="AA111" s="806"/>
      <c r="AB111" s="806"/>
      <c r="AE111" s="1521"/>
    </row>
    <row r="112" spans="1:31" s="347" customFormat="1" x14ac:dyDescent="0.25">
      <c r="A112" s="303"/>
      <c r="C112" s="1511"/>
      <c r="D112" s="1511"/>
      <c r="F112" s="1511"/>
      <c r="H112" s="1511"/>
      <c r="I112" s="1511"/>
      <c r="J112" s="1511"/>
      <c r="L112" s="1511"/>
      <c r="T112" s="184"/>
      <c r="U112" s="42"/>
      <c r="V112" s="42"/>
      <c r="W112" s="42"/>
      <c r="X112" s="42"/>
      <c r="Y112" s="42"/>
      <c r="Z112" s="42"/>
      <c r="AA112" s="806"/>
      <c r="AB112" s="806"/>
      <c r="AE112" s="1521"/>
    </row>
    <row r="113" spans="1:31" s="347" customFormat="1" x14ac:dyDescent="0.25">
      <c r="A113" s="303"/>
      <c r="C113" s="1511"/>
      <c r="D113" s="1511"/>
      <c r="F113" s="1511"/>
      <c r="H113" s="1511"/>
      <c r="I113" s="1511"/>
      <c r="J113" s="1511"/>
      <c r="L113" s="1511"/>
      <c r="T113" s="184"/>
      <c r="U113" s="42"/>
      <c r="V113" s="42"/>
      <c r="W113" s="42"/>
      <c r="X113" s="42"/>
      <c r="Y113" s="42"/>
      <c r="Z113" s="42"/>
      <c r="AA113" s="806"/>
      <c r="AB113" s="806"/>
      <c r="AE113" s="1521"/>
    </row>
    <row r="114" spans="1:31" s="347" customFormat="1" x14ac:dyDescent="0.25">
      <c r="A114" s="303"/>
      <c r="C114" s="1511"/>
      <c r="D114" s="1511"/>
      <c r="F114" s="1511"/>
      <c r="H114" s="1511"/>
      <c r="I114" s="1511"/>
      <c r="J114" s="1511"/>
      <c r="L114" s="1511"/>
      <c r="T114" s="184"/>
      <c r="U114" s="42"/>
      <c r="V114" s="42"/>
      <c r="W114" s="42"/>
      <c r="X114" s="42"/>
      <c r="Y114" s="42"/>
      <c r="Z114" s="42"/>
      <c r="AA114" s="806"/>
      <c r="AB114" s="806"/>
      <c r="AE114" s="1521"/>
    </row>
    <row r="115" spans="1:31" s="347" customFormat="1" x14ac:dyDescent="0.25">
      <c r="A115" s="303"/>
      <c r="C115" s="1511"/>
      <c r="D115" s="1511"/>
      <c r="F115" s="1511"/>
      <c r="H115" s="1511"/>
      <c r="I115" s="1511"/>
      <c r="J115" s="1511"/>
      <c r="L115" s="1511"/>
      <c r="T115" s="184"/>
      <c r="U115" s="42"/>
      <c r="V115" s="42"/>
      <c r="W115" s="42"/>
      <c r="X115" s="42"/>
      <c r="Y115" s="42"/>
      <c r="Z115" s="42"/>
      <c r="AA115" s="806"/>
      <c r="AB115" s="806"/>
      <c r="AE115" s="1521"/>
    </row>
    <row r="116" spans="1:31" s="347" customFormat="1" x14ac:dyDescent="0.25">
      <c r="A116" s="303"/>
      <c r="C116" s="1511"/>
      <c r="D116" s="1511"/>
      <c r="F116" s="1511"/>
      <c r="H116" s="1511"/>
      <c r="I116" s="1511"/>
      <c r="J116" s="1511"/>
      <c r="L116" s="1511"/>
      <c r="T116" s="184"/>
      <c r="U116" s="42"/>
      <c r="V116" s="42"/>
      <c r="W116" s="42"/>
      <c r="X116" s="42"/>
      <c r="Y116" s="42"/>
      <c r="Z116" s="42"/>
      <c r="AA116" s="806"/>
      <c r="AB116" s="806"/>
      <c r="AE116" s="1521"/>
    </row>
    <row r="117" spans="1:31" s="347" customFormat="1" x14ac:dyDescent="0.25">
      <c r="A117" s="303"/>
      <c r="C117" s="1511"/>
      <c r="D117" s="1511"/>
      <c r="F117" s="1511"/>
      <c r="H117" s="1511"/>
      <c r="I117" s="1511"/>
      <c r="J117" s="1511"/>
      <c r="L117" s="1511"/>
      <c r="T117" s="184"/>
      <c r="U117" s="42"/>
      <c r="V117" s="42"/>
      <c r="W117" s="42"/>
      <c r="X117" s="42"/>
      <c r="Y117" s="42"/>
      <c r="Z117" s="42"/>
      <c r="AA117" s="806"/>
      <c r="AB117" s="806"/>
      <c r="AE117" s="1521"/>
    </row>
    <row r="118" spans="1:31" x14ac:dyDescent="0.25">
      <c r="B118" s="37"/>
    </row>
  </sheetData>
  <sheetProtection algorithmName="SHA-512" hashValue="eIEps0MWggYM05MbovT3rUS8XP4WJt1apRPTOe84If3duRtbB8BsfZ+KDl+4pjt66iuwbAxwoH0Wn/8bx+u8lw==" saltValue="u1BUpfWoz59ky3n6mZADTg==" spinCount="100000" sheet="1" objects="1" scenarios="1"/>
  <customSheetViews>
    <customSheetView guid="{75D6F8CE-A4F4-4FDD-BA92-7996F9E19FA9}" scale="90" showGridLines="0" hiddenRows="1" topLeftCell="A27">
      <selection activeCell="G27" sqref="G27"/>
      <rowBreaks count="1" manualBreakCount="1">
        <brk id="82" min="1" max="9" man="1"/>
      </rowBreaks>
      <pageMargins left="0.25" right="0.25" top="0.75" bottom="0.75" header="0" footer="0"/>
      <pageSetup scale="74" fitToWidth="0" fitToHeight="0" orientation="portrait" r:id="rId1"/>
    </customSheetView>
  </customSheetViews>
  <mergeCells count="123">
    <mergeCell ref="B40:E40"/>
    <mergeCell ref="F40:G40"/>
    <mergeCell ref="H40:I40"/>
    <mergeCell ref="B44:E44"/>
    <mergeCell ref="F44:G44"/>
    <mergeCell ref="H44:I44"/>
    <mergeCell ref="B59:B60"/>
    <mergeCell ref="C59:C60"/>
    <mergeCell ref="D59:D60"/>
    <mergeCell ref="B42:E42"/>
    <mergeCell ref="F48:G48"/>
    <mergeCell ref="F58:G58"/>
    <mergeCell ref="B48:D48"/>
    <mergeCell ref="F50:G50"/>
    <mergeCell ref="B49:B50"/>
    <mergeCell ref="C49:C50"/>
    <mergeCell ref="D49:D50"/>
    <mergeCell ref="F42:G42"/>
    <mergeCell ref="F41:I41"/>
    <mergeCell ref="H42:I42"/>
    <mergeCell ref="H43:I43"/>
    <mergeCell ref="B43:E43"/>
    <mergeCell ref="B41:E41"/>
    <mergeCell ref="H48:L48"/>
    <mergeCell ref="F88:G88"/>
    <mergeCell ref="B99:B100"/>
    <mergeCell ref="C99:C100"/>
    <mergeCell ref="D99:D100"/>
    <mergeCell ref="C69:C70"/>
    <mergeCell ref="D69:D70"/>
    <mergeCell ref="B79:B80"/>
    <mergeCell ref="C79:C80"/>
    <mergeCell ref="D79:D80"/>
    <mergeCell ref="B89:B90"/>
    <mergeCell ref="C89:C90"/>
    <mergeCell ref="D89:D90"/>
    <mergeCell ref="H34:I34"/>
    <mergeCell ref="F31:G31"/>
    <mergeCell ref="H31:I31"/>
    <mergeCell ref="F32:G32"/>
    <mergeCell ref="H32:I32"/>
    <mergeCell ref="J31:K35"/>
    <mergeCell ref="F35:G35"/>
    <mergeCell ref="H35:I35"/>
    <mergeCell ref="B30:K30"/>
    <mergeCell ref="B33:E33"/>
    <mergeCell ref="F33:G33"/>
    <mergeCell ref="H33:I33"/>
    <mergeCell ref="B34:E34"/>
    <mergeCell ref="F34:G34"/>
    <mergeCell ref="B35:E35"/>
    <mergeCell ref="H36:I36"/>
    <mergeCell ref="B37:E37"/>
    <mergeCell ref="F37:G37"/>
    <mergeCell ref="H37:I37"/>
    <mergeCell ref="H38:I38"/>
    <mergeCell ref="B5:K5"/>
    <mergeCell ref="B11:F11"/>
    <mergeCell ref="B13:F13"/>
    <mergeCell ref="B15:F15"/>
    <mergeCell ref="B17:J17"/>
    <mergeCell ref="B9:F9"/>
    <mergeCell ref="G9:L9"/>
    <mergeCell ref="G11:L11"/>
    <mergeCell ref="G13:L13"/>
    <mergeCell ref="G15:L15"/>
    <mergeCell ref="K17:L17"/>
    <mergeCell ref="K19:L19"/>
    <mergeCell ref="K21:L21"/>
    <mergeCell ref="K23:L23"/>
    <mergeCell ref="B25:L25"/>
    <mergeCell ref="B26:L26"/>
    <mergeCell ref="B21:J21"/>
    <mergeCell ref="B23:J23"/>
    <mergeCell ref="B19:J19"/>
    <mergeCell ref="J36:K43"/>
    <mergeCell ref="B110:L110"/>
    <mergeCell ref="F70:G70"/>
    <mergeCell ref="F80:G80"/>
    <mergeCell ref="F60:G60"/>
    <mergeCell ref="F100:G100"/>
    <mergeCell ref="F68:G68"/>
    <mergeCell ref="B78:D78"/>
    <mergeCell ref="B88:D88"/>
    <mergeCell ref="B98:D98"/>
    <mergeCell ref="F90:G90"/>
    <mergeCell ref="F98:G98"/>
    <mergeCell ref="B39:E39"/>
    <mergeCell ref="F38:G38"/>
    <mergeCell ref="F43:G43"/>
    <mergeCell ref="B58:D58"/>
    <mergeCell ref="B68:D68"/>
    <mergeCell ref="B69:B70"/>
    <mergeCell ref="F78:G78"/>
    <mergeCell ref="B38:E38"/>
    <mergeCell ref="H39:I39"/>
    <mergeCell ref="F39:G39"/>
    <mergeCell ref="B36:E36"/>
    <mergeCell ref="F36:G36"/>
    <mergeCell ref="O88:O91"/>
    <mergeCell ref="H98:L98"/>
    <mergeCell ref="H100:L100"/>
    <mergeCell ref="N98:N99"/>
    <mergeCell ref="O98:O101"/>
    <mergeCell ref="H50:L50"/>
    <mergeCell ref="Q48:Q49"/>
    <mergeCell ref="R48:R50"/>
    <mergeCell ref="H58:L58"/>
    <mergeCell ref="H60:L60"/>
    <mergeCell ref="N58:N59"/>
    <mergeCell ref="O58:O61"/>
    <mergeCell ref="H70:L70"/>
    <mergeCell ref="N68:N69"/>
    <mergeCell ref="O68:O71"/>
    <mergeCell ref="H68:L68"/>
    <mergeCell ref="H78:L78"/>
    <mergeCell ref="H80:L80"/>
    <mergeCell ref="N78:N79"/>
    <mergeCell ref="H88:L88"/>
    <mergeCell ref="H90:L90"/>
    <mergeCell ref="N88:N89"/>
    <mergeCell ref="O78:O81"/>
    <mergeCell ref="N48:O48"/>
  </mergeCells>
  <conditionalFormatting sqref="J62">
    <cfRule type="expression" dxfId="421" priority="81">
      <formula>$J$62&gt;$G$62</formula>
    </cfRule>
    <cfRule type="expression" dxfId="420" priority="82">
      <formula>$J$62&lt;$G$62</formula>
    </cfRule>
  </conditionalFormatting>
  <conditionalFormatting sqref="J63:J64">
    <cfRule type="expression" dxfId="419" priority="79">
      <formula>$J$62&gt;$G$62</formula>
    </cfRule>
    <cfRule type="expression" dxfId="418" priority="80">
      <formula>$J$62&lt;$G$62</formula>
    </cfRule>
  </conditionalFormatting>
  <conditionalFormatting sqref="J52:J54 J72:J74 J82:J84 J92:J94">
    <cfRule type="expression" dxfId="417" priority="1991">
      <formula>$J52&gt;$G52</formula>
    </cfRule>
    <cfRule type="expression" dxfId="416" priority="1992">
      <formula>$J52&lt;$G52</formula>
    </cfRule>
  </conditionalFormatting>
  <conditionalFormatting sqref="J73:J74">
    <cfRule type="expression" dxfId="415" priority="1993">
      <formula>$J73&gt;$AA73</formula>
    </cfRule>
    <cfRule type="expression" dxfId="414" priority="1994">
      <formula>$J73&lt;$AA73</formula>
    </cfRule>
  </conditionalFormatting>
  <conditionalFormatting sqref="J63:J64">
    <cfRule type="expression" dxfId="413" priority="2015">
      <formula>$J63&gt;#REF!</formula>
    </cfRule>
    <cfRule type="expression" dxfId="412" priority="2016">
      <formula>$J63&lt;#REF!</formula>
    </cfRule>
  </conditionalFormatting>
  <dataValidations count="25">
    <dataValidation type="list" allowBlank="1" showInputMessage="1" showErrorMessage="1" sqref="G13" xr:uid="{00000000-0002-0000-0A00-000000000000}">
      <formula1>"Yes, N/A (no semiheated space)"</formula1>
    </dataValidation>
    <dataValidation type="list" allowBlank="1" showInputMessage="1" showErrorMessage="1" sqref="G15:G16" xr:uid="{00000000-0002-0000-0A00-000001000000}">
      <formula1>"Yes, N/A (no opaque assemblies separating conditioned and semiheated/unconditioned space"</formula1>
    </dataValidation>
    <dataValidation type="list" allowBlank="1" showInputMessage="1" sqref="K19 K21 K17" xr:uid="{00000000-0002-0000-0A00-000002000000}">
      <formula1>"Yes,No, N/A"</formula1>
    </dataValidation>
    <dataValidation type="list" allowBlank="1" showInputMessage="1" showErrorMessage="1" sqref="F22:G22 F20:G20 F18:G18" xr:uid="{00000000-0002-0000-0A00-000003000000}">
      <formula1>"100% new construction, 100% existing renovation, Combination of new construction and existing renovation"</formula1>
    </dataValidation>
    <dataValidation type="list" allowBlank="1" showInputMessage="1" sqref="K23" xr:uid="{00000000-0002-0000-0A00-000004000000}">
      <formula1>"Yes,No,N/A"</formula1>
    </dataValidation>
    <dataValidation allowBlank="1" showErrorMessage="1" sqref="B55:D57 L55:T57 F55:G55 J55:K55 H55:I57 E56:G57" xr:uid="{00000000-0002-0000-0A00-000005000000}"/>
    <dataValidation allowBlank="1" showInputMessage="1" showErrorMessage="1" prompt="Enter the Proposed above-grade exterior wall construction assembly U-factor" sqref="M75 M95 M85" xr:uid="{00000000-0002-0000-0A00-000006000000}"/>
    <dataValidation type="list" allowBlank="1" showInputMessage="1" showErrorMessage="1" sqref="G11:K11" xr:uid="{00000000-0002-0000-0A00-000007000000}">
      <formula1>"No changes to space conditioning categories, Yes and the associated constructions in the Baseline case have been modeled using the Appendix G requirements for new construction, N/A (no existing space)"</formula1>
    </dataValidation>
    <dataValidation type="list" allowBlank="1" showInputMessage="1" showErrorMessage="1" sqref="C72:C74 C82:C84 C92:C94 C52:C54 C62:C64 C102:C104" xr:uid="{00000000-0002-0000-0A00-000008000000}">
      <formula1>"New,Existing"</formula1>
    </dataValidation>
    <dataValidation type="list" errorStyle="warning" allowBlank="1" showErrorMessage="1" errorTitle="Invalid Entry" error="Please select Nonresidential, Residential, Semiheated, or Unconditioned" sqref="D72:D74 D82:D84 D92:D94 D52:D54 D62:D64 D102:D104" xr:uid="{00000000-0002-0000-0A00-000009000000}">
      <formula1>"Nonresidential,Residential,Semiheated,Unconditioned"</formula1>
    </dataValidation>
    <dataValidation type="list" allowBlank="1" showInputMessage="1" showErrorMessage="1" sqref="G9:K9" xr:uid="{00000000-0002-0000-0A00-00000A000000}">
      <formula1>"Yes,No,N/A (no residential spaces)"</formula1>
    </dataValidation>
    <dataValidation type="list" allowBlank="1" showInputMessage="1" showErrorMessage="1" sqref="B72:B74 B82:B84 B62:B64 B92:B94 B52:B54 B102:B104" xr:uid="{00000000-0002-0000-0A00-00000B000000}">
      <formula1>BuildingIDLookup</formula1>
    </dataValidation>
    <dataValidation type="list" errorStyle="warning" allowBlank="1" showErrorMessage="1" errorTitle="Invalid Entry" error="Please verify that the Proposed roof has been modeled with a reflectivity of 0.30 or 0.45 as required by Table G3.1#5(Proposed)(c)" sqref="O52:O54" xr:uid="{00000000-0002-0000-0A00-00000C000000}">
      <formula1>"Reflectance 0.3 / Emittance 0.9, Other (describe in additional notes below)"</formula1>
    </dataValidation>
    <dataValidation type="list" errorStyle="warning" allowBlank="1" showErrorMessage="1" errorTitle="Invalid Entry" error="Please verify that the Baseline roof has been modeled with a reflectivity of 0.3 as required by Table G3.1#5(Baseline)(e)" sqref="N52:N54" xr:uid="{00000000-0002-0000-0A00-00000D000000}">
      <formula1>"Reflectance 0.3 / Emittance 0.9"</formula1>
    </dataValidation>
    <dataValidation type="list" allowBlank="1" showInputMessage="1" showErrorMessage="1" sqref="H36:I36" xr:uid="{00000000-0002-0000-0A00-00000E000000}">
      <formula1>"Individual Apartments, Whole Building"</formula1>
    </dataValidation>
    <dataValidation type="list" allowBlank="1" showInputMessage="1" showErrorMessage="1" sqref="H37:I37" xr:uid="{00000000-0002-0000-0A00-00000F000000}">
      <formula1>"50 Pa,75 Pa"</formula1>
    </dataValidation>
    <dataValidation type="list" allowBlank="1" showErrorMessage="1" sqref="K23" xr:uid="{00000000-0002-0000-0A00-000010000000}">
      <formula1>#REF!</formula1>
    </dataValidation>
    <dataValidation type="list" allowBlank="1" showInputMessage="1" showErrorMessage="1" sqref="C92:C94" xr:uid="{00000000-0002-0000-0A00-000011000000}">
      <formula1>#REF!</formula1>
    </dataValidation>
    <dataValidation type="list" errorStyle="warning" allowBlank="1" showErrorMessage="1" errorTitle="Invalid Entry" error="Please select Nonresidential, Residential, Semiheated, or Unconditioned" sqref="D92:D94" xr:uid="{00000000-0002-0000-0A00-000012000000}">
      <formula1>#REF!</formula1>
    </dataValidation>
    <dataValidation type="list" allowBlank="1" showInputMessage="1" showErrorMessage="1" sqref="H52:H54" xr:uid="{00000000-0002-0000-0A00-000013000000}">
      <formula1>"Insulation Entirely above Deck,Metal Building,Attic and Other"</formula1>
    </dataValidation>
    <dataValidation type="list" allowBlank="1" showInputMessage="1" showErrorMessage="1" sqref="H62:H64" xr:uid="{00000000-0002-0000-0A00-000014000000}">
      <formula1>"Mass,Metal Building,Steel Framed,Wood Framed and Other"</formula1>
    </dataValidation>
    <dataValidation type="list" allowBlank="1" showInputMessage="1" showErrorMessage="1" sqref="H72:H74" xr:uid="{00000000-0002-0000-0A00-000015000000}">
      <formula1>"Below Grade Wall"</formula1>
    </dataValidation>
    <dataValidation type="list" allowBlank="1" showInputMessage="1" showErrorMessage="1" sqref="H82:H84" xr:uid="{00000000-0002-0000-0A00-000016000000}">
      <formula1>"Mass,Steel Joist,Wood Framed and Other"</formula1>
    </dataValidation>
    <dataValidation type="list" allowBlank="1" showInputMessage="1" showErrorMessage="1" sqref="H92:H94" xr:uid="{00000000-0002-0000-0A00-000017000000}">
      <formula1>"Unheated,Heated"</formula1>
    </dataValidation>
    <dataValidation type="list" allowBlank="1" showInputMessage="1" showErrorMessage="1" sqref="H102:H104" xr:uid="{00000000-0002-0000-0A00-000018000000}">
      <formula1>"Swinging,Nonswinging"</formula1>
    </dataValidation>
  </dataValidations>
  <pageMargins left="0.25" right="0.25" top="0.75" bottom="0.75" header="0" footer="0"/>
  <pageSetup scale="74" fitToWidth="0" fitToHeight="0" orientation="portrait" r:id="rId2"/>
  <rowBreaks count="1" manualBreakCount="1">
    <brk id="112" min="1" max="9" man="1"/>
  </rowBreaks>
  <drawing r:id="rId3"/>
  <legacyDrawing r:id="rId4"/>
  <mc:AlternateContent xmlns:mc="http://schemas.openxmlformats.org/markup-compatibility/2006">
    <mc:Choice Requires="x14">
      <controls>
        <mc:AlternateContent xmlns:mc="http://schemas.openxmlformats.org/markup-compatibility/2006">
          <mc:Choice Requires="x14">
            <control shapeId="20485" r:id="rId5" name="Button 5">
              <controlPr defaultSize="0" print="0" autoFill="0" autoPict="0" macro="[0]!addA">
                <anchor moveWithCells="1">
                  <from>
                    <xdr:col>0</xdr:col>
                    <xdr:colOff>152400</xdr:colOff>
                    <xdr:row>54</xdr:row>
                    <xdr:rowOff>175260</xdr:rowOff>
                  </from>
                  <to>
                    <xdr:col>2</xdr:col>
                    <xdr:colOff>251460</xdr:colOff>
                    <xdr:row>55</xdr:row>
                    <xdr:rowOff>0</xdr:rowOff>
                  </to>
                </anchor>
              </controlPr>
            </control>
          </mc:Choice>
        </mc:AlternateContent>
        <mc:AlternateContent xmlns:mc="http://schemas.openxmlformats.org/markup-compatibility/2006">
          <mc:Choice Requires="x14">
            <control shapeId="20525" r:id="rId6" name="Button 45">
              <controlPr defaultSize="0" print="0" autoFill="0" autoPict="0" macro="[0]!addB">
                <anchor moveWithCells="1">
                  <from>
                    <xdr:col>1</xdr:col>
                    <xdr:colOff>22860</xdr:colOff>
                    <xdr:row>64</xdr:row>
                    <xdr:rowOff>137160</xdr:rowOff>
                  </from>
                  <to>
                    <xdr:col>2</xdr:col>
                    <xdr:colOff>289560</xdr:colOff>
                    <xdr:row>64</xdr:row>
                    <xdr:rowOff>403860</xdr:rowOff>
                  </to>
                </anchor>
              </controlPr>
            </control>
          </mc:Choice>
        </mc:AlternateContent>
        <mc:AlternateContent xmlns:mc="http://schemas.openxmlformats.org/markup-compatibility/2006">
          <mc:Choice Requires="x14">
            <control shapeId="20526" r:id="rId7" name="Button 46">
              <controlPr defaultSize="0" print="0" autoFill="0" autoPict="0" macro="[0]!addC">
                <anchor moveWithCells="1">
                  <from>
                    <xdr:col>1</xdr:col>
                    <xdr:colOff>22860</xdr:colOff>
                    <xdr:row>74</xdr:row>
                    <xdr:rowOff>137160</xdr:rowOff>
                  </from>
                  <to>
                    <xdr:col>2</xdr:col>
                    <xdr:colOff>289560</xdr:colOff>
                    <xdr:row>74</xdr:row>
                    <xdr:rowOff>403860</xdr:rowOff>
                  </to>
                </anchor>
              </controlPr>
            </control>
          </mc:Choice>
        </mc:AlternateContent>
        <mc:AlternateContent xmlns:mc="http://schemas.openxmlformats.org/markup-compatibility/2006">
          <mc:Choice Requires="x14">
            <control shapeId="20527" r:id="rId8" name="Button 47">
              <controlPr defaultSize="0" print="0" autoFill="0" autoPict="0" macro="[0]!addD">
                <anchor moveWithCells="1">
                  <from>
                    <xdr:col>0</xdr:col>
                    <xdr:colOff>175260</xdr:colOff>
                    <xdr:row>84</xdr:row>
                    <xdr:rowOff>137160</xdr:rowOff>
                  </from>
                  <to>
                    <xdr:col>2</xdr:col>
                    <xdr:colOff>281940</xdr:colOff>
                    <xdr:row>84</xdr:row>
                    <xdr:rowOff>403860</xdr:rowOff>
                  </to>
                </anchor>
              </controlPr>
            </control>
          </mc:Choice>
        </mc:AlternateContent>
        <mc:AlternateContent xmlns:mc="http://schemas.openxmlformats.org/markup-compatibility/2006">
          <mc:Choice Requires="x14">
            <control shapeId="20529" r:id="rId9" name="Button 49">
              <controlPr defaultSize="0" print="0" autoFill="0" autoPict="0" macro="[0]!addE">
                <anchor moveWithCells="1">
                  <from>
                    <xdr:col>1</xdr:col>
                    <xdr:colOff>0</xdr:colOff>
                    <xdr:row>94</xdr:row>
                    <xdr:rowOff>137160</xdr:rowOff>
                  </from>
                  <to>
                    <xdr:col>2</xdr:col>
                    <xdr:colOff>281940</xdr:colOff>
                    <xdr:row>94</xdr:row>
                    <xdr:rowOff>403860</xdr:rowOff>
                  </to>
                </anchor>
              </controlPr>
            </control>
          </mc:Choice>
        </mc:AlternateContent>
        <mc:AlternateContent xmlns:mc="http://schemas.openxmlformats.org/markup-compatibility/2006">
          <mc:Choice Requires="x14">
            <control shapeId="20530" r:id="rId10" name="Button 50">
              <controlPr defaultSize="0" print="0" autoFill="0" autoPict="0" macro="[0]!addF">
                <anchor moveWithCells="1">
                  <from>
                    <xdr:col>0</xdr:col>
                    <xdr:colOff>152400</xdr:colOff>
                    <xdr:row>104</xdr:row>
                    <xdr:rowOff>99060</xdr:rowOff>
                  </from>
                  <to>
                    <xdr:col>2</xdr:col>
                    <xdr:colOff>251460</xdr:colOff>
                    <xdr:row>104</xdr:row>
                    <xdr:rowOff>381000</xdr:rowOff>
                  </to>
                </anchor>
              </controlPr>
            </control>
          </mc:Choice>
        </mc:AlternateContent>
        <mc:AlternateContent xmlns:mc="http://schemas.openxmlformats.org/markup-compatibility/2006">
          <mc:Choice Requires="x14">
            <control shapeId="20560" r:id="rId11" name="Button 80">
              <controlPr defaultSize="0" print="0" autoFill="0" autoPict="0" macro="[0]!DeleteSome">
                <anchor moveWithCells="1">
                  <from>
                    <xdr:col>2</xdr:col>
                    <xdr:colOff>434340</xdr:colOff>
                    <xdr:row>54</xdr:row>
                    <xdr:rowOff>175260</xdr:rowOff>
                  </from>
                  <to>
                    <xdr:col>3</xdr:col>
                    <xdr:colOff>822960</xdr:colOff>
                    <xdr:row>55</xdr:row>
                    <xdr:rowOff>0</xdr:rowOff>
                  </to>
                </anchor>
              </controlPr>
            </control>
          </mc:Choice>
        </mc:AlternateContent>
        <mc:AlternateContent xmlns:mc="http://schemas.openxmlformats.org/markup-compatibility/2006">
          <mc:Choice Requires="x14">
            <control shapeId="20561" r:id="rId12" name="Button 81">
              <controlPr defaultSize="0" print="0" autoFill="0" autoPict="0" macro="[0]!DeleteSome">
                <anchor moveWithCells="1">
                  <from>
                    <xdr:col>2</xdr:col>
                    <xdr:colOff>480060</xdr:colOff>
                    <xdr:row>64</xdr:row>
                    <xdr:rowOff>137160</xdr:rowOff>
                  </from>
                  <to>
                    <xdr:col>3</xdr:col>
                    <xdr:colOff>899160</xdr:colOff>
                    <xdr:row>64</xdr:row>
                    <xdr:rowOff>403860</xdr:rowOff>
                  </to>
                </anchor>
              </controlPr>
            </control>
          </mc:Choice>
        </mc:AlternateContent>
        <mc:AlternateContent xmlns:mc="http://schemas.openxmlformats.org/markup-compatibility/2006">
          <mc:Choice Requires="x14">
            <control shapeId="20562" r:id="rId13" name="Button 82">
              <controlPr defaultSize="0" print="0" autoFill="0" autoPict="0" macro="[0]!DeleteSome">
                <anchor moveWithCells="1">
                  <from>
                    <xdr:col>2</xdr:col>
                    <xdr:colOff>495300</xdr:colOff>
                    <xdr:row>74</xdr:row>
                    <xdr:rowOff>137160</xdr:rowOff>
                  </from>
                  <to>
                    <xdr:col>3</xdr:col>
                    <xdr:colOff>899160</xdr:colOff>
                    <xdr:row>74</xdr:row>
                    <xdr:rowOff>403860</xdr:rowOff>
                  </to>
                </anchor>
              </controlPr>
            </control>
          </mc:Choice>
        </mc:AlternateContent>
        <mc:AlternateContent xmlns:mc="http://schemas.openxmlformats.org/markup-compatibility/2006">
          <mc:Choice Requires="x14">
            <control shapeId="20563" r:id="rId14" name="Button 83">
              <controlPr defaultSize="0" print="0" autoFill="0" autoPict="0" macro="[0]!DeleteSome">
                <anchor moveWithCells="1">
                  <from>
                    <xdr:col>2</xdr:col>
                    <xdr:colOff>457200</xdr:colOff>
                    <xdr:row>84</xdr:row>
                    <xdr:rowOff>137160</xdr:rowOff>
                  </from>
                  <to>
                    <xdr:col>3</xdr:col>
                    <xdr:colOff>876300</xdr:colOff>
                    <xdr:row>84</xdr:row>
                    <xdr:rowOff>403860</xdr:rowOff>
                  </to>
                </anchor>
              </controlPr>
            </control>
          </mc:Choice>
        </mc:AlternateContent>
        <mc:AlternateContent xmlns:mc="http://schemas.openxmlformats.org/markup-compatibility/2006">
          <mc:Choice Requires="x14">
            <control shapeId="20564" r:id="rId15" name="Button 84">
              <controlPr defaultSize="0" print="0" autoFill="0" autoPict="0" macro="[0]!DeleteSome">
                <anchor moveWithCells="1">
                  <from>
                    <xdr:col>2</xdr:col>
                    <xdr:colOff>480060</xdr:colOff>
                    <xdr:row>94</xdr:row>
                    <xdr:rowOff>137160</xdr:rowOff>
                  </from>
                  <to>
                    <xdr:col>3</xdr:col>
                    <xdr:colOff>876300</xdr:colOff>
                    <xdr:row>94</xdr:row>
                    <xdr:rowOff>403860</xdr:rowOff>
                  </to>
                </anchor>
              </controlPr>
            </control>
          </mc:Choice>
        </mc:AlternateContent>
        <mc:AlternateContent xmlns:mc="http://schemas.openxmlformats.org/markup-compatibility/2006">
          <mc:Choice Requires="x14">
            <control shapeId="20565" r:id="rId16" name="Button 85">
              <controlPr defaultSize="0" print="0" autoFill="0" autoPict="0" macro="[0]!DeleteSome">
                <anchor moveWithCells="1">
                  <from>
                    <xdr:col>2</xdr:col>
                    <xdr:colOff>441960</xdr:colOff>
                    <xdr:row>104</xdr:row>
                    <xdr:rowOff>114300</xdr:rowOff>
                  </from>
                  <to>
                    <xdr:col>3</xdr:col>
                    <xdr:colOff>838200</xdr:colOff>
                    <xdr:row>104</xdr:row>
                    <xdr:rowOff>381000</xdr:rowOff>
                  </to>
                </anchor>
              </controlPr>
            </control>
          </mc:Choice>
        </mc:AlternateContent>
        <mc:AlternateContent xmlns:mc="http://schemas.openxmlformats.org/markup-compatibility/2006">
          <mc:Choice Requires="x14">
            <control shapeId="20567" r:id="rId17" name="Button 87">
              <controlPr defaultSize="0" print="0" autoFill="0" autoPict="0" macro="[0]!Copy_Default_OA_OBEC_Table">
                <anchor moveWithCells="1" sizeWithCells="1">
                  <from>
                    <xdr:col>20</xdr:col>
                    <xdr:colOff>434340</xdr:colOff>
                    <xdr:row>54</xdr:row>
                    <xdr:rowOff>175260</xdr:rowOff>
                  </from>
                  <to>
                    <xdr:col>22</xdr:col>
                    <xdr:colOff>320040</xdr:colOff>
                    <xdr:row>55</xdr:row>
                    <xdr:rowOff>0</xdr:rowOff>
                  </to>
                </anchor>
              </controlPr>
            </control>
          </mc:Choice>
        </mc:AlternateContent>
        <mc:AlternateContent xmlns:mc="http://schemas.openxmlformats.org/markup-compatibility/2006">
          <mc:Choice Requires="x14">
            <control shapeId="20570" r:id="rId18" name="Button 90">
              <controlPr defaultSize="0" print="0" autoFill="0" autoPict="0" macro="[0]!Copy_Default_OA_AGEWC_Table">
                <anchor moveWithCells="1" sizeWithCells="1">
                  <from>
                    <xdr:col>20</xdr:col>
                    <xdr:colOff>99060</xdr:colOff>
                    <xdr:row>64</xdr:row>
                    <xdr:rowOff>137160</xdr:rowOff>
                  </from>
                  <to>
                    <xdr:col>22</xdr:col>
                    <xdr:colOff>53340</xdr:colOff>
                    <xdr:row>64</xdr:row>
                    <xdr:rowOff>403860</xdr:rowOff>
                  </to>
                </anchor>
              </controlPr>
            </control>
          </mc:Choice>
        </mc:AlternateContent>
        <mc:AlternateContent xmlns:mc="http://schemas.openxmlformats.org/markup-compatibility/2006">
          <mc:Choice Requires="x14">
            <control shapeId="20572" r:id="rId19" name="Button 92">
              <controlPr defaultSize="0" print="0" autoFill="0" autoPict="0" macro="[0]!Copy_Default_OA_BGEWC_Table">
                <anchor moveWithCells="1" sizeWithCells="1">
                  <from>
                    <xdr:col>20</xdr:col>
                    <xdr:colOff>518160</xdr:colOff>
                    <xdr:row>74</xdr:row>
                    <xdr:rowOff>137160</xdr:rowOff>
                  </from>
                  <to>
                    <xdr:col>22</xdr:col>
                    <xdr:colOff>457200</xdr:colOff>
                    <xdr:row>74</xdr:row>
                    <xdr:rowOff>403860</xdr:rowOff>
                  </to>
                </anchor>
              </controlPr>
            </control>
          </mc:Choice>
        </mc:AlternateContent>
        <mc:AlternateContent xmlns:mc="http://schemas.openxmlformats.org/markup-compatibility/2006">
          <mc:Choice Requires="x14">
            <control shapeId="20573" r:id="rId20" name="Button 93">
              <controlPr defaultSize="0" print="0" autoFill="0" autoPict="0" macro="[0]!Copy_Default_OA_EFC_Table">
                <anchor moveWithCells="1" sizeWithCells="1">
                  <from>
                    <xdr:col>21</xdr:col>
                    <xdr:colOff>152400</xdr:colOff>
                    <xdr:row>84</xdr:row>
                    <xdr:rowOff>137160</xdr:rowOff>
                  </from>
                  <to>
                    <xdr:col>23</xdr:col>
                    <xdr:colOff>213360</xdr:colOff>
                    <xdr:row>84</xdr:row>
                    <xdr:rowOff>403860</xdr:rowOff>
                  </to>
                </anchor>
              </controlPr>
            </control>
          </mc:Choice>
        </mc:AlternateContent>
        <mc:AlternateContent xmlns:mc="http://schemas.openxmlformats.org/markup-compatibility/2006">
          <mc:Choice Requires="x14">
            <control shapeId="20575" r:id="rId21" name="Button 95">
              <controlPr defaultSize="0" print="0" autoFill="0" autoPict="0" macro="[0]!Copy_Default_OA_SOGF_Table">
                <anchor moveWithCells="1" sizeWithCells="1">
                  <from>
                    <xdr:col>20</xdr:col>
                    <xdr:colOff>381000</xdr:colOff>
                    <xdr:row>94</xdr:row>
                    <xdr:rowOff>137160</xdr:rowOff>
                  </from>
                  <to>
                    <xdr:col>22</xdr:col>
                    <xdr:colOff>320040</xdr:colOff>
                    <xdr:row>94</xdr:row>
                    <xdr:rowOff>403860</xdr:rowOff>
                  </to>
                </anchor>
              </controlPr>
            </control>
          </mc:Choice>
        </mc:AlternateContent>
        <mc:AlternateContent xmlns:mc="http://schemas.openxmlformats.org/markup-compatibility/2006">
          <mc:Choice Requires="x14">
            <control shapeId="20576" r:id="rId22" name="Button 96">
              <controlPr defaultSize="0" print="0" autoFill="0" autoPict="0" macro="[0]!Copy_Default_OA_OD_Table">
                <anchor moveWithCells="1" sizeWithCells="1">
                  <from>
                    <xdr:col>20</xdr:col>
                    <xdr:colOff>190500</xdr:colOff>
                    <xdr:row>104</xdr:row>
                    <xdr:rowOff>114300</xdr:rowOff>
                  </from>
                  <to>
                    <xdr:col>22</xdr:col>
                    <xdr:colOff>129540</xdr:colOff>
                    <xdr:row>104</xdr:row>
                    <xdr:rowOff>381000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1" id="{8FB25030-4C74-4707-8BC3-91A2A03DF620}">
            <xm:f>IF(J72="","",J72&lt;(IF('General Information'!$R$55=2013,Y72,Z72)))</xm:f>
            <x14:dxf>
              <font>
                <color rgb="FF00B050"/>
              </font>
              <fill>
                <patternFill>
                  <bgColor theme="0" tint="-4.9989318521683403E-2"/>
                </patternFill>
              </fill>
            </x14:dxf>
          </x14:cfRule>
          <x14:cfRule type="expression" priority="142" id="{42E03EB2-001B-4979-818E-FC966E1F7D19}">
            <xm:f>IF(J72="","",J72&gt;(IF('General Information'!$R$55=2013,Y72,Z72)))</xm:f>
            <x14:dxf>
              <font>
                <color rgb="FFFF0000"/>
              </font>
              <fill>
                <patternFill>
                  <bgColor theme="0" tint="-4.9989318521683403E-2"/>
                </patternFill>
              </fill>
            </x14:dxf>
          </x14:cfRule>
          <xm:sqref>J72:J74</xm:sqref>
        </x14:conditionalFormatting>
        <x14:conditionalFormatting xmlns:xm="http://schemas.microsoft.com/office/excel/2006/main">
          <x14:cfRule type="expression" priority="2011" id="{EE4F22DB-2533-463A-A09C-AA8CCDCEAC75}">
            <xm:f>IF(J52="","",J52&gt;(IF('General Information'!$R$55=2013,Z52,AA52)))</xm:f>
            <x14:dxf>
              <font>
                <color rgb="FFFF0000"/>
              </font>
              <fill>
                <patternFill>
                  <bgColor theme="0" tint="-4.9989318521683403E-2"/>
                </patternFill>
              </fill>
            </x14:dxf>
          </x14:cfRule>
          <x14:cfRule type="expression" priority="2012" id="{F26A30B8-8B9F-4905-A376-1F80D319698D}">
            <xm:f>IF(J52="","",J52&lt;(IF('General Information'!$R$55=2013,Z52,AA52)))</xm:f>
            <x14:dxf>
              <font>
                <color rgb="FF00B050"/>
              </font>
              <fill>
                <patternFill>
                  <bgColor theme="0" tint="-4.9989318521683403E-2"/>
                </patternFill>
              </fill>
            </x14:dxf>
          </x14:cfRule>
          <xm:sqref>J52:J54 J62:J64 J82:J84</xm:sqref>
        </x14:conditionalFormatting>
        <x14:conditionalFormatting xmlns:xm="http://schemas.microsoft.com/office/excel/2006/main">
          <x14:cfRule type="expression" priority="2017" id="{BA200E4C-E451-4A0F-B1C7-20603F9FFE49}">
            <xm:f>IF($J92="","",$J92&lt;(IF('General Information'!$R$55=2013,$Z92,$AA92)))</xm:f>
            <x14:dxf>
              <font>
                <color rgb="FF00B050"/>
              </font>
              <fill>
                <patternFill>
                  <bgColor theme="0" tint="-4.9989318521683403E-2"/>
                </patternFill>
              </fill>
            </x14:dxf>
          </x14:cfRule>
          <x14:cfRule type="expression" priority="2018" id="{2EAA616C-9C79-455A-87EB-1F1842E807E7}">
            <xm:f>IF($J92="","",$J92&gt;(IF('General Information'!$R$55=2013,$Z92,$AA92)))</xm:f>
            <x14:dxf>
              <font>
                <color rgb="FFFF0000"/>
              </font>
              <fill>
                <patternFill>
                  <bgColor theme="0" tint="-4.9989318521683403E-2"/>
                </patternFill>
              </fill>
            </x14:dxf>
          </x14:cfRule>
          <xm:sqref>J92:J94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theme="5" tint="0.39997558519241921"/>
  </sheetPr>
  <dimension ref="A1:CJ38"/>
  <sheetViews>
    <sheetView topLeftCell="BN11" zoomScale="70" zoomScaleNormal="70" workbookViewId="0">
      <selection activeCell="CJ20" sqref="CJ20"/>
    </sheetView>
  </sheetViews>
  <sheetFormatPr defaultColWidth="8.69921875" defaultRowHeight="13.2" x14ac:dyDescent="0.25"/>
  <cols>
    <col min="1" max="1" width="10.69921875" style="33" customWidth="1"/>
    <col min="2" max="22" width="18.69921875" style="42" hidden="1" customWidth="1"/>
    <col min="23" max="23" width="4.69921875" style="42" customWidth="1"/>
    <col min="24" max="44" width="10.69921875" style="42" customWidth="1"/>
    <col min="45" max="45" width="4.69921875" style="42" customWidth="1"/>
    <col min="46" max="62" width="10.69921875" style="42" customWidth="1"/>
    <col min="63" max="86" width="8.69921875" style="42"/>
    <col min="87" max="87" width="21.19921875" style="42" customWidth="1"/>
    <col min="88" max="88" width="18.296875" style="42" customWidth="1"/>
    <col min="89" max="16384" width="8.69921875" style="42"/>
  </cols>
  <sheetData>
    <row r="1" spans="1:88" ht="32.25" customHeight="1" x14ac:dyDescent="0.25">
      <c r="A1" s="3526" t="s">
        <v>30</v>
      </c>
      <c r="B1" s="3523" t="s">
        <v>3</v>
      </c>
      <c r="C1" s="3523"/>
      <c r="D1" s="3524"/>
      <c r="E1" s="3522" t="s">
        <v>6</v>
      </c>
      <c r="F1" s="3523"/>
      <c r="G1" s="3524"/>
      <c r="H1" s="3522" t="s">
        <v>7</v>
      </c>
      <c r="I1" s="3523"/>
      <c r="J1" s="3524"/>
      <c r="K1" s="3522" t="s">
        <v>18</v>
      </c>
      <c r="L1" s="3523"/>
      <c r="M1" s="3524"/>
      <c r="N1" s="3522" t="s">
        <v>1</v>
      </c>
      <c r="O1" s="3523"/>
      <c r="P1" s="3524"/>
      <c r="Q1" s="3522" t="s">
        <v>799</v>
      </c>
      <c r="R1" s="3523"/>
      <c r="S1" s="3523"/>
      <c r="T1" s="3522" t="s">
        <v>801</v>
      </c>
      <c r="U1" s="3523"/>
      <c r="V1" s="3523"/>
      <c r="W1" s="130"/>
      <c r="X1" s="3527" t="s">
        <v>3</v>
      </c>
      <c r="Y1" s="3528"/>
      <c r="Z1" s="3529"/>
      <c r="AA1" s="3530" t="s">
        <v>6</v>
      </c>
      <c r="AB1" s="3528"/>
      <c r="AC1" s="3531"/>
      <c r="AD1" s="3527" t="s">
        <v>7</v>
      </c>
      <c r="AE1" s="3528"/>
      <c r="AF1" s="3529"/>
      <c r="AG1" s="3530" t="s">
        <v>18</v>
      </c>
      <c r="AH1" s="3528"/>
      <c r="AI1" s="3531"/>
      <c r="AJ1" s="3527" t="s">
        <v>1</v>
      </c>
      <c r="AK1" s="3528"/>
      <c r="AL1" s="3529"/>
      <c r="AM1" s="3522" t="s">
        <v>799</v>
      </c>
      <c r="AN1" s="3523"/>
      <c r="AO1" s="3524"/>
      <c r="AP1" s="3522" t="s">
        <v>800</v>
      </c>
      <c r="AQ1" s="3523"/>
      <c r="AR1" s="3524"/>
      <c r="AT1" s="3517" t="s">
        <v>1646</v>
      </c>
      <c r="AU1" s="3518"/>
      <c r="AV1" s="3518"/>
      <c r="AW1" s="3518"/>
      <c r="AX1" s="3518"/>
      <c r="AY1" s="3518"/>
      <c r="AZ1" s="3518"/>
      <c r="BA1" s="3518"/>
      <c r="BB1" s="3518"/>
      <c r="BC1" s="3518"/>
      <c r="BD1" s="3518"/>
      <c r="BE1" s="3518"/>
      <c r="BF1" s="3525" t="s">
        <v>1647</v>
      </c>
      <c r="BG1" s="3518"/>
      <c r="BH1" s="3518"/>
      <c r="BI1" s="3518"/>
      <c r="BJ1" s="3518"/>
      <c r="BK1" s="3518"/>
      <c r="BL1" s="3518"/>
      <c r="BM1" s="3518"/>
      <c r="BN1" s="3518"/>
      <c r="BO1" s="3518"/>
      <c r="BP1" s="3518"/>
      <c r="BQ1" s="3519"/>
      <c r="BR1" s="3517" t="s">
        <v>916</v>
      </c>
      <c r="BS1" s="3518"/>
      <c r="BT1" s="3518"/>
      <c r="BU1" s="3518"/>
      <c r="BV1" s="3518"/>
      <c r="BW1" s="3519"/>
      <c r="BX1" s="3517" t="s">
        <v>917</v>
      </c>
      <c r="BY1" s="3520"/>
      <c r="BZ1" s="3520"/>
      <c r="CA1" s="3520"/>
      <c r="CB1" s="3520"/>
      <c r="CC1" s="3521"/>
      <c r="CI1" s="806" t="s">
        <v>1648</v>
      </c>
    </row>
    <row r="2" spans="1:88" s="32" customFormat="1" ht="95.25" customHeight="1" x14ac:dyDescent="0.25">
      <c r="A2" s="3526"/>
      <c r="B2" s="2337" t="s">
        <v>21</v>
      </c>
      <c r="C2" s="2338" t="s">
        <v>23</v>
      </c>
      <c r="D2" s="2339" t="s">
        <v>46</v>
      </c>
      <c r="E2" s="835" t="s">
        <v>21</v>
      </c>
      <c r="F2" s="834" t="s">
        <v>23</v>
      </c>
      <c r="G2" s="2322" t="s">
        <v>46</v>
      </c>
      <c r="H2" s="835" t="s">
        <v>21</v>
      </c>
      <c r="I2" s="834" t="s">
        <v>23</v>
      </c>
      <c r="J2" s="2322" t="s">
        <v>46</v>
      </c>
      <c r="K2" s="835" t="s">
        <v>21</v>
      </c>
      <c r="L2" s="834" t="s">
        <v>23</v>
      </c>
      <c r="M2" s="2322" t="s">
        <v>46</v>
      </c>
      <c r="N2" s="835" t="s">
        <v>21</v>
      </c>
      <c r="O2" s="834" t="s">
        <v>23</v>
      </c>
      <c r="P2" s="2322" t="s">
        <v>46</v>
      </c>
      <c r="Q2" s="835" t="s">
        <v>21</v>
      </c>
      <c r="R2" s="834" t="s">
        <v>23</v>
      </c>
      <c r="S2" s="834" t="s">
        <v>46</v>
      </c>
      <c r="T2" s="834" t="s">
        <v>21</v>
      </c>
      <c r="U2" s="834" t="s">
        <v>23</v>
      </c>
      <c r="V2" s="2322" t="s">
        <v>46</v>
      </c>
      <c r="W2" s="131"/>
      <c r="X2" s="2340" t="s">
        <v>21</v>
      </c>
      <c r="Y2" s="2341" t="s">
        <v>23</v>
      </c>
      <c r="Z2" s="2491" t="s">
        <v>46</v>
      </c>
      <c r="AA2" s="2343" t="s">
        <v>21</v>
      </c>
      <c r="AB2" s="2341" t="s">
        <v>23</v>
      </c>
      <c r="AC2" s="2344" t="s">
        <v>46</v>
      </c>
      <c r="AD2" s="2345" t="s">
        <v>21</v>
      </c>
      <c r="AE2" s="2346" t="s">
        <v>23</v>
      </c>
      <c r="AF2" s="2347" t="s">
        <v>46</v>
      </c>
      <c r="AG2" s="2348" t="s">
        <v>21</v>
      </c>
      <c r="AH2" s="2346" t="s">
        <v>23</v>
      </c>
      <c r="AI2" s="2349" t="s">
        <v>46</v>
      </c>
      <c r="AJ2" s="2345" t="s">
        <v>21</v>
      </c>
      <c r="AK2" s="2346" t="s">
        <v>23</v>
      </c>
      <c r="AL2" s="2347" t="s">
        <v>46</v>
      </c>
      <c r="AM2" s="807" t="s">
        <v>21</v>
      </c>
      <c r="AN2" s="808" t="s">
        <v>23</v>
      </c>
      <c r="AO2" s="809" t="s">
        <v>46</v>
      </c>
      <c r="AP2" s="807" t="s">
        <v>21</v>
      </c>
      <c r="AQ2" s="808" t="s">
        <v>23</v>
      </c>
      <c r="AR2" s="809" t="s">
        <v>46</v>
      </c>
      <c r="AT2" s="807" t="s">
        <v>1649</v>
      </c>
      <c r="AU2" s="808" t="s">
        <v>1650</v>
      </c>
      <c r="AV2" s="809" t="s">
        <v>1651</v>
      </c>
      <c r="AW2" s="807" t="s">
        <v>1652</v>
      </c>
      <c r="AX2" s="808" t="s">
        <v>1653</v>
      </c>
      <c r="AY2" s="809" t="s">
        <v>1654</v>
      </c>
      <c r="AZ2" s="807" t="s">
        <v>1655</v>
      </c>
      <c r="BA2" s="808" t="s">
        <v>1656</v>
      </c>
      <c r="BB2" s="809" t="s">
        <v>1657</v>
      </c>
      <c r="BC2" s="807" t="s">
        <v>1658</v>
      </c>
      <c r="BD2" s="808" t="s">
        <v>1659</v>
      </c>
      <c r="BE2" s="809" t="s">
        <v>1660</v>
      </c>
      <c r="BF2" s="807" t="s">
        <v>1649</v>
      </c>
      <c r="BG2" s="808" t="s">
        <v>1650</v>
      </c>
      <c r="BH2" s="809" t="s">
        <v>1651</v>
      </c>
      <c r="BI2" s="807" t="s">
        <v>1652</v>
      </c>
      <c r="BJ2" s="808" t="s">
        <v>1653</v>
      </c>
      <c r="BK2" s="809" t="s">
        <v>1654</v>
      </c>
      <c r="BL2" s="807" t="s">
        <v>1655</v>
      </c>
      <c r="BM2" s="808" t="s">
        <v>1656</v>
      </c>
      <c r="BN2" s="809" t="s">
        <v>1657</v>
      </c>
      <c r="BO2" s="807" t="s">
        <v>1658</v>
      </c>
      <c r="BP2" s="808" t="s">
        <v>1659</v>
      </c>
      <c r="BQ2" s="809" t="s">
        <v>1660</v>
      </c>
      <c r="BR2" s="810" t="s">
        <v>1661</v>
      </c>
      <c r="BS2" s="811" t="s">
        <v>1662</v>
      </c>
      <c r="BT2" s="810" t="s">
        <v>1663</v>
      </c>
      <c r="BU2" s="811" t="s">
        <v>1664</v>
      </c>
      <c r="BV2" s="810" t="s">
        <v>3169</v>
      </c>
      <c r="BW2" s="811" t="s">
        <v>3170</v>
      </c>
      <c r="BX2" s="810" t="s">
        <v>1661</v>
      </c>
      <c r="BY2" s="811" t="s">
        <v>1662</v>
      </c>
      <c r="BZ2" s="810" t="s">
        <v>1663</v>
      </c>
      <c r="CA2" s="811" t="s">
        <v>1664</v>
      </c>
      <c r="CB2" s="810" t="s">
        <v>3169</v>
      </c>
      <c r="CC2" s="811" t="s">
        <v>3170</v>
      </c>
      <c r="CI2" s="812" t="s">
        <v>1644</v>
      </c>
      <c r="CJ2" s="812" t="s">
        <v>1667</v>
      </c>
    </row>
    <row r="3" spans="1:88" s="129" customFormat="1" ht="57" x14ac:dyDescent="0.25">
      <c r="A3" s="2328" t="s">
        <v>712</v>
      </c>
      <c r="B3" s="2329" t="s">
        <v>1681</v>
      </c>
      <c r="C3" s="2330" t="s">
        <v>1681</v>
      </c>
      <c r="D3" s="2330" t="s">
        <v>3087</v>
      </c>
      <c r="E3" s="2330" t="s">
        <v>1683</v>
      </c>
      <c r="F3" s="2330" t="s">
        <v>1683</v>
      </c>
      <c r="G3" s="2330" t="s">
        <v>3088</v>
      </c>
      <c r="H3" s="2330" t="s">
        <v>202</v>
      </c>
      <c r="I3" s="2330" t="s">
        <v>202</v>
      </c>
      <c r="J3" s="2330" t="s">
        <v>202</v>
      </c>
      <c r="K3" s="2330" t="s">
        <v>3089</v>
      </c>
      <c r="L3" s="2330" t="s">
        <v>3089</v>
      </c>
      <c r="M3" s="2330" t="s">
        <v>3089</v>
      </c>
      <c r="N3" s="2330" t="s">
        <v>184</v>
      </c>
      <c r="O3" s="2330" t="s">
        <v>184</v>
      </c>
      <c r="P3" s="2330" t="s">
        <v>184</v>
      </c>
      <c r="Q3" s="2330" t="s">
        <v>3090</v>
      </c>
      <c r="R3" s="2330" t="s">
        <v>3090</v>
      </c>
      <c r="S3" s="2330" t="s">
        <v>3090</v>
      </c>
      <c r="T3" s="2330" t="s">
        <v>188</v>
      </c>
      <c r="U3" s="2330" t="s">
        <v>188</v>
      </c>
      <c r="V3" s="2330" t="s">
        <v>188</v>
      </c>
      <c r="W3" s="823"/>
      <c r="X3" s="2330">
        <v>6.3E-2</v>
      </c>
      <c r="Y3" s="2330">
        <v>6.3E-2</v>
      </c>
      <c r="Z3" s="2330">
        <v>1.282</v>
      </c>
      <c r="AA3" s="2330">
        <v>0.124</v>
      </c>
      <c r="AB3" s="2330">
        <v>0.124</v>
      </c>
      <c r="AC3" s="2330">
        <v>0.35199999999999998</v>
      </c>
      <c r="AD3" s="2330">
        <v>1.1399999999999999</v>
      </c>
      <c r="AE3" s="2330">
        <v>1.1399999999999999</v>
      </c>
      <c r="AF3" s="2330">
        <v>1.1399999999999999</v>
      </c>
      <c r="AG3" s="2330">
        <v>0.35</v>
      </c>
      <c r="AH3" s="2330">
        <v>0.35</v>
      </c>
      <c r="AI3" s="2330">
        <v>0.35</v>
      </c>
      <c r="AJ3" s="2330">
        <v>0.73</v>
      </c>
      <c r="AK3" s="2330">
        <v>0.73</v>
      </c>
      <c r="AL3" s="2330">
        <v>0.73</v>
      </c>
      <c r="AM3" s="2330">
        <v>0.7</v>
      </c>
      <c r="AN3" s="2330">
        <v>0.7</v>
      </c>
      <c r="AO3" s="2330">
        <v>0.7</v>
      </c>
      <c r="AP3" s="2330">
        <v>1.45</v>
      </c>
      <c r="AQ3" s="2330">
        <v>1.45</v>
      </c>
      <c r="AR3" s="2330">
        <v>1.45</v>
      </c>
      <c r="AS3" s="823"/>
      <c r="AT3" s="2330">
        <v>1.22</v>
      </c>
      <c r="AU3" s="2330">
        <v>1.22</v>
      </c>
      <c r="AV3" s="2330">
        <v>1.22</v>
      </c>
      <c r="AW3" s="2330">
        <v>1.22</v>
      </c>
      <c r="AX3" s="2330">
        <v>1.22</v>
      </c>
      <c r="AY3" s="2330">
        <v>1.22</v>
      </c>
      <c r="AZ3" s="2330">
        <v>1.22</v>
      </c>
      <c r="BA3" s="2330">
        <v>1.22</v>
      </c>
      <c r="BB3" s="2330">
        <v>1.22</v>
      </c>
      <c r="BC3" s="2330">
        <v>1.22</v>
      </c>
      <c r="BD3" s="2330">
        <v>1.22</v>
      </c>
      <c r="BE3" s="2330">
        <v>1.22</v>
      </c>
      <c r="BF3" s="2330">
        <v>0.25</v>
      </c>
      <c r="BG3" s="2330">
        <v>0.25</v>
      </c>
      <c r="BH3" s="2330" t="s">
        <v>764</v>
      </c>
      <c r="BI3" s="2330">
        <v>0.25</v>
      </c>
      <c r="BJ3" s="2330">
        <v>0.25</v>
      </c>
      <c r="BK3" s="2330" t="s">
        <v>764</v>
      </c>
      <c r="BL3" s="2330">
        <v>0.25</v>
      </c>
      <c r="BM3" s="2330">
        <v>0.25</v>
      </c>
      <c r="BN3" s="2330" t="s">
        <v>764</v>
      </c>
      <c r="BO3" s="2330">
        <v>0.25</v>
      </c>
      <c r="BP3" s="2330">
        <v>0.25</v>
      </c>
      <c r="BQ3" s="2330" t="s">
        <v>764</v>
      </c>
      <c r="BR3" s="2330">
        <v>1.36</v>
      </c>
      <c r="BS3" s="2330">
        <v>1.36</v>
      </c>
      <c r="BT3" s="2330">
        <v>1.36</v>
      </c>
      <c r="BU3" s="2330">
        <v>1.36</v>
      </c>
      <c r="BV3" s="2330">
        <v>1.36</v>
      </c>
      <c r="BW3" s="2330">
        <v>1.36</v>
      </c>
      <c r="BX3" s="2330">
        <v>0.36</v>
      </c>
      <c r="BY3" s="2330">
        <v>0.19</v>
      </c>
      <c r="BZ3" s="2330">
        <v>0.19</v>
      </c>
      <c r="CA3" s="2330">
        <v>0.19</v>
      </c>
      <c r="CB3" s="2330" t="s">
        <v>764</v>
      </c>
      <c r="CC3" s="2331" t="s">
        <v>764</v>
      </c>
      <c r="CI3" s="813" t="s">
        <v>1668</v>
      </c>
      <c r="CJ3" s="814">
        <v>7.0000000000000007E-2</v>
      </c>
    </row>
    <row r="4" spans="1:88" s="129" customFormat="1" ht="59.25" customHeight="1" x14ac:dyDescent="0.25">
      <c r="A4" s="819" t="s">
        <v>713</v>
      </c>
      <c r="B4" s="820" t="s">
        <v>3091</v>
      </c>
      <c r="C4" s="821" t="s">
        <v>3091</v>
      </c>
      <c r="D4" s="821" t="s">
        <v>3092</v>
      </c>
      <c r="E4" s="821" t="s">
        <v>3093</v>
      </c>
      <c r="F4" s="821" t="s">
        <v>3093</v>
      </c>
      <c r="G4" s="821" t="s">
        <v>3094</v>
      </c>
      <c r="H4" s="821" t="s">
        <v>3095</v>
      </c>
      <c r="I4" s="821" t="s">
        <v>3095</v>
      </c>
      <c r="J4" s="821" t="s">
        <v>3095</v>
      </c>
      <c r="K4" s="821" t="s">
        <v>3096</v>
      </c>
      <c r="L4" s="821" t="s">
        <v>3096</v>
      </c>
      <c r="M4" s="821" t="s">
        <v>3096</v>
      </c>
      <c r="N4" s="821" t="s">
        <v>718</v>
      </c>
      <c r="O4" s="821" t="s">
        <v>718</v>
      </c>
      <c r="P4" s="821" t="s">
        <v>718</v>
      </c>
      <c r="Q4" s="821" t="s">
        <v>719</v>
      </c>
      <c r="R4" s="821" t="s">
        <v>719</v>
      </c>
      <c r="S4" s="821" t="s">
        <v>719</v>
      </c>
      <c r="T4" s="821" t="s">
        <v>720</v>
      </c>
      <c r="U4" s="821" t="s">
        <v>720</v>
      </c>
      <c r="V4" s="821" t="s">
        <v>720</v>
      </c>
      <c r="W4" s="823"/>
      <c r="X4" s="821">
        <v>0.35799999999999998</v>
      </c>
      <c r="Y4" s="821">
        <v>0.35799999999999998</v>
      </c>
      <c r="Z4" s="817">
        <v>7.28</v>
      </c>
      <c r="AA4" s="821">
        <v>0.70399999999999996</v>
      </c>
      <c r="AB4" s="821">
        <v>0.70399999999999996</v>
      </c>
      <c r="AC4" s="821">
        <v>1.9990000000000001</v>
      </c>
      <c r="AD4" s="821">
        <v>6.4729999999999999</v>
      </c>
      <c r="AE4" s="821">
        <v>6.4729999999999999</v>
      </c>
      <c r="AF4" s="821">
        <v>6.4729999999999999</v>
      </c>
      <c r="AG4" s="821">
        <v>1.9870000000000001</v>
      </c>
      <c r="AH4" s="821">
        <v>1.9870000000000001</v>
      </c>
      <c r="AI4" s="821">
        <v>1.9870000000000001</v>
      </c>
      <c r="AJ4" s="821">
        <v>1.264</v>
      </c>
      <c r="AK4" s="821">
        <v>1.264</v>
      </c>
      <c r="AL4" s="821">
        <v>1.264</v>
      </c>
      <c r="AM4" s="821">
        <v>3.9750000000000001</v>
      </c>
      <c r="AN4" s="821">
        <v>3.9750000000000001</v>
      </c>
      <c r="AO4" s="821">
        <v>3.9750000000000001</v>
      </c>
      <c r="AP4" s="821">
        <v>8.2330000000000005</v>
      </c>
      <c r="AQ4" s="821">
        <v>8.2330000000000005</v>
      </c>
      <c r="AR4" s="821">
        <v>8.2330000000000005</v>
      </c>
      <c r="AS4" s="823"/>
      <c r="AT4" s="821">
        <v>6.92</v>
      </c>
      <c r="AU4" s="821">
        <v>6.92</v>
      </c>
      <c r="AV4" s="821">
        <v>6.92</v>
      </c>
      <c r="AW4" s="821">
        <v>6.92</v>
      </c>
      <c r="AX4" s="821">
        <v>6.92</v>
      </c>
      <c r="AY4" s="821">
        <v>6.92</v>
      </c>
      <c r="AZ4" s="821">
        <v>6.92</v>
      </c>
      <c r="BA4" s="821">
        <v>6.92</v>
      </c>
      <c r="BB4" s="821">
        <v>6.92</v>
      </c>
      <c r="BC4" s="821">
        <v>6.92</v>
      </c>
      <c r="BD4" s="821">
        <v>6.92</v>
      </c>
      <c r="BE4" s="821">
        <v>6.92</v>
      </c>
      <c r="BF4" s="821">
        <v>0.25</v>
      </c>
      <c r="BG4" s="821">
        <v>0.25</v>
      </c>
      <c r="BH4" s="821" t="s">
        <v>764</v>
      </c>
      <c r="BI4" s="821">
        <v>0.25</v>
      </c>
      <c r="BJ4" s="821">
        <v>0.25</v>
      </c>
      <c r="BK4" s="821" t="s">
        <v>764</v>
      </c>
      <c r="BL4" s="821">
        <v>0.25</v>
      </c>
      <c r="BM4" s="821">
        <v>0.25</v>
      </c>
      <c r="BN4" s="821" t="s">
        <v>764</v>
      </c>
      <c r="BO4" s="821">
        <v>0.25</v>
      </c>
      <c r="BP4" s="821">
        <v>0.25</v>
      </c>
      <c r="BQ4" s="821" t="s">
        <v>764</v>
      </c>
      <c r="BR4" s="821">
        <v>7.72</v>
      </c>
      <c r="BS4" s="821">
        <v>7.72</v>
      </c>
      <c r="BT4" s="821">
        <v>7.72</v>
      </c>
      <c r="BU4" s="821">
        <v>7.72</v>
      </c>
      <c r="BV4" s="821">
        <v>7.72</v>
      </c>
      <c r="BW4" s="821">
        <v>7.72</v>
      </c>
      <c r="BX4" s="821">
        <v>0.36</v>
      </c>
      <c r="BY4" s="821">
        <v>0.19</v>
      </c>
      <c r="BZ4" s="821">
        <v>0.19</v>
      </c>
      <c r="CA4" s="821">
        <v>0.19</v>
      </c>
      <c r="CB4" s="821" t="s">
        <v>764</v>
      </c>
      <c r="CC4" s="822" t="s">
        <v>764</v>
      </c>
      <c r="CI4" s="813" t="s">
        <v>1669</v>
      </c>
      <c r="CJ4" s="814">
        <v>0.21</v>
      </c>
    </row>
    <row r="5" spans="1:88" s="129" customFormat="1" ht="57" x14ac:dyDescent="0.25">
      <c r="A5" s="815" t="s">
        <v>765</v>
      </c>
      <c r="B5" s="816" t="s">
        <v>1681</v>
      </c>
      <c r="C5" s="817" t="s">
        <v>1681</v>
      </c>
      <c r="D5" s="817" t="s">
        <v>3087</v>
      </c>
      <c r="E5" s="817" t="s">
        <v>1683</v>
      </c>
      <c r="F5" s="817" t="s">
        <v>1683</v>
      </c>
      <c r="G5" s="817" t="s">
        <v>3088</v>
      </c>
      <c r="H5" s="817" t="s">
        <v>202</v>
      </c>
      <c r="I5" s="817" t="s">
        <v>202</v>
      </c>
      <c r="J5" s="817" t="s">
        <v>202</v>
      </c>
      <c r="K5" s="817" t="s">
        <v>3089</v>
      </c>
      <c r="L5" s="817" t="s">
        <v>3089</v>
      </c>
      <c r="M5" s="817" t="s">
        <v>3089</v>
      </c>
      <c r="N5" s="817" t="s">
        <v>184</v>
      </c>
      <c r="O5" s="817" t="s">
        <v>184</v>
      </c>
      <c r="P5" s="817" t="s">
        <v>184</v>
      </c>
      <c r="Q5" s="817" t="s">
        <v>3090</v>
      </c>
      <c r="R5" s="817" t="s">
        <v>3090</v>
      </c>
      <c r="S5" s="817" t="s">
        <v>3090</v>
      </c>
      <c r="T5" s="817" t="s">
        <v>188</v>
      </c>
      <c r="U5" s="817" t="s">
        <v>188</v>
      </c>
      <c r="V5" s="817" t="s">
        <v>188</v>
      </c>
      <c r="W5" s="823"/>
      <c r="X5" s="817">
        <v>6.3E-2</v>
      </c>
      <c r="Y5" s="817">
        <v>6.3E-2</v>
      </c>
      <c r="Z5" s="817">
        <v>1.282</v>
      </c>
      <c r="AA5" s="817">
        <v>0.124</v>
      </c>
      <c r="AB5" s="817">
        <v>0.124</v>
      </c>
      <c r="AC5" s="817">
        <v>0.35199999999999998</v>
      </c>
      <c r="AD5" s="817">
        <v>1.1399999999999999</v>
      </c>
      <c r="AE5" s="817">
        <v>1.1399999999999999</v>
      </c>
      <c r="AF5" s="817">
        <v>1.1399999999999999</v>
      </c>
      <c r="AG5" s="817">
        <v>0.35</v>
      </c>
      <c r="AH5" s="817">
        <v>0.35</v>
      </c>
      <c r="AI5" s="817">
        <v>0.35</v>
      </c>
      <c r="AJ5" s="817">
        <v>0.73</v>
      </c>
      <c r="AK5" s="817">
        <v>0.73</v>
      </c>
      <c r="AL5" s="817">
        <v>0.73</v>
      </c>
      <c r="AM5" s="817">
        <v>0.7</v>
      </c>
      <c r="AN5" s="817">
        <v>0.7</v>
      </c>
      <c r="AO5" s="817">
        <v>0.7</v>
      </c>
      <c r="AP5" s="817">
        <v>1.45</v>
      </c>
      <c r="AQ5" s="817">
        <v>1.45</v>
      </c>
      <c r="AR5" s="817">
        <v>1.45</v>
      </c>
      <c r="AS5" s="823"/>
      <c r="AT5" s="817">
        <v>1.22</v>
      </c>
      <c r="AU5" s="817">
        <v>1.22</v>
      </c>
      <c r="AV5" s="817">
        <v>1.22</v>
      </c>
      <c r="AW5" s="817">
        <v>1.22</v>
      </c>
      <c r="AX5" s="817">
        <v>1.22</v>
      </c>
      <c r="AY5" s="817">
        <v>1.22</v>
      </c>
      <c r="AZ5" s="817">
        <v>1.22</v>
      </c>
      <c r="BA5" s="817">
        <v>1.22</v>
      </c>
      <c r="BB5" s="817">
        <v>1.22</v>
      </c>
      <c r="BC5" s="817">
        <v>1.22</v>
      </c>
      <c r="BD5" s="817">
        <v>1.22</v>
      </c>
      <c r="BE5" s="817">
        <v>1.22</v>
      </c>
      <c r="BF5" s="817">
        <v>0.25</v>
      </c>
      <c r="BG5" s="817">
        <v>0.25</v>
      </c>
      <c r="BH5" s="817" t="s">
        <v>764</v>
      </c>
      <c r="BI5" s="817">
        <v>0.25</v>
      </c>
      <c r="BJ5" s="817">
        <v>0.25</v>
      </c>
      <c r="BK5" s="817" t="s">
        <v>764</v>
      </c>
      <c r="BL5" s="817">
        <v>0.25</v>
      </c>
      <c r="BM5" s="817">
        <v>0.25</v>
      </c>
      <c r="BN5" s="817" t="s">
        <v>764</v>
      </c>
      <c r="BO5" s="817">
        <v>0.25</v>
      </c>
      <c r="BP5" s="817">
        <v>0.25</v>
      </c>
      <c r="BQ5" s="817" t="s">
        <v>764</v>
      </c>
      <c r="BR5" s="817">
        <v>1.36</v>
      </c>
      <c r="BS5" s="817">
        <v>1.36</v>
      </c>
      <c r="BT5" s="817">
        <v>1.36</v>
      </c>
      <c r="BU5" s="817">
        <v>1.36</v>
      </c>
      <c r="BV5" s="817">
        <v>1.36</v>
      </c>
      <c r="BW5" s="817">
        <v>1.36</v>
      </c>
      <c r="BX5" s="817">
        <v>0.36</v>
      </c>
      <c r="BY5" s="817">
        <v>0.19</v>
      </c>
      <c r="BZ5" s="817">
        <v>0.19</v>
      </c>
      <c r="CA5" s="817">
        <v>0.19</v>
      </c>
      <c r="CB5" s="817" t="s">
        <v>764</v>
      </c>
      <c r="CC5" s="818" t="s">
        <v>764</v>
      </c>
      <c r="CI5" s="813" t="s">
        <v>57</v>
      </c>
      <c r="CJ5" s="814">
        <v>0.27</v>
      </c>
    </row>
    <row r="6" spans="1:88" s="129" customFormat="1" ht="67.5" customHeight="1" x14ac:dyDescent="0.25">
      <c r="A6" s="819" t="s">
        <v>798</v>
      </c>
      <c r="B6" s="820" t="s">
        <v>3091</v>
      </c>
      <c r="C6" s="821" t="s">
        <v>3091</v>
      </c>
      <c r="D6" s="821" t="s">
        <v>3092</v>
      </c>
      <c r="E6" s="821" t="s">
        <v>3093</v>
      </c>
      <c r="F6" s="821" t="s">
        <v>3093</v>
      </c>
      <c r="G6" s="821" t="s">
        <v>3094</v>
      </c>
      <c r="H6" s="821" t="s">
        <v>3095</v>
      </c>
      <c r="I6" s="821" t="s">
        <v>3095</v>
      </c>
      <c r="J6" s="821" t="s">
        <v>3095</v>
      </c>
      <c r="K6" s="821" t="s">
        <v>3096</v>
      </c>
      <c r="L6" s="821" t="s">
        <v>3096</v>
      </c>
      <c r="M6" s="821" t="s">
        <v>3096</v>
      </c>
      <c r="N6" s="821" t="s">
        <v>718</v>
      </c>
      <c r="O6" s="821" t="s">
        <v>718</v>
      </c>
      <c r="P6" s="821" t="s">
        <v>718</v>
      </c>
      <c r="Q6" s="821" t="s">
        <v>719</v>
      </c>
      <c r="R6" s="821" t="s">
        <v>719</v>
      </c>
      <c r="S6" s="821" t="s">
        <v>719</v>
      </c>
      <c r="T6" s="821" t="s">
        <v>720</v>
      </c>
      <c r="U6" s="821" t="s">
        <v>720</v>
      </c>
      <c r="V6" s="821" t="s">
        <v>720</v>
      </c>
      <c r="W6" s="823"/>
      <c r="X6" s="821">
        <v>0.35799999999999998</v>
      </c>
      <c r="Y6" s="821">
        <v>0.35799999999999998</v>
      </c>
      <c r="Z6" s="817">
        <v>7.28</v>
      </c>
      <c r="AA6" s="821">
        <v>0.70399999999999996</v>
      </c>
      <c r="AB6" s="821">
        <v>0.70399999999999996</v>
      </c>
      <c r="AC6" s="821">
        <v>1.9990000000000001</v>
      </c>
      <c r="AD6" s="821">
        <v>6.4729999999999999</v>
      </c>
      <c r="AE6" s="821">
        <v>6.4729999999999999</v>
      </c>
      <c r="AF6" s="821">
        <v>6.4729999999999999</v>
      </c>
      <c r="AG6" s="821">
        <v>1.9870000000000001</v>
      </c>
      <c r="AH6" s="821">
        <v>1.9870000000000001</v>
      </c>
      <c r="AI6" s="821">
        <v>1.9870000000000001</v>
      </c>
      <c r="AJ6" s="821">
        <v>1.264</v>
      </c>
      <c r="AK6" s="821">
        <v>1.264</v>
      </c>
      <c r="AL6" s="821">
        <v>1.264</v>
      </c>
      <c r="AM6" s="821">
        <v>3.9750000000000001</v>
      </c>
      <c r="AN6" s="821">
        <v>3.9750000000000001</v>
      </c>
      <c r="AO6" s="821">
        <v>3.9750000000000001</v>
      </c>
      <c r="AP6" s="821">
        <v>8.2330000000000005</v>
      </c>
      <c r="AQ6" s="821">
        <v>8.2330000000000005</v>
      </c>
      <c r="AR6" s="821">
        <v>8.2330000000000005</v>
      </c>
      <c r="AS6" s="823"/>
      <c r="AT6" s="821">
        <v>6.92</v>
      </c>
      <c r="AU6" s="821">
        <v>6.92</v>
      </c>
      <c r="AV6" s="821">
        <v>6.92</v>
      </c>
      <c r="AW6" s="821">
        <v>6.92</v>
      </c>
      <c r="AX6" s="821">
        <v>6.92</v>
      </c>
      <c r="AY6" s="821">
        <v>6.92</v>
      </c>
      <c r="AZ6" s="821">
        <v>6.92</v>
      </c>
      <c r="BA6" s="821">
        <v>6.92</v>
      </c>
      <c r="BB6" s="821">
        <v>6.92</v>
      </c>
      <c r="BC6" s="821">
        <v>6.92</v>
      </c>
      <c r="BD6" s="821">
        <v>6.92</v>
      </c>
      <c r="BE6" s="821">
        <v>6.92</v>
      </c>
      <c r="BF6" s="821">
        <v>0.25</v>
      </c>
      <c r="BG6" s="821">
        <v>0.25</v>
      </c>
      <c r="BH6" s="821" t="s">
        <v>764</v>
      </c>
      <c r="BI6" s="821">
        <v>0.25</v>
      </c>
      <c r="BJ6" s="821">
        <v>0.25</v>
      </c>
      <c r="BK6" s="821" t="s">
        <v>764</v>
      </c>
      <c r="BL6" s="821">
        <v>0.25</v>
      </c>
      <c r="BM6" s="821">
        <v>0.25</v>
      </c>
      <c r="BN6" s="821" t="s">
        <v>764</v>
      </c>
      <c r="BO6" s="821">
        <v>0.25</v>
      </c>
      <c r="BP6" s="821">
        <v>0.25</v>
      </c>
      <c r="BQ6" s="821" t="s">
        <v>764</v>
      </c>
      <c r="BR6" s="821">
        <v>7.72</v>
      </c>
      <c r="BS6" s="821">
        <v>7.72</v>
      </c>
      <c r="BT6" s="821">
        <v>7.72</v>
      </c>
      <c r="BU6" s="821">
        <v>7.72</v>
      </c>
      <c r="BV6" s="821">
        <v>7.72</v>
      </c>
      <c r="BW6" s="821">
        <v>7.72</v>
      </c>
      <c r="BX6" s="821">
        <v>0.36</v>
      </c>
      <c r="BY6" s="821">
        <v>0.19</v>
      </c>
      <c r="BZ6" s="821">
        <v>0.19</v>
      </c>
      <c r="CA6" s="821">
        <v>0.19</v>
      </c>
      <c r="CB6" s="821" t="s">
        <v>764</v>
      </c>
      <c r="CC6" s="822" t="s">
        <v>764</v>
      </c>
      <c r="CI6" s="813" t="s">
        <v>1670</v>
      </c>
      <c r="CJ6" s="814">
        <v>0.24</v>
      </c>
    </row>
    <row r="7" spans="1:88" s="129" customFormat="1" ht="57" x14ac:dyDescent="0.25">
      <c r="A7" s="815" t="s">
        <v>766</v>
      </c>
      <c r="B7" s="816" t="s">
        <v>1681</v>
      </c>
      <c r="C7" s="817" t="s">
        <v>1681</v>
      </c>
      <c r="D7" s="817" t="s">
        <v>1682</v>
      </c>
      <c r="E7" s="817" t="s">
        <v>1683</v>
      </c>
      <c r="F7" s="817" t="s">
        <v>1683</v>
      </c>
      <c r="G7" s="817" t="s">
        <v>3088</v>
      </c>
      <c r="H7" s="817" t="s">
        <v>202</v>
      </c>
      <c r="I7" s="817" t="s">
        <v>202</v>
      </c>
      <c r="J7" s="817" t="s">
        <v>202</v>
      </c>
      <c r="K7" s="817" t="s">
        <v>1685</v>
      </c>
      <c r="L7" s="817" t="s">
        <v>1685</v>
      </c>
      <c r="M7" s="817" t="s">
        <v>3089</v>
      </c>
      <c r="N7" s="817" t="s">
        <v>184</v>
      </c>
      <c r="O7" s="817" t="s">
        <v>184</v>
      </c>
      <c r="P7" s="817" t="s">
        <v>184</v>
      </c>
      <c r="Q7" s="817" t="s">
        <v>3090</v>
      </c>
      <c r="R7" s="817" t="s">
        <v>3090</v>
      </c>
      <c r="S7" s="817" t="s">
        <v>3090</v>
      </c>
      <c r="T7" s="817" t="s">
        <v>188</v>
      </c>
      <c r="U7" s="817" t="s">
        <v>188</v>
      </c>
      <c r="V7" s="817" t="s">
        <v>188</v>
      </c>
      <c r="W7" s="823"/>
      <c r="X7" s="817">
        <v>6.3E-2</v>
      </c>
      <c r="Y7" s="817">
        <v>6.3E-2</v>
      </c>
      <c r="Z7" s="817">
        <v>0.218</v>
      </c>
      <c r="AA7" s="817">
        <v>0.124</v>
      </c>
      <c r="AB7" s="817">
        <v>0.124</v>
      </c>
      <c r="AC7" s="817">
        <v>0.35199999999999998</v>
      </c>
      <c r="AD7" s="817">
        <v>1.1399999999999999</v>
      </c>
      <c r="AE7" s="817">
        <v>1.1399999999999999</v>
      </c>
      <c r="AF7" s="817">
        <v>1.1399999999999999</v>
      </c>
      <c r="AG7" s="817">
        <v>5.1999999999999998E-2</v>
      </c>
      <c r="AH7" s="817">
        <v>5.1999999999999998E-2</v>
      </c>
      <c r="AI7" s="817">
        <v>0.35</v>
      </c>
      <c r="AJ7" s="817">
        <v>0.73</v>
      </c>
      <c r="AK7" s="817">
        <v>0.73</v>
      </c>
      <c r="AL7" s="817">
        <v>0.73</v>
      </c>
      <c r="AM7" s="817">
        <v>0.7</v>
      </c>
      <c r="AN7" s="817">
        <v>0.7</v>
      </c>
      <c r="AO7" s="817">
        <v>0.7</v>
      </c>
      <c r="AP7" s="817">
        <v>1.45</v>
      </c>
      <c r="AQ7" s="817">
        <v>1.45</v>
      </c>
      <c r="AR7" s="817">
        <v>1.45</v>
      </c>
      <c r="AS7" s="823"/>
      <c r="AT7" s="817">
        <v>1.22</v>
      </c>
      <c r="AU7" s="817">
        <v>1.22</v>
      </c>
      <c r="AV7" s="817">
        <v>1.22</v>
      </c>
      <c r="AW7" s="817">
        <v>1.22</v>
      </c>
      <c r="AX7" s="817">
        <v>1.22</v>
      </c>
      <c r="AY7" s="817">
        <v>1.22</v>
      </c>
      <c r="AZ7" s="817">
        <v>1.22</v>
      </c>
      <c r="BA7" s="817">
        <v>1.22</v>
      </c>
      <c r="BB7" s="817">
        <v>1.22</v>
      </c>
      <c r="BC7" s="817">
        <v>1.22</v>
      </c>
      <c r="BD7" s="817">
        <v>1.22</v>
      </c>
      <c r="BE7" s="817">
        <v>1.22</v>
      </c>
      <c r="BF7" s="817">
        <v>0.25</v>
      </c>
      <c r="BG7" s="817">
        <v>0.39</v>
      </c>
      <c r="BH7" s="817" t="s">
        <v>764</v>
      </c>
      <c r="BI7" s="817">
        <v>0.25</v>
      </c>
      <c r="BJ7" s="817">
        <v>0.25</v>
      </c>
      <c r="BK7" s="817" t="s">
        <v>764</v>
      </c>
      <c r="BL7" s="817">
        <v>0.25</v>
      </c>
      <c r="BM7" s="817">
        <v>0.25</v>
      </c>
      <c r="BN7" s="817" t="s">
        <v>764</v>
      </c>
      <c r="BO7" s="817">
        <v>0.25</v>
      </c>
      <c r="BP7" s="817">
        <v>0.25</v>
      </c>
      <c r="BQ7" s="817" t="s">
        <v>764</v>
      </c>
      <c r="BR7" s="817">
        <v>1.36</v>
      </c>
      <c r="BS7" s="817">
        <v>1.36</v>
      </c>
      <c r="BT7" s="817">
        <v>1.36</v>
      </c>
      <c r="BU7" s="817">
        <v>1.36</v>
      </c>
      <c r="BV7" s="817">
        <v>1.36</v>
      </c>
      <c r="BW7" s="817">
        <v>1.36</v>
      </c>
      <c r="BX7" s="817">
        <v>0.36</v>
      </c>
      <c r="BY7" s="817">
        <v>0.19</v>
      </c>
      <c r="BZ7" s="817">
        <v>0.19</v>
      </c>
      <c r="CA7" s="817">
        <v>0.19</v>
      </c>
      <c r="CB7" s="817" t="s">
        <v>764</v>
      </c>
      <c r="CC7" s="818" t="s">
        <v>764</v>
      </c>
      <c r="CI7" s="813" t="s">
        <v>1671</v>
      </c>
      <c r="CJ7" s="814">
        <v>0.34</v>
      </c>
    </row>
    <row r="8" spans="1:88" s="129" customFormat="1" ht="57" x14ac:dyDescent="0.25">
      <c r="A8" s="819" t="s">
        <v>797</v>
      </c>
      <c r="B8" s="820" t="s">
        <v>3091</v>
      </c>
      <c r="C8" s="821" t="s">
        <v>3091</v>
      </c>
      <c r="D8" s="821" t="s">
        <v>3097</v>
      </c>
      <c r="E8" s="821" t="s">
        <v>3093</v>
      </c>
      <c r="F8" s="821" t="s">
        <v>3093</v>
      </c>
      <c r="G8" s="821" t="s">
        <v>3094</v>
      </c>
      <c r="H8" s="821" t="s">
        <v>3095</v>
      </c>
      <c r="I8" s="821" t="s">
        <v>3095</v>
      </c>
      <c r="J8" s="821" t="s">
        <v>3095</v>
      </c>
      <c r="K8" s="821" t="s">
        <v>3098</v>
      </c>
      <c r="L8" s="821" t="s">
        <v>3098</v>
      </c>
      <c r="M8" s="821" t="s">
        <v>3096</v>
      </c>
      <c r="N8" s="821" t="s">
        <v>718</v>
      </c>
      <c r="O8" s="821" t="s">
        <v>718</v>
      </c>
      <c r="P8" s="821" t="s">
        <v>718</v>
      </c>
      <c r="Q8" s="821" t="s">
        <v>719</v>
      </c>
      <c r="R8" s="821" t="s">
        <v>719</v>
      </c>
      <c r="S8" s="821" t="s">
        <v>719</v>
      </c>
      <c r="T8" s="821" t="s">
        <v>720</v>
      </c>
      <c r="U8" s="821" t="s">
        <v>720</v>
      </c>
      <c r="V8" s="821" t="s">
        <v>720</v>
      </c>
      <c r="W8" s="823"/>
      <c r="X8" s="821">
        <v>0.35799999999999998</v>
      </c>
      <c r="Y8" s="821">
        <v>0.35799999999999998</v>
      </c>
      <c r="Z8" s="817">
        <v>1.238</v>
      </c>
      <c r="AA8" s="821">
        <v>0.70399999999999996</v>
      </c>
      <c r="AB8" s="821">
        <v>0.70399999999999996</v>
      </c>
      <c r="AC8" s="821">
        <v>1.9990000000000001</v>
      </c>
      <c r="AD8" s="821">
        <v>6.4729999999999999</v>
      </c>
      <c r="AE8" s="821">
        <v>6.4729999999999999</v>
      </c>
      <c r="AF8" s="821">
        <v>6.4729999999999999</v>
      </c>
      <c r="AG8" s="821">
        <v>0.29499999999999998</v>
      </c>
      <c r="AH8" s="821">
        <v>0.29499999999999998</v>
      </c>
      <c r="AI8" s="821">
        <v>1.9870000000000001</v>
      </c>
      <c r="AJ8" s="821">
        <v>1.264</v>
      </c>
      <c r="AK8" s="821">
        <v>1.264</v>
      </c>
      <c r="AL8" s="821">
        <v>1.264</v>
      </c>
      <c r="AM8" s="821">
        <v>3.9750000000000001</v>
      </c>
      <c r="AN8" s="821">
        <v>3.9750000000000001</v>
      </c>
      <c r="AO8" s="821">
        <v>3.9750000000000001</v>
      </c>
      <c r="AP8" s="821">
        <v>8.2330000000000005</v>
      </c>
      <c r="AQ8" s="821">
        <v>8.2330000000000005</v>
      </c>
      <c r="AR8" s="821">
        <v>8.2330000000000005</v>
      </c>
      <c r="AS8" s="823"/>
      <c r="AT8" s="821">
        <v>6.92</v>
      </c>
      <c r="AU8" s="821">
        <v>6.92</v>
      </c>
      <c r="AV8" s="821">
        <v>6.92</v>
      </c>
      <c r="AW8" s="821">
        <v>6.92</v>
      </c>
      <c r="AX8" s="821">
        <v>6.92</v>
      </c>
      <c r="AY8" s="821">
        <v>6.92</v>
      </c>
      <c r="AZ8" s="821">
        <v>6.92</v>
      </c>
      <c r="BA8" s="821">
        <v>6.92</v>
      </c>
      <c r="BB8" s="821">
        <v>6.92</v>
      </c>
      <c r="BC8" s="821">
        <v>6.92</v>
      </c>
      <c r="BD8" s="821">
        <v>6.92</v>
      </c>
      <c r="BE8" s="821">
        <v>6.92</v>
      </c>
      <c r="BF8" s="821">
        <v>0.25</v>
      </c>
      <c r="BG8" s="821">
        <v>0.39</v>
      </c>
      <c r="BH8" s="821" t="s">
        <v>764</v>
      </c>
      <c r="BI8" s="821">
        <v>0.25</v>
      </c>
      <c r="BJ8" s="821">
        <v>0.25</v>
      </c>
      <c r="BK8" s="821" t="s">
        <v>764</v>
      </c>
      <c r="BL8" s="821">
        <v>0.25</v>
      </c>
      <c r="BM8" s="821">
        <v>0.25</v>
      </c>
      <c r="BN8" s="821" t="s">
        <v>764</v>
      </c>
      <c r="BO8" s="821">
        <v>0.25</v>
      </c>
      <c r="BP8" s="821">
        <v>0.25</v>
      </c>
      <c r="BQ8" s="821" t="s">
        <v>764</v>
      </c>
      <c r="BR8" s="821">
        <v>7.72</v>
      </c>
      <c r="BS8" s="821">
        <v>7.72</v>
      </c>
      <c r="BT8" s="821">
        <v>7.72</v>
      </c>
      <c r="BU8" s="821">
        <v>7.72</v>
      </c>
      <c r="BV8" s="821">
        <v>7.72</v>
      </c>
      <c r="BW8" s="821">
        <v>7.72</v>
      </c>
      <c r="BX8" s="821">
        <v>0.36</v>
      </c>
      <c r="BY8" s="821">
        <v>0.19</v>
      </c>
      <c r="BZ8" s="821">
        <v>0.19</v>
      </c>
      <c r="CA8" s="821">
        <v>0.19</v>
      </c>
      <c r="CB8" s="821" t="s">
        <v>764</v>
      </c>
      <c r="CC8" s="822" t="s">
        <v>764</v>
      </c>
      <c r="CI8" s="813" t="s">
        <v>1672</v>
      </c>
      <c r="CJ8" s="814">
        <v>0.19</v>
      </c>
    </row>
    <row r="9" spans="1:88" s="129" customFormat="1" ht="57" x14ac:dyDescent="0.25">
      <c r="A9" s="815" t="s">
        <v>767</v>
      </c>
      <c r="B9" s="816" t="s">
        <v>1681</v>
      </c>
      <c r="C9" s="817" t="s">
        <v>1681</v>
      </c>
      <c r="D9" s="817" t="s">
        <v>1682</v>
      </c>
      <c r="E9" s="817" t="s">
        <v>1683</v>
      </c>
      <c r="F9" s="817" t="s">
        <v>1683</v>
      </c>
      <c r="G9" s="817" t="s">
        <v>3088</v>
      </c>
      <c r="H9" s="817" t="s">
        <v>202</v>
      </c>
      <c r="I9" s="817" t="s">
        <v>202</v>
      </c>
      <c r="J9" s="817" t="s">
        <v>202</v>
      </c>
      <c r="K9" s="817" t="s">
        <v>1685</v>
      </c>
      <c r="L9" s="817" t="s">
        <v>1685</v>
      </c>
      <c r="M9" s="817" t="s">
        <v>3089</v>
      </c>
      <c r="N9" s="817" t="s">
        <v>184</v>
      </c>
      <c r="O9" s="817" t="s">
        <v>184</v>
      </c>
      <c r="P9" s="817" t="s">
        <v>184</v>
      </c>
      <c r="Q9" s="817" t="s">
        <v>3090</v>
      </c>
      <c r="R9" s="817" t="s">
        <v>3090</v>
      </c>
      <c r="S9" s="817" t="s">
        <v>3090</v>
      </c>
      <c r="T9" s="817" t="s">
        <v>188</v>
      </c>
      <c r="U9" s="817" t="s">
        <v>188</v>
      </c>
      <c r="V9" s="817" t="s">
        <v>188</v>
      </c>
      <c r="W9" s="823"/>
      <c r="X9" s="817">
        <v>6.3E-2</v>
      </c>
      <c r="Y9" s="817">
        <v>6.3E-2</v>
      </c>
      <c r="Z9" s="817">
        <v>0.218</v>
      </c>
      <c r="AA9" s="817">
        <v>0.124</v>
      </c>
      <c r="AB9" s="817">
        <v>0.124</v>
      </c>
      <c r="AC9" s="817">
        <v>0.35199999999999998</v>
      </c>
      <c r="AD9" s="817">
        <v>1.1399999999999999</v>
      </c>
      <c r="AE9" s="817">
        <v>1.1399999999999999</v>
      </c>
      <c r="AF9" s="817">
        <v>1.1399999999999999</v>
      </c>
      <c r="AG9" s="817">
        <v>5.1999999999999998E-2</v>
      </c>
      <c r="AH9" s="817">
        <v>5.1999999999999998E-2</v>
      </c>
      <c r="AI9" s="817">
        <v>0.35</v>
      </c>
      <c r="AJ9" s="817">
        <v>0.73</v>
      </c>
      <c r="AK9" s="817">
        <v>0.73</v>
      </c>
      <c r="AL9" s="817">
        <v>0.73</v>
      </c>
      <c r="AM9" s="817">
        <v>0.7</v>
      </c>
      <c r="AN9" s="817">
        <v>0.7</v>
      </c>
      <c r="AO9" s="817">
        <v>0.7</v>
      </c>
      <c r="AP9" s="817">
        <v>1.45</v>
      </c>
      <c r="AQ9" s="817">
        <v>1.45</v>
      </c>
      <c r="AR9" s="817">
        <v>1.45</v>
      </c>
      <c r="AS9" s="823"/>
      <c r="AT9" s="817">
        <v>1.22</v>
      </c>
      <c r="AU9" s="817">
        <v>1.22</v>
      </c>
      <c r="AV9" s="817">
        <v>1.22</v>
      </c>
      <c r="AW9" s="817">
        <v>1.22</v>
      </c>
      <c r="AX9" s="817">
        <v>1.22</v>
      </c>
      <c r="AY9" s="817">
        <v>1.22</v>
      </c>
      <c r="AZ9" s="817">
        <v>1.22</v>
      </c>
      <c r="BA9" s="817">
        <v>1.22</v>
      </c>
      <c r="BB9" s="817">
        <v>1.22</v>
      </c>
      <c r="BC9" s="817">
        <v>1.22</v>
      </c>
      <c r="BD9" s="817">
        <v>1.22</v>
      </c>
      <c r="BE9" s="817">
        <v>1.22</v>
      </c>
      <c r="BF9" s="817">
        <v>0.25</v>
      </c>
      <c r="BG9" s="817">
        <v>0.39</v>
      </c>
      <c r="BH9" s="817" t="s">
        <v>764</v>
      </c>
      <c r="BI9" s="817">
        <v>0.25</v>
      </c>
      <c r="BJ9" s="817">
        <v>0.25</v>
      </c>
      <c r="BK9" s="817" t="s">
        <v>764</v>
      </c>
      <c r="BL9" s="817">
        <v>0.25</v>
      </c>
      <c r="BM9" s="817">
        <v>0.25</v>
      </c>
      <c r="BN9" s="817" t="s">
        <v>764</v>
      </c>
      <c r="BO9" s="817">
        <v>0.25</v>
      </c>
      <c r="BP9" s="817">
        <v>0.25</v>
      </c>
      <c r="BQ9" s="817" t="s">
        <v>764</v>
      </c>
      <c r="BR9" s="817">
        <v>1.36</v>
      </c>
      <c r="BS9" s="817">
        <v>1.36</v>
      </c>
      <c r="BT9" s="817">
        <v>1.36</v>
      </c>
      <c r="BU9" s="817">
        <v>1.36</v>
      </c>
      <c r="BV9" s="817">
        <v>1.36</v>
      </c>
      <c r="BW9" s="817">
        <v>1.36</v>
      </c>
      <c r="BX9" s="817">
        <v>0.36</v>
      </c>
      <c r="BY9" s="817">
        <v>0.19</v>
      </c>
      <c r="BZ9" s="817">
        <v>0.19</v>
      </c>
      <c r="CA9" s="817">
        <v>0.19</v>
      </c>
      <c r="CB9" s="817" t="s">
        <v>764</v>
      </c>
      <c r="CC9" s="818" t="s">
        <v>764</v>
      </c>
      <c r="CI9" s="813" t="s">
        <v>1673</v>
      </c>
      <c r="CJ9" s="814">
        <v>0.31</v>
      </c>
    </row>
    <row r="10" spans="1:88" s="129" customFormat="1" ht="57" x14ac:dyDescent="0.25">
      <c r="A10" s="819" t="s">
        <v>796</v>
      </c>
      <c r="B10" s="820" t="s">
        <v>3091</v>
      </c>
      <c r="C10" s="821" t="s">
        <v>3091</v>
      </c>
      <c r="D10" s="821" t="s">
        <v>3097</v>
      </c>
      <c r="E10" s="821" t="s">
        <v>3093</v>
      </c>
      <c r="F10" s="821" t="s">
        <v>3093</v>
      </c>
      <c r="G10" s="821" t="s">
        <v>3094</v>
      </c>
      <c r="H10" s="821" t="s">
        <v>3095</v>
      </c>
      <c r="I10" s="821" t="s">
        <v>3095</v>
      </c>
      <c r="J10" s="821" t="s">
        <v>3095</v>
      </c>
      <c r="K10" s="821" t="s">
        <v>3098</v>
      </c>
      <c r="L10" s="821" t="s">
        <v>3098</v>
      </c>
      <c r="M10" s="821" t="s">
        <v>3096</v>
      </c>
      <c r="N10" s="821" t="s">
        <v>718</v>
      </c>
      <c r="O10" s="821" t="s">
        <v>718</v>
      </c>
      <c r="P10" s="821" t="s">
        <v>718</v>
      </c>
      <c r="Q10" s="821" t="s">
        <v>719</v>
      </c>
      <c r="R10" s="821" t="s">
        <v>719</v>
      </c>
      <c r="S10" s="821" t="s">
        <v>719</v>
      </c>
      <c r="T10" s="821" t="s">
        <v>720</v>
      </c>
      <c r="U10" s="821" t="s">
        <v>720</v>
      </c>
      <c r="V10" s="821" t="s">
        <v>720</v>
      </c>
      <c r="W10" s="823"/>
      <c r="X10" s="821">
        <v>0.35799999999999998</v>
      </c>
      <c r="Y10" s="821">
        <v>0.35799999999999998</v>
      </c>
      <c r="Z10" s="817">
        <v>1.238</v>
      </c>
      <c r="AA10" s="821">
        <v>0.70399999999999996</v>
      </c>
      <c r="AB10" s="821">
        <v>0.70399999999999996</v>
      </c>
      <c r="AC10" s="821">
        <v>1.9990000000000001</v>
      </c>
      <c r="AD10" s="821">
        <v>6.4729999999999999</v>
      </c>
      <c r="AE10" s="821">
        <v>6.4729999999999999</v>
      </c>
      <c r="AF10" s="821">
        <v>6.4729999999999999</v>
      </c>
      <c r="AG10" s="821">
        <v>0.29499999999999998</v>
      </c>
      <c r="AH10" s="821">
        <v>0.29499999999999998</v>
      </c>
      <c r="AI10" s="821">
        <v>1.9870000000000001</v>
      </c>
      <c r="AJ10" s="821">
        <v>1.264</v>
      </c>
      <c r="AK10" s="821">
        <v>1.264</v>
      </c>
      <c r="AL10" s="821">
        <v>1.264</v>
      </c>
      <c r="AM10" s="821">
        <v>3.9750000000000001</v>
      </c>
      <c r="AN10" s="821">
        <v>3.9750000000000001</v>
      </c>
      <c r="AO10" s="821">
        <v>3.9750000000000001</v>
      </c>
      <c r="AP10" s="821">
        <v>8.2330000000000005</v>
      </c>
      <c r="AQ10" s="821">
        <v>8.2330000000000005</v>
      </c>
      <c r="AR10" s="821">
        <v>8.2330000000000005</v>
      </c>
      <c r="AS10" s="823"/>
      <c r="AT10" s="821">
        <v>6.92</v>
      </c>
      <c r="AU10" s="821">
        <v>6.92</v>
      </c>
      <c r="AV10" s="821">
        <v>6.92</v>
      </c>
      <c r="AW10" s="821">
        <v>6.92</v>
      </c>
      <c r="AX10" s="821">
        <v>6.92</v>
      </c>
      <c r="AY10" s="821">
        <v>6.92</v>
      </c>
      <c r="AZ10" s="821">
        <v>6.92</v>
      </c>
      <c r="BA10" s="821">
        <v>6.92</v>
      </c>
      <c r="BB10" s="821">
        <v>6.92</v>
      </c>
      <c r="BC10" s="821">
        <v>6.92</v>
      </c>
      <c r="BD10" s="821">
        <v>6.92</v>
      </c>
      <c r="BE10" s="821">
        <v>6.92</v>
      </c>
      <c r="BF10" s="821">
        <v>0.25</v>
      </c>
      <c r="BG10" s="821">
        <v>0.39</v>
      </c>
      <c r="BH10" s="821" t="s">
        <v>764</v>
      </c>
      <c r="BI10" s="821">
        <v>0.25</v>
      </c>
      <c r="BJ10" s="821">
        <v>0.25</v>
      </c>
      <c r="BK10" s="821" t="s">
        <v>764</v>
      </c>
      <c r="BL10" s="821">
        <v>0.25</v>
      </c>
      <c r="BM10" s="821">
        <v>0.25</v>
      </c>
      <c r="BN10" s="821" t="s">
        <v>764</v>
      </c>
      <c r="BO10" s="821">
        <v>0.25</v>
      </c>
      <c r="BP10" s="821">
        <v>0.25</v>
      </c>
      <c r="BQ10" s="821" t="s">
        <v>764</v>
      </c>
      <c r="BR10" s="821">
        <v>7.72</v>
      </c>
      <c r="BS10" s="821">
        <v>7.72</v>
      </c>
      <c r="BT10" s="821">
        <v>7.72</v>
      </c>
      <c r="BU10" s="821">
        <v>7.72</v>
      </c>
      <c r="BV10" s="821">
        <v>7.72</v>
      </c>
      <c r="BW10" s="821">
        <v>7.72</v>
      </c>
      <c r="BX10" s="821">
        <v>0.36</v>
      </c>
      <c r="BY10" s="821">
        <v>0.19</v>
      </c>
      <c r="BZ10" s="821">
        <v>0.19</v>
      </c>
      <c r="CA10" s="821">
        <v>0.19</v>
      </c>
      <c r="CB10" s="821" t="s">
        <v>764</v>
      </c>
      <c r="CC10" s="822" t="s">
        <v>764</v>
      </c>
      <c r="CI10" s="813" t="s">
        <v>1674</v>
      </c>
      <c r="CJ10" s="814">
        <v>0.4</v>
      </c>
    </row>
    <row r="11" spans="1:88" s="129" customFormat="1" ht="57" x14ac:dyDescent="0.25">
      <c r="A11" s="815" t="s">
        <v>768</v>
      </c>
      <c r="B11" s="816" t="s">
        <v>1681</v>
      </c>
      <c r="C11" s="817" t="s">
        <v>1681</v>
      </c>
      <c r="D11" s="817" t="s">
        <v>1682</v>
      </c>
      <c r="E11" s="817" t="s">
        <v>1683</v>
      </c>
      <c r="F11" s="817" t="s">
        <v>1697</v>
      </c>
      <c r="G11" s="817" t="s">
        <v>3088</v>
      </c>
      <c r="H11" s="817" t="s">
        <v>202</v>
      </c>
      <c r="I11" s="817" t="s">
        <v>202</v>
      </c>
      <c r="J11" s="817" t="s">
        <v>202</v>
      </c>
      <c r="K11" s="817" t="s">
        <v>1685</v>
      </c>
      <c r="L11" s="817" t="s">
        <v>1685</v>
      </c>
      <c r="M11" s="817" t="s">
        <v>1687</v>
      </c>
      <c r="N11" s="817" t="s">
        <v>184</v>
      </c>
      <c r="O11" s="817" t="s">
        <v>184</v>
      </c>
      <c r="P11" s="817" t="s">
        <v>184</v>
      </c>
      <c r="Q11" s="817" t="s">
        <v>3090</v>
      </c>
      <c r="R11" s="817" t="s">
        <v>3090</v>
      </c>
      <c r="S11" s="817" t="s">
        <v>3090</v>
      </c>
      <c r="T11" s="817" t="s">
        <v>188</v>
      </c>
      <c r="U11" s="817" t="s">
        <v>3099</v>
      </c>
      <c r="V11" s="817" t="s">
        <v>188</v>
      </c>
      <c r="W11" s="823"/>
      <c r="X11" s="817">
        <v>6.3E-2</v>
      </c>
      <c r="Y11" s="817">
        <v>6.3E-2</v>
      </c>
      <c r="Z11" s="817">
        <v>0.218</v>
      </c>
      <c r="AA11" s="817">
        <v>0.124</v>
      </c>
      <c r="AB11" s="817">
        <v>8.4000000000000005E-2</v>
      </c>
      <c r="AC11" s="817">
        <v>0.35199999999999998</v>
      </c>
      <c r="AD11" s="817">
        <v>1.1399999999999999</v>
      </c>
      <c r="AE11" s="817">
        <v>1.1399999999999999</v>
      </c>
      <c r="AF11" s="817">
        <v>1.1399999999999999</v>
      </c>
      <c r="AG11" s="817">
        <v>5.1999999999999998E-2</v>
      </c>
      <c r="AH11" s="817">
        <v>5.1999999999999998E-2</v>
      </c>
      <c r="AI11" s="817">
        <v>6.9000000000000006E-2</v>
      </c>
      <c r="AJ11" s="817">
        <v>0.73</v>
      </c>
      <c r="AK11" s="817">
        <v>0.73</v>
      </c>
      <c r="AL11" s="817">
        <v>0.73</v>
      </c>
      <c r="AM11" s="817">
        <v>0.7</v>
      </c>
      <c r="AN11" s="817">
        <v>0.7</v>
      </c>
      <c r="AO11" s="817">
        <v>0.7</v>
      </c>
      <c r="AP11" s="817">
        <v>1.45</v>
      </c>
      <c r="AQ11" s="817">
        <v>0.5</v>
      </c>
      <c r="AR11" s="817">
        <v>1.45</v>
      </c>
      <c r="AS11" s="823"/>
      <c r="AT11" s="817">
        <v>0.56999999999999995</v>
      </c>
      <c r="AU11" s="817">
        <v>0.56999999999999995</v>
      </c>
      <c r="AV11" s="817">
        <v>1.22</v>
      </c>
      <c r="AW11" s="817">
        <v>0.56999999999999995</v>
      </c>
      <c r="AX11" s="817">
        <v>0.56999999999999995</v>
      </c>
      <c r="AY11" s="817">
        <v>1.22</v>
      </c>
      <c r="AZ11" s="817">
        <v>0.56999999999999995</v>
      </c>
      <c r="BA11" s="817">
        <v>0.56999999999999995</v>
      </c>
      <c r="BB11" s="817">
        <v>1.22</v>
      </c>
      <c r="BC11" s="817">
        <v>0.56999999999999995</v>
      </c>
      <c r="BD11" s="817">
        <v>0.56999999999999995</v>
      </c>
      <c r="BE11" s="817">
        <v>1.22</v>
      </c>
      <c r="BF11" s="817">
        <v>0.39</v>
      </c>
      <c r="BG11" s="817">
        <v>0.39</v>
      </c>
      <c r="BH11" s="817" t="s">
        <v>764</v>
      </c>
      <c r="BI11" s="817">
        <v>0.25</v>
      </c>
      <c r="BJ11" s="817">
        <v>0.39</v>
      </c>
      <c r="BK11" s="817" t="s">
        <v>764</v>
      </c>
      <c r="BL11" s="817">
        <v>0.25</v>
      </c>
      <c r="BM11" s="817">
        <v>0.25</v>
      </c>
      <c r="BN11" s="817" t="s">
        <v>764</v>
      </c>
      <c r="BO11" s="817">
        <v>0.25</v>
      </c>
      <c r="BP11" s="817">
        <v>0.25</v>
      </c>
      <c r="BQ11" s="817" t="s">
        <v>764</v>
      </c>
      <c r="BR11" s="817">
        <v>0.69</v>
      </c>
      <c r="BS11" s="817">
        <v>0.69</v>
      </c>
      <c r="BT11" s="817">
        <v>0.69</v>
      </c>
      <c r="BU11" s="817">
        <v>0.69</v>
      </c>
      <c r="BV11" s="817">
        <v>1.36</v>
      </c>
      <c r="BW11" s="817">
        <v>1.36</v>
      </c>
      <c r="BX11" s="817">
        <v>0.39</v>
      </c>
      <c r="BY11" s="817">
        <v>0.19</v>
      </c>
      <c r="BZ11" s="817">
        <v>0.36</v>
      </c>
      <c r="CA11" s="817">
        <v>0.19</v>
      </c>
      <c r="CB11" s="817" t="s">
        <v>764</v>
      </c>
      <c r="CC11" s="818" t="s">
        <v>764</v>
      </c>
      <c r="CI11" s="813" t="s">
        <v>1675</v>
      </c>
      <c r="CJ11" s="814">
        <v>0.34</v>
      </c>
    </row>
    <row r="12" spans="1:88" s="129" customFormat="1" ht="57" x14ac:dyDescent="0.25">
      <c r="A12" s="819" t="s">
        <v>795</v>
      </c>
      <c r="B12" s="820" t="s">
        <v>3091</v>
      </c>
      <c r="C12" s="821" t="s">
        <v>3091</v>
      </c>
      <c r="D12" s="821" t="s">
        <v>3097</v>
      </c>
      <c r="E12" s="821" t="s">
        <v>3093</v>
      </c>
      <c r="F12" s="821" t="s">
        <v>3100</v>
      </c>
      <c r="G12" s="821" t="s">
        <v>3094</v>
      </c>
      <c r="H12" s="821" t="s">
        <v>3095</v>
      </c>
      <c r="I12" s="821" t="s">
        <v>3095</v>
      </c>
      <c r="J12" s="821" t="s">
        <v>3095</v>
      </c>
      <c r="K12" s="821" t="s">
        <v>3098</v>
      </c>
      <c r="L12" s="821" t="s">
        <v>3098</v>
      </c>
      <c r="M12" s="821" t="s">
        <v>3101</v>
      </c>
      <c r="N12" s="821" t="s">
        <v>718</v>
      </c>
      <c r="O12" s="821" t="s">
        <v>718</v>
      </c>
      <c r="P12" s="821" t="s">
        <v>718</v>
      </c>
      <c r="Q12" s="821" t="s">
        <v>719</v>
      </c>
      <c r="R12" s="821" t="s">
        <v>719</v>
      </c>
      <c r="S12" s="821" t="s">
        <v>719</v>
      </c>
      <c r="T12" s="821" t="s">
        <v>720</v>
      </c>
      <c r="U12" s="821" t="s">
        <v>734</v>
      </c>
      <c r="V12" s="821" t="s">
        <v>720</v>
      </c>
      <c r="W12" s="823"/>
      <c r="X12" s="821">
        <v>0.35799999999999998</v>
      </c>
      <c r="Y12" s="821">
        <v>0.35799999999999998</v>
      </c>
      <c r="Z12" s="817">
        <v>1.238</v>
      </c>
      <c r="AA12" s="821">
        <v>0.70399999999999996</v>
      </c>
      <c r="AB12" s="821">
        <v>0.47699999999999998</v>
      </c>
      <c r="AC12" s="821">
        <v>1.9990000000000001</v>
      </c>
      <c r="AD12" s="821">
        <v>6.4729999999999999</v>
      </c>
      <c r="AE12" s="821">
        <v>6.4729999999999999</v>
      </c>
      <c r="AF12" s="821">
        <v>6.4729999999999999</v>
      </c>
      <c r="AG12" s="821">
        <v>0.29499999999999998</v>
      </c>
      <c r="AH12" s="821">
        <v>0.29499999999999998</v>
      </c>
      <c r="AI12" s="821">
        <v>0.39200000000000002</v>
      </c>
      <c r="AJ12" s="821">
        <v>1.264</v>
      </c>
      <c r="AK12" s="821">
        <v>1.264</v>
      </c>
      <c r="AL12" s="821">
        <v>1.264</v>
      </c>
      <c r="AM12" s="821">
        <v>3.9750000000000001</v>
      </c>
      <c r="AN12" s="821">
        <v>3.9750000000000001</v>
      </c>
      <c r="AO12" s="821">
        <v>3.9750000000000001</v>
      </c>
      <c r="AP12" s="821">
        <v>8.2330000000000005</v>
      </c>
      <c r="AQ12" s="821">
        <v>2.839</v>
      </c>
      <c r="AR12" s="821">
        <v>8.2330000000000005</v>
      </c>
      <c r="AS12" s="823"/>
      <c r="AT12" s="821">
        <v>3.24</v>
      </c>
      <c r="AU12" s="821">
        <v>3.24</v>
      </c>
      <c r="AV12" s="821">
        <v>6.92</v>
      </c>
      <c r="AW12" s="821">
        <v>3.24</v>
      </c>
      <c r="AX12" s="821">
        <v>3.24</v>
      </c>
      <c r="AY12" s="821">
        <v>6.92</v>
      </c>
      <c r="AZ12" s="821">
        <v>3.24</v>
      </c>
      <c r="BA12" s="821">
        <v>3.24</v>
      </c>
      <c r="BB12" s="821">
        <v>6.92</v>
      </c>
      <c r="BC12" s="821">
        <v>3.24</v>
      </c>
      <c r="BD12" s="821">
        <v>3.24</v>
      </c>
      <c r="BE12" s="821">
        <v>6.92</v>
      </c>
      <c r="BF12" s="821">
        <v>0.39</v>
      </c>
      <c r="BG12" s="821">
        <v>0.39</v>
      </c>
      <c r="BH12" s="821" t="s">
        <v>764</v>
      </c>
      <c r="BI12" s="821">
        <v>0.25</v>
      </c>
      <c r="BJ12" s="821">
        <v>0.39</v>
      </c>
      <c r="BK12" s="821" t="s">
        <v>764</v>
      </c>
      <c r="BL12" s="821">
        <v>0.25</v>
      </c>
      <c r="BM12" s="821">
        <v>0.25</v>
      </c>
      <c r="BN12" s="821" t="s">
        <v>764</v>
      </c>
      <c r="BO12" s="821">
        <v>0.25</v>
      </c>
      <c r="BP12" s="821">
        <v>0.25</v>
      </c>
      <c r="BQ12" s="821" t="s">
        <v>764</v>
      </c>
      <c r="BR12" s="821">
        <v>3.9180000000000001</v>
      </c>
      <c r="BS12" s="821">
        <v>3.9180000000000001</v>
      </c>
      <c r="BT12" s="821">
        <v>3.9180000000000001</v>
      </c>
      <c r="BU12" s="821">
        <v>3.9180000000000001</v>
      </c>
      <c r="BV12" s="821">
        <v>7.7220000000000004</v>
      </c>
      <c r="BW12" s="821">
        <v>7.7220000000000004</v>
      </c>
      <c r="BX12" s="821">
        <v>0.39</v>
      </c>
      <c r="BY12" s="821">
        <v>0.19</v>
      </c>
      <c r="BZ12" s="821">
        <v>0.36</v>
      </c>
      <c r="CA12" s="821">
        <v>0.19</v>
      </c>
      <c r="CB12" s="821" t="s">
        <v>764</v>
      </c>
      <c r="CC12" s="822" t="s">
        <v>764</v>
      </c>
      <c r="CI12" s="813" t="s">
        <v>1676</v>
      </c>
      <c r="CJ12" s="814">
        <v>0.24</v>
      </c>
    </row>
    <row r="13" spans="1:88" s="129" customFormat="1" ht="57" x14ac:dyDescent="0.25">
      <c r="A13" s="815" t="s">
        <v>769</v>
      </c>
      <c r="B13" s="816" t="s">
        <v>1681</v>
      </c>
      <c r="C13" s="817" t="s">
        <v>1681</v>
      </c>
      <c r="D13" s="817" t="s">
        <v>1682</v>
      </c>
      <c r="E13" s="817" t="s">
        <v>1683</v>
      </c>
      <c r="F13" s="817" t="s">
        <v>1697</v>
      </c>
      <c r="G13" s="817" t="s">
        <v>3088</v>
      </c>
      <c r="H13" s="817" t="s">
        <v>202</v>
      </c>
      <c r="I13" s="817" t="s">
        <v>202</v>
      </c>
      <c r="J13" s="817" t="s">
        <v>202</v>
      </c>
      <c r="K13" s="817" t="s">
        <v>1685</v>
      </c>
      <c r="L13" s="817" t="s">
        <v>1685</v>
      </c>
      <c r="M13" s="817" t="s">
        <v>1687</v>
      </c>
      <c r="N13" s="817" t="s">
        <v>184</v>
      </c>
      <c r="O13" s="817" t="s">
        <v>184</v>
      </c>
      <c r="P13" s="817" t="s">
        <v>184</v>
      </c>
      <c r="Q13" s="817" t="s">
        <v>3090</v>
      </c>
      <c r="R13" s="817" t="s">
        <v>3090</v>
      </c>
      <c r="S13" s="817" t="s">
        <v>3090</v>
      </c>
      <c r="T13" s="817" t="s">
        <v>188</v>
      </c>
      <c r="U13" s="817" t="s">
        <v>3099</v>
      </c>
      <c r="V13" s="817" t="s">
        <v>188</v>
      </c>
      <c r="W13" s="823"/>
      <c r="X13" s="817">
        <v>6.3E-2</v>
      </c>
      <c r="Y13" s="817">
        <v>6.3E-2</v>
      </c>
      <c r="Z13" s="817">
        <v>0.218</v>
      </c>
      <c r="AA13" s="817">
        <v>0.124</v>
      </c>
      <c r="AB13" s="817">
        <v>8.4000000000000005E-2</v>
      </c>
      <c r="AC13" s="817">
        <v>0.35199999999999998</v>
      </c>
      <c r="AD13" s="817">
        <v>1.1399999999999999</v>
      </c>
      <c r="AE13" s="817">
        <v>1.1399999999999999</v>
      </c>
      <c r="AF13" s="817">
        <v>1.1399999999999999</v>
      </c>
      <c r="AG13" s="817">
        <v>5.1999999999999998E-2</v>
      </c>
      <c r="AH13" s="817">
        <v>5.1999999999999998E-2</v>
      </c>
      <c r="AI13" s="817">
        <v>6.9000000000000006E-2</v>
      </c>
      <c r="AJ13" s="817">
        <v>0.73</v>
      </c>
      <c r="AK13" s="817">
        <v>0.73</v>
      </c>
      <c r="AL13" s="817">
        <v>0.73</v>
      </c>
      <c r="AM13" s="817">
        <v>0.7</v>
      </c>
      <c r="AN13" s="817">
        <v>0.7</v>
      </c>
      <c r="AO13" s="817">
        <v>0.7</v>
      </c>
      <c r="AP13" s="817">
        <v>1.45</v>
      </c>
      <c r="AQ13" s="817">
        <v>0.5</v>
      </c>
      <c r="AR13" s="817">
        <v>1.45</v>
      </c>
      <c r="AS13" s="823"/>
      <c r="AT13" s="817">
        <v>0.56999999999999995</v>
      </c>
      <c r="AU13" s="817">
        <v>0.56999999999999995</v>
      </c>
      <c r="AV13" s="817">
        <v>1.22</v>
      </c>
      <c r="AW13" s="817">
        <v>0.56999999999999995</v>
      </c>
      <c r="AX13" s="817">
        <v>0.56999999999999995</v>
      </c>
      <c r="AY13" s="817">
        <v>1.22</v>
      </c>
      <c r="AZ13" s="817">
        <v>0.56999999999999995</v>
      </c>
      <c r="BA13" s="817">
        <v>0.56999999999999995</v>
      </c>
      <c r="BB13" s="817">
        <v>1.22</v>
      </c>
      <c r="BC13" s="817">
        <v>0.56999999999999995</v>
      </c>
      <c r="BD13" s="817">
        <v>0.56999999999999995</v>
      </c>
      <c r="BE13" s="817">
        <v>1.22</v>
      </c>
      <c r="BF13" s="817">
        <v>0.39</v>
      </c>
      <c r="BG13" s="817">
        <v>0.39</v>
      </c>
      <c r="BH13" s="817" t="s">
        <v>764</v>
      </c>
      <c r="BI13" s="817">
        <v>0.25</v>
      </c>
      <c r="BJ13" s="817">
        <v>0.39</v>
      </c>
      <c r="BK13" s="817" t="s">
        <v>764</v>
      </c>
      <c r="BL13" s="817">
        <v>0.25</v>
      </c>
      <c r="BM13" s="817">
        <v>0.25</v>
      </c>
      <c r="BN13" s="817" t="s">
        <v>764</v>
      </c>
      <c r="BO13" s="817">
        <v>0.25</v>
      </c>
      <c r="BP13" s="817">
        <v>0.25</v>
      </c>
      <c r="BQ13" s="817" t="s">
        <v>764</v>
      </c>
      <c r="BR13" s="817">
        <v>0.69</v>
      </c>
      <c r="BS13" s="817">
        <v>0.69</v>
      </c>
      <c r="BT13" s="817">
        <v>0.69</v>
      </c>
      <c r="BU13" s="817">
        <v>0.69</v>
      </c>
      <c r="BV13" s="817">
        <v>1.36</v>
      </c>
      <c r="BW13" s="817">
        <v>1.36</v>
      </c>
      <c r="BX13" s="817">
        <v>0.39</v>
      </c>
      <c r="BY13" s="817">
        <v>0.19</v>
      </c>
      <c r="BZ13" s="817">
        <v>0.36</v>
      </c>
      <c r="CA13" s="817">
        <v>0.19</v>
      </c>
      <c r="CB13" s="817" t="s">
        <v>764</v>
      </c>
      <c r="CC13" s="818" t="s">
        <v>764</v>
      </c>
      <c r="CI13" s="813" t="s">
        <v>1677</v>
      </c>
      <c r="CJ13" s="814">
        <v>0.11</v>
      </c>
    </row>
    <row r="14" spans="1:88" s="129" customFormat="1" ht="57" x14ac:dyDescent="0.25">
      <c r="A14" s="819" t="s">
        <v>794</v>
      </c>
      <c r="B14" s="820" t="s">
        <v>3091</v>
      </c>
      <c r="C14" s="821" t="s">
        <v>3091</v>
      </c>
      <c r="D14" s="821" t="s">
        <v>3097</v>
      </c>
      <c r="E14" s="821" t="s">
        <v>3093</v>
      </c>
      <c r="F14" s="821" t="s">
        <v>3100</v>
      </c>
      <c r="G14" s="821" t="s">
        <v>3094</v>
      </c>
      <c r="H14" s="821" t="s">
        <v>3095</v>
      </c>
      <c r="I14" s="821" t="s">
        <v>3095</v>
      </c>
      <c r="J14" s="821" t="s">
        <v>3095</v>
      </c>
      <c r="K14" s="821" t="s">
        <v>3098</v>
      </c>
      <c r="L14" s="821" t="s">
        <v>3098</v>
      </c>
      <c r="M14" s="821" t="s">
        <v>3101</v>
      </c>
      <c r="N14" s="821" t="s">
        <v>718</v>
      </c>
      <c r="O14" s="821" t="s">
        <v>718</v>
      </c>
      <c r="P14" s="821" t="s">
        <v>718</v>
      </c>
      <c r="Q14" s="821" t="s">
        <v>719</v>
      </c>
      <c r="R14" s="821" t="s">
        <v>719</v>
      </c>
      <c r="S14" s="821" t="s">
        <v>719</v>
      </c>
      <c r="T14" s="821" t="s">
        <v>720</v>
      </c>
      <c r="U14" s="821" t="s">
        <v>734</v>
      </c>
      <c r="V14" s="821" t="s">
        <v>720</v>
      </c>
      <c r="W14" s="823"/>
      <c r="X14" s="821">
        <v>0.35799999999999998</v>
      </c>
      <c r="Y14" s="821">
        <v>0.35799999999999998</v>
      </c>
      <c r="Z14" s="817">
        <v>1.238</v>
      </c>
      <c r="AA14" s="821">
        <v>0.70399999999999996</v>
      </c>
      <c r="AB14" s="821">
        <v>0.47699999999999998</v>
      </c>
      <c r="AC14" s="821">
        <v>1.9990000000000001</v>
      </c>
      <c r="AD14" s="821">
        <v>6.4729999999999999</v>
      </c>
      <c r="AE14" s="821">
        <v>6.4729999999999999</v>
      </c>
      <c r="AF14" s="821">
        <v>6.4729999999999999</v>
      </c>
      <c r="AG14" s="821">
        <v>0.29499999999999998</v>
      </c>
      <c r="AH14" s="821">
        <v>0.29499999999999998</v>
      </c>
      <c r="AI14" s="821">
        <v>0.39200000000000002</v>
      </c>
      <c r="AJ14" s="821">
        <v>1.264</v>
      </c>
      <c r="AK14" s="821">
        <v>1.264</v>
      </c>
      <c r="AL14" s="821">
        <v>1.264</v>
      </c>
      <c r="AM14" s="821">
        <v>3.9750000000000001</v>
      </c>
      <c r="AN14" s="821">
        <v>3.9750000000000001</v>
      </c>
      <c r="AO14" s="821">
        <v>3.9750000000000001</v>
      </c>
      <c r="AP14" s="821">
        <v>8.2330000000000005</v>
      </c>
      <c r="AQ14" s="821">
        <v>2.839</v>
      </c>
      <c r="AR14" s="821">
        <v>8.2330000000000005</v>
      </c>
      <c r="AS14" s="823"/>
      <c r="AT14" s="821">
        <v>3.24</v>
      </c>
      <c r="AU14" s="821">
        <v>3.24</v>
      </c>
      <c r="AV14" s="821">
        <v>6.92</v>
      </c>
      <c r="AW14" s="821">
        <v>3.24</v>
      </c>
      <c r="AX14" s="821">
        <v>3.24</v>
      </c>
      <c r="AY14" s="821">
        <v>6.92</v>
      </c>
      <c r="AZ14" s="821">
        <v>3.24</v>
      </c>
      <c r="BA14" s="821">
        <v>3.24</v>
      </c>
      <c r="BB14" s="821">
        <v>6.92</v>
      </c>
      <c r="BC14" s="821">
        <v>3.24</v>
      </c>
      <c r="BD14" s="821">
        <v>3.24</v>
      </c>
      <c r="BE14" s="821">
        <v>6.92</v>
      </c>
      <c r="BF14" s="821">
        <v>0.39</v>
      </c>
      <c r="BG14" s="821">
        <v>0.39</v>
      </c>
      <c r="BH14" s="821" t="s">
        <v>764</v>
      </c>
      <c r="BI14" s="821">
        <v>0.25</v>
      </c>
      <c r="BJ14" s="821">
        <v>0.39</v>
      </c>
      <c r="BK14" s="821" t="s">
        <v>764</v>
      </c>
      <c r="BL14" s="821">
        <v>0.25</v>
      </c>
      <c r="BM14" s="821">
        <v>0.25</v>
      </c>
      <c r="BN14" s="821" t="s">
        <v>764</v>
      </c>
      <c r="BO14" s="821">
        <v>0.25</v>
      </c>
      <c r="BP14" s="821">
        <v>0.25</v>
      </c>
      <c r="BQ14" s="821" t="s">
        <v>764</v>
      </c>
      <c r="BR14" s="821">
        <v>3.9180000000000001</v>
      </c>
      <c r="BS14" s="821">
        <v>3.9180000000000001</v>
      </c>
      <c r="BT14" s="821">
        <v>3.9180000000000001</v>
      </c>
      <c r="BU14" s="821">
        <v>3.9180000000000001</v>
      </c>
      <c r="BV14" s="821">
        <v>7.7220000000000004</v>
      </c>
      <c r="BW14" s="821">
        <v>7.7220000000000004</v>
      </c>
      <c r="BX14" s="821">
        <v>0.39</v>
      </c>
      <c r="BY14" s="821">
        <v>0.19</v>
      </c>
      <c r="BZ14" s="821">
        <v>0.36</v>
      </c>
      <c r="CA14" s="821">
        <v>0.19</v>
      </c>
      <c r="CB14" s="821" t="s">
        <v>764</v>
      </c>
      <c r="CC14" s="822" t="s">
        <v>764</v>
      </c>
      <c r="CI14" s="813" t="s">
        <v>1678</v>
      </c>
      <c r="CJ14" s="814">
        <v>0.2</v>
      </c>
    </row>
    <row r="15" spans="1:88" s="129" customFormat="1" ht="57" x14ac:dyDescent="0.25">
      <c r="A15" s="815" t="s">
        <v>770</v>
      </c>
      <c r="B15" s="816" t="s">
        <v>1681</v>
      </c>
      <c r="C15" s="817" t="s">
        <v>1681</v>
      </c>
      <c r="D15" s="817" t="s">
        <v>1682</v>
      </c>
      <c r="E15" s="817" t="s">
        <v>1683</v>
      </c>
      <c r="F15" s="817" t="s">
        <v>1697</v>
      </c>
      <c r="G15" s="817" t="s">
        <v>3088</v>
      </c>
      <c r="H15" s="817" t="s">
        <v>202</v>
      </c>
      <c r="I15" s="817" t="s">
        <v>202</v>
      </c>
      <c r="J15" s="817" t="s">
        <v>202</v>
      </c>
      <c r="K15" s="817" t="s">
        <v>1685</v>
      </c>
      <c r="L15" s="817" t="s">
        <v>1685</v>
      </c>
      <c r="M15" s="817" t="s">
        <v>1687</v>
      </c>
      <c r="N15" s="817" t="s">
        <v>184</v>
      </c>
      <c r="O15" s="817" t="s">
        <v>184</v>
      </c>
      <c r="P15" s="817" t="s">
        <v>184</v>
      </c>
      <c r="Q15" s="817" t="s">
        <v>3090</v>
      </c>
      <c r="R15" s="817" t="s">
        <v>3090</v>
      </c>
      <c r="S15" s="817" t="s">
        <v>3090</v>
      </c>
      <c r="T15" s="817" t="s">
        <v>188</v>
      </c>
      <c r="U15" s="817" t="s">
        <v>3099</v>
      </c>
      <c r="V15" s="817" t="s">
        <v>188</v>
      </c>
      <c r="W15" s="823"/>
      <c r="X15" s="817">
        <v>6.3E-2</v>
      </c>
      <c r="Y15" s="817">
        <v>6.3E-2</v>
      </c>
      <c r="Z15" s="817">
        <v>0.218</v>
      </c>
      <c r="AA15" s="817">
        <v>0.124</v>
      </c>
      <c r="AB15" s="817">
        <v>8.4000000000000005E-2</v>
      </c>
      <c r="AC15" s="817">
        <v>0.35199999999999998</v>
      </c>
      <c r="AD15" s="817">
        <v>1.1399999999999999</v>
      </c>
      <c r="AE15" s="817">
        <v>1.1399999999999999</v>
      </c>
      <c r="AF15" s="817">
        <v>1.1399999999999999</v>
      </c>
      <c r="AG15" s="817">
        <v>5.1999999999999998E-2</v>
      </c>
      <c r="AH15" s="817">
        <v>5.1999999999999998E-2</v>
      </c>
      <c r="AI15" s="817">
        <v>6.9000000000000006E-2</v>
      </c>
      <c r="AJ15" s="817">
        <v>0.73</v>
      </c>
      <c r="AK15" s="817">
        <v>0.73</v>
      </c>
      <c r="AL15" s="817">
        <v>0.73</v>
      </c>
      <c r="AM15" s="817">
        <v>0.7</v>
      </c>
      <c r="AN15" s="817">
        <v>0.7</v>
      </c>
      <c r="AO15" s="817">
        <v>0.7</v>
      </c>
      <c r="AP15" s="817">
        <v>1.45</v>
      </c>
      <c r="AQ15" s="817">
        <v>0.5</v>
      </c>
      <c r="AR15" s="817">
        <v>1.45</v>
      </c>
      <c r="AS15" s="823"/>
      <c r="AT15" s="817">
        <v>1.22</v>
      </c>
      <c r="AU15" s="817">
        <v>1.22</v>
      </c>
      <c r="AV15" s="817">
        <v>1.22</v>
      </c>
      <c r="AW15" s="817">
        <v>1.22</v>
      </c>
      <c r="AX15" s="817">
        <v>1.22</v>
      </c>
      <c r="AY15" s="817">
        <v>1.22</v>
      </c>
      <c r="AZ15" s="817">
        <v>1.22</v>
      </c>
      <c r="BA15" s="817">
        <v>1.22</v>
      </c>
      <c r="BB15" s="817">
        <v>1.22</v>
      </c>
      <c r="BC15" s="817">
        <v>1.22</v>
      </c>
      <c r="BD15" s="817">
        <v>1.22</v>
      </c>
      <c r="BE15" s="817">
        <v>1.22</v>
      </c>
      <c r="BF15" s="817">
        <v>0.61</v>
      </c>
      <c r="BG15" s="817">
        <v>0.61</v>
      </c>
      <c r="BH15" s="817" t="s">
        <v>764</v>
      </c>
      <c r="BI15" s="817">
        <v>0.39</v>
      </c>
      <c r="BJ15" s="817">
        <v>0.61</v>
      </c>
      <c r="BK15" s="817" t="s">
        <v>764</v>
      </c>
      <c r="BL15" s="817">
        <v>0.39</v>
      </c>
      <c r="BM15" s="817">
        <v>0.39</v>
      </c>
      <c r="BN15" s="817" t="s">
        <v>764</v>
      </c>
      <c r="BO15" s="817">
        <v>0.34</v>
      </c>
      <c r="BP15" s="817">
        <v>0.34</v>
      </c>
      <c r="BQ15" s="817" t="s">
        <v>764</v>
      </c>
      <c r="BR15" s="817">
        <v>1.36</v>
      </c>
      <c r="BS15" s="817">
        <v>1.36</v>
      </c>
      <c r="BT15" s="817">
        <v>1.36</v>
      </c>
      <c r="BU15" s="817">
        <v>1.36</v>
      </c>
      <c r="BV15" s="817">
        <v>1.36</v>
      </c>
      <c r="BW15" s="817">
        <v>1.36</v>
      </c>
      <c r="BX15" s="817">
        <v>0.61</v>
      </c>
      <c r="BY15" s="817">
        <v>0.39</v>
      </c>
      <c r="BZ15" s="817">
        <v>0.39</v>
      </c>
      <c r="CA15" s="817">
        <v>0.19</v>
      </c>
      <c r="CB15" s="817" t="s">
        <v>764</v>
      </c>
      <c r="CC15" s="818" t="s">
        <v>764</v>
      </c>
      <c r="CI15" s="813" t="s">
        <v>1679</v>
      </c>
      <c r="CJ15" s="814">
        <v>0.22</v>
      </c>
    </row>
    <row r="16" spans="1:88" s="129" customFormat="1" ht="57" x14ac:dyDescent="0.25">
      <c r="A16" s="819" t="s">
        <v>793</v>
      </c>
      <c r="B16" s="820" t="s">
        <v>3091</v>
      </c>
      <c r="C16" s="821" t="s">
        <v>3091</v>
      </c>
      <c r="D16" s="821" t="s">
        <v>3097</v>
      </c>
      <c r="E16" s="821" t="s">
        <v>3093</v>
      </c>
      <c r="F16" s="821" t="s">
        <v>3100</v>
      </c>
      <c r="G16" s="821" t="s">
        <v>3094</v>
      </c>
      <c r="H16" s="821" t="s">
        <v>3095</v>
      </c>
      <c r="I16" s="821" t="s">
        <v>3095</v>
      </c>
      <c r="J16" s="821" t="s">
        <v>3095</v>
      </c>
      <c r="K16" s="821" t="s">
        <v>3098</v>
      </c>
      <c r="L16" s="821" t="s">
        <v>3098</v>
      </c>
      <c r="M16" s="821" t="s">
        <v>3101</v>
      </c>
      <c r="N16" s="821" t="s">
        <v>718</v>
      </c>
      <c r="O16" s="821" t="s">
        <v>718</v>
      </c>
      <c r="P16" s="821" t="s">
        <v>718</v>
      </c>
      <c r="Q16" s="821" t="s">
        <v>719</v>
      </c>
      <c r="R16" s="821" t="s">
        <v>719</v>
      </c>
      <c r="S16" s="821" t="s">
        <v>719</v>
      </c>
      <c r="T16" s="821" t="s">
        <v>720</v>
      </c>
      <c r="U16" s="821" t="s">
        <v>734</v>
      </c>
      <c r="V16" s="821" t="s">
        <v>720</v>
      </c>
      <c r="W16" s="823"/>
      <c r="X16" s="821">
        <v>0.35799999999999998</v>
      </c>
      <c r="Y16" s="821">
        <v>0.35799999999999998</v>
      </c>
      <c r="Z16" s="817">
        <v>1.238</v>
      </c>
      <c r="AA16" s="821">
        <v>0.70399999999999996</v>
      </c>
      <c r="AB16" s="821">
        <v>0.47699999999999998</v>
      </c>
      <c r="AC16" s="821">
        <v>1.9990000000000001</v>
      </c>
      <c r="AD16" s="821">
        <v>6.4729999999999999</v>
      </c>
      <c r="AE16" s="821">
        <v>6.4729999999999999</v>
      </c>
      <c r="AF16" s="821">
        <v>6.4729999999999999</v>
      </c>
      <c r="AG16" s="821">
        <v>0.29499999999999998</v>
      </c>
      <c r="AH16" s="821">
        <v>0.29499999999999998</v>
      </c>
      <c r="AI16" s="821">
        <v>0.39200000000000002</v>
      </c>
      <c r="AJ16" s="821">
        <v>1.264</v>
      </c>
      <c r="AK16" s="821">
        <v>1.264</v>
      </c>
      <c r="AL16" s="821">
        <v>1.264</v>
      </c>
      <c r="AM16" s="821">
        <v>3.9750000000000001</v>
      </c>
      <c r="AN16" s="821">
        <v>3.9750000000000001</v>
      </c>
      <c r="AO16" s="821">
        <v>3.9750000000000001</v>
      </c>
      <c r="AP16" s="821">
        <v>8.2330000000000005</v>
      </c>
      <c r="AQ16" s="821">
        <v>2.839</v>
      </c>
      <c r="AR16" s="821">
        <v>8.2330000000000005</v>
      </c>
      <c r="AS16" s="823"/>
      <c r="AT16" s="821">
        <v>6.92</v>
      </c>
      <c r="AU16" s="821">
        <v>6.92</v>
      </c>
      <c r="AV16" s="821">
        <v>6.92</v>
      </c>
      <c r="AW16" s="821">
        <v>6.92</v>
      </c>
      <c r="AX16" s="821">
        <v>6.92</v>
      </c>
      <c r="AY16" s="821">
        <v>6.92</v>
      </c>
      <c r="AZ16" s="821">
        <v>6.92</v>
      </c>
      <c r="BA16" s="821">
        <v>6.92</v>
      </c>
      <c r="BB16" s="821">
        <v>6.92</v>
      </c>
      <c r="BC16" s="821">
        <v>6.92</v>
      </c>
      <c r="BD16" s="821">
        <v>6.92</v>
      </c>
      <c r="BE16" s="821">
        <v>6.92</v>
      </c>
      <c r="BF16" s="821">
        <v>0.61</v>
      </c>
      <c r="BG16" s="821">
        <v>0.61</v>
      </c>
      <c r="BH16" s="821" t="s">
        <v>764</v>
      </c>
      <c r="BI16" s="821">
        <v>0.39</v>
      </c>
      <c r="BJ16" s="821">
        <v>0.61</v>
      </c>
      <c r="BK16" s="821" t="s">
        <v>764</v>
      </c>
      <c r="BL16" s="821">
        <v>0.39</v>
      </c>
      <c r="BM16" s="821">
        <v>0.39</v>
      </c>
      <c r="BN16" s="821" t="s">
        <v>764</v>
      </c>
      <c r="BO16" s="821">
        <v>0.34</v>
      </c>
      <c r="BP16" s="821">
        <v>0.34</v>
      </c>
      <c r="BQ16" s="821" t="s">
        <v>764</v>
      </c>
      <c r="BR16" s="821">
        <v>7.7220000000000004</v>
      </c>
      <c r="BS16" s="821">
        <v>7.7220000000000004</v>
      </c>
      <c r="BT16" s="821">
        <v>7.7220000000000004</v>
      </c>
      <c r="BU16" s="821">
        <v>7.7220000000000004</v>
      </c>
      <c r="BV16" s="821">
        <v>7.7220000000000004</v>
      </c>
      <c r="BW16" s="821">
        <v>7.7220000000000004</v>
      </c>
      <c r="BX16" s="821">
        <v>0.61</v>
      </c>
      <c r="BY16" s="821">
        <v>0.39</v>
      </c>
      <c r="BZ16" s="821">
        <v>0.39</v>
      </c>
      <c r="CA16" s="821">
        <v>0.19</v>
      </c>
      <c r="CB16" s="821" t="s">
        <v>764</v>
      </c>
      <c r="CC16" s="822" t="s">
        <v>764</v>
      </c>
      <c r="CI16" s="813" t="s">
        <v>1680</v>
      </c>
      <c r="CJ16" s="814">
        <v>0.22</v>
      </c>
    </row>
    <row r="17" spans="1:88" s="129" customFormat="1" ht="57" x14ac:dyDescent="0.25">
      <c r="A17" s="815" t="s">
        <v>771</v>
      </c>
      <c r="B17" s="816" t="s">
        <v>1681</v>
      </c>
      <c r="C17" s="817" t="s">
        <v>1681</v>
      </c>
      <c r="D17" s="817" t="s">
        <v>1682</v>
      </c>
      <c r="E17" s="817" t="s">
        <v>1683</v>
      </c>
      <c r="F17" s="817" t="s">
        <v>1684</v>
      </c>
      <c r="G17" s="817" t="s">
        <v>1683</v>
      </c>
      <c r="H17" s="817" t="s">
        <v>202</v>
      </c>
      <c r="I17" s="817" t="s">
        <v>202</v>
      </c>
      <c r="J17" s="817" t="s">
        <v>202</v>
      </c>
      <c r="K17" s="817" t="s">
        <v>1685</v>
      </c>
      <c r="L17" s="817" t="s">
        <v>1686</v>
      </c>
      <c r="M17" s="817" t="s">
        <v>1687</v>
      </c>
      <c r="N17" s="817" t="s">
        <v>184</v>
      </c>
      <c r="O17" s="817" t="s">
        <v>184</v>
      </c>
      <c r="P17" s="817" t="s">
        <v>184</v>
      </c>
      <c r="Q17" s="817" t="s">
        <v>187</v>
      </c>
      <c r="R17" s="817" t="s">
        <v>187</v>
      </c>
      <c r="S17" s="817" t="s">
        <v>187</v>
      </c>
      <c r="T17" s="817" t="s">
        <v>188</v>
      </c>
      <c r="U17" s="817" t="s">
        <v>189</v>
      </c>
      <c r="V17" s="817" t="s">
        <v>188</v>
      </c>
      <c r="W17" s="823"/>
      <c r="X17" s="817">
        <v>6.3E-2</v>
      </c>
      <c r="Y17" s="817">
        <v>6.3E-2</v>
      </c>
      <c r="Z17" s="817">
        <v>0.218</v>
      </c>
      <c r="AA17" s="817">
        <v>0.124</v>
      </c>
      <c r="AB17" s="817">
        <v>6.4000000000000001E-2</v>
      </c>
      <c r="AC17" s="817">
        <v>0.124</v>
      </c>
      <c r="AD17" s="817">
        <v>1.1399999999999999</v>
      </c>
      <c r="AE17" s="817">
        <v>1.1399999999999999</v>
      </c>
      <c r="AF17" s="817">
        <v>1.1399999999999999</v>
      </c>
      <c r="AG17" s="817">
        <v>5.1999999999999998E-2</v>
      </c>
      <c r="AH17" s="817">
        <v>3.7999999999999999E-2</v>
      </c>
      <c r="AI17" s="817">
        <v>6.9000000000000006E-2</v>
      </c>
      <c r="AJ17" s="817">
        <v>0.73</v>
      </c>
      <c r="AK17" s="817">
        <v>0.73</v>
      </c>
      <c r="AL17" s="817">
        <v>0.73</v>
      </c>
      <c r="AM17" s="817">
        <v>0.7</v>
      </c>
      <c r="AN17" s="817">
        <v>0.7</v>
      </c>
      <c r="AO17" s="817">
        <v>0.7</v>
      </c>
      <c r="AP17" s="817">
        <v>1.45</v>
      </c>
      <c r="AQ17" s="817">
        <v>0.5</v>
      </c>
      <c r="AR17" s="817">
        <v>1.45</v>
      </c>
      <c r="AS17" s="823"/>
      <c r="AT17" s="817">
        <v>0.56999999999999995</v>
      </c>
      <c r="AU17" s="817">
        <v>0.56999999999999995</v>
      </c>
      <c r="AV17" s="817">
        <v>1.22</v>
      </c>
      <c r="AW17" s="817">
        <v>0.56999999999999995</v>
      </c>
      <c r="AX17" s="817">
        <v>0.56999999999999995</v>
      </c>
      <c r="AY17" s="817">
        <v>1.22</v>
      </c>
      <c r="AZ17" s="817">
        <v>0.56999999999999995</v>
      </c>
      <c r="BA17" s="817">
        <v>0.56999999999999995</v>
      </c>
      <c r="BB17" s="817">
        <v>1.22</v>
      </c>
      <c r="BC17" s="817">
        <v>0.56999999999999995</v>
      </c>
      <c r="BD17" s="817">
        <v>0.56999999999999995</v>
      </c>
      <c r="BE17" s="817">
        <v>1.22</v>
      </c>
      <c r="BF17" s="817">
        <v>0.39</v>
      </c>
      <c r="BG17" s="817">
        <v>0.39</v>
      </c>
      <c r="BH17" s="817" t="s">
        <v>764</v>
      </c>
      <c r="BI17" s="817">
        <v>0.39</v>
      </c>
      <c r="BJ17" s="817">
        <v>0.39</v>
      </c>
      <c r="BK17" s="817" t="s">
        <v>764</v>
      </c>
      <c r="BL17" s="817">
        <v>0.39</v>
      </c>
      <c r="BM17" s="817">
        <v>0.39</v>
      </c>
      <c r="BN17" s="817" t="s">
        <v>764</v>
      </c>
      <c r="BO17" s="817">
        <v>0.39</v>
      </c>
      <c r="BP17" s="817">
        <v>0.39</v>
      </c>
      <c r="BQ17" s="817" t="s">
        <v>764</v>
      </c>
      <c r="BR17" s="817">
        <v>0.69</v>
      </c>
      <c r="BS17" s="817">
        <v>0.69</v>
      </c>
      <c r="BT17" s="817">
        <v>0.57999999999999996</v>
      </c>
      <c r="BU17" s="817">
        <v>0.57999999999999996</v>
      </c>
      <c r="BV17" s="817">
        <v>1.36</v>
      </c>
      <c r="BW17" s="817">
        <v>1.36</v>
      </c>
      <c r="BX17" s="817">
        <v>0.49</v>
      </c>
      <c r="BY17" s="817">
        <v>0.39</v>
      </c>
      <c r="BZ17" s="817">
        <v>0.36</v>
      </c>
      <c r="CA17" s="817">
        <v>0.19</v>
      </c>
      <c r="CB17" s="817" t="s">
        <v>764</v>
      </c>
      <c r="CC17" s="818" t="s">
        <v>764</v>
      </c>
      <c r="CI17" s="813" t="s">
        <v>1688</v>
      </c>
      <c r="CJ17" s="814">
        <v>0.06</v>
      </c>
    </row>
    <row r="18" spans="1:88" s="129" customFormat="1" ht="57" x14ac:dyDescent="0.25">
      <c r="A18" s="819" t="s">
        <v>792</v>
      </c>
      <c r="B18" s="820" t="s">
        <v>1689</v>
      </c>
      <c r="C18" s="820" t="s">
        <v>1689</v>
      </c>
      <c r="D18" s="820" t="s">
        <v>1690</v>
      </c>
      <c r="E18" s="821" t="s">
        <v>1691</v>
      </c>
      <c r="F18" s="821" t="s">
        <v>1692</v>
      </c>
      <c r="G18" s="821" t="s">
        <v>1691</v>
      </c>
      <c r="H18" s="821" t="s">
        <v>716</v>
      </c>
      <c r="I18" s="821" t="s">
        <v>716</v>
      </c>
      <c r="J18" s="821" t="s">
        <v>716</v>
      </c>
      <c r="K18" s="821" t="s">
        <v>1693</v>
      </c>
      <c r="L18" s="821" t="s">
        <v>1694</v>
      </c>
      <c r="M18" s="821" t="s">
        <v>1695</v>
      </c>
      <c r="N18" s="821" t="s">
        <v>718</v>
      </c>
      <c r="O18" s="821" t="s">
        <v>718</v>
      </c>
      <c r="P18" s="821" t="s">
        <v>718</v>
      </c>
      <c r="Q18" s="821" t="s">
        <v>719</v>
      </c>
      <c r="R18" s="821" t="s">
        <v>719</v>
      </c>
      <c r="S18" s="821" t="s">
        <v>719</v>
      </c>
      <c r="T18" s="821" t="s">
        <v>720</v>
      </c>
      <c r="U18" s="821" t="s">
        <v>734</v>
      </c>
      <c r="V18" s="821" t="s">
        <v>720</v>
      </c>
      <c r="W18" s="823"/>
      <c r="X18" s="821">
        <v>0.36</v>
      </c>
      <c r="Y18" s="821">
        <v>0.36</v>
      </c>
      <c r="Z18" s="817">
        <v>1.24</v>
      </c>
      <c r="AA18" s="821">
        <v>0.70499999999999996</v>
      </c>
      <c r="AB18" s="821">
        <v>0.36499999999999999</v>
      </c>
      <c r="AC18" s="821">
        <v>0.70499999999999996</v>
      </c>
      <c r="AD18" s="821">
        <v>6.4729999999999999</v>
      </c>
      <c r="AE18" s="821">
        <v>6.4729999999999999</v>
      </c>
      <c r="AF18" s="821">
        <v>6.4729999999999999</v>
      </c>
      <c r="AG18" s="821">
        <v>0.29599999999999999</v>
      </c>
      <c r="AH18" s="821">
        <v>0.214</v>
      </c>
      <c r="AI18" s="821">
        <v>0.39</v>
      </c>
      <c r="AJ18" s="821">
        <v>1.264</v>
      </c>
      <c r="AK18" s="821">
        <v>1.264</v>
      </c>
      <c r="AL18" s="821">
        <v>1.264</v>
      </c>
      <c r="AM18" s="821">
        <v>3.9750000000000001</v>
      </c>
      <c r="AN18" s="821">
        <v>3.9750000000000001</v>
      </c>
      <c r="AO18" s="821">
        <v>3.9750000000000001</v>
      </c>
      <c r="AP18" s="821">
        <v>8.2330000000000005</v>
      </c>
      <c r="AQ18" s="821">
        <v>2.839</v>
      </c>
      <c r="AR18" s="821">
        <v>8.2330000000000005</v>
      </c>
      <c r="AS18" s="823"/>
      <c r="AT18" s="821">
        <v>3.24</v>
      </c>
      <c r="AU18" s="821">
        <v>3.24</v>
      </c>
      <c r="AV18" s="821">
        <v>6.93</v>
      </c>
      <c r="AW18" s="821">
        <v>3.24</v>
      </c>
      <c r="AX18" s="821">
        <v>3.24</v>
      </c>
      <c r="AY18" s="821">
        <v>6.93</v>
      </c>
      <c r="AZ18" s="821">
        <v>3.24</v>
      </c>
      <c r="BA18" s="821">
        <v>3.24</v>
      </c>
      <c r="BB18" s="821">
        <v>6.93</v>
      </c>
      <c r="BC18" s="821">
        <v>3.24</v>
      </c>
      <c r="BD18" s="821">
        <v>3.24</v>
      </c>
      <c r="BE18" s="821">
        <v>6.93</v>
      </c>
      <c r="BF18" s="821">
        <v>0.39</v>
      </c>
      <c r="BG18" s="821">
        <v>0.39</v>
      </c>
      <c r="BH18" s="821" t="s">
        <v>764</v>
      </c>
      <c r="BI18" s="821">
        <v>0.39</v>
      </c>
      <c r="BJ18" s="821">
        <v>0.39</v>
      </c>
      <c r="BK18" s="821" t="s">
        <v>764</v>
      </c>
      <c r="BL18" s="821">
        <v>0.39</v>
      </c>
      <c r="BM18" s="821">
        <v>0.39</v>
      </c>
      <c r="BN18" s="821" t="s">
        <v>764</v>
      </c>
      <c r="BO18" s="821">
        <v>0.39</v>
      </c>
      <c r="BP18" s="821">
        <v>0.39</v>
      </c>
      <c r="BQ18" s="821" t="s">
        <v>764</v>
      </c>
      <c r="BR18" s="821">
        <v>3.92</v>
      </c>
      <c r="BS18" s="821">
        <v>3.92</v>
      </c>
      <c r="BT18" s="821">
        <v>3.29</v>
      </c>
      <c r="BU18" s="821">
        <v>3.29</v>
      </c>
      <c r="BV18" s="821">
        <v>7.72</v>
      </c>
      <c r="BW18" s="821">
        <v>7.72</v>
      </c>
      <c r="BX18" s="821">
        <v>0.49</v>
      </c>
      <c r="BY18" s="821">
        <v>0.39</v>
      </c>
      <c r="BZ18" s="821">
        <v>0.36</v>
      </c>
      <c r="CA18" s="821">
        <v>0.19</v>
      </c>
      <c r="CB18" s="821" t="s">
        <v>764</v>
      </c>
      <c r="CC18" s="822" t="s">
        <v>764</v>
      </c>
      <c r="CI18" s="813" t="s">
        <v>275</v>
      </c>
      <c r="CJ18" s="813" t="s">
        <v>2214</v>
      </c>
    </row>
    <row r="19" spans="1:88" s="129" customFormat="1" ht="57" x14ac:dyDescent="0.25">
      <c r="A19" s="815" t="s">
        <v>772</v>
      </c>
      <c r="B19" s="816" t="s">
        <v>1681</v>
      </c>
      <c r="C19" s="817" t="s">
        <v>1681</v>
      </c>
      <c r="D19" s="817" t="s">
        <v>1682</v>
      </c>
      <c r="E19" s="817" t="s">
        <v>1683</v>
      </c>
      <c r="F19" s="817" t="s">
        <v>1684</v>
      </c>
      <c r="G19" s="817" t="s">
        <v>1683</v>
      </c>
      <c r="H19" s="817" t="s">
        <v>202</v>
      </c>
      <c r="I19" s="817" t="s">
        <v>202</v>
      </c>
      <c r="J19" s="817" t="s">
        <v>202</v>
      </c>
      <c r="K19" s="817" t="s">
        <v>1685</v>
      </c>
      <c r="L19" s="817" t="s">
        <v>1686</v>
      </c>
      <c r="M19" s="817" t="s">
        <v>1687</v>
      </c>
      <c r="N19" s="817" t="s">
        <v>184</v>
      </c>
      <c r="O19" s="817" t="s">
        <v>184</v>
      </c>
      <c r="P19" s="817" t="s">
        <v>184</v>
      </c>
      <c r="Q19" s="817" t="s">
        <v>187</v>
      </c>
      <c r="R19" s="817" t="s">
        <v>187</v>
      </c>
      <c r="S19" s="817" t="s">
        <v>187</v>
      </c>
      <c r="T19" s="817" t="s">
        <v>188</v>
      </c>
      <c r="U19" s="817" t="s">
        <v>189</v>
      </c>
      <c r="V19" s="817" t="s">
        <v>188</v>
      </c>
      <c r="W19" s="823"/>
      <c r="X19" s="817">
        <v>6.3E-2</v>
      </c>
      <c r="Y19" s="817">
        <v>6.3E-2</v>
      </c>
      <c r="Z19" s="817">
        <v>0.218</v>
      </c>
      <c r="AA19" s="817">
        <v>0.124</v>
      </c>
      <c r="AB19" s="817">
        <v>6.4000000000000001E-2</v>
      </c>
      <c r="AC19" s="817">
        <v>0.124</v>
      </c>
      <c r="AD19" s="817">
        <v>1.1399999999999999</v>
      </c>
      <c r="AE19" s="817">
        <v>1.1399999999999999</v>
      </c>
      <c r="AF19" s="817">
        <v>1.1399999999999999</v>
      </c>
      <c r="AG19" s="817">
        <v>5.1999999999999998E-2</v>
      </c>
      <c r="AH19" s="817">
        <v>3.7999999999999999E-2</v>
      </c>
      <c r="AI19" s="817">
        <v>6.9000000000000006E-2</v>
      </c>
      <c r="AJ19" s="817">
        <v>0.73</v>
      </c>
      <c r="AK19" s="817">
        <v>0.73</v>
      </c>
      <c r="AL19" s="817">
        <v>0.73</v>
      </c>
      <c r="AM19" s="817">
        <v>0.7</v>
      </c>
      <c r="AN19" s="817">
        <v>0.7</v>
      </c>
      <c r="AO19" s="817">
        <v>0.7</v>
      </c>
      <c r="AP19" s="817">
        <v>1.45</v>
      </c>
      <c r="AQ19" s="817">
        <v>0.5</v>
      </c>
      <c r="AR19" s="817">
        <v>1.45</v>
      </c>
      <c r="AS19" s="823"/>
      <c r="AT19" s="817">
        <v>0.56999999999999995</v>
      </c>
      <c r="AU19" s="817">
        <v>0.56999999999999995</v>
      </c>
      <c r="AV19" s="817">
        <v>1.22</v>
      </c>
      <c r="AW19" s="817">
        <v>0.56999999999999995</v>
      </c>
      <c r="AX19" s="817">
        <v>0.56999999999999995</v>
      </c>
      <c r="AY19" s="817">
        <v>1.22</v>
      </c>
      <c r="AZ19" s="817">
        <v>0.56999999999999995</v>
      </c>
      <c r="BA19" s="817">
        <v>0.56999999999999995</v>
      </c>
      <c r="BB19" s="817">
        <v>1.22</v>
      </c>
      <c r="BC19" s="817">
        <v>0.56999999999999995</v>
      </c>
      <c r="BD19" s="817">
        <v>0.56999999999999995</v>
      </c>
      <c r="BE19" s="817">
        <v>1.22</v>
      </c>
      <c r="BF19" s="817">
        <v>0.39</v>
      </c>
      <c r="BG19" s="817">
        <v>0.39</v>
      </c>
      <c r="BH19" s="817" t="s">
        <v>764</v>
      </c>
      <c r="BI19" s="817">
        <v>0.39</v>
      </c>
      <c r="BJ19" s="817">
        <v>0.39</v>
      </c>
      <c r="BK19" s="817" t="s">
        <v>764</v>
      </c>
      <c r="BL19" s="817">
        <v>0.39</v>
      </c>
      <c r="BM19" s="817">
        <v>0.39</v>
      </c>
      <c r="BN19" s="817" t="s">
        <v>764</v>
      </c>
      <c r="BO19" s="817">
        <v>0.39</v>
      </c>
      <c r="BP19" s="817">
        <v>0.39</v>
      </c>
      <c r="BQ19" s="817" t="s">
        <v>764</v>
      </c>
      <c r="BR19" s="817">
        <v>0.69</v>
      </c>
      <c r="BS19" s="817">
        <v>0.69</v>
      </c>
      <c r="BT19" s="817">
        <v>0.57999999999999996</v>
      </c>
      <c r="BU19" s="817">
        <v>0.57999999999999996</v>
      </c>
      <c r="BV19" s="817">
        <v>1.36</v>
      </c>
      <c r="BW19" s="817">
        <v>1.36</v>
      </c>
      <c r="BX19" s="817">
        <v>0.49</v>
      </c>
      <c r="BY19" s="817">
        <v>0.39</v>
      </c>
      <c r="BZ19" s="817">
        <v>0.36</v>
      </c>
      <c r="CA19" s="817">
        <v>0.19</v>
      </c>
      <c r="CB19" s="817" t="s">
        <v>764</v>
      </c>
      <c r="CC19" s="818" t="s">
        <v>764</v>
      </c>
    </row>
    <row r="20" spans="1:88" s="129" customFormat="1" ht="57" x14ac:dyDescent="0.25">
      <c r="A20" s="819" t="s">
        <v>791</v>
      </c>
      <c r="B20" s="820" t="s">
        <v>1689</v>
      </c>
      <c r="C20" s="821" t="s">
        <v>1689</v>
      </c>
      <c r="D20" s="821" t="s">
        <v>1690</v>
      </c>
      <c r="E20" s="821" t="s">
        <v>1691</v>
      </c>
      <c r="F20" s="821" t="s">
        <v>1692</v>
      </c>
      <c r="G20" s="821" t="s">
        <v>1691</v>
      </c>
      <c r="H20" s="821" t="s">
        <v>716</v>
      </c>
      <c r="I20" s="821" t="s">
        <v>716</v>
      </c>
      <c r="J20" s="821" t="s">
        <v>716</v>
      </c>
      <c r="K20" s="821" t="s">
        <v>1693</v>
      </c>
      <c r="L20" s="821" t="s">
        <v>1694</v>
      </c>
      <c r="M20" s="821" t="s">
        <v>1695</v>
      </c>
      <c r="N20" s="821" t="s">
        <v>718</v>
      </c>
      <c r="O20" s="821" t="s">
        <v>718</v>
      </c>
      <c r="P20" s="821" t="s">
        <v>718</v>
      </c>
      <c r="Q20" s="821" t="s">
        <v>719</v>
      </c>
      <c r="R20" s="821" t="s">
        <v>719</v>
      </c>
      <c r="S20" s="821" t="s">
        <v>719</v>
      </c>
      <c r="T20" s="821" t="s">
        <v>720</v>
      </c>
      <c r="U20" s="821" t="s">
        <v>734</v>
      </c>
      <c r="V20" s="821" t="s">
        <v>720</v>
      </c>
      <c r="W20" s="823"/>
      <c r="X20" s="821">
        <v>0.36</v>
      </c>
      <c r="Y20" s="821">
        <v>0.36</v>
      </c>
      <c r="Z20" s="817">
        <v>1.24</v>
      </c>
      <c r="AA20" s="821">
        <v>0.70499999999999996</v>
      </c>
      <c r="AB20" s="821">
        <v>0.36499999999999999</v>
      </c>
      <c r="AC20" s="821">
        <v>0.70499999999999996</v>
      </c>
      <c r="AD20" s="821">
        <v>6.4729999999999999</v>
      </c>
      <c r="AE20" s="821">
        <v>6.4729999999999999</v>
      </c>
      <c r="AF20" s="821">
        <v>6.4729999999999999</v>
      </c>
      <c r="AG20" s="821">
        <v>0.29599999999999999</v>
      </c>
      <c r="AH20" s="821">
        <v>0.214</v>
      </c>
      <c r="AI20" s="821">
        <v>0.39</v>
      </c>
      <c r="AJ20" s="821">
        <v>1.264</v>
      </c>
      <c r="AK20" s="821">
        <v>1.264</v>
      </c>
      <c r="AL20" s="821">
        <v>1.264</v>
      </c>
      <c r="AM20" s="821">
        <v>3.9750000000000001</v>
      </c>
      <c r="AN20" s="821">
        <v>3.9750000000000001</v>
      </c>
      <c r="AO20" s="821">
        <v>3.9750000000000001</v>
      </c>
      <c r="AP20" s="821">
        <v>8.2330000000000005</v>
      </c>
      <c r="AQ20" s="821">
        <v>2.839</v>
      </c>
      <c r="AR20" s="821">
        <v>8.2330000000000005</v>
      </c>
      <c r="AS20" s="823"/>
      <c r="AT20" s="821">
        <v>3.24</v>
      </c>
      <c r="AU20" s="821">
        <v>3.24</v>
      </c>
      <c r="AV20" s="821">
        <v>6.93</v>
      </c>
      <c r="AW20" s="821">
        <v>3.24</v>
      </c>
      <c r="AX20" s="821">
        <v>3.24</v>
      </c>
      <c r="AY20" s="821">
        <v>6.93</v>
      </c>
      <c r="AZ20" s="821">
        <v>3.24</v>
      </c>
      <c r="BA20" s="821">
        <v>3.24</v>
      </c>
      <c r="BB20" s="821">
        <v>6.93</v>
      </c>
      <c r="BC20" s="821">
        <v>3.24</v>
      </c>
      <c r="BD20" s="821">
        <v>3.24</v>
      </c>
      <c r="BE20" s="821">
        <v>6.93</v>
      </c>
      <c r="BF20" s="821">
        <v>0.39</v>
      </c>
      <c r="BG20" s="821">
        <v>0.39</v>
      </c>
      <c r="BH20" s="821" t="s">
        <v>764</v>
      </c>
      <c r="BI20" s="821">
        <v>0.39</v>
      </c>
      <c r="BJ20" s="821">
        <v>0.39</v>
      </c>
      <c r="BK20" s="821" t="s">
        <v>764</v>
      </c>
      <c r="BL20" s="821">
        <v>0.39</v>
      </c>
      <c r="BM20" s="821">
        <v>0.39</v>
      </c>
      <c r="BN20" s="821" t="s">
        <v>764</v>
      </c>
      <c r="BO20" s="821">
        <v>0.39</v>
      </c>
      <c r="BP20" s="821">
        <v>0.39</v>
      </c>
      <c r="BQ20" s="821" t="s">
        <v>764</v>
      </c>
      <c r="BR20" s="821">
        <v>3.92</v>
      </c>
      <c r="BS20" s="821">
        <v>3.92</v>
      </c>
      <c r="BT20" s="821">
        <v>3.29</v>
      </c>
      <c r="BU20" s="821">
        <v>3.29</v>
      </c>
      <c r="BV20" s="821">
        <v>7.72</v>
      </c>
      <c r="BW20" s="821">
        <v>7.72</v>
      </c>
      <c r="BX20" s="821">
        <v>0.49</v>
      </c>
      <c r="BY20" s="821">
        <v>0.39</v>
      </c>
      <c r="BZ20" s="821">
        <v>0.36</v>
      </c>
      <c r="CA20" s="821">
        <v>0.19</v>
      </c>
      <c r="CB20" s="821" t="s">
        <v>764</v>
      </c>
      <c r="CC20" s="822" t="s">
        <v>764</v>
      </c>
    </row>
    <row r="21" spans="1:88" s="129" customFormat="1" ht="57" x14ac:dyDescent="0.25">
      <c r="A21" s="815" t="s">
        <v>773</v>
      </c>
      <c r="B21" s="816" t="s">
        <v>1681</v>
      </c>
      <c r="C21" s="817" t="s">
        <v>1681</v>
      </c>
      <c r="D21" s="817" t="s">
        <v>1682</v>
      </c>
      <c r="E21" s="817" t="s">
        <v>1683</v>
      </c>
      <c r="F21" s="817" t="s">
        <v>1684</v>
      </c>
      <c r="G21" s="817" t="s">
        <v>1683</v>
      </c>
      <c r="H21" s="817" t="s">
        <v>202</v>
      </c>
      <c r="I21" s="817" t="s">
        <v>202</v>
      </c>
      <c r="J21" s="817" t="s">
        <v>202</v>
      </c>
      <c r="K21" s="817" t="s">
        <v>1685</v>
      </c>
      <c r="L21" s="817" t="s">
        <v>1686</v>
      </c>
      <c r="M21" s="817" t="s">
        <v>1687</v>
      </c>
      <c r="N21" s="817" t="s">
        <v>184</v>
      </c>
      <c r="O21" s="817" t="s">
        <v>184</v>
      </c>
      <c r="P21" s="817" t="s">
        <v>184</v>
      </c>
      <c r="Q21" s="817" t="s">
        <v>187</v>
      </c>
      <c r="R21" s="817" t="s">
        <v>187</v>
      </c>
      <c r="S21" s="817" t="s">
        <v>187</v>
      </c>
      <c r="T21" s="817" t="s">
        <v>188</v>
      </c>
      <c r="U21" s="817" t="s">
        <v>189</v>
      </c>
      <c r="V21" s="817" t="s">
        <v>188</v>
      </c>
      <c r="W21" s="823"/>
      <c r="X21" s="817">
        <v>6.3E-2</v>
      </c>
      <c r="Y21" s="817">
        <v>6.3E-2</v>
      </c>
      <c r="Z21" s="817">
        <v>0.218</v>
      </c>
      <c r="AA21" s="817">
        <v>0.124</v>
      </c>
      <c r="AB21" s="817">
        <v>6.4000000000000001E-2</v>
      </c>
      <c r="AC21" s="817">
        <v>0.124</v>
      </c>
      <c r="AD21" s="817">
        <v>1.1399999999999999</v>
      </c>
      <c r="AE21" s="817">
        <v>1.1399999999999999</v>
      </c>
      <c r="AF21" s="817">
        <v>1.1399999999999999</v>
      </c>
      <c r="AG21" s="817">
        <v>5.1999999999999998E-2</v>
      </c>
      <c r="AH21" s="817">
        <v>3.7999999999999999E-2</v>
      </c>
      <c r="AI21" s="817">
        <v>6.9000000000000006E-2</v>
      </c>
      <c r="AJ21" s="817">
        <v>0.73</v>
      </c>
      <c r="AK21" s="817">
        <v>0.73</v>
      </c>
      <c r="AL21" s="817">
        <v>0.73</v>
      </c>
      <c r="AM21" s="817">
        <v>0.7</v>
      </c>
      <c r="AN21" s="817">
        <v>0.7</v>
      </c>
      <c r="AO21" s="817">
        <v>0.7</v>
      </c>
      <c r="AP21" s="817">
        <v>1.45</v>
      </c>
      <c r="AQ21" s="817">
        <v>0.5</v>
      </c>
      <c r="AR21" s="817">
        <v>1.45</v>
      </c>
      <c r="AS21" s="823"/>
      <c r="AT21" s="817">
        <v>0.56999999999999995</v>
      </c>
      <c r="AU21" s="817">
        <v>0.56999999999999995</v>
      </c>
      <c r="AV21" s="817">
        <v>1.22</v>
      </c>
      <c r="AW21" s="817">
        <v>0.56999999999999995</v>
      </c>
      <c r="AX21" s="817">
        <v>0.56999999999999995</v>
      </c>
      <c r="AY21" s="817">
        <v>1.22</v>
      </c>
      <c r="AZ21" s="817">
        <v>0.56999999999999995</v>
      </c>
      <c r="BA21" s="817">
        <v>0.56999999999999995</v>
      </c>
      <c r="BB21" s="817">
        <v>1.22</v>
      </c>
      <c r="BC21" s="817">
        <v>0.56999999999999995</v>
      </c>
      <c r="BD21" s="817">
        <v>0.56999999999999995</v>
      </c>
      <c r="BE21" s="817">
        <v>1.22</v>
      </c>
      <c r="BF21" s="817">
        <v>0.39</v>
      </c>
      <c r="BG21" s="817">
        <v>0.39</v>
      </c>
      <c r="BH21" s="817" t="s">
        <v>764</v>
      </c>
      <c r="BI21" s="817">
        <v>0.39</v>
      </c>
      <c r="BJ21" s="817">
        <v>0.39</v>
      </c>
      <c r="BK21" s="817" t="s">
        <v>764</v>
      </c>
      <c r="BL21" s="817">
        <v>0.39</v>
      </c>
      <c r="BM21" s="817">
        <v>0.39</v>
      </c>
      <c r="BN21" s="817" t="s">
        <v>764</v>
      </c>
      <c r="BO21" s="817">
        <v>0.39</v>
      </c>
      <c r="BP21" s="817">
        <v>0.39</v>
      </c>
      <c r="BQ21" s="817" t="s">
        <v>764</v>
      </c>
      <c r="BR21" s="817">
        <v>0.69</v>
      </c>
      <c r="BS21" s="817">
        <v>0.69</v>
      </c>
      <c r="BT21" s="817">
        <v>0.57999999999999996</v>
      </c>
      <c r="BU21" s="817">
        <v>0.57999999999999996</v>
      </c>
      <c r="BV21" s="817">
        <v>1.36</v>
      </c>
      <c r="BW21" s="817">
        <v>1.36</v>
      </c>
      <c r="BX21" s="817">
        <v>0.49</v>
      </c>
      <c r="BY21" s="817">
        <v>0.39</v>
      </c>
      <c r="BZ21" s="817">
        <v>0.36</v>
      </c>
      <c r="CA21" s="817">
        <v>0.19</v>
      </c>
      <c r="CB21" s="817" t="s">
        <v>764</v>
      </c>
      <c r="CC21" s="818" t="s">
        <v>764</v>
      </c>
    </row>
    <row r="22" spans="1:88" s="129" customFormat="1" ht="57" x14ac:dyDescent="0.25">
      <c r="A22" s="819" t="s">
        <v>790</v>
      </c>
      <c r="B22" s="820" t="s">
        <v>1689</v>
      </c>
      <c r="C22" s="821" t="s">
        <v>1689</v>
      </c>
      <c r="D22" s="821" t="s">
        <v>1690</v>
      </c>
      <c r="E22" s="821" t="s">
        <v>1691</v>
      </c>
      <c r="F22" s="821" t="s">
        <v>1692</v>
      </c>
      <c r="G22" s="821" t="s">
        <v>1691</v>
      </c>
      <c r="H22" s="821" t="s">
        <v>716</v>
      </c>
      <c r="I22" s="821" t="s">
        <v>716</v>
      </c>
      <c r="J22" s="821" t="s">
        <v>716</v>
      </c>
      <c r="K22" s="821" t="s">
        <v>1693</v>
      </c>
      <c r="L22" s="821" t="s">
        <v>1694</v>
      </c>
      <c r="M22" s="821" t="s">
        <v>1695</v>
      </c>
      <c r="N22" s="821" t="s">
        <v>718</v>
      </c>
      <c r="O22" s="821" t="s">
        <v>718</v>
      </c>
      <c r="P22" s="821" t="s">
        <v>718</v>
      </c>
      <c r="Q22" s="821" t="s">
        <v>719</v>
      </c>
      <c r="R22" s="821" t="s">
        <v>719</v>
      </c>
      <c r="S22" s="821" t="s">
        <v>719</v>
      </c>
      <c r="T22" s="821" t="s">
        <v>720</v>
      </c>
      <c r="U22" s="821" t="s">
        <v>734</v>
      </c>
      <c r="V22" s="821" t="s">
        <v>720</v>
      </c>
      <c r="W22" s="823"/>
      <c r="X22" s="821">
        <v>0.36</v>
      </c>
      <c r="Y22" s="821">
        <v>0.36</v>
      </c>
      <c r="Z22" s="817">
        <v>1.24</v>
      </c>
      <c r="AA22" s="821">
        <v>0.70499999999999996</v>
      </c>
      <c r="AB22" s="821">
        <v>0.36499999999999999</v>
      </c>
      <c r="AC22" s="821">
        <v>0.70499999999999996</v>
      </c>
      <c r="AD22" s="821">
        <v>6.4729999999999999</v>
      </c>
      <c r="AE22" s="821">
        <v>6.4729999999999999</v>
      </c>
      <c r="AF22" s="821">
        <v>6.4729999999999999</v>
      </c>
      <c r="AG22" s="821">
        <v>0.29599999999999999</v>
      </c>
      <c r="AH22" s="821">
        <v>0.214</v>
      </c>
      <c r="AI22" s="821">
        <v>0.39</v>
      </c>
      <c r="AJ22" s="821">
        <v>1.264</v>
      </c>
      <c r="AK22" s="821">
        <v>1.264</v>
      </c>
      <c r="AL22" s="821">
        <v>1.264</v>
      </c>
      <c r="AM22" s="821">
        <v>3.9750000000000001</v>
      </c>
      <c r="AN22" s="821">
        <v>3.9750000000000001</v>
      </c>
      <c r="AO22" s="821">
        <v>3.9750000000000001</v>
      </c>
      <c r="AP22" s="821">
        <v>8.2330000000000005</v>
      </c>
      <c r="AQ22" s="821">
        <v>2.839</v>
      </c>
      <c r="AR22" s="821">
        <v>8.2330000000000005</v>
      </c>
      <c r="AS22" s="823"/>
      <c r="AT22" s="821">
        <v>3.24</v>
      </c>
      <c r="AU22" s="821">
        <v>3.24</v>
      </c>
      <c r="AV22" s="821">
        <v>6.93</v>
      </c>
      <c r="AW22" s="821">
        <v>3.24</v>
      </c>
      <c r="AX22" s="821">
        <v>3.24</v>
      </c>
      <c r="AY22" s="821">
        <v>6.93</v>
      </c>
      <c r="AZ22" s="821">
        <v>3.24</v>
      </c>
      <c r="BA22" s="821">
        <v>3.24</v>
      </c>
      <c r="BB22" s="821">
        <v>6.93</v>
      </c>
      <c r="BC22" s="821">
        <v>3.24</v>
      </c>
      <c r="BD22" s="821">
        <v>3.24</v>
      </c>
      <c r="BE22" s="821">
        <v>6.93</v>
      </c>
      <c r="BF22" s="821">
        <v>0.39</v>
      </c>
      <c r="BG22" s="821">
        <v>0.39</v>
      </c>
      <c r="BH22" s="821" t="s">
        <v>764</v>
      </c>
      <c r="BI22" s="821">
        <v>0.39</v>
      </c>
      <c r="BJ22" s="821">
        <v>0.39</v>
      </c>
      <c r="BK22" s="821" t="s">
        <v>764</v>
      </c>
      <c r="BL22" s="821">
        <v>0.39</v>
      </c>
      <c r="BM22" s="821">
        <v>0.39</v>
      </c>
      <c r="BN22" s="821" t="s">
        <v>764</v>
      </c>
      <c r="BO22" s="821">
        <v>0.39</v>
      </c>
      <c r="BP22" s="821">
        <v>0.39</v>
      </c>
      <c r="BQ22" s="821" t="s">
        <v>764</v>
      </c>
      <c r="BR22" s="821">
        <v>3.92</v>
      </c>
      <c r="BS22" s="821">
        <v>3.92</v>
      </c>
      <c r="BT22" s="821">
        <v>3.29</v>
      </c>
      <c r="BU22" s="821">
        <v>3.29</v>
      </c>
      <c r="BV22" s="821">
        <v>7.72</v>
      </c>
      <c r="BW22" s="821">
        <v>7.72</v>
      </c>
      <c r="BX22" s="821">
        <v>0.49</v>
      </c>
      <c r="BY22" s="821">
        <v>0.39</v>
      </c>
      <c r="BZ22" s="821">
        <v>0.36</v>
      </c>
      <c r="CA22" s="821">
        <v>0.19</v>
      </c>
      <c r="CB22" s="821" t="s">
        <v>764</v>
      </c>
      <c r="CC22" s="822" t="s">
        <v>764</v>
      </c>
    </row>
    <row r="23" spans="1:88" s="129" customFormat="1" ht="45.6" x14ac:dyDescent="0.25">
      <c r="A23" s="815" t="s">
        <v>774</v>
      </c>
      <c r="B23" s="816" t="s">
        <v>1681</v>
      </c>
      <c r="C23" s="816" t="s">
        <v>1681</v>
      </c>
      <c r="D23" s="816" t="s">
        <v>1696</v>
      </c>
      <c r="E23" s="817" t="s">
        <v>1697</v>
      </c>
      <c r="F23" s="817" t="s">
        <v>1684</v>
      </c>
      <c r="G23" s="817" t="s">
        <v>1683</v>
      </c>
      <c r="H23" s="817" t="s">
        <v>202</v>
      </c>
      <c r="I23" s="817" t="s">
        <v>202</v>
      </c>
      <c r="J23" s="817" t="s">
        <v>202</v>
      </c>
      <c r="K23" s="817" t="s">
        <v>1685</v>
      </c>
      <c r="L23" s="817" t="s">
        <v>1686</v>
      </c>
      <c r="M23" s="817" t="s">
        <v>1687</v>
      </c>
      <c r="N23" s="817" t="s">
        <v>184</v>
      </c>
      <c r="O23" s="817" t="s">
        <v>184</v>
      </c>
      <c r="P23" s="817" t="s">
        <v>184</v>
      </c>
      <c r="Q23" s="817" t="s">
        <v>187</v>
      </c>
      <c r="R23" s="817" t="s">
        <v>187</v>
      </c>
      <c r="S23" s="817" t="s">
        <v>187</v>
      </c>
      <c r="T23" s="817" t="s">
        <v>188</v>
      </c>
      <c r="U23" s="817" t="s">
        <v>189</v>
      </c>
      <c r="V23" s="817" t="s">
        <v>188</v>
      </c>
      <c r="W23" s="823"/>
      <c r="X23" s="817">
        <v>6.3E-2</v>
      </c>
      <c r="Y23" s="817">
        <v>6.3E-2</v>
      </c>
      <c r="Z23" s="817">
        <v>0.17299999999999999</v>
      </c>
      <c r="AA23" s="817">
        <v>8.4000000000000005E-2</v>
      </c>
      <c r="AB23" s="817">
        <v>6.4000000000000001E-2</v>
      </c>
      <c r="AC23" s="817">
        <v>0.124</v>
      </c>
      <c r="AD23" s="817">
        <v>1.1399999999999999</v>
      </c>
      <c r="AE23" s="817">
        <v>1.1399999999999999</v>
      </c>
      <c r="AF23" s="817">
        <v>1.1399999999999999</v>
      </c>
      <c r="AG23" s="817">
        <v>5.1999999999999998E-2</v>
      </c>
      <c r="AH23" s="817">
        <v>3.7999999999999999E-2</v>
      </c>
      <c r="AI23" s="817">
        <v>6.9000000000000006E-2</v>
      </c>
      <c r="AJ23" s="817">
        <v>0.73</v>
      </c>
      <c r="AK23" s="817">
        <v>0.73</v>
      </c>
      <c r="AL23" s="817">
        <v>0.73</v>
      </c>
      <c r="AM23" s="817">
        <v>0.7</v>
      </c>
      <c r="AN23" s="817">
        <v>0.7</v>
      </c>
      <c r="AO23" s="817">
        <v>0.7</v>
      </c>
      <c r="AP23" s="817">
        <v>1.45</v>
      </c>
      <c r="AQ23" s="817">
        <v>0.5</v>
      </c>
      <c r="AR23" s="817">
        <v>1.45</v>
      </c>
      <c r="AS23" s="823"/>
      <c r="AT23" s="817">
        <v>0.56999999999999995</v>
      </c>
      <c r="AU23" s="817">
        <v>0.56999999999999995</v>
      </c>
      <c r="AV23" s="817">
        <v>1.22</v>
      </c>
      <c r="AW23" s="817">
        <v>0.56999999999999995</v>
      </c>
      <c r="AX23" s="817">
        <v>0.56999999999999995</v>
      </c>
      <c r="AY23" s="817">
        <v>1.22</v>
      </c>
      <c r="AZ23" s="817">
        <v>0.56999999999999995</v>
      </c>
      <c r="BA23" s="817">
        <v>0.56999999999999995</v>
      </c>
      <c r="BB23" s="817">
        <v>1.22</v>
      </c>
      <c r="BC23" s="817">
        <v>0.56999999999999995</v>
      </c>
      <c r="BD23" s="817">
        <v>0.56999999999999995</v>
      </c>
      <c r="BE23" s="817">
        <v>1.22</v>
      </c>
      <c r="BF23" s="817">
        <v>0.49</v>
      </c>
      <c r="BG23" s="817">
        <v>0.49</v>
      </c>
      <c r="BH23" s="817" t="s">
        <v>764</v>
      </c>
      <c r="BI23" s="817">
        <v>0.39</v>
      </c>
      <c r="BJ23" s="817">
        <v>0.39</v>
      </c>
      <c r="BK23" s="817" t="s">
        <v>764</v>
      </c>
      <c r="BL23" s="817">
        <v>0.39</v>
      </c>
      <c r="BM23" s="817">
        <v>0.39</v>
      </c>
      <c r="BN23" s="817" t="s">
        <v>764</v>
      </c>
      <c r="BO23" s="817">
        <v>0.39</v>
      </c>
      <c r="BP23" s="817">
        <v>0.39</v>
      </c>
      <c r="BQ23" s="817" t="s">
        <v>764</v>
      </c>
      <c r="BR23" s="817">
        <v>0.69</v>
      </c>
      <c r="BS23" s="817">
        <v>0.69</v>
      </c>
      <c r="BT23" s="817">
        <v>0.69</v>
      </c>
      <c r="BU23" s="817">
        <v>0.69</v>
      </c>
      <c r="BV23" s="817">
        <v>1.36</v>
      </c>
      <c r="BW23" s="817">
        <v>1.36</v>
      </c>
      <c r="BX23" s="817">
        <v>0.49</v>
      </c>
      <c r="BY23" s="817">
        <v>0.39</v>
      </c>
      <c r="BZ23" s="817">
        <v>0.49</v>
      </c>
      <c r="CA23" s="817">
        <v>0.39</v>
      </c>
      <c r="CB23" s="817" t="s">
        <v>764</v>
      </c>
      <c r="CC23" s="818" t="s">
        <v>764</v>
      </c>
    </row>
    <row r="24" spans="1:88" s="129" customFormat="1" ht="57" x14ac:dyDescent="0.25">
      <c r="A24" s="819" t="s">
        <v>789</v>
      </c>
      <c r="B24" s="820" t="s">
        <v>1689</v>
      </c>
      <c r="C24" s="821" t="s">
        <v>1689</v>
      </c>
      <c r="D24" s="821" t="s">
        <v>1698</v>
      </c>
      <c r="E24" s="821" t="s">
        <v>1699</v>
      </c>
      <c r="F24" s="821" t="s">
        <v>1692</v>
      </c>
      <c r="G24" s="821" t="s">
        <v>1691</v>
      </c>
      <c r="H24" s="821" t="s">
        <v>716</v>
      </c>
      <c r="I24" s="821" t="s">
        <v>716</v>
      </c>
      <c r="J24" s="821" t="s">
        <v>716</v>
      </c>
      <c r="K24" s="821" t="s">
        <v>1693</v>
      </c>
      <c r="L24" s="821" t="s">
        <v>1694</v>
      </c>
      <c r="M24" s="821" t="s">
        <v>1695</v>
      </c>
      <c r="N24" s="821" t="s">
        <v>718</v>
      </c>
      <c r="O24" s="821" t="s">
        <v>718</v>
      </c>
      <c r="P24" s="821" t="s">
        <v>718</v>
      </c>
      <c r="Q24" s="821" t="s">
        <v>719</v>
      </c>
      <c r="R24" s="821" t="s">
        <v>719</v>
      </c>
      <c r="S24" s="821" t="s">
        <v>719</v>
      </c>
      <c r="T24" s="821" t="s">
        <v>720</v>
      </c>
      <c r="U24" s="821" t="s">
        <v>734</v>
      </c>
      <c r="V24" s="821" t="s">
        <v>720</v>
      </c>
      <c r="W24" s="823"/>
      <c r="X24" s="821">
        <v>0.36</v>
      </c>
      <c r="Y24" s="821">
        <v>0.36</v>
      </c>
      <c r="Z24" s="817">
        <v>0.98199999999999998</v>
      </c>
      <c r="AA24" s="821">
        <v>0.47899999999999998</v>
      </c>
      <c r="AB24" s="821">
        <v>0.36499999999999999</v>
      </c>
      <c r="AC24" s="821">
        <v>0.70499999999999996</v>
      </c>
      <c r="AD24" s="821">
        <v>6.4729999999999999</v>
      </c>
      <c r="AE24" s="821">
        <v>6.4729999999999999</v>
      </c>
      <c r="AF24" s="821">
        <v>6.4729999999999999</v>
      </c>
      <c r="AG24" s="821">
        <v>0.29599999999999999</v>
      </c>
      <c r="AH24" s="821">
        <v>0.214</v>
      </c>
      <c r="AI24" s="821">
        <v>0.39</v>
      </c>
      <c r="AJ24" s="821">
        <v>1.264</v>
      </c>
      <c r="AK24" s="821">
        <v>1.264</v>
      </c>
      <c r="AL24" s="821">
        <v>1.264</v>
      </c>
      <c r="AM24" s="821">
        <v>3.9750000000000001</v>
      </c>
      <c r="AN24" s="821">
        <v>3.9750000000000001</v>
      </c>
      <c r="AO24" s="821">
        <v>3.9750000000000001</v>
      </c>
      <c r="AP24" s="821">
        <v>8.2330000000000005</v>
      </c>
      <c r="AQ24" s="821">
        <v>2.839</v>
      </c>
      <c r="AR24" s="821">
        <v>8.2330000000000005</v>
      </c>
      <c r="AS24" s="823"/>
      <c r="AT24" s="821">
        <v>3.24</v>
      </c>
      <c r="AU24" s="821">
        <v>3.24</v>
      </c>
      <c r="AV24" s="821" t="s">
        <v>764</v>
      </c>
      <c r="AW24" s="821">
        <v>3.24</v>
      </c>
      <c r="AX24" s="821">
        <v>3.24</v>
      </c>
      <c r="AY24" s="821" t="s">
        <v>764</v>
      </c>
      <c r="AZ24" s="821">
        <v>3.24</v>
      </c>
      <c r="BA24" s="821">
        <v>3.24</v>
      </c>
      <c r="BB24" s="821" t="s">
        <v>764</v>
      </c>
      <c r="BC24" s="821">
        <v>3.24</v>
      </c>
      <c r="BD24" s="821">
        <v>3.24</v>
      </c>
      <c r="BE24" s="821" t="s">
        <v>764</v>
      </c>
      <c r="BF24" s="821">
        <v>0.49</v>
      </c>
      <c r="BG24" s="821">
        <v>0.49</v>
      </c>
      <c r="BH24" s="821" t="s">
        <v>764</v>
      </c>
      <c r="BI24" s="821">
        <v>0.39</v>
      </c>
      <c r="BJ24" s="821">
        <v>0.39</v>
      </c>
      <c r="BK24" s="821" t="s">
        <v>764</v>
      </c>
      <c r="BL24" s="821">
        <v>0.39</v>
      </c>
      <c r="BM24" s="821">
        <v>0.39</v>
      </c>
      <c r="BN24" s="821" t="s">
        <v>764</v>
      </c>
      <c r="BO24" s="821">
        <v>0.39</v>
      </c>
      <c r="BP24" s="821">
        <v>0.39</v>
      </c>
      <c r="BQ24" s="821" t="s">
        <v>764</v>
      </c>
      <c r="BR24" s="821">
        <v>3.9180000000000001</v>
      </c>
      <c r="BS24" s="821">
        <v>3.9180000000000001</v>
      </c>
      <c r="BT24" s="821">
        <v>3.9180000000000001</v>
      </c>
      <c r="BU24" s="821">
        <v>3.9180000000000001</v>
      </c>
      <c r="BV24" s="821">
        <v>7.7220000000000004</v>
      </c>
      <c r="BW24" s="821">
        <v>7.7220000000000004</v>
      </c>
      <c r="BX24" s="821">
        <v>0.49</v>
      </c>
      <c r="BY24" s="821">
        <v>0.39</v>
      </c>
      <c r="BZ24" s="821">
        <v>0.49</v>
      </c>
      <c r="CA24" s="821">
        <v>0.39</v>
      </c>
      <c r="CB24" s="821" t="s">
        <v>764</v>
      </c>
      <c r="CC24" s="822" t="s">
        <v>764</v>
      </c>
    </row>
    <row r="25" spans="1:88" s="129" customFormat="1" ht="45.6" x14ac:dyDescent="0.25">
      <c r="A25" s="815" t="s">
        <v>775</v>
      </c>
      <c r="B25" s="816" t="s">
        <v>1681</v>
      </c>
      <c r="C25" s="817" t="s">
        <v>1681</v>
      </c>
      <c r="D25" s="817" t="s">
        <v>1696</v>
      </c>
      <c r="E25" s="817" t="s">
        <v>1697</v>
      </c>
      <c r="F25" s="817" t="s">
        <v>1684</v>
      </c>
      <c r="G25" s="817" t="s">
        <v>1683</v>
      </c>
      <c r="H25" s="817" t="s">
        <v>202</v>
      </c>
      <c r="I25" s="817" t="s">
        <v>202</v>
      </c>
      <c r="J25" s="817" t="s">
        <v>202</v>
      </c>
      <c r="K25" s="817" t="s">
        <v>1685</v>
      </c>
      <c r="L25" s="817" t="s">
        <v>1686</v>
      </c>
      <c r="M25" s="817" t="s">
        <v>1687</v>
      </c>
      <c r="N25" s="817" t="s">
        <v>184</v>
      </c>
      <c r="O25" s="817" t="s">
        <v>184</v>
      </c>
      <c r="P25" s="817" t="s">
        <v>184</v>
      </c>
      <c r="Q25" s="817" t="s">
        <v>187</v>
      </c>
      <c r="R25" s="817" t="s">
        <v>187</v>
      </c>
      <c r="S25" s="817" t="s">
        <v>187</v>
      </c>
      <c r="T25" s="817" t="s">
        <v>188</v>
      </c>
      <c r="U25" s="817" t="s">
        <v>189</v>
      </c>
      <c r="V25" s="817" t="s">
        <v>188</v>
      </c>
      <c r="W25" s="823"/>
      <c r="X25" s="817">
        <v>6.3E-2</v>
      </c>
      <c r="Y25" s="817">
        <v>6.3E-2</v>
      </c>
      <c r="Z25" s="817">
        <v>0.17299999999999999</v>
      </c>
      <c r="AA25" s="817">
        <v>8.4000000000000005E-2</v>
      </c>
      <c r="AB25" s="817">
        <v>6.4000000000000001E-2</v>
      </c>
      <c r="AC25" s="817">
        <v>0.124</v>
      </c>
      <c r="AD25" s="817">
        <v>1.1399999999999999</v>
      </c>
      <c r="AE25" s="817">
        <v>1.1399999999999999</v>
      </c>
      <c r="AF25" s="817">
        <v>1.1399999999999999</v>
      </c>
      <c r="AG25" s="817">
        <v>5.1999999999999998E-2</v>
      </c>
      <c r="AH25" s="817">
        <v>3.7999999999999999E-2</v>
      </c>
      <c r="AI25" s="817">
        <v>6.9000000000000006E-2</v>
      </c>
      <c r="AJ25" s="817">
        <v>0.73</v>
      </c>
      <c r="AK25" s="817">
        <v>0.73</v>
      </c>
      <c r="AL25" s="817">
        <v>0.73</v>
      </c>
      <c r="AM25" s="817">
        <v>0.7</v>
      </c>
      <c r="AN25" s="817">
        <v>0.7</v>
      </c>
      <c r="AO25" s="817">
        <v>0.7</v>
      </c>
      <c r="AP25" s="817">
        <v>1.45</v>
      </c>
      <c r="AQ25" s="817">
        <v>0.5</v>
      </c>
      <c r="AR25" s="817">
        <v>1.45</v>
      </c>
      <c r="AS25" s="823"/>
      <c r="AT25" s="817">
        <v>0.56999999999999995</v>
      </c>
      <c r="AU25" s="817">
        <v>0.56999999999999995</v>
      </c>
      <c r="AV25" s="817">
        <v>1.22</v>
      </c>
      <c r="AW25" s="817">
        <v>0.56999999999999995</v>
      </c>
      <c r="AX25" s="817">
        <v>0.56999999999999995</v>
      </c>
      <c r="AY25" s="817">
        <v>1.22</v>
      </c>
      <c r="AZ25" s="817">
        <v>0.56999999999999995</v>
      </c>
      <c r="BA25" s="817">
        <v>0.56999999999999995</v>
      </c>
      <c r="BB25" s="817">
        <v>1.22</v>
      </c>
      <c r="BC25" s="817">
        <v>0.56999999999999995</v>
      </c>
      <c r="BD25" s="817">
        <v>0.56999999999999995</v>
      </c>
      <c r="BE25" s="817">
        <v>1.22</v>
      </c>
      <c r="BF25" s="817">
        <v>0.49</v>
      </c>
      <c r="BG25" s="817">
        <v>0.49</v>
      </c>
      <c r="BH25" s="817" t="s">
        <v>764</v>
      </c>
      <c r="BI25" s="817">
        <v>0.39</v>
      </c>
      <c r="BJ25" s="817">
        <v>0.39</v>
      </c>
      <c r="BK25" s="817" t="s">
        <v>764</v>
      </c>
      <c r="BL25" s="817">
        <v>0.39</v>
      </c>
      <c r="BM25" s="817">
        <v>0.39</v>
      </c>
      <c r="BN25" s="817" t="s">
        <v>764</v>
      </c>
      <c r="BO25" s="817">
        <v>0.39</v>
      </c>
      <c r="BP25" s="817">
        <v>0.39</v>
      </c>
      <c r="BQ25" s="817" t="s">
        <v>764</v>
      </c>
      <c r="BR25" s="817">
        <v>0.69</v>
      </c>
      <c r="BS25" s="817">
        <v>0.69</v>
      </c>
      <c r="BT25" s="817">
        <v>0.69</v>
      </c>
      <c r="BU25" s="817">
        <v>0.69</v>
      </c>
      <c r="BV25" s="817">
        <v>1.36</v>
      </c>
      <c r="BW25" s="817">
        <v>1.36</v>
      </c>
      <c r="BX25" s="817">
        <v>0.49</v>
      </c>
      <c r="BY25" s="817">
        <v>0.39</v>
      </c>
      <c r="BZ25" s="817">
        <v>0.49</v>
      </c>
      <c r="CA25" s="817">
        <v>0.39</v>
      </c>
      <c r="CB25" s="817" t="s">
        <v>764</v>
      </c>
      <c r="CC25" s="818" t="s">
        <v>764</v>
      </c>
    </row>
    <row r="26" spans="1:88" s="129" customFormat="1" ht="57" x14ac:dyDescent="0.25">
      <c r="A26" s="819" t="s">
        <v>788</v>
      </c>
      <c r="B26" s="820" t="s">
        <v>1689</v>
      </c>
      <c r="C26" s="821" t="s">
        <v>1689</v>
      </c>
      <c r="D26" s="821" t="s">
        <v>1698</v>
      </c>
      <c r="E26" s="821" t="s">
        <v>1699</v>
      </c>
      <c r="F26" s="821" t="s">
        <v>1692</v>
      </c>
      <c r="G26" s="821" t="s">
        <v>1691</v>
      </c>
      <c r="H26" s="821" t="s">
        <v>716</v>
      </c>
      <c r="I26" s="821" t="s">
        <v>716</v>
      </c>
      <c r="J26" s="821" t="s">
        <v>716</v>
      </c>
      <c r="K26" s="821" t="s">
        <v>1693</v>
      </c>
      <c r="L26" s="821" t="s">
        <v>1694</v>
      </c>
      <c r="M26" s="821" t="s">
        <v>1695</v>
      </c>
      <c r="N26" s="821" t="s">
        <v>718</v>
      </c>
      <c r="O26" s="821" t="s">
        <v>718</v>
      </c>
      <c r="P26" s="821" t="s">
        <v>718</v>
      </c>
      <c r="Q26" s="821" t="s">
        <v>719</v>
      </c>
      <c r="R26" s="821" t="s">
        <v>719</v>
      </c>
      <c r="S26" s="821" t="s">
        <v>719</v>
      </c>
      <c r="T26" s="821" t="s">
        <v>720</v>
      </c>
      <c r="U26" s="821" t="s">
        <v>734</v>
      </c>
      <c r="V26" s="821" t="s">
        <v>720</v>
      </c>
      <c r="W26" s="823"/>
      <c r="X26" s="821">
        <v>0.36</v>
      </c>
      <c r="Y26" s="821">
        <v>0.36</v>
      </c>
      <c r="Z26" s="817">
        <v>0.98199999999999998</v>
      </c>
      <c r="AA26" s="821">
        <v>0.47899999999999998</v>
      </c>
      <c r="AB26" s="821">
        <v>0.36499999999999999</v>
      </c>
      <c r="AC26" s="821">
        <v>0.70499999999999996</v>
      </c>
      <c r="AD26" s="821">
        <v>6.4729999999999999</v>
      </c>
      <c r="AE26" s="821">
        <v>6.4729999999999999</v>
      </c>
      <c r="AF26" s="821">
        <v>6.4729999999999999</v>
      </c>
      <c r="AG26" s="821">
        <v>0.29599999999999999</v>
      </c>
      <c r="AH26" s="821">
        <v>0.214</v>
      </c>
      <c r="AI26" s="821">
        <v>0.39</v>
      </c>
      <c r="AJ26" s="821">
        <v>1.264</v>
      </c>
      <c r="AK26" s="821">
        <v>1.264</v>
      </c>
      <c r="AL26" s="821">
        <v>1.264</v>
      </c>
      <c r="AM26" s="821">
        <v>3.9750000000000001</v>
      </c>
      <c r="AN26" s="821">
        <v>3.9750000000000001</v>
      </c>
      <c r="AO26" s="821">
        <v>3.9750000000000001</v>
      </c>
      <c r="AP26" s="821">
        <v>8.2330000000000005</v>
      </c>
      <c r="AQ26" s="821">
        <v>2.839</v>
      </c>
      <c r="AR26" s="821">
        <v>8.2330000000000005</v>
      </c>
      <c r="AS26" s="823"/>
      <c r="AT26" s="821">
        <v>3.24</v>
      </c>
      <c r="AU26" s="821">
        <v>3.24</v>
      </c>
      <c r="AV26" s="821" t="s">
        <v>764</v>
      </c>
      <c r="AW26" s="821">
        <v>3.24</v>
      </c>
      <c r="AX26" s="821">
        <v>3.24</v>
      </c>
      <c r="AY26" s="821" t="s">
        <v>764</v>
      </c>
      <c r="AZ26" s="821">
        <v>3.24</v>
      </c>
      <c r="BA26" s="821">
        <v>3.24</v>
      </c>
      <c r="BB26" s="821" t="s">
        <v>764</v>
      </c>
      <c r="BC26" s="821">
        <v>3.24</v>
      </c>
      <c r="BD26" s="821">
        <v>3.24</v>
      </c>
      <c r="BE26" s="821" t="s">
        <v>764</v>
      </c>
      <c r="BF26" s="821">
        <v>0.49</v>
      </c>
      <c r="BG26" s="821">
        <v>0.49</v>
      </c>
      <c r="BH26" s="821" t="s">
        <v>764</v>
      </c>
      <c r="BI26" s="821">
        <v>0.39</v>
      </c>
      <c r="BJ26" s="821">
        <v>0.39</v>
      </c>
      <c r="BK26" s="821" t="s">
        <v>764</v>
      </c>
      <c r="BL26" s="821">
        <v>0.39</v>
      </c>
      <c r="BM26" s="821">
        <v>0.39</v>
      </c>
      <c r="BN26" s="821" t="s">
        <v>764</v>
      </c>
      <c r="BO26" s="821">
        <v>0.39</v>
      </c>
      <c r="BP26" s="821">
        <v>0.39</v>
      </c>
      <c r="BQ26" s="821" t="s">
        <v>764</v>
      </c>
      <c r="BR26" s="821">
        <v>3.9180000000000001</v>
      </c>
      <c r="BS26" s="821">
        <v>3.9180000000000001</v>
      </c>
      <c r="BT26" s="821">
        <v>3.9180000000000001</v>
      </c>
      <c r="BU26" s="821">
        <v>3.9180000000000001</v>
      </c>
      <c r="BV26" s="821">
        <v>7.7220000000000004</v>
      </c>
      <c r="BW26" s="821">
        <v>7.7220000000000004</v>
      </c>
      <c r="BX26" s="821">
        <v>0.49</v>
      </c>
      <c r="BY26" s="821">
        <v>0.39</v>
      </c>
      <c r="BZ26" s="821">
        <v>0.49</v>
      </c>
      <c r="CA26" s="821">
        <v>0.39</v>
      </c>
      <c r="CB26" s="821" t="s">
        <v>764</v>
      </c>
      <c r="CC26" s="822" t="s">
        <v>764</v>
      </c>
    </row>
    <row r="27" spans="1:88" s="129" customFormat="1" ht="45.6" x14ac:dyDescent="0.25">
      <c r="A27" s="815" t="s">
        <v>776</v>
      </c>
      <c r="B27" s="816" t="s">
        <v>1681</v>
      </c>
      <c r="C27" s="817" t="s">
        <v>1681</v>
      </c>
      <c r="D27" s="817" t="s">
        <v>1696</v>
      </c>
      <c r="E27" s="817" t="s">
        <v>1697</v>
      </c>
      <c r="F27" s="817" t="s">
        <v>1684</v>
      </c>
      <c r="G27" s="817" t="s">
        <v>1683</v>
      </c>
      <c r="H27" s="817" t="s">
        <v>202</v>
      </c>
      <c r="I27" s="817" t="s">
        <v>202</v>
      </c>
      <c r="J27" s="817" t="s">
        <v>202</v>
      </c>
      <c r="K27" s="817" t="s">
        <v>1685</v>
      </c>
      <c r="L27" s="817" t="s">
        <v>1686</v>
      </c>
      <c r="M27" s="817" t="s">
        <v>1687</v>
      </c>
      <c r="N27" s="817" t="s">
        <v>184</v>
      </c>
      <c r="O27" s="817" t="s">
        <v>184</v>
      </c>
      <c r="P27" s="817" t="s">
        <v>184</v>
      </c>
      <c r="Q27" s="817" t="s">
        <v>187</v>
      </c>
      <c r="R27" s="817" t="s">
        <v>187</v>
      </c>
      <c r="S27" s="817" t="s">
        <v>187</v>
      </c>
      <c r="T27" s="817" t="s">
        <v>188</v>
      </c>
      <c r="U27" s="817" t="s">
        <v>189</v>
      </c>
      <c r="V27" s="817" t="s">
        <v>188</v>
      </c>
      <c r="W27" s="823"/>
      <c r="X27" s="817">
        <v>6.3E-2</v>
      </c>
      <c r="Y27" s="817">
        <v>6.3E-2</v>
      </c>
      <c r="Z27" s="817">
        <v>0.17299999999999999</v>
      </c>
      <c r="AA27" s="817">
        <v>8.4000000000000005E-2</v>
      </c>
      <c r="AB27" s="817">
        <v>6.4000000000000001E-2</v>
      </c>
      <c r="AC27" s="817">
        <v>0.124</v>
      </c>
      <c r="AD27" s="817">
        <v>1.1399999999999999</v>
      </c>
      <c r="AE27" s="817">
        <v>1.1399999999999999</v>
      </c>
      <c r="AF27" s="817">
        <v>1.1399999999999999</v>
      </c>
      <c r="AG27" s="817">
        <v>5.1999999999999998E-2</v>
      </c>
      <c r="AH27" s="817">
        <v>3.7999999999999999E-2</v>
      </c>
      <c r="AI27" s="817">
        <v>6.9000000000000006E-2</v>
      </c>
      <c r="AJ27" s="817">
        <v>0.73</v>
      </c>
      <c r="AK27" s="817">
        <v>0.73</v>
      </c>
      <c r="AL27" s="817">
        <v>0.73</v>
      </c>
      <c r="AM27" s="817">
        <v>0.7</v>
      </c>
      <c r="AN27" s="817">
        <v>0.7</v>
      </c>
      <c r="AO27" s="817">
        <v>0.7</v>
      </c>
      <c r="AP27" s="817">
        <v>1.45</v>
      </c>
      <c r="AQ27" s="817">
        <v>0.5</v>
      </c>
      <c r="AR27" s="817">
        <v>1.45</v>
      </c>
      <c r="AS27" s="823"/>
      <c r="AT27" s="817">
        <v>0.56999999999999995</v>
      </c>
      <c r="AU27" s="817">
        <v>0.56999999999999995</v>
      </c>
      <c r="AV27" s="817">
        <v>1.22</v>
      </c>
      <c r="AW27" s="817">
        <v>0.56999999999999995</v>
      </c>
      <c r="AX27" s="817">
        <v>0.56999999999999995</v>
      </c>
      <c r="AY27" s="817">
        <v>1.22</v>
      </c>
      <c r="AZ27" s="817">
        <v>0.56999999999999995</v>
      </c>
      <c r="BA27" s="817">
        <v>0.56999999999999995</v>
      </c>
      <c r="BB27" s="817">
        <v>1.22</v>
      </c>
      <c r="BC27" s="817">
        <v>0.56999999999999995</v>
      </c>
      <c r="BD27" s="817">
        <v>0.56999999999999995</v>
      </c>
      <c r="BE27" s="817">
        <v>1.22</v>
      </c>
      <c r="BF27" s="817">
        <v>0.49</v>
      </c>
      <c r="BG27" s="817">
        <v>0.49</v>
      </c>
      <c r="BH27" s="817" t="s">
        <v>764</v>
      </c>
      <c r="BI27" s="817">
        <v>0.39</v>
      </c>
      <c r="BJ27" s="817">
        <v>0.39</v>
      </c>
      <c r="BK27" s="817" t="s">
        <v>764</v>
      </c>
      <c r="BL27" s="817">
        <v>0.39</v>
      </c>
      <c r="BM27" s="817">
        <v>0.39</v>
      </c>
      <c r="BN27" s="817" t="s">
        <v>764</v>
      </c>
      <c r="BO27" s="817">
        <v>0.39</v>
      </c>
      <c r="BP27" s="817">
        <v>0.39</v>
      </c>
      <c r="BQ27" s="817" t="s">
        <v>764</v>
      </c>
      <c r="BR27" s="817">
        <v>0.69</v>
      </c>
      <c r="BS27" s="817">
        <v>0.69</v>
      </c>
      <c r="BT27" s="817">
        <v>0.69</v>
      </c>
      <c r="BU27" s="817">
        <v>0.69</v>
      </c>
      <c r="BV27" s="817">
        <v>1.36</v>
      </c>
      <c r="BW27" s="817">
        <v>1.36</v>
      </c>
      <c r="BX27" s="817">
        <v>0.49</v>
      </c>
      <c r="BY27" s="817">
        <v>0.39</v>
      </c>
      <c r="BZ27" s="817">
        <v>0.49</v>
      </c>
      <c r="CA27" s="817">
        <v>0.39</v>
      </c>
      <c r="CB27" s="817" t="s">
        <v>764</v>
      </c>
      <c r="CC27" s="818" t="s">
        <v>764</v>
      </c>
    </row>
    <row r="28" spans="1:88" s="129" customFormat="1" ht="57" x14ac:dyDescent="0.25">
      <c r="A28" s="819" t="s">
        <v>787</v>
      </c>
      <c r="B28" s="820" t="s">
        <v>1689</v>
      </c>
      <c r="C28" s="821" t="s">
        <v>1689</v>
      </c>
      <c r="D28" s="821" t="s">
        <v>1698</v>
      </c>
      <c r="E28" s="821" t="s">
        <v>1699</v>
      </c>
      <c r="F28" s="821" t="s">
        <v>1692</v>
      </c>
      <c r="G28" s="821" t="s">
        <v>1691</v>
      </c>
      <c r="H28" s="821" t="s">
        <v>716</v>
      </c>
      <c r="I28" s="821" t="s">
        <v>716</v>
      </c>
      <c r="J28" s="821" t="s">
        <v>716</v>
      </c>
      <c r="K28" s="821" t="s">
        <v>1693</v>
      </c>
      <c r="L28" s="821" t="s">
        <v>1694</v>
      </c>
      <c r="M28" s="821" t="s">
        <v>1695</v>
      </c>
      <c r="N28" s="821" t="s">
        <v>718</v>
      </c>
      <c r="O28" s="821" t="s">
        <v>718</v>
      </c>
      <c r="P28" s="821" t="s">
        <v>718</v>
      </c>
      <c r="Q28" s="821" t="s">
        <v>719</v>
      </c>
      <c r="R28" s="821" t="s">
        <v>719</v>
      </c>
      <c r="S28" s="821" t="s">
        <v>719</v>
      </c>
      <c r="T28" s="821" t="s">
        <v>720</v>
      </c>
      <c r="U28" s="821" t="s">
        <v>734</v>
      </c>
      <c r="V28" s="821" t="s">
        <v>720</v>
      </c>
      <c r="W28" s="823"/>
      <c r="X28" s="821">
        <v>0.36</v>
      </c>
      <c r="Y28" s="821">
        <v>0.36</v>
      </c>
      <c r="Z28" s="817">
        <v>0.98199999999999998</v>
      </c>
      <c r="AA28" s="821">
        <v>0.47899999999999998</v>
      </c>
      <c r="AB28" s="821">
        <v>0.36499999999999999</v>
      </c>
      <c r="AC28" s="821">
        <v>0.70499999999999996</v>
      </c>
      <c r="AD28" s="821">
        <v>6.4729999999999999</v>
      </c>
      <c r="AE28" s="821">
        <v>6.4729999999999999</v>
      </c>
      <c r="AF28" s="821">
        <v>6.4729999999999999</v>
      </c>
      <c r="AG28" s="821">
        <v>0.29599999999999999</v>
      </c>
      <c r="AH28" s="821">
        <v>0.214</v>
      </c>
      <c r="AI28" s="821">
        <v>0.39</v>
      </c>
      <c r="AJ28" s="821">
        <v>1.264</v>
      </c>
      <c r="AK28" s="821">
        <v>1.264</v>
      </c>
      <c r="AL28" s="821">
        <v>1.264</v>
      </c>
      <c r="AM28" s="821">
        <v>3.9750000000000001</v>
      </c>
      <c r="AN28" s="821">
        <v>3.9750000000000001</v>
      </c>
      <c r="AO28" s="821">
        <v>3.9750000000000001</v>
      </c>
      <c r="AP28" s="821">
        <v>8.2330000000000005</v>
      </c>
      <c r="AQ28" s="821">
        <v>2.839</v>
      </c>
      <c r="AR28" s="821">
        <v>8.2330000000000005</v>
      </c>
      <c r="AS28" s="823"/>
      <c r="AT28" s="821">
        <v>3.24</v>
      </c>
      <c r="AU28" s="821">
        <v>3.24</v>
      </c>
      <c r="AV28" s="821" t="s">
        <v>764</v>
      </c>
      <c r="AW28" s="821">
        <v>3.24</v>
      </c>
      <c r="AX28" s="821">
        <v>3.24</v>
      </c>
      <c r="AY28" s="821" t="s">
        <v>764</v>
      </c>
      <c r="AZ28" s="821">
        <v>3.24</v>
      </c>
      <c r="BA28" s="821">
        <v>3.24</v>
      </c>
      <c r="BB28" s="821" t="s">
        <v>764</v>
      </c>
      <c r="BC28" s="821">
        <v>3.24</v>
      </c>
      <c r="BD28" s="821">
        <v>3.24</v>
      </c>
      <c r="BE28" s="821" t="s">
        <v>764</v>
      </c>
      <c r="BF28" s="821">
        <v>0.49</v>
      </c>
      <c r="BG28" s="821">
        <v>0.49</v>
      </c>
      <c r="BH28" s="821" t="s">
        <v>764</v>
      </c>
      <c r="BI28" s="821">
        <v>0.39</v>
      </c>
      <c r="BJ28" s="821">
        <v>0.39</v>
      </c>
      <c r="BK28" s="821" t="s">
        <v>764</v>
      </c>
      <c r="BL28" s="821">
        <v>0.39</v>
      </c>
      <c r="BM28" s="821">
        <v>0.39</v>
      </c>
      <c r="BN28" s="821" t="s">
        <v>764</v>
      </c>
      <c r="BO28" s="821">
        <v>0.39</v>
      </c>
      <c r="BP28" s="821">
        <v>0.39</v>
      </c>
      <c r="BQ28" s="821" t="s">
        <v>764</v>
      </c>
      <c r="BR28" s="821">
        <v>3.9180000000000001</v>
      </c>
      <c r="BS28" s="821">
        <v>3.9180000000000001</v>
      </c>
      <c r="BT28" s="821">
        <v>3.9180000000000001</v>
      </c>
      <c r="BU28" s="821">
        <v>3.9180000000000001</v>
      </c>
      <c r="BV28" s="821">
        <v>7.7220000000000004</v>
      </c>
      <c r="BW28" s="821">
        <v>7.7220000000000004</v>
      </c>
      <c r="BX28" s="821">
        <v>0.49</v>
      </c>
      <c r="BY28" s="821">
        <v>0.39</v>
      </c>
      <c r="BZ28" s="821">
        <v>0.49</v>
      </c>
      <c r="CA28" s="821">
        <v>0.39</v>
      </c>
      <c r="CB28" s="821" t="s">
        <v>764</v>
      </c>
      <c r="CC28" s="822" t="s">
        <v>764</v>
      </c>
    </row>
    <row r="29" spans="1:88" s="129" customFormat="1" ht="45.6" x14ac:dyDescent="0.25">
      <c r="A29" s="815" t="s">
        <v>777</v>
      </c>
      <c r="B29" s="816" t="s">
        <v>1681</v>
      </c>
      <c r="C29" s="816" t="s">
        <v>1681</v>
      </c>
      <c r="D29" s="816" t="s">
        <v>1696</v>
      </c>
      <c r="E29" s="817" t="s">
        <v>1697</v>
      </c>
      <c r="F29" s="817" t="s">
        <v>1684</v>
      </c>
      <c r="G29" s="817" t="s">
        <v>1683</v>
      </c>
      <c r="H29" s="817" t="s">
        <v>202</v>
      </c>
      <c r="I29" s="817" t="s">
        <v>1700</v>
      </c>
      <c r="J29" s="817" t="s">
        <v>202</v>
      </c>
      <c r="K29" s="817" t="s">
        <v>1686</v>
      </c>
      <c r="L29" s="817" t="s">
        <v>1686</v>
      </c>
      <c r="M29" s="817" t="s">
        <v>1687</v>
      </c>
      <c r="N29" s="817" t="s">
        <v>184</v>
      </c>
      <c r="O29" s="817" t="s">
        <v>184</v>
      </c>
      <c r="P29" s="817" t="s">
        <v>184</v>
      </c>
      <c r="Q29" s="817" t="s">
        <v>187</v>
      </c>
      <c r="R29" s="817" t="s">
        <v>189</v>
      </c>
      <c r="S29" s="817" t="s">
        <v>187</v>
      </c>
      <c r="T29" s="817" t="s">
        <v>189</v>
      </c>
      <c r="U29" s="817" t="s">
        <v>189</v>
      </c>
      <c r="V29" s="817" t="s">
        <v>188</v>
      </c>
      <c r="W29" s="823"/>
      <c r="X29" s="817">
        <v>6.3E-2</v>
      </c>
      <c r="Y29" s="817">
        <v>6.3E-2</v>
      </c>
      <c r="Z29" s="817">
        <v>0.17299999999999999</v>
      </c>
      <c r="AA29" s="817">
        <v>8.4000000000000005E-2</v>
      </c>
      <c r="AB29" s="817">
        <v>6.4000000000000001E-2</v>
      </c>
      <c r="AC29" s="817">
        <v>0.124</v>
      </c>
      <c r="AD29" s="817">
        <v>1.1399999999999999</v>
      </c>
      <c r="AE29" s="817">
        <v>0.11899999999999999</v>
      </c>
      <c r="AF29" s="817">
        <v>1.1399999999999999</v>
      </c>
      <c r="AG29" s="817">
        <v>3.7999999999999999E-2</v>
      </c>
      <c r="AH29" s="817">
        <v>3.7999999999999999E-2</v>
      </c>
      <c r="AI29" s="817">
        <v>6.9000000000000006E-2</v>
      </c>
      <c r="AJ29" s="817">
        <v>0.73</v>
      </c>
      <c r="AK29" s="817">
        <v>0.73</v>
      </c>
      <c r="AL29" s="817">
        <v>0.73</v>
      </c>
      <c r="AM29" s="817">
        <v>0.7</v>
      </c>
      <c r="AN29" s="817">
        <v>0.5</v>
      </c>
      <c r="AO29" s="817">
        <v>0.7</v>
      </c>
      <c r="AP29" s="817">
        <v>0.5</v>
      </c>
      <c r="AQ29" s="817">
        <v>0.5</v>
      </c>
      <c r="AR29" s="817">
        <v>1.45</v>
      </c>
      <c r="AS29" s="823"/>
      <c r="AT29" s="817">
        <v>0.56999999999999995</v>
      </c>
      <c r="AU29" s="817">
        <v>0.56999999999999995</v>
      </c>
      <c r="AV29" s="817">
        <v>1.22</v>
      </c>
      <c r="AW29" s="817">
        <v>0.56999999999999995</v>
      </c>
      <c r="AX29" s="817">
        <v>0.56999999999999995</v>
      </c>
      <c r="AY29" s="817">
        <v>1.22</v>
      </c>
      <c r="AZ29" s="817">
        <v>0.56999999999999995</v>
      </c>
      <c r="BA29" s="817">
        <v>0.56999999999999995</v>
      </c>
      <c r="BB29" s="817">
        <v>1.22</v>
      </c>
      <c r="BC29" s="817">
        <v>0.56999999999999995</v>
      </c>
      <c r="BD29" s="817">
        <v>0.56999999999999995</v>
      </c>
      <c r="BE29" s="817">
        <v>1.22</v>
      </c>
      <c r="BF29" s="817">
        <v>0.49</v>
      </c>
      <c r="BG29" s="817">
        <v>0.49</v>
      </c>
      <c r="BH29" s="817" t="s">
        <v>764</v>
      </c>
      <c r="BI29" s="817">
        <v>0.39</v>
      </c>
      <c r="BJ29" s="817">
        <v>0.39</v>
      </c>
      <c r="BK29" s="817" t="s">
        <v>764</v>
      </c>
      <c r="BL29" s="817">
        <v>0.39</v>
      </c>
      <c r="BM29" s="817">
        <v>0.39</v>
      </c>
      <c r="BN29" s="817" t="s">
        <v>764</v>
      </c>
      <c r="BO29" s="817">
        <v>0.39</v>
      </c>
      <c r="BP29" s="817">
        <v>0.39</v>
      </c>
      <c r="BQ29" s="817" t="s">
        <v>764</v>
      </c>
      <c r="BR29" s="817">
        <v>0.69</v>
      </c>
      <c r="BS29" s="817">
        <v>0.69</v>
      </c>
      <c r="BT29" s="817">
        <v>0.57999999999999996</v>
      </c>
      <c r="BU29" s="817">
        <v>0.57999999999999996</v>
      </c>
      <c r="BV29" s="817">
        <v>1.36</v>
      </c>
      <c r="BW29" s="817">
        <v>1.36</v>
      </c>
      <c r="BX29" s="817">
        <v>0.49</v>
      </c>
      <c r="BY29" s="817">
        <v>0.49</v>
      </c>
      <c r="BZ29" s="817">
        <v>0.49</v>
      </c>
      <c r="CA29" s="817">
        <v>0.39</v>
      </c>
      <c r="CB29" s="817" t="s">
        <v>764</v>
      </c>
      <c r="CC29" s="818" t="s">
        <v>764</v>
      </c>
    </row>
    <row r="30" spans="1:88" s="129" customFormat="1" ht="57" x14ac:dyDescent="0.25">
      <c r="A30" s="819" t="s">
        <v>786</v>
      </c>
      <c r="B30" s="820" t="s">
        <v>1689</v>
      </c>
      <c r="C30" s="821" t="s">
        <v>1689</v>
      </c>
      <c r="D30" s="821" t="s">
        <v>1698</v>
      </c>
      <c r="E30" s="821" t="s">
        <v>1699</v>
      </c>
      <c r="F30" s="821" t="s">
        <v>1692</v>
      </c>
      <c r="G30" s="821" t="s">
        <v>1691</v>
      </c>
      <c r="H30" s="821" t="s">
        <v>716</v>
      </c>
      <c r="I30" s="821" t="s">
        <v>1701</v>
      </c>
      <c r="J30" s="821" t="s">
        <v>716</v>
      </c>
      <c r="K30" s="821" t="s">
        <v>1694</v>
      </c>
      <c r="L30" s="821" t="s">
        <v>1694</v>
      </c>
      <c r="M30" s="821" t="s">
        <v>1695</v>
      </c>
      <c r="N30" s="821" t="s">
        <v>718</v>
      </c>
      <c r="O30" s="821" t="s">
        <v>1702</v>
      </c>
      <c r="P30" s="821" t="s">
        <v>718</v>
      </c>
      <c r="Q30" s="821" t="s">
        <v>719</v>
      </c>
      <c r="R30" s="821" t="s">
        <v>734</v>
      </c>
      <c r="S30" s="821" t="s">
        <v>719</v>
      </c>
      <c r="T30" s="821" t="s">
        <v>734</v>
      </c>
      <c r="U30" s="821" t="s">
        <v>734</v>
      </c>
      <c r="V30" s="821" t="s">
        <v>720</v>
      </c>
      <c r="W30" s="823"/>
      <c r="X30" s="821">
        <v>0.36</v>
      </c>
      <c r="Y30" s="821">
        <v>0.36</v>
      </c>
      <c r="Z30" s="817">
        <v>0.98199999999999998</v>
      </c>
      <c r="AA30" s="821">
        <v>0.47899999999999998</v>
      </c>
      <c r="AB30" s="821">
        <v>0.36499999999999999</v>
      </c>
      <c r="AC30" s="821">
        <v>0.70499999999999996</v>
      </c>
      <c r="AD30" s="821">
        <v>6.4729999999999999</v>
      </c>
      <c r="AE30" s="821">
        <v>0.67800000000000005</v>
      </c>
      <c r="AF30" s="821">
        <v>6.4729999999999999</v>
      </c>
      <c r="AG30" s="821">
        <v>0.214</v>
      </c>
      <c r="AH30" s="821">
        <v>0.214</v>
      </c>
      <c r="AI30" s="821">
        <v>0.39</v>
      </c>
      <c r="AJ30" s="821">
        <v>1.264</v>
      </c>
      <c r="AK30" s="821">
        <v>1.26</v>
      </c>
      <c r="AL30" s="821">
        <v>1.264</v>
      </c>
      <c r="AM30" s="821">
        <v>3.9750000000000001</v>
      </c>
      <c r="AN30" s="821">
        <v>2.839</v>
      </c>
      <c r="AO30" s="821">
        <v>3.9750000000000001</v>
      </c>
      <c r="AP30" s="821">
        <v>2.839</v>
      </c>
      <c r="AQ30" s="821">
        <v>2.839</v>
      </c>
      <c r="AR30" s="821">
        <v>8.2330000000000005</v>
      </c>
      <c r="AS30" s="823"/>
      <c r="AT30" s="821">
        <v>3.24</v>
      </c>
      <c r="AU30" s="821">
        <v>3.24</v>
      </c>
      <c r="AV30" s="821">
        <v>6.93</v>
      </c>
      <c r="AW30" s="821">
        <v>3.24</v>
      </c>
      <c r="AX30" s="821">
        <v>3.24</v>
      </c>
      <c r="AY30" s="821">
        <v>6.93</v>
      </c>
      <c r="AZ30" s="821">
        <v>3.24</v>
      </c>
      <c r="BA30" s="821">
        <v>3.24</v>
      </c>
      <c r="BB30" s="821">
        <v>6.93</v>
      </c>
      <c r="BC30" s="821">
        <v>3.24</v>
      </c>
      <c r="BD30" s="821">
        <v>3.24</v>
      </c>
      <c r="BE30" s="821">
        <v>6.93</v>
      </c>
      <c r="BF30" s="821">
        <v>0.49</v>
      </c>
      <c r="BG30" s="821">
        <v>0.49</v>
      </c>
      <c r="BH30" s="821" t="s">
        <v>764</v>
      </c>
      <c r="BI30" s="821">
        <v>0.39</v>
      </c>
      <c r="BJ30" s="821">
        <v>0.39</v>
      </c>
      <c r="BK30" s="821" t="s">
        <v>764</v>
      </c>
      <c r="BL30" s="821">
        <v>0.39</v>
      </c>
      <c r="BM30" s="821">
        <v>0.39</v>
      </c>
      <c r="BN30" s="821" t="s">
        <v>764</v>
      </c>
      <c r="BO30" s="821">
        <v>0.39</v>
      </c>
      <c r="BP30" s="821">
        <v>0.39</v>
      </c>
      <c r="BQ30" s="821" t="s">
        <v>764</v>
      </c>
      <c r="BR30" s="821">
        <v>3.9180000000000001</v>
      </c>
      <c r="BS30" s="821">
        <v>3.9180000000000001</v>
      </c>
      <c r="BT30" s="821">
        <v>3.2930000000000001</v>
      </c>
      <c r="BU30" s="821">
        <v>3.2930000000000001</v>
      </c>
      <c r="BV30" s="821">
        <v>7.7220000000000004</v>
      </c>
      <c r="BW30" s="821">
        <v>7.7220000000000004</v>
      </c>
      <c r="BX30" s="821">
        <v>0.49</v>
      </c>
      <c r="BY30" s="821">
        <v>0.49</v>
      </c>
      <c r="BZ30" s="821">
        <v>0.49</v>
      </c>
      <c r="CA30" s="821">
        <v>0.39</v>
      </c>
      <c r="CB30" s="821" t="s">
        <v>764</v>
      </c>
      <c r="CC30" s="822" t="s">
        <v>764</v>
      </c>
    </row>
    <row r="31" spans="1:88" s="129" customFormat="1" ht="45.6" x14ac:dyDescent="0.25">
      <c r="A31" s="815" t="s">
        <v>778</v>
      </c>
      <c r="B31" s="816" t="s">
        <v>1681</v>
      </c>
      <c r="C31" s="817" t="s">
        <v>1681</v>
      </c>
      <c r="D31" s="817" t="s">
        <v>1696</v>
      </c>
      <c r="E31" s="817" t="s">
        <v>1697</v>
      </c>
      <c r="F31" s="817" t="s">
        <v>1684</v>
      </c>
      <c r="G31" s="817" t="s">
        <v>1683</v>
      </c>
      <c r="H31" s="817" t="s">
        <v>202</v>
      </c>
      <c r="I31" s="817" t="s">
        <v>1700</v>
      </c>
      <c r="J31" s="817" t="s">
        <v>202</v>
      </c>
      <c r="K31" s="817" t="s">
        <v>1686</v>
      </c>
      <c r="L31" s="817" t="s">
        <v>1686</v>
      </c>
      <c r="M31" s="817" t="s">
        <v>1687</v>
      </c>
      <c r="N31" s="817" t="s">
        <v>184</v>
      </c>
      <c r="O31" s="817" t="s">
        <v>184</v>
      </c>
      <c r="P31" s="817" t="s">
        <v>184</v>
      </c>
      <c r="Q31" s="817" t="s">
        <v>187</v>
      </c>
      <c r="R31" s="817" t="s">
        <v>189</v>
      </c>
      <c r="S31" s="817" t="s">
        <v>187</v>
      </c>
      <c r="T31" s="817" t="s">
        <v>189</v>
      </c>
      <c r="U31" s="817" t="s">
        <v>189</v>
      </c>
      <c r="V31" s="817" t="s">
        <v>188</v>
      </c>
      <c r="W31" s="823"/>
      <c r="X31" s="817">
        <v>6.3E-2</v>
      </c>
      <c r="Y31" s="817">
        <v>6.3E-2</v>
      </c>
      <c r="Z31" s="817">
        <v>0.17299999999999999</v>
      </c>
      <c r="AA31" s="817">
        <v>8.4000000000000005E-2</v>
      </c>
      <c r="AB31" s="817">
        <v>6.4000000000000001E-2</v>
      </c>
      <c r="AC31" s="817">
        <v>0.124</v>
      </c>
      <c r="AD31" s="817">
        <v>1.1399999999999999</v>
      </c>
      <c r="AE31" s="817">
        <v>0.11899999999999999</v>
      </c>
      <c r="AF31" s="817">
        <v>1.1399999999999999</v>
      </c>
      <c r="AG31" s="817">
        <v>3.7999999999999999E-2</v>
      </c>
      <c r="AH31" s="817">
        <v>3.7999999999999999E-2</v>
      </c>
      <c r="AI31" s="817">
        <v>6.9000000000000006E-2</v>
      </c>
      <c r="AJ31" s="817">
        <v>0.73</v>
      </c>
      <c r="AK31" s="817">
        <v>0.73</v>
      </c>
      <c r="AL31" s="817">
        <v>0.73</v>
      </c>
      <c r="AM31" s="817">
        <v>0.7</v>
      </c>
      <c r="AN31" s="817">
        <v>0.5</v>
      </c>
      <c r="AO31" s="817">
        <v>0.7</v>
      </c>
      <c r="AP31" s="817">
        <v>0.5</v>
      </c>
      <c r="AQ31" s="817">
        <v>0.5</v>
      </c>
      <c r="AR31" s="817">
        <v>1.45</v>
      </c>
      <c r="AS31" s="823"/>
      <c r="AT31" s="817">
        <v>0.56999999999999995</v>
      </c>
      <c r="AU31" s="817">
        <v>0.56999999999999995</v>
      </c>
      <c r="AV31" s="817">
        <v>1.22</v>
      </c>
      <c r="AW31" s="817">
        <v>0.56999999999999995</v>
      </c>
      <c r="AX31" s="817">
        <v>0.56999999999999995</v>
      </c>
      <c r="AY31" s="817">
        <v>1.22</v>
      </c>
      <c r="AZ31" s="817">
        <v>0.56999999999999995</v>
      </c>
      <c r="BA31" s="817">
        <v>0.56999999999999995</v>
      </c>
      <c r="BB31" s="817">
        <v>1.22</v>
      </c>
      <c r="BC31" s="817">
        <v>0.56999999999999995</v>
      </c>
      <c r="BD31" s="817">
        <v>0.56999999999999995</v>
      </c>
      <c r="BE31" s="817">
        <v>1.22</v>
      </c>
      <c r="BF31" s="817">
        <v>0.49</v>
      </c>
      <c r="BG31" s="817">
        <v>0.49</v>
      </c>
      <c r="BH31" s="817" t="s">
        <v>764</v>
      </c>
      <c r="BI31" s="817">
        <v>0.39</v>
      </c>
      <c r="BJ31" s="817">
        <v>0.39</v>
      </c>
      <c r="BK31" s="817" t="s">
        <v>764</v>
      </c>
      <c r="BL31" s="817">
        <v>0.39</v>
      </c>
      <c r="BM31" s="817">
        <v>0.39</v>
      </c>
      <c r="BN31" s="817" t="s">
        <v>764</v>
      </c>
      <c r="BO31" s="817">
        <v>0.39</v>
      </c>
      <c r="BP31" s="817">
        <v>0.39</v>
      </c>
      <c r="BQ31" s="817" t="s">
        <v>764</v>
      </c>
      <c r="BR31" s="817">
        <v>0.69</v>
      </c>
      <c r="BS31" s="817">
        <v>0.69</v>
      </c>
      <c r="BT31" s="817">
        <v>0.57999999999999996</v>
      </c>
      <c r="BU31" s="817">
        <v>0.57999999999999996</v>
      </c>
      <c r="BV31" s="817">
        <v>1.36</v>
      </c>
      <c r="BW31" s="817">
        <v>1.36</v>
      </c>
      <c r="BX31" s="817">
        <v>0.49</v>
      </c>
      <c r="BY31" s="817">
        <v>0.49</v>
      </c>
      <c r="BZ31" s="817">
        <v>0.49</v>
      </c>
      <c r="CA31" s="817">
        <v>0.39</v>
      </c>
      <c r="CB31" s="817" t="s">
        <v>764</v>
      </c>
      <c r="CC31" s="818" t="s">
        <v>764</v>
      </c>
    </row>
    <row r="32" spans="1:88" s="129" customFormat="1" ht="57" x14ac:dyDescent="0.25">
      <c r="A32" s="819" t="s">
        <v>785</v>
      </c>
      <c r="B32" s="820" t="s">
        <v>1689</v>
      </c>
      <c r="C32" s="821" t="s">
        <v>1689</v>
      </c>
      <c r="D32" s="821" t="s">
        <v>1698</v>
      </c>
      <c r="E32" s="821" t="s">
        <v>1699</v>
      </c>
      <c r="F32" s="821" t="s">
        <v>1692</v>
      </c>
      <c r="G32" s="821" t="s">
        <v>1691</v>
      </c>
      <c r="H32" s="821" t="s">
        <v>716</v>
      </c>
      <c r="I32" s="821" t="s">
        <v>1701</v>
      </c>
      <c r="J32" s="821" t="s">
        <v>716</v>
      </c>
      <c r="K32" s="821" t="s">
        <v>1694</v>
      </c>
      <c r="L32" s="821" t="s">
        <v>1694</v>
      </c>
      <c r="M32" s="821" t="s">
        <v>1695</v>
      </c>
      <c r="N32" s="821" t="s">
        <v>718</v>
      </c>
      <c r="O32" s="821" t="s">
        <v>1702</v>
      </c>
      <c r="P32" s="821" t="s">
        <v>718</v>
      </c>
      <c r="Q32" s="821" t="s">
        <v>719</v>
      </c>
      <c r="R32" s="821" t="s">
        <v>734</v>
      </c>
      <c r="S32" s="821" t="s">
        <v>719</v>
      </c>
      <c r="T32" s="821" t="s">
        <v>734</v>
      </c>
      <c r="U32" s="821" t="s">
        <v>734</v>
      </c>
      <c r="V32" s="821" t="s">
        <v>720</v>
      </c>
      <c r="W32" s="823"/>
      <c r="X32" s="821">
        <v>0.36</v>
      </c>
      <c r="Y32" s="821">
        <v>0.36</v>
      </c>
      <c r="Z32" s="817">
        <v>0.98199999999999998</v>
      </c>
      <c r="AA32" s="821">
        <v>0.47899999999999998</v>
      </c>
      <c r="AB32" s="821">
        <v>0.36499999999999999</v>
      </c>
      <c r="AC32" s="821">
        <v>0.70499999999999996</v>
      </c>
      <c r="AD32" s="821">
        <v>6.4729999999999999</v>
      </c>
      <c r="AE32" s="821">
        <v>0.67800000000000005</v>
      </c>
      <c r="AF32" s="821">
        <v>6.4729999999999999</v>
      </c>
      <c r="AG32" s="821">
        <v>0.214</v>
      </c>
      <c r="AH32" s="821">
        <v>0.214</v>
      </c>
      <c r="AI32" s="821">
        <v>0.39</v>
      </c>
      <c r="AJ32" s="821">
        <v>1.264</v>
      </c>
      <c r="AK32" s="821">
        <v>1.26</v>
      </c>
      <c r="AL32" s="821">
        <v>1.264</v>
      </c>
      <c r="AM32" s="821">
        <v>3.9750000000000001</v>
      </c>
      <c r="AN32" s="821">
        <v>2.839</v>
      </c>
      <c r="AO32" s="821">
        <v>3.9750000000000001</v>
      </c>
      <c r="AP32" s="821">
        <v>2.839</v>
      </c>
      <c r="AQ32" s="821">
        <v>2.839</v>
      </c>
      <c r="AR32" s="821">
        <v>8.2330000000000005</v>
      </c>
      <c r="AS32" s="823"/>
      <c r="AT32" s="821">
        <v>3.24</v>
      </c>
      <c r="AU32" s="821">
        <v>3.24</v>
      </c>
      <c r="AV32" s="821">
        <v>6.93</v>
      </c>
      <c r="AW32" s="821">
        <v>3.24</v>
      </c>
      <c r="AX32" s="821">
        <v>3.24</v>
      </c>
      <c r="AY32" s="821">
        <v>6.93</v>
      </c>
      <c r="AZ32" s="821">
        <v>3.24</v>
      </c>
      <c r="BA32" s="821">
        <v>3.24</v>
      </c>
      <c r="BB32" s="821">
        <v>6.93</v>
      </c>
      <c r="BC32" s="821">
        <v>3.24</v>
      </c>
      <c r="BD32" s="821">
        <v>3.24</v>
      </c>
      <c r="BE32" s="821">
        <v>6.93</v>
      </c>
      <c r="BF32" s="821">
        <v>0.49</v>
      </c>
      <c r="BG32" s="821">
        <v>0.49</v>
      </c>
      <c r="BH32" s="821" t="s">
        <v>764</v>
      </c>
      <c r="BI32" s="821">
        <v>0.39</v>
      </c>
      <c r="BJ32" s="821">
        <v>0.39</v>
      </c>
      <c r="BK32" s="821" t="s">
        <v>764</v>
      </c>
      <c r="BL32" s="821">
        <v>0.39</v>
      </c>
      <c r="BM32" s="821">
        <v>0.39</v>
      </c>
      <c r="BN32" s="821" t="s">
        <v>764</v>
      </c>
      <c r="BO32" s="821">
        <v>0.39</v>
      </c>
      <c r="BP32" s="821">
        <v>0.39</v>
      </c>
      <c r="BQ32" s="821" t="s">
        <v>764</v>
      </c>
      <c r="BR32" s="821">
        <v>3.9180000000000001</v>
      </c>
      <c r="BS32" s="821">
        <v>3.9180000000000001</v>
      </c>
      <c r="BT32" s="821">
        <v>3.2930000000000001</v>
      </c>
      <c r="BU32" s="821">
        <v>3.2930000000000001</v>
      </c>
      <c r="BV32" s="821">
        <v>7.7220000000000004</v>
      </c>
      <c r="BW32" s="821">
        <v>7.7220000000000004</v>
      </c>
      <c r="BX32" s="821">
        <v>0.49</v>
      </c>
      <c r="BY32" s="821">
        <v>0.49</v>
      </c>
      <c r="BZ32" s="821">
        <v>0.49</v>
      </c>
      <c r="CA32" s="821">
        <v>0.39</v>
      </c>
      <c r="CB32" s="821" t="s">
        <v>764</v>
      </c>
      <c r="CC32" s="822" t="s">
        <v>764</v>
      </c>
    </row>
    <row r="33" spans="1:81" s="129" customFormat="1" ht="45.6" x14ac:dyDescent="0.25">
      <c r="A33" s="815" t="s">
        <v>779</v>
      </c>
      <c r="B33" s="816" t="s">
        <v>1681</v>
      </c>
      <c r="C33" s="817" t="s">
        <v>1681</v>
      </c>
      <c r="D33" s="817" t="s">
        <v>1696</v>
      </c>
      <c r="E33" s="817" t="s">
        <v>1684</v>
      </c>
      <c r="F33" s="817" t="s">
        <v>1684</v>
      </c>
      <c r="G33" s="817" t="s">
        <v>1683</v>
      </c>
      <c r="H33" s="817" t="s">
        <v>1700</v>
      </c>
      <c r="I33" s="817" t="s">
        <v>1700</v>
      </c>
      <c r="J33" s="817" t="s">
        <v>202</v>
      </c>
      <c r="K33" s="817" t="s">
        <v>1686</v>
      </c>
      <c r="L33" s="817" t="s">
        <v>1686</v>
      </c>
      <c r="M33" s="817" t="s">
        <v>1685</v>
      </c>
      <c r="N33" s="817" t="s">
        <v>184</v>
      </c>
      <c r="O33" s="817" t="s">
        <v>3102</v>
      </c>
      <c r="P33" s="817" t="s">
        <v>184</v>
      </c>
      <c r="Q33" s="817" t="s">
        <v>3090</v>
      </c>
      <c r="R33" s="817" t="s">
        <v>3099</v>
      </c>
      <c r="S33" s="817" t="s">
        <v>3090</v>
      </c>
      <c r="T33" s="817" t="s">
        <v>3099</v>
      </c>
      <c r="U33" s="817" t="s">
        <v>3099</v>
      </c>
      <c r="V33" s="817" t="s">
        <v>188</v>
      </c>
      <c r="W33" s="823"/>
      <c r="X33" s="817">
        <v>6.3E-2</v>
      </c>
      <c r="Y33" s="817">
        <v>6.3E-2</v>
      </c>
      <c r="Z33" s="817">
        <v>0.17299999999999999</v>
      </c>
      <c r="AA33" s="817">
        <v>6.4000000000000001E-2</v>
      </c>
      <c r="AB33" s="817">
        <v>6.4000000000000001E-2</v>
      </c>
      <c r="AC33" s="817">
        <v>0.124</v>
      </c>
      <c r="AD33" s="817">
        <v>0.11899999999999999</v>
      </c>
      <c r="AE33" s="817">
        <v>0.11899999999999999</v>
      </c>
      <c r="AF33" s="817">
        <v>1.1399999999999999</v>
      </c>
      <c r="AG33" s="817">
        <v>3.7999999999999999E-2</v>
      </c>
      <c r="AH33" s="817">
        <v>3.7999999999999999E-2</v>
      </c>
      <c r="AI33" s="817">
        <v>5.1999999999999998E-2</v>
      </c>
      <c r="AJ33" s="817">
        <v>0.73</v>
      </c>
      <c r="AK33" s="817">
        <v>0.54</v>
      </c>
      <c r="AL33" s="817">
        <v>0.73</v>
      </c>
      <c r="AM33" s="817">
        <v>0.7</v>
      </c>
      <c r="AN33" s="817">
        <v>0.5</v>
      </c>
      <c r="AO33" s="817">
        <v>0.7</v>
      </c>
      <c r="AP33" s="817">
        <v>0.5</v>
      </c>
      <c r="AQ33" s="817">
        <v>0.5</v>
      </c>
      <c r="AR33" s="817">
        <v>1.45</v>
      </c>
      <c r="AS33" s="823"/>
      <c r="AT33" s="817">
        <v>0.56999999999999995</v>
      </c>
      <c r="AU33" s="817">
        <v>0.56999999999999995</v>
      </c>
      <c r="AV33" s="817">
        <v>1.22</v>
      </c>
      <c r="AW33" s="817">
        <v>0.56999999999999995</v>
      </c>
      <c r="AX33" s="817">
        <v>0.56999999999999995</v>
      </c>
      <c r="AY33" s="817">
        <v>1.22</v>
      </c>
      <c r="AZ33" s="817">
        <v>0.56999999999999995</v>
      </c>
      <c r="BA33" s="817">
        <v>0.56999999999999995</v>
      </c>
      <c r="BB33" s="817">
        <v>1.22</v>
      </c>
      <c r="BC33" s="817">
        <v>0.56999999999999995</v>
      </c>
      <c r="BD33" s="817">
        <v>0.56999999999999995</v>
      </c>
      <c r="BE33" s="817">
        <v>1.22</v>
      </c>
      <c r="BF33" s="817">
        <v>0.49</v>
      </c>
      <c r="BG33" s="817">
        <v>0.49</v>
      </c>
      <c r="BH33" s="817" t="s">
        <v>764</v>
      </c>
      <c r="BI33" s="817">
        <v>0.49</v>
      </c>
      <c r="BJ33" s="817">
        <v>0.49</v>
      </c>
      <c r="BK33" s="817" t="s">
        <v>764</v>
      </c>
      <c r="BL33" s="817">
        <v>0.49</v>
      </c>
      <c r="BM33" s="817">
        <v>0.49</v>
      </c>
      <c r="BN33" s="817" t="s">
        <v>764</v>
      </c>
      <c r="BO33" s="817">
        <v>0.49</v>
      </c>
      <c r="BP33" s="817">
        <v>0.49</v>
      </c>
      <c r="BQ33" s="817" t="s">
        <v>764</v>
      </c>
      <c r="BR33" s="817">
        <v>0.69</v>
      </c>
      <c r="BS33" s="817">
        <v>0.69</v>
      </c>
      <c r="BT33" s="817">
        <v>0.69</v>
      </c>
      <c r="BU33" s="817">
        <v>0.69</v>
      </c>
      <c r="BV33" s="817">
        <v>1.36</v>
      </c>
      <c r="BW33" s="817">
        <v>1.36</v>
      </c>
      <c r="BX33" s="817">
        <v>0.68</v>
      </c>
      <c r="BY33" s="817">
        <v>0.64</v>
      </c>
      <c r="BZ33" s="817">
        <v>0.64</v>
      </c>
      <c r="CA33" s="817">
        <v>0.64</v>
      </c>
      <c r="CB33" s="817" t="s">
        <v>764</v>
      </c>
      <c r="CC33" s="818" t="s">
        <v>764</v>
      </c>
    </row>
    <row r="34" spans="1:81" s="129" customFormat="1" ht="57" x14ac:dyDescent="0.25">
      <c r="A34" s="819" t="s">
        <v>784</v>
      </c>
      <c r="B34" s="820" t="s">
        <v>3091</v>
      </c>
      <c r="C34" s="821" t="s">
        <v>3091</v>
      </c>
      <c r="D34" s="821" t="s">
        <v>1698</v>
      </c>
      <c r="E34" s="821" t="s">
        <v>3103</v>
      </c>
      <c r="F34" s="821" t="s">
        <v>3103</v>
      </c>
      <c r="G34" s="821" t="s">
        <v>3093</v>
      </c>
      <c r="H34" s="821" t="s">
        <v>3104</v>
      </c>
      <c r="I34" s="821" t="s">
        <v>3104</v>
      </c>
      <c r="J34" s="821" t="s">
        <v>3095</v>
      </c>
      <c r="K34" s="821" t="s">
        <v>2181</v>
      </c>
      <c r="L34" s="821" t="s">
        <v>2181</v>
      </c>
      <c r="M34" s="821" t="s">
        <v>3098</v>
      </c>
      <c r="N34" s="821" t="s">
        <v>718</v>
      </c>
      <c r="O34" s="821" t="s">
        <v>3105</v>
      </c>
      <c r="P34" s="821" t="s">
        <v>718</v>
      </c>
      <c r="Q34" s="821" t="s">
        <v>719</v>
      </c>
      <c r="R34" s="821" t="s">
        <v>734</v>
      </c>
      <c r="S34" s="821" t="s">
        <v>719</v>
      </c>
      <c r="T34" s="821" t="s">
        <v>734</v>
      </c>
      <c r="U34" s="821" t="s">
        <v>734</v>
      </c>
      <c r="V34" s="821" t="s">
        <v>720</v>
      </c>
      <c r="W34" s="823"/>
      <c r="X34" s="821">
        <v>0.35799999999999998</v>
      </c>
      <c r="Y34" s="821">
        <v>0.35799999999999998</v>
      </c>
      <c r="Z34" s="817">
        <v>0.98199999999999998</v>
      </c>
      <c r="AA34" s="821">
        <v>0.36299999999999999</v>
      </c>
      <c r="AB34" s="821">
        <v>0.36299999999999999</v>
      </c>
      <c r="AC34" s="821">
        <v>0.70399999999999996</v>
      </c>
      <c r="AD34" s="821">
        <v>0.67600000000000005</v>
      </c>
      <c r="AE34" s="821">
        <v>0.67600000000000005</v>
      </c>
      <c r="AF34" s="821">
        <v>6.4729999999999999</v>
      </c>
      <c r="AG34" s="821">
        <v>0.216</v>
      </c>
      <c r="AH34" s="821">
        <v>0.216</v>
      </c>
      <c r="AI34" s="821">
        <v>0.29499999999999998</v>
      </c>
      <c r="AJ34" s="821">
        <v>1.264</v>
      </c>
      <c r="AK34" s="821">
        <v>0.93500000000000005</v>
      </c>
      <c r="AL34" s="821">
        <v>1.264</v>
      </c>
      <c r="AM34" s="821">
        <v>3.9750000000000001</v>
      </c>
      <c r="AN34" s="821">
        <v>2.839</v>
      </c>
      <c r="AO34" s="821">
        <v>3.9750000000000001</v>
      </c>
      <c r="AP34" s="821">
        <v>2.839</v>
      </c>
      <c r="AQ34" s="821">
        <v>2.839</v>
      </c>
      <c r="AR34" s="821">
        <v>8.2330000000000005</v>
      </c>
      <c r="AS34" s="823"/>
      <c r="AT34" s="821">
        <v>3.24</v>
      </c>
      <c r="AU34" s="821">
        <v>3.24</v>
      </c>
      <c r="AV34" s="821">
        <v>6.93</v>
      </c>
      <c r="AW34" s="821">
        <v>3.24</v>
      </c>
      <c r="AX34" s="821">
        <v>3.24</v>
      </c>
      <c r="AY34" s="821">
        <v>6.93</v>
      </c>
      <c r="AZ34" s="821">
        <v>3.24</v>
      </c>
      <c r="BA34" s="821">
        <v>3.24</v>
      </c>
      <c r="BB34" s="821">
        <v>6.93</v>
      </c>
      <c r="BC34" s="821">
        <v>3.24</v>
      </c>
      <c r="BD34" s="821">
        <v>3.24</v>
      </c>
      <c r="BE34" s="821">
        <v>6.93</v>
      </c>
      <c r="BF34" s="821">
        <v>0.49</v>
      </c>
      <c r="BG34" s="821">
        <v>0.49</v>
      </c>
      <c r="BH34" s="821" t="s">
        <v>764</v>
      </c>
      <c r="BI34" s="821">
        <v>0.49</v>
      </c>
      <c r="BJ34" s="821">
        <v>0.49</v>
      </c>
      <c r="BK34" s="821" t="s">
        <v>764</v>
      </c>
      <c r="BL34" s="821">
        <v>0.49</v>
      </c>
      <c r="BM34" s="821">
        <v>0.49</v>
      </c>
      <c r="BN34" s="821" t="s">
        <v>764</v>
      </c>
      <c r="BO34" s="821">
        <v>0.49</v>
      </c>
      <c r="BP34" s="821">
        <v>0.49</v>
      </c>
      <c r="BQ34" s="821" t="s">
        <v>764</v>
      </c>
      <c r="BR34" s="821">
        <v>3.9180000000000001</v>
      </c>
      <c r="BS34" s="821">
        <v>3.9180000000000001</v>
      </c>
      <c r="BT34" s="821">
        <v>3.9180000000000001</v>
      </c>
      <c r="BU34" s="821">
        <v>3.9180000000000001</v>
      </c>
      <c r="BV34" s="821">
        <v>7.7220000000000004</v>
      </c>
      <c r="BW34" s="821">
        <v>7.7220000000000004</v>
      </c>
      <c r="BX34" s="821">
        <v>0.68</v>
      </c>
      <c r="BY34" s="821">
        <v>0.64</v>
      </c>
      <c r="BZ34" s="821">
        <v>0.64</v>
      </c>
      <c r="CA34" s="821">
        <v>0.64</v>
      </c>
      <c r="CB34" s="821" t="s">
        <v>764</v>
      </c>
      <c r="CC34" s="822" t="s">
        <v>764</v>
      </c>
    </row>
    <row r="35" spans="1:81" s="129" customFormat="1" ht="45.6" x14ac:dyDescent="0.25">
      <c r="A35" s="815" t="s">
        <v>780</v>
      </c>
      <c r="B35" s="816" t="s">
        <v>1681</v>
      </c>
      <c r="C35" s="817" t="s">
        <v>1681</v>
      </c>
      <c r="D35" s="817" t="s">
        <v>1696</v>
      </c>
      <c r="E35" s="817" t="s">
        <v>1684</v>
      </c>
      <c r="F35" s="817" t="s">
        <v>1684</v>
      </c>
      <c r="G35" s="817" t="s">
        <v>1683</v>
      </c>
      <c r="H35" s="817" t="s">
        <v>1700</v>
      </c>
      <c r="I35" s="817" t="s">
        <v>1700</v>
      </c>
      <c r="J35" s="817" t="s">
        <v>202</v>
      </c>
      <c r="K35" s="817" t="s">
        <v>1686</v>
      </c>
      <c r="L35" s="817" t="s">
        <v>1686</v>
      </c>
      <c r="M35" s="817" t="s">
        <v>1685</v>
      </c>
      <c r="N35" s="817" t="s">
        <v>184</v>
      </c>
      <c r="O35" s="817" t="s">
        <v>3102</v>
      </c>
      <c r="P35" s="817" t="s">
        <v>184</v>
      </c>
      <c r="Q35" s="817" t="s">
        <v>3090</v>
      </c>
      <c r="R35" s="817" t="s">
        <v>3099</v>
      </c>
      <c r="S35" s="817" t="s">
        <v>3090</v>
      </c>
      <c r="T35" s="817" t="s">
        <v>3099</v>
      </c>
      <c r="U35" s="817" t="s">
        <v>3099</v>
      </c>
      <c r="V35" s="817" t="s">
        <v>188</v>
      </c>
      <c r="W35" s="823"/>
      <c r="X35" s="817">
        <v>6.3E-2</v>
      </c>
      <c r="Y35" s="817">
        <v>6.3E-2</v>
      </c>
      <c r="Z35" s="817">
        <v>0.17299999999999999</v>
      </c>
      <c r="AA35" s="817">
        <v>6.4000000000000001E-2</v>
      </c>
      <c r="AB35" s="817">
        <v>6.4000000000000001E-2</v>
      </c>
      <c r="AC35" s="817">
        <v>0.124</v>
      </c>
      <c r="AD35" s="817">
        <v>0.11899999999999999</v>
      </c>
      <c r="AE35" s="817">
        <v>0.11899999999999999</v>
      </c>
      <c r="AF35" s="817">
        <v>1.1399999999999999</v>
      </c>
      <c r="AG35" s="817">
        <v>3.7999999999999999E-2</v>
      </c>
      <c r="AH35" s="817">
        <v>3.7999999999999999E-2</v>
      </c>
      <c r="AI35" s="817">
        <v>5.1999999999999998E-2</v>
      </c>
      <c r="AJ35" s="817">
        <v>0.73</v>
      </c>
      <c r="AK35" s="817">
        <v>0.54</v>
      </c>
      <c r="AL35" s="817">
        <v>0.73</v>
      </c>
      <c r="AM35" s="817">
        <v>0.7</v>
      </c>
      <c r="AN35" s="817">
        <v>0.5</v>
      </c>
      <c r="AO35" s="817">
        <v>0.7</v>
      </c>
      <c r="AP35" s="817">
        <v>0.5</v>
      </c>
      <c r="AQ35" s="817">
        <v>0.5</v>
      </c>
      <c r="AR35" s="817">
        <v>1.45</v>
      </c>
      <c r="AS35" s="823"/>
      <c r="AT35" s="817">
        <v>0.56999999999999995</v>
      </c>
      <c r="AU35" s="817">
        <v>0.56999999999999995</v>
      </c>
      <c r="AV35" s="817">
        <v>1.22</v>
      </c>
      <c r="AW35" s="817">
        <v>0.56999999999999995</v>
      </c>
      <c r="AX35" s="817">
        <v>0.56999999999999995</v>
      </c>
      <c r="AY35" s="817">
        <v>1.22</v>
      </c>
      <c r="AZ35" s="817">
        <v>0.56999999999999995</v>
      </c>
      <c r="BA35" s="817">
        <v>0.56999999999999995</v>
      </c>
      <c r="BB35" s="817">
        <v>1.22</v>
      </c>
      <c r="BC35" s="817">
        <v>0.56999999999999995</v>
      </c>
      <c r="BD35" s="817">
        <v>0.56999999999999995</v>
      </c>
      <c r="BE35" s="817">
        <v>1.22</v>
      </c>
      <c r="BF35" s="817">
        <v>0.49</v>
      </c>
      <c r="BG35" s="817">
        <v>0.49</v>
      </c>
      <c r="BH35" s="817" t="s">
        <v>764</v>
      </c>
      <c r="BI35" s="817">
        <v>0.49</v>
      </c>
      <c r="BJ35" s="817">
        <v>0.49</v>
      </c>
      <c r="BK35" s="817" t="s">
        <v>764</v>
      </c>
      <c r="BL35" s="817">
        <v>0.49</v>
      </c>
      <c r="BM35" s="817">
        <v>0.49</v>
      </c>
      <c r="BN35" s="817" t="s">
        <v>764</v>
      </c>
      <c r="BO35" s="817">
        <v>0.49</v>
      </c>
      <c r="BP35" s="817">
        <v>0.49</v>
      </c>
      <c r="BQ35" s="817" t="s">
        <v>764</v>
      </c>
      <c r="BR35" s="817">
        <v>0.69</v>
      </c>
      <c r="BS35" s="817">
        <v>0.69</v>
      </c>
      <c r="BT35" s="817">
        <v>0.69</v>
      </c>
      <c r="BU35" s="817">
        <v>0.69</v>
      </c>
      <c r="BV35" s="817">
        <v>1.36</v>
      </c>
      <c r="BW35" s="817">
        <v>1.36</v>
      </c>
      <c r="BX35" s="817">
        <v>0.68</v>
      </c>
      <c r="BY35" s="817">
        <v>0.64</v>
      </c>
      <c r="BZ35" s="817">
        <v>0.64</v>
      </c>
      <c r="CA35" s="817">
        <v>0.64</v>
      </c>
      <c r="CB35" s="817" t="s">
        <v>764</v>
      </c>
      <c r="CC35" s="818" t="s">
        <v>764</v>
      </c>
    </row>
    <row r="36" spans="1:81" s="129" customFormat="1" ht="57" x14ac:dyDescent="0.25">
      <c r="A36" s="819" t="s">
        <v>783</v>
      </c>
      <c r="B36" s="820" t="s">
        <v>3091</v>
      </c>
      <c r="C36" s="821" t="s">
        <v>3091</v>
      </c>
      <c r="D36" s="821" t="s">
        <v>1698</v>
      </c>
      <c r="E36" s="821" t="s">
        <v>3103</v>
      </c>
      <c r="F36" s="821" t="s">
        <v>3103</v>
      </c>
      <c r="G36" s="821" t="s">
        <v>3093</v>
      </c>
      <c r="H36" s="821" t="s">
        <v>3104</v>
      </c>
      <c r="I36" s="821" t="s">
        <v>3104</v>
      </c>
      <c r="J36" s="821" t="s">
        <v>3095</v>
      </c>
      <c r="K36" s="821" t="s">
        <v>2181</v>
      </c>
      <c r="L36" s="821" t="s">
        <v>2181</v>
      </c>
      <c r="M36" s="821" t="s">
        <v>3098</v>
      </c>
      <c r="N36" s="821" t="s">
        <v>718</v>
      </c>
      <c r="O36" s="821" t="s">
        <v>3105</v>
      </c>
      <c r="P36" s="821" t="s">
        <v>718</v>
      </c>
      <c r="Q36" s="821" t="s">
        <v>719</v>
      </c>
      <c r="R36" s="821" t="s">
        <v>734</v>
      </c>
      <c r="S36" s="821" t="s">
        <v>719</v>
      </c>
      <c r="T36" s="821" t="s">
        <v>734</v>
      </c>
      <c r="U36" s="821" t="s">
        <v>734</v>
      </c>
      <c r="V36" s="821" t="s">
        <v>720</v>
      </c>
      <c r="W36" s="823"/>
      <c r="X36" s="821">
        <v>0.35799999999999998</v>
      </c>
      <c r="Y36" s="821">
        <v>0.35799999999999998</v>
      </c>
      <c r="Z36" s="817">
        <v>0.98199999999999998</v>
      </c>
      <c r="AA36" s="821">
        <v>0.36299999999999999</v>
      </c>
      <c r="AB36" s="821">
        <v>0.36299999999999999</v>
      </c>
      <c r="AC36" s="821">
        <v>0.70399999999999996</v>
      </c>
      <c r="AD36" s="821">
        <v>0.67600000000000005</v>
      </c>
      <c r="AE36" s="821">
        <v>0.67600000000000005</v>
      </c>
      <c r="AF36" s="821">
        <v>6.4729999999999999</v>
      </c>
      <c r="AG36" s="821">
        <v>0.216</v>
      </c>
      <c r="AH36" s="821">
        <v>0.216</v>
      </c>
      <c r="AI36" s="821">
        <v>0.29499999999999998</v>
      </c>
      <c r="AJ36" s="821">
        <v>1.264</v>
      </c>
      <c r="AK36" s="821">
        <v>0.93500000000000005</v>
      </c>
      <c r="AL36" s="821">
        <v>1.264</v>
      </c>
      <c r="AM36" s="821">
        <v>3.9750000000000001</v>
      </c>
      <c r="AN36" s="821">
        <v>2.839</v>
      </c>
      <c r="AO36" s="821">
        <v>3.9750000000000001</v>
      </c>
      <c r="AP36" s="821">
        <v>2.839</v>
      </c>
      <c r="AQ36" s="821">
        <v>2.839</v>
      </c>
      <c r="AR36" s="821">
        <v>8.2330000000000005</v>
      </c>
      <c r="AS36" s="823"/>
      <c r="AT36" s="821">
        <v>3.24</v>
      </c>
      <c r="AU36" s="821">
        <v>3.24</v>
      </c>
      <c r="AV36" s="821">
        <v>6.93</v>
      </c>
      <c r="AW36" s="821">
        <v>3.24</v>
      </c>
      <c r="AX36" s="821">
        <v>3.24</v>
      </c>
      <c r="AY36" s="821">
        <v>6.93</v>
      </c>
      <c r="AZ36" s="821">
        <v>3.24</v>
      </c>
      <c r="BA36" s="821">
        <v>3.24</v>
      </c>
      <c r="BB36" s="821">
        <v>6.93</v>
      </c>
      <c r="BC36" s="821">
        <v>3.24</v>
      </c>
      <c r="BD36" s="821">
        <v>3.24</v>
      </c>
      <c r="BE36" s="821">
        <v>6.93</v>
      </c>
      <c r="BF36" s="821">
        <v>0.49</v>
      </c>
      <c r="BG36" s="821">
        <v>0.49</v>
      </c>
      <c r="BH36" s="821" t="s">
        <v>764</v>
      </c>
      <c r="BI36" s="821">
        <v>0.49</v>
      </c>
      <c r="BJ36" s="821">
        <v>0.49</v>
      </c>
      <c r="BK36" s="821" t="s">
        <v>764</v>
      </c>
      <c r="BL36" s="821">
        <v>0.49</v>
      </c>
      <c r="BM36" s="821">
        <v>0.49</v>
      </c>
      <c r="BN36" s="821" t="s">
        <v>764</v>
      </c>
      <c r="BO36" s="821">
        <v>0.49</v>
      </c>
      <c r="BP36" s="821">
        <v>0.49</v>
      </c>
      <c r="BQ36" s="821" t="s">
        <v>764</v>
      </c>
      <c r="BR36" s="821">
        <v>3.9180000000000001</v>
      </c>
      <c r="BS36" s="821">
        <v>3.9180000000000001</v>
      </c>
      <c r="BT36" s="821">
        <v>3.9180000000000001</v>
      </c>
      <c r="BU36" s="821">
        <v>3.9180000000000001</v>
      </c>
      <c r="BV36" s="821">
        <v>7.7220000000000004</v>
      </c>
      <c r="BW36" s="821">
        <v>7.7220000000000004</v>
      </c>
      <c r="BX36" s="821">
        <v>0.68</v>
      </c>
      <c r="BY36" s="821">
        <v>0.64</v>
      </c>
      <c r="BZ36" s="821">
        <v>0.64</v>
      </c>
      <c r="CA36" s="821">
        <v>0.64</v>
      </c>
      <c r="CB36" s="821" t="s">
        <v>764</v>
      </c>
      <c r="CC36" s="822" t="s">
        <v>764</v>
      </c>
    </row>
    <row r="37" spans="1:81" s="129" customFormat="1" ht="45.6" x14ac:dyDescent="0.25">
      <c r="A37" s="815" t="s">
        <v>781</v>
      </c>
      <c r="B37" s="816" t="s">
        <v>3106</v>
      </c>
      <c r="C37" s="817" t="s">
        <v>3106</v>
      </c>
      <c r="D37" s="817" t="s">
        <v>3107</v>
      </c>
      <c r="E37" s="817" t="s">
        <v>1684</v>
      </c>
      <c r="F37" s="817" t="s">
        <v>3108</v>
      </c>
      <c r="G37" s="817" t="s">
        <v>1683</v>
      </c>
      <c r="H37" s="817" t="s">
        <v>1700</v>
      </c>
      <c r="I37" s="817" t="s">
        <v>1700</v>
      </c>
      <c r="J37" s="817" t="s">
        <v>202</v>
      </c>
      <c r="K37" s="817" t="s">
        <v>1686</v>
      </c>
      <c r="L37" s="817" t="s">
        <v>3109</v>
      </c>
      <c r="M37" s="817" t="s">
        <v>1685</v>
      </c>
      <c r="N37" s="817" t="s">
        <v>3102</v>
      </c>
      <c r="O37" s="817" t="s">
        <v>3110</v>
      </c>
      <c r="P37" s="817" t="s">
        <v>184</v>
      </c>
      <c r="Q37" s="817" t="s">
        <v>3099</v>
      </c>
      <c r="R37" s="817" t="s">
        <v>3099</v>
      </c>
      <c r="S37" s="817" t="s">
        <v>3090</v>
      </c>
      <c r="T37" s="817" t="s">
        <v>3099</v>
      </c>
      <c r="U37" s="817" t="s">
        <v>3099</v>
      </c>
      <c r="V37" s="817" t="s">
        <v>188</v>
      </c>
      <c r="W37" s="823"/>
      <c r="X37" s="817">
        <v>4.8000000000000001E-2</v>
      </c>
      <c r="Y37" s="817">
        <v>4.8000000000000001E-2</v>
      </c>
      <c r="Z37" s="817">
        <v>9.2999999999999999E-2</v>
      </c>
      <c r="AA37" s="817">
        <v>6.4000000000000001E-2</v>
      </c>
      <c r="AB37" s="817">
        <v>5.5E-2</v>
      </c>
      <c r="AC37" s="817">
        <v>0.124</v>
      </c>
      <c r="AD37" s="817">
        <v>0.11899999999999999</v>
      </c>
      <c r="AE37" s="817">
        <v>0.11899999999999999</v>
      </c>
      <c r="AF37" s="817">
        <v>1.1399999999999999</v>
      </c>
      <c r="AG37" s="817">
        <v>3.7999999999999999E-2</v>
      </c>
      <c r="AH37" s="817">
        <v>3.2000000000000001E-2</v>
      </c>
      <c r="AI37" s="817">
        <v>5.1999999999999998E-2</v>
      </c>
      <c r="AJ37" s="817">
        <v>0.54</v>
      </c>
      <c r="AK37" s="817">
        <v>0.52</v>
      </c>
      <c r="AL37" s="817">
        <v>0.73</v>
      </c>
      <c r="AM37" s="817">
        <v>0.5</v>
      </c>
      <c r="AN37" s="817">
        <v>0.5</v>
      </c>
      <c r="AO37" s="817">
        <v>0.7</v>
      </c>
      <c r="AP37" s="817">
        <v>0.5</v>
      </c>
      <c r="AQ37" s="817">
        <v>0.5</v>
      </c>
      <c r="AR37" s="817">
        <v>1.45</v>
      </c>
      <c r="AS37" s="823"/>
      <c r="AT37" s="817">
        <v>0.46</v>
      </c>
      <c r="AU37" s="817">
        <v>0.46</v>
      </c>
      <c r="AV37" s="817">
        <v>1.22</v>
      </c>
      <c r="AW37" s="817">
        <v>0.46</v>
      </c>
      <c r="AX37" s="817">
        <v>0.46</v>
      </c>
      <c r="AY37" s="817">
        <v>1.22</v>
      </c>
      <c r="AZ37" s="817">
        <v>0.46</v>
      </c>
      <c r="BA37" s="817">
        <v>0.46</v>
      </c>
      <c r="BB37" s="817">
        <v>1.22</v>
      </c>
      <c r="BC37" s="817">
        <v>0.46</v>
      </c>
      <c r="BD37" s="817">
        <v>0.46</v>
      </c>
      <c r="BE37" s="817">
        <v>1.22</v>
      </c>
      <c r="BF37" s="817" t="s">
        <v>764</v>
      </c>
      <c r="BG37" s="817" t="s">
        <v>764</v>
      </c>
      <c r="BH37" s="817" t="s">
        <v>764</v>
      </c>
      <c r="BI37" s="817" t="s">
        <v>764</v>
      </c>
      <c r="BJ37" s="817" t="s">
        <v>764</v>
      </c>
      <c r="BK37" s="817" t="s">
        <v>764</v>
      </c>
      <c r="BL37" s="817" t="s">
        <v>764</v>
      </c>
      <c r="BM37" s="817" t="s">
        <v>764</v>
      </c>
      <c r="BN37" s="817" t="s">
        <v>764</v>
      </c>
      <c r="BO37" s="817" t="s">
        <v>764</v>
      </c>
      <c r="BP37" s="817" t="s">
        <v>764</v>
      </c>
      <c r="BQ37" s="817" t="s">
        <v>764</v>
      </c>
      <c r="BR37" s="817">
        <v>0.57999999999999996</v>
      </c>
      <c r="BS37" s="817">
        <v>0.57999999999999996</v>
      </c>
      <c r="BT37" s="817">
        <v>0.57999999999999996</v>
      </c>
      <c r="BU37" s="817">
        <v>0.57999999999999996</v>
      </c>
      <c r="BV37" s="817">
        <v>0.81</v>
      </c>
      <c r="BW37" s="817">
        <v>0.81</v>
      </c>
      <c r="BX37" s="817" t="s">
        <v>764</v>
      </c>
      <c r="BY37" s="817" t="s">
        <v>764</v>
      </c>
      <c r="BZ37" s="817" t="s">
        <v>764</v>
      </c>
      <c r="CA37" s="817" t="s">
        <v>764</v>
      </c>
      <c r="CB37" s="817" t="s">
        <v>764</v>
      </c>
      <c r="CC37" s="818" t="s">
        <v>764</v>
      </c>
    </row>
    <row r="38" spans="1:81" ht="66" x14ac:dyDescent="0.25">
      <c r="A38" s="2332" t="s">
        <v>782</v>
      </c>
      <c r="B38" s="2333" t="s">
        <v>3111</v>
      </c>
      <c r="C38" s="2334" t="s">
        <v>3111</v>
      </c>
      <c r="D38" s="2334" t="s">
        <v>3112</v>
      </c>
      <c r="E38" s="2334" t="s">
        <v>3103</v>
      </c>
      <c r="F38" s="2334" t="s">
        <v>3113</v>
      </c>
      <c r="G38" s="2334" t="s">
        <v>3093</v>
      </c>
      <c r="H38" s="2334" t="s">
        <v>3104</v>
      </c>
      <c r="I38" s="2334" t="s">
        <v>3104</v>
      </c>
      <c r="J38" s="2334" t="s">
        <v>3095</v>
      </c>
      <c r="K38" s="2334" t="s">
        <v>2181</v>
      </c>
      <c r="L38" s="2334" t="s">
        <v>3114</v>
      </c>
      <c r="M38" s="2334" t="s">
        <v>3098</v>
      </c>
      <c r="N38" s="2334" t="s">
        <v>3105</v>
      </c>
      <c r="O38" s="2334" t="s">
        <v>3115</v>
      </c>
      <c r="P38" s="2334" t="s">
        <v>718</v>
      </c>
      <c r="Q38" s="2334" t="s">
        <v>734</v>
      </c>
      <c r="R38" s="2334" t="s">
        <v>734</v>
      </c>
      <c r="S38" s="2334" t="s">
        <v>719</v>
      </c>
      <c r="T38" s="2334" t="s">
        <v>734</v>
      </c>
      <c r="U38" s="2334" t="s">
        <v>734</v>
      </c>
      <c r="V38" s="2334" t="s">
        <v>720</v>
      </c>
      <c r="W38" s="2335"/>
      <c r="X38" s="2334">
        <v>0.27300000000000002</v>
      </c>
      <c r="Y38" s="2334">
        <v>0.27300000000000002</v>
      </c>
      <c r="Z38" s="2492">
        <v>0.52800000000000002</v>
      </c>
      <c r="AA38" s="2334">
        <v>0.36299999999999999</v>
      </c>
      <c r="AB38" s="2334">
        <v>0.312</v>
      </c>
      <c r="AC38" s="2334">
        <v>0.70399999999999996</v>
      </c>
      <c r="AD38" s="2334">
        <v>0.67600000000000005</v>
      </c>
      <c r="AE38" s="2334">
        <v>0.67600000000000005</v>
      </c>
      <c r="AF38" s="2334">
        <v>6.4729999999999999</v>
      </c>
      <c r="AG38" s="2334">
        <v>0.216</v>
      </c>
      <c r="AH38" s="2334">
        <v>0.182</v>
      </c>
      <c r="AI38" s="2334">
        <v>0.29499999999999998</v>
      </c>
      <c r="AJ38" s="2334">
        <v>0.93500000000000005</v>
      </c>
      <c r="AK38" s="2334">
        <v>0.90039999999999998</v>
      </c>
      <c r="AL38" s="2334">
        <v>1.264</v>
      </c>
      <c r="AM38" s="2334">
        <v>2.839</v>
      </c>
      <c r="AN38" s="2334">
        <v>2.8391000000000002</v>
      </c>
      <c r="AO38" s="2334">
        <v>3.9750000000000001</v>
      </c>
      <c r="AP38" s="2334">
        <v>2.839</v>
      </c>
      <c r="AQ38" s="2334">
        <v>2.8391000000000002</v>
      </c>
      <c r="AR38" s="2334">
        <v>8.2330000000000005</v>
      </c>
      <c r="AS38" s="2335"/>
      <c r="AT38" s="2334">
        <v>2.61</v>
      </c>
      <c r="AU38" s="2334">
        <v>2.61</v>
      </c>
      <c r="AV38" s="2334">
        <v>6.93</v>
      </c>
      <c r="AW38" s="2334">
        <v>2.61</v>
      </c>
      <c r="AX38" s="2334">
        <v>2.61</v>
      </c>
      <c r="AY38" s="2334">
        <v>6.93</v>
      </c>
      <c r="AZ38" s="2334">
        <v>2.61</v>
      </c>
      <c r="BA38" s="2334">
        <v>2.61</v>
      </c>
      <c r="BB38" s="2334">
        <v>6.93</v>
      </c>
      <c r="BC38" s="2334">
        <v>2.61</v>
      </c>
      <c r="BD38" s="2334">
        <v>2.61</v>
      </c>
      <c r="BE38" s="2334">
        <v>6.93</v>
      </c>
      <c r="BF38" s="2334" t="s">
        <v>764</v>
      </c>
      <c r="BG38" s="2334" t="s">
        <v>764</v>
      </c>
      <c r="BH38" s="2334" t="s">
        <v>764</v>
      </c>
      <c r="BI38" s="2334" t="s">
        <v>764</v>
      </c>
      <c r="BJ38" s="2334" t="s">
        <v>764</v>
      </c>
      <c r="BK38" s="2334" t="s">
        <v>764</v>
      </c>
      <c r="BL38" s="2334" t="s">
        <v>764</v>
      </c>
      <c r="BM38" s="2334" t="s">
        <v>764</v>
      </c>
      <c r="BN38" s="2334" t="s">
        <v>764</v>
      </c>
      <c r="BO38" s="2334" t="s">
        <v>764</v>
      </c>
      <c r="BP38" s="2334" t="s">
        <v>764</v>
      </c>
      <c r="BQ38" s="2334" t="s">
        <v>764</v>
      </c>
      <c r="BR38" s="2334">
        <v>3.2930000000000001</v>
      </c>
      <c r="BS38" s="2334">
        <v>3.2930000000000001</v>
      </c>
      <c r="BT38" s="2334">
        <v>3.2930000000000001</v>
      </c>
      <c r="BU38" s="2334">
        <v>3.2930000000000001</v>
      </c>
      <c r="BV38" s="2334">
        <v>4.5990000000000002</v>
      </c>
      <c r="BW38" s="2334">
        <v>4.5990000000000002</v>
      </c>
      <c r="BX38" s="2334" t="s">
        <v>764</v>
      </c>
      <c r="BY38" s="2334" t="s">
        <v>764</v>
      </c>
      <c r="BZ38" s="2334" t="s">
        <v>764</v>
      </c>
      <c r="CA38" s="2334" t="s">
        <v>764</v>
      </c>
      <c r="CB38" s="2334" t="s">
        <v>764</v>
      </c>
      <c r="CC38" s="2336" t="s">
        <v>764</v>
      </c>
    </row>
  </sheetData>
  <sheetProtection algorithmName="SHA-512" hashValue="mNH0mJIwjK41VSIJOAq0U2bcuilhEmBO32I8uIYSzcLoSBy88Ak9478/cWHjNiWHthGqgHUSNNgSUbQE8CS5iw==" saltValue="Q8s2MFttTFLYJ6fJrAAAow==" spinCount="100000" sheet="1" objects="1" scenarios="1"/>
  <customSheetViews>
    <customSheetView guid="{75D6F8CE-A4F4-4FDD-BA92-7996F9E19FA9}" scale="80" showGridLines="0">
      <pane xSplit="1" ySplit="2" topLeftCell="B3" activePane="bottomRight" state="frozen"/>
      <selection pane="bottomRight" activeCell="E12" sqref="E12"/>
      <pageMargins left="0.7" right="0.7" top="0.75" bottom="0.75" header="0.3" footer="0.3"/>
      <pageSetup orientation="portrait"/>
    </customSheetView>
  </customSheetViews>
  <mergeCells count="19">
    <mergeCell ref="AM1:AO1"/>
    <mergeCell ref="AJ1:AL1"/>
    <mergeCell ref="Q1:S1"/>
    <mergeCell ref="T1:V1"/>
    <mergeCell ref="B1:D1"/>
    <mergeCell ref="E1:G1"/>
    <mergeCell ref="H1:J1"/>
    <mergeCell ref="K1:M1"/>
    <mergeCell ref="N1:P1"/>
    <mergeCell ref="A1:A2"/>
    <mergeCell ref="X1:Z1"/>
    <mergeCell ref="AA1:AC1"/>
    <mergeCell ref="AD1:AF1"/>
    <mergeCell ref="AG1:AI1"/>
    <mergeCell ref="BR1:BW1"/>
    <mergeCell ref="BX1:CC1"/>
    <mergeCell ref="AP1:AR1"/>
    <mergeCell ref="AT1:BE1"/>
    <mergeCell ref="BF1:BQ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tabColor theme="5" tint="0.39997558519241921"/>
  </sheetPr>
  <dimension ref="A1:CS38"/>
  <sheetViews>
    <sheetView workbookViewId="0"/>
  </sheetViews>
  <sheetFormatPr defaultColWidth="8.69921875" defaultRowHeight="13.2" x14ac:dyDescent="0.25"/>
  <cols>
    <col min="1" max="1" width="43.296875" style="33" customWidth="1"/>
    <col min="2" max="22" width="18.69921875" style="42" customWidth="1"/>
    <col min="23" max="23" width="4.69921875" style="42" customWidth="1"/>
    <col min="24" max="44" width="10.69921875" style="42" customWidth="1"/>
    <col min="45" max="45" width="4.69921875" style="42" customWidth="1"/>
    <col min="46" max="62" width="10.69921875" style="42" customWidth="1"/>
    <col min="63" max="69" width="8.69921875" style="42"/>
    <col min="70" max="70" width="11.296875" style="42" customWidth="1"/>
    <col min="71" max="89" width="8.69921875" style="42"/>
    <col min="90" max="92" width="46.5" style="42" customWidth="1"/>
    <col min="93" max="16384" width="8.69921875" style="42"/>
  </cols>
  <sheetData>
    <row r="1" spans="1:97" ht="32.25" customHeight="1" x14ac:dyDescent="0.25">
      <c r="A1" s="1834" t="s">
        <v>2560</v>
      </c>
      <c r="B1" s="3535" t="s">
        <v>3</v>
      </c>
      <c r="C1" s="3535"/>
      <c r="D1" s="3536"/>
      <c r="E1" s="3537" t="s">
        <v>6</v>
      </c>
      <c r="F1" s="3535"/>
      <c r="G1" s="3536"/>
      <c r="H1" s="3537" t="s">
        <v>7</v>
      </c>
      <c r="I1" s="3535"/>
      <c r="J1" s="3536"/>
      <c r="K1" s="3537" t="s">
        <v>18</v>
      </c>
      <c r="L1" s="3535"/>
      <c r="M1" s="3536"/>
      <c r="N1" s="3537" t="s">
        <v>1</v>
      </c>
      <c r="O1" s="3535"/>
      <c r="P1" s="3536"/>
      <c r="Q1" s="3537" t="s">
        <v>799</v>
      </c>
      <c r="R1" s="3535"/>
      <c r="S1" s="3535"/>
      <c r="T1" s="3537" t="s">
        <v>801</v>
      </c>
      <c r="U1" s="3535"/>
      <c r="V1" s="3535"/>
      <c r="W1" s="130"/>
      <c r="X1" s="3538" t="s">
        <v>3</v>
      </c>
      <c r="Y1" s="3533"/>
      <c r="Z1" s="3539"/>
      <c r="AA1" s="3532" t="s">
        <v>6</v>
      </c>
      <c r="AB1" s="3533"/>
      <c r="AC1" s="3534"/>
      <c r="AD1" s="3538" t="s">
        <v>7</v>
      </c>
      <c r="AE1" s="3533"/>
      <c r="AF1" s="3539"/>
      <c r="AG1" s="3532" t="s">
        <v>18</v>
      </c>
      <c r="AH1" s="3533"/>
      <c r="AI1" s="3534"/>
      <c r="AJ1" s="3538" t="s">
        <v>1</v>
      </c>
      <c r="AK1" s="3533"/>
      <c r="AL1" s="3539"/>
      <c r="AM1" s="3537" t="s">
        <v>799</v>
      </c>
      <c r="AN1" s="3535"/>
      <c r="AO1" s="3536"/>
      <c r="AP1" s="3537" t="s">
        <v>800</v>
      </c>
      <c r="AQ1" s="3535"/>
      <c r="AR1" s="3536"/>
      <c r="AT1" s="3540" t="s">
        <v>1646</v>
      </c>
      <c r="AU1" s="3543"/>
      <c r="AV1" s="3543"/>
      <c r="AW1" s="3543"/>
      <c r="AX1" s="3543"/>
      <c r="AY1" s="3543"/>
      <c r="AZ1" s="3543"/>
      <c r="BA1" s="3543"/>
      <c r="BB1" s="3543"/>
      <c r="BC1" s="3543"/>
      <c r="BD1" s="3543"/>
      <c r="BE1" s="3543"/>
      <c r="BF1" s="3544" t="s">
        <v>1647</v>
      </c>
      <c r="BG1" s="3543"/>
      <c r="BH1" s="3543"/>
      <c r="BI1" s="3543"/>
      <c r="BJ1" s="3543"/>
      <c r="BK1" s="3543"/>
      <c r="BL1" s="3543"/>
      <c r="BM1" s="3543"/>
      <c r="BN1" s="3543"/>
      <c r="BO1" s="3543"/>
      <c r="BP1" s="3543"/>
      <c r="BQ1" s="3545"/>
      <c r="BR1" s="3540" t="s">
        <v>916</v>
      </c>
      <c r="BS1" s="3543"/>
      <c r="BT1" s="3543"/>
      <c r="BU1" s="3543"/>
      <c r="BV1" s="3543"/>
      <c r="BW1" s="3545"/>
      <c r="BX1" s="3540" t="s">
        <v>917</v>
      </c>
      <c r="BY1" s="3541"/>
      <c r="BZ1" s="3541"/>
      <c r="CA1" s="3541"/>
      <c r="CB1" s="3541"/>
      <c r="CC1" s="3542"/>
      <c r="CG1" s="1175"/>
      <c r="CH1" s="1175"/>
      <c r="CK1" s="806"/>
      <c r="CL1" s="806"/>
      <c r="CM1" s="806"/>
      <c r="CN1" s="806"/>
      <c r="CO1" s="806"/>
      <c r="CP1" s="806"/>
      <c r="CQ1" s="806"/>
      <c r="CR1" s="806"/>
      <c r="CS1" s="806"/>
    </row>
    <row r="2" spans="1:97" s="32" customFormat="1" ht="153.75" customHeight="1" x14ac:dyDescent="0.25">
      <c r="A2" s="1835" t="s">
        <v>30</v>
      </c>
      <c r="B2" s="155" t="s">
        <v>21</v>
      </c>
      <c r="C2" s="156" t="s">
        <v>23</v>
      </c>
      <c r="D2" s="157" t="s">
        <v>46</v>
      </c>
      <c r="E2" s="671" t="s">
        <v>21</v>
      </c>
      <c r="F2" s="133" t="s">
        <v>23</v>
      </c>
      <c r="G2" s="672" t="s">
        <v>46</v>
      </c>
      <c r="H2" s="671" t="s">
        <v>21</v>
      </c>
      <c r="I2" s="133" t="s">
        <v>23</v>
      </c>
      <c r="J2" s="672" t="s">
        <v>46</v>
      </c>
      <c r="K2" s="671" t="s">
        <v>21</v>
      </c>
      <c r="L2" s="133" t="s">
        <v>23</v>
      </c>
      <c r="M2" s="672" t="s">
        <v>46</v>
      </c>
      <c r="N2" s="671" t="s">
        <v>21</v>
      </c>
      <c r="O2" s="133" t="s">
        <v>23</v>
      </c>
      <c r="P2" s="672" t="s">
        <v>46</v>
      </c>
      <c r="Q2" s="671" t="s">
        <v>21</v>
      </c>
      <c r="R2" s="133" t="s">
        <v>23</v>
      </c>
      <c r="S2" s="133" t="s">
        <v>46</v>
      </c>
      <c r="T2" s="133" t="s">
        <v>21</v>
      </c>
      <c r="U2" s="133" t="s">
        <v>23</v>
      </c>
      <c r="V2" s="672" t="s">
        <v>46</v>
      </c>
      <c r="W2" s="131"/>
      <c r="X2" s="134" t="s">
        <v>21</v>
      </c>
      <c r="Y2" s="135" t="s">
        <v>23</v>
      </c>
      <c r="Z2" s="136" t="s">
        <v>46</v>
      </c>
      <c r="AA2" s="137" t="s">
        <v>21</v>
      </c>
      <c r="AB2" s="135" t="s">
        <v>23</v>
      </c>
      <c r="AC2" s="138" t="s">
        <v>46</v>
      </c>
      <c r="AD2" s="158" t="s">
        <v>21</v>
      </c>
      <c r="AE2" s="159" t="s">
        <v>23</v>
      </c>
      <c r="AF2" s="160" t="s">
        <v>46</v>
      </c>
      <c r="AG2" s="161" t="s">
        <v>21</v>
      </c>
      <c r="AH2" s="159" t="s">
        <v>23</v>
      </c>
      <c r="AI2" s="162" t="s">
        <v>46</v>
      </c>
      <c r="AJ2" s="158" t="s">
        <v>21</v>
      </c>
      <c r="AK2" s="159" t="s">
        <v>23</v>
      </c>
      <c r="AL2" s="160" t="s">
        <v>46</v>
      </c>
      <c r="AM2" s="163" t="s">
        <v>21</v>
      </c>
      <c r="AN2" s="164" t="s">
        <v>23</v>
      </c>
      <c r="AO2" s="165" t="s">
        <v>46</v>
      </c>
      <c r="AP2" s="163" t="s">
        <v>21</v>
      </c>
      <c r="AQ2" s="164" t="s">
        <v>23</v>
      </c>
      <c r="AR2" s="165" t="s">
        <v>46</v>
      </c>
      <c r="AT2" s="163" t="s">
        <v>1649</v>
      </c>
      <c r="AU2" s="164" t="s">
        <v>1650</v>
      </c>
      <c r="AV2" s="165" t="s">
        <v>1651</v>
      </c>
      <c r="AW2" s="163" t="s">
        <v>1652</v>
      </c>
      <c r="AX2" s="164" t="s">
        <v>1653</v>
      </c>
      <c r="AY2" s="165" t="s">
        <v>1654</v>
      </c>
      <c r="AZ2" s="163" t="s">
        <v>1655</v>
      </c>
      <c r="BA2" s="164" t="s">
        <v>1656</v>
      </c>
      <c r="BB2" s="165" t="s">
        <v>1657</v>
      </c>
      <c r="BC2" s="163" t="s">
        <v>1658</v>
      </c>
      <c r="BD2" s="164" t="s">
        <v>1659</v>
      </c>
      <c r="BE2" s="165" t="s">
        <v>1660</v>
      </c>
      <c r="BF2" s="163" t="s">
        <v>1649</v>
      </c>
      <c r="BG2" s="164" t="s">
        <v>1650</v>
      </c>
      <c r="BH2" s="165" t="s">
        <v>1651</v>
      </c>
      <c r="BI2" s="163" t="s">
        <v>1652</v>
      </c>
      <c r="BJ2" s="164" t="s">
        <v>1653</v>
      </c>
      <c r="BK2" s="165" t="s">
        <v>1654</v>
      </c>
      <c r="BL2" s="163" t="s">
        <v>1655</v>
      </c>
      <c r="BM2" s="164" t="s">
        <v>1656</v>
      </c>
      <c r="BN2" s="165" t="s">
        <v>1657</v>
      </c>
      <c r="BO2" s="163" t="s">
        <v>1658</v>
      </c>
      <c r="BP2" s="164" t="s">
        <v>1659</v>
      </c>
      <c r="BQ2" s="165" t="s">
        <v>1660</v>
      </c>
      <c r="BR2" s="1088" t="s">
        <v>1661</v>
      </c>
      <c r="BS2" s="1151" t="s">
        <v>1662</v>
      </c>
      <c r="BT2" s="1088" t="s">
        <v>1663</v>
      </c>
      <c r="BU2" s="1151" t="s">
        <v>1664</v>
      </c>
      <c r="BV2" s="1088" t="s">
        <v>1665</v>
      </c>
      <c r="BW2" s="1151" t="s">
        <v>1666</v>
      </c>
      <c r="BX2" s="1088" t="s">
        <v>1661</v>
      </c>
      <c r="BY2" s="1151" t="s">
        <v>1662</v>
      </c>
      <c r="BZ2" s="1088" t="s">
        <v>1663</v>
      </c>
      <c r="CA2" s="1151" t="s">
        <v>1664</v>
      </c>
      <c r="CB2" s="1088" t="s">
        <v>1665</v>
      </c>
      <c r="CC2" s="1151" t="s">
        <v>1666</v>
      </c>
      <c r="CG2" s="1175"/>
      <c r="CK2" s="1175" t="s">
        <v>30</v>
      </c>
      <c r="CL2" s="1175" t="s">
        <v>21</v>
      </c>
      <c r="CM2" s="1175" t="s">
        <v>23</v>
      </c>
      <c r="CN2" s="1175" t="s">
        <v>46</v>
      </c>
      <c r="CO2" s="1175"/>
      <c r="CP2" s="1175"/>
      <c r="CQ2" s="1175"/>
      <c r="CR2" s="1175"/>
      <c r="CS2" s="1175"/>
    </row>
    <row r="3" spans="1:97" s="129" customFormat="1" ht="57" x14ac:dyDescent="0.25">
      <c r="A3" s="146" t="s">
        <v>712</v>
      </c>
      <c r="B3" s="150" t="s">
        <v>190</v>
      </c>
      <c r="C3" s="139" t="s">
        <v>191</v>
      </c>
      <c r="D3" s="139" t="s">
        <v>192</v>
      </c>
      <c r="E3" s="139" t="s">
        <v>196</v>
      </c>
      <c r="F3" s="139" t="s">
        <v>196</v>
      </c>
      <c r="G3" s="139" t="s">
        <v>197</v>
      </c>
      <c r="H3" s="139" t="s">
        <v>202</v>
      </c>
      <c r="I3" s="139" t="s">
        <v>202</v>
      </c>
      <c r="J3" s="139" t="s">
        <v>202</v>
      </c>
      <c r="K3" s="139" t="s">
        <v>179</v>
      </c>
      <c r="L3" s="139" t="s">
        <v>179</v>
      </c>
      <c r="M3" s="139" t="s">
        <v>179</v>
      </c>
      <c r="N3" s="139" t="s">
        <v>184</v>
      </c>
      <c r="O3" s="139" t="s">
        <v>184</v>
      </c>
      <c r="P3" s="139" t="s">
        <v>184</v>
      </c>
      <c r="Q3" s="139" t="s">
        <v>187</v>
      </c>
      <c r="R3" s="139" t="s">
        <v>187</v>
      </c>
      <c r="S3" s="139" t="s">
        <v>187</v>
      </c>
      <c r="T3" s="139" t="s">
        <v>188</v>
      </c>
      <c r="U3" s="139" t="s">
        <v>188</v>
      </c>
      <c r="V3" s="139" t="s">
        <v>188</v>
      </c>
      <c r="W3" s="327"/>
      <c r="X3" s="139" t="s">
        <v>152</v>
      </c>
      <c r="Y3" s="139" t="s">
        <v>153</v>
      </c>
      <c r="Z3" s="139" t="s">
        <v>154</v>
      </c>
      <c r="AA3" s="139" t="s">
        <v>155</v>
      </c>
      <c r="AB3" s="139" t="s">
        <v>155</v>
      </c>
      <c r="AC3" s="139" t="s">
        <v>156</v>
      </c>
      <c r="AD3" s="139" t="s">
        <v>167</v>
      </c>
      <c r="AE3" s="139" t="s">
        <v>167</v>
      </c>
      <c r="AF3" s="139" t="s">
        <v>167</v>
      </c>
      <c r="AG3" s="139" t="s">
        <v>157</v>
      </c>
      <c r="AH3" s="139" t="s">
        <v>157</v>
      </c>
      <c r="AI3" s="139" t="s">
        <v>157</v>
      </c>
      <c r="AJ3" s="139" t="s">
        <v>158</v>
      </c>
      <c r="AK3" s="139" t="s">
        <v>158</v>
      </c>
      <c r="AL3" s="139" t="s">
        <v>158</v>
      </c>
      <c r="AM3" s="139" t="s">
        <v>159</v>
      </c>
      <c r="AN3" s="139" t="s">
        <v>159</v>
      </c>
      <c r="AO3" s="139" t="s">
        <v>159</v>
      </c>
      <c r="AP3" s="139" t="s">
        <v>160</v>
      </c>
      <c r="AQ3" s="139" t="s">
        <v>160</v>
      </c>
      <c r="AR3" s="139" t="s">
        <v>160</v>
      </c>
      <c r="AS3" s="327"/>
      <c r="AT3" s="139">
        <v>1.2</v>
      </c>
      <c r="AU3" s="139">
        <v>1.2</v>
      </c>
      <c r="AV3" s="139">
        <v>1.2</v>
      </c>
      <c r="AW3" s="139"/>
      <c r="AX3" s="139"/>
      <c r="AY3" s="139"/>
      <c r="AZ3" s="139"/>
      <c r="BA3" s="139"/>
      <c r="BB3" s="139"/>
      <c r="BC3" s="139"/>
      <c r="BD3" s="139"/>
      <c r="BE3" s="139"/>
      <c r="BF3" s="139">
        <v>0.25</v>
      </c>
      <c r="BG3" s="139">
        <v>0.25</v>
      </c>
      <c r="BH3" s="139">
        <v>0.25</v>
      </c>
      <c r="BI3" s="139"/>
      <c r="BJ3" s="139"/>
      <c r="BK3" s="139"/>
      <c r="BL3" s="139"/>
      <c r="BM3" s="139"/>
      <c r="BN3" s="139"/>
      <c r="BO3" s="139">
        <v>0.25</v>
      </c>
      <c r="BP3" s="139">
        <v>0.25</v>
      </c>
      <c r="BQ3" s="139">
        <v>0.25</v>
      </c>
      <c r="BR3" s="139">
        <v>1.98</v>
      </c>
      <c r="BS3" s="139">
        <v>1.98</v>
      </c>
      <c r="BT3" s="139">
        <v>1.98</v>
      </c>
      <c r="BU3" s="139">
        <v>1.98</v>
      </c>
      <c r="BV3" s="139">
        <v>1.98</v>
      </c>
      <c r="BW3" s="139">
        <v>1.98</v>
      </c>
      <c r="BX3" s="139">
        <v>0.36</v>
      </c>
      <c r="BY3" s="139">
        <v>0.19</v>
      </c>
      <c r="BZ3" s="139">
        <v>0.34</v>
      </c>
      <c r="CA3" s="139">
        <v>0.27</v>
      </c>
      <c r="CB3" s="139">
        <v>0.36</v>
      </c>
      <c r="CC3" s="140">
        <v>0.19</v>
      </c>
      <c r="CI3" s="1016"/>
      <c r="CJ3" s="1176" t="s">
        <v>2238</v>
      </c>
      <c r="CK3" s="1016">
        <v>1</v>
      </c>
      <c r="CL3" s="1177" t="s">
        <v>2345</v>
      </c>
      <c r="CM3" s="1177" t="s">
        <v>2347</v>
      </c>
      <c r="CN3" s="1177" t="s">
        <v>2349</v>
      </c>
      <c r="CO3" s="1016"/>
      <c r="CP3" s="1016"/>
      <c r="CQ3" s="1016"/>
      <c r="CR3" s="1016"/>
      <c r="CS3" s="1016"/>
    </row>
    <row r="4" spans="1:97" s="129" customFormat="1" ht="59.25" customHeight="1" x14ac:dyDescent="0.25">
      <c r="A4" s="147" t="s">
        <v>713</v>
      </c>
      <c r="B4" s="151" t="s">
        <v>709</v>
      </c>
      <c r="C4" s="132" t="s">
        <v>710</v>
      </c>
      <c r="D4" s="132" t="s">
        <v>711</v>
      </c>
      <c r="E4" s="132" t="s">
        <v>714</v>
      </c>
      <c r="F4" s="132" t="s">
        <v>714</v>
      </c>
      <c r="G4" s="132" t="s">
        <v>715</v>
      </c>
      <c r="H4" s="132" t="s">
        <v>716</v>
      </c>
      <c r="I4" s="132" t="s">
        <v>716</v>
      </c>
      <c r="J4" s="132" t="s">
        <v>716</v>
      </c>
      <c r="K4" s="132" t="s">
        <v>717</v>
      </c>
      <c r="L4" s="132" t="s">
        <v>717</v>
      </c>
      <c r="M4" s="132" t="s">
        <v>717</v>
      </c>
      <c r="N4" s="132" t="s">
        <v>718</v>
      </c>
      <c r="O4" s="132" t="s">
        <v>718</v>
      </c>
      <c r="P4" s="132" t="s">
        <v>718</v>
      </c>
      <c r="Q4" s="132" t="s">
        <v>719</v>
      </c>
      <c r="R4" s="132" t="s">
        <v>719</v>
      </c>
      <c r="S4" s="132" t="s">
        <v>719</v>
      </c>
      <c r="T4" s="132" t="s">
        <v>720</v>
      </c>
      <c r="U4" s="132" t="s">
        <v>720</v>
      </c>
      <c r="V4" s="132" t="s">
        <v>720</v>
      </c>
      <c r="W4" s="327"/>
      <c r="X4" s="132" t="s">
        <v>721</v>
      </c>
      <c r="Y4" s="132" t="s">
        <v>722</v>
      </c>
      <c r="Z4" s="132" t="s">
        <v>723</v>
      </c>
      <c r="AA4" s="132" t="s">
        <v>724</v>
      </c>
      <c r="AB4" s="132" t="s">
        <v>724</v>
      </c>
      <c r="AC4" s="132" t="s">
        <v>725</v>
      </c>
      <c r="AD4" s="132" t="s">
        <v>726</v>
      </c>
      <c r="AE4" s="132" t="s">
        <v>726</v>
      </c>
      <c r="AF4" s="132" t="s">
        <v>726</v>
      </c>
      <c r="AG4" s="132" t="s">
        <v>727</v>
      </c>
      <c r="AH4" s="132" t="s">
        <v>727</v>
      </c>
      <c r="AI4" s="132" t="s">
        <v>727</v>
      </c>
      <c r="AJ4" s="132" t="s">
        <v>728</v>
      </c>
      <c r="AK4" s="132" t="s">
        <v>728</v>
      </c>
      <c r="AL4" s="132" t="s">
        <v>728</v>
      </c>
      <c r="AM4" s="132" t="s">
        <v>729</v>
      </c>
      <c r="AN4" s="132" t="s">
        <v>729</v>
      </c>
      <c r="AO4" s="132" t="s">
        <v>729</v>
      </c>
      <c r="AP4" s="132" t="s">
        <v>730</v>
      </c>
      <c r="AQ4" s="132" t="s">
        <v>730</v>
      </c>
      <c r="AR4" s="132" t="s">
        <v>730</v>
      </c>
      <c r="AS4" s="327"/>
      <c r="AT4" s="132">
        <v>6.81</v>
      </c>
      <c r="AU4" s="132">
        <v>6.81</v>
      </c>
      <c r="AV4" s="132">
        <v>6.81</v>
      </c>
      <c r="AW4" s="132"/>
      <c r="AX4" s="132"/>
      <c r="AY4" s="132"/>
      <c r="AZ4" s="132"/>
      <c r="BA4" s="132"/>
      <c r="BB4" s="132"/>
      <c r="BC4" s="132"/>
      <c r="BD4" s="132"/>
      <c r="BE4" s="132"/>
      <c r="BF4" s="132">
        <v>0.25</v>
      </c>
      <c r="BG4" s="132">
        <v>0.25</v>
      </c>
      <c r="BH4" s="132">
        <v>0.25</v>
      </c>
      <c r="BI4" s="132"/>
      <c r="BJ4" s="132"/>
      <c r="BK4" s="132"/>
      <c r="BL4" s="132"/>
      <c r="BM4" s="132"/>
      <c r="BN4" s="132"/>
      <c r="BO4" s="132">
        <v>0.25</v>
      </c>
      <c r="BP4" s="132">
        <v>0.25</v>
      </c>
      <c r="BQ4" s="132">
        <v>0.25</v>
      </c>
      <c r="BR4" s="132">
        <v>11.24</v>
      </c>
      <c r="BS4" s="132">
        <v>11.24</v>
      </c>
      <c r="BT4" s="132">
        <v>11.24</v>
      </c>
      <c r="BU4" s="132">
        <v>11.24</v>
      </c>
      <c r="BV4" s="132">
        <v>11.24</v>
      </c>
      <c r="BW4" s="132">
        <v>11.24</v>
      </c>
      <c r="BX4" s="132">
        <v>0.36</v>
      </c>
      <c r="BY4" s="132">
        <v>0.19</v>
      </c>
      <c r="BZ4" s="132">
        <v>0.34</v>
      </c>
      <c r="CA4" s="132">
        <v>0.27</v>
      </c>
      <c r="CB4" s="132">
        <v>0.36</v>
      </c>
      <c r="CC4" s="141">
        <v>0.19</v>
      </c>
      <c r="CI4" s="1016"/>
      <c r="CJ4" s="1176" t="s">
        <v>2238</v>
      </c>
      <c r="CK4" s="1016">
        <v>2</v>
      </c>
      <c r="CL4" s="1177" t="s">
        <v>2345</v>
      </c>
      <c r="CM4" s="1177" t="s">
        <v>2347</v>
      </c>
      <c r="CN4" s="1177" t="s">
        <v>2349</v>
      </c>
      <c r="CO4" s="1016"/>
      <c r="CP4" s="1016"/>
      <c r="CQ4" s="1016"/>
      <c r="CR4" s="1016"/>
      <c r="CS4" s="1016"/>
    </row>
    <row r="5" spans="1:97" s="129" customFormat="1" ht="57" x14ac:dyDescent="0.25">
      <c r="A5" s="148" t="s">
        <v>765</v>
      </c>
      <c r="B5" s="152" t="s">
        <v>190</v>
      </c>
      <c r="C5" s="142" t="s">
        <v>191</v>
      </c>
      <c r="D5" s="142" t="s">
        <v>192</v>
      </c>
      <c r="E5" s="142" t="s">
        <v>196</v>
      </c>
      <c r="F5" s="142" t="s">
        <v>196</v>
      </c>
      <c r="G5" s="142" t="s">
        <v>197</v>
      </c>
      <c r="H5" s="142" t="s">
        <v>202</v>
      </c>
      <c r="I5" s="142" t="s">
        <v>202</v>
      </c>
      <c r="J5" s="142" t="s">
        <v>202</v>
      </c>
      <c r="K5" s="142" t="s">
        <v>179</v>
      </c>
      <c r="L5" s="142" t="s">
        <v>179</v>
      </c>
      <c r="M5" s="142" t="s">
        <v>179</v>
      </c>
      <c r="N5" s="142" t="s">
        <v>184</v>
      </c>
      <c r="O5" s="142" t="s">
        <v>184</v>
      </c>
      <c r="P5" s="142" t="s">
        <v>184</v>
      </c>
      <c r="Q5" s="142" t="s">
        <v>187</v>
      </c>
      <c r="R5" s="142" t="s">
        <v>187</v>
      </c>
      <c r="S5" s="142" t="s">
        <v>187</v>
      </c>
      <c r="T5" s="142" t="s">
        <v>188</v>
      </c>
      <c r="U5" s="142" t="s">
        <v>188</v>
      </c>
      <c r="V5" s="142" t="s">
        <v>188</v>
      </c>
      <c r="W5" s="327"/>
      <c r="X5" s="142" t="s">
        <v>152</v>
      </c>
      <c r="Y5" s="142" t="s">
        <v>153</v>
      </c>
      <c r="Z5" s="142" t="s">
        <v>154</v>
      </c>
      <c r="AA5" s="142" t="s">
        <v>155</v>
      </c>
      <c r="AB5" s="142" t="s">
        <v>155</v>
      </c>
      <c r="AC5" s="142" t="s">
        <v>156</v>
      </c>
      <c r="AD5" s="142" t="s">
        <v>167</v>
      </c>
      <c r="AE5" s="142" t="s">
        <v>167</v>
      </c>
      <c r="AF5" s="142" t="s">
        <v>167</v>
      </c>
      <c r="AG5" s="142" t="s">
        <v>157</v>
      </c>
      <c r="AH5" s="142" t="s">
        <v>157</v>
      </c>
      <c r="AI5" s="142" t="s">
        <v>157</v>
      </c>
      <c r="AJ5" s="142" t="s">
        <v>158</v>
      </c>
      <c r="AK5" s="142" t="s">
        <v>158</v>
      </c>
      <c r="AL5" s="142" t="s">
        <v>158</v>
      </c>
      <c r="AM5" s="142" t="s">
        <v>159</v>
      </c>
      <c r="AN5" s="142" t="s">
        <v>159</v>
      </c>
      <c r="AO5" s="142" t="s">
        <v>159</v>
      </c>
      <c r="AP5" s="142" t="s">
        <v>160</v>
      </c>
      <c r="AQ5" s="142" t="s">
        <v>160</v>
      </c>
      <c r="AR5" s="142" t="s">
        <v>160</v>
      </c>
      <c r="AS5" s="327"/>
      <c r="AT5" s="142">
        <v>1.2</v>
      </c>
      <c r="AU5" s="142">
        <v>1.2</v>
      </c>
      <c r="AV5" s="142">
        <v>1.2</v>
      </c>
      <c r="AW5" s="142"/>
      <c r="AX5" s="142"/>
      <c r="AY5" s="142"/>
      <c r="AZ5" s="142"/>
      <c r="BA5" s="142"/>
      <c r="BB5" s="142"/>
      <c r="BC5" s="142"/>
      <c r="BD5" s="142"/>
      <c r="BE5" s="142"/>
      <c r="BF5" s="142">
        <v>0.25</v>
      </c>
      <c r="BG5" s="142">
        <v>0.25</v>
      </c>
      <c r="BH5" s="142">
        <v>0.25</v>
      </c>
      <c r="BI5" s="142"/>
      <c r="BJ5" s="142"/>
      <c r="BK5" s="142"/>
      <c r="BL5" s="142"/>
      <c r="BM5" s="142"/>
      <c r="BN5" s="142"/>
      <c r="BO5" s="142">
        <v>0.25</v>
      </c>
      <c r="BP5" s="142">
        <v>0.25</v>
      </c>
      <c r="BQ5" s="142">
        <v>0.25</v>
      </c>
      <c r="BR5" s="142">
        <v>1.98</v>
      </c>
      <c r="BS5" s="142">
        <v>1.98</v>
      </c>
      <c r="BT5" s="142">
        <v>1.98</v>
      </c>
      <c r="BU5" s="142">
        <v>1.98</v>
      </c>
      <c r="BV5" s="142">
        <v>1.98</v>
      </c>
      <c r="BW5" s="142">
        <v>1.98</v>
      </c>
      <c r="BX5" s="142">
        <v>0.36</v>
      </c>
      <c r="BY5" s="142">
        <v>0.19</v>
      </c>
      <c r="BZ5" s="142">
        <v>0.34</v>
      </c>
      <c r="CA5" s="142">
        <v>0.27</v>
      </c>
      <c r="CB5" s="142">
        <v>0.36</v>
      </c>
      <c r="CC5" s="143">
        <v>0.19</v>
      </c>
      <c r="CI5" s="1016"/>
      <c r="CJ5" s="1176" t="s">
        <v>2238</v>
      </c>
      <c r="CK5" s="1016">
        <v>3</v>
      </c>
      <c r="CL5" s="1177" t="s">
        <v>2345</v>
      </c>
      <c r="CM5" s="1177" t="s">
        <v>2347</v>
      </c>
      <c r="CN5" s="1177" t="s">
        <v>2349</v>
      </c>
      <c r="CO5" s="1016"/>
      <c r="CP5" s="1016"/>
      <c r="CQ5" s="1016"/>
      <c r="CR5" s="1016"/>
      <c r="CS5" s="1016"/>
    </row>
    <row r="6" spans="1:97" s="129" customFormat="1" ht="67.5" customHeight="1" x14ac:dyDescent="0.25">
      <c r="A6" s="147" t="s">
        <v>798</v>
      </c>
      <c r="B6" s="151" t="s">
        <v>709</v>
      </c>
      <c r="C6" s="132" t="s">
        <v>710</v>
      </c>
      <c r="D6" s="132" t="s">
        <v>711</v>
      </c>
      <c r="E6" s="132" t="s">
        <v>714</v>
      </c>
      <c r="F6" s="132" t="s">
        <v>714</v>
      </c>
      <c r="G6" s="132" t="s">
        <v>715</v>
      </c>
      <c r="H6" s="132" t="s">
        <v>716</v>
      </c>
      <c r="I6" s="132" t="s">
        <v>716</v>
      </c>
      <c r="J6" s="132" t="s">
        <v>716</v>
      </c>
      <c r="K6" s="132" t="s">
        <v>717</v>
      </c>
      <c r="L6" s="132" t="s">
        <v>717</v>
      </c>
      <c r="M6" s="132" t="s">
        <v>717</v>
      </c>
      <c r="N6" s="132" t="s">
        <v>718</v>
      </c>
      <c r="O6" s="132" t="s">
        <v>718</v>
      </c>
      <c r="P6" s="132" t="s">
        <v>718</v>
      </c>
      <c r="Q6" s="132" t="s">
        <v>719</v>
      </c>
      <c r="R6" s="132" t="s">
        <v>719</v>
      </c>
      <c r="S6" s="132" t="s">
        <v>719</v>
      </c>
      <c r="T6" s="132" t="s">
        <v>720</v>
      </c>
      <c r="U6" s="132" t="s">
        <v>720</v>
      </c>
      <c r="V6" s="132" t="s">
        <v>720</v>
      </c>
      <c r="W6" s="327"/>
      <c r="X6" s="132" t="s">
        <v>721</v>
      </c>
      <c r="Y6" s="132" t="s">
        <v>722</v>
      </c>
      <c r="Z6" s="132" t="s">
        <v>723</v>
      </c>
      <c r="AA6" s="132" t="s">
        <v>724</v>
      </c>
      <c r="AB6" s="132" t="s">
        <v>724</v>
      </c>
      <c r="AC6" s="132" t="s">
        <v>725</v>
      </c>
      <c r="AD6" s="132" t="s">
        <v>726</v>
      </c>
      <c r="AE6" s="132" t="s">
        <v>726</v>
      </c>
      <c r="AF6" s="132" t="s">
        <v>726</v>
      </c>
      <c r="AG6" s="132" t="s">
        <v>727</v>
      </c>
      <c r="AH6" s="132" t="s">
        <v>727</v>
      </c>
      <c r="AI6" s="132" t="s">
        <v>727</v>
      </c>
      <c r="AJ6" s="132" t="s">
        <v>728</v>
      </c>
      <c r="AK6" s="132" t="s">
        <v>728</v>
      </c>
      <c r="AL6" s="132" t="s">
        <v>728</v>
      </c>
      <c r="AM6" s="132" t="s">
        <v>729</v>
      </c>
      <c r="AN6" s="132" t="s">
        <v>729</v>
      </c>
      <c r="AO6" s="132" t="s">
        <v>729</v>
      </c>
      <c r="AP6" s="132" t="s">
        <v>730</v>
      </c>
      <c r="AQ6" s="132" t="s">
        <v>730</v>
      </c>
      <c r="AR6" s="132" t="s">
        <v>730</v>
      </c>
      <c r="AS6" s="327"/>
      <c r="AT6" s="132">
        <v>6.81</v>
      </c>
      <c r="AU6" s="132">
        <v>6.81</v>
      </c>
      <c r="AV6" s="132">
        <v>6.81</v>
      </c>
      <c r="AW6" s="132"/>
      <c r="AX6" s="132"/>
      <c r="AY6" s="132"/>
      <c r="AZ6" s="132"/>
      <c r="BA6" s="132"/>
      <c r="BB6" s="132"/>
      <c r="BC6" s="132"/>
      <c r="BD6" s="132"/>
      <c r="BE6" s="132"/>
      <c r="BF6" s="132">
        <v>0.25</v>
      </c>
      <c r="BG6" s="132">
        <v>0.25</v>
      </c>
      <c r="BH6" s="132">
        <v>0.25</v>
      </c>
      <c r="BI6" s="132"/>
      <c r="BJ6" s="132"/>
      <c r="BK6" s="132"/>
      <c r="BL6" s="132"/>
      <c r="BM6" s="132"/>
      <c r="BN6" s="132"/>
      <c r="BO6" s="132">
        <v>0.25</v>
      </c>
      <c r="BP6" s="132">
        <v>0.25</v>
      </c>
      <c r="BQ6" s="132">
        <v>0.25</v>
      </c>
      <c r="BR6" s="132">
        <v>11.24</v>
      </c>
      <c r="BS6" s="132">
        <v>11.24</v>
      </c>
      <c r="BT6" s="132">
        <v>11.24</v>
      </c>
      <c r="BU6" s="132">
        <v>11.24</v>
      </c>
      <c r="BV6" s="132">
        <v>11.24</v>
      </c>
      <c r="BW6" s="132">
        <v>11.24</v>
      </c>
      <c r="BX6" s="132">
        <v>0.36</v>
      </c>
      <c r="BY6" s="132">
        <v>0.19</v>
      </c>
      <c r="BZ6" s="132">
        <v>0.34</v>
      </c>
      <c r="CA6" s="132">
        <v>0.27</v>
      </c>
      <c r="CB6" s="132">
        <v>0.36</v>
      </c>
      <c r="CC6" s="141">
        <v>0.19</v>
      </c>
      <c r="CH6" s="1016"/>
      <c r="CI6" s="1016"/>
      <c r="CJ6" s="1016"/>
      <c r="CK6" s="1016">
        <v>4</v>
      </c>
      <c r="CL6" s="1016" t="s">
        <v>2345</v>
      </c>
      <c r="CM6" s="1016" t="s">
        <v>2347</v>
      </c>
      <c r="CN6" s="1016" t="s">
        <v>2349</v>
      </c>
      <c r="CO6" s="1016"/>
      <c r="CP6" s="1016"/>
      <c r="CQ6" s="1016"/>
      <c r="CR6" s="1016"/>
      <c r="CS6" s="1016"/>
    </row>
    <row r="7" spans="1:97" s="129" customFormat="1" ht="45.6" x14ac:dyDescent="0.25">
      <c r="A7" s="148" t="s">
        <v>766</v>
      </c>
      <c r="B7" s="152" t="s">
        <v>191</v>
      </c>
      <c r="C7" s="142" t="s">
        <v>191</v>
      </c>
      <c r="D7" s="142" t="s">
        <v>192</v>
      </c>
      <c r="E7" s="142" t="s">
        <v>196</v>
      </c>
      <c r="F7" s="142" t="s">
        <v>198</v>
      </c>
      <c r="G7" s="142" t="s">
        <v>196</v>
      </c>
      <c r="H7" s="142" t="s">
        <v>202</v>
      </c>
      <c r="I7" s="142" t="s">
        <v>202</v>
      </c>
      <c r="J7" s="142" t="s">
        <v>202</v>
      </c>
      <c r="K7" s="142" t="s">
        <v>180</v>
      </c>
      <c r="L7" s="142" t="s">
        <v>180</v>
      </c>
      <c r="M7" s="142" t="s">
        <v>181</v>
      </c>
      <c r="N7" s="142" t="s">
        <v>184</v>
      </c>
      <c r="O7" s="142" t="s">
        <v>184</v>
      </c>
      <c r="P7" s="142" t="s">
        <v>184</v>
      </c>
      <c r="Q7" s="142" t="s">
        <v>187</v>
      </c>
      <c r="R7" s="142" t="s">
        <v>187</v>
      </c>
      <c r="S7" s="142" t="s">
        <v>187</v>
      </c>
      <c r="T7" s="142" t="s">
        <v>188</v>
      </c>
      <c r="U7" s="142" t="s">
        <v>189</v>
      </c>
      <c r="V7" s="142" t="s">
        <v>188</v>
      </c>
      <c r="W7" s="327"/>
      <c r="X7" s="142" t="s">
        <v>153</v>
      </c>
      <c r="Y7" s="142" t="s">
        <v>153</v>
      </c>
      <c r="Z7" s="142" t="s">
        <v>154</v>
      </c>
      <c r="AA7" s="142" t="s">
        <v>155</v>
      </c>
      <c r="AB7" s="142" t="s">
        <v>161</v>
      </c>
      <c r="AC7" s="142" t="s">
        <v>155</v>
      </c>
      <c r="AD7" s="142" t="s">
        <v>167</v>
      </c>
      <c r="AE7" s="142" t="s">
        <v>167</v>
      </c>
      <c r="AF7" s="142" t="s">
        <v>167</v>
      </c>
      <c r="AG7" s="142" t="s">
        <v>162</v>
      </c>
      <c r="AH7" s="142" t="s">
        <v>162</v>
      </c>
      <c r="AI7" s="142" t="s">
        <v>163</v>
      </c>
      <c r="AJ7" s="142" t="s">
        <v>158</v>
      </c>
      <c r="AK7" s="142" t="s">
        <v>158</v>
      </c>
      <c r="AL7" s="142" t="s">
        <v>158</v>
      </c>
      <c r="AM7" s="142" t="s">
        <v>159</v>
      </c>
      <c r="AN7" s="142" t="s">
        <v>159</v>
      </c>
      <c r="AO7" s="142" t="s">
        <v>159</v>
      </c>
      <c r="AP7" s="142" t="s">
        <v>160</v>
      </c>
      <c r="AQ7" s="142" t="s">
        <v>164</v>
      </c>
      <c r="AR7" s="142" t="s">
        <v>160</v>
      </c>
      <c r="AS7" s="327"/>
      <c r="AT7" s="142">
        <v>0.75</v>
      </c>
      <c r="AU7" s="142">
        <v>0.7</v>
      </c>
      <c r="AV7" s="142">
        <v>1.1000000000000001</v>
      </c>
      <c r="AW7" s="142"/>
      <c r="AX7" s="142"/>
      <c r="AY7" s="142"/>
      <c r="AZ7" s="142"/>
      <c r="BA7" s="142"/>
      <c r="BB7" s="142"/>
      <c r="BC7" s="142"/>
      <c r="BD7" s="142"/>
      <c r="BE7" s="142"/>
      <c r="BF7" s="142">
        <v>0.25</v>
      </c>
      <c r="BG7" s="142">
        <v>0.25</v>
      </c>
      <c r="BH7" s="142">
        <v>0.25</v>
      </c>
      <c r="BI7" s="142"/>
      <c r="BJ7" s="142"/>
      <c r="BK7" s="142"/>
      <c r="BL7" s="142"/>
      <c r="BM7" s="142"/>
      <c r="BN7" s="142"/>
      <c r="BO7" s="142">
        <v>0.25</v>
      </c>
      <c r="BP7" s="142">
        <v>0.25</v>
      </c>
      <c r="BQ7" s="142">
        <v>0.25</v>
      </c>
      <c r="BR7" s="142">
        <v>1.98</v>
      </c>
      <c r="BS7" s="142">
        <v>1.98</v>
      </c>
      <c r="BT7" s="142">
        <v>1.98</v>
      </c>
      <c r="BU7" s="142">
        <v>1.98</v>
      </c>
      <c r="BV7" s="142">
        <v>1.98</v>
      </c>
      <c r="BW7" s="142">
        <v>1.98</v>
      </c>
      <c r="BX7" s="142">
        <v>0.36</v>
      </c>
      <c r="BY7" s="142">
        <v>0.19</v>
      </c>
      <c r="BZ7" s="142">
        <v>0.39</v>
      </c>
      <c r="CA7" s="142">
        <v>0.34</v>
      </c>
      <c r="CB7" s="142">
        <v>0.36</v>
      </c>
      <c r="CC7" s="143">
        <v>0.19</v>
      </c>
      <c r="CK7" s="1016">
        <v>5</v>
      </c>
      <c r="CL7" s="1016" t="s">
        <v>2346</v>
      </c>
      <c r="CM7" s="1016" t="s">
        <v>2348</v>
      </c>
      <c r="CN7" s="1016" t="s">
        <v>2350</v>
      </c>
    </row>
    <row r="8" spans="1:97" s="129" customFormat="1" ht="57" x14ac:dyDescent="0.25">
      <c r="A8" s="147" t="s">
        <v>797</v>
      </c>
      <c r="B8" s="151" t="s">
        <v>710</v>
      </c>
      <c r="C8" s="132" t="s">
        <v>710</v>
      </c>
      <c r="D8" s="132" t="s">
        <v>711</v>
      </c>
      <c r="E8" s="132" t="s">
        <v>714</v>
      </c>
      <c r="F8" s="132" t="s">
        <v>731</v>
      </c>
      <c r="G8" s="132" t="s">
        <v>714</v>
      </c>
      <c r="H8" s="132" t="s">
        <v>716</v>
      </c>
      <c r="I8" s="132" t="s">
        <v>716</v>
      </c>
      <c r="J8" s="132" t="s">
        <v>716</v>
      </c>
      <c r="K8" s="132" t="s">
        <v>732</v>
      </c>
      <c r="L8" s="132" t="s">
        <v>732</v>
      </c>
      <c r="M8" s="132" t="s">
        <v>733</v>
      </c>
      <c r="N8" s="132" t="s">
        <v>718</v>
      </c>
      <c r="O8" s="132" t="s">
        <v>718</v>
      </c>
      <c r="P8" s="132" t="s">
        <v>718</v>
      </c>
      <c r="Q8" s="132" t="s">
        <v>719</v>
      </c>
      <c r="R8" s="132" t="s">
        <v>719</v>
      </c>
      <c r="S8" s="132" t="s">
        <v>719</v>
      </c>
      <c r="T8" s="132" t="s">
        <v>720</v>
      </c>
      <c r="U8" s="132" t="s">
        <v>734</v>
      </c>
      <c r="V8" s="132" t="s">
        <v>720</v>
      </c>
      <c r="W8" s="327"/>
      <c r="X8" s="132" t="s">
        <v>722</v>
      </c>
      <c r="Y8" s="132" t="s">
        <v>722</v>
      </c>
      <c r="Z8" s="132" t="s">
        <v>723</v>
      </c>
      <c r="AA8" s="132" t="s">
        <v>724</v>
      </c>
      <c r="AB8" s="132" t="s">
        <v>735</v>
      </c>
      <c r="AC8" s="132" t="s">
        <v>724</v>
      </c>
      <c r="AD8" s="132" t="s">
        <v>726</v>
      </c>
      <c r="AE8" s="132" t="s">
        <v>726</v>
      </c>
      <c r="AF8" s="132" t="s">
        <v>726</v>
      </c>
      <c r="AG8" s="132" t="s">
        <v>736</v>
      </c>
      <c r="AH8" s="132" t="s">
        <v>736</v>
      </c>
      <c r="AI8" s="132" t="s">
        <v>737</v>
      </c>
      <c r="AJ8" s="132" t="s">
        <v>728</v>
      </c>
      <c r="AK8" s="132" t="s">
        <v>728</v>
      </c>
      <c r="AL8" s="132" t="s">
        <v>728</v>
      </c>
      <c r="AM8" s="132" t="s">
        <v>729</v>
      </c>
      <c r="AN8" s="132" t="s">
        <v>729</v>
      </c>
      <c r="AO8" s="132" t="s">
        <v>729</v>
      </c>
      <c r="AP8" s="132" t="s">
        <v>730</v>
      </c>
      <c r="AQ8" s="132" t="s">
        <v>738</v>
      </c>
      <c r="AR8" s="132" t="s">
        <v>730</v>
      </c>
      <c r="AS8" s="327"/>
      <c r="AT8" s="132">
        <v>4.26</v>
      </c>
      <c r="AU8" s="132">
        <v>3.97</v>
      </c>
      <c r="AV8" s="132">
        <v>6.25</v>
      </c>
      <c r="AW8" s="132"/>
      <c r="AX8" s="132"/>
      <c r="AY8" s="132"/>
      <c r="AZ8" s="132"/>
      <c r="BA8" s="132"/>
      <c r="BB8" s="132"/>
      <c r="BC8" s="132"/>
      <c r="BD8" s="132"/>
      <c r="BE8" s="132"/>
      <c r="BF8" s="132">
        <v>0.25</v>
      </c>
      <c r="BG8" s="132">
        <v>0.25</v>
      </c>
      <c r="BH8" s="132">
        <v>0.25</v>
      </c>
      <c r="BI8" s="132"/>
      <c r="BJ8" s="132"/>
      <c r="BK8" s="132"/>
      <c r="BL8" s="132"/>
      <c r="BM8" s="132"/>
      <c r="BN8" s="132"/>
      <c r="BO8" s="132">
        <v>0.25</v>
      </c>
      <c r="BP8" s="132">
        <v>0.25</v>
      </c>
      <c r="BQ8" s="132">
        <v>0.25</v>
      </c>
      <c r="BR8" s="132">
        <v>11.24</v>
      </c>
      <c r="BS8" s="132">
        <v>11.24</v>
      </c>
      <c r="BT8" s="132">
        <v>11.24</v>
      </c>
      <c r="BU8" s="132">
        <v>11.24</v>
      </c>
      <c r="BV8" s="132">
        <v>11.24</v>
      </c>
      <c r="BW8" s="132">
        <v>11.24</v>
      </c>
      <c r="BX8" s="132">
        <v>0.36</v>
      </c>
      <c r="BY8" s="132">
        <v>0.19</v>
      </c>
      <c r="BZ8" s="132">
        <v>0.39</v>
      </c>
      <c r="CA8" s="132">
        <v>0.34</v>
      </c>
      <c r="CB8" s="132">
        <v>0.36</v>
      </c>
      <c r="CC8" s="141">
        <v>0.19</v>
      </c>
      <c r="CJ8" s="1176" t="s">
        <v>2238</v>
      </c>
      <c r="CK8" s="1016">
        <v>6</v>
      </c>
      <c r="CL8" s="1177" t="s">
        <v>2345</v>
      </c>
      <c r="CM8" s="1177" t="s">
        <v>2347</v>
      </c>
      <c r="CN8" s="1177" t="s">
        <v>2349</v>
      </c>
    </row>
    <row r="9" spans="1:97" s="129" customFormat="1" ht="57" x14ac:dyDescent="0.25">
      <c r="A9" s="148" t="s">
        <v>767</v>
      </c>
      <c r="B9" s="152" t="s">
        <v>191</v>
      </c>
      <c r="C9" s="142" t="s">
        <v>191</v>
      </c>
      <c r="D9" s="142" t="s">
        <v>192</v>
      </c>
      <c r="E9" s="142" t="s">
        <v>196</v>
      </c>
      <c r="F9" s="142" t="s">
        <v>198</v>
      </c>
      <c r="G9" s="142" t="s">
        <v>196</v>
      </c>
      <c r="H9" s="142" t="s">
        <v>202</v>
      </c>
      <c r="I9" s="142" t="s">
        <v>202</v>
      </c>
      <c r="J9" s="142" t="s">
        <v>202</v>
      </c>
      <c r="K9" s="142" t="s">
        <v>180</v>
      </c>
      <c r="L9" s="142" t="s">
        <v>180</v>
      </c>
      <c r="M9" s="142" t="s">
        <v>181</v>
      </c>
      <c r="N9" s="142" t="s">
        <v>184</v>
      </c>
      <c r="O9" s="142" t="s">
        <v>184</v>
      </c>
      <c r="P9" s="142" t="s">
        <v>184</v>
      </c>
      <c r="Q9" s="142" t="s">
        <v>187</v>
      </c>
      <c r="R9" s="142" t="s">
        <v>187</v>
      </c>
      <c r="S9" s="142" t="s">
        <v>187</v>
      </c>
      <c r="T9" s="142" t="s">
        <v>188</v>
      </c>
      <c r="U9" s="142" t="s">
        <v>189</v>
      </c>
      <c r="V9" s="142" t="s">
        <v>188</v>
      </c>
      <c r="W9" s="327"/>
      <c r="X9" s="142" t="s">
        <v>153</v>
      </c>
      <c r="Y9" s="142" t="s">
        <v>153</v>
      </c>
      <c r="Z9" s="142" t="s">
        <v>154</v>
      </c>
      <c r="AA9" s="142" t="s">
        <v>155</v>
      </c>
      <c r="AB9" s="142" t="s">
        <v>161</v>
      </c>
      <c r="AC9" s="142" t="s">
        <v>155</v>
      </c>
      <c r="AD9" s="142" t="s">
        <v>167</v>
      </c>
      <c r="AE9" s="142" t="s">
        <v>167</v>
      </c>
      <c r="AF9" s="142" t="s">
        <v>167</v>
      </c>
      <c r="AG9" s="142" t="s">
        <v>162</v>
      </c>
      <c r="AH9" s="142" t="s">
        <v>162</v>
      </c>
      <c r="AI9" s="142" t="s">
        <v>163</v>
      </c>
      <c r="AJ9" s="142" t="s">
        <v>158</v>
      </c>
      <c r="AK9" s="142" t="s">
        <v>158</v>
      </c>
      <c r="AL9" s="142" t="s">
        <v>158</v>
      </c>
      <c r="AM9" s="142" t="s">
        <v>159</v>
      </c>
      <c r="AN9" s="142" t="s">
        <v>159</v>
      </c>
      <c r="AO9" s="142" t="s">
        <v>159</v>
      </c>
      <c r="AP9" s="142" t="s">
        <v>160</v>
      </c>
      <c r="AQ9" s="142" t="s">
        <v>164</v>
      </c>
      <c r="AR9" s="142" t="s">
        <v>160</v>
      </c>
      <c r="AS9" s="327"/>
      <c r="AT9" s="142">
        <v>0.75</v>
      </c>
      <c r="AU9" s="142">
        <v>0.7</v>
      </c>
      <c r="AV9" s="142">
        <v>1.1000000000000001</v>
      </c>
      <c r="AW9" s="142"/>
      <c r="AX9" s="142"/>
      <c r="AY9" s="142"/>
      <c r="AZ9" s="142"/>
      <c r="BA9" s="142"/>
      <c r="BB9" s="142"/>
      <c r="BC9" s="142"/>
      <c r="BD9" s="142"/>
      <c r="BE9" s="142"/>
      <c r="BF9" s="142">
        <v>0.25</v>
      </c>
      <c r="BG9" s="142">
        <v>0.25</v>
      </c>
      <c r="BH9" s="142">
        <v>0.25</v>
      </c>
      <c r="BI9" s="142"/>
      <c r="BJ9" s="142"/>
      <c r="BK9" s="142"/>
      <c r="BL9" s="142"/>
      <c r="BM9" s="142"/>
      <c r="BN9" s="142"/>
      <c r="BO9" s="142">
        <v>0.25</v>
      </c>
      <c r="BP9" s="142">
        <v>0.25</v>
      </c>
      <c r="BQ9" s="142">
        <v>0.25</v>
      </c>
      <c r="BR9" s="142">
        <v>1.98</v>
      </c>
      <c r="BS9" s="142">
        <v>1.98</v>
      </c>
      <c r="BT9" s="142">
        <v>1.98</v>
      </c>
      <c r="BU9" s="142">
        <v>1.98</v>
      </c>
      <c r="BV9" s="142">
        <v>1.98</v>
      </c>
      <c r="BW9" s="142">
        <v>1.98</v>
      </c>
      <c r="BX9" s="142">
        <v>0.36</v>
      </c>
      <c r="BY9" s="142">
        <v>0.19</v>
      </c>
      <c r="BZ9" s="142">
        <v>0.39</v>
      </c>
      <c r="CA9" s="142">
        <v>0.34</v>
      </c>
      <c r="CB9" s="142">
        <v>0.36</v>
      </c>
      <c r="CC9" s="143">
        <v>0.19</v>
      </c>
      <c r="CJ9" s="1176" t="s">
        <v>2238</v>
      </c>
      <c r="CK9" s="1016">
        <v>7</v>
      </c>
      <c r="CL9" s="1177" t="s">
        <v>2345</v>
      </c>
      <c r="CM9" s="1177" t="s">
        <v>2347</v>
      </c>
      <c r="CN9" s="1177" t="s">
        <v>2349</v>
      </c>
    </row>
    <row r="10" spans="1:97" s="129" customFormat="1" ht="57" x14ac:dyDescent="0.25">
      <c r="A10" s="147" t="s">
        <v>796</v>
      </c>
      <c r="B10" s="151" t="s">
        <v>710</v>
      </c>
      <c r="C10" s="132" t="s">
        <v>710</v>
      </c>
      <c r="D10" s="132" t="s">
        <v>711</v>
      </c>
      <c r="E10" s="132" t="s">
        <v>714</v>
      </c>
      <c r="F10" s="132" t="s">
        <v>731</v>
      </c>
      <c r="G10" s="132" t="s">
        <v>714</v>
      </c>
      <c r="H10" s="132" t="s">
        <v>716</v>
      </c>
      <c r="I10" s="132" t="s">
        <v>716</v>
      </c>
      <c r="J10" s="132" t="s">
        <v>716</v>
      </c>
      <c r="K10" s="132" t="s">
        <v>732</v>
      </c>
      <c r="L10" s="132" t="s">
        <v>732</v>
      </c>
      <c r="M10" s="132" t="s">
        <v>733</v>
      </c>
      <c r="N10" s="132" t="s">
        <v>718</v>
      </c>
      <c r="O10" s="132" t="s">
        <v>718</v>
      </c>
      <c r="P10" s="132" t="s">
        <v>718</v>
      </c>
      <c r="Q10" s="132" t="s">
        <v>719</v>
      </c>
      <c r="R10" s="132" t="s">
        <v>719</v>
      </c>
      <c r="S10" s="132" t="s">
        <v>719</v>
      </c>
      <c r="T10" s="132" t="s">
        <v>720</v>
      </c>
      <c r="U10" s="132" t="s">
        <v>734</v>
      </c>
      <c r="V10" s="132" t="s">
        <v>720</v>
      </c>
      <c r="W10" s="327"/>
      <c r="X10" s="132" t="s">
        <v>722</v>
      </c>
      <c r="Y10" s="132" t="s">
        <v>722</v>
      </c>
      <c r="Z10" s="132" t="s">
        <v>723</v>
      </c>
      <c r="AA10" s="132" t="s">
        <v>724</v>
      </c>
      <c r="AB10" s="132" t="s">
        <v>735</v>
      </c>
      <c r="AC10" s="132" t="s">
        <v>724</v>
      </c>
      <c r="AD10" s="132" t="s">
        <v>726</v>
      </c>
      <c r="AE10" s="132" t="s">
        <v>726</v>
      </c>
      <c r="AF10" s="132" t="s">
        <v>726</v>
      </c>
      <c r="AG10" s="132" t="s">
        <v>736</v>
      </c>
      <c r="AH10" s="132" t="s">
        <v>736</v>
      </c>
      <c r="AI10" s="132" t="s">
        <v>737</v>
      </c>
      <c r="AJ10" s="132" t="s">
        <v>728</v>
      </c>
      <c r="AK10" s="132" t="s">
        <v>728</v>
      </c>
      <c r="AL10" s="132" t="s">
        <v>728</v>
      </c>
      <c r="AM10" s="132" t="s">
        <v>729</v>
      </c>
      <c r="AN10" s="132" t="s">
        <v>729</v>
      </c>
      <c r="AO10" s="132" t="s">
        <v>729</v>
      </c>
      <c r="AP10" s="132" t="s">
        <v>730</v>
      </c>
      <c r="AQ10" s="132" t="s">
        <v>738</v>
      </c>
      <c r="AR10" s="132" t="s">
        <v>730</v>
      </c>
      <c r="AS10" s="327"/>
      <c r="AT10" s="132">
        <v>4.26</v>
      </c>
      <c r="AU10" s="132">
        <v>3.97</v>
      </c>
      <c r="AV10" s="132">
        <v>6.25</v>
      </c>
      <c r="AW10" s="132"/>
      <c r="AX10" s="132"/>
      <c r="AY10" s="132"/>
      <c r="AZ10" s="132"/>
      <c r="BA10" s="132"/>
      <c r="BB10" s="132"/>
      <c r="BC10" s="132"/>
      <c r="BD10" s="132"/>
      <c r="BE10" s="132"/>
      <c r="BF10" s="132">
        <v>0.25</v>
      </c>
      <c r="BG10" s="132">
        <v>0.25</v>
      </c>
      <c r="BH10" s="132">
        <v>0.25</v>
      </c>
      <c r="BI10" s="132"/>
      <c r="BJ10" s="132"/>
      <c r="BK10" s="132"/>
      <c r="BL10" s="132"/>
      <c r="BM10" s="132"/>
      <c r="BN10" s="132"/>
      <c r="BO10" s="132">
        <v>0.25</v>
      </c>
      <c r="BP10" s="132">
        <v>0.25</v>
      </c>
      <c r="BQ10" s="132">
        <v>0.25</v>
      </c>
      <c r="BR10" s="132">
        <v>11.24</v>
      </c>
      <c r="BS10" s="132">
        <v>11.24</v>
      </c>
      <c r="BT10" s="132">
        <v>11.24</v>
      </c>
      <c r="BU10" s="132">
        <v>11.24</v>
      </c>
      <c r="BV10" s="132">
        <v>11.24</v>
      </c>
      <c r="BW10" s="132">
        <v>11.24</v>
      </c>
      <c r="BX10" s="132">
        <v>0.36</v>
      </c>
      <c r="BY10" s="132">
        <v>0.19</v>
      </c>
      <c r="BZ10" s="132">
        <v>0.39</v>
      </c>
      <c r="CA10" s="132">
        <v>0.34</v>
      </c>
      <c r="CB10" s="132">
        <v>0.36</v>
      </c>
      <c r="CC10" s="141">
        <v>0.19</v>
      </c>
      <c r="CJ10" s="1176" t="s">
        <v>2238</v>
      </c>
      <c r="CK10" s="1016">
        <v>8</v>
      </c>
      <c r="CL10" s="1177" t="s">
        <v>2345</v>
      </c>
      <c r="CM10" s="1177" t="s">
        <v>2347</v>
      </c>
      <c r="CN10" s="1177" t="s">
        <v>2349</v>
      </c>
    </row>
    <row r="11" spans="1:97" s="129" customFormat="1" ht="45.6" x14ac:dyDescent="0.25">
      <c r="A11" s="148" t="s">
        <v>768</v>
      </c>
      <c r="B11" s="152" t="s">
        <v>191</v>
      </c>
      <c r="C11" s="142" t="s">
        <v>191</v>
      </c>
      <c r="D11" s="142" t="s">
        <v>193</v>
      </c>
      <c r="E11" s="142" t="s">
        <v>199</v>
      </c>
      <c r="F11" s="142" t="s">
        <v>198</v>
      </c>
      <c r="G11" s="142" t="s">
        <v>196</v>
      </c>
      <c r="H11" s="142" t="s">
        <v>202</v>
      </c>
      <c r="I11" s="142" t="s">
        <v>202</v>
      </c>
      <c r="J11" s="142" t="s">
        <v>202</v>
      </c>
      <c r="K11" s="142" t="s">
        <v>180</v>
      </c>
      <c r="L11" s="142" t="s">
        <v>180</v>
      </c>
      <c r="M11" s="142" t="s">
        <v>181</v>
      </c>
      <c r="N11" s="142" t="s">
        <v>184</v>
      </c>
      <c r="O11" s="142" t="s">
        <v>184</v>
      </c>
      <c r="P11" s="142" t="s">
        <v>184</v>
      </c>
      <c r="Q11" s="142" t="s">
        <v>187</v>
      </c>
      <c r="R11" s="142" t="s">
        <v>187</v>
      </c>
      <c r="S11" s="142" t="s">
        <v>187</v>
      </c>
      <c r="T11" s="142" t="s">
        <v>188</v>
      </c>
      <c r="U11" s="142" t="s">
        <v>189</v>
      </c>
      <c r="V11" s="142" t="s">
        <v>188</v>
      </c>
      <c r="W11" s="327"/>
      <c r="X11" s="142" t="s">
        <v>153</v>
      </c>
      <c r="Y11" s="142" t="s">
        <v>153</v>
      </c>
      <c r="Z11" s="142" t="s">
        <v>165</v>
      </c>
      <c r="AA11" s="142" t="s">
        <v>166</v>
      </c>
      <c r="AB11" s="142" t="s">
        <v>161</v>
      </c>
      <c r="AC11" s="142" t="s">
        <v>155</v>
      </c>
      <c r="AD11" s="142" t="s">
        <v>167</v>
      </c>
      <c r="AE11" s="142" t="s">
        <v>167</v>
      </c>
      <c r="AF11" s="142" t="s">
        <v>167</v>
      </c>
      <c r="AG11" s="142" t="s">
        <v>162</v>
      </c>
      <c r="AH11" s="142" t="s">
        <v>162</v>
      </c>
      <c r="AI11" s="142" t="s">
        <v>163</v>
      </c>
      <c r="AJ11" s="142" t="s">
        <v>158</v>
      </c>
      <c r="AK11" s="142" t="s">
        <v>158</v>
      </c>
      <c r="AL11" s="142" t="s">
        <v>158</v>
      </c>
      <c r="AM11" s="142" t="s">
        <v>159</v>
      </c>
      <c r="AN11" s="142" t="s">
        <v>159</v>
      </c>
      <c r="AO11" s="142" t="s">
        <v>159</v>
      </c>
      <c r="AP11" s="142" t="s">
        <v>160</v>
      </c>
      <c r="AQ11" s="142" t="s">
        <v>164</v>
      </c>
      <c r="AR11" s="142" t="s">
        <v>160</v>
      </c>
      <c r="AS11" s="327"/>
      <c r="AT11" s="142">
        <v>0.65</v>
      </c>
      <c r="AU11" s="142">
        <v>0.6</v>
      </c>
      <c r="AV11" s="142">
        <v>0.9</v>
      </c>
      <c r="AW11" s="142"/>
      <c r="AX11" s="142"/>
      <c r="AY11" s="142"/>
      <c r="AZ11" s="142"/>
      <c r="BA11" s="142"/>
      <c r="BB11" s="142"/>
      <c r="BC11" s="142"/>
      <c r="BD11" s="142"/>
      <c r="BE11" s="142"/>
      <c r="BF11" s="142">
        <v>0.25</v>
      </c>
      <c r="BG11" s="142">
        <v>0.25</v>
      </c>
      <c r="BH11" s="142">
        <v>0.25</v>
      </c>
      <c r="BI11" s="142"/>
      <c r="BJ11" s="142"/>
      <c r="BK11" s="142"/>
      <c r="BL11" s="142"/>
      <c r="BM11" s="142"/>
      <c r="BN11" s="142"/>
      <c r="BO11" s="142">
        <v>0.25</v>
      </c>
      <c r="BP11" s="142">
        <v>0.25</v>
      </c>
      <c r="BQ11" s="142">
        <v>0.25</v>
      </c>
      <c r="BR11" s="142">
        <v>1.17</v>
      </c>
      <c r="BS11" s="142">
        <v>1.17</v>
      </c>
      <c r="BT11" s="142">
        <v>1.17</v>
      </c>
      <c r="BU11" s="142">
        <v>1.17</v>
      </c>
      <c r="BV11" s="142">
        <v>1.17</v>
      </c>
      <c r="BW11" s="142">
        <v>1.17</v>
      </c>
      <c r="BX11" s="142">
        <v>0.39</v>
      </c>
      <c r="BY11" s="142">
        <v>0.19</v>
      </c>
      <c r="BZ11" s="142">
        <v>0.65</v>
      </c>
      <c r="CA11" s="142">
        <v>0.34</v>
      </c>
      <c r="CB11" s="142">
        <v>0.39</v>
      </c>
      <c r="CC11" s="143">
        <v>0.19</v>
      </c>
    </row>
    <row r="12" spans="1:97" s="129" customFormat="1" ht="57" x14ac:dyDescent="0.25">
      <c r="A12" s="147" t="s">
        <v>795</v>
      </c>
      <c r="B12" s="151" t="s">
        <v>710</v>
      </c>
      <c r="C12" s="132" t="s">
        <v>710</v>
      </c>
      <c r="D12" s="132" t="s">
        <v>739</v>
      </c>
      <c r="E12" s="132" t="s">
        <v>740</v>
      </c>
      <c r="F12" s="132" t="s">
        <v>731</v>
      </c>
      <c r="G12" s="132" t="s">
        <v>714</v>
      </c>
      <c r="H12" s="132" t="s">
        <v>716</v>
      </c>
      <c r="I12" s="132" t="s">
        <v>716</v>
      </c>
      <c r="J12" s="132" t="s">
        <v>716</v>
      </c>
      <c r="K12" s="132" t="s">
        <v>732</v>
      </c>
      <c r="L12" s="132" t="s">
        <v>732</v>
      </c>
      <c r="M12" s="132" t="s">
        <v>733</v>
      </c>
      <c r="N12" s="132" t="s">
        <v>718</v>
      </c>
      <c r="O12" s="132" t="s">
        <v>718</v>
      </c>
      <c r="P12" s="132" t="s">
        <v>718</v>
      </c>
      <c r="Q12" s="132" t="s">
        <v>719</v>
      </c>
      <c r="R12" s="132" t="s">
        <v>719</v>
      </c>
      <c r="S12" s="132" t="s">
        <v>719</v>
      </c>
      <c r="T12" s="132" t="s">
        <v>720</v>
      </c>
      <c r="U12" s="132" t="s">
        <v>734</v>
      </c>
      <c r="V12" s="132" t="s">
        <v>720</v>
      </c>
      <c r="W12" s="327"/>
      <c r="X12" s="132" t="s">
        <v>722</v>
      </c>
      <c r="Y12" s="132" t="s">
        <v>722</v>
      </c>
      <c r="Z12" s="132" t="s">
        <v>741</v>
      </c>
      <c r="AA12" s="132" t="s">
        <v>742</v>
      </c>
      <c r="AB12" s="132" t="s">
        <v>735</v>
      </c>
      <c r="AC12" s="132" t="s">
        <v>724</v>
      </c>
      <c r="AD12" s="132" t="s">
        <v>726</v>
      </c>
      <c r="AE12" s="132" t="s">
        <v>726</v>
      </c>
      <c r="AF12" s="132" t="s">
        <v>726</v>
      </c>
      <c r="AG12" s="132" t="s">
        <v>736</v>
      </c>
      <c r="AH12" s="132" t="s">
        <v>736</v>
      </c>
      <c r="AI12" s="132" t="s">
        <v>737</v>
      </c>
      <c r="AJ12" s="132" t="s">
        <v>728</v>
      </c>
      <c r="AK12" s="132" t="s">
        <v>728</v>
      </c>
      <c r="AL12" s="132" t="s">
        <v>728</v>
      </c>
      <c r="AM12" s="132" t="s">
        <v>729</v>
      </c>
      <c r="AN12" s="132" t="s">
        <v>729</v>
      </c>
      <c r="AO12" s="132" t="s">
        <v>729</v>
      </c>
      <c r="AP12" s="132" t="s">
        <v>730</v>
      </c>
      <c r="AQ12" s="132" t="s">
        <v>738</v>
      </c>
      <c r="AR12" s="132" t="s">
        <v>730</v>
      </c>
      <c r="AS12" s="327"/>
      <c r="AT12" s="132">
        <v>3.69</v>
      </c>
      <c r="AU12" s="132">
        <v>3.41</v>
      </c>
      <c r="AV12" s="132">
        <v>5.1100000000000003</v>
      </c>
      <c r="AW12" s="132"/>
      <c r="AX12" s="132"/>
      <c r="AY12" s="132"/>
      <c r="AZ12" s="132"/>
      <c r="BA12" s="132"/>
      <c r="BB12" s="132"/>
      <c r="BC12" s="132"/>
      <c r="BD12" s="132"/>
      <c r="BE12" s="132"/>
      <c r="BF12" s="132">
        <v>0.25</v>
      </c>
      <c r="BG12" s="132">
        <v>0.25</v>
      </c>
      <c r="BH12" s="132">
        <v>0.25</v>
      </c>
      <c r="BI12" s="132"/>
      <c r="BJ12" s="132"/>
      <c r="BK12" s="132"/>
      <c r="BL12" s="132"/>
      <c r="BM12" s="132"/>
      <c r="BN12" s="132"/>
      <c r="BO12" s="132">
        <v>0.25</v>
      </c>
      <c r="BP12" s="132">
        <v>0.25</v>
      </c>
      <c r="BQ12" s="132">
        <v>0.25</v>
      </c>
      <c r="BR12" s="132">
        <v>6.64</v>
      </c>
      <c r="BS12" s="132">
        <v>6.64</v>
      </c>
      <c r="BT12" s="132">
        <v>6.64</v>
      </c>
      <c r="BU12" s="132">
        <v>6.64</v>
      </c>
      <c r="BV12" s="132">
        <v>6.64</v>
      </c>
      <c r="BW12" s="132">
        <v>6.64</v>
      </c>
      <c r="BX12" s="132">
        <v>0.39</v>
      </c>
      <c r="BY12" s="132">
        <v>0.19</v>
      </c>
      <c r="BZ12" s="132">
        <v>0.65</v>
      </c>
      <c r="CA12" s="132">
        <v>0.34</v>
      </c>
      <c r="CB12" s="132">
        <v>0.39</v>
      </c>
      <c r="CC12" s="141">
        <v>0.19</v>
      </c>
    </row>
    <row r="13" spans="1:97" s="129" customFormat="1" ht="45.6" x14ac:dyDescent="0.25">
      <c r="A13" s="148" t="s">
        <v>769</v>
      </c>
      <c r="B13" s="152" t="s">
        <v>191</v>
      </c>
      <c r="C13" s="142" t="s">
        <v>191</v>
      </c>
      <c r="D13" s="142" t="s">
        <v>193</v>
      </c>
      <c r="E13" s="142" t="s">
        <v>199</v>
      </c>
      <c r="F13" s="142" t="s">
        <v>198</v>
      </c>
      <c r="G13" s="142" t="s">
        <v>196</v>
      </c>
      <c r="H13" s="142" t="s">
        <v>202</v>
      </c>
      <c r="I13" s="142" t="s">
        <v>202</v>
      </c>
      <c r="J13" s="142" t="s">
        <v>202</v>
      </c>
      <c r="K13" s="142" t="s">
        <v>180</v>
      </c>
      <c r="L13" s="142" t="s">
        <v>180</v>
      </c>
      <c r="M13" s="142" t="s">
        <v>181</v>
      </c>
      <c r="N13" s="142" t="s">
        <v>184</v>
      </c>
      <c r="O13" s="142" t="s">
        <v>184</v>
      </c>
      <c r="P13" s="142" t="s">
        <v>184</v>
      </c>
      <c r="Q13" s="142" t="s">
        <v>187</v>
      </c>
      <c r="R13" s="142" t="s">
        <v>187</v>
      </c>
      <c r="S13" s="142" t="s">
        <v>187</v>
      </c>
      <c r="T13" s="142" t="s">
        <v>188</v>
      </c>
      <c r="U13" s="142" t="s">
        <v>189</v>
      </c>
      <c r="V13" s="142" t="s">
        <v>188</v>
      </c>
      <c r="W13" s="327"/>
      <c r="X13" s="142" t="s">
        <v>153</v>
      </c>
      <c r="Y13" s="142" t="s">
        <v>153</v>
      </c>
      <c r="Z13" s="142" t="s">
        <v>165</v>
      </c>
      <c r="AA13" s="142" t="s">
        <v>166</v>
      </c>
      <c r="AB13" s="142" t="s">
        <v>161</v>
      </c>
      <c r="AC13" s="142" t="s">
        <v>155</v>
      </c>
      <c r="AD13" s="142" t="s">
        <v>167</v>
      </c>
      <c r="AE13" s="142" t="s">
        <v>167</v>
      </c>
      <c r="AF13" s="142" t="s">
        <v>167</v>
      </c>
      <c r="AG13" s="142" t="s">
        <v>162</v>
      </c>
      <c r="AH13" s="142" t="s">
        <v>162</v>
      </c>
      <c r="AI13" s="142" t="s">
        <v>163</v>
      </c>
      <c r="AJ13" s="142" t="s">
        <v>158</v>
      </c>
      <c r="AK13" s="142" t="s">
        <v>158</v>
      </c>
      <c r="AL13" s="142" t="s">
        <v>158</v>
      </c>
      <c r="AM13" s="142" t="s">
        <v>159</v>
      </c>
      <c r="AN13" s="142" t="s">
        <v>159</v>
      </c>
      <c r="AO13" s="142" t="s">
        <v>159</v>
      </c>
      <c r="AP13" s="142" t="s">
        <v>160</v>
      </c>
      <c r="AQ13" s="142" t="s">
        <v>164</v>
      </c>
      <c r="AR13" s="142" t="s">
        <v>160</v>
      </c>
      <c r="AS13" s="327"/>
      <c r="AT13" s="142">
        <v>0.65</v>
      </c>
      <c r="AU13" s="142">
        <v>0.6</v>
      </c>
      <c r="AV13" s="142">
        <v>0.9</v>
      </c>
      <c r="AW13" s="142"/>
      <c r="AX13" s="142"/>
      <c r="AY13" s="142"/>
      <c r="AZ13" s="142"/>
      <c r="BA13" s="142"/>
      <c r="BB13" s="142"/>
      <c r="BC13" s="142"/>
      <c r="BD13" s="142"/>
      <c r="BE13" s="142"/>
      <c r="BF13" s="142">
        <v>0.25</v>
      </c>
      <c r="BG13" s="142">
        <v>0.25</v>
      </c>
      <c r="BH13" s="142">
        <v>0.25</v>
      </c>
      <c r="BI13" s="142"/>
      <c r="BJ13" s="142"/>
      <c r="BK13" s="142"/>
      <c r="BL13" s="142"/>
      <c r="BM13" s="142"/>
      <c r="BN13" s="142"/>
      <c r="BO13" s="142">
        <v>0.25</v>
      </c>
      <c r="BP13" s="142">
        <v>0.25</v>
      </c>
      <c r="BQ13" s="142">
        <v>0.25</v>
      </c>
      <c r="BR13" s="142">
        <v>1.17</v>
      </c>
      <c r="BS13" s="142">
        <v>1.17</v>
      </c>
      <c r="BT13" s="142">
        <v>1.17</v>
      </c>
      <c r="BU13" s="142">
        <v>1.17</v>
      </c>
      <c r="BV13" s="142">
        <v>1.17</v>
      </c>
      <c r="BW13" s="142">
        <v>1.17</v>
      </c>
      <c r="BX13" s="142">
        <v>0.39</v>
      </c>
      <c r="BY13" s="142">
        <v>0.19</v>
      </c>
      <c r="BZ13" s="142">
        <v>0.65</v>
      </c>
      <c r="CA13" s="142">
        <v>0.34</v>
      </c>
      <c r="CB13" s="142">
        <v>0.39</v>
      </c>
      <c r="CC13" s="143">
        <v>0.19</v>
      </c>
    </row>
    <row r="14" spans="1:97" s="129" customFormat="1" ht="57" x14ac:dyDescent="0.25">
      <c r="A14" s="147" t="s">
        <v>794</v>
      </c>
      <c r="B14" s="151" t="s">
        <v>710</v>
      </c>
      <c r="C14" s="132" t="s">
        <v>710</v>
      </c>
      <c r="D14" s="132" t="s">
        <v>739</v>
      </c>
      <c r="E14" s="132" t="s">
        <v>740</v>
      </c>
      <c r="F14" s="132" t="s">
        <v>731</v>
      </c>
      <c r="G14" s="132" t="s">
        <v>714</v>
      </c>
      <c r="H14" s="132" t="s">
        <v>716</v>
      </c>
      <c r="I14" s="132" t="s">
        <v>716</v>
      </c>
      <c r="J14" s="132" t="s">
        <v>716</v>
      </c>
      <c r="K14" s="132" t="s">
        <v>732</v>
      </c>
      <c r="L14" s="132" t="s">
        <v>732</v>
      </c>
      <c r="M14" s="132" t="s">
        <v>733</v>
      </c>
      <c r="N14" s="132" t="s">
        <v>718</v>
      </c>
      <c r="O14" s="132" t="s">
        <v>718</v>
      </c>
      <c r="P14" s="132" t="s">
        <v>718</v>
      </c>
      <c r="Q14" s="132" t="s">
        <v>719</v>
      </c>
      <c r="R14" s="132" t="s">
        <v>719</v>
      </c>
      <c r="S14" s="132" t="s">
        <v>719</v>
      </c>
      <c r="T14" s="132" t="s">
        <v>720</v>
      </c>
      <c r="U14" s="132" t="s">
        <v>734</v>
      </c>
      <c r="V14" s="132" t="s">
        <v>720</v>
      </c>
      <c r="W14" s="327"/>
      <c r="X14" s="132" t="s">
        <v>722</v>
      </c>
      <c r="Y14" s="132" t="s">
        <v>722</v>
      </c>
      <c r="Z14" s="132" t="s">
        <v>741</v>
      </c>
      <c r="AA14" s="132" t="s">
        <v>742</v>
      </c>
      <c r="AB14" s="132" t="s">
        <v>735</v>
      </c>
      <c r="AC14" s="132" t="s">
        <v>724</v>
      </c>
      <c r="AD14" s="132" t="s">
        <v>726</v>
      </c>
      <c r="AE14" s="132" t="s">
        <v>726</v>
      </c>
      <c r="AF14" s="132" t="s">
        <v>726</v>
      </c>
      <c r="AG14" s="132" t="s">
        <v>736</v>
      </c>
      <c r="AH14" s="132" t="s">
        <v>736</v>
      </c>
      <c r="AI14" s="132" t="s">
        <v>737</v>
      </c>
      <c r="AJ14" s="132" t="s">
        <v>728</v>
      </c>
      <c r="AK14" s="132" t="s">
        <v>728</v>
      </c>
      <c r="AL14" s="132" t="s">
        <v>728</v>
      </c>
      <c r="AM14" s="132" t="s">
        <v>729</v>
      </c>
      <c r="AN14" s="132" t="s">
        <v>729</v>
      </c>
      <c r="AO14" s="132" t="s">
        <v>729</v>
      </c>
      <c r="AP14" s="132" t="s">
        <v>730</v>
      </c>
      <c r="AQ14" s="132" t="s">
        <v>738</v>
      </c>
      <c r="AR14" s="132" t="s">
        <v>730</v>
      </c>
      <c r="AS14" s="327"/>
      <c r="AT14" s="132">
        <v>3.69</v>
      </c>
      <c r="AU14" s="132">
        <v>3.41</v>
      </c>
      <c r="AV14" s="132">
        <v>5.1100000000000003</v>
      </c>
      <c r="AW14" s="132"/>
      <c r="AX14" s="132"/>
      <c r="AY14" s="132"/>
      <c r="AZ14" s="132"/>
      <c r="BA14" s="132"/>
      <c r="BB14" s="132"/>
      <c r="BC14" s="132"/>
      <c r="BD14" s="132"/>
      <c r="BE14" s="132"/>
      <c r="BF14" s="132">
        <v>0.25</v>
      </c>
      <c r="BG14" s="132">
        <v>0.25</v>
      </c>
      <c r="BH14" s="132">
        <v>0.25</v>
      </c>
      <c r="BI14" s="132"/>
      <c r="BJ14" s="132"/>
      <c r="BK14" s="132"/>
      <c r="BL14" s="132"/>
      <c r="BM14" s="132"/>
      <c r="BN14" s="132"/>
      <c r="BO14" s="132">
        <v>0.25</v>
      </c>
      <c r="BP14" s="132">
        <v>0.25</v>
      </c>
      <c r="BQ14" s="132">
        <v>0.25</v>
      </c>
      <c r="BR14" s="132">
        <v>6.64</v>
      </c>
      <c r="BS14" s="132">
        <v>6.64</v>
      </c>
      <c r="BT14" s="132">
        <v>6.64</v>
      </c>
      <c r="BU14" s="132">
        <v>6.64</v>
      </c>
      <c r="BV14" s="132">
        <v>6.64</v>
      </c>
      <c r="BW14" s="132">
        <v>6.64</v>
      </c>
      <c r="BX14" s="132">
        <v>0.39</v>
      </c>
      <c r="BY14" s="132">
        <v>0.19</v>
      </c>
      <c r="BZ14" s="132">
        <v>0.65</v>
      </c>
      <c r="CA14" s="132">
        <v>0.34</v>
      </c>
      <c r="CB14" s="132">
        <v>0.39</v>
      </c>
      <c r="CC14" s="141">
        <v>0.19</v>
      </c>
    </row>
    <row r="15" spans="1:97" s="129" customFormat="1" ht="45.6" x14ac:dyDescent="0.25">
      <c r="A15" s="148" t="s">
        <v>770</v>
      </c>
      <c r="B15" s="152" t="s">
        <v>191</v>
      </c>
      <c r="C15" s="142" t="s">
        <v>191</v>
      </c>
      <c r="D15" s="142" t="s">
        <v>193</v>
      </c>
      <c r="E15" s="142" t="s">
        <v>199</v>
      </c>
      <c r="F15" s="142" t="s">
        <v>198</v>
      </c>
      <c r="G15" s="142" t="s">
        <v>196</v>
      </c>
      <c r="H15" s="142" t="s">
        <v>202</v>
      </c>
      <c r="I15" s="142" t="s">
        <v>202</v>
      </c>
      <c r="J15" s="142" t="s">
        <v>202</v>
      </c>
      <c r="K15" s="142" t="s">
        <v>180</v>
      </c>
      <c r="L15" s="142" t="s">
        <v>180</v>
      </c>
      <c r="M15" s="142" t="s">
        <v>181</v>
      </c>
      <c r="N15" s="142" t="s">
        <v>184</v>
      </c>
      <c r="O15" s="142" t="s">
        <v>184</v>
      </c>
      <c r="P15" s="142" t="s">
        <v>184</v>
      </c>
      <c r="Q15" s="142" t="s">
        <v>187</v>
      </c>
      <c r="R15" s="142" t="s">
        <v>187</v>
      </c>
      <c r="S15" s="142" t="s">
        <v>187</v>
      </c>
      <c r="T15" s="142" t="s">
        <v>188</v>
      </c>
      <c r="U15" s="142" t="s">
        <v>189</v>
      </c>
      <c r="V15" s="142" t="s">
        <v>188</v>
      </c>
      <c r="W15" s="327"/>
      <c r="X15" s="142" t="s">
        <v>153</v>
      </c>
      <c r="Y15" s="142" t="s">
        <v>153</v>
      </c>
      <c r="Z15" s="142" t="s">
        <v>165</v>
      </c>
      <c r="AA15" s="142" t="s">
        <v>166</v>
      </c>
      <c r="AB15" s="142" t="s">
        <v>161</v>
      </c>
      <c r="AC15" s="142" t="s">
        <v>155</v>
      </c>
      <c r="AD15" s="142" t="s">
        <v>167</v>
      </c>
      <c r="AE15" s="142" t="s">
        <v>167</v>
      </c>
      <c r="AF15" s="142" t="s">
        <v>167</v>
      </c>
      <c r="AG15" s="142" t="s">
        <v>162</v>
      </c>
      <c r="AH15" s="142" t="s">
        <v>162</v>
      </c>
      <c r="AI15" s="142" t="s">
        <v>163</v>
      </c>
      <c r="AJ15" s="142" t="s">
        <v>158</v>
      </c>
      <c r="AK15" s="142" t="s">
        <v>158</v>
      </c>
      <c r="AL15" s="142" t="s">
        <v>158</v>
      </c>
      <c r="AM15" s="142" t="s">
        <v>159</v>
      </c>
      <c r="AN15" s="142" t="s">
        <v>159</v>
      </c>
      <c r="AO15" s="142" t="s">
        <v>159</v>
      </c>
      <c r="AP15" s="142" t="s">
        <v>160</v>
      </c>
      <c r="AQ15" s="142" t="s">
        <v>164</v>
      </c>
      <c r="AR15" s="142" t="s">
        <v>160</v>
      </c>
      <c r="AS15" s="327"/>
      <c r="AT15" s="142">
        <v>0.65</v>
      </c>
      <c r="AU15" s="142">
        <v>0.6</v>
      </c>
      <c r="AV15" s="142">
        <v>0.9</v>
      </c>
      <c r="AW15" s="142"/>
      <c r="AX15" s="142"/>
      <c r="AY15" s="142"/>
      <c r="AZ15" s="142"/>
      <c r="BA15" s="142"/>
      <c r="BB15" s="142"/>
      <c r="BC15" s="142"/>
      <c r="BD15" s="142"/>
      <c r="BE15" s="142"/>
      <c r="BF15" s="142">
        <v>0.25</v>
      </c>
      <c r="BG15" s="142">
        <v>0.25</v>
      </c>
      <c r="BH15" s="142">
        <v>0.25</v>
      </c>
      <c r="BI15" s="142"/>
      <c r="BJ15" s="142"/>
      <c r="BK15" s="142"/>
      <c r="BL15" s="142"/>
      <c r="BM15" s="142"/>
      <c r="BN15" s="142"/>
      <c r="BO15" s="142">
        <v>0.25</v>
      </c>
      <c r="BP15" s="142">
        <v>0.25</v>
      </c>
      <c r="BQ15" s="142">
        <v>0.25</v>
      </c>
      <c r="BR15" s="142">
        <v>1.17</v>
      </c>
      <c r="BS15" s="142">
        <v>1.17</v>
      </c>
      <c r="BT15" s="142">
        <v>1.17</v>
      </c>
      <c r="BU15" s="142">
        <v>1.17</v>
      </c>
      <c r="BV15" s="142">
        <v>1.17</v>
      </c>
      <c r="BW15" s="142">
        <v>1.17</v>
      </c>
      <c r="BX15" s="142">
        <v>0.39</v>
      </c>
      <c r="BY15" s="142">
        <v>0.19</v>
      </c>
      <c r="BZ15" s="142">
        <v>0.65</v>
      </c>
      <c r="CA15" s="142">
        <v>0.34</v>
      </c>
      <c r="CB15" s="142">
        <v>0.39</v>
      </c>
      <c r="CC15" s="143">
        <v>0.19</v>
      </c>
    </row>
    <row r="16" spans="1:97" s="129" customFormat="1" ht="57" x14ac:dyDescent="0.25">
      <c r="A16" s="147" t="s">
        <v>793</v>
      </c>
      <c r="B16" s="151" t="s">
        <v>710</v>
      </c>
      <c r="C16" s="132" t="s">
        <v>710</v>
      </c>
      <c r="D16" s="132" t="s">
        <v>739</v>
      </c>
      <c r="E16" s="132" t="s">
        <v>740</v>
      </c>
      <c r="F16" s="132" t="s">
        <v>731</v>
      </c>
      <c r="G16" s="132" t="s">
        <v>714</v>
      </c>
      <c r="H16" s="132" t="s">
        <v>716</v>
      </c>
      <c r="I16" s="132" t="s">
        <v>716</v>
      </c>
      <c r="J16" s="132" t="s">
        <v>716</v>
      </c>
      <c r="K16" s="132" t="s">
        <v>732</v>
      </c>
      <c r="L16" s="132" t="s">
        <v>732</v>
      </c>
      <c r="M16" s="132" t="s">
        <v>733</v>
      </c>
      <c r="N16" s="132" t="s">
        <v>718</v>
      </c>
      <c r="O16" s="132" t="s">
        <v>718</v>
      </c>
      <c r="P16" s="132" t="s">
        <v>718</v>
      </c>
      <c r="Q16" s="132" t="s">
        <v>719</v>
      </c>
      <c r="R16" s="132" t="s">
        <v>719</v>
      </c>
      <c r="S16" s="132" t="s">
        <v>719</v>
      </c>
      <c r="T16" s="132" t="s">
        <v>720</v>
      </c>
      <c r="U16" s="132" t="s">
        <v>734</v>
      </c>
      <c r="V16" s="132" t="s">
        <v>720</v>
      </c>
      <c r="W16" s="327"/>
      <c r="X16" s="132" t="s">
        <v>722</v>
      </c>
      <c r="Y16" s="132" t="s">
        <v>722</v>
      </c>
      <c r="Z16" s="132" t="s">
        <v>741</v>
      </c>
      <c r="AA16" s="132" t="s">
        <v>742</v>
      </c>
      <c r="AB16" s="132" t="s">
        <v>735</v>
      </c>
      <c r="AC16" s="132" t="s">
        <v>724</v>
      </c>
      <c r="AD16" s="132" t="s">
        <v>726</v>
      </c>
      <c r="AE16" s="132" t="s">
        <v>726</v>
      </c>
      <c r="AF16" s="132" t="s">
        <v>726</v>
      </c>
      <c r="AG16" s="132" t="s">
        <v>736</v>
      </c>
      <c r="AH16" s="132" t="s">
        <v>736</v>
      </c>
      <c r="AI16" s="132" t="s">
        <v>737</v>
      </c>
      <c r="AJ16" s="132" t="s">
        <v>728</v>
      </c>
      <c r="AK16" s="132" t="s">
        <v>728</v>
      </c>
      <c r="AL16" s="132" t="s">
        <v>728</v>
      </c>
      <c r="AM16" s="132" t="s">
        <v>729</v>
      </c>
      <c r="AN16" s="132" t="s">
        <v>729</v>
      </c>
      <c r="AO16" s="132" t="s">
        <v>729</v>
      </c>
      <c r="AP16" s="132" t="s">
        <v>730</v>
      </c>
      <c r="AQ16" s="132" t="s">
        <v>738</v>
      </c>
      <c r="AR16" s="132" t="s">
        <v>730</v>
      </c>
      <c r="AS16" s="327"/>
      <c r="AT16" s="132">
        <v>3.69</v>
      </c>
      <c r="AU16" s="132">
        <v>3.41</v>
      </c>
      <c r="AV16" s="132">
        <v>5.1100000000000003</v>
      </c>
      <c r="AW16" s="132"/>
      <c r="AX16" s="132"/>
      <c r="AY16" s="132"/>
      <c r="AZ16" s="132"/>
      <c r="BA16" s="132"/>
      <c r="BB16" s="132"/>
      <c r="BC16" s="132"/>
      <c r="BD16" s="132"/>
      <c r="BE16" s="132"/>
      <c r="BF16" s="132">
        <v>0.25</v>
      </c>
      <c r="BG16" s="132">
        <v>0.25</v>
      </c>
      <c r="BH16" s="132">
        <v>0.25</v>
      </c>
      <c r="BI16" s="132"/>
      <c r="BJ16" s="132"/>
      <c r="BK16" s="132"/>
      <c r="BL16" s="132"/>
      <c r="BM16" s="132"/>
      <c r="BN16" s="132"/>
      <c r="BO16" s="132">
        <v>0.25</v>
      </c>
      <c r="BP16" s="132">
        <v>0.25</v>
      </c>
      <c r="BQ16" s="132">
        <v>0.25</v>
      </c>
      <c r="BR16" s="132">
        <v>6.64</v>
      </c>
      <c r="BS16" s="132">
        <v>6.64</v>
      </c>
      <c r="BT16" s="132">
        <v>6.64</v>
      </c>
      <c r="BU16" s="132">
        <v>6.64</v>
      </c>
      <c r="BV16" s="132">
        <v>6.64</v>
      </c>
      <c r="BW16" s="132">
        <v>6.64</v>
      </c>
      <c r="BX16" s="132">
        <v>0.39</v>
      </c>
      <c r="BY16" s="132">
        <v>0.19</v>
      </c>
      <c r="BZ16" s="132">
        <v>0.65</v>
      </c>
      <c r="CA16" s="132">
        <v>0.34</v>
      </c>
      <c r="CB16" s="132">
        <v>0.39</v>
      </c>
      <c r="CC16" s="141">
        <v>0.19</v>
      </c>
    </row>
    <row r="17" spans="1:81" s="1016" customFormat="1" ht="57" x14ac:dyDescent="0.25">
      <c r="A17" s="815" t="s">
        <v>771</v>
      </c>
      <c r="B17" s="816" t="s">
        <v>2169</v>
      </c>
      <c r="C17" s="817" t="s">
        <v>2169</v>
      </c>
      <c r="D17" s="817" t="s">
        <v>2170</v>
      </c>
      <c r="E17" s="817" t="s">
        <v>198</v>
      </c>
      <c r="F17" s="817" t="s">
        <v>198</v>
      </c>
      <c r="G17" s="817" t="s">
        <v>196</v>
      </c>
      <c r="H17" s="817" t="s">
        <v>2171</v>
      </c>
      <c r="I17" s="817" t="s">
        <v>2172</v>
      </c>
      <c r="J17" s="817" t="s">
        <v>202</v>
      </c>
      <c r="K17" s="817" t="s">
        <v>182</v>
      </c>
      <c r="L17" s="817" t="s">
        <v>182</v>
      </c>
      <c r="M17" s="817" t="s">
        <v>180</v>
      </c>
      <c r="N17" s="817" t="s">
        <v>2173</v>
      </c>
      <c r="O17" s="817" t="s">
        <v>185</v>
      </c>
      <c r="P17" s="817" t="s">
        <v>184</v>
      </c>
      <c r="Q17" s="817" t="s">
        <v>189</v>
      </c>
      <c r="R17" s="817" t="s">
        <v>189</v>
      </c>
      <c r="S17" s="817" t="s">
        <v>187</v>
      </c>
      <c r="T17" s="817" t="s">
        <v>189</v>
      </c>
      <c r="U17" s="817" t="s">
        <v>189</v>
      </c>
      <c r="V17" s="817" t="s">
        <v>188</v>
      </c>
      <c r="W17" s="823"/>
      <c r="X17" s="1005">
        <v>3.2000000000000001E-2</v>
      </c>
      <c r="Y17" s="1005">
        <v>3.2000000000000001E-2</v>
      </c>
      <c r="Z17" s="1006">
        <v>9.2999999999999999E-2</v>
      </c>
      <c r="AA17" s="1006">
        <v>6.4000000000000001E-2</v>
      </c>
      <c r="AB17" s="1006">
        <v>6.4000000000000001E-2</v>
      </c>
      <c r="AC17" s="1006">
        <v>0.124</v>
      </c>
      <c r="AD17" s="1006">
        <v>0.11899999999999999</v>
      </c>
      <c r="AE17" s="1006">
        <v>9.1999999999999998E-2</v>
      </c>
      <c r="AF17" s="1006">
        <v>1.1399999999999999</v>
      </c>
      <c r="AG17" s="1006">
        <v>3.7999999999999999E-2</v>
      </c>
      <c r="AH17" s="1006">
        <v>3.7999999999999999E-2</v>
      </c>
      <c r="AI17" s="1006">
        <v>0.52</v>
      </c>
      <c r="AJ17" s="1006">
        <v>0.52</v>
      </c>
      <c r="AK17" s="1006">
        <v>0.52</v>
      </c>
      <c r="AL17" s="1006">
        <v>0.73</v>
      </c>
      <c r="AM17" s="1006">
        <v>0.5</v>
      </c>
      <c r="AN17" s="1006">
        <v>0.5</v>
      </c>
      <c r="AO17" s="1006">
        <v>0.7</v>
      </c>
      <c r="AP17" s="1006">
        <v>0.5</v>
      </c>
      <c r="AQ17" s="1006">
        <v>0.5</v>
      </c>
      <c r="AR17" s="1006">
        <v>1.45</v>
      </c>
      <c r="AS17" s="823"/>
      <c r="AT17" s="945">
        <v>0.42</v>
      </c>
      <c r="AU17" s="945">
        <v>0.42</v>
      </c>
      <c r="AV17" s="945">
        <v>0.73</v>
      </c>
      <c r="AW17" s="945">
        <v>0.42</v>
      </c>
      <c r="AX17" s="945">
        <v>0.42</v>
      </c>
      <c r="AY17" s="945">
        <v>0.73</v>
      </c>
      <c r="AZ17" s="945">
        <v>0.42</v>
      </c>
      <c r="BA17" s="945">
        <v>0.42</v>
      </c>
      <c r="BB17" s="945">
        <v>0.73</v>
      </c>
      <c r="BC17" s="945">
        <v>0.42</v>
      </c>
      <c r="BD17" s="945">
        <v>0.42</v>
      </c>
      <c r="BE17" s="945">
        <v>0.73</v>
      </c>
      <c r="BF17" s="817">
        <v>0.4</v>
      </c>
      <c r="BG17" s="817">
        <v>0.4</v>
      </c>
      <c r="BH17" s="817" t="s">
        <v>764</v>
      </c>
      <c r="BI17" s="817">
        <v>0.4</v>
      </c>
      <c r="BJ17" s="817">
        <v>0.4</v>
      </c>
      <c r="BK17" s="817" t="s">
        <v>764</v>
      </c>
      <c r="BL17" s="817">
        <v>0.4</v>
      </c>
      <c r="BM17" s="817">
        <v>0.4</v>
      </c>
      <c r="BN17" s="817" t="s">
        <v>764</v>
      </c>
      <c r="BO17" s="817">
        <v>0.4</v>
      </c>
      <c r="BP17" s="817">
        <v>0.4</v>
      </c>
      <c r="BQ17" s="817" t="s">
        <v>764</v>
      </c>
      <c r="BR17" s="945">
        <v>0.5</v>
      </c>
      <c r="BS17" s="945">
        <v>0.5</v>
      </c>
      <c r="BT17" s="945">
        <v>0.5</v>
      </c>
      <c r="BU17" s="945">
        <v>0.5</v>
      </c>
      <c r="BV17" s="945">
        <v>1.1499999999999999</v>
      </c>
      <c r="BW17" s="945">
        <v>1.1499999999999999</v>
      </c>
      <c r="BX17" s="945">
        <v>0.4</v>
      </c>
      <c r="BY17" s="945">
        <v>0.4</v>
      </c>
      <c r="BZ17" s="945">
        <v>0.4</v>
      </c>
      <c r="CA17" s="945">
        <v>0.4</v>
      </c>
      <c r="CB17" s="817" t="s">
        <v>764</v>
      </c>
      <c r="CC17" s="818" t="s">
        <v>764</v>
      </c>
    </row>
    <row r="18" spans="1:81" s="1016" customFormat="1" ht="57" x14ac:dyDescent="0.25">
      <c r="A18" s="819" t="s">
        <v>792</v>
      </c>
      <c r="B18" s="820" t="s">
        <v>2174</v>
      </c>
      <c r="C18" s="820" t="s">
        <v>2174</v>
      </c>
      <c r="D18" s="820" t="s">
        <v>2175</v>
      </c>
      <c r="E18" s="821" t="s">
        <v>2176</v>
      </c>
      <c r="F18" s="821" t="s">
        <v>2176</v>
      </c>
      <c r="G18" s="821" t="s">
        <v>1691</v>
      </c>
      <c r="H18" s="821" t="s">
        <v>2184</v>
      </c>
      <c r="I18" s="821" t="s">
        <v>2183</v>
      </c>
      <c r="J18" s="821" t="s">
        <v>2182</v>
      </c>
      <c r="K18" s="821" t="s">
        <v>2181</v>
      </c>
      <c r="L18" s="821" t="s">
        <v>2181</v>
      </c>
      <c r="M18" s="821" t="s">
        <v>1693</v>
      </c>
      <c r="N18" s="821" t="s">
        <v>2180</v>
      </c>
      <c r="O18" s="821" t="s">
        <v>2180</v>
      </c>
      <c r="P18" s="821" t="s">
        <v>718</v>
      </c>
      <c r="Q18" s="821" t="s">
        <v>2178</v>
      </c>
      <c r="R18" s="821" t="s">
        <v>2178</v>
      </c>
      <c r="S18" s="821" t="s">
        <v>2179</v>
      </c>
      <c r="T18" s="821" t="s">
        <v>2178</v>
      </c>
      <c r="U18" s="821" t="s">
        <v>2178</v>
      </c>
      <c r="V18" s="821" t="s">
        <v>2177</v>
      </c>
      <c r="W18" s="823"/>
      <c r="X18" s="1003">
        <v>0.182</v>
      </c>
      <c r="Y18" s="1003">
        <v>0.182</v>
      </c>
      <c r="Z18" s="1003">
        <v>0.52900000000000003</v>
      </c>
      <c r="AA18" s="1003">
        <v>0.36399999999999999</v>
      </c>
      <c r="AB18" s="1003">
        <v>0.36399999999999999</v>
      </c>
      <c r="AC18" s="1003">
        <v>0.70499999999999996</v>
      </c>
      <c r="AD18" s="1484">
        <v>0.66700000000000004</v>
      </c>
      <c r="AE18" s="1484">
        <v>0.52300000000000002</v>
      </c>
      <c r="AF18" s="1484">
        <v>6.484</v>
      </c>
      <c r="AG18" s="1003">
        <v>0.216</v>
      </c>
      <c r="AH18" s="1003">
        <v>0.216</v>
      </c>
      <c r="AI18" s="1003">
        <v>0.29599999999999999</v>
      </c>
      <c r="AJ18" s="1003">
        <v>0.9</v>
      </c>
      <c r="AK18" s="1003">
        <v>0.9</v>
      </c>
      <c r="AL18" s="1003">
        <v>1.264</v>
      </c>
      <c r="AM18" s="1003">
        <v>2.8439999999999999</v>
      </c>
      <c r="AN18" s="1003">
        <v>2.8439999999999999</v>
      </c>
      <c r="AO18" s="1003">
        <v>3.9809999999999999</v>
      </c>
      <c r="AP18" s="1003">
        <v>2.8439999999999999</v>
      </c>
      <c r="AQ18" s="1003">
        <v>2.8439999999999999</v>
      </c>
      <c r="AR18" s="1003">
        <v>8.2469999999999999</v>
      </c>
      <c r="AS18" s="823"/>
      <c r="AT18" s="1003">
        <v>2.38</v>
      </c>
      <c r="AU18" s="1003">
        <v>2.38</v>
      </c>
      <c r="AV18" s="1003">
        <v>4.1399999999999997</v>
      </c>
      <c r="AW18" s="1003">
        <v>2.38</v>
      </c>
      <c r="AX18" s="1003">
        <v>2.38</v>
      </c>
      <c r="AY18" s="1003">
        <v>4.1399999999999997</v>
      </c>
      <c r="AZ18" s="1003">
        <v>2.38</v>
      </c>
      <c r="BA18" s="1003">
        <v>2.38</v>
      </c>
      <c r="BB18" s="1003">
        <v>4.1399999999999997</v>
      </c>
      <c r="BC18" s="1003">
        <v>2.38</v>
      </c>
      <c r="BD18" s="1003">
        <v>2.38</v>
      </c>
      <c r="BE18" s="1003">
        <v>4.1399999999999997</v>
      </c>
      <c r="BF18" s="1003">
        <v>0.4</v>
      </c>
      <c r="BG18" s="1003">
        <v>0.4</v>
      </c>
      <c r="BH18" s="1003" t="s">
        <v>764</v>
      </c>
      <c r="BI18" s="1003">
        <v>0.4</v>
      </c>
      <c r="BJ18" s="1003">
        <v>0.4</v>
      </c>
      <c r="BK18" s="1003" t="s">
        <v>764</v>
      </c>
      <c r="BL18" s="1003">
        <v>0.4</v>
      </c>
      <c r="BM18" s="1003">
        <v>0.4</v>
      </c>
      <c r="BN18" s="1003" t="s">
        <v>764</v>
      </c>
      <c r="BO18" s="1003">
        <v>0.4</v>
      </c>
      <c r="BP18" s="1003">
        <v>0.4</v>
      </c>
      <c r="BQ18" s="1003" t="s">
        <v>764</v>
      </c>
      <c r="BR18" s="1003">
        <v>2.84</v>
      </c>
      <c r="BS18" s="1003">
        <v>2.84</v>
      </c>
      <c r="BT18" s="1003">
        <v>2.84</v>
      </c>
      <c r="BU18" s="1003">
        <v>2.84</v>
      </c>
      <c r="BV18" s="1003">
        <v>6.53</v>
      </c>
      <c r="BW18" s="1003">
        <v>6.53</v>
      </c>
      <c r="BX18" s="1003">
        <v>0.4</v>
      </c>
      <c r="BY18" s="1003">
        <v>0.4</v>
      </c>
      <c r="BZ18" s="1003">
        <v>0.4</v>
      </c>
      <c r="CA18" s="1003">
        <v>0.4</v>
      </c>
      <c r="CB18" s="1003" t="s">
        <v>764</v>
      </c>
      <c r="CC18" s="1004" t="s">
        <v>764</v>
      </c>
    </row>
    <row r="19" spans="1:81" s="1016" customFormat="1" ht="57" x14ac:dyDescent="0.25">
      <c r="A19" s="815" t="s">
        <v>772</v>
      </c>
      <c r="B19" s="816" t="s">
        <v>2169</v>
      </c>
      <c r="C19" s="817" t="s">
        <v>2169</v>
      </c>
      <c r="D19" s="817" t="s">
        <v>2170</v>
      </c>
      <c r="E19" s="817" t="s">
        <v>198</v>
      </c>
      <c r="F19" s="817" t="s">
        <v>198</v>
      </c>
      <c r="G19" s="817" t="s">
        <v>196</v>
      </c>
      <c r="H19" s="817" t="s">
        <v>2171</v>
      </c>
      <c r="I19" s="817" t="s">
        <v>2172</v>
      </c>
      <c r="J19" s="817" t="s">
        <v>202</v>
      </c>
      <c r="K19" s="817" t="s">
        <v>182</v>
      </c>
      <c r="L19" s="817" t="s">
        <v>182</v>
      </c>
      <c r="M19" s="817" t="s">
        <v>180</v>
      </c>
      <c r="N19" s="817" t="s">
        <v>2173</v>
      </c>
      <c r="O19" s="817" t="s">
        <v>185</v>
      </c>
      <c r="P19" s="817" t="s">
        <v>184</v>
      </c>
      <c r="Q19" s="817" t="s">
        <v>189</v>
      </c>
      <c r="R19" s="817" t="s">
        <v>189</v>
      </c>
      <c r="S19" s="817" t="s">
        <v>187</v>
      </c>
      <c r="T19" s="817" t="s">
        <v>189</v>
      </c>
      <c r="U19" s="817" t="s">
        <v>189</v>
      </c>
      <c r="V19" s="817" t="s">
        <v>188</v>
      </c>
      <c r="W19" s="823"/>
      <c r="X19" s="1005">
        <v>3.2000000000000001E-2</v>
      </c>
      <c r="Y19" s="1005">
        <v>3.2000000000000001E-2</v>
      </c>
      <c r="Z19" s="1006">
        <v>9.2999999999999999E-2</v>
      </c>
      <c r="AA19" s="1006">
        <v>6.4000000000000001E-2</v>
      </c>
      <c r="AB19" s="1006">
        <v>6.4000000000000001E-2</v>
      </c>
      <c r="AC19" s="1006">
        <v>0.124</v>
      </c>
      <c r="AD19" s="1485">
        <v>0.11899999999999999</v>
      </c>
      <c r="AE19" s="1485">
        <v>9.1999999999999998E-2</v>
      </c>
      <c r="AF19" s="1485">
        <v>1.1399999999999999</v>
      </c>
      <c r="AG19" s="1006">
        <v>3.7999999999999999E-2</v>
      </c>
      <c r="AH19" s="1006">
        <v>3.7999999999999999E-2</v>
      </c>
      <c r="AI19" s="1006">
        <v>0.52</v>
      </c>
      <c r="AJ19" s="1006">
        <v>0.52</v>
      </c>
      <c r="AK19" s="1006">
        <v>0.52</v>
      </c>
      <c r="AL19" s="1006">
        <v>0.73</v>
      </c>
      <c r="AM19" s="1006">
        <v>0.5</v>
      </c>
      <c r="AN19" s="1006">
        <v>0.5</v>
      </c>
      <c r="AO19" s="1006">
        <v>0.7</v>
      </c>
      <c r="AP19" s="1006">
        <v>0.5</v>
      </c>
      <c r="AQ19" s="1006">
        <v>0.5</v>
      </c>
      <c r="AR19" s="1006">
        <v>1.45</v>
      </c>
      <c r="AS19" s="823"/>
      <c r="AT19" s="1005">
        <v>0.42</v>
      </c>
      <c r="AU19" s="1005">
        <v>0.42</v>
      </c>
      <c r="AV19" s="1005">
        <v>0.73</v>
      </c>
      <c r="AW19" s="1005">
        <v>0.42</v>
      </c>
      <c r="AX19" s="1005">
        <v>0.42</v>
      </c>
      <c r="AY19" s="1005">
        <v>0.73</v>
      </c>
      <c r="AZ19" s="1005">
        <v>0.42</v>
      </c>
      <c r="BA19" s="1005">
        <v>0.42</v>
      </c>
      <c r="BB19" s="1005">
        <v>0.73</v>
      </c>
      <c r="BC19" s="1005">
        <v>0.42</v>
      </c>
      <c r="BD19" s="1005">
        <v>0.42</v>
      </c>
      <c r="BE19" s="1005">
        <v>0.73</v>
      </c>
      <c r="BF19" s="1006">
        <v>0.4</v>
      </c>
      <c r="BG19" s="1006">
        <v>0.4</v>
      </c>
      <c r="BH19" s="1006" t="s">
        <v>764</v>
      </c>
      <c r="BI19" s="1006">
        <v>0.4</v>
      </c>
      <c r="BJ19" s="1006">
        <v>0.4</v>
      </c>
      <c r="BK19" s="1006" t="s">
        <v>764</v>
      </c>
      <c r="BL19" s="1006">
        <v>0.4</v>
      </c>
      <c r="BM19" s="1006">
        <v>0.4</v>
      </c>
      <c r="BN19" s="1006" t="s">
        <v>764</v>
      </c>
      <c r="BO19" s="1006">
        <v>0.4</v>
      </c>
      <c r="BP19" s="1006">
        <v>0.4</v>
      </c>
      <c r="BQ19" s="1006" t="s">
        <v>764</v>
      </c>
      <c r="BR19" s="1005">
        <v>0.5</v>
      </c>
      <c r="BS19" s="1005">
        <v>0.5</v>
      </c>
      <c r="BT19" s="1005">
        <v>0.5</v>
      </c>
      <c r="BU19" s="1005">
        <v>0.5</v>
      </c>
      <c r="BV19" s="1005">
        <v>1.1499999999999999</v>
      </c>
      <c r="BW19" s="1005">
        <v>1.1499999999999999</v>
      </c>
      <c r="BX19" s="1005">
        <v>0.4</v>
      </c>
      <c r="BY19" s="1005">
        <v>0.4</v>
      </c>
      <c r="BZ19" s="1005">
        <v>0.4</v>
      </c>
      <c r="CA19" s="1005">
        <v>0.4</v>
      </c>
      <c r="CB19" s="1006" t="s">
        <v>764</v>
      </c>
      <c r="CC19" s="1007" t="s">
        <v>764</v>
      </c>
    </row>
    <row r="20" spans="1:81" s="1016" customFormat="1" ht="57" x14ac:dyDescent="0.25">
      <c r="A20" s="819" t="s">
        <v>791</v>
      </c>
      <c r="B20" s="820" t="s">
        <v>2174</v>
      </c>
      <c r="C20" s="820" t="s">
        <v>2174</v>
      </c>
      <c r="D20" s="820" t="s">
        <v>2175</v>
      </c>
      <c r="E20" s="821" t="s">
        <v>2176</v>
      </c>
      <c r="F20" s="821" t="s">
        <v>2176</v>
      </c>
      <c r="G20" s="821" t="s">
        <v>1691</v>
      </c>
      <c r="H20" s="821" t="s">
        <v>2184</v>
      </c>
      <c r="I20" s="821" t="s">
        <v>2183</v>
      </c>
      <c r="J20" s="821" t="s">
        <v>2182</v>
      </c>
      <c r="K20" s="821" t="s">
        <v>2181</v>
      </c>
      <c r="L20" s="821" t="s">
        <v>2181</v>
      </c>
      <c r="M20" s="821" t="s">
        <v>1693</v>
      </c>
      <c r="N20" s="821" t="s">
        <v>2180</v>
      </c>
      <c r="O20" s="821" t="s">
        <v>2180</v>
      </c>
      <c r="P20" s="821" t="s">
        <v>718</v>
      </c>
      <c r="Q20" s="821" t="s">
        <v>2178</v>
      </c>
      <c r="R20" s="821" t="s">
        <v>2178</v>
      </c>
      <c r="S20" s="821" t="s">
        <v>2179</v>
      </c>
      <c r="T20" s="821" t="s">
        <v>2178</v>
      </c>
      <c r="U20" s="821" t="s">
        <v>2178</v>
      </c>
      <c r="V20" s="821" t="s">
        <v>2177</v>
      </c>
      <c r="W20" s="823"/>
      <c r="X20" s="1003">
        <v>0.182</v>
      </c>
      <c r="Y20" s="1003">
        <v>0.182</v>
      </c>
      <c r="Z20" s="1003">
        <v>0.52900000000000003</v>
      </c>
      <c r="AA20" s="1003">
        <v>0.36399999999999999</v>
      </c>
      <c r="AB20" s="1003">
        <v>0.36399999999999999</v>
      </c>
      <c r="AC20" s="1003">
        <v>0.70499999999999996</v>
      </c>
      <c r="AD20" s="1003">
        <v>0.66700000000000004</v>
      </c>
      <c r="AE20" s="1003">
        <v>0.52300000000000002</v>
      </c>
      <c r="AF20" s="1003">
        <v>6.484</v>
      </c>
      <c r="AG20" s="1003">
        <v>0.216</v>
      </c>
      <c r="AH20" s="1003">
        <v>0.216</v>
      </c>
      <c r="AI20" s="1003">
        <v>0.29599999999999999</v>
      </c>
      <c r="AJ20" s="1003">
        <v>0.9</v>
      </c>
      <c r="AK20" s="1003">
        <v>0.9</v>
      </c>
      <c r="AL20" s="1003">
        <v>1.264</v>
      </c>
      <c r="AM20" s="1003">
        <v>2.8439999999999999</v>
      </c>
      <c r="AN20" s="1003">
        <v>2.8439999999999999</v>
      </c>
      <c r="AO20" s="1003">
        <v>3.9809999999999999</v>
      </c>
      <c r="AP20" s="1003">
        <v>2.8439999999999999</v>
      </c>
      <c r="AQ20" s="1003">
        <v>2.8439999999999999</v>
      </c>
      <c r="AR20" s="1003">
        <v>8.2469999999999999</v>
      </c>
      <c r="AS20" s="823"/>
      <c r="AT20" s="1003">
        <v>2.38</v>
      </c>
      <c r="AU20" s="1003">
        <v>2.38</v>
      </c>
      <c r="AV20" s="1003">
        <v>4.1399999999999997</v>
      </c>
      <c r="AW20" s="1003">
        <v>2.38</v>
      </c>
      <c r="AX20" s="1003">
        <v>2.38</v>
      </c>
      <c r="AY20" s="1003">
        <v>4.1399999999999997</v>
      </c>
      <c r="AZ20" s="1003">
        <v>2.38</v>
      </c>
      <c r="BA20" s="1003">
        <v>2.38</v>
      </c>
      <c r="BB20" s="1003">
        <v>4.1399999999999997</v>
      </c>
      <c r="BC20" s="1003">
        <v>2.38</v>
      </c>
      <c r="BD20" s="1003">
        <v>2.38</v>
      </c>
      <c r="BE20" s="1003">
        <v>4.1399999999999997</v>
      </c>
      <c r="BF20" s="1003">
        <v>0.4</v>
      </c>
      <c r="BG20" s="1003">
        <v>0.4</v>
      </c>
      <c r="BH20" s="1003" t="s">
        <v>764</v>
      </c>
      <c r="BI20" s="1003">
        <v>0.4</v>
      </c>
      <c r="BJ20" s="1003">
        <v>0.4</v>
      </c>
      <c r="BK20" s="1003" t="s">
        <v>764</v>
      </c>
      <c r="BL20" s="1003">
        <v>0.4</v>
      </c>
      <c r="BM20" s="1003">
        <v>0.4</v>
      </c>
      <c r="BN20" s="1003" t="s">
        <v>764</v>
      </c>
      <c r="BO20" s="1003">
        <v>0.4</v>
      </c>
      <c r="BP20" s="1003">
        <v>0.4</v>
      </c>
      <c r="BQ20" s="1003" t="s">
        <v>764</v>
      </c>
      <c r="BR20" s="1003">
        <v>2.84</v>
      </c>
      <c r="BS20" s="1003">
        <v>2.84</v>
      </c>
      <c r="BT20" s="1003">
        <v>2.84</v>
      </c>
      <c r="BU20" s="1003">
        <v>2.84</v>
      </c>
      <c r="BV20" s="1003">
        <v>6.53</v>
      </c>
      <c r="BW20" s="1003">
        <v>6.53</v>
      </c>
      <c r="BX20" s="1003">
        <v>0.4</v>
      </c>
      <c r="BY20" s="1003">
        <v>0.4</v>
      </c>
      <c r="BZ20" s="1003">
        <v>0.4</v>
      </c>
      <c r="CA20" s="1003">
        <v>0.4</v>
      </c>
      <c r="CB20" s="1003" t="s">
        <v>764</v>
      </c>
      <c r="CC20" s="1004" t="s">
        <v>764</v>
      </c>
    </row>
    <row r="21" spans="1:81" s="1016" customFormat="1" ht="57" x14ac:dyDescent="0.25">
      <c r="A21" s="815" t="s">
        <v>773</v>
      </c>
      <c r="B21" s="816" t="s">
        <v>2169</v>
      </c>
      <c r="C21" s="817" t="s">
        <v>2169</v>
      </c>
      <c r="D21" s="817" t="s">
        <v>2170</v>
      </c>
      <c r="E21" s="817" t="s">
        <v>198</v>
      </c>
      <c r="F21" s="817" t="s">
        <v>198</v>
      </c>
      <c r="G21" s="817" t="s">
        <v>196</v>
      </c>
      <c r="H21" s="817" t="s">
        <v>2171</v>
      </c>
      <c r="I21" s="817" t="s">
        <v>2172</v>
      </c>
      <c r="J21" s="817" t="s">
        <v>202</v>
      </c>
      <c r="K21" s="817" t="s">
        <v>182</v>
      </c>
      <c r="L21" s="817" t="s">
        <v>182</v>
      </c>
      <c r="M21" s="817" t="s">
        <v>180</v>
      </c>
      <c r="N21" s="817" t="s">
        <v>2173</v>
      </c>
      <c r="O21" s="817" t="s">
        <v>185</v>
      </c>
      <c r="P21" s="817" t="s">
        <v>184</v>
      </c>
      <c r="Q21" s="817" t="s">
        <v>189</v>
      </c>
      <c r="R21" s="817" t="s">
        <v>189</v>
      </c>
      <c r="S21" s="817" t="s">
        <v>187</v>
      </c>
      <c r="T21" s="817" t="s">
        <v>189</v>
      </c>
      <c r="U21" s="817" t="s">
        <v>189</v>
      </c>
      <c r="V21" s="817" t="s">
        <v>188</v>
      </c>
      <c r="W21" s="823"/>
      <c r="X21" s="1005">
        <v>3.2000000000000001E-2</v>
      </c>
      <c r="Y21" s="1005">
        <v>3.2000000000000001E-2</v>
      </c>
      <c r="Z21" s="1006">
        <v>9.2999999999999999E-2</v>
      </c>
      <c r="AA21" s="1006">
        <v>6.4000000000000001E-2</v>
      </c>
      <c r="AB21" s="1006">
        <v>6.4000000000000001E-2</v>
      </c>
      <c r="AC21" s="1006">
        <v>0.124</v>
      </c>
      <c r="AD21" s="1006">
        <v>0.11899999999999999</v>
      </c>
      <c r="AE21" s="1006">
        <v>9.1999999999999998E-2</v>
      </c>
      <c r="AF21" s="1006">
        <v>1.1399999999999999</v>
      </c>
      <c r="AG21" s="1006">
        <v>3.7999999999999999E-2</v>
      </c>
      <c r="AH21" s="1006">
        <v>3.7999999999999999E-2</v>
      </c>
      <c r="AI21" s="1006">
        <v>0.52</v>
      </c>
      <c r="AJ21" s="1006">
        <v>0.52</v>
      </c>
      <c r="AK21" s="1006">
        <v>0.52</v>
      </c>
      <c r="AL21" s="1006">
        <v>0.73</v>
      </c>
      <c r="AM21" s="1006">
        <v>0.5</v>
      </c>
      <c r="AN21" s="1006">
        <v>0.5</v>
      </c>
      <c r="AO21" s="1006">
        <v>0.7</v>
      </c>
      <c r="AP21" s="1006">
        <v>0.5</v>
      </c>
      <c r="AQ21" s="1006">
        <v>0.5</v>
      </c>
      <c r="AR21" s="1006">
        <v>1.45</v>
      </c>
      <c r="AS21" s="823"/>
      <c r="AT21" s="1005">
        <v>0.42</v>
      </c>
      <c r="AU21" s="1005">
        <v>0.42</v>
      </c>
      <c r="AV21" s="1005">
        <v>0.73</v>
      </c>
      <c r="AW21" s="1005">
        <v>0.42</v>
      </c>
      <c r="AX21" s="1005">
        <v>0.42</v>
      </c>
      <c r="AY21" s="1005">
        <v>0.73</v>
      </c>
      <c r="AZ21" s="1005">
        <v>0.42</v>
      </c>
      <c r="BA21" s="1005">
        <v>0.42</v>
      </c>
      <c r="BB21" s="1005">
        <v>0.73</v>
      </c>
      <c r="BC21" s="1005">
        <v>0.42</v>
      </c>
      <c r="BD21" s="1005">
        <v>0.42</v>
      </c>
      <c r="BE21" s="1005">
        <v>0.73</v>
      </c>
      <c r="BF21" s="1006">
        <v>0.4</v>
      </c>
      <c r="BG21" s="1006">
        <v>0.4</v>
      </c>
      <c r="BH21" s="1006" t="s">
        <v>764</v>
      </c>
      <c r="BI21" s="1006">
        <v>0.4</v>
      </c>
      <c r="BJ21" s="1006">
        <v>0.4</v>
      </c>
      <c r="BK21" s="1006" t="s">
        <v>764</v>
      </c>
      <c r="BL21" s="1006">
        <v>0.4</v>
      </c>
      <c r="BM21" s="1006">
        <v>0.4</v>
      </c>
      <c r="BN21" s="1006" t="s">
        <v>764</v>
      </c>
      <c r="BO21" s="1006">
        <v>0.4</v>
      </c>
      <c r="BP21" s="1006">
        <v>0.4</v>
      </c>
      <c r="BQ21" s="1006" t="s">
        <v>764</v>
      </c>
      <c r="BR21" s="1005">
        <v>0.5</v>
      </c>
      <c r="BS21" s="1005">
        <v>0.5</v>
      </c>
      <c r="BT21" s="1005">
        <v>0.5</v>
      </c>
      <c r="BU21" s="1005">
        <v>0.5</v>
      </c>
      <c r="BV21" s="1005">
        <v>1.1499999999999999</v>
      </c>
      <c r="BW21" s="1005">
        <v>1.1499999999999999</v>
      </c>
      <c r="BX21" s="1005">
        <v>0.4</v>
      </c>
      <c r="BY21" s="1005">
        <v>0.4</v>
      </c>
      <c r="BZ21" s="1005">
        <v>0.4</v>
      </c>
      <c r="CA21" s="1005">
        <v>0.4</v>
      </c>
      <c r="CB21" s="1006" t="s">
        <v>764</v>
      </c>
      <c r="CC21" s="1007" t="s">
        <v>764</v>
      </c>
    </row>
    <row r="22" spans="1:81" s="1016" customFormat="1" ht="57" x14ac:dyDescent="0.25">
      <c r="A22" s="819" t="s">
        <v>790</v>
      </c>
      <c r="B22" s="820" t="s">
        <v>2174</v>
      </c>
      <c r="C22" s="820" t="s">
        <v>2174</v>
      </c>
      <c r="D22" s="820" t="s">
        <v>2175</v>
      </c>
      <c r="E22" s="821" t="s">
        <v>2176</v>
      </c>
      <c r="F22" s="821" t="s">
        <v>2176</v>
      </c>
      <c r="G22" s="821" t="s">
        <v>1691</v>
      </c>
      <c r="H22" s="821" t="s">
        <v>2184</v>
      </c>
      <c r="I22" s="821" t="s">
        <v>2183</v>
      </c>
      <c r="J22" s="821" t="s">
        <v>2182</v>
      </c>
      <c r="K22" s="821" t="s">
        <v>2181</v>
      </c>
      <c r="L22" s="821" t="s">
        <v>2181</v>
      </c>
      <c r="M22" s="821" t="s">
        <v>1693</v>
      </c>
      <c r="N22" s="821" t="s">
        <v>2180</v>
      </c>
      <c r="O22" s="821" t="s">
        <v>2180</v>
      </c>
      <c r="P22" s="821" t="s">
        <v>718</v>
      </c>
      <c r="Q22" s="821" t="s">
        <v>2178</v>
      </c>
      <c r="R22" s="821" t="s">
        <v>2178</v>
      </c>
      <c r="S22" s="821" t="s">
        <v>2179</v>
      </c>
      <c r="T22" s="821" t="s">
        <v>2178</v>
      </c>
      <c r="U22" s="821" t="s">
        <v>2178</v>
      </c>
      <c r="V22" s="821" t="s">
        <v>2177</v>
      </c>
      <c r="W22" s="823"/>
      <c r="X22" s="1003">
        <v>0.182</v>
      </c>
      <c r="Y22" s="1003">
        <v>0.182</v>
      </c>
      <c r="Z22" s="1003">
        <v>0.52900000000000003</v>
      </c>
      <c r="AA22" s="1003">
        <v>0.36399999999999999</v>
      </c>
      <c r="AB22" s="1003">
        <v>0.36399999999999999</v>
      </c>
      <c r="AC22" s="1003">
        <v>0.70499999999999996</v>
      </c>
      <c r="AD22" s="1003">
        <v>0.66700000000000004</v>
      </c>
      <c r="AE22" s="1003">
        <v>0.52300000000000002</v>
      </c>
      <c r="AF22" s="1003">
        <v>6.484</v>
      </c>
      <c r="AG22" s="1003">
        <v>0.216</v>
      </c>
      <c r="AH22" s="1003">
        <v>0.216</v>
      </c>
      <c r="AI22" s="1003">
        <v>0.29599999999999999</v>
      </c>
      <c r="AJ22" s="1003">
        <v>0.9</v>
      </c>
      <c r="AK22" s="1003">
        <v>0.9</v>
      </c>
      <c r="AL22" s="1003">
        <v>1.264</v>
      </c>
      <c r="AM22" s="1003">
        <v>2.8439999999999999</v>
      </c>
      <c r="AN22" s="1003">
        <v>2.8439999999999999</v>
      </c>
      <c r="AO22" s="1003">
        <v>3.9809999999999999</v>
      </c>
      <c r="AP22" s="1003">
        <v>2.8439999999999999</v>
      </c>
      <c r="AQ22" s="1003">
        <v>2.8439999999999999</v>
      </c>
      <c r="AR22" s="1003">
        <v>8.2469999999999999</v>
      </c>
      <c r="AS22" s="823"/>
      <c r="AT22" s="1003">
        <v>2.38</v>
      </c>
      <c r="AU22" s="1003">
        <v>2.38</v>
      </c>
      <c r="AV22" s="1003">
        <v>4.1399999999999997</v>
      </c>
      <c r="AW22" s="1003">
        <v>2.38</v>
      </c>
      <c r="AX22" s="1003">
        <v>2.38</v>
      </c>
      <c r="AY22" s="1003">
        <v>4.1399999999999997</v>
      </c>
      <c r="AZ22" s="1003">
        <v>2.38</v>
      </c>
      <c r="BA22" s="1003">
        <v>2.38</v>
      </c>
      <c r="BB22" s="1003">
        <v>4.1399999999999997</v>
      </c>
      <c r="BC22" s="1003">
        <v>2.38</v>
      </c>
      <c r="BD22" s="1003">
        <v>2.38</v>
      </c>
      <c r="BE22" s="1003">
        <v>4.1399999999999997</v>
      </c>
      <c r="BF22" s="1003">
        <v>0.4</v>
      </c>
      <c r="BG22" s="1003">
        <v>0.4</v>
      </c>
      <c r="BH22" s="1003" t="s">
        <v>764</v>
      </c>
      <c r="BI22" s="1003">
        <v>0.4</v>
      </c>
      <c r="BJ22" s="1003">
        <v>0.4</v>
      </c>
      <c r="BK22" s="1003" t="s">
        <v>764</v>
      </c>
      <c r="BL22" s="1003">
        <v>0.4</v>
      </c>
      <c r="BM22" s="1003">
        <v>0.4</v>
      </c>
      <c r="BN22" s="1003" t="s">
        <v>764</v>
      </c>
      <c r="BO22" s="1003">
        <v>0.4</v>
      </c>
      <c r="BP22" s="1003">
        <v>0.4</v>
      </c>
      <c r="BQ22" s="1003" t="s">
        <v>764</v>
      </c>
      <c r="BR22" s="1003">
        <v>2.84</v>
      </c>
      <c r="BS22" s="1003">
        <v>2.84</v>
      </c>
      <c r="BT22" s="1003">
        <v>2.84</v>
      </c>
      <c r="BU22" s="1003">
        <v>2.84</v>
      </c>
      <c r="BV22" s="1003">
        <v>6.53</v>
      </c>
      <c r="BW22" s="1003">
        <v>6.53</v>
      </c>
      <c r="BX22" s="1003">
        <v>0.4</v>
      </c>
      <c r="BY22" s="1003">
        <v>0.4</v>
      </c>
      <c r="BZ22" s="1003">
        <v>0.4</v>
      </c>
      <c r="CA22" s="1003">
        <v>0.4</v>
      </c>
      <c r="CB22" s="1003" t="s">
        <v>764</v>
      </c>
      <c r="CC22" s="1004" t="s">
        <v>764</v>
      </c>
    </row>
    <row r="23" spans="1:81" s="129" customFormat="1" ht="45.6" x14ac:dyDescent="0.25">
      <c r="A23" s="148" t="s">
        <v>774</v>
      </c>
      <c r="B23" s="152" t="s">
        <v>1681</v>
      </c>
      <c r="C23" s="152" t="s">
        <v>1681</v>
      </c>
      <c r="D23" s="152" t="s">
        <v>1696</v>
      </c>
      <c r="E23" s="142" t="s">
        <v>1697</v>
      </c>
      <c r="F23" s="142" t="s">
        <v>1684</v>
      </c>
      <c r="G23" s="142" t="s">
        <v>1683</v>
      </c>
      <c r="H23" s="142" t="s">
        <v>202</v>
      </c>
      <c r="I23" s="142" t="s">
        <v>202</v>
      </c>
      <c r="J23" s="142" t="s">
        <v>202</v>
      </c>
      <c r="K23" s="142" t="s">
        <v>1685</v>
      </c>
      <c r="L23" s="142" t="s">
        <v>1686</v>
      </c>
      <c r="M23" s="142" t="s">
        <v>1687</v>
      </c>
      <c r="N23" s="142" t="s">
        <v>184</v>
      </c>
      <c r="O23" s="142" t="s">
        <v>184</v>
      </c>
      <c r="P23" s="142" t="s">
        <v>184</v>
      </c>
      <c r="Q23" s="142" t="s">
        <v>187</v>
      </c>
      <c r="R23" s="142" t="s">
        <v>187</v>
      </c>
      <c r="S23" s="142" t="s">
        <v>187</v>
      </c>
      <c r="T23" s="142" t="s">
        <v>188</v>
      </c>
      <c r="U23" s="142" t="s">
        <v>189</v>
      </c>
      <c r="V23" s="142" t="s">
        <v>188</v>
      </c>
      <c r="W23" s="327"/>
      <c r="X23" s="142" t="s">
        <v>152</v>
      </c>
      <c r="Y23" s="142" t="s">
        <v>152</v>
      </c>
      <c r="Z23" s="142" t="s">
        <v>165</v>
      </c>
      <c r="AA23" s="142" t="s">
        <v>166</v>
      </c>
      <c r="AB23" s="142" t="s">
        <v>161</v>
      </c>
      <c r="AC23" s="142" t="s">
        <v>155</v>
      </c>
      <c r="AD23" s="142" t="s">
        <v>167</v>
      </c>
      <c r="AE23" s="142" t="s">
        <v>167</v>
      </c>
      <c r="AF23" s="142" t="s">
        <v>167</v>
      </c>
      <c r="AG23" s="142" t="s">
        <v>162</v>
      </c>
      <c r="AH23" s="142" t="s">
        <v>169</v>
      </c>
      <c r="AI23" s="142" t="s">
        <v>163</v>
      </c>
      <c r="AJ23" s="142" t="s">
        <v>158</v>
      </c>
      <c r="AK23" s="142" t="s">
        <v>158</v>
      </c>
      <c r="AL23" s="142" t="s">
        <v>158</v>
      </c>
      <c r="AM23" s="142" t="s">
        <v>159</v>
      </c>
      <c r="AN23" s="142" t="s">
        <v>159</v>
      </c>
      <c r="AO23" s="142" t="s">
        <v>159</v>
      </c>
      <c r="AP23" s="142" t="s">
        <v>160</v>
      </c>
      <c r="AQ23" s="142" t="s">
        <v>164</v>
      </c>
      <c r="AR23" s="142" t="s">
        <v>160</v>
      </c>
      <c r="AS23" s="327"/>
      <c r="AT23" s="142">
        <v>0.56999999999999995</v>
      </c>
      <c r="AU23" s="142">
        <v>0.56999999999999995</v>
      </c>
      <c r="AV23" s="142">
        <v>1.22</v>
      </c>
      <c r="AW23" s="142">
        <v>0.56999999999999995</v>
      </c>
      <c r="AX23" s="142">
        <v>0.56999999999999995</v>
      </c>
      <c r="AY23" s="142">
        <v>1.22</v>
      </c>
      <c r="AZ23" s="142">
        <v>0.56999999999999995</v>
      </c>
      <c r="BA23" s="142">
        <v>0.56999999999999995</v>
      </c>
      <c r="BB23" s="142">
        <v>1.22</v>
      </c>
      <c r="BC23" s="142">
        <v>0.56999999999999995</v>
      </c>
      <c r="BD23" s="142">
        <v>0.56999999999999995</v>
      </c>
      <c r="BE23" s="142">
        <v>1.22</v>
      </c>
      <c r="BF23" s="142">
        <v>0.49</v>
      </c>
      <c r="BG23" s="142">
        <v>0.49</v>
      </c>
      <c r="BH23" s="142" t="s">
        <v>764</v>
      </c>
      <c r="BI23" s="142">
        <v>0.39</v>
      </c>
      <c r="BJ23" s="142">
        <v>0.39</v>
      </c>
      <c r="BK23" s="142" t="s">
        <v>764</v>
      </c>
      <c r="BL23" s="142">
        <v>0.39</v>
      </c>
      <c r="BM23" s="142">
        <v>0.39</v>
      </c>
      <c r="BN23" s="142" t="s">
        <v>764</v>
      </c>
      <c r="BO23" s="142">
        <v>0.39</v>
      </c>
      <c r="BP23" s="142">
        <v>0.39</v>
      </c>
      <c r="BQ23" s="142" t="s">
        <v>764</v>
      </c>
      <c r="BR23" s="142">
        <v>1.17</v>
      </c>
      <c r="BS23" s="142">
        <v>1.17</v>
      </c>
      <c r="BT23" s="142">
        <v>1.17</v>
      </c>
      <c r="BU23" s="142">
        <v>1.17</v>
      </c>
      <c r="BV23" s="142">
        <v>1.17</v>
      </c>
      <c r="BW23" s="142">
        <v>1.17</v>
      </c>
      <c r="BX23" s="142">
        <v>0.49</v>
      </c>
      <c r="BY23" s="142">
        <v>0.39</v>
      </c>
      <c r="BZ23" s="142">
        <v>0.77</v>
      </c>
      <c r="CA23" s="142">
        <v>0.62</v>
      </c>
      <c r="CB23" s="142">
        <v>0.49</v>
      </c>
      <c r="CC23" s="143">
        <v>0.39</v>
      </c>
    </row>
    <row r="24" spans="1:81" s="129" customFormat="1" ht="57" x14ac:dyDescent="0.25">
      <c r="A24" s="147" t="s">
        <v>789</v>
      </c>
      <c r="B24" s="151" t="s">
        <v>1689</v>
      </c>
      <c r="C24" s="132" t="s">
        <v>1689</v>
      </c>
      <c r="D24" s="132" t="s">
        <v>1698</v>
      </c>
      <c r="E24" s="132" t="s">
        <v>1699</v>
      </c>
      <c r="F24" s="132" t="s">
        <v>1692</v>
      </c>
      <c r="G24" s="132" t="s">
        <v>1691</v>
      </c>
      <c r="H24" s="132" t="s">
        <v>716</v>
      </c>
      <c r="I24" s="132" t="s">
        <v>716</v>
      </c>
      <c r="J24" s="132" t="s">
        <v>716</v>
      </c>
      <c r="K24" s="132" t="s">
        <v>1693</v>
      </c>
      <c r="L24" s="132" t="s">
        <v>1694</v>
      </c>
      <c r="M24" s="132" t="s">
        <v>1695</v>
      </c>
      <c r="N24" s="132" t="s">
        <v>718</v>
      </c>
      <c r="O24" s="132" t="s">
        <v>718</v>
      </c>
      <c r="P24" s="132" t="s">
        <v>718</v>
      </c>
      <c r="Q24" s="132" t="s">
        <v>719</v>
      </c>
      <c r="R24" s="132" t="s">
        <v>719</v>
      </c>
      <c r="S24" s="132" t="s">
        <v>719</v>
      </c>
      <c r="T24" s="132" t="s">
        <v>720</v>
      </c>
      <c r="U24" s="132" t="s">
        <v>734</v>
      </c>
      <c r="V24" s="132" t="s">
        <v>720</v>
      </c>
      <c r="W24" s="327"/>
      <c r="X24" s="132" t="s">
        <v>721</v>
      </c>
      <c r="Y24" s="132" t="s">
        <v>721</v>
      </c>
      <c r="Z24" s="132" t="s">
        <v>741</v>
      </c>
      <c r="AA24" s="132" t="s">
        <v>742</v>
      </c>
      <c r="AB24" s="132" t="s">
        <v>735</v>
      </c>
      <c r="AC24" s="132" t="s">
        <v>724</v>
      </c>
      <c r="AD24" s="132" t="s">
        <v>726</v>
      </c>
      <c r="AE24" s="132" t="s">
        <v>726</v>
      </c>
      <c r="AF24" s="132" t="s">
        <v>726</v>
      </c>
      <c r="AG24" s="132" t="s">
        <v>736</v>
      </c>
      <c r="AH24" s="132" t="s">
        <v>746</v>
      </c>
      <c r="AI24" s="132" t="s">
        <v>737</v>
      </c>
      <c r="AJ24" s="132" t="s">
        <v>728</v>
      </c>
      <c r="AK24" s="132" t="s">
        <v>728</v>
      </c>
      <c r="AL24" s="132" t="s">
        <v>728</v>
      </c>
      <c r="AM24" s="132" t="s">
        <v>729</v>
      </c>
      <c r="AN24" s="132" t="s">
        <v>729</v>
      </c>
      <c r="AO24" s="132" t="s">
        <v>729</v>
      </c>
      <c r="AP24" s="132" t="s">
        <v>730</v>
      </c>
      <c r="AQ24" s="132" t="s">
        <v>738</v>
      </c>
      <c r="AR24" s="132" t="s">
        <v>730</v>
      </c>
      <c r="AS24" s="327"/>
      <c r="AT24" s="132">
        <v>3.24</v>
      </c>
      <c r="AU24" s="132">
        <v>3.24</v>
      </c>
      <c r="AV24" s="132" t="s">
        <v>764</v>
      </c>
      <c r="AW24" s="132">
        <v>3.24</v>
      </c>
      <c r="AX24" s="132">
        <v>3.24</v>
      </c>
      <c r="AY24" s="132" t="s">
        <v>764</v>
      </c>
      <c r="AZ24" s="132">
        <v>3.24</v>
      </c>
      <c r="BA24" s="132">
        <v>3.24</v>
      </c>
      <c r="BB24" s="132" t="s">
        <v>764</v>
      </c>
      <c r="BC24" s="132">
        <v>3.24</v>
      </c>
      <c r="BD24" s="132">
        <v>3.24</v>
      </c>
      <c r="BE24" s="132" t="s">
        <v>764</v>
      </c>
      <c r="BF24" s="132">
        <v>0.49</v>
      </c>
      <c r="BG24" s="132">
        <v>0.49</v>
      </c>
      <c r="BH24" s="132" t="s">
        <v>764</v>
      </c>
      <c r="BI24" s="132">
        <v>0.39</v>
      </c>
      <c r="BJ24" s="132">
        <v>0.39</v>
      </c>
      <c r="BK24" s="132" t="s">
        <v>764</v>
      </c>
      <c r="BL24" s="132">
        <v>0.39</v>
      </c>
      <c r="BM24" s="132">
        <v>0.39</v>
      </c>
      <c r="BN24" s="132" t="s">
        <v>764</v>
      </c>
      <c r="BO24" s="132">
        <v>0.39</v>
      </c>
      <c r="BP24" s="132">
        <v>0.39</v>
      </c>
      <c r="BQ24" s="132" t="s">
        <v>764</v>
      </c>
      <c r="BR24" s="132">
        <v>6.64</v>
      </c>
      <c r="BS24" s="132">
        <v>6.64</v>
      </c>
      <c r="BT24" s="132">
        <v>6.64</v>
      </c>
      <c r="BU24" s="132">
        <v>6.64</v>
      </c>
      <c r="BV24" s="132">
        <v>6.64</v>
      </c>
      <c r="BW24" s="132">
        <v>6.64</v>
      </c>
      <c r="BX24" s="132">
        <v>0.49</v>
      </c>
      <c r="BY24" s="132">
        <v>0.39</v>
      </c>
      <c r="BZ24" s="132">
        <v>0.77</v>
      </c>
      <c r="CA24" s="132">
        <v>0.62</v>
      </c>
      <c r="CB24" s="132">
        <v>0.49</v>
      </c>
      <c r="CC24" s="141">
        <v>0.39</v>
      </c>
    </row>
    <row r="25" spans="1:81" s="129" customFormat="1" ht="45.6" x14ac:dyDescent="0.25">
      <c r="A25" s="148" t="s">
        <v>775</v>
      </c>
      <c r="B25" s="152" t="s">
        <v>1681</v>
      </c>
      <c r="C25" s="142" t="s">
        <v>1681</v>
      </c>
      <c r="D25" s="142" t="s">
        <v>1696</v>
      </c>
      <c r="E25" s="142" t="s">
        <v>1697</v>
      </c>
      <c r="F25" s="142" t="s">
        <v>1684</v>
      </c>
      <c r="G25" s="142" t="s">
        <v>1683</v>
      </c>
      <c r="H25" s="142" t="s">
        <v>202</v>
      </c>
      <c r="I25" s="142" t="s">
        <v>202</v>
      </c>
      <c r="J25" s="142" t="s">
        <v>202</v>
      </c>
      <c r="K25" s="142" t="s">
        <v>1685</v>
      </c>
      <c r="L25" s="142" t="s">
        <v>1686</v>
      </c>
      <c r="M25" s="142" t="s">
        <v>1687</v>
      </c>
      <c r="N25" s="142" t="s">
        <v>184</v>
      </c>
      <c r="O25" s="142" t="s">
        <v>184</v>
      </c>
      <c r="P25" s="142" t="s">
        <v>184</v>
      </c>
      <c r="Q25" s="142" t="s">
        <v>187</v>
      </c>
      <c r="R25" s="142" t="s">
        <v>187</v>
      </c>
      <c r="S25" s="142" t="s">
        <v>187</v>
      </c>
      <c r="T25" s="142" t="s">
        <v>188</v>
      </c>
      <c r="U25" s="142" t="s">
        <v>189</v>
      </c>
      <c r="V25" s="142" t="s">
        <v>188</v>
      </c>
      <c r="W25" s="327"/>
      <c r="X25" s="142" t="s">
        <v>152</v>
      </c>
      <c r="Y25" s="142" t="s">
        <v>152</v>
      </c>
      <c r="Z25" s="142" t="s">
        <v>165</v>
      </c>
      <c r="AA25" s="142" t="s">
        <v>166</v>
      </c>
      <c r="AB25" s="142" t="s">
        <v>161</v>
      </c>
      <c r="AC25" s="142" t="s">
        <v>155</v>
      </c>
      <c r="AD25" s="142" t="s">
        <v>167</v>
      </c>
      <c r="AE25" s="142" t="s">
        <v>167</v>
      </c>
      <c r="AF25" s="142" t="s">
        <v>167</v>
      </c>
      <c r="AG25" s="142" t="s">
        <v>162</v>
      </c>
      <c r="AH25" s="142" t="s">
        <v>169</v>
      </c>
      <c r="AI25" s="142" t="s">
        <v>163</v>
      </c>
      <c r="AJ25" s="142" t="s">
        <v>158</v>
      </c>
      <c r="AK25" s="142" t="s">
        <v>158</v>
      </c>
      <c r="AL25" s="142" t="s">
        <v>158</v>
      </c>
      <c r="AM25" s="142" t="s">
        <v>159</v>
      </c>
      <c r="AN25" s="142" t="s">
        <v>159</v>
      </c>
      <c r="AO25" s="142" t="s">
        <v>159</v>
      </c>
      <c r="AP25" s="142" t="s">
        <v>160</v>
      </c>
      <c r="AQ25" s="142" t="s">
        <v>164</v>
      </c>
      <c r="AR25" s="142" t="s">
        <v>160</v>
      </c>
      <c r="AS25" s="327"/>
      <c r="AT25" s="142">
        <v>0.56999999999999995</v>
      </c>
      <c r="AU25" s="142">
        <v>0.56999999999999995</v>
      </c>
      <c r="AV25" s="142">
        <v>1.22</v>
      </c>
      <c r="AW25" s="142">
        <v>0.56999999999999995</v>
      </c>
      <c r="AX25" s="142">
        <v>0.56999999999999995</v>
      </c>
      <c r="AY25" s="142">
        <v>1.22</v>
      </c>
      <c r="AZ25" s="142">
        <v>0.56999999999999995</v>
      </c>
      <c r="BA25" s="142">
        <v>0.56999999999999995</v>
      </c>
      <c r="BB25" s="142">
        <v>1.22</v>
      </c>
      <c r="BC25" s="142">
        <v>0.56999999999999995</v>
      </c>
      <c r="BD25" s="142">
        <v>0.56999999999999995</v>
      </c>
      <c r="BE25" s="142">
        <v>1.22</v>
      </c>
      <c r="BF25" s="142">
        <v>0.49</v>
      </c>
      <c r="BG25" s="142">
        <v>0.49</v>
      </c>
      <c r="BH25" s="142" t="s">
        <v>764</v>
      </c>
      <c r="BI25" s="142">
        <v>0.39</v>
      </c>
      <c r="BJ25" s="142">
        <v>0.39</v>
      </c>
      <c r="BK25" s="142" t="s">
        <v>764</v>
      </c>
      <c r="BL25" s="142">
        <v>0.39</v>
      </c>
      <c r="BM25" s="142">
        <v>0.39</v>
      </c>
      <c r="BN25" s="142" t="s">
        <v>764</v>
      </c>
      <c r="BO25" s="142">
        <v>0.39</v>
      </c>
      <c r="BP25" s="142">
        <v>0.39</v>
      </c>
      <c r="BQ25" s="142" t="s">
        <v>764</v>
      </c>
      <c r="BR25" s="142">
        <v>1.17</v>
      </c>
      <c r="BS25" s="142">
        <v>1.17</v>
      </c>
      <c r="BT25" s="142">
        <v>1.17</v>
      </c>
      <c r="BU25" s="142">
        <v>1.17</v>
      </c>
      <c r="BV25" s="142">
        <v>1.17</v>
      </c>
      <c r="BW25" s="142">
        <v>1.17</v>
      </c>
      <c r="BX25" s="142">
        <v>0.49</v>
      </c>
      <c r="BY25" s="142">
        <v>0.39</v>
      </c>
      <c r="BZ25" s="142">
        <v>0.77</v>
      </c>
      <c r="CA25" s="142">
        <v>0.62</v>
      </c>
      <c r="CB25" s="142">
        <v>0.49</v>
      </c>
      <c r="CC25" s="143">
        <v>0.39</v>
      </c>
    </row>
    <row r="26" spans="1:81" s="129" customFormat="1" ht="57" x14ac:dyDescent="0.25">
      <c r="A26" s="147" t="s">
        <v>788</v>
      </c>
      <c r="B26" s="151" t="s">
        <v>1689</v>
      </c>
      <c r="C26" s="132" t="s">
        <v>1689</v>
      </c>
      <c r="D26" s="132" t="s">
        <v>1698</v>
      </c>
      <c r="E26" s="132" t="s">
        <v>1699</v>
      </c>
      <c r="F26" s="132" t="s">
        <v>1692</v>
      </c>
      <c r="G26" s="132" t="s">
        <v>1691</v>
      </c>
      <c r="H26" s="132" t="s">
        <v>716</v>
      </c>
      <c r="I26" s="132" t="s">
        <v>716</v>
      </c>
      <c r="J26" s="132" t="s">
        <v>716</v>
      </c>
      <c r="K26" s="132" t="s">
        <v>1693</v>
      </c>
      <c r="L26" s="132" t="s">
        <v>1694</v>
      </c>
      <c r="M26" s="132" t="s">
        <v>1695</v>
      </c>
      <c r="N26" s="132" t="s">
        <v>718</v>
      </c>
      <c r="O26" s="132" t="s">
        <v>718</v>
      </c>
      <c r="P26" s="132" t="s">
        <v>718</v>
      </c>
      <c r="Q26" s="132" t="s">
        <v>719</v>
      </c>
      <c r="R26" s="132" t="s">
        <v>719</v>
      </c>
      <c r="S26" s="132" t="s">
        <v>719</v>
      </c>
      <c r="T26" s="132" t="s">
        <v>720</v>
      </c>
      <c r="U26" s="132" t="s">
        <v>734</v>
      </c>
      <c r="V26" s="132" t="s">
        <v>720</v>
      </c>
      <c r="W26" s="327"/>
      <c r="X26" s="132" t="s">
        <v>721</v>
      </c>
      <c r="Y26" s="132" t="s">
        <v>721</v>
      </c>
      <c r="Z26" s="132" t="s">
        <v>741</v>
      </c>
      <c r="AA26" s="132" t="s">
        <v>742</v>
      </c>
      <c r="AB26" s="132" t="s">
        <v>735</v>
      </c>
      <c r="AC26" s="132" t="s">
        <v>724</v>
      </c>
      <c r="AD26" s="132" t="s">
        <v>726</v>
      </c>
      <c r="AE26" s="132" t="s">
        <v>726</v>
      </c>
      <c r="AF26" s="132" t="s">
        <v>726</v>
      </c>
      <c r="AG26" s="132" t="s">
        <v>736</v>
      </c>
      <c r="AH26" s="132" t="s">
        <v>746</v>
      </c>
      <c r="AI26" s="132" t="s">
        <v>737</v>
      </c>
      <c r="AJ26" s="132" t="s">
        <v>728</v>
      </c>
      <c r="AK26" s="132" t="s">
        <v>728</v>
      </c>
      <c r="AL26" s="132" t="s">
        <v>728</v>
      </c>
      <c r="AM26" s="132" t="s">
        <v>729</v>
      </c>
      <c r="AN26" s="132" t="s">
        <v>729</v>
      </c>
      <c r="AO26" s="132" t="s">
        <v>729</v>
      </c>
      <c r="AP26" s="132" t="s">
        <v>730</v>
      </c>
      <c r="AQ26" s="132" t="s">
        <v>738</v>
      </c>
      <c r="AR26" s="132" t="s">
        <v>730</v>
      </c>
      <c r="AS26" s="327"/>
      <c r="AT26" s="132">
        <v>3.24</v>
      </c>
      <c r="AU26" s="132">
        <v>3.24</v>
      </c>
      <c r="AV26" s="132" t="s">
        <v>764</v>
      </c>
      <c r="AW26" s="132">
        <v>3.24</v>
      </c>
      <c r="AX26" s="132">
        <v>3.24</v>
      </c>
      <c r="AY26" s="132" t="s">
        <v>764</v>
      </c>
      <c r="AZ26" s="132">
        <v>3.24</v>
      </c>
      <c r="BA26" s="132">
        <v>3.24</v>
      </c>
      <c r="BB26" s="132" t="s">
        <v>764</v>
      </c>
      <c r="BC26" s="132">
        <v>3.24</v>
      </c>
      <c r="BD26" s="132">
        <v>3.24</v>
      </c>
      <c r="BE26" s="132" t="s">
        <v>764</v>
      </c>
      <c r="BF26" s="132">
        <v>0.49</v>
      </c>
      <c r="BG26" s="132">
        <v>0.49</v>
      </c>
      <c r="BH26" s="132" t="s">
        <v>764</v>
      </c>
      <c r="BI26" s="132">
        <v>0.39</v>
      </c>
      <c r="BJ26" s="132">
        <v>0.39</v>
      </c>
      <c r="BK26" s="132" t="s">
        <v>764</v>
      </c>
      <c r="BL26" s="132">
        <v>0.39</v>
      </c>
      <c r="BM26" s="132">
        <v>0.39</v>
      </c>
      <c r="BN26" s="132" t="s">
        <v>764</v>
      </c>
      <c r="BO26" s="132">
        <v>0.39</v>
      </c>
      <c r="BP26" s="132">
        <v>0.39</v>
      </c>
      <c r="BQ26" s="132" t="s">
        <v>764</v>
      </c>
      <c r="BR26" s="132">
        <v>6.64</v>
      </c>
      <c r="BS26" s="132">
        <v>6.64</v>
      </c>
      <c r="BT26" s="132">
        <v>6.64</v>
      </c>
      <c r="BU26" s="132">
        <v>6.64</v>
      </c>
      <c r="BV26" s="132">
        <v>6.64</v>
      </c>
      <c r="BW26" s="132">
        <v>6.64</v>
      </c>
      <c r="BX26" s="132">
        <v>0.49</v>
      </c>
      <c r="BY26" s="132">
        <v>0.39</v>
      </c>
      <c r="BZ26" s="132">
        <v>0.77</v>
      </c>
      <c r="CA26" s="132">
        <v>0.62</v>
      </c>
      <c r="CB26" s="132">
        <v>0.49</v>
      </c>
      <c r="CC26" s="141">
        <v>0.39</v>
      </c>
    </row>
    <row r="27" spans="1:81" s="129" customFormat="1" ht="45.6" x14ac:dyDescent="0.25">
      <c r="A27" s="148" t="s">
        <v>776</v>
      </c>
      <c r="B27" s="152" t="s">
        <v>1681</v>
      </c>
      <c r="C27" s="142" t="s">
        <v>1681</v>
      </c>
      <c r="D27" s="142" t="s">
        <v>1696</v>
      </c>
      <c r="E27" s="142" t="s">
        <v>1697</v>
      </c>
      <c r="F27" s="142" t="s">
        <v>1684</v>
      </c>
      <c r="G27" s="142" t="s">
        <v>1683</v>
      </c>
      <c r="H27" s="142" t="s">
        <v>202</v>
      </c>
      <c r="I27" s="142" t="s">
        <v>202</v>
      </c>
      <c r="J27" s="142" t="s">
        <v>202</v>
      </c>
      <c r="K27" s="142" t="s">
        <v>1685</v>
      </c>
      <c r="L27" s="142" t="s">
        <v>1686</v>
      </c>
      <c r="M27" s="142" t="s">
        <v>1687</v>
      </c>
      <c r="N27" s="142" t="s">
        <v>184</v>
      </c>
      <c r="O27" s="142" t="s">
        <v>184</v>
      </c>
      <c r="P27" s="142" t="s">
        <v>184</v>
      </c>
      <c r="Q27" s="142" t="s">
        <v>187</v>
      </c>
      <c r="R27" s="142" t="s">
        <v>187</v>
      </c>
      <c r="S27" s="142" t="s">
        <v>187</v>
      </c>
      <c r="T27" s="142" t="s">
        <v>188</v>
      </c>
      <c r="U27" s="142" t="s">
        <v>189</v>
      </c>
      <c r="V27" s="142" t="s">
        <v>188</v>
      </c>
      <c r="W27" s="327"/>
      <c r="X27" s="142" t="s">
        <v>152</v>
      </c>
      <c r="Y27" s="142" t="s">
        <v>152</v>
      </c>
      <c r="Z27" s="142" t="s">
        <v>165</v>
      </c>
      <c r="AA27" s="142" t="s">
        <v>166</v>
      </c>
      <c r="AB27" s="142" t="s">
        <v>161</v>
      </c>
      <c r="AC27" s="142" t="s">
        <v>155</v>
      </c>
      <c r="AD27" s="142" t="s">
        <v>167</v>
      </c>
      <c r="AE27" s="142" t="s">
        <v>167</v>
      </c>
      <c r="AF27" s="142" t="s">
        <v>167</v>
      </c>
      <c r="AG27" s="142" t="s">
        <v>162</v>
      </c>
      <c r="AH27" s="142" t="s">
        <v>169</v>
      </c>
      <c r="AI27" s="142" t="s">
        <v>163</v>
      </c>
      <c r="AJ27" s="142" t="s">
        <v>158</v>
      </c>
      <c r="AK27" s="142" t="s">
        <v>158</v>
      </c>
      <c r="AL27" s="142" t="s">
        <v>158</v>
      </c>
      <c r="AM27" s="142" t="s">
        <v>159</v>
      </c>
      <c r="AN27" s="142" t="s">
        <v>159</v>
      </c>
      <c r="AO27" s="142" t="s">
        <v>159</v>
      </c>
      <c r="AP27" s="142" t="s">
        <v>160</v>
      </c>
      <c r="AQ27" s="142" t="s">
        <v>164</v>
      </c>
      <c r="AR27" s="142" t="s">
        <v>160</v>
      </c>
      <c r="AS27" s="327"/>
      <c r="AT27" s="142">
        <v>0.56999999999999995</v>
      </c>
      <c r="AU27" s="142">
        <v>0.56999999999999995</v>
      </c>
      <c r="AV27" s="142">
        <v>1.22</v>
      </c>
      <c r="AW27" s="142">
        <v>0.56999999999999995</v>
      </c>
      <c r="AX27" s="142">
        <v>0.56999999999999995</v>
      </c>
      <c r="AY27" s="142">
        <v>1.22</v>
      </c>
      <c r="AZ27" s="142">
        <v>0.56999999999999995</v>
      </c>
      <c r="BA27" s="142">
        <v>0.56999999999999995</v>
      </c>
      <c r="BB27" s="142">
        <v>1.22</v>
      </c>
      <c r="BC27" s="142">
        <v>0.56999999999999995</v>
      </c>
      <c r="BD27" s="142">
        <v>0.56999999999999995</v>
      </c>
      <c r="BE27" s="142">
        <v>1.22</v>
      </c>
      <c r="BF27" s="142">
        <v>0.49</v>
      </c>
      <c r="BG27" s="142">
        <v>0.49</v>
      </c>
      <c r="BH27" s="142" t="s">
        <v>764</v>
      </c>
      <c r="BI27" s="142">
        <v>0.39</v>
      </c>
      <c r="BJ27" s="142">
        <v>0.39</v>
      </c>
      <c r="BK27" s="142" t="s">
        <v>764</v>
      </c>
      <c r="BL27" s="142">
        <v>0.39</v>
      </c>
      <c r="BM27" s="142">
        <v>0.39</v>
      </c>
      <c r="BN27" s="142" t="s">
        <v>764</v>
      </c>
      <c r="BO27" s="142">
        <v>0.39</v>
      </c>
      <c r="BP27" s="142">
        <v>0.39</v>
      </c>
      <c r="BQ27" s="142" t="s">
        <v>764</v>
      </c>
      <c r="BR27" s="142">
        <v>1.17</v>
      </c>
      <c r="BS27" s="142">
        <v>1.17</v>
      </c>
      <c r="BT27" s="142">
        <v>1.17</v>
      </c>
      <c r="BU27" s="142">
        <v>1.17</v>
      </c>
      <c r="BV27" s="142">
        <v>1.17</v>
      </c>
      <c r="BW27" s="142">
        <v>1.17</v>
      </c>
      <c r="BX27" s="142">
        <v>0.49</v>
      </c>
      <c r="BY27" s="142">
        <v>0.39</v>
      </c>
      <c r="BZ27" s="142">
        <v>0.77</v>
      </c>
      <c r="CA27" s="142">
        <v>0.62</v>
      </c>
      <c r="CB27" s="142">
        <v>0.49</v>
      </c>
      <c r="CC27" s="143">
        <v>0.39</v>
      </c>
    </row>
    <row r="28" spans="1:81" s="129" customFormat="1" ht="57" x14ac:dyDescent="0.25">
      <c r="A28" s="147" t="s">
        <v>787</v>
      </c>
      <c r="B28" s="151" t="s">
        <v>1689</v>
      </c>
      <c r="C28" s="132" t="s">
        <v>1689</v>
      </c>
      <c r="D28" s="132" t="s">
        <v>1698</v>
      </c>
      <c r="E28" s="132" t="s">
        <v>1699</v>
      </c>
      <c r="F28" s="132" t="s">
        <v>1692</v>
      </c>
      <c r="G28" s="132" t="s">
        <v>1691</v>
      </c>
      <c r="H28" s="132" t="s">
        <v>716</v>
      </c>
      <c r="I28" s="132" t="s">
        <v>716</v>
      </c>
      <c r="J28" s="132" t="s">
        <v>716</v>
      </c>
      <c r="K28" s="132" t="s">
        <v>1693</v>
      </c>
      <c r="L28" s="132" t="s">
        <v>1694</v>
      </c>
      <c r="M28" s="132" t="s">
        <v>1695</v>
      </c>
      <c r="N28" s="132" t="s">
        <v>718</v>
      </c>
      <c r="O28" s="132" t="s">
        <v>718</v>
      </c>
      <c r="P28" s="132" t="s">
        <v>718</v>
      </c>
      <c r="Q28" s="132" t="s">
        <v>719</v>
      </c>
      <c r="R28" s="132" t="s">
        <v>719</v>
      </c>
      <c r="S28" s="132" t="s">
        <v>719</v>
      </c>
      <c r="T28" s="132" t="s">
        <v>720</v>
      </c>
      <c r="U28" s="132" t="s">
        <v>734</v>
      </c>
      <c r="V28" s="132" t="s">
        <v>720</v>
      </c>
      <c r="W28" s="327"/>
      <c r="X28" s="132" t="s">
        <v>721</v>
      </c>
      <c r="Y28" s="132" t="s">
        <v>721</v>
      </c>
      <c r="Z28" s="132" t="s">
        <v>741</v>
      </c>
      <c r="AA28" s="132" t="s">
        <v>742</v>
      </c>
      <c r="AB28" s="132" t="s">
        <v>735</v>
      </c>
      <c r="AC28" s="132" t="s">
        <v>724</v>
      </c>
      <c r="AD28" s="132" t="s">
        <v>726</v>
      </c>
      <c r="AE28" s="132" t="s">
        <v>726</v>
      </c>
      <c r="AF28" s="132" t="s">
        <v>726</v>
      </c>
      <c r="AG28" s="132" t="s">
        <v>736</v>
      </c>
      <c r="AH28" s="132" t="s">
        <v>746</v>
      </c>
      <c r="AI28" s="132" t="s">
        <v>737</v>
      </c>
      <c r="AJ28" s="132" t="s">
        <v>728</v>
      </c>
      <c r="AK28" s="132" t="s">
        <v>728</v>
      </c>
      <c r="AL28" s="132" t="s">
        <v>728</v>
      </c>
      <c r="AM28" s="132" t="s">
        <v>729</v>
      </c>
      <c r="AN28" s="132" t="s">
        <v>729</v>
      </c>
      <c r="AO28" s="132" t="s">
        <v>729</v>
      </c>
      <c r="AP28" s="132" t="s">
        <v>730</v>
      </c>
      <c r="AQ28" s="132" t="s">
        <v>738</v>
      </c>
      <c r="AR28" s="132" t="s">
        <v>730</v>
      </c>
      <c r="AS28" s="327"/>
      <c r="AT28" s="132">
        <v>3.24</v>
      </c>
      <c r="AU28" s="132">
        <v>3.24</v>
      </c>
      <c r="AV28" s="132" t="s">
        <v>764</v>
      </c>
      <c r="AW28" s="132">
        <v>3.24</v>
      </c>
      <c r="AX28" s="132">
        <v>3.24</v>
      </c>
      <c r="AY28" s="132" t="s">
        <v>764</v>
      </c>
      <c r="AZ28" s="132">
        <v>3.24</v>
      </c>
      <c r="BA28" s="132">
        <v>3.24</v>
      </c>
      <c r="BB28" s="132" t="s">
        <v>764</v>
      </c>
      <c r="BC28" s="132">
        <v>3.24</v>
      </c>
      <c r="BD28" s="132">
        <v>3.24</v>
      </c>
      <c r="BE28" s="132" t="s">
        <v>764</v>
      </c>
      <c r="BF28" s="132">
        <v>0.49</v>
      </c>
      <c r="BG28" s="132">
        <v>0.49</v>
      </c>
      <c r="BH28" s="132" t="s">
        <v>764</v>
      </c>
      <c r="BI28" s="132">
        <v>0.39</v>
      </c>
      <c r="BJ28" s="132">
        <v>0.39</v>
      </c>
      <c r="BK28" s="132" t="s">
        <v>764</v>
      </c>
      <c r="BL28" s="132">
        <v>0.39</v>
      </c>
      <c r="BM28" s="132">
        <v>0.39</v>
      </c>
      <c r="BN28" s="132" t="s">
        <v>764</v>
      </c>
      <c r="BO28" s="132">
        <v>0.39</v>
      </c>
      <c r="BP28" s="132">
        <v>0.39</v>
      </c>
      <c r="BQ28" s="132" t="s">
        <v>764</v>
      </c>
      <c r="BR28" s="132">
        <v>6.64</v>
      </c>
      <c r="BS28" s="132">
        <v>6.64</v>
      </c>
      <c r="BT28" s="132">
        <v>6.64</v>
      </c>
      <c r="BU28" s="132">
        <v>6.64</v>
      </c>
      <c r="BV28" s="132">
        <v>6.64</v>
      </c>
      <c r="BW28" s="132">
        <v>6.64</v>
      </c>
      <c r="BX28" s="132">
        <v>0.49</v>
      </c>
      <c r="BY28" s="132">
        <v>0.39</v>
      </c>
      <c r="BZ28" s="132">
        <v>0.77</v>
      </c>
      <c r="CA28" s="132">
        <v>0.62</v>
      </c>
      <c r="CB28" s="132">
        <v>0.49</v>
      </c>
      <c r="CC28" s="141">
        <v>0.39</v>
      </c>
    </row>
    <row r="29" spans="1:81" s="129" customFormat="1" ht="45.6" x14ac:dyDescent="0.25">
      <c r="A29" s="148" t="s">
        <v>777</v>
      </c>
      <c r="B29" s="152" t="s">
        <v>1681</v>
      </c>
      <c r="C29" s="152" t="s">
        <v>1681</v>
      </c>
      <c r="D29" s="152" t="s">
        <v>1696</v>
      </c>
      <c r="E29" s="142" t="s">
        <v>1697</v>
      </c>
      <c r="F29" s="142" t="s">
        <v>1684</v>
      </c>
      <c r="G29" s="142" t="s">
        <v>1683</v>
      </c>
      <c r="H29" s="142" t="s">
        <v>202</v>
      </c>
      <c r="I29" s="142" t="s">
        <v>1700</v>
      </c>
      <c r="J29" s="142" t="s">
        <v>202</v>
      </c>
      <c r="K29" s="142" t="s">
        <v>1686</v>
      </c>
      <c r="L29" s="142" t="s">
        <v>1686</v>
      </c>
      <c r="M29" s="142" t="s">
        <v>1687</v>
      </c>
      <c r="N29" s="142" t="s">
        <v>184</v>
      </c>
      <c r="O29" s="142" t="s">
        <v>184</v>
      </c>
      <c r="P29" s="142" t="s">
        <v>184</v>
      </c>
      <c r="Q29" s="142" t="s">
        <v>187</v>
      </c>
      <c r="R29" s="142" t="s">
        <v>189</v>
      </c>
      <c r="S29" s="142" t="s">
        <v>187</v>
      </c>
      <c r="T29" s="142" t="s">
        <v>189</v>
      </c>
      <c r="U29" s="142" t="s">
        <v>189</v>
      </c>
      <c r="V29" s="142" t="s">
        <v>188</v>
      </c>
      <c r="W29" s="327"/>
      <c r="X29" s="142" t="s">
        <v>152</v>
      </c>
      <c r="Y29" s="142" t="s">
        <v>152</v>
      </c>
      <c r="Z29" s="142" t="s">
        <v>165</v>
      </c>
      <c r="AA29" s="142" t="s">
        <v>166</v>
      </c>
      <c r="AB29" s="142" t="s">
        <v>161</v>
      </c>
      <c r="AC29" s="142" t="s">
        <v>155</v>
      </c>
      <c r="AD29" s="142" t="s">
        <v>167</v>
      </c>
      <c r="AE29" s="142" t="s">
        <v>168</v>
      </c>
      <c r="AF29" s="142" t="s">
        <v>167</v>
      </c>
      <c r="AG29" s="142" t="s">
        <v>169</v>
      </c>
      <c r="AH29" s="142" t="s">
        <v>169</v>
      </c>
      <c r="AI29" s="142" t="s">
        <v>163</v>
      </c>
      <c r="AJ29" s="142" t="s">
        <v>158</v>
      </c>
      <c r="AK29" s="142" t="s">
        <v>158</v>
      </c>
      <c r="AL29" s="142" t="s">
        <v>158</v>
      </c>
      <c r="AM29" s="142" t="s">
        <v>159</v>
      </c>
      <c r="AN29" s="142" t="s">
        <v>164</v>
      </c>
      <c r="AO29" s="142" t="s">
        <v>159</v>
      </c>
      <c r="AP29" s="142" t="s">
        <v>164</v>
      </c>
      <c r="AQ29" s="142" t="s">
        <v>164</v>
      </c>
      <c r="AR29" s="142" t="s">
        <v>160</v>
      </c>
      <c r="AS29" s="327"/>
      <c r="AT29" s="142">
        <v>0.56999999999999995</v>
      </c>
      <c r="AU29" s="142">
        <v>0.56999999999999995</v>
      </c>
      <c r="AV29" s="142">
        <v>1.22</v>
      </c>
      <c r="AW29" s="142">
        <v>0.56999999999999995</v>
      </c>
      <c r="AX29" s="142">
        <v>0.56999999999999995</v>
      </c>
      <c r="AY29" s="142">
        <v>1.22</v>
      </c>
      <c r="AZ29" s="142">
        <v>0.56999999999999995</v>
      </c>
      <c r="BA29" s="142">
        <v>0.56999999999999995</v>
      </c>
      <c r="BB29" s="142">
        <v>1.22</v>
      </c>
      <c r="BC29" s="142">
        <v>0.56999999999999995</v>
      </c>
      <c r="BD29" s="142">
        <v>0.56999999999999995</v>
      </c>
      <c r="BE29" s="142">
        <v>1.22</v>
      </c>
      <c r="BF29" s="142">
        <v>0.49</v>
      </c>
      <c r="BG29" s="142">
        <v>0.49</v>
      </c>
      <c r="BH29" s="142" t="s">
        <v>764</v>
      </c>
      <c r="BI29" s="142">
        <v>0.39</v>
      </c>
      <c r="BJ29" s="142">
        <v>0.39</v>
      </c>
      <c r="BK29" s="142" t="s">
        <v>764</v>
      </c>
      <c r="BL29" s="142">
        <v>0.39</v>
      </c>
      <c r="BM29" s="142">
        <v>0.39</v>
      </c>
      <c r="BN29" s="142" t="s">
        <v>764</v>
      </c>
      <c r="BO29" s="142">
        <v>0.39</v>
      </c>
      <c r="BP29" s="142">
        <v>0.39</v>
      </c>
      <c r="BQ29" s="142" t="s">
        <v>764</v>
      </c>
      <c r="BR29" s="142">
        <v>1.17</v>
      </c>
      <c r="BS29" s="142">
        <v>1.17</v>
      </c>
      <c r="BT29" s="142">
        <v>1.17</v>
      </c>
      <c r="BU29" s="142">
        <v>1.17</v>
      </c>
      <c r="BV29" s="142">
        <v>1.17</v>
      </c>
      <c r="BW29" s="142">
        <v>1.17</v>
      </c>
      <c r="BX29" s="142">
        <v>0.49</v>
      </c>
      <c r="BY29" s="142">
        <v>0.49</v>
      </c>
      <c r="BZ29" s="142">
        <v>0.71</v>
      </c>
      <c r="CA29" s="142">
        <v>0.57999999999999996</v>
      </c>
      <c r="CB29" s="142">
        <v>0.49</v>
      </c>
      <c r="CC29" s="143">
        <v>0.49</v>
      </c>
    </row>
    <row r="30" spans="1:81" s="129" customFormat="1" ht="57" x14ac:dyDescent="0.25">
      <c r="A30" s="147" t="s">
        <v>786</v>
      </c>
      <c r="B30" s="151" t="s">
        <v>1689</v>
      </c>
      <c r="C30" s="132" t="s">
        <v>1689</v>
      </c>
      <c r="D30" s="132" t="s">
        <v>1698</v>
      </c>
      <c r="E30" s="132" t="s">
        <v>1699</v>
      </c>
      <c r="F30" s="132" t="s">
        <v>1692</v>
      </c>
      <c r="G30" s="132" t="s">
        <v>1691</v>
      </c>
      <c r="H30" s="132" t="s">
        <v>716</v>
      </c>
      <c r="I30" s="132" t="s">
        <v>1701</v>
      </c>
      <c r="J30" s="132" t="s">
        <v>716</v>
      </c>
      <c r="K30" s="132" t="s">
        <v>1694</v>
      </c>
      <c r="L30" s="132" t="s">
        <v>1694</v>
      </c>
      <c r="M30" s="132" t="s">
        <v>1695</v>
      </c>
      <c r="N30" s="132" t="s">
        <v>718</v>
      </c>
      <c r="O30" s="132" t="s">
        <v>1702</v>
      </c>
      <c r="P30" s="132" t="s">
        <v>718</v>
      </c>
      <c r="Q30" s="132" t="s">
        <v>719</v>
      </c>
      <c r="R30" s="132" t="s">
        <v>734</v>
      </c>
      <c r="S30" s="132" t="s">
        <v>719</v>
      </c>
      <c r="T30" s="132" t="s">
        <v>734</v>
      </c>
      <c r="U30" s="132" t="s">
        <v>734</v>
      </c>
      <c r="V30" s="132" t="s">
        <v>720</v>
      </c>
      <c r="W30" s="327"/>
      <c r="X30" s="132" t="s">
        <v>721</v>
      </c>
      <c r="Y30" s="132" t="s">
        <v>721</v>
      </c>
      <c r="Z30" s="132" t="s">
        <v>741</v>
      </c>
      <c r="AA30" s="132" t="s">
        <v>742</v>
      </c>
      <c r="AB30" s="132" t="s">
        <v>735</v>
      </c>
      <c r="AC30" s="132" t="s">
        <v>724</v>
      </c>
      <c r="AD30" s="132" t="s">
        <v>726</v>
      </c>
      <c r="AE30" s="132" t="s">
        <v>745</v>
      </c>
      <c r="AF30" s="132" t="s">
        <v>726</v>
      </c>
      <c r="AG30" s="132" t="s">
        <v>746</v>
      </c>
      <c r="AH30" s="132" t="s">
        <v>746</v>
      </c>
      <c r="AI30" s="132" t="s">
        <v>737</v>
      </c>
      <c r="AJ30" s="132" t="s">
        <v>728</v>
      </c>
      <c r="AK30" s="132" t="s">
        <v>1703</v>
      </c>
      <c r="AL30" s="132" t="s">
        <v>728</v>
      </c>
      <c r="AM30" s="132" t="s">
        <v>729</v>
      </c>
      <c r="AN30" s="132" t="s">
        <v>738</v>
      </c>
      <c r="AO30" s="132" t="s">
        <v>729</v>
      </c>
      <c r="AP30" s="132" t="s">
        <v>738</v>
      </c>
      <c r="AQ30" s="132" t="s">
        <v>738</v>
      </c>
      <c r="AR30" s="132" t="s">
        <v>730</v>
      </c>
      <c r="AS30" s="327"/>
      <c r="AT30" s="132">
        <v>3.24</v>
      </c>
      <c r="AU30" s="132">
        <v>3.24</v>
      </c>
      <c r="AV30" s="132">
        <v>6.93</v>
      </c>
      <c r="AW30" s="132">
        <v>3.24</v>
      </c>
      <c r="AX30" s="132">
        <v>3.24</v>
      </c>
      <c r="AY30" s="132">
        <v>6.93</v>
      </c>
      <c r="AZ30" s="132">
        <v>3.24</v>
      </c>
      <c r="BA30" s="132">
        <v>3.24</v>
      </c>
      <c r="BB30" s="132">
        <v>6.93</v>
      </c>
      <c r="BC30" s="132">
        <v>3.24</v>
      </c>
      <c r="BD30" s="132">
        <v>3.24</v>
      </c>
      <c r="BE30" s="132">
        <v>6.93</v>
      </c>
      <c r="BF30" s="132">
        <v>0.49</v>
      </c>
      <c r="BG30" s="132">
        <v>0.49</v>
      </c>
      <c r="BH30" s="132" t="s">
        <v>764</v>
      </c>
      <c r="BI30" s="132">
        <v>0.39</v>
      </c>
      <c r="BJ30" s="132">
        <v>0.39</v>
      </c>
      <c r="BK30" s="132" t="s">
        <v>764</v>
      </c>
      <c r="BL30" s="132">
        <v>0.39</v>
      </c>
      <c r="BM30" s="132">
        <v>0.39</v>
      </c>
      <c r="BN30" s="132" t="s">
        <v>764</v>
      </c>
      <c r="BO30" s="132">
        <v>0.39</v>
      </c>
      <c r="BP30" s="132">
        <v>0.39</v>
      </c>
      <c r="BQ30" s="132" t="s">
        <v>764</v>
      </c>
      <c r="BR30" s="132">
        <v>6.64</v>
      </c>
      <c r="BS30" s="132">
        <v>6.64</v>
      </c>
      <c r="BT30" s="132">
        <v>6.64</v>
      </c>
      <c r="BU30" s="132">
        <v>6.64</v>
      </c>
      <c r="BV30" s="132">
        <v>6.64</v>
      </c>
      <c r="BW30" s="132">
        <v>6.64</v>
      </c>
      <c r="BX30" s="132">
        <v>0.49</v>
      </c>
      <c r="BY30" s="132">
        <v>0.49</v>
      </c>
      <c r="BZ30" s="132">
        <v>0.71</v>
      </c>
      <c r="CA30" s="132">
        <v>0.57999999999999996</v>
      </c>
      <c r="CB30" s="132">
        <v>0.49</v>
      </c>
      <c r="CC30" s="141">
        <v>0.49</v>
      </c>
    </row>
    <row r="31" spans="1:81" s="129" customFormat="1" ht="45.6" x14ac:dyDescent="0.25">
      <c r="A31" s="148" t="s">
        <v>778</v>
      </c>
      <c r="B31" s="152" t="s">
        <v>1681</v>
      </c>
      <c r="C31" s="142" t="s">
        <v>1681</v>
      </c>
      <c r="D31" s="142" t="s">
        <v>1696</v>
      </c>
      <c r="E31" s="142" t="s">
        <v>1697</v>
      </c>
      <c r="F31" s="142" t="s">
        <v>1684</v>
      </c>
      <c r="G31" s="142" t="s">
        <v>1683</v>
      </c>
      <c r="H31" s="142" t="s">
        <v>202</v>
      </c>
      <c r="I31" s="142" t="s">
        <v>1700</v>
      </c>
      <c r="J31" s="142" t="s">
        <v>202</v>
      </c>
      <c r="K31" s="142" t="s">
        <v>1686</v>
      </c>
      <c r="L31" s="142" t="s">
        <v>1686</v>
      </c>
      <c r="M31" s="142" t="s">
        <v>1687</v>
      </c>
      <c r="N31" s="142" t="s">
        <v>184</v>
      </c>
      <c r="O31" s="142" t="s">
        <v>184</v>
      </c>
      <c r="P31" s="142" t="s">
        <v>184</v>
      </c>
      <c r="Q31" s="142" t="s">
        <v>187</v>
      </c>
      <c r="R31" s="142" t="s">
        <v>189</v>
      </c>
      <c r="S31" s="142" t="s">
        <v>187</v>
      </c>
      <c r="T31" s="142" t="s">
        <v>189</v>
      </c>
      <c r="U31" s="142" t="s">
        <v>189</v>
      </c>
      <c r="V31" s="142" t="s">
        <v>188</v>
      </c>
      <c r="W31" s="327"/>
      <c r="X31" s="142" t="s">
        <v>152</v>
      </c>
      <c r="Y31" s="142" t="s">
        <v>152</v>
      </c>
      <c r="Z31" s="142" t="s">
        <v>165</v>
      </c>
      <c r="AA31" s="142" t="s">
        <v>166</v>
      </c>
      <c r="AB31" s="142" t="s">
        <v>161</v>
      </c>
      <c r="AC31" s="142" t="s">
        <v>155</v>
      </c>
      <c r="AD31" s="142" t="s">
        <v>167</v>
      </c>
      <c r="AE31" s="142" t="s">
        <v>168</v>
      </c>
      <c r="AF31" s="142" t="s">
        <v>167</v>
      </c>
      <c r="AG31" s="142" t="s">
        <v>169</v>
      </c>
      <c r="AH31" s="142" t="s">
        <v>169</v>
      </c>
      <c r="AI31" s="142" t="s">
        <v>163</v>
      </c>
      <c r="AJ31" s="142" t="s">
        <v>158</v>
      </c>
      <c r="AK31" s="142" t="s">
        <v>158</v>
      </c>
      <c r="AL31" s="142" t="s">
        <v>158</v>
      </c>
      <c r="AM31" s="142" t="s">
        <v>159</v>
      </c>
      <c r="AN31" s="142" t="s">
        <v>164</v>
      </c>
      <c r="AO31" s="142" t="s">
        <v>159</v>
      </c>
      <c r="AP31" s="142" t="s">
        <v>164</v>
      </c>
      <c r="AQ31" s="142" t="s">
        <v>164</v>
      </c>
      <c r="AR31" s="142" t="s">
        <v>160</v>
      </c>
      <c r="AS31" s="327"/>
      <c r="AT31" s="142">
        <v>0.56999999999999995</v>
      </c>
      <c r="AU31" s="142">
        <v>0.56999999999999995</v>
      </c>
      <c r="AV31" s="142">
        <v>1.22</v>
      </c>
      <c r="AW31" s="142">
        <v>0.56999999999999995</v>
      </c>
      <c r="AX31" s="142">
        <v>0.56999999999999995</v>
      </c>
      <c r="AY31" s="142">
        <v>1.22</v>
      </c>
      <c r="AZ31" s="142">
        <v>0.56999999999999995</v>
      </c>
      <c r="BA31" s="142">
        <v>0.56999999999999995</v>
      </c>
      <c r="BB31" s="142">
        <v>1.22</v>
      </c>
      <c r="BC31" s="142">
        <v>0.56999999999999995</v>
      </c>
      <c r="BD31" s="142">
        <v>0.56999999999999995</v>
      </c>
      <c r="BE31" s="142">
        <v>1.22</v>
      </c>
      <c r="BF31" s="142">
        <v>0.49</v>
      </c>
      <c r="BG31" s="142">
        <v>0.49</v>
      </c>
      <c r="BH31" s="142" t="s">
        <v>764</v>
      </c>
      <c r="BI31" s="142">
        <v>0.39</v>
      </c>
      <c r="BJ31" s="142">
        <v>0.39</v>
      </c>
      <c r="BK31" s="142" t="s">
        <v>764</v>
      </c>
      <c r="BL31" s="142">
        <v>0.39</v>
      </c>
      <c r="BM31" s="142">
        <v>0.39</v>
      </c>
      <c r="BN31" s="142" t="s">
        <v>764</v>
      </c>
      <c r="BO31" s="142">
        <v>0.39</v>
      </c>
      <c r="BP31" s="142">
        <v>0.39</v>
      </c>
      <c r="BQ31" s="142" t="s">
        <v>764</v>
      </c>
      <c r="BR31" s="142">
        <v>1.17</v>
      </c>
      <c r="BS31" s="142">
        <v>1.17</v>
      </c>
      <c r="BT31" s="142">
        <v>1.17</v>
      </c>
      <c r="BU31" s="142">
        <v>1.17</v>
      </c>
      <c r="BV31" s="142">
        <v>1.17</v>
      </c>
      <c r="BW31" s="142">
        <v>1.17</v>
      </c>
      <c r="BX31" s="142">
        <v>0.49</v>
      </c>
      <c r="BY31" s="142">
        <v>0.49</v>
      </c>
      <c r="BZ31" s="142">
        <v>0.71</v>
      </c>
      <c r="CA31" s="142">
        <v>0.57999999999999996</v>
      </c>
      <c r="CB31" s="142">
        <v>0.49</v>
      </c>
      <c r="CC31" s="143">
        <v>0.49</v>
      </c>
    </row>
    <row r="32" spans="1:81" s="129" customFormat="1" ht="57" x14ac:dyDescent="0.25">
      <c r="A32" s="147" t="s">
        <v>785</v>
      </c>
      <c r="B32" s="151" t="s">
        <v>1689</v>
      </c>
      <c r="C32" s="132" t="s">
        <v>1689</v>
      </c>
      <c r="D32" s="132" t="s">
        <v>1698</v>
      </c>
      <c r="E32" s="132" t="s">
        <v>1699</v>
      </c>
      <c r="F32" s="132" t="s">
        <v>1692</v>
      </c>
      <c r="G32" s="132" t="s">
        <v>1691</v>
      </c>
      <c r="H32" s="132" t="s">
        <v>716</v>
      </c>
      <c r="I32" s="132" t="s">
        <v>1701</v>
      </c>
      <c r="J32" s="132" t="s">
        <v>716</v>
      </c>
      <c r="K32" s="132" t="s">
        <v>1694</v>
      </c>
      <c r="L32" s="132" t="s">
        <v>1694</v>
      </c>
      <c r="M32" s="132" t="s">
        <v>1695</v>
      </c>
      <c r="N32" s="132" t="s">
        <v>718</v>
      </c>
      <c r="O32" s="132" t="s">
        <v>1702</v>
      </c>
      <c r="P32" s="132" t="s">
        <v>718</v>
      </c>
      <c r="Q32" s="132" t="s">
        <v>719</v>
      </c>
      <c r="R32" s="132" t="s">
        <v>734</v>
      </c>
      <c r="S32" s="132" t="s">
        <v>719</v>
      </c>
      <c r="T32" s="132" t="s">
        <v>734</v>
      </c>
      <c r="U32" s="132" t="s">
        <v>734</v>
      </c>
      <c r="V32" s="132" t="s">
        <v>720</v>
      </c>
      <c r="W32" s="327"/>
      <c r="X32" s="132" t="s">
        <v>721</v>
      </c>
      <c r="Y32" s="132" t="s">
        <v>721</v>
      </c>
      <c r="Z32" s="132" t="s">
        <v>741</v>
      </c>
      <c r="AA32" s="132" t="s">
        <v>742</v>
      </c>
      <c r="AB32" s="132" t="s">
        <v>735</v>
      </c>
      <c r="AC32" s="132" t="s">
        <v>724</v>
      </c>
      <c r="AD32" s="132" t="s">
        <v>726</v>
      </c>
      <c r="AE32" s="132" t="s">
        <v>745</v>
      </c>
      <c r="AF32" s="132" t="s">
        <v>726</v>
      </c>
      <c r="AG32" s="132" t="s">
        <v>746</v>
      </c>
      <c r="AH32" s="132" t="s">
        <v>746</v>
      </c>
      <c r="AI32" s="132" t="s">
        <v>737</v>
      </c>
      <c r="AJ32" s="132" t="s">
        <v>728</v>
      </c>
      <c r="AK32" s="132" t="s">
        <v>1703</v>
      </c>
      <c r="AL32" s="132" t="s">
        <v>728</v>
      </c>
      <c r="AM32" s="132" t="s">
        <v>729</v>
      </c>
      <c r="AN32" s="132" t="s">
        <v>738</v>
      </c>
      <c r="AO32" s="132" t="s">
        <v>729</v>
      </c>
      <c r="AP32" s="132" t="s">
        <v>738</v>
      </c>
      <c r="AQ32" s="132" t="s">
        <v>738</v>
      </c>
      <c r="AR32" s="132" t="s">
        <v>730</v>
      </c>
      <c r="AS32" s="327"/>
      <c r="AT32" s="132">
        <v>3.24</v>
      </c>
      <c r="AU32" s="132">
        <v>3.24</v>
      </c>
      <c r="AV32" s="132">
        <v>6.93</v>
      </c>
      <c r="AW32" s="132">
        <v>3.24</v>
      </c>
      <c r="AX32" s="132">
        <v>3.24</v>
      </c>
      <c r="AY32" s="132">
        <v>6.93</v>
      </c>
      <c r="AZ32" s="132">
        <v>3.24</v>
      </c>
      <c r="BA32" s="132">
        <v>3.24</v>
      </c>
      <c r="BB32" s="132">
        <v>6.93</v>
      </c>
      <c r="BC32" s="132">
        <v>3.24</v>
      </c>
      <c r="BD32" s="132">
        <v>3.24</v>
      </c>
      <c r="BE32" s="132">
        <v>6.93</v>
      </c>
      <c r="BF32" s="132">
        <v>0.49</v>
      </c>
      <c r="BG32" s="132">
        <v>0.49</v>
      </c>
      <c r="BH32" s="132" t="s">
        <v>764</v>
      </c>
      <c r="BI32" s="132">
        <v>0.39</v>
      </c>
      <c r="BJ32" s="132">
        <v>0.39</v>
      </c>
      <c r="BK32" s="132" t="s">
        <v>764</v>
      </c>
      <c r="BL32" s="132">
        <v>0.39</v>
      </c>
      <c r="BM32" s="132">
        <v>0.39</v>
      </c>
      <c r="BN32" s="132" t="s">
        <v>764</v>
      </c>
      <c r="BO32" s="132">
        <v>0.39</v>
      </c>
      <c r="BP32" s="132">
        <v>0.39</v>
      </c>
      <c r="BQ32" s="132" t="s">
        <v>764</v>
      </c>
      <c r="BR32" s="132">
        <v>6.64</v>
      </c>
      <c r="BS32" s="132">
        <v>6.64</v>
      </c>
      <c r="BT32" s="132">
        <v>6.64</v>
      </c>
      <c r="BU32" s="132">
        <v>6.64</v>
      </c>
      <c r="BV32" s="132">
        <v>6.64</v>
      </c>
      <c r="BW32" s="132">
        <v>6.64</v>
      </c>
      <c r="BX32" s="132">
        <v>0.49</v>
      </c>
      <c r="BY32" s="132">
        <v>0.49</v>
      </c>
      <c r="BZ32" s="132">
        <v>0.71</v>
      </c>
      <c r="CA32" s="132">
        <v>0.57999999999999996</v>
      </c>
      <c r="CB32" s="132">
        <v>0.49</v>
      </c>
      <c r="CC32" s="141">
        <v>0.49</v>
      </c>
    </row>
    <row r="33" spans="1:81" s="129" customFormat="1" ht="45.6" x14ac:dyDescent="0.25">
      <c r="A33" s="148" t="s">
        <v>779</v>
      </c>
      <c r="B33" s="152" t="s">
        <v>191</v>
      </c>
      <c r="C33" s="142" t="s">
        <v>191</v>
      </c>
      <c r="D33" s="142" t="s">
        <v>194</v>
      </c>
      <c r="E33" s="142" t="s">
        <v>198</v>
      </c>
      <c r="F33" s="142" t="s">
        <v>200</v>
      </c>
      <c r="G33" s="142" t="s">
        <v>196</v>
      </c>
      <c r="H33" s="142" t="s">
        <v>203</v>
      </c>
      <c r="I33" s="142" t="s">
        <v>204</v>
      </c>
      <c r="J33" s="142" t="s">
        <v>202</v>
      </c>
      <c r="K33" s="142" t="s">
        <v>182</v>
      </c>
      <c r="L33" s="142" t="s">
        <v>183</v>
      </c>
      <c r="M33" s="142" t="s">
        <v>180</v>
      </c>
      <c r="N33" s="142" t="s">
        <v>185</v>
      </c>
      <c r="O33" s="142" t="s">
        <v>185</v>
      </c>
      <c r="P33" s="142" t="s">
        <v>184</v>
      </c>
      <c r="Q33" s="142" t="s">
        <v>189</v>
      </c>
      <c r="R33" s="142" t="s">
        <v>189</v>
      </c>
      <c r="S33" s="142" t="s">
        <v>187</v>
      </c>
      <c r="T33" s="142" t="s">
        <v>189</v>
      </c>
      <c r="U33" s="142" t="s">
        <v>189</v>
      </c>
      <c r="V33" s="142" t="s">
        <v>188</v>
      </c>
      <c r="W33" s="327"/>
      <c r="X33" s="142" t="s">
        <v>153</v>
      </c>
      <c r="Y33" s="142" t="s">
        <v>153</v>
      </c>
      <c r="Z33" s="142" t="s">
        <v>171</v>
      </c>
      <c r="AA33" s="142" t="s">
        <v>161</v>
      </c>
      <c r="AB33" s="142" t="s">
        <v>174</v>
      </c>
      <c r="AC33" s="142" t="s">
        <v>155</v>
      </c>
      <c r="AD33" s="142" t="s">
        <v>168</v>
      </c>
      <c r="AE33" s="142" t="s">
        <v>175</v>
      </c>
      <c r="AF33" s="142" t="s">
        <v>167</v>
      </c>
      <c r="AG33" s="142" t="s">
        <v>169</v>
      </c>
      <c r="AH33" s="142" t="s">
        <v>172</v>
      </c>
      <c r="AI33" s="142" t="s">
        <v>170</v>
      </c>
      <c r="AJ33" s="142" t="s">
        <v>173</v>
      </c>
      <c r="AK33" s="142" t="s">
        <v>173</v>
      </c>
      <c r="AL33" s="142" t="s">
        <v>158</v>
      </c>
      <c r="AM33" s="142" t="s">
        <v>164</v>
      </c>
      <c r="AN33" s="142" t="s">
        <v>164</v>
      </c>
      <c r="AO33" s="142" t="s">
        <v>159</v>
      </c>
      <c r="AP33" s="142" t="s">
        <v>164</v>
      </c>
      <c r="AQ33" s="142" t="s">
        <v>164</v>
      </c>
      <c r="AR33" s="142" t="s">
        <v>160</v>
      </c>
      <c r="AS33" s="327"/>
      <c r="AT33" s="142">
        <v>0.35</v>
      </c>
      <c r="AU33" s="142">
        <v>0.4</v>
      </c>
      <c r="AV33" s="142">
        <v>0.8</v>
      </c>
      <c r="AW33" s="142"/>
      <c r="AX33" s="142"/>
      <c r="AY33" s="142"/>
      <c r="AZ33" s="142"/>
      <c r="BA33" s="142"/>
      <c r="BB33" s="142"/>
      <c r="BC33" s="142"/>
      <c r="BD33" s="142"/>
      <c r="BE33" s="142"/>
      <c r="BF33" s="142">
        <v>0.45</v>
      </c>
      <c r="BG33" s="142">
        <v>0.45</v>
      </c>
      <c r="BH33" s="142">
        <v>0.45</v>
      </c>
      <c r="BI33" s="142"/>
      <c r="BJ33" s="142"/>
      <c r="BK33" s="142"/>
      <c r="BL33" s="142"/>
      <c r="BM33" s="142"/>
      <c r="BN33" s="142"/>
      <c r="BO33" s="142">
        <v>0.45</v>
      </c>
      <c r="BP33" s="142">
        <v>0.45</v>
      </c>
      <c r="BQ33" s="142">
        <v>0.45</v>
      </c>
      <c r="BR33" s="142">
        <v>1.17</v>
      </c>
      <c r="BS33" s="142">
        <v>1.17</v>
      </c>
      <c r="BT33" s="142">
        <v>1.17</v>
      </c>
      <c r="BU33" s="142">
        <v>1.17</v>
      </c>
      <c r="BV33" s="142">
        <v>1.17</v>
      </c>
      <c r="BW33" s="142">
        <v>1.17</v>
      </c>
      <c r="BX33" s="142">
        <v>0.68</v>
      </c>
      <c r="BY33" s="142">
        <v>0.64</v>
      </c>
      <c r="BZ33" s="142">
        <v>0.77</v>
      </c>
      <c r="CA33" s="142">
        <v>0.71</v>
      </c>
      <c r="CB33" s="142">
        <v>0.68</v>
      </c>
      <c r="CC33" s="143">
        <v>0.64</v>
      </c>
    </row>
    <row r="34" spans="1:81" s="129" customFormat="1" ht="57" x14ac:dyDescent="0.25">
      <c r="A34" s="147" t="s">
        <v>784</v>
      </c>
      <c r="B34" s="151" t="s">
        <v>710</v>
      </c>
      <c r="C34" s="132" t="s">
        <v>710</v>
      </c>
      <c r="D34" s="132" t="s">
        <v>748</v>
      </c>
      <c r="E34" s="132" t="s">
        <v>731</v>
      </c>
      <c r="F34" s="132" t="s">
        <v>754</v>
      </c>
      <c r="G34" s="132" t="s">
        <v>714</v>
      </c>
      <c r="H34" s="132" t="s">
        <v>743</v>
      </c>
      <c r="I34" s="132" t="s">
        <v>755</v>
      </c>
      <c r="J34" s="132" t="s">
        <v>716</v>
      </c>
      <c r="K34" s="132" t="s">
        <v>744</v>
      </c>
      <c r="L34" s="132" t="s">
        <v>749</v>
      </c>
      <c r="M34" s="132" t="s">
        <v>732</v>
      </c>
      <c r="N34" s="132" t="s">
        <v>750</v>
      </c>
      <c r="O34" s="132" t="s">
        <v>750</v>
      </c>
      <c r="P34" s="132" t="s">
        <v>718</v>
      </c>
      <c r="Q34" s="132" t="s">
        <v>734</v>
      </c>
      <c r="R34" s="132" t="s">
        <v>734</v>
      </c>
      <c r="S34" s="132" t="s">
        <v>719</v>
      </c>
      <c r="T34" s="132" t="s">
        <v>734</v>
      </c>
      <c r="U34" s="132" t="s">
        <v>734</v>
      </c>
      <c r="V34" s="132" t="s">
        <v>720</v>
      </c>
      <c r="W34" s="327"/>
      <c r="X34" s="132" t="s">
        <v>722</v>
      </c>
      <c r="Y34" s="132" t="s">
        <v>722</v>
      </c>
      <c r="Z34" s="132" t="s">
        <v>751</v>
      </c>
      <c r="AA34" s="132" t="s">
        <v>735</v>
      </c>
      <c r="AB34" s="132" t="s">
        <v>756</v>
      </c>
      <c r="AC34" s="132" t="s">
        <v>724</v>
      </c>
      <c r="AD34" s="132" t="s">
        <v>745</v>
      </c>
      <c r="AE34" s="132" t="s">
        <v>757</v>
      </c>
      <c r="AF34" s="132" t="s">
        <v>726</v>
      </c>
      <c r="AG34" s="132" t="s">
        <v>746</v>
      </c>
      <c r="AH34" s="132" t="s">
        <v>752</v>
      </c>
      <c r="AI34" s="132" t="s">
        <v>747</v>
      </c>
      <c r="AJ34" s="132" t="s">
        <v>753</v>
      </c>
      <c r="AK34" s="132" t="s">
        <v>753</v>
      </c>
      <c r="AL34" s="132" t="s">
        <v>728</v>
      </c>
      <c r="AM34" s="132" t="s">
        <v>738</v>
      </c>
      <c r="AN34" s="132" t="s">
        <v>738</v>
      </c>
      <c r="AO34" s="132" t="s">
        <v>729</v>
      </c>
      <c r="AP34" s="132" t="s">
        <v>738</v>
      </c>
      <c r="AQ34" s="132" t="s">
        <v>738</v>
      </c>
      <c r="AR34" s="132" t="s">
        <v>730</v>
      </c>
      <c r="AS34" s="327"/>
      <c r="AT34" s="132">
        <v>0.35</v>
      </c>
      <c r="AU34" s="132">
        <v>0.4</v>
      </c>
      <c r="AV34" s="132">
        <v>0.8</v>
      </c>
      <c r="AW34" s="132"/>
      <c r="AX34" s="132"/>
      <c r="AY34" s="132"/>
      <c r="AZ34" s="132"/>
      <c r="BA34" s="132"/>
      <c r="BB34" s="132"/>
      <c r="BC34" s="132"/>
      <c r="BD34" s="132"/>
      <c r="BE34" s="132"/>
      <c r="BF34" s="132">
        <v>0.45</v>
      </c>
      <c r="BG34" s="132">
        <v>0.45</v>
      </c>
      <c r="BH34" s="132">
        <v>0.45</v>
      </c>
      <c r="BI34" s="132"/>
      <c r="BJ34" s="132"/>
      <c r="BK34" s="132"/>
      <c r="BL34" s="132"/>
      <c r="BM34" s="132"/>
      <c r="BN34" s="132"/>
      <c r="BO34" s="132">
        <v>0.45</v>
      </c>
      <c r="BP34" s="132">
        <v>0.45</v>
      </c>
      <c r="BQ34" s="132">
        <v>0.45</v>
      </c>
      <c r="BR34" s="132">
        <v>6.64</v>
      </c>
      <c r="BS34" s="132">
        <v>6.64</v>
      </c>
      <c r="BT34" s="132">
        <v>6.64</v>
      </c>
      <c r="BU34" s="132">
        <v>6.64</v>
      </c>
      <c r="BV34" s="132">
        <v>6.64</v>
      </c>
      <c r="BW34" s="132">
        <v>6.64</v>
      </c>
      <c r="BX34" s="132">
        <v>0.68</v>
      </c>
      <c r="BY34" s="132">
        <v>0.64</v>
      </c>
      <c r="BZ34" s="132">
        <v>0.77</v>
      </c>
      <c r="CA34" s="132">
        <v>0.71</v>
      </c>
      <c r="CB34" s="132">
        <v>0.68</v>
      </c>
      <c r="CC34" s="141">
        <v>0.64</v>
      </c>
    </row>
    <row r="35" spans="1:81" s="129" customFormat="1" ht="45.6" x14ac:dyDescent="0.25">
      <c r="A35" s="148" t="s">
        <v>780</v>
      </c>
      <c r="B35" s="152" t="s">
        <v>191</v>
      </c>
      <c r="C35" s="142" t="s">
        <v>191</v>
      </c>
      <c r="D35" s="142" t="s">
        <v>194</v>
      </c>
      <c r="E35" s="142" t="s">
        <v>198</v>
      </c>
      <c r="F35" s="142" t="s">
        <v>200</v>
      </c>
      <c r="G35" s="142" t="s">
        <v>196</v>
      </c>
      <c r="H35" s="142" t="s">
        <v>203</v>
      </c>
      <c r="I35" s="142" t="s">
        <v>204</v>
      </c>
      <c r="J35" s="142" t="s">
        <v>202</v>
      </c>
      <c r="K35" s="142" t="s">
        <v>182</v>
      </c>
      <c r="L35" s="142" t="s">
        <v>183</v>
      </c>
      <c r="M35" s="142" t="s">
        <v>180</v>
      </c>
      <c r="N35" s="142" t="s">
        <v>185</v>
      </c>
      <c r="O35" s="142" t="s">
        <v>185</v>
      </c>
      <c r="P35" s="142" t="s">
        <v>184</v>
      </c>
      <c r="Q35" s="142" t="s">
        <v>189</v>
      </c>
      <c r="R35" s="142" t="s">
        <v>189</v>
      </c>
      <c r="S35" s="142" t="s">
        <v>187</v>
      </c>
      <c r="T35" s="142" t="s">
        <v>189</v>
      </c>
      <c r="U35" s="142" t="s">
        <v>189</v>
      </c>
      <c r="V35" s="142" t="s">
        <v>188</v>
      </c>
      <c r="W35" s="327"/>
      <c r="X35" s="142" t="s">
        <v>153</v>
      </c>
      <c r="Y35" s="142" t="s">
        <v>153</v>
      </c>
      <c r="Z35" s="142" t="s">
        <v>171</v>
      </c>
      <c r="AA35" s="142" t="s">
        <v>161</v>
      </c>
      <c r="AB35" s="142" t="s">
        <v>174</v>
      </c>
      <c r="AC35" s="142" t="s">
        <v>155</v>
      </c>
      <c r="AD35" s="142" t="s">
        <v>168</v>
      </c>
      <c r="AE35" s="142" t="s">
        <v>175</v>
      </c>
      <c r="AF35" s="142" t="s">
        <v>167</v>
      </c>
      <c r="AG35" s="142" t="s">
        <v>169</v>
      </c>
      <c r="AH35" s="142" t="s">
        <v>172</v>
      </c>
      <c r="AI35" s="142" t="s">
        <v>170</v>
      </c>
      <c r="AJ35" s="142" t="s">
        <v>173</v>
      </c>
      <c r="AK35" s="142" t="s">
        <v>173</v>
      </c>
      <c r="AL35" s="142" t="s">
        <v>158</v>
      </c>
      <c r="AM35" s="142" t="s">
        <v>164</v>
      </c>
      <c r="AN35" s="142" t="s">
        <v>164</v>
      </c>
      <c r="AO35" s="142" t="s">
        <v>159</v>
      </c>
      <c r="AP35" s="142" t="s">
        <v>164</v>
      </c>
      <c r="AQ35" s="142" t="s">
        <v>164</v>
      </c>
      <c r="AR35" s="142" t="s">
        <v>160</v>
      </c>
      <c r="AS35" s="327"/>
      <c r="AT35" s="142">
        <v>0.35</v>
      </c>
      <c r="AU35" s="142">
        <v>0.4</v>
      </c>
      <c r="AV35" s="142">
        <v>0.8</v>
      </c>
      <c r="AW35" s="142"/>
      <c r="AX35" s="142"/>
      <c r="AY35" s="142"/>
      <c r="AZ35" s="142"/>
      <c r="BA35" s="142"/>
      <c r="BB35" s="142"/>
      <c r="BC35" s="142"/>
      <c r="BD35" s="142"/>
      <c r="BE35" s="142"/>
      <c r="BF35" s="142">
        <v>0.45</v>
      </c>
      <c r="BG35" s="142">
        <v>0.45</v>
      </c>
      <c r="BH35" s="142">
        <v>0.45</v>
      </c>
      <c r="BI35" s="142"/>
      <c r="BJ35" s="142"/>
      <c r="BK35" s="142"/>
      <c r="BL35" s="142"/>
      <c r="BM35" s="142"/>
      <c r="BN35" s="142"/>
      <c r="BO35" s="142">
        <v>0.45</v>
      </c>
      <c r="BP35" s="142">
        <v>0.45</v>
      </c>
      <c r="BQ35" s="142">
        <v>0.45</v>
      </c>
      <c r="BR35" s="142">
        <v>1.17</v>
      </c>
      <c r="BS35" s="142">
        <v>1.17</v>
      </c>
      <c r="BT35" s="142">
        <v>1.17</v>
      </c>
      <c r="BU35" s="142">
        <v>1.17</v>
      </c>
      <c r="BV35" s="142">
        <v>1.17</v>
      </c>
      <c r="BW35" s="142">
        <v>1.17</v>
      </c>
      <c r="BX35" s="142">
        <v>0.68</v>
      </c>
      <c r="BY35" s="142">
        <v>0.64</v>
      </c>
      <c r="BZ35" s="142">
        <v>0.77</v>
      </c>
      <c r="CA35" s="142">
        <v>0.71</v>
      </c>
      <c r="CB35" s="142">
        <v>0.68</v>
      </c>
      <c r="CC35" s="143">
        <v>0.64</v>
      </c>
    </row>
    <row r="36" spans="1:81" s="129" customFormat="1" ht="57" x14ac:dyDescent="0.25">
      <c r="A36" s="147" t="s">
        <v>783</v>
      </c>
      <c r="B36" s="151" t="s">
        <v>710</v>
      </c>
      <c r="C36" s="132" t="s">
        <v>710</v>
      </c>
      <c r="D36" s="132" t="s">
        <v>748</v>
      </c>
      <c r="E36" s="132" t="s">
        <v>731</v>
      </c>
      <c r="F36" s="132" t="s">
        <v>754</v>
      </c>
      <c r="G36" s="132" t="s">
        <v>714</v>
      </c>
      <c r="H36" s="132" t="s">
        <v>743</v>
      </c>
      <c r="I36" s="132" t="s">
        <v>755</v>
      </c>
      <c r="J36" s="132" t="s">
        <v>716</v>
      </c>
      <c r="K36" s="132" t="s">
        <v>744</v>
      </c>
      <c r="L36" s="132" t="s">
        <v>749</v>
      </c>
      <c r="M36" s="132" t="s">
        <v>732</v>
      </c>
      <c r="N36" s="132" t="s">
        <v>750</v>
      </c>
      <c r="O36" s="132" t="s">
        <v>750</v>
      </c>
      <c r="P36" s="132" t="s">
        <v>718</v>
      </c>
      <c r="Q36" s="132" t="s">
        <v>734</v>
      </c>
      <c r="R36" s="132" t="s">
        <v>734</v>
      </c>
      <c r="S36" s="132" t="s">
        <v>719</v>
      </c>
      <c r="T36" s="132" t="s">
        <v>734</v>
      </c>
      <c r="U36" s="132" t="s">
        <v>734</v>
      </c>
      <c r="V36" s="132" t="s">
        <v>720</v>
      </c>
      <c r="W36" s="327"/>
      <c r="X36" s="132" t="s">
        <v>722</v>
      </c>
      <c r="Y36" s="132" t="s">
        <v>722</v>
      </c>
      <c r="Z36" s="132" t="s">
        <v>751</v>
      </c>
      <c r="AA36" s="132" t="s">
        <v>735</v>
      </c>
      <c r="AB36" s="132" t="s">
        <v>756</v>
      </c>
      <c r="AC36" s="132" t="s">
        <v>724</v>
      </c>
      <c r="AD36" s="132" t="s">
        <v>745</v>
      </c>
      <c r="AE36" s="132" t="s">
        <v>757</v>
      </c>
      <c r="AF36" s="132" t="s">
        <v>726</v>
      </c>
      <c r="AG36" s="132" t="s">
        <v>746</v>
      </c>
      <c r="AH36" s="132" t="s">
        <v>752</v>
      </c>
      <c r="AI36" s="132" t="s">
        <v>747</v>
      </c>
      <c r="AJ36" s="132" t="s">
        <v>753</v>
      </c>
      <c r="AK36" s="132" t="s">
        <v>753</v>
      </c>
      <c r="AL36" s="132" t="s">
        <v>728</v>
      </c>
      <c r="AM36" s="132" t="s">
        <v>738</v>
      </c>
      <c r="AN36" s="132" t="s">
        <v>738</v>
      </c>
      <c r="AO36" s="132" t="s">
        <v>729</v>
      </c>
      <c r="AP36" s="132" t="s">
        <v>738</v>
      </c>
      <c r="AQ36" s="132" t="s">
        <v>738</v>
      </c>
      <c r="AR36" s="132" t="s">
        <v>730</v>
      </c>
      <c r="AS36" s="327"/>
      <c r="AT36" s="132">
        <v>1.99</v>
      </c>
      <c r="AU36" s="132">
        <v>2.27</v>
      </c>
      <c r="AV36" s="132">
        <v>4.54</v>
      </c>
      <c r="AW36" s="132"/>
      <c r="AX36" s="132"/>
      <c r="AY36" s="132"/>
      <c r="AZ36" s="132"/>
      <c r="BA36" s="132"/>
      <c r="BB36" s="132"/>
      <c r="BC36" s="132"/>
      <c r="BD36" s="132"/>
      <c r="BE36" s="132"/>
      <c r="BF36" s="132">
        <v>0.45</v>
      </c>
      <c r="BG36" s="132">
        <v>0.45</v>
      </c>
      <c r="BH36" s="132">
        <v>0.45</v>
      </c>
      <c r="BI36" s="132"/>
      <c r="BJ36" s="132"/>
      <c r="BK36" s="132"/>
      <c r="BL36" s="132"/>
      <c r="BM36" s="132"/>
      <c r="BN36" s="132"/>
      <c r="BO36" s="132">
        <v>0.45</v>
      </c>
      <c r="BP36" s="132">
        <v>0.45</v>
      </c>
      <c r="BQ36" s="132">
        <v>0.45</v>
      </c>
      <c r="BR36" s="132">
        <v>6.64</v>
      </c>
      <c r="BS36" s="132">
        <v>6.64</v>
      </c>
      <c r="BT36" s="132">
        <v>6.64</v>
      </c>
      <c r="BU36" s="132">
        <v>6.64</v>
      </c>
      <c r="BV36" s="132">
        <v>6.64</v>
      </c>
      <c r="BW36" s="132">
        <v>6.64</v>
      </c>
      <c r="BX36" s="132">
        <v>0.68</v>
      </c>
      <c r="BY36" s="132">
        <v>0.64</v>
      </c>
      <c r="BZ36" s="132">
        <v>0.77</v>
      </c>
      <c r="CA36" s="132">
        <v>0.71</v>
      </c>
      <c r="CB36" s="132">
        <v>0.68</v>
      </c>
      <c r="CC36" s="141">
        <v>0.64</v>
      </c>
    </row>
    <row r="37" spans="1:81" s="129" customFormat="1" ht="45.6" x14ac:dyDescent="0.25">
      <c r="A37" s="148" t="s">
        <v>781</v>
      </c>
      <c r="B37" s="152" t="s">
        <v>191</v>
      </c>
      <c r="C37" s="142" t="s">
        <v>191</v>
      </c>
      <c r="D37" s="142" t="s">
        <v>195</v>
      </c>
      <c r="E37" s="142" t="s">
        <v>198</v>
      </c>
      <c r="F37" s="142" t="s">
        <v>201</v>
      </c>
      <c r="G37" s="142" t="s">
        <v>199</v>
      </c>
      <c r="H37" s="142" t="s">
        <v>203</v>
      </c>
      <c r="I37" s="142" t="s">
        <v>205</v>
      </c>
      <c r="J37" s="142" t="s">
        <v>202</v>
      </c>
      <c r="K37" s="142" t="s">
        <v>183</v>
      </c>
      <c r="L37" s="142" t="s">
        <v>183</v>
      </c>
      <c r="M37" s="142" t="s">
        <v>180</v>
      </c>
      <c r="N37" s="142" t="s">
        <v>185</v>
      </c>
      <c r="O37" s="142" t="s">
        <v>186</v>
      </c>
      <c r="P37" s="142" t="s">
        <v>184</v>
      </c>
      <c r="Q37" s="142" t="s">
        <v>189</v>
      </c>
      <c r="R37" s="142" t="s">
        <v>189</v>
      </c>
      <c r="S37" s="142" t="s">
        <v>187</v>
      </c>
      <c r="T37" s="142" t="s">
        <v>189</v>
      </c>
      <c r="U37" s="142" t="s">
        <v>189</v>
      </c>
      <c r="V37" s="142" t="s">
        <v>189</v>
      </c>
      <c r="W37" s="327"/>
      <c r="X37" s="142" t="s">
        <v>153</v>
      </c>
      <c r="Y37" s="142" t="s">
        <v>153</v>
      </c>
      <c r="Z37" s="142" t="s">
        <v>152</v>
      </c>
      <c r="AA37" s="142" t="s">
        <v>161</v>
      </c>
      <c r="AB37" s="142" t="s">
        <v>176</v>
      </c>
      <c r="AC37" s="142" t="s">
        <v>166</v>
      </c>
      <c r="AD37" s="142" t="s">
        <v>168</v>
      </c>
      <c r="AE37" s="142" t="s">
        <v>177</v>
      </c>
      <c r="AF37" s="142" t="s">
        <v>167</v>
      </c>
      <c r="AG37" s="142" t="s">
        <v>172</v>
      </c>
      <c r="AH37" s="142" t="s">
        <v>172</v>
      </c>
      <c r="AI37" s="142" t="s">
        <v>170</v>
      </c>
      <c r="AJ37" s="142" t="s">
        <v>173</v>
      </c>
      <c r="AK37" s="142" t="s">
        <v>178</v>
      </c>
      <c r="AL37" s="142" t="s">
        <v>158</v>
      </c>
      <c r="AM37" s="142" t="s">
        <v>164</v>
      </c>
      <c r="AN37" s="142" t="s">
        <v>164</v>
      </c>
      <c r="AO37" s="142" t="s">
        <v>159</v>
      </c>
      <c r="AP37" s="142" t="s">
        <v>164</v>
      </c>
      <c r="AQ37" s="142" t="s">
        <v>164</v>
      </c>
      <c r="AR37" s="142" t="s">
        <v>164</v>
      </c>
      <c r="AS37" s="327"/>
      <c r="AT37" s="142">
        <v>0.35</v>
      </c>
      <c r="AU37" s="142">
        <v>0.4</v>
      </c>
      <c r="AV37" s="142">
        <v>0.8</v>
      </c>
      <c r="AW37" s="142"/>
      <c r="AX37" s="142"/>
      <c r="AY37" s="142"/>
      <c r="AZ37" s="142"/>
      <c r="BA37" s="142"/>
      <c r="BB37" s="142"/>
      <c r="BC37" s="142"/>
      <c r="BD37" s="142"/>
      <c r="BE37" s="142"/>
      <c r="BF37" s="142">
        <v>0.45</v>
      </c>
      <c r="BG37" s="142">
        <v>0.45</v>
      </c>
      <c r="BH37" s="142">
        <v>0.45</v>
      </c>
      <c r="BI37" s="142"/>
      <c r="BJ37" s="142"/>
      <c r="BK37" s="142"/>
      <c r="BL37" s="142"/>
      <c r="BM37" s="142"/>
      <c r="BN37" s="142"/>
      <c r="BO37" s="142">
        <v>0.45</v>
      </c>
      <c r="BP37" s="142">
        <v>0.45</v>
      </c>
      <c r="BQ37" s="142">
        <v>0.45</v>
      </c>
      <c r="BR37" s="142">
        <v>0.98</v>
      </c>
      <c r="BS37" s="142">
        <v>0.98</v>
      </c>
      <c r="BT37" s="142">
        <v>0.98</v>
      </c>
      <c r="BU37" s="142">
        <v>0.98</v>
      </c>
      <c r="BV37" s="142">
        <v>0.98</v>
      </c>
      <c r="BW37" s="142">
        <v>0.98</v>
      </c>
      <c r="BX37" s="142">
        <v>0.68</v>
      </c>
      <c r="BY37" s="142">
        <v>0.64</v>
      </c>
      <c r="BZ37" s="142">
        <v>0.77</v>
      </c>
      <c r="CA37" s="142">
        <v>0.71</v>
      </c>
      <c r="CB37" s="142">
        <v>0.68</v>
      </c>
      <c r="CC37" s="143">
        <v>0.64</v>
      </c>
    </row>
    <row r="38" spans="1:81" ht="79.2" x14ac:dyDescent="0.25">
      <c r="A38" s="149" t="s">
        <v>782</v>
      </c>
      <c r="B38" s="153" t="s">
        <v>710</v>
      </c>
      <c r="C38" s="144" t="s">
        <v>710</v>
      </c>
      <c r="D38" s="144" t="s">
        <v>709</v>
      </c>
      <c r="E38" s="144" t="s">
        <v>731</v>
      </c>
      <c r="F38" s="144" t="s">
        <v>758</v>
      </c>
      <c r="G38" s="144" t="s">
        <v>740</v>
      </c>
      <c r="H38" s="144" t="s">
        <v>743</v>
      </c>
      <c r="I38" s="144" t="s">
        <v>759</v>
      </c>
      <c r="J38" s="144" t="s">
        <v>716</v>
      </c>
      <c r="K38" s="144" t="s">
        <v>749</v>
      </c>
      <c r="L38" s="144" t="s">
        <v>749</v>
      </c>
      <c r="M38" s="144" t="s">
        <v>732</v>
      </c>
      <c r="N38" s="144" t="s">
        <v>750</v>
      </c>
      <c r="O38" s="144" t="s">
        <v>760</v>
      </c>
      <c r="P38" s="144" t="s">
        <v>718</v>
      </c>
      <c r="Q38" s="144" t="s">
        <v>734</v>
      </c>
      <c r="R38" s="144" t="s">
        <v>734</v>
      </c>
      <c r="S38" s="144" t="s">
        <v>719</v>
      </c>
      <c r="T38" s="144" t="s">
        <v>734</v>
      </c>
      <c r="U38" s="144" t="s">
        <v>734</v>
      </c>
      <c r="V38" s="144" t="s">
        <v>734</v>
      </c>
      <c r="W38" s="328"/>
      <c r="X38" s="144" t="s">
        <v>722</v>
      </c>
      <c r="Y38" s="144" t="s">
        <v>722</v>
      </c>
      <c r="Z38" s="144" t="s">
        <v>721</v>
      </c>
      <c r="AA38" s="144" t="s">
        <v>735</v>
      </c>
      <c r="AB38" s="144" t="s">
        <v>761</v>
      </c>
      <c r="AC38" s="144" t="s">
        <v>742</v>
      </c>
      <c r="AD38" s="144" t="s">
        <v>745</v>
      </c>
      <c r="AE38" s="144" t="s">
        <v>762</v>
      </c>
      <c r="AF38" s="144" t="s">
        <v>726</v>
      </c>
      <c r="AG38" s="144" t="s">
        <v>752</v>
      </c>
      <c r="AH38" s="144" t="s">
        <v>752</v>
      </c>
      <c r="AI38" s="144" t="s">
        <v>747</v>
      </c>
      <c r="AJ38" s="144" t="s">
        <v>753</v>
      </c>
      <c r="AK38" s="144" t="s">
        <v>763</v>
      </c>
      <c r="AL38" s="144" t="s">
        <v>728</v>
      </c>
      <c r="AM38" s="144" t="s">
        <v>738</v>
      </c>
      <c r="AN38" s="144" t="s">
        <v>738</v>
      </c>
      <c r="AO38" s="144" t="s">
        <v>729</v>
      </c>
      <c r="AP38" s="144" t="s">
        <v>738</v>
      </c>
      <c r="AQ38" s="144" t="s">
        <v>738</v>
      </c>
      <c r="AR38" s="144" t="s">
        <v>738</v>
      </c>
      <c r="AS38" s="328"/>
      <c r="AT38" s="144">
        <v>1.99</v>
      </c>
      <c r="AU38" s="144">
        <v>2.27</v>
      </c>
      <c r="AV38" s="144">
        <v>4.54</v>
      </c>
      <c r="AW38" s="144"/>
      <c r="AX38" s="144"/>
      <c r="AY38" s="144"/>
      <c r="AZ38" s="144"/>
      <c r="BA38" s="144"/>
      <c r="BB38" s="144"/>
      <c r="BC38" s="144"/>
      <c r="BD38" s="144"/>
      <c r="BE38" s="144"/>
      <c r="BF38" s="144">
        <v>0.45</v>
      </c>
      <c r="BG38" s="144">
        <v>0.45</v>
      </c>
      <c r="BH38" s="144">
        <v>0.45</v>
      </c>
      <c r="BI38" s="144"/>
      <c r="BJ38" s="144"/>
      <c r="BK38" s="144"/>
      <c r="BL38" s="144"/>
      <c r="BM38" s="144"/>
      <c r="BN38" s="144"/>
      <c r="BO38" s="144">
        <v>0.45</v>
      </c>
      <c r="BP38" s="144">
        <v>0.45</v>
      </c>
      <c r="BQ38" s="144">
        <v>0.45</v>
      </c>
      <c r="BR38" s="144">
        <v>5.56</v>
      </c>
      <c r="BS38" s="144">
        <v>5.56</v>
      </c>
      <c r="BT38" s="144">
        <v>5.56</v>
      </c>
      <c r="BU38" s="144">
        <v>5.56</v>
      </c>
      <c r="BV38" s="144">
        <v>5.56</v>
      </c>
      <c r="BW38" s="144">
        <v>5.56</v>
      </c>
      <c r="BX38" s="144" t="s">
        <v>764</v>
      </c>
      <c r="BY38" s="144" t="s">
        <v>764</v>
      </c>
      <c r="BZ38" s="144" t="s">
        <v>764</v>
      </c>
      <c r="CA38" s="144" t="s">
        <v>764</v>
      </c>
      <c r="CB38" s="144" t="s">
        <v>764</v>
      </c>
      <c r="CC38" s="145" t="s">
        <v>764</v>
      </c>
    </row>
  </sheetData>
  <sheetProtection algorithmName="SHA-512" hashValue="W3TmfHU90dwUzSDi/lyKzcQYNvpNSf1eY7ZWwggvHICVrk1xdGeB2NR887YryzJYKT+pIWcA9MxT60owdsHemg==" saltValue="aoG57kkaMNPSn1oBBC7Wig==" spinCount="100000" sheet="1" objects="1" scenarios="1"/>
  <mergeCells count="18">
    <mergeCell ref="BX1:CC1"/>
    <mergeCell ref="AJ1:AL1"/>
    <mergeCell ref="AM1:AO1"/>
    <mergeCell ref="AP1:AR1"/>
    <mergeCell ref="AT1:BE1"/>
    <mergeCell ref="BF1:BQ1"/>
    <mergeCell ref="BR1:BW1"/>
    <mergeCell ref="AG1:AI1"/>
    <mergeCell ref="B1:D1"/>
    <mergeCell ref="E1:G1"/>
    <mergeCell ref="H1:J1"/>
    <mergeCell ref="K1:M1"/>
    <mergeCell ref="N1:P1"/>
    <mergeCell ref="Q1:S1"/>
    <mergeCell ref="T1:V1"/>
    <mergeCell ref="X1:Z1"/>
    <mergeCell ref="AA1:AC1"/>
    <mergeCell ref="AD1:AF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9">
    <tabColor theme="5" tint="0.39997558519241921"/>
  </sheetPr>
  <dimension ref="A1:DQ38"/>
  <sheetViews>
    <sheetView topLeftCell="CV1" zoomScale="85" zoomScaleNormal="85" workbookViewId="0">
      <selection activeCell="DJ11" sqref="DJ11"/>
    </sheetView>
  </sheetViews>
  <sheetFormatPr defaultColWidth="8.69921875" defaultRowHeight="13.2" x14ac:dyDescent="0.25"/>
  <cols>
    <col min="1" max="1" width="10.69921875" style="33" customWidth="1"/>
    <col min="2" max="22" width="18.69921875" style="42" customWidth="1"/>
    <col min="23" max="23" width="4.69921875" style="42" customWidth="1"/>
    <col min="24" max="68" width="10.69921875" style="42" customWidth="1"/>
    <col min="69" max="69" width="4.69921875" style="42" customWidth="1"/>
    <col min="70" max="86" width="10.69921875" style="42" customWidth="1"/>
    <col min="87" max="93" width="8.69921875" style="42" customWidth="1"/>
    <col min="94" max="94" width="11.296875" style="42" customWidth="1"/>
    <col min="95" max="113" width="8.69921875" style="42"/>
    <col min="114" max="116" width="46.5" style="42" customWidth="1"/>
    <col min="117" max="16384" width="8.69921875" style="42"/>
  </cols>
  <sheetData>
    <row r="1" spans="1:121" ht="32.25" customHeight="1" x14ac:dyDescent="0.25">
      <c r="A1" s="3546" t="s">
        <v>30</v>
      </c>
      <c r="B1" s="3535" t="s">
        <v>3</v>
      </c>
      <c r="C1" s="3535"/>
      <c r="D1" s="3536"/>
      <c r="E1" s="3537" t="s">
        <v>6</v>
      </c>
      <c r="F1" s="3535"/>
      <c r="G1" s="3536"/>
      <c r="H1" s="3537" t="s">
        <v>7</v>
      </c>
      <c r="I1" s="3535"/>
      <c r="J1" s="3536"/>
      <c r="K1" s="3537" t="s">
        <v>18</v>
      </c>
      <c r="L1" s="3535"/>
      <c r="M1" s="3536"/>
      <c r="N1" s="3537" t="s">
        <v>1</v>
      </c>
      <c r="O1" s="3535"/>
      <c r="P1" s="3536"/>
      <c r="Q1" s="3537" t="s">
        <v>799</v>
      </c>
      <c r="R1" s="3535"/>
      <c r="S1" s="3535"/>
      <c r="T1" s="3537" t="s">
        <v>801</v>
      </c>
      <c r="U1" s="3535"/>
      <c r="V1" s="3535"/>
      <c r="W1" s="130"/>
      <c r="X1" s="3522" t="s">
        <v>3</v>
      </c>
      <c r="Y1" s="3523"/>
      <c r="Z1" s="3523"/>
      <c r="AA1" s="3523"/>
      <c r="AB1" s="3523"/>
      <c r="AC1" s="3523"/>
      <c r="AD1" s="3523"/>
      <c r="AE1" s="3523"/>
      <c r="AF1" s="3524"/>
      <c r="AG1" s="3522" t="s">
        <v>6</v>
      </c>
      <c r="AH1" s="3523"/>
      <c r="AI1" s="3523"/>
      <c r="AJ1" s="3523"/>
      <c r="AK1" s="3523"/>
      <c r="AL1" s="3523"/>
      <c r="AM1" s="3523"/>
      <c r="AN1" s="3523"/>
      <c r="AO1" s="3523"/>
      <c r="AP1" s="3523"/>
      <c r="AQ1" s="3523"/>
      <c r="AR1" s="3524"/>
      <c r="AS1" s="3527" t="s">
        <v>7</v>
      </c>
      <c r="AT1" s="3528"/>
      <c r="AU1" s="3529"/>
      <c r="AV1" s="3522" t="s">
        <v>18</v>
      </c>
      <c r="AW1" s="3523"/>
      <c r="AX1" s="3523"/>
      <c r="AY1" s="3523"/>
      <c r="AZ1" s="3523"/>
      <c r="BA1" s="3523"/>
      <c r="BB1" s="3523"/>
      <c r="BC1" s="3523"/>
      <c r="BD1" s="3524"/>
      <c r="BE1" s="3522" t="s">
        <v>1</v>
      </c>
      <c r="BF1" s="3523"/>
      <c r="BG1" s="3523"/>
      <c r="BH1" s="3523"/>
      <c r="BI1" s="3523"/>
      <c r="BJ1" s="3524"/>
      <c r="BK1" s="3522" t="s">
        <v>2802</v>
      </c>
      <c r="BL1" s="3523"/>
      <c r="BM1" s="3523"/>
      <c r="BN1" s="3523"/>
      <c r="BO1" s="3523"/>
      <c r="BP1" s="3524"/>
      <c r="BR1" s="3540" t="s">
        <v>1646</v>
      </c>
      <c r="BS1" s="3543"/>
      <c r="BT1" s="3543"/>
      <c r="BU1" s="3543"/>
      <c r="BV1" s="3543"/>
      <c r="BW1" s="3543"/>
      <c r="BX1" s="3543"/>
      <c r="BY1" s="3543"/>
      <c r="BZ1" s="3543"/>
      <c r="CA1" s="3543"/>
      <c r="CB1" s="3543"/>
      <c r="CC1" s="3543"/>
      <c r="CD1" s="3544" t="s">
        <v>1647</v>
      </c>
      <c r="CE1" s="3543"/>
      <c r="CF1" s="3543"/>
      <c r="CG1" s="3543"/>
      <c r="CH1" s="3543"/>
      <c r="CI1" s="3543"/>
      <c r="CJ1" s="3543"/>
      <c r="CK1" s="3543"/>
      <c r="CL1" s="3543"/>
      <c r="CM1" s="3543"/>
      <c r="CN1" s="3543"/>
      <c r="CO1" s="3545"/>
      <c r="CP1" s="3517" t="s">
        <v>916</v>
      </c>
      <c r="CQ1" s="3518"/>
      <c r="CR1" s="3518"/>
      <c r="CS1" s="3518"/>
      <c r="CT1" s="3518"/>
      <c r="CU1" s="3519"/>
      <c r="CV1" s="3517" t="s">
        <v>917</v>
      </c>
      <c r="CW1" s="3520"/>
      <c r="CX1" s="3520"/>
      <c r="CY1" s="3520"/>
      <c r="CZ1" s="3520"/>
      <c r="DA1" s="3521"/>
      <c r="DE1" s="1175"/>
      <c r="DF1" s="1175"/>
      <c r="DI1" s="806"/>
      <c r="DJ1" s="806"/>
      <c r="DK1" s="806"/>
      <c r="DL1" s="806"/>
      <c r="DM1" s="806"/>
      <c r="DN1" s="806"/>
      <c r="DO1" s="806"/>
      <c r="DP1" s="806"/>
      <c r="DQ1" s="806"/>
    </row>
    <row r="2" spans="1:121" s="32" customFormat="1" ht="153.75" customHeight="1" x14ac:dyDescent="0.25">
      <c r="A2" s="3546"/>
      <c r="B2" s="155" t="s">
        <v>21</v>
      </c>
      <c r="C2" s="156" t="s">
        <v>23</v>
      </c>
      <c r="D2" s="157" t="s">
        <v>46</v>
      </c>
      <c r="E2" s="671" t="s">
        <v>21</v>
      </c>
      <c r="F2" s="133" t="s">
        <v>23</v>
      </c>
      <c r="G2" s="672" t="s">
        <v>46</v>
      </c>
      <c r="H2" s="671" t="s">
        <v>21</v>
      </c>
      <c r="I2" s="133" t="s">
        <v>23</v>
      </c>
      <c r="J2" s="672" t="s">
        <v>46</v>
      </c>
      <c r="K2" s="671" t="s">
        <v>21</v>
      </c>
      <c r="L2" s="133" t="s">
        <v>23</v>
      </c>
      <c r="M2" s="672" t="s">
        <v>46</v>
      </c>
      <c r="N2" s="671" t="s">
        <v>21</v>
      </c>
      <c r="O2" s="133" t="s">
        <v>23</v>
      </c>
      <c r="P2" s="672" t="s">
        <v>46</v>
      </c>
      <c r="Q2" s="671" t="s">
        <v>21</v>
      </c>
      <c r="R2" s="133" t="s">
        <v>23</v>
      </c>
      <c r="S2" s="133" t="s">
        <v>46</v>
      </c>
      <c r="T2" s="133" t="s">
        <v>21</v>
      </c>
      <c r="U2" s="133" t="s">
        <v>23</v>
      </c>
      <c r="V2" s="672" t="s">
        <v>46</v>
      </c>
      <c r="W2" s="131"/>
      <c r="X2" s="2340" t="s">
        <v>2769</v>
      </c>
      <c r="Y2" s="2341" t="s">
        <v>2770</v>
      </c>
      <c r="Z2" s="2342" t="s">
        <v>2771</v>
      </c>
      <c r="AA2" s="2340" t="s">
        <v>2772</v>
      </c>
      <c r="AB2" s="2341" t="s">
        <v>2773</v>
      </c>
      <c r="AC2" s="2342" t="s">
        <v>2774</v>
      </c>
      <c r="AD2" s="2340" t="s">
        <v>2775</v>
      </c>
      <c r="AE2" s="2341" t="s">
        <v>2776</v>
      </c>
      <c r="AF2" s="2342" t="s">
        <v>2777</v>
      </c>
      <c r="AG2" s="2343" t="s">
        <v>2778</v>
      </c>
      <c r="AH2" s="2341" t="s">
        <v>2779</v>
      </c>
      <c r="AI2" s="2344" t="s">
        <v>2780</v>
      </c>
      <c r="AJ2" s="2343" t="s">
        <v>2772</v>
      </c>
      <c r="AK2" s="2341" t="s">
        <v>2773</v>
      </c>
      <c r="AL2" s="2344" t="s">
        <v>2774</v>
      </c>
      <c r="AM2" s="2343" t="s">
        <v>2781</v>
      </c>
      <c r="AN2" s="2341" t="s">
        <v>2782</v>
      </c>
      <c r="AO2" s="2344" t="s">
        <v>2783</v>
      </c>
      <c r="AP2" s="2343" t="s">
        <v>2784</v>
      </c>
      <c r="AQ2" s="2341" t="s">
        <v>2785</v>
      </c>
      <c r="AR2" s="2344" t="s">
        <v>2786</v>
      </c>
      <c r="AS2" s="2345" t="s">
        <v>21</v>
      </c>
      <c r="AT2" s="2346" t="s">
        <v>23</v>
      </c>
      <c r="AU2" s="2347" t="s">
        <v>46</v>
      </c>
      <c r="AV2" s="2348" t="s">
        <v>2778</v>
      </c>
      <c r="AW2" s="2346" t="s">
        <v>2779</v>
      </c>
      <c r="AX2" s="2349" t="s">
        <v>2780</v>
      </c>
      <c r="AY2" s="2348" t="s">
        <v>2787</v>
      </c>
      <c r="AZ2" s="2346" t="s">
        <v>2788</v>
      </c>
      <c r="BA2" s="2349" t="s">
        <v>2789</v>
      </c>
      <c r="BB2" s="2348" t="s">
        <v>2784</v>
      </c>
      <c r="BC2" s="2346" t="s">
        <v>2785</v>
      </c>
      <c r="BD2" s="2349" t="s">
        <v>2786</v>
      </c>
      <c r="BE2" s="2345" t="s">
        <v>2790</v>
      </c>
      <c r="BF2" s="2346" t="s">
        <v>2791</v>
      </c>
      <c r="BG2" s="2347" t="s">
        <v>2792</v>
      </c>
      <c r="BH2" s="2345" t="s">
        <v>2793</v>
      </c>
      <c r="BI2" s="2346" t="s">
        <v>2794</v>
      </c>
      <c r="BJ2" s="2347" t="s">
        <v>2795</v>
      </c>
      <c r="BK2" s="807" t="s">
        <v>2796</v>
      </c>
      <c r="BL2" s="808" t="s">
        <v>2797</v>
      </c>
      <c r="BM2" s="809" t="s">
        <v>2798</v>
      </c>
      <c r="BN2" s="807" t="s">
        <v>2799</v>
      </c>
      <c r="BO2" s="808" t="s">
        <v>2800</v>
      </c>
      <c r="BP2" s="809" t="s">
        <v>2801</v>
      </c>
      <c r="BR2" s="1978" t="s">
        <v>2758</v>
      </c>
      <c r="BS2" s="1979" t="s">
        <v>2759</v>
      </c>
      <c r="BT2" s="1980" t="s">
        <v>2760</v>
      </c>
      <c r="BU2" s="1979" t="s">
        <v>2761</v>
      </c>
      <c r="BV2" s="1979" t="s">
        <v>2761</v>
      </c>
      <c r="BW2" s="1980" t="s">
        <v>2762</v>
      </c>
      <c r="BX2" s="1978" t="s">
        <v>2763</v>
      </c>
      <c r="BY2" s="1979" t="s">
        <v>2764</v>
      </c>
      <c r="BZ2" s="1980" t="s">
        <v>2765</v>
      </c>
      <c r="CA2" s="1978" t="s">
        <v>2766</v>
      </c>
      <c r="CB2" s="1979" t="s">
        <v>2767</v>
      </c>
      <c r="CC2" s="1980" t="s">
        <v>2768</v>
      </c>
      <c r="CD2" s="163" t="s">
        <v>1649</v>
      </c>
      <c r="CE2" s="164" t="s">
        <v>1650</v>
      </c>
      <c r="CF2" s="165" t="s">
        <v>1651</v>
      </c>
      <c r="CG2" s="163" t="s">
        <v>1652</v>
      </c>
      <c r="CH2" s="164" t="s">
        <v>1653</v>
      </c>
      <c r="CI2" s="165" t="s">
        <v>1654</v>
      </c>
      <c r="CJ2" s="163" t="s">
        <v>1655</v>
      </c>
      <c r="CK2" s="164" t="s">
        <v>1656</v>
      </c>
      <c r="CL2" s="165" t="s">
        <v>1657</v>
      </c>
      <c r="CM2" s="163" t="s">
        <v>1658</v>
      </c>
      <c r="CN2" s="164" t="s">
        <v>1659</v>
      </c>
      <c r="CO2" s="165" t="s">
        <v>1660</v>
      </c>
      <c r="CP2" s="810" t="s">
        <v>1661</v>
      </c>
      <c r="CQ2" s="811" t="s">
        <v>1662</v>
      </c>
      <c r="CR2" s="810" t="s">
        <v>1663</v>
      </c>
      <c r="CS2" s="811" t="s">
        <v>1664</v>
      </c>
      <c r="CT2" s="810" t="s">
        <v>3169</v>
      </c>
      <c r="CU2" s="811" t="s">
        <v>3170</v>
      </c>
      <c r="CV2" s="810" t="s">
        <v>1661</v>
      </c>
      <c r="CW2" s="811" t="s">
        <v>1662</v>
      </c>
      <c r="CX2" s="810" t="s">
        <v>1663</v>
      </c>
      <c r="CY2" s="811" t="s">
        <v>1664</v>
      </c>
      <c r="CZ2" s="810" t="s">
        <v>3169</v>
      </c>
      <c r="DA2" s="811" t="s">
        <v>3170</v>
      </c>
      <c r="DE2" s="1175"/>
      <c r="DI2" s="1175" t="s">
        <v>30</v>
      </c>
      <c r="DJ2" s="1175" t="s">
        <v>21</v>
      </c>
      <c r="DK2" s="1175" t="s">
        <v>23</v>
      </c>
      <c r="DL2" s="1175" t="s">
        <v>46</v>
      </c>
      <c r="DM2" s="1175"/>
      <c r="DN2" s="1175"/>
      <c r="DO2" s="1175"/>
      <c r="DP2" s="1175"/>
      <c r="DQ2" s="1175"/>
    </row>
    <row r="3" spans="1:121" s="129" customFormat="1" ht="45.6" x14ac:dyDescent="0.25">
      <c r="A3" s="146" t="s">
        <v>712</v>
      </c>
      <c r="B3" s="150" t="s">
        <v>190</v>
      </c>
      <c r="C3" s="139" t="s">
        <v>191</v>
      </c>
      <c r="D3" s="139" t="s">
        <v>192</v>
      </c>
      <c r="E3" s="139" t="s">
        <v>196</v>
      </c>
      <c r="F3" s="139" t="s">
        <v>196</v>
      </c>
      <c r="G3" s="139" t="s">
        <v>197</v>
      </c>
      <c r="H3" s="139" t="s">
        <v>202</v>
      </c>
      <c r="I3" s="139" t="s">
        <v>202</v>
      </c>
      <c r="J3" s="139" t="s">
        <v>202</v>
      </c>
      <c r="K3" s="139" t="s">
        <v>179</v>
      </c>
      <c r="L3" s="139" t="s">
        <v>179</v>
      </c>
      <c r="M3" s="139" t="s">
        <v>179</v>
      </c>
      <c r="N3" s="139" t="s">
        <v>184</v>
      </c>
      <c r="O3" s="139" t="s">
        <v>184</v>
      </c>
      <c r="P3" s="139" t="s">
        <v>184</v>
      </c>
      <c r="Q3" s="139" t="s">
        <v>187</v>
      </c>
      <c r="R3" s="139" t="s">
        <v>187</v>
      </c>
      <c r="S3" s="139" t="s">
        <v>187</v>
      </c>
      <c r="T3" s="139" t="s">
        <v>188</v>
      </c>
      <c r="U3" s="139" t="s">
        <v>188</v>
      </c>
      <c r="V3" s="139" t="s">
        <v>188</v>
      </c>
      <c r="W3" s="327"/>
      <c r="X3" s="2330">
        <v>4.8000000000000001E-2</v>
      </c>
      <c r="Y3" s="2330">
        <v>3.9E-2</v>
      </c>
      <c r="Z3" s="2330">
        <v>0.218</v>
      </c>
      <c r="AA3" s="2330">
        <v>4.1000000000000002E-2</v>
      </c>
      <c r="AB3" s="2330">
        <v>4.1000000000000002E-2</v>
      </c>
      <c r="AC3" s="2330">
        <v>0.115</v>
      </c>
      <c r="AD3" s="2330">
        <v>2.7E-2</v>
      </c>
      <c r="AE3" s="2330">
        <v>2.7E-2</v>
      </c>
      <c r="AF3" s="2330">
        <v>8.1000000000000003E-2</v>
      </c>
      <c r="AG3" s="2330">
        <v>0.57999999999999996</v>
      </c>
      <c r="AH3" s="2330">
        <v>0.151</v>
      </c>
      <c r="AI3" s="2330">
        <v>0.57999999999999996</v>
      </c>
      <c r="AJ3" s="2330">
        <v>9.4E-2</v>
      </c>
      <c r="AK3" s="2330">
        <v>9.4E-2</v>
      </c>
      <c r="AL3" s="2330">
        <v>0.35199999999999998</v>
      </c>
      <c r="AM3" s="2330">
        <v>0.124</v>
      </c>
      <c r="AN3" s="2330">
        <v>0.124</v>
      </c>
      <c r="AO3" s="2330">
        <v>0.35199999999999998</v>
      </c>
      <c r="AP3" s="2330">
        <v>8.8999999999999996E-2</v>
      </c>
      <c r="AQ3" s="2330">
        <v>8.8999999999999996E-2</v>
      </c>
      <c r="AR3" s="2330">
        <v>0.29199999999999998</v>
      </c>
      <c r="AS3" s="2330">
        <v>1.1399999999999999</v>
      </c>
      <c r="AT3" s="2330">
        <v>1.1399999999999999</v>
      </c>
      <c r="AU3" s="2330">
        <v>1.1399999999999999</v>
      </c>
      <c r="AV3" s="2330">
        <v>0.32200000000000001</v>
      </c>
      <c r="AW3" s="2330">
        <v>0.32200000000000001</v>
      </c>
      <c r="AX3" s="2330">
        <v>0.32200000000000001</v>
      </c>
      <c r="AY3" s="2330">
        <v>0.35</v>
      </c>
      <c r="AZ3" s="2330">
        <v>0.35</v>
      </c>
      <c r="BA3" s="2330">
        <v>0.35</v>
      </c>
      <c r="BB3" s="2330">
        <v>0.28199999999999997</v>
      </c>
      <c r="BC3" s="2330">
        <v>0.28199999999999997</v>
      </c>
      <c r="BD3" s="2330">
        <v>0.28000000000000003</v>
      </c>
      <c r="BE3" s="2330">
        <v>0.73</v>
      </c>
      <c r="BF3" s="2330">
        <v>0.73</v>
      </c>
      <c r="BG3" s="2330">
        <v>0.73</v>
      </c>
      <c r="BH3" s="2330">
        <v>1.02</v>
      </c>
      <c r="BI3" s="2330">
        <v>1.02</v>
      </c>
      <c r="BJ3" s="2330">
        <v>1.02</v>
      </c>
      <c r="BK3" s="2330">
        <v>0.7</v>
      </c>
      <c r="BL3" s="2330">
        <v>0.5</v>
      </c>
      <c r="BM3" s="2330">
        <v>0.7</v>
      </c>
      <c r="BN3" s="2330">
        <v>1.45</v>
      </c>
      <c r="BO3" s="2330">
        <v>0.5</v>
      </c>
      <c r="BP3" s="2330">
        <v>1.45</v>
      </c>
      <c r="BQ3" s="327"/>
      <c r="BR3" s="139">
        <v>1.2</v>
      </c>
      <c r="BS3" s="139">
        <v>1.2</v>
      </c>
      <c r="BT3" s="139">
        <v>1.2</v>
      </c>
      <c r="BU3" s="139"/>
      <c r="BV3" s="139"/>
      <c r="BW3" s="139"/>
      <c r="BX3" s="139"/>
      <c r="BY3" s="139"/>
      <c r="BZ3" s="139"/>
      <c r="CA3" s="139"/>
      <c r="CB3" s="139"/>
      <c r="CC3" s="139"/>
      <c r="CD3" s="139">
        <v>0.25</v>
      </c>
      <c r="CE3" s="139">
        <v>0.25</v>
      </c>
      <c r="CF3" s="139">
        <v>0.25</v>
      </c>
      <c r="CG3" s="139"/>
      <c r="CH3" s="139"/>
      <c r="CI3" s="139"/>
      <c r="CJ3" s="139"/>
      <c r="CK3" s="139"/>
      <c r="CL3" s="139"/>
      <c r="CM3" s="139">
        <v>0.25</v>
      </c>
      <c r="CN3" s="139">
        <v>0.25</v>
      </c>
      <c r="CO3" s="139">
        <v>0.25</v>
      </c>
      <c r="CP3" s="2330">
        <v>0.75</v>
      </c>
      <c r="CQ3" s="2330">
        <v>0.75</v>
      </c>
      <c r="CR3" s="2330">
        <v>0.75</v>
      </c>
      <c r="CS3" s="2330">
        <v>0.75</v>
      </c>
      <c r="CT3" s="2330">
        <v>1.8</v>
      </c>
      <c r="CU3" s="2330">
        <v>1.8</v>
      </c>
      <c r="CV3" s="2330">
        <v>0.35</v>
      </c>
      <c r="CW3" s="2330">
        <v>0.35</v>
      </c>
      <c r="CX3" s="2330">
        <v>0.35</v>
      </c>
      <c r="CY3" s="2330">
        <v>0.35</v>
      </c>
      <c r="CZ3" s="2330" t="s">
        <v>764</v>
      </c>
      <c r="DA3" s="2331" t="s">
        <v>764</v>
      </c>
      <c r="DG3" s="1016"/>
      <c r="DH3" s="1016"/>
      <c r="DI3" s="1016" t="s">
        <v>3116</v>
      </c>
      <c r="DJ3" s="1016" t="s">
        <v>3117</v>
      </c>
      <c r="DK3" s="1016" t="s">
        <v>3117</v>
      </c>
      <c r="DL3" s="1016" t="s">
        <v>3118</v>
      </c>
      <c r="DM3" s="1016"/>
      <c r="DN3" s="1016"/>
      <c r="DO3" s="1016"/>
      <c r="DP3" s="1016"/>
      <c r="DQ3" s="1016"/>
    </row>
    <row r="4" spans="1:121" s="129" customFormat="1" ht="59.25" customHeight="1" x14ac:dyDescent="0.25">
      <c r="A4" s="147" t="s">
        <v>713</v>
      </c>
      <c r="B4" s="151" t="s">
        <v>709</v>
      </c>
      <c r="C4" s="132" t="s">
        <v>710</v>
      </c>
      <c r="D4" s="132" t="s">
        <v>711</v>
      </c>
      <c r="E4" s="132" t="s">
        <v>714</v>
      </c>
      <c r="F4" s="132" t="s">
        <v>714</v>
      </c>
      <c r="G4" s="132" t="s">
        <v>715</v>
      </c>
      <c r="H4" s="132" t="s">
        <v>716</v>
      </c>
      <c r="I4" s="132" t="s">
        <v>716</v>
      </c>
      <c r="J4" s="132" t="s">
        <v>716</v>
      </c>
      <c r="K4" s="132" t="s">
        <v>717</v>
      </c>
      <c r="L4" s="132" t="s">
        <v>717</v>
      </c>
      <c r="M4" s="132" t="s">
        <v>717</v>
      </c>
      <c r="N4" s="132" t="s">
        <v>718</v>
      </c>
      <c r="O4" s="132" t="s">
        <v>718</v>
      </c>
      <c r="P4" s="132" t="s">
        <v>718</v>
      </c>
      <c r="Q4" s="132" t="s">
        <v>719</v>
      </c>
      <c r="R4" s="132" t="s">
        <v>719</v>
      </c>
      <c r="S4" s="132" t="s">
        <v>719</v>
      </c>
      <c r="T4" s="132" t="s">
        <v>720</v>
      </c>
      <c r="U4" s="132" t="s">
        <v>720</v>
      </c>
      <c r="V4" s="132" t="s">
        <v>720</v>
      </c>
      <c r="W4" s="327"/>
      <c r="X4" s="821">
        <v>0.27</v>
      </c>
      <c r="Y4" s="821">
        <v>0.22</v>
      </c>
      <c r="Z4" s="821">
        <v>1.24</v>
      </c>
      <c r="AA4" s="821">
        <v>0.23</v>
      </c>
      <c r="AB4" s="821">
        <v>0.23</v>
      </c>
      <c r="AC4" s="821">
        <v>0.65</v>
      </c>
      <c r="AD4" s="821">
        <v>0.15</v>
      </c>
      <c r="AE4" s="821">
        <v>0.15</v>
      </c>
      <c r="AF4" s="821">
        <v>0.46</v>
      </c>
      <c r="AG4" s="821">
        <v>3.29</v>
      </c>
      <c r="AH4" s="821">
        <v>0.86</v>
      </c>
      <c r="AI4" s="821">
        <v>3.29</v>
      </c>
      <c r="AJ4" s="821">
        <v>0.53</v>
      </c>
      <c r="AK4" s="821">
        <v>0.53</v>
      </c>
      <c r="AL4" s="821">
        <v>2</v>
      </c>
      <c r="AM4" s="821">
        <v>0.7</v>
      </c>
      <c r="AN4" s="821">
        <v>0.7</v>
      </c>
      <c r="AO4" s="821">
        <v>2</v>
      </c>
      <c r="AP4" s="821">
        <v>0.51</v>
      </c>
      <c r="AQ4" s="821">
        <v>0.51</v>
      </c>
      <c r="AR4" s="821">
        <v>1.66</v>
      </c>
      <c r="AS4" s="821">
        <v>6.47</v>
      </c>
      <c r="AT4" s="821">
        <v>6.47</v>
      </c>
      <c r="AU4" s="821">
        <v>6.47</v>
      </c>
      <c r="AV4" s="821">
        <v>1.83</v>
      </c>
      <c r="AW4" s="821">
        <v>1.83</v>
      </c>
      <c r="AX4" s="821">
        <v>1.83</v>
      </c>
      <c r="AY4" s="821">
        <v>1.99</v>
      </c>
      <c r="AZ4" s="821">
        <v>1.99</v>
      </c>
      <c r="BA4" s="821">
        <v>1.99</v>
      </c>
      <c r="BB4" s="821">
        <v>1.6</v>
      </c>
      <c r="BC4" s="821">
        <v>1.6</v>
      </c>
      <c r="BD4" s="821">
        <v>1.59</v>
      </c>
      <c r="BE4" s="821">
        <v>1.26</v>
      </c>
      <c r="BF4" s="821">
        <v>1.26</v>
      </c>
      <c r="BG4" s="821">
        <v>1.26</v>
      </c>
      <c r="BH4" s="821">
        <v>1.77</v>
      </c>
      <c r="BI4" s="821">
        <v>1.77</v>
      </c>
      <c r="BJ4" s="821">
        <v>1.77</v>
      </c>
      <c r="BK4" s="821">
        <v>3.97</v>
      </c>
      <c r="BL4" s="821">
        <v>2.84</v>
      </c>
      <c r="BM4" s="821">
        <v>3.97</v>
      </c>
      <c r="BN4" s="821">
        <v>8.23</v>
      </c>
      <c r="BO4" s="821">
        <v>2.84</v>
      </c>
      <c r="BP4" s="821">
        <v>8.23</v>
      </c>
      <c r="BQ4" s="327"/>
      <c r="BR4" s="132">
        <v>6.81</v>
      </c>
      <c r="BS4" s="132">
        <v>6.81</v>
      </c>
      <c r="BT4" s="132">
        <v>6.81</v>
      </c>
      <c r="BU4" s="132"/>
      <c r="BV4" s="132"/>
      <c r="BW4" s="132"/>
      <c r="BX4" s="132"/>
      <c r="BY4" s="132"/>
      <c r="BZ4" s="132"/>
      <c r="CA4" s="132"/>
      <c r="CB4" s="132"/>
      <c r="CC4" s="132"/>
      <c r="CD4" s="132">
        <v>0.25</v>
      </c>
      <c r="CE4" s="132">
        <v>0.25</v>
      </c>
      <c r="CF4" s="132">
        <v>0.25</v>
      </c>
      <c r="CG4" s="132"/>
      <c r="CH4" s="132"/>
      <c r="CI4" s="132"/>
      <c r="CJ4" s="132"/>
      <c r="CK4" s="132"/>
      <c r="CL4" s="132"/>
      <c r="CM4" s="132">
        <v>0.25</v>
      </c>
      <c r="CN4" s="132">
        <v>0.25</v>
      </c>
      <c r="CO4" s="132">
        <v>0.25</v>
      </c>
      <c r="CP4" s="821">
        <v>4.26</v>
      </c>
      <c r="CQ4" s="821">
        <v>4.26</v>
      </c>
      <c r="CR4" s="821">
        <v>4.26</v>
      </c>
      <c r="CS4" s="821">
        <v>4.26</v>
      </c>
      <c r="CT4" s="821">
        <v>10.220000000000001</v>
      </c>
      <c r="CU4" s="821">
        <v>10.220000000000001</v>
      </c>
      <c r="CV4" s="821">
        <v>0.35</v>
      </c>
      <c r="CW4" s="821">
        <v>0.35</v>
      </c>
      <c r="CX4" s="821">
        <v>0.35</v>
      </c>
      <c r="CY4" s="821">
        <v>0.35</v>
      </c>
      <c r="CZ4" s="821" t="s">
        <v>764</v>
      </c>
      <c r="DA4" s="822" t="s">
        <v>764</v>
      </c>
      <c r="DG4" s="1016"/>
      <c r="DH4" s="1016"/>
      <c r="DI4" s="1016" t="s">
        <v>3119</v>
      </c>
      <c r="DJ4" s="1016" t="s">
        <v>3120</v>
      </c>
      <c r="DK4" s="1016" t="s">
        <v>3120</v>
      </c>
      <c r="DL4" s="1016" t="s">
        <v>3121</v>
      </c>
      <c r="DM4" s="1016"/>
      <c r="DN4" s="1016"/>
      <c r="DO4" s="1016"/>
      <c r="DP4" s="1016"/>
      <c r="DQ4" s="1016"/>
    </row>
    <row r="5" spans="1:121" s="129" customFormat="1" ht="45.6" x14ac:dyDescent="0.25">
      <c r="A5" s="148" t="s">
        <v>765</v>
      </c>
      <c r="B5" s="152" t="s">
        <v>190</v>
      </c>
      <c r="C5" s="142" t="s">
        <v>191</v>
      </c>
      <c r="D5" s="142" t="s">
        <v>192</v>
      </c>
      <c r="E5" s="142" t="s">
        <v>196</v>
      </c>
      <c r="F5" s="142" t="s">
        <v>196</v>
      </c>
      <c r="G5" s="142" t="s">
        <v>197</v>
      </c>
      <c r="H5" s="142" t="s">
        <v>202</v>
      </c>
      <c r="I5" s="142" t="s">
        <v>202</v>
      </c>
      <c r="J5" s="142" t="s">
        <v>202</v>
      </c>
      <c r="K5" s="142" t="s">
        <v>179</v>
      </c>
      <c r="L5" s="142" t="s">
        <v>179</v>
      </c>
      <c r="M5" s="142" t="s">
        <v>179</v>
      </c>
      <c r="N5" s="142" t="s">
        <v>184</v>
      </c>
      <c r="O5" s="142" t="s">
        <v>184</v>
      </c>
      <c r="P5" s="142" t="s">
        <v>184</v>
      </c>
      <c r="Q5" s="142" t="s">
        <v>187</v>
      </c>
      <c r="R5" s="142" t="s">
        <v>187</v>
      </c>
      <c r="S5" s="142" t="s">
        <v>187</v>
      </c>
      <c r="T5" s="142" t="s">
        <v>188</v>
      </c>
      <c r="U5" s="142" t="s">
        <v>188</v>
      </c>
      <c r="V5" s="142" t="s">
        <v>188</v>
      </c>
      <c r="W5" s="327"/>
      <c r="X5" s="817">
        <v>4.8000000000000001E-2</v>
      </c>
      <c r="Y5" s="817">
        <v>3.9E-2</v>
      </c>
      <c r="Z5" s="817">
        <v>0.218</v>
      </c>
      <c r="AA5" s="817">
        <v>4.1000000000000002E-2</v>
      </c>
      <c r="AB5" s="817">
        <v>4.1000000000000002E-2</v>
      </c>
      <c r="AC5" s="817">
        <v>0.115</v>
      </c>
      <c r="AD5" s="817">
        <v>2.7E-2</v>
      </c>
      <c r="AE5" s="817">
        <v>2.7E-2</v>
      </c>
      <c r="AF5" s="817">
        <v>8.1000000000000003E-2</v>
      </c>
      <c r="AG5" s="817">
        <v>0.57999999999999996</v>
      </c>
      <c r="AH5" s="817">
        <v>0.151</v>
      </c>
      <c r="AI5" s="817">
        <v>0.57999999999999996</v>
      </c>
      <c r="AJ5" s="817">
        <v>9.4E-2</v>
      </c>
      <c r="AK5" s="817">
        <v>9.4E-2</v>
      </c>
      <c r="AL5" s="817">
        <v>0.35199999999999998</v>
      </c>
      <c r="AM5" s="817">
        <v>0.124</v>
      </c>
      <c r="AN5" s="817">
        <v>0.124</v>
      </c>
      <c r="AO5" s="817">
        <v>0.35199999999999998</v>
      </c>
      <c r="AP5" s="817">
        <v>8.8999999999999996E-2</v>
      </c>
      <c r="AQ5" s="817">
        <v>8.8999999999999996E-2</v>
      </c>
      <c r="AR5" s="817">
        <v>0.29199999999999998</v>
      </c>
      <c r="AS5" s="817">
        <v>1.1399999999999999</v>
      </c>
      <c r="AT5" s="817">
        <v>1.1399999999999999</v>
      </c>
      <c r="AU5" s="817">
        <v>1.1399999999999999</v>
      </c>
      <c r="AV5" s="817">
        <v>0.32200000000000001</v>
      </c>
      <c r="AW5" s="817">
        <v>0.32200000000000001</v>
      </c>
      <c r="AX5" s="817">
        <v>0.32200000000000001</v>
      </c>
      <c r="AY5" s="817">
        <v>0.35</v>
      </c>
      <c r="AZ5" s="817">
        <v>0.35</v>
      </c>
      <c r="BA5" s="817">
        <v>0.35</v>
      </c>
      <c r="BB5" s="817">
        <v>0.28199999999999997</v>
      </c>
      <c r="BC5" s="817">
        <v>0.28199999999999997</v>
      </c>
      <c r="BD5" s="817">
        <v>0.28000000000000003</v>
      </c>
      <c r="BE5" s="817">
        <v>0.73</v>
      </c>
      <c r="BF5" s="817">
        <v>0.73</v>
      </c>
      <c r="BG5" s="817">
        <v>0.73</v>
      </c>
      <c r="BH5" s="817">
        <v>1.02</v>
      </c>
      <c r="BI5" s="817">
        <v>1.02</v>
      </c>
      <c r="BJ5" s="817">
        <v>1.02</v>
      </c>
      <c r="BK5" s="817">
        <v>0.7</v>
      </c>
      <c r="BL5" s="817">
        <v>0.5</v>
      </c>
      <c r="BM5" s="817">
        <v>0.7</v>
      </c>
      <c r="BN5" s="817">
        <v>1.45</v>
      </c>
      <c r="BO5" s="817">
        <v>0.5</v>
      </c>
      <c r="BP5" s="817">
        <v>1.45</v>
      </c>
      <c r="BQ5" s="327"/>
      <c r="BR5" s="142">
        <v>1.2</v>
      </c>
      <c r="BS5" s="142">
        <v>1.2</v>
      </c>
      <c r="BT5" s="142">
        <v>1.2</v>
      </c>
      <c r="BU5" s="142"/>
      <c r="BV5" s="142"/>
      <c r="BW5" s="142"/>
      <c r="BX5" s="142"/>
      <c r="BY5" s="142"/>
      <c r="BZ5" s="142"/>
      <c r="CA5" s="142"/>
      <c r="CB5" s="142"/>
      <c r="CC5" s="142"/>
      <c r="CD5" s="142">
        <v>0.25</v>
      </c>
      <c r="CE5" s="142">
        <v>0.25</v>
      </c>
      <c r="CF5" s="142">
        <v>0.25</v>
      </c>
      <c r="CG5" s="142"/>
      <c r="CH5" s="142"/>
      <c r="CI5" s="142"/>
      <c r="CJ5" s="142"/>
      <c r="CK5" s="142"/>
      <c r="CL5" s="142"/>
      <c r="CM5" s="142">
        <v>0.25</v>
      </c>
      <c r="CN5" s="142">
        <v>0.25</v>
      </c>
      <c r="CO5" s="142">
        <v>0.25</v>
      </c>
      <c r="CP5" s="817">
        <v>0.75</v>
      </c>
      <c r="CQ5" s="817">
        <v>0.75</v>
      </c>
      <c r="CR5" s="817">
        <v>0.75</v>
      </c>
      <c r="CS5" s="817">
        <v>0.75</v>
      </c>
      <c r="CT5" s="817">
        <v>1.8</v>
      </c>
      <c r="CU5" s="817">
        <v>1.8</v>
      </c>
      <c r="CV5" s="817">
        <v>0.35</v>
      </c>
      <c r="CW5" s="817">
        <v>0.35</v>
      </c>
      <c r="CX5" s="817">
        <v>0.35</v>
      </c>
      <c r="CY5" s="817">
        <v>0.35</v>
      </c>
      <c r="CZ5" s="817" t="s">
        <v>764</v>
      </c>
      <c r="DA5" s="818" t="s">
        <v>764</v>
      </c>
      <c r="DG5" s="1016"/>
      <c r="DH5" s="1016"/>
      <c r="DI5" s="1016" t="s">
        <v>3122</v>
      </c>
      <c r="DJ5" s="1016" t="s">
        <v>3123</v>
      </c>
      <c r="DK5" s="1016" t="s">
        <v>3123</v>
      </c>
      <c r="DL5" s="1016" t="s">
        <v>3124</v>
      </c>
      <c r="DM5" s="1016"/>
      <c r="DN5" s="1016"/>
      <c r="DO5" s="1016"/>
      <c r="DP5" s="1016"/>
      <c r="DQ5" s="1016"/>
    </row>
    <row r="6" spans="1:121" s="129" customFormat="1" ht="67.5" customHeight="1" x14ac:dyDescent="0.25">
      <c r="A6" s="147" t="s">
        <v>798</v>
      </c>
      <c r="B6" s="151" t="s">
        <v>709</v>
      </c>
      <c r="C6" s="132" t="s">
        <v>710</v>
      </c>
      <c r="D6" s="132" t="s">
        <v>711</v>
      </c>
      <c r="E6" s="132" t="s">
        <v>714</v>
      </c>
      <c r="F6" s="132" t="s">
        <v>714</v>
      </c>
      <c r="G6" s="132" t="s">
        <v>715</v>
      </c>
      <c r="H6" s="132" t="s">
        <v>716</v>
      </c>
      <c r="I6" s="132" t="s">
        <v>716</v>
      </c>
      <c r="J6" s="132" t="s">
        <v>716</v>
      </c>
      <c r="K6" s="132" t="s">
        <v>717</v>
      </c>
      <c r="L6" s="132" t="s">
        <v>717</v>
      </c>
      <c r="M6" s="132" t="s">
        <v>717</v>
      </c>
      <c r="N6" s="132" t="s">
        <v>718</v>
      </c>
      <c r="O6" s="132" t="s">
        <v>718</v>
      </c>
      <c r="P6" s="132" t="s">
        <v>718</v>
      </c>
      <c r="Q6" s="132" t="s">
        <v>719</v>
      </c>
      <c r="R6" s="132" t="s">
        <v>719</v>
      </c>
      <c r="S6" s="132" t="s">
        <v>719</v>
      </c>
      <c r="T6" s="132" t="s">
        <v>720</v>
      </c>
      <c r="U6" s="132" t="s">
        <v>720</v>
      </c>
      <c r="V6" s="132" t="s">
        <v>720</v>
      </c>
      <c r="W6" s="327"/>
      <c r="X6" s="821">
        <v>0.27</v>
      </c>
      <c r="Y6" s="821">
        <v>0.22</v>
      </c>
      <c r="Z6" s="821">
        <v>1.24</v>
      </c>
      <c r="AA6" s="821">
        <v>0.23</v>
      </c>
      <c r="AB6" s="821">
        <v>0.23</v>
      </c>
      <c r="AC6" s="821">
        <v>0.65</v>
      </c>
      <c r="AD6" s="821">
        <v>0.15</v>
      </c>
      <c r="AE6" s="821">
        <v>0.15</v>
      </c>
      <c r="AF6" s="821">
        <v>0.46</v>
      </c>
      <c r="AG6" s="821">
        <v>3.29</v>
      </c>
      <c r="AH6" s="821">
        <v>0.86</v>
      </c>
      <c r="AI6" s="821">
        <v>3.29</v>
      </c>
      <c r="AJ6" s="821">
        <v>0.53</v>
      </c>
      <c r="AK6" s="821">
        <v>0.53</v>
      </c>
      <c r="AL6" s="821">
        <v>2</v>
      </c>
      <c r="AM6" s="821">
        <v>0.7</v>
      </c>
      <c r="AN6" s="821">
        <v>0.7</v>
      </c>
      <c r="AO6" s="821">
        <v>2</v>
      </c>
      <c r="AP6" s="821">
        <v>0.51</v>
      </c>
      <c r="AQ6" s="821">
        <v>0.51</v>
      </c>
      <c r="AR6" s="821">
        <v>1.66</v>
      </c>
      <c r="AS6" s="821">
        <v>6.47</v>
      </c>
      <c r="AT6" s="821">
        <v>6.47</v>
      </c>
      <c r="AU6" s="821">
        <v>6.47</v>
      </c>
      <c r="AV6" s="821">
        <v>1.83</v>
      </c>
      <c r="AW6" s="821">
        <v>1.83</v>
      </c>
      <c r="AX6" s="821">
        <v>1.83</v>
      </c>
      <c r="AY6" s="821">
        <v>1.99</v>
      </c>
      <c r="AZ6" s="821">
        <v>1.99</v>
      </c>
      <c r="BA6" s="821">
        <v>1.99</v>
      </c>
      <c r="BB6" s="821">
        <v>1.6</v>
      </c>
      <c r="BC6" s="821">
        <v>1.6</v>
      </c>
      <c r="BD6" s="821">
        <v>1.59</v>
      </c>
      <c r="BE6" s="821">
        <v>1.26</v>
      </c>
      <c r="BF6" s="821">
        <v>1.26</v>
      </c>
      <c r="BG6" s="821">
        <v>1.26</v>
      </c>
      <c r="BH6" s="821">
        <v>1.77</v>
      </c>
      <c r="BI6" s="821">
        <v>1.77</v>
      </c>
      <c r="BJ6" s="821">
        <v>1.77</v>
      </c>
      <c r="BK6" s="821">
        <v>3.97</v>
      </c>
      <c r="BL6" s="821">
        <v>2.84</v>
      </c>
      <c r="BM6" s="821">
        <v>3.97</v>
      </c>
      <c r="BN6" s="821">
        <v>8.23</v>
      </c>
      <c r="BO6" s="821">
        <v>2.84</v>
      </c>
      <c r="BP6" s="821">
        <v>8.23</v>
      </c>
      <c r="BQ6" s="327"/>
      <c r="BR6" s="132">
        <v>6.81</v>
      </c>
      <c r="BS6" s="132">
        <v>6.81</v>
      </c>
      <c r="BT6" s="132">
        <v>6.81</v>
      </c>
      <c r="BU6" s="132"/>
      <c r="BV6" s="132"/>
      <c r="BW6" s="132"/>
      <c r="BX6" s="132"/>
      <c r="BY6" s="132"/>
      <c r="BZ6" s="132"/>
      <c r="CA6" s="132"/>
      <c r="CB6" s="132"/>
      <c r="CC6" s="132"/>
      <c r="CD6" s="132">
        <v>0.25</v>
      </c>
      <c r="CE6" s="132">
        <v>0.25</v>
      </c>
      <c r="CF6" s="132">
        <v>0.25</v>
      </c>
      <c r="CG6" s="132"/>
      <c r="CH6" s="132"/>
      <c r="CI6" s="132"/>
      <c r="CJ6" s="132"/>
      <c r="CK6" s="132"/>
      <c r="CL6" s="132"/>
      <c r="CM6" s="132">
        <v>0.25</v>
      </c>
      <c r="CN6" s="132">
        <v>0.25</v>
      </c>
      <c r="CO6" s="132">
        <v>0.25</v>
      </c>
      <c r="CP6" s="821">
        <v>4.26</v>
      </c>
      <c r="CQ6" s="821">
        <v>4.26</v>
      </c>
      <c r="CR6" s="821">
        <v>4.26</v>
      </c>
      <c r="CS6" s="821">
        <v>4.26</v>
      </c>
      <c r="CT6" s="821">
        <v>10.220000000000001</v>
      </c>
      <c r="CU6" s="821">
        <v>10.220000000000001</v>
      </c>
      <c r="CV6" s="821">
        <v>0.35</v>
      </c>
      <c r="CW6" s="821">
        <v>0.35</v>
      </c>
      <c r="CX6" s="821">
        <v>0.35</v>
      </c>
      <c r="CY6" s="821">
        <v>0.35</v>
      </c>
      <c r="CZ6" s="821" t="s">
        <v>764</v>
      </c>
      <c r="DA6" s="822" t="s">
        <v>764</v>
      </c>
      <c r="DF6" s="1016"/>
      <c r="DG6" s="1016"/>
      <c r="DH6" s="1016"/>
      <c r="DI6" s="1016" t="s">
        <v>3125</v>
      </c>
      <c r="DJ6" s="1016" t="s">
        <v>3126</v>
      </c>
      <c r="DK6" s="1016" t="s">
        <v>3126</v>
      </c>
      <c r="DL6" s="1016" t="s">
        <v>3127</v>
      </c>
      <c r="DM6" s="1016"/>
      <c r="DN6" s="1016"/>
      <c r="DO6" s="1016"/>
      <c r="DP6" s="1016"/>
      <c r="DQ6" s="1016"/>
    </row>
    <row r="7" spans="1:121" s="129" customFormat="1" ht="45.6" x14ac:dyDescent="0.25">
      <c r="A7" s="148" t="s">
        <v>766</v>
      </c>
      <c r="B7" s="152" t="s">
        <v>191</v>
      </c>
      <c r="C7" s="142" t="s">
        <v>191</v>
      </c>
      <c r="D7" s="142" t="s">
        <v>192</v>
      </c>
      <c r="E7" s="142" t="s">
        <v>196</v>
      </c>
      <c r="F7" s="142" t="s">
        <v>198</v>
      </c>
      <c r="G7" s="142" t="s">
        <v>196</v>
      </c>
      <c r="H7" s="142" t="s">
        <v>202</v>
      </c>
      <c r="I7" s="142" t="s">
        <v>202</v>
      </c>
      <c r="J7" s="142" t="s">
        <v>202</v>
      </c>
      <c r="K7" s="142" t="s">
        <v>180</v>
      </c>
      <c r="L7" s="142" t="s">
        <v>180</v>
      </c>
      <c r="M7" s="142" t="s">
        <v>181</v>
      </c>
      <c r="N7" s="142" t="s">
        <v>184</v>
      </c>
      <c r="O7" s="142" t="s">
        <v>184</v>
      </c>
      <c r="P7" s="142" t="s">
        <v>184</v>
      </c>
      <c r="Q7" s="142" t="s">
        <v>187</v>
      </c>
      <c r="R7" s="142" t="s">
        <v>187</v>
      </c>
      <c r="S7" s="142" t="s">
        <v>187</v>
      </c>
      <c r="T7" s="142" t="s">
        <v>188</v>
      </c>
      <c r="U7" s="142" t="s">
        <v>189</v>
      </c>
      <c r="V7" s="142" t="s">
        <v>188</v>
      </c>
      <c r="W7" s="327"/>
      <c r="X7" s="817">
        <v>3.9E-2</v>
      </c>
      <c r="Y7" s="817">
        <v>3.9E-2</v>
      </c>
      <c r="Z7" s="817">
        <v>0.17299999999999999</v>
      </c>
      <c r="AA7" s="817">
        <v>4.1000000000000002E-2</v>
      </c>
      <c r="AB7" s="817">
        <v>4.1000000000000002E-2</v>
      </c>
      <c r="AC7" s="817">
        <v>9.6000000000000002E-2</v>
      </c>
      <c r="AD7" s="817">
        <v>2.7E-2</v>
      </c>
      <c r="AE7" s="817">
        <v>2.7E-2</v>
      </c>
      <c r="AF7" s="817">
        <v>5.2999999999999999E-2</v>
      </c>
      <c r="AG7" s="817">
        <v>0.151</v>
      </c>
      <c r="AH7" s="817">
        <v>0.123</v>
      </c>
      <c r="AI7" s="817">
        <v>0.57999999999999996</v>
      </c>
      <c r="AJ7" s="817">
        <v>9.4E-2</v>
      </c>
      <c r="AK7" s="817">
        <v>9.4E-2</v>
      </c>
      <c r="AL7" s="817">
        <v>0.16200000000000001</v>
      </c>
      <c r="AM7" s="817">
        <v>8.4000000000000005E-2</v>
      </c>
      <c r="AN7" s="817">
        <v>6.4000000000000001E-2</v>
      </c>
      <c r="AO7" s="817">
        <v>0.124</v>
      </c>
      <c r="AP7" s="817">
        <v>8.8999999999999996E-2</v>
      </c>
      <c r="AQ7" s="817">
        <v>8.8999999999999996E-2</v>
      </c>
      <c r="AR7" s="817">
        <v>8.8999999999999996E-2</v>
      </c>
      <c r="AS7" s="817">
        <v>1.1399999999999999</v>
      </c>
      <c r="AT7" s="817">
        <v>1.1399999999999999</v>
      </c>
      <c r="AU7" s="817">
        <v>1.1399999999999999</v>
      </c>
      <c r="AV7" s="817">
        <v>0.107</v>
      </c>
      <c r="AW7" s="817">
        <v>8.6999999999999994E-2</v>
      </c>
      <c r="AX7" s="817">
        <v>0.32200000000000001</v>
      </c>
      <c r="AY7" s="817">
        <v>3.7999999999999999E-2</v>
      </c>
      <c r="AZ7" s="817">
        <v>3.7999999999999999E-2</v>
      </c>
      <c r="BA7" s="817">
        <v>6.9000000000000006E-2</v>
      </c>
      <c r="BB7" s="817">
        <v>3.3000000000000002E-2</v>
      </c>
      <c r="BC7" s="817">
        <v>3.3000000000000002E-2</v>
      </c>
      <c r="BD7" s="817">
        <v>6.6000000000000003E-2</v>
      </c>
      <c r="BE7" s="817">
        <v>0.73</v>
      </c>
      <c r="BF7" s="817">
        <v>0.73</v>
      </c>
      <c r="BG7" s="817">
        <v>0.73</v>
      </c>
      <c r="BH7" s="817">
        <v>0.9</v>
      </c>
      <c r="BI7" s="817">
        <v>0.86</v>
      </c>
      <c r="BJ7" s="817">
        <v>1.02</v>
      </c>
      <c r="BK7" s="817">
        <v>0.7</v>
      </c>
      <c r="BL7" s="817">
        <v>0.5</v>
      </c>
      <c r="BM7" s="817">
        <v>0.7</v>
      </c>
      <c r="BN7" s="817">
        <v>0.5</v>
      </c>
      <c r="BO7" s="817">
        <v>0.5</v>
      </c>
      <c r="BP7" s="817">
        <v>1.45</v>
      </c>
      <c r="BQ7" s="327"/>
      <c r="BR7" s="142">
        <v>0.75</v>
      </c>
      <c r="BS7" s="142">
        <v>0.7</v>
      </c>
      <c r="BT7" s="142">
        <v>1.1000000000000001</v>
      </c>
      <c r="BU7" s="142"/>
      <c r="BV7" s="142"/>
      <c r="BW7" s="142"/>
      <c r="BX7" s="142"/>
      <c r="BY7" s="142"/>
      <c r="BZ7" s="142"/>
      <c r="CA7" s="142"/>
      <c r="CB7" s="142"/>
      <c r="CC7" s="142"/>
      <c r="CD7" s="142">
        <v>0.25</v>
      </c>
      <c r="CE7" s="142">
        <v>0.25</v>
      </c>
      <c r="CF7" s="142">
        <v>0.25</v>
      </c>
      <c r="CG7" s="142"/>
      <c r="CH7" s="142"/>
      <c r="CI7" s="142"/>
      <c r="CJ7" s="142"/>
      <c r="CK7" s="142"/>
      <c r="CL7" s="142"/>
      <c r="CM7" s="142">
        <v>0.25</v>
      </c>
      <c r="CN7" s="142">
        <v>0.25</v>
      </c>
      <c r="CO7" s="142">
        <v>0.25</v>
      </c>
      <c r="CP7" s="817">
        <v>0.65</v>
      </c>
      <c r="CQ7" s="817">
        <v>0.65</v>
      </c>
      <c r="CR7" s="817">
        <v>0.65</v>
      </c>
      <c r="CS7" s="817">
        <v>0.65</v>
      </c>
      <c r="CT7" s="817">
        <v>1.8</v>
      </c>
      <c r="CU7" s="817">
        <v>1.8</v>
      </c>
      <c r="CV7" s="817">
        <v>0.35</v>
      </c>
      <c r="CW7" s="817">
        <v>0.35</v>
      </c>
      <c r="CX7" s="817">
        <v>0.35</v>
      </c>
      <c r="CY7" s="817">
        <v>0.35</v>
      </c>
      <c r="CZ7" s="817" t="s">
        <v>764</v>
      </c>
      <c r="DA7" s="818" t="s">
        <v>764</v>
      </c>
      <c r="DI7" s="1016" t="s">
        <v>3128</v>
      </c>
      <c r="DJ7" s="1016" t="s">
        <v>3129</v>
      </c>
      <c r="DK7" s="1016" t="s">
        <v>3129</v>
      </c>
      <c r="DL7" s="1016" t="s">
        <v>3118</v>
      </c>
    </row>
    <row r="8" spans="1:121" s="129" customFormat="1" ht="57" x14ac:dyDescent="0.25">
      <c r="A8" s="147" t="s">
        <v>797</v>
      </c>
      <c r="B8" s="151" t="s">
        <v>710</v>
      </c>
      <c r="C8" s="132" t="s">
        <v>710</v>
      </c>
      <c r="D8" s="132" t="s">
        <v>711</v>
      </c>
      <c r="E8" s="132" t="s">
        <v>714</v>
      </c>
      <c r="F8" s="132" t="s">
        <v>731</v>
      </c>
      <c r="G8" s="132" t="s">
        <v>714</v>
      </c>
      <c r="H8" s="132" t="s">
        <v>716</v>
      </c>
      <c r="I8" s="132" t="s">
        <v>716</v>
      </c>
      <c r="J8" s="132" t="s">
        <v>716</v>
      </c>
      <c r="K8" s="132" t="s">
        <v>732</v>
      </c>
      <c r="L8" s="132" t="s">
        <v>732</v>
      </c>
      <c r="M8" s="132" t="s">
        <v>733</v>
      </c>
      <c r="N8" s="132" t="s">
        <v>718</v>
      </c>
      <c r="O8" s="132" t="s">
        <v>718</v>
      </c>
      <c r="P8" s="132" t="s">
        <v>718</v>
      </c>
      <c r="Q8" s="132" t="s">
        <v>719</v>
      </c>
      <c r="R8" s="132" t="s">
        <v>719</v>
      </c>
      <c r="S8" s="132" t="s">
        <v>719</v>
      </c>
      <c r="T8" s="132" t="s">
        <v>720</v>
      </c>
      <c r="U8" s="132" t="s">
        <v>734</v>
      </c>
      <c r="V8" s="132" t="s">
        <v>720</v>
      </c>
      <c r="W8" s="327"/>
      <c r="X8" s="821">
        <v>0.22</v>
      </c>
      <c r="Y8" s="821">
        <v>0.22</v>
      </c>
      <c r="Z8" s="821">
        <v>0.98</v>
      </c>
      <c r="AA8" s="821">
        <v>0.23</v>
      </c>
      <c r="AB8" s="821">
        <v>0.23</v>
      </c>
      <c r="AC8" s="821">
        <v>0.55000000000000004</v>
      </c>
      <c r="AD8" s="821">
        <v>0.15</v>
      </c>
      <c r="AE8" s="821">
        <v>0.15</v>
      </c>
      <c r="AF8" s="821">
        <v>0.3</v>
      </c>
      <c r="AG8" s="821">
        <v>0.86</v>
      </c>
      <c r="AH8" s="821">
        <v>0.7</v>
      </c>
      <c r="AI8" s="821">
        <v>3.29</v>
      </c>
      <c r="AJ8" s="821">
        <v>0.53</v>
      </c>
      <c r="AK8" s="821">
        <v>0.53</v>
      </c>
      <c r="AL8" s="821">
        <v>0.92</v>
      </c>
      <c r="AM8" s="821">
        <v>0.48</v>
      </c>
      <c r="AN8" s="821">
        <v>0.36</v>
      </c>
      <c r="AO8" s="821">
        <v>0.7</v>
      </c>
      <c r="AP8" s="821">
        <v>0.51</v>
      </c>
      <c r="AQ8" s="821">
        <v>0.51</v>
      </c>
      <c r="AR8" s="821">
        <v>0.51</v>
      </c>
      <c r="AS8" s="821">
        <v>6.47</v>
      </c>
      <c r="AT8" s="821">
        <v>6.47</v>
      </c>
      <c r="AU8" s="821">
        <v>6.47</v>
      </c>
      <c r="AV8" s="821">
        <v>0.61</v>
      </c>
      <c r="AW8" s="821">
        <v>0.49</v>
      </c>
      <c r="AX8" s="821">
        <v>1.83</v>
      </c>
      <c r="AY8" s="821">
        <v>0.22</v>
      </c>
      <c r="AZ8" s="821">
        <v>0.22</v>
      </c>
      <c r="BA8" s="821">
        <v>0.39</v>
      </c>
      <c r="BB8" s="821">
        <v>0.19</v>
      </c>
      <c r="BC8" s="821">
        <v>0.19</v>
      </c>
      <c r="BD8" s="821">
        <v>0.37</v>
      </c>
      <c r="BE8" s="821">
        <v>1.26</v>
      </c>
      <c r="BF8" s="821">
        <v>1.26</v>
      </c>
      <c r="BG8" s="821">
        <v>1.26</v>
      </c>
      <c r="BH8" s="821">
        <v>1.56</v>
      </c>
      <c r="BI8" s="821">
        <v>1.49</v>
      </c>
      <c r="BJ8" s="821">
        <v>1.77</v>
      </c>
      <c r="BK8" s="821">
        <v>3.97</v>
      </c>
      <c r="BL8" s="821">
        <v>2.84</v>
      </c>
      <c r="BM8" s="821">
        <v>3.97</v>
      </c>
      <c r="BN8" s="821">
        <v>2.84</v>
      </c>
      <c r="BO8" s="821">
        <v>2.84</v>
      </c>
      <c r="BP8" s="821">
        <v>8.23</v>
      </c>
      <c r="BQ8" s="327"/>
      <c r="BR8" s="132">
        <v>4.26</v>
      </c>
      <c r="BS8" s="132">
        <v>3.97</v>
      </c>
      <c r="BT8" s="132">
        <v>6.25</v>
      </c>
      <c r="BU8" s="132"/>
      <c r="BV8" s="132"/>
      <c r="BW8" s="132"/>
      <c r="BX8" s="132"/>
      <c r="BY8" s="132"/>
      <c r="BZ8" s="132"/>
      <c r="CA8" s="132"/>
      <c r="CB8" s="132"/>
      <c r="CC8" s="132"/>
      <c r="CD8" s="132">
        <v>0.25</v>
      </c>
      <c r="CE8" s="132">
        <v>0.25</v>
      </c>
      <c r="CF8" s="132">
        <v>0.25</v>
      </c>
      <c r="CG8" s="132"/>
      <c r="CH8" s="132"/>
      <c r="CI8" s="132"/>
      <c r="CJ8" s="132"/>
      <c r="CK8" s="132"/>
      <c r="CL8" s="132"/>
      <c r="CM8" s="132">
        <v>0.25</v>
      </c>
      <c r="CN8" s="132">
        <v>0.25</v>
      </c>
      <c r="CO8" s="132">
        <v>0.25</v>
      </c>
      <c r="CP8" s="821">
        <v>3.69</v>
      </c>
      <c r="CQ8" s="821">
        <v>3.69</v>
      </c>
      <c r="CR8" s="821">
        <v>3.69</v>
      </c>
      <c r="CS8" s="821">
        <v>3.69</v>
      </c>
      <c r="CT8" s="821">
        <v>10.220000000000001</v>
      </c>
      <c r="CU8" s="821">
        <v>10.220000000000001</v>
      </c>
      <c r="CV8" s="821">
        <v>0.35</v>
      </c>
      <c r="CW8" s="821">
        <v>0.35</v>
      </c>
      <c r="CX8" s="821">
        <v>0.35</v>
      </c>
      <c r="CY8" s="821">
        <v>0.35</v>
      </c>
      <c r="CZ8" s="821" t="s">
        <v>764</v>
      </c>
      <c r="DA8" s="822" t="s">
        <v>764</v>
      </c>
      <c r="DI8" s="1016" t="s">
        <v>3130</v>
      </c>
      <c r="DJ8" s="1016" t="s">
        <v>3120</v>
      </c>
      <c r="DK8" s="1016" t="s">
        <v>3120</v>
      </c>
      <c r="DL8" s="1016" t="s">
        <v>3121</v>
      </c>
    </row>
    <row r="9" spans="1:121" s="129" customFormat="1" ht="45.6" x14ac:dyDescent="0.25">
      <c r="A9" s="148" t="s">
        <v>767</v>
      </c>
      <c r="B9" s="152" t="s">
        <v>191</v>
      </c>
      <c r="C9" s="142" t="s">
        <v>191</v>
      </c>
      <c r="D9" s="142" t="s">
        <v>192</v>
      </c>
      <c r="E9" s="142" t="s">
        <v>196</v>
      </c>
      <c r="F9" s="142" t="s">
        <v>198</v>
      </c>
      <c r="G9" s="142" t="s">
        <v>196</v>
      </c>
      <c r="H9" s="142" t="s">
        <v>202</v>
      </c>
      <c r="I9" s="142" t="s">
        <v>202</v>
      </c>
      <c r="J9" s="142" t="s">
        <v>202</v>
      </c>
      <c r="K9" s="142" t="s">
        <v>180</v>
      </c>
      <c r="L9" s="142" t="s">
        <v>180</v>
      </c>
      <c r="M9" s="142" t="s">
        <v>181</v>
      </c>
      <c r="N9" s="142" t="s">
        <v>184</v>
      </c>
      <c r="O9" s="142" t="s">
        <v>184</v>
      </c>
      <c r="P9" s="142" t="s">
        <v>184</v>
      </c>
      <c r="Q9" s="142" t="s">
        <v>187</v>
      </c>
      <c r="R9" s="142" t="s">
        <v>187</v>
      </c>
      <c r="S9" s="142" t="s">
        <v>187</v>
      </c>
      <c r="T9" s="142" t="s">
        <v>188</v>
      </c>
      <c r="U9" s="142" t="s">
        <v>189</v>
      </c>
      <c r="V9" s="142" t="s">
        <v>188</v>
      </c>
      <c r="W9" s="327"/>
      <c r="X9" s="817">
        <v>3.9E-2</v>
      </c>
      <c r="Y9" s="817">
        <v>3.9E-2</v>
      </c>
      <c r="Z9" s="817">
        <v>0.17299999999999999</v>
      </c>
      <c r="AA9" s="817">
        <v>4.1000000000000002E-2</v>
      </c>
      <c r="AB9" s="817">
        <v>4.1000000000000002E-2</v>
      </c>
      <c r="AC9" s="817">
        <v>9.6000000000000002E-2</v>
      </c>
      <c r="AD9" s="817">
        <v>2.7E-2</v>
      </c>
      <c r="AE9" s="817">
        <v>2.7E-2</v>
      </c>
      <c r="AF9" s="817">
        <v>5.2999999999999999E-2</v>
      </c>
      <c r="AG9" s="817">
        <v>0.151</v>
      </c>
      <c r="AH9" s="817">
        <v>0.123</v>
      </c>
      <c r="AI9" s="817">
        <v>0.57999999999999996</v>
      </c>
      <c r="AJ9" s="817">
        <v>9.4E-2</v>
      </c>
      <c r="AK9" s="817">
        <v>9.4E-2</v>
      </c>
      <c r="AL9" s="817">
        <v>0.16200000000000001</v>
      </c>
      <c r="AM9" s="817">
        <v>8.4000000000000005E-2</v>
      </c>
      <c r="AN9" s="817">
        <v>6.4000000000000001E-2</v>
      </c>
      <c r="AO9" s="817">
        <v>0.124</v>
      </c>
      <c r="AP9" s="817">
        <v>8.8999999999999996E-2</v>
      </c>
      <c r="AQ9" s="817">
        <v>8.8999999999999996E-2</v>
      </c>
      <c r="AR9" s="817">
        <v>8.8999999999999996E-2</v>
      </c>
      <c r="AS9" s="817">
        <v>1.1399999999999999</v>
      </c>
      <c r="AT9" s="817">
        <v>1.1399999999999999</v>
      </c>
      <c r="AU9" s="817">
        <v>1.1399999999999999</v>
      </c>
      <c r="AV9" s="817">
        <v>0.107</v>
      </c>
      <c r="AW9" s="817">
        <v>8.6999999999999994E-2</v>
      </c>
      <c r="AX9" s="817">
        <v>0.32200000000000001</v>
      </c>
      <c r="AY9" s="817">
        <v>3.7999999999999999E-2</v>
      </c>
      <c r="AZ9" s="817">
        <v>3.7999999999999999E-2</v>
      </c>
      <c r="BA9" s="817">
        <v>6.9000000000000006E-2</v>
      </c>
      <c r="BB9" s="817">
        <v>3.3000000000000002E-2</v>
      </c>
      <c r="BC9" s="817">
        <v>3.3000000000000002E-2</v>
      </c>
      <c r="BD9" s="817">
        <v>6.6000000000000003E-2</v>
      </c>
      <c r="BE9" s="817">
        <v>0.73</v>
      </c>
      <c r="BF9" s="817">
        <v>0.73</v>
      </c>
      <c r="BG9" s="817">
        <v>0.73</v>
      </c>
      <c r="BH9" s="817">
        <v>0.9</v>
      </c>
      <c r="BI9" s="817">
        <v>0.86</v>
      </c>
      <c r="BJ9" s="817">
        <v>1.02</v>
      </c>
      <c r="BK9" s="817">
        <v>0.7</v>
      </c>
      <c r="BL9" s="817">
        <v>0.5</v>
      </c>
      <c r="BM9" s="817">
        <v>0.7</v>
      </c>
      <c r="BN9" s="817">
        <v>0.5</v>
      </c>
      <c r="BO9" s="817">
        <v>0.5</v>
      </c>
      <c r="BP9" s="817">
        <v>1.45</v>
      </c>
      <c r="BQ9" s="327"/>
      <c r="BR9" s="142">
        <v>0.75</v>
      </c>
      <c r="BS9" s="142">
        <v>0.7</v>
      </c>
      <c r="BT9" s="142">
        <v>1.1000000000000001</v>
      </c>
      <c r="BU9" s="142"/>
      <c r="BV9" s="142"/>
      <c r="BW9" s="142"/>
      <c r="BX9" s="142"/>
      <c r="BY9" s="142"/>
      <c r="BZ9" s="142"/>
      <c r="CA9" s="142"/>
      <c r="CB9" s="142"/>
      <c r="CC9" s="142"/>
      <c r="CD9" s="142">
        <v>0.25</v>
      </c>
      <c r="CE9" s="142">
        <v>0.25</v>
      </c>
      <c r="CF9" s="142">
        <v>0.25</v>
      </c>
      <c r="CG9" s="142"/>
      <c r="CH9" s="142"/>
      <c r="CI9" s="142"/>
      <c r="CJ9" s="142"/>
      <c r="CK9" s="142"/>
      <c r="CL9" s="142"/>
      <c r="CM9" s="142">
        <v>0.25</v>
      </c>
      <c r="CN9" s="142">
        <v>0.25</v>
      </c>
      <c r="CO9" s="142">
        <v>0.25</v>
      </c>
      <c r="CP9" s="817">
        <v>0.65</v>
      </c>
      <c r="CQ9" s="817">
        <v>0.65</v>
      </c>
      <c r="CR9" s="817">
        <v>0.65</v>
      </c>
      <c r="CS9" s="817">
        <v>0.65</v>
      </c>
      <c r="CT9" s="817">
        <v>1.8</v>
      </c>
      <c r="CU9" s="817">
        <v>1.8</v>
      </c>
      <c r="CV9" s="817">
        <v>0.35</v>
      </c>
      <c r="CW9" s="817">
        <v>0.35</v>
      </c>
      <c r="CX9" s="817">
        <v>0.35</v>
      </c>
      <c r="CY9" s="817">
        <v>0.35</v>
      </c>
      <c r="CZ9" s="817" t="s">
        <v>764</v>
      </c>
      <c r="DA9" s="818" t="s">
        <v>764</v>
      </c>
      <c r="DI9" s="1016" t="s">
        <v>3131</v>
      </c>
      <c r="DJ9" s="1016" t="s">
        <v>3123</v>
      </c>
      <c r="DK9" s="1016" t="s">
        <v>3123</v>
      </c>
      <c r="DL9" s="1016" t="s">
        <v>3124</v>
      </c>
    </row>
    <row r="10" spans="1:121" s="129" customFormat="1" ht="57" x14ac:dyDescent="0.25">
      <c r="A10" s="147" t="s">
        <v>796</v>
      </c>
      <c r="B10" s="151" t="s">
        <v>710</v>
      </c>
      <c r="C10" s="132" t="s">
        <v>710</v>
      </c>
      <c r="D10" s="132" t="s">
        <v>711</v>
      </c>
      <c r="E10" s="132" t="s">
        <v>714</v>
      </c>
      <c r="F10" s="132" t="s">
        <v>731</v>
      </c>
      <c r="G10" s="132" t="s">
        <v>714</v>
      </c>
      <c r="H10" s="132" t="s">
        <v>716</v>
      </c>
      <c r="I10" s="132" t="s">
        <v>716</v>
      </c>
      <c r="J10" s="132" t="s">
        <v>716</v>
      </c>
      <c r="K10" s="132" t="s">
        <v>732</v>
      </c>
      <c r="L10" s="132" t="s">
        <v>732</v>
      </c>
      <c r="M10" s="132" t="s">
        <v>733</v>
      </c>
      <c r="N10" s="132" t="s">
        <v>718</v>
      </c>
      <c r="O10" s="132" t="s">
        <v>718</v>
      </c>
      <c r="P10" s="132" t="s">
        <v>718</v>
      </c>
      <c r="Q10" s="132" t="s">
        <v>719</v>
      </c>
      <c r="R10" s="132" t="s">
        <v>719</v>
      </c>
      <c r="S10" s="132" t="s">
        <v>719</v>
      </c>
      <c r="T10" s="132" t="s">
        <v>720</v>
      </c>
      <c r="U10" s="132" t="s">
        <v>734</v>
      </c>
      <c r="V10" s="132" t="s">
        <v>720</v>
      </c>
      <c r="W10" s="327"/>
      <c r="X10" s="821">
        <v>0.22</v>
      </c>
      <c r="Y10" s="821">
        <v>0.22</v>
      </c>
      <c r="Z10" s="821">
        <v>0.98</v>
      </c>
      <c r="AA10" s="821">
        <v>0.23</v>
      </c>
      <c r="AB10" s="821">
        <v>0.23</v>
      </c>
      <c r="AC10" s="821">
        <v>0.55000000000000004</v>
      </c>
      <c r="AD10" s="821">
        <v>0.15</v>
      </c>
      <c r="AE10" s="821">
        <v>0.15</v>
      </c>
      <c r="AF10" s="821">
        <v>0.3</v>
      </c>
      <c r="AG10" s="821">
        <v>0.86</v>
      </c>
      <c r="AH10" s="821">
        <v>0.7</v>
      </c>
      <c r="AI10" s="821">
        <v>3.29</v>
      </c>
      <c r="AJ10" s="821">
        <v>0.53</v>
      </c>
      <c r="AK10" s="821">
        <v>0.53</v>
      </c>
      <c r="AL10" s="821">
        <v>0.92</v>
      </c>
      <c r="AM10" s="821">
        <v>0.48</v>
      </c>
      <c r="AN10" s="821">
        <v>0.36</v>
      </c>
      <c r="AO10" s="821">
        <v>0.7</v>
      </c>
      <c r="AP10" s="821">
        <v>0.51</v>
      </c>
      <c r="AQ10" s="821">
        <v>0.51</v>
      </c>
      <c r="AR10" s="821">
        <v>0.51</v>
      </c>
      <c r="AS10" s="821">
        <v>6.47</v>
      </c>
      <c r="AT10" s="821">
        <v>6.47</v>
      </c>
      <c r="AU10" s="821">
        <v>6.47</v>
      </c>
      <c r="AV10" s="821">
        <v>0.61</v>
      </c>
      <c r="AW10" s="821">
        <v>0.49</v>
      </c>
      <c r="AX10" s="821">
        <v>1.83</v>
      </c>
      <c r="AY10" s="821">
        <v>0.22</v>
      </c>
      <c r="AZ10" s="821">
        <v>0.22</v>
      </c>
      <c r="BA10" s="821">
        <v>0.39</v>
      </c>
      <c r="BB10" s="821">
        <v>0.19</v>
      </c>
      <c r="BC10" s="821">
        <v>0.19</v>
      </c>
      <c r="BD10" s="821">
        <v>0.37</v>
      </c>
      <c r="BE10" s="821">
        <v>1.26</v>
      </c>
      <c r="BF10" s="821">
        <v>1.26</v>
      </c>
      <c r="BG10" s="821">
        <v>1.26</v>
      </c>
      <c r="BH10" s="821">
        <v>1.56</v>
      </c>
      <c r="BI10" s="821">
        <v>1.49</v>
      </c>
      <c r="BJ10" s="821">
        <v>1.77</v>
      </c>
      <c r="BK10" s="821">
        <v>3.97</v>
      </c>
      <c r="BL10" s="821">
        <v>2.84</v>
      </c>
      <c r="BM10" s="821">
        <v>3.97</v>
      </c>
      <c r="BN10" s="821">
        <v>2.84</v>
      </c>
      <c r="BO10" s="821">
        <v>2.84</v>
      </c>
      <c r="BP10" s="821">
        <v>8.23</v>
      </c>
      <c r="BQ10" s="327"/>
      <c r="BR10" s="132">
        <v>4.26</v>
      </c>
      <c r="BS10" s="132">
        <v>3.97</v>
      </c>
      <c r="BT10" s="132">
        <v>6.25</v>
      </c>
      <c r="BU10" s="132"/>
      <c r="BV10" s="132"/>
      <c r="BW10" s="132"/>
      <c r="BX10" s="132"/>
      <c r="BY10" s="132"/>
      <c r="BZ10" s="132"/>
      <c r="CA10" s="132"/>
      <c r="CB10" s="132"/>
      <c r="CC10" s="132"/>
      <c r="CD10" s="132">
        <v>0.25</v>
      </c>
      <c r="CE10" s="132">
        <v>0.25</v>
      </c>
      <c r="CF10" s="132">
        <v>0.25</v>
      </c>
      <c r="CG10" s="132"/>
      <c r="CH10" s="132"/>
      <c r="CI10" s="132"/>
      <c r="CJ10" s="132"/>
      <c r="CK10" s="132"/>
      <c r="CL10" s="132"/>
      <c r="CM10" s="132">
        <v>0.25</v>
      </c>
      <c r="CN10" s="132">
        <v>0.25</v>
      </c>
      <c r="CO10" s="132">
        <v>0.25</v>
      </c>
      <c r="CP10" s="821">
        <v>3.69</v>
      </c>
      <c r="CQ10" s="821">
        <v>3.69</v>
      </c>
      <c r="CR10" s="821">
        <v>3.69</v>
      </c>
      <c r="CS10" s="821">
        <v>3.69</v>
      </c>
      <c r="CT10" s="821">
        <v>10.220000000000001</v>
      </c>
      <c r="CU10" s="821">
        <v>10.220000000000001</v>
      </c>
      <c r="CV10" s="821">
        <v>0.35</v>
      </c>
      <c r="CW10" s="821">
        <v>0.35</v>
      </c>
      <c r="CX10" s="821">
        <v>0.35</v>
      </c>
      <c r="CY10" s="821">
        <v>0.35</v>
      </c>
      <c r="CZ10" s="821" t="s">
        <v>764</v>
      </c>
      <c r="DA10" s="822" t="s">
        <v>764</v>
      </c>
      <c r="DI10" s="1016" t="s">
        <v>3132</v>
      </c>
      <c r="DJ10" s="1016" t="s">
        <v>3133</v>
      </c>
      <c r="DK10" s="1016" t="s">
        <v>3134</v>
      </c>
      <c r="DL10" s="1016" t="s">
        <v>3135</v>
      </c>
    </row>
    <row r="11" spans="1:121" s="129" customFormat="1" ht="45.6" x14ac:dyDescent="0.25">
      <c r="A11" s="148" t="s">
        <v>768</v>
      </c>
      <c r="B11" s="152" t="s">
        <v>191</v>
      </c>
      <c r="C11" s="142" t="s">
        <v>191</v>
      </c>
      <c r="D11" s="142" t="s">
        <v>193</v>
      </c>
      <c r="E11" s="142" t="s">
        <v>199</v>
      </c>
      <c r="F11" s="142" t="s">
        <v>198</v>
      </c>
      <c r="G11" s="142" t="s">
        <v>196</v>
      </c>
      <c r="H11" s="142" t="s">
        <v>202</v>
      </c>
      <c r="I11" s="142" t="s">
        <v>202</v>
      </c>
      <c r="J11" s="142" t="s">
        <v>202</v>
      </c>
      <c r="K11" s="142" t="s">
        <v>180</v>
      </c>
      <c r="L11" s="142" t="s">
        <v>180</v>
      </c>
      <c r="M11" s="142" t="s">
        <v>181</v>
      </c>
      <c r="N11" s="142" t="s">
        <v>184</v>
      </c>
      <c r="O11" s="142" t="s">
        <v>184</v>
      </c>
      <c r="P11" s="142" t="s">
        <v>184</v>
      </c>
      <c r="Q11" s="142" t="s">
        <v>187</v>
      </c>
      <c r="R11" s="142" t="s">
        <v>187</v>
      </c>
      <c r="S11" s="142" t="s">
        <v>187</v>
      </c>
      <c r="T11" s="142" t="s">
        <v>188</v>
      </c>
      <c r="U11" s="142" t="s">
        <v>189</v>
      </c>
      <c r="V11" s="142" t="s">
        <v>188</v>
      </c>
      <c r="W11" s="327"/>
      <c r="X11" s="817">
        <v>3.9E-2</v>
      </c>
      <c r="Y11" s="817">
        <v>3.9E-2</v>
      </c>
      <c r="Z11" s="817">
        <v>0.11899999999999999</v>
      </c>
      <c r="AA11" s="817">
        <v>4.1000000000000002E-2</v>
      </c>
      <c r="AB11" s="817">
        <v>4.1000000000000002E-2</v>
      </c>
      <c r="AC11" s="817">
        <v>9.6000000000000002E-2</v>
      </c>
      <c r="AD11" s="817">
        <v>2.7E-2</v>
      </c>
      <c r="AE11" s="817">
        <v>2.7E-2</v>
      </c>
      <c r="AF11" s="817">
        <v>5.2999999999999999E-2</v>
      </c>
      <c r="AG11" s="817">
        <v>0.123</v>
      </c>
      <c r="AH11" s="817">
        <v>0.104</v>
      </c>
      <c r="AI11" s="817">
        <v>0.57999999999999996</v>
      </c>
      <c r="AJ11" s="817">
        <v>9.4E-2</v>
      </c>
      <c r="AK11" s="817">
        <v>7.1999999999999995E-2</v>
      </c>
      <c r="AL11" s="817">
        <v>0.16200000000000001</v>
      </c>
      <c r="AM11" s="817">
        <v>7.6999999999999999E-2</v>
      </c>
      <c r="AN11" s="817">
        <v>6.4000000000000001E-2</v>
      </c>
      <c r="AO11" s="817">
        <v>0.124</v>
      </c>
      <c r="AP11" s="817">
        <v>8.8999999999999996E-2</v>
      </c>
      <c r="AQ11" s="817">
        <v>6.4000000000000001E-2</v>
      </c>
      <c r="AR11" s="817">
        <v>8.8999999999999996E-2</v>
      </c>
      <c r="AS11" s="817">
        <v>1.1399999999999999</v>
      </c>
      <c r="AT11" s="817">
        <v>1.1399999999999999</v>
      </c>
      <c r="AU11" s="817">
        <v>1.1399999999999999</v>
      </c>
      <c r="AV11" s="817">
        <v>7.3999999999999996E-2</v>
      </c>
      <c r="AW11" s="817">
        <v>7.3999999999999996E-2</v>
      </c>
      <c r="AX11" s="817">
        <v>0.13700000000000001</v>
      </c>
      <c r="AY11" s="817">
        <v>3.7999999999999999E-2</v>
      </c>
      <c r="AZ11" s="817">
        <v>3.7999999999999999E-2</v>
      </c>
      <c r="BA11" s="817">
        <v>5.1999999999999998E-2</v>
      </c>
      <c r="BB11" s="817">
        <v>3.3000000000000002E-2</v>
      </c>
      <c r="BC11" s="817">
        <v>3.3000000000000002E-2</v>
      </c>
      <c r="BD11" s="817">
        <v>0.01</v>
      </c>
      <c r="BE11" s="817">
        <v>0.73</v>
      </c>
      <c r="BF11" s="817">
        <v>0.54</v>
      </c>
      <c r="BG11" s="817">
        <v>0.73</v>
      </c>
      <c r="BH11" s="817">
        <v>0.86</v>
      </c>
      <c r="BI11" s="817">
        <v>0.86</v>
      </c>
      <c r="BJ11" s="817">
        <v>1.02</v>
      </c>
      <c r="BK11" s="817">
        <v>0.7</v>
      </c>
      <c r="BL11" s="817">
        <v>0.5</v>
      </c>
      <c r="BM11" s="817">
        <v>0.7</v>
      </c>
      <c r="BN11" s="817">
        <v>0.5</v>
      </c>
      <c r="BO11" s="817">
        <v>0.5</v>
      </c>
      <c r="BP11" s="817">
        <v>1.45</v>
      </c>
      <c r="BQ11" s="327"/>
      <c r="BR11" s="142">
        <v>0.65</v>
      </c>
      <c r="BS11" s="142">
        <v>0.6</v>
      </c>
      <c r="BT11" s="142">
        <v>0.9</v>
      </c>
      <c r="BU11" s="142"/>
      <c r="BV11" s="142"/>
      <c r="BW11" s="142"/>
      <c r="BX11" s="142"/>
      <c r="BY11" s="142"/>
      <c r="BZ11" s="142"/>
      <c r="CA11" s="142"/>
      <c r="CB11" s="142"/>
      <c r="CC11" s="142"/>
      <c r="CD11" s="142">
        <v>0.25</v>
      </c>
      <c r="CE11" s="142">
        <v>0.25</v>
      </c>
      <c r="CF11" s="142">
        <v>0.25</v>
      </c>
      <c r="CG11" s="142"/>
      <c r="CH11" s="142"/>
      <c r="CI11" s="142"/>
      <c r="CJ11" s="142"/>
      <c r="CK11" s="142"/>
      <c r="CL11" s="142"/>
      <c r="CM11" s="142">
        <v>0.25</v>
      </c>
      <c r="CN11" s="142">
        <v>0.25</v>
      </c>
      <c r="CO11" s="142">
        <v>0.25</v>
      </c>
      <c r="CP11" s="817">
        <v>0.55000000000000004</v>
      </c>
      <c r="CQ11" s="817">
        <v>0.55000000000000004</v>
      </c>
      <c r="CR11" s="817">
        <v>0.55000000000000004</v>
      </c>
      <c r="CS11" s="817">
        <v>0.55000000000000004</v>
      </c>
      <c r="CT11" s="817">
        <v>1.7</v>
      </c>
      <c r="CU11" s="817">
        <v>1.7</v>
      </c>
      <c r="CV11" s="817">
        <v>0.35</v>
      </c>
      <c r="CW11" s="817">
        <v>0.35</v>
      </c>
      <c r="CX11" s="817">
        <v>0.35</v>
      </c>
      <c r="CY11" s="817">
        <v>0.35</v>
      </c>
      <c r="CZ11" s="817" t="s">
        <v>764</v>
      </c>
      <c r="DA11" s="818" t="s">
        <v>764</v>
      </c>
      <c r="DI11" s="1016" t="s">
        <v>3136</v>
      </c>
      <c r="DJ11" s="1016" t="s">
        <v>3137</v>
      </c>
      <c r="DK11" s="1016" t="s">
        <v>3137</v>
      </c>
      <c r="DL11" s="1016" t="s">
        <v>3138</v>
      </c>
    </row>
    <row r="12" spans="1:121" s="129" customFormat="1" ht="57" x14ac:dyDescent="0.25">
      <c r="A12" s="147" t="s">
        <v>795</v>
      </c>
      <c r="B12" s="151" t="s">
        <v>710</v>
      </c>
      <c r="C12" s="132" t="s">
        <v>710</v>
      </c>
      <c r="D12" s="132" t="s">
        <v>739</v>
      </c>
      <c r="E12" s="132" t="s">
        <v>740</v>
      </c>
      <c r="F12" s="132" t="s">
        <v>731</v>
      </c>
      <c r="G12" s="132" t="s">
        <v>714</v>
      </c>
      <c r="H12" s="132" t="s">
        <v>716</v>
      </c>
      <c r="I12" s="132" t="s">
        <v>716</v>
      </c>
      <c r="J12" s="132" t="s">
        <v>716</v>
      </c>
      <c r="K12" s="132" t="s">
        <v>732</v>
      </c>
      <c r="L12" s="132" t="s">
        <v>732</v>
      </c>
      <c r="M12" s="132" t="s">
        <v>733</v>
      </c>
      <c r="N12" s="132" t="s">
        <v>718</v>
      </c>
      <c r="O12" s="132" t="s">
        <v>718</v>
      </c>
      <c r="P12" s="132" t="s">
        <v>718</v>
      </c>
      <c r="Q12" s="132" t="s">
        <v>719</v>
      </c>
      <c r="R12" s="132" t="s">
        <v>719</v>
      </c>
      <c r="S12" s="132" t="s">
        <v>719</v>
      </c>
      <c r="T12" s="132" t="s">
        <v>720</v>
      </c>
      <c r="U12" s="132" t="s">
        <v>734</v>
      </c>
      <c r="V12" s="132" t="s">
        <v>720</v>
      </c>
      <c r="W12" s="327"/>
      <c r="X12" s="821">
        <v>0.22</v>
      </c>
      <c r="Y12" s="821">
        <v>0.22</v>
      </c>
      <c r="Z12" s="821">
        <v>0.68</v>
      </c>
      <c r="AA12" s="821">
        <v>0.23</v>
      </c>
      <c r="AB12" s="821">
        <v>0.23</v>
      </c>
      <c r="AC12" s="821">
        <v>0.55000000000000004</v>
      </c>
      <c r="AD12" s="821">
        <v>0.15</v>
      </c>
      <c r="AE12" s="821">
        <v>0.15</v>
      </c>
      <c r="AF12" s="821">
        <v>0.3</v>
      </c>
      <c r="AG12" s="821">
        <v>0.7</v>
      </c>
      <c r="AH12" s="821">
        <v>0.59</v>
      </c>
      <c r="AI12" s="821">
        <v>3.29</v>
      </c>
      <c r="AJ12" s="821">
        <v>0.53</v>
      </c>
      <c r="AK12" s="821">
        <v>0.41</v>
      </c>
      <c r="AL12" s="821">
        <v>0.92</v>
      </c>
      <c r="AM12" s="821">
        <v>0.44</v>
      </c>
      <c r="AN12" s="821">
        <v>0.36</v>
      </c>
      <c r="AO12" s="821">
        <v>0.7</v>
      </c>
      <c r="AP12" s="821">
        <v>0.51</v>
      </c>
      <c r="AQ12" s="821">
        <v>0.36</v>
      </c>
      <c r="AR12" s="821">
        <v>0.51</v>
      </c>
      <c r="AS12" s="821">
        <v>6.47</v>
      </c>
      <c r="AT12" s="821">
        <v>6.47</v>
      </c>
      <c r="AU12" s="821">
        <v>6.47</v>
      </c>
      <c r="AV12" s="821">
        <v>0.42</v>
      </c>
      <c r="AW12" s="821">
        <v>0.42</v>
      </c>
      <c r="AX12" s="821">
        <v>0.78</v>
      </c>
      <c r="AY12" s="821">
        <v>0.22</v>
      </c>
      <c r="AZ12" s="821">
        <v>0.22</v>
      </c>
      <c r="BA12" s="821">
        <v>0.3</v>
      </c>
      <c r="BB12" s="821">
        <v>0.19</v>
      </c>
      <c r="BC12" s="821">
        <v>0.19</v>
      </c>
      <c r="BD12" s="821">
        <v>0.06</v>
      </c>
      <c r="BE12" s="821">
        <v>1.26</v>
      </c>
      <c r="BF12" s="821">
        <v>0.94</v>
      </c>
      <c r="BG12" s="821">
        <v>1.26</v>
      </c>
      <c r="BH12" s="821">
        <v>1.49</v>
      </c>
      <c r="BI12" s="821">
        <v>1.49</v>
      </c>
      <c r="BJ12" s="821">
        <v>1.77</v>
      </c>
      <c r="BK12" s="821">
        <v>3.97</v>
      </c>
      <c r="BL12" s="821">
        <v>2.84</v>
      </c>
      <c r="BM12" s="821">
        <v>3.97</v>
      </c>
      <c r="BN12" s="821">
        <v>2.84</v>
      </c>
      <c r="BO12" s="821">
        <v>2.84</v>
      </c>
      <c r="BP12" s="821">
        <v>8.23</v>
      </c>
      <c r="BQ12" s="327"/>
      <c r="BR12" s="132">
        <v>3.69</v>
      </c>
      <c r="BS12" s="132">
        <v>3.41</v>
      </c>
      <c r="BT12" s="132">
        <v>5.1100000000000003</v>
      </c>
      <c r="BU12" s="132"/>
      <c r="BV12" s="132"/>
      <c r="BW12" s="132"/>
      <c r="BX12" s="132"/>
      <c r="BY12" s="132"/>
      <c r="BZ12" s="132"/>
      <c r="CA12" s="132"/>
      <c r="CB12" s="132"/>
      <c r="CC12" s="132"/>
      <c r="CD12" s="132">
        <v>0.25</v>
      </c>
      <c r="CE12" s="132">
        <v>0.25</v>
      </c>
      <c r="CF12" s="132">
        <v>0.25</v>
      </c>
      <c r="CG12" s="132"/>
      <c r="CH12" s="132"/>
      <c r="CI12" s="132"/>
      <c r="CJ12" s="132"/>
      <c r="CK12" s="132"/>
      <c r="CL12" s="132"/>
      <c r="CM12" s="132">
        <v>0.25</v>
      </c>
      <c r="CN12" s="132">
        <v>0.25</v>
      </c>
      <c r="CO12" s="132">
        <v>0.25</v>
      </c>
      <c r="CP12" s="821">
        <v>3.12</v>
      </c>
      <c r="CQ12" s="821">
        <v>3.12</v>
      </c>
      <c r="CR12" s="821">
        <v>3.12</v>
      </c>
      <c r="CS12" s="821">
        <v>3.12</v>
      </c>
      <c r="CT12" s="821">
        <v>9.65</v>
      </c>
      <c r="CU12" s="821">
        <v>9.65</v>
      </c>
      <c r="CV12" s="821">
        <v>0.35</v>
      </c>
      <c r="CW12" s="821">
        <v>0.35</v>
      </c>
      <c r="CX12" s="821">
        <v>0.35</v>
      </c>
      <c r="CY12" s="821">
        <v>0.35</v>
      </c>
      <c r="CZ12" s="821" t="s">
        <v>764</v>
      </c>
      <c r="DA12" s="822" t="s">
        <v>764</v>
      </c>
      <c r="DI12" s="1016" t="s">
        <v>3139</v>
      </c>
      <c r="DJ12" s="1016" t="s">
        <v>3140</v>
      </c>
      <c r="DK12" s="1016" t="s">
        <v>3140</v>
      </c>
      <c r="DL12" s="1016" t="s">
        <v>3121</v>
      </c>
    </row>
    <row r="13" spans="1:121" s="129" customFormat="1" ht="45.6" x14ac:dyDescent="0.25">
      <c r="A13" s="148" t="s">
        <v>769</v>
      </c>
      <c r="B13" s="152" t="s">
        <v>191</v>
      </c>
      <c r="C13" s="142" t="s">
        <v>191</v>
      </c>
      <c r="D13" s="142" t="s">
        <v>193</v>
      </c>
      <c r="E13" s="142" t="s">
        <v>199</v>
      </c>
      <c r="F13" s="142" t="s">
        <v>198</v>
      </c>
      <c r="G13" s="142" t="s">
        <v>196</v>
      </c>
      <c r="H13" s="142" t="s">
        <v>202</v>
      </c>
      <c r="I13" s="142" t="s">
        <v>202</v>
      </c>
      <c r="J13" s="142" t="s">
        <v>202</v>
      </c>
      <c r="K13" s="142" t="s">
        <v>180</v>
      </c>
      <c r="L13" s="142" t="s">
        <v>180</v>
      </c>
      <c r="M13" s="142" t="s">
        <v>181</v>
      </c>
      <c r="N13" s="142" t="s">
        <v>184</v>
      </c>
      <c r="O13" s="142" t="s">
        <v>184</v>
      </c>
      <c r="P13" s="142" t="s">
        <v>184</v>
      </c>
      <c r="Q13" s="142" t="s">
        <v>187</v>
      </c>
      <c r="R13" s="142" t="s">
        <v>187</v>
      </c>
      <c r="S13" s="142" t="s">
        <v>187</v>
      </c>
      <c r="T13" s="142" t="s">
        <v>188</v>
      </c>
      <c r="U13" s="142" t="s">
        <v>189</v>
      </c>
      <c r="V13" s="142" t="s">
        <v>188</v>
      </c>
      <c r="W13" s="327"/>
      <c r="X13" s="817">
        <v>3.9E-2</v>
      </c>
      <c r="Y13" s="817">
        <v>3.9E-2</v>
      </c>
      <c r="Z13" s="817">
        <v>0.11899999999999999</v>
      </c>
      <c r="AA13" s="817">
        <v>4.1000000000000002E-2</v>
      </c>
      <c r="AB13" s="817">
        <v>4.1000000000000002E-2</v>
      </c>
      <c r="AC13" s="817">
        <v>9.6000000000000002E-2</v>
      </c>
      <c r="AD13" s="817">
        <v>2.7E-2</v>
      </c>
      <c r="AE13" s="817">
        <v>2.7E-2</v>
      </c>
      <c r="AF13" s="817">
        <v>5.2999999999999999E-2</v>
      </c>
      <c r="AG13" s="817">
        <v>0.123</v>
      </c>
      <c r="AH13" s="817">
        <v>0.104</v>
      </c>
      <c r="AI13" s="817">
        <v>0.57999999999999996</v>
      </c>
      <c r="AJ13" s="817">
        <v>9.4E-2</v>
      </c>
      <c r="AK13" s="817">
        <v>7.1999999999999995E-2</v>
      </c>
      <c r="AL13" s="817">
        <v>0.16200000000000001</v>
      </c>
      <c r="AM13" s="817">
        <v>7.6999999999999999E-2</v>
      </c>
      <c r="AN13" s="817">
        <v>6.4000000000000001E-2</v>
      </c>
      <c r="AO13" s="817">
        <v>0.124</v>
      </c>
      <c r="AP13" s="817">
        <v>8.8999999999999996E-2</v>
      </c>
      <c r="AQ13" s="817">
        <v>6.4000000000000001E-2</v>
      </c>
      <c r="AR13" s="817">
        <v>8.8999999999999996E-2</v>
      </c>
      <c r="AS13" s="817">
        <v>1.1399999999999999</v>
      </c>
      <c r="AT13" s="817">
        <v>1.1399999999999999</v>
      </c>
      <c r="AU13" s="817">
        <v>1.1399999999999999</v>
      </c>
      <c r="AV13" s="817">
        <v>7.3999999999999996E-2</v>
      </c>
      <c r="AW13" s="817">
        <v>7.3999999999999996E-2</v>
      </c>
      <c r="AX13" s="817">
        <v>0.13700000000000001</v>
      </c>
      <c r="AY13" s="817">
        <v>3.7999999999999999E-2</v>
      </c>
      <c r="AZ13" s="817">
        <v>3.7999999999999999E-2</v>
      </c>
      <c r="BA13" s="817">
        <v>5.1999999999999998E-2</v>
      </c>
      <c r="BB13" s="817">
        <v>3.3000000000000002E-2</v>
      </c>
      <c r="BC13" s="817">
        <v>3.3000000000000002E-2</v>
      </c>
      <c r="BD13" s="817">
        <v>0.01</v>
      </c>
      <c r="BE13" s="817">
        <v>0.73</v>
      </c>
      <c r="BF13" s="817">
        <v>0.54</v>
      </c>
      <c r="BG13" s="817">
        <v>0.73</v>
      </c>
      <c r="BH13" s="817">
        <v>0.86</v>
      </c>
      <c r="BI13" s="817">
        <v>0.86</v>
      </c>
      <c r="BJ13" s="817">
        <v>1.02</v>
      </c>
      <c r="BK13" s="817">
        <v>0.7</v>
      </c>
      <c r="BL13" s="817">
        <v>0.5</v>
      </c>
      <c r="BM13" s="817">
        <v>0.7</v>
      </c>
      <c r="BN13" s="817">
        <v>0.5</v>
      </c>
      <c r="BO13" s="817">
        <v>0.5</v>
      </c>
      <c r="BP13" s="817">
        <v>1.45</v>
      </c>
      <c r="BQ13" s="327"/>
      <c r="BR13" s="142">
        <v>0.65</v>
      </c>
      <c r="BS13" s="142">
        <v>0.6</v>
      </c>
      <c r="BT13" s="142">
        <v>0.9</v>
      </c>
      <c r="BU13" s="142"/>
      <c r="BV13" s="142"/>
      <c r="BW13" s="142"/>
      <c r="BX13" s="142"/>
      <c r="BY13" s="142"/>
      <c r="BZ13" s="142"/>
      <c r="CA13" s="142"/>
      <c r="CB13" s="142"/>
      <c r="CC13" s="142"/>
      <c r="CD13" s="142">
        <v>0.25</v>
      </c>
      <c r="CE13" s="142">
        <v>0.25</v>
      </c>
      <c r="CF13" s="142">
        <v>0.25</v>
      </c>
      <c r="CG13" s="142"/>
      <c r="CH13" s="142"/>
      <c r="CI13" s="142"/>
      <c r="CJ13" s="142"/>
      <c r="CK13" s="142"/>
      <c r="CL13" s="142"/>
      <c r="CM13" s="142">
        <v>0.25</v>
      </c>
      <c r="CN13" s="142">
        <v>0.25</v>
      </c>
      <c r="CO13" s="142">
        <v>0.25</v>
      </c>
      <c r="CP13" s="817">
        <v>0.55000000000000004</v>
      </c>
      <c r="CQ13" s="817">
        <v>0.55000000000000004</v>
      </c>
      <c r="CR13" s="817">
        <v>0.55000000000000004</v>
      </c>
      <c r="CS13" s="817">
        <v>0.55000000000000004</v>
      </c>
      <c r="CT13" s="817">
        <v>1.7</v>
      </c>
      <c r="CU13" s="817">
        <v>1.7</v>
      </c>
      <c r="CV13" s="817">
        <v>0.35</v>
      </c>
      <c r="CW13" s="817">
        <v>0.35</v>
      </c>
      <c r="CX13" s="817">
        <v>0.35</v>
      </c>
      <c r="CY13" s="817">
        <v>0.35</v>
      </c>
      <c r="CZ13" s="817" t="s">
        <v>764</v>
      </c>
      <c r="DA13" s="818" t="s">
        <v>764</v>
      </c>
      <c r="DI13" s="1016" t="s">
        <v>3141</v>
      </c>
      <c r="DJ13" s="1016" t="s">
        <v>3142</v>
      </c>
      <c r="DK13" s="1016" t="s">
        <v>3142</v>
      </c>
      <c r="DL13" s="1016" t="s">
        <v>3124</v>
      </c>
    </row>
    <row r="14" spans="1:121" s="129" customFormat="1" ht="57" x14ac:dyDescent="0.25">
      <c r="A14" s="147" t="s">
        <v>794</v>
      </c>
      <c r="B14" s="151" t="s">
        <v>710</v>
      </c>
      <c r="C14" s="132" t="s">
        <v>710</v>
      </c>
      <c r="D14" s="132" t="s">
        <v>739</v>
      </c>
      <c r="E14" s="132" t="s">
        <v>740</v>
      </c>
      <c r="F14" s="132" t="s">
        <v>731</v>
      </c>
      <c r="G14" s="132" t="s">
        <v>714</v>
      </c>
      <c r="H14" s="132" t="s">
        <v>716</v>
      </c>
      <c r="I14" s="132" t="s">
        <v>716</v>
      </c>
      <c r="J14" s="132" t="s">
        <v>716</v>
      </c>
      <c r="K14" s="132" t="s">
        <v>732</v>
      </c>
      <c r="L14" s="132" t="s">
        <v>732</v>
      </c>
      <c r="M14" s="132" t="s">
        <v>733</v>
      </c>
      <c r="N14" s="132" t="s">
        <v>718</v>
      </c>
      <c r="O14" s="132" t="s">
        <v>718</v>
      </c>
      <c r="P14" s="132" t="s">
        <v>718</v>
      </c>
      <c r="Q14" s="132" t="s">
        <v>719</v>
      </c>
      <c r="R14" s="132" t="s">
        <v>719</v>
      </c>
      <c r="S14" s="132" t="s">
        <v>719</v>
      </c>
      <c r="T14" s="132" t="s">
        <v>720</v>
      </c>
      <c r="U14" s="132" t="s">
        <v>734</v>
      </c>
      <c r="V14" s="132" t="s">
        <v>720</v>
      </c>
      <c r="W14" s="327"/>
      <c r="X14" s="821">
        <v>0.22</v>
      </c>
      <c r="Y14" s="821">
        <v>0.22</v>
      </c>
      <c r="Z14" s="821">
        <v>0.68</v>
      </c>
      <c r="AA14" s="821">
        <v>0.23</v>
      </c>
      <c r="AB14" s="821">
        <v>0.23</v>
      </c>
      <c r="AC14" s="821">
        <v>0.55000000000000004</v>
      </c>
      <c r="AD14" s="821">
        <v>0.15</v>
      </c>
      <c r="AE14" s="821">
        <v>0.15</v>
      </c>
      <c r="AF14" s="821">
        <v>0.3</v>
      </c>
      <c r="AG14" s="821">
        <v>0.7</v>
      </c>
      <c r="AH14" s="821">
        <v>0.59</v>
      </c>
      <c r="AI14" s="821">
        <v>3.29</v>
      </c>
      <c r="AJ14" s="821">
        <v>0.53</v>
      </c>
      <c r="AK14" s="821">
        <v>0.41</v>
      </c>
      <c r="AL14" s="821">
        <v>0.92</v>
      </c>
      <c r="AM14" s="821">
        <v>0.44</v>
      </c>
      <c r="AN14" s="821">
        <v>0.36</v>
      </c>
      <c r="AO14" s="821">
        <v>0.7</v>
      </c>
      <c r="AP14" s="821">
        <v>0.51</v>
      </c>
      <c r="AQ14" s="821">
        <v>0.36</v>
      </c>
      <c r="AR14" s="821">
        <v>0.51</v>
      </c>
      <c r="AS14" s="821">
        <v>6.47</v>
      </c>
      <c r="AT14" s="821">
        <v>6.47</v>
      </c>
      <c r="AU14" s="821">
        <v>6.47</v>
      </c>
      <c r="AV14" s="821">
        <v>0.42</v>
      </c>
      <c r="AW14" s="821">
        <v>0.42</v>
      </c>
      <c r="AX14" s="821">
        <v>0.78</v>
      </c>
      <c r="AY14" s="821">
        <v>0.22</v>
      </c>
      <c r="AZ14" s="821">
        <v>0.22</v>
      </c>
      <c r="BA14" s="821">
        <v>0.3</v>
      </c>
      <c r="BB14" s="821">
        <v>0.19</v>
      </c>
      <c r="BC14" s="821">
        <v>0.19</v>
      </c>
      <c r="BD14" s="821">
        <v>0.06</v>
      </c>
      <c r="BE14" s="821">
        <v>1.26</v>
      </c>
      <c r="BF14" s="821">
        <v>0.94</v>
      </c>
      <c r="BG14" s="821">
        <v>1.26</v>
      </c>
      <c r="BH14" s="821">
        <v>1.49</v>
      </c>
      <c r="BI14" s="821">
        <v>1.49</v>
      </c>
      <c r="BJ14" s="821">
        <v>1.77</v>
      </c>
      <c r="BK14" s="821">
        <v>3.97</v>
      </c>
      <c r="BL14" s="821">
        <v>2.84</v>
      </c>
      <c r="BM14" s="821">
        <v>3.97</v>
      </c>
      <c r="BN14" s="821">
        <v>2.84</v>
      </c>
      <c r="BO14" s="821">
        <v>2.84</v>
      </c>
      <c r="BP14" s="821">
        <v>8.23</v>
      </c>
      <c r="BQ14" s="327"/>
      <c r="BR14" s="132">
        <v>3.69</v>
      </c>
      <c r="BS14" s="132">
        <v>3.41</v>
      </c>
      <c r="BT14" s="132">
        <v>5.1100000000000003</v>
      </c>
      <c r="BU14" s="132"/>
      <c r="BV14" s="132"/>
      <c r="BW14" s="132"/>
      <c r="BX14" s="132"/>
      <c r="BY14" s="132"/>
      <c r="BZ14" s="132"/>
      <c r="CA14" s="132"/>
      <c r="CB14" s="132"/>
      <c r="CC14" s="132"/>
      <c r="CD14" s="132">
        <v>0.25</v>
      </c>
      <c r="CE14" s="132">
        <v>0.25</v>
      </c>
      <c r="CF14" s="132">
        <v>0.25</v>
      </c>
      <c r="CG14" s="132"/>
      <c r="CH14" s="132"/>
      <c r="CI14" s="132"/>
      <c r="CJ14" s="132"/>
      <c r="CK14" s="132"/>
      <c r="CL14" s="132"/>
      <c r="CM14" s="132">
        <v>0.25</v>
      </c>
      <c r="CN14" s="132">
        <v>0.25</v>
      </c>
      <c r="CO14" s="132">
        <v>0.25</v>
      </c>
      <c r="CP14" s="821">
        <v>3.12</v>
      </c>
      <c r="CQ14" s="821">
        <v>3.12</v>
      </c>
      <c r="CR14" s="821">
        <v>3.12</v>
      </c>
      <c r="CS14" s="821">
        <v>3.12</v>
      </c>
      <c r="CT14" s="821">
        <v>9.65</v>
      </c>
      <c r="CU14" s="821">
        <v>9.65</v>
      </c>
      <c r="CV14" s="821">
        <v>0.35</v>
      </c>
      <c r="CW14" s="821">
        <v>0.35</v>
      </c>
      <c r="CX14" s="821">
        <v>0.35</v>
      </c>
      <c r="CY14" s="821">
        <v>0.35</v>
      </c>
      <c r="CZ14" s="821" t="s">
        <v>764</v>
      </c>
      <c r="DA14" s="822" t="s">
        <v>764</v>
      </c>
      <c r="DI14" s="1016" t="s">
        <v>3143</v>
      </c>
      <c r="DJ14" s="1016" t="s">
        <v>3134</v>
      </c>
      <c r="DK14" s="1016" t="s">
        <v>3144</v>
      </c>
      <c r="DL14" s="1016" t="s">
        <v>2753</v>
      </c>
    </row>
    <row r="15" spans="1:121" s="129" customFormat="1" ht="45.6" x14ac:dyDescent="0.25">
      <c r="A15" s="148" t="s">
        <v>770</v>
      </c>
      <c r="B15" s="152" t="s">
        <v>191</v>
      </c>
      <c r="C15" s="142" t="s">
        <v>191</v>
      </c>
      <c r="D15" s="142" t="s">
        <v>193</v>
      </c>
      <c r="E15" s="142" t="s">
        <v>199</v>
      </c>
      <c r="F15" s="142" t="s">
        <v>198</v>
      </c>
      <c r="G15" s="142" t="s">
        <v>196</v>
      </c>
      <c r="H15" s="142" t="s">
        <v>202</v>
      </c>
      <c r="I15" s="142" t="s">
        <v>202</v>
      </c>
      <c r="J15" s="142" t="s">
        <v>202</v>
      </c>
      <c r="K15" s="142" t="s">
        <v>180</v>
      </c>
      <c r="L15" s="142" t="s">
        <v>180</v>
      </c>
      <c r="M15" s="142" t="s">
        <v>181</v>
      </c>
      <c r="N15" s="142" t="s">
        <v>184</v>
      </c>
      <c r="O15" s="142" t="s">
        <v>184</v>
      </c>
      <c r="P15" s="142" t="s">
        <v>184</v>
      </c>
      <c r="Q15" s="142" t="s">
        <v>187</v>
      </c>
      <c r="R15" s="142" t="s">
        <v>187</v>
      </c>
      <c r="S15" s="142" t="s">
        <v>187</v>
      </c>
      <c r="T15" s="142" t="s">
        <v>188</v>
      </c>
      <c r="U15" s="142" t="s">
        <v>189</v>
      </c>
      <c r="V15" s="142" t="s">
        <v>188</v>
      </c>
      <c r="W15" s="327"/>
      <c r="X15" s="817">
        <v>3.9E-2</v>
      </c>
      <c r="Y15" s="817">
        <v>3.9E-2</v>
      </c>
      <c r="Z15" s="817">
        <v>0.11899999999999999</v>
      </c>
      <c r="AA15" s="817">
        <v>4.1000000000000002E-2</v>
      </c>
      <c r="AB15" s="817">
        <v>4.1000000000000002E-2</v>
      </c>
      <c r="AC15" s="817">
        <v>9.6000000000000002E-2</v>
      </c>
      <c r="AD15" s="817">
        <v>2.7E-2</v>
      </c>
      <c r="AE15" s="817">
        <v>2.7E-2</v>
      </c>
      <c r="AF15" s="817">
        <v>5.2999999999999999E-2</v>
      </c>
      <c r="AG15" s="817">
        <v>0.123</v>
      </c>
      <c r="AH15" s="817">
        <v>0.104</v>
      </c>
      <c r="AI15" s="817">
        <v>0.57999999999999996</v>
      </c>
      <c r="AJ15" s="817">
        <v>9.4E-2</v>
      </c>
      <c r="AK15" s="817">
        <v>7.1999999999999995E-2</v>
      </c>
      <c r="AL15" s="817">
        <v>0.16200000000000001</v>
      </c>
      <c r="AM15" s="817">
        <v>7.6999999999999999E-2</v>
      </c>
      <c r="AN15" s="817">
        <v>6.4000000000000001E-2</v>
      </c>
      <c r="AO15" s="817">
        <v>0.124</v>
      </c>
      <c r="AP15" s="817">
        <v>8.8999999999999996E-2</v>
      </c>
      <c r="AQ15" s="817">
        <v>6.4000000000000001E-2</v>
      </c>
      <c r="AR15" s="817">
        <v>8.8999999999999996E-2</v>
      </c>
      <c r="AS15" s="817">
        <v>1.1399999999999999</v>
      </c>
      <c r="AT15" s="817">
        <v>1.1399999999999999</v>
      </c>
      <c r="AU15" s="817">
        <v>1.1399999999999999</v>
      </c>
      <c r="AV15" s="817">
        <v>7.3999999999999996E-2</v>
      </c>
      <c r="AW15" s="817">
        <v>7.3999999999999996E-2</v>
      </c>
      <c r="AX15" s="817">
        <v>0.13700000000000001</v>
      </c>
      <c r="AY15" s="817">
        <v>3.7999999999999999E-2</v>
      </c>
      <c r="AZ15" s="817">
        <v>3.7999999999999999E-2</v>
      </c>
      <c r="BA15" s="817">
        <v>5.1999999999999998E-2</v>
      </c>
      <c r="BB15" s="817">
        <v>3.3000000000000002E-2</v>
      </c>
      <c r="BC15" s="817">
        <v>3.3000000000000002E-2</v>
      </c>
      <c r="BD15" s="817">
        <v>0.01</v>
      </c>
      <c r="BE15" s="817">
        <v>0.73</v>
      </c>
      <c r="BF15" s="817">
        <v>0.54</v>
      </c>
      <c r="BG15" s="817">
        <v>0.73</v>
      </c>
      <c r="BH15" s="817">
        <v>0.86</v>
      </c>
      <c r="BI15" s="817">
        <v>0.86</v>
      </c>
      <c r="BJ15" s="817">
        <v>1.02</v>
      </c>
      <c r="BK15" s="817">
        <v>0.7</v>
      </c>
      <c r="BL15" s="817">
        <v>0.5</v>
      </c>
      <c r="BM15" s="817">
        <v>0.7</v>
      </c>
      <c r="BN15" s="817">
        <v>0.5</v>
      </c>
      <c r="BO15" s="817">
        <v>0.5</v>
      </c>
      <c r="BP15" s="817">
        <v>1.45</v>
      </c>
      <c r="BQ15" s="327"/>
      <c r="BR15" s="142">
        <v>0.65</v>
      </c>
      <c r="BS15" s="142">
        <v>0.6</v>
      </c>
      <c r="BT15" s="142">
        <v>0.9</v>
      </c>
      <c r="BU15" s="142"/>
      <c r="BV15" s="142"/>
      <c r="BW15" s="142"/>
      <c r="BX15" s="142"/>
      <c r="BY15" s="142"/>
      <c r="BZ15" s="142"/>
      <c r="CA15" s="142"/>
      <c r="CB15" s="142"/>
      <c r="CC15" s="142"/>
      <c r="CD15" s="142">
        <v>0.25</v>
      </c>
      <c r="CE15" s="142">
        <v>0.25</v>
      </c>
      <c r="CF15" s="142">
        <v>0.25</v>
      </c>
      <c r="CG15" s="142"/>
      <c r="CH15" s="142"/>
      <c r="CI15" s="142"/>
      <c r="CJ15" s="142"/>
      <c r="CK15" s="142"/>
      <c r="CL15" s="142"/>
      <c r="CM15" s="142">
        <v>0.25</v>
      </c>
      <c r="CN15" s="142">
        <v>0.25</v>
      </c>
      <c r="CO15" s="142">
        <v>0.25</v>
      </c>
      <c r="CP15" s="817">
        <v>0.55000000000000004</v>
      </c>
      <c r="CQ15" s="817">
        <v>0.55000000000000004</v>
      </c>
      <c r="CR15" s="817">
        <v>0.55000000000000004</v>
      </c>
      <c r="CS15" s="817">
        <v>0.55000000000000004</v>
      </c>
      <c r="CT15" s="817">
        <v>1.7</v>
      </c>
      <c r="CU15" s="817">
        <v>1.7</v>
      </c>
      <c r="CV15" s="817">
        <v>0.35</v>
      </c>
      <c r="CW15" s="817">
        <v>0.35</v>
      </c>
      <c r="CX15" s="817">
        <v>0.35</v>
      </c>
      <c r="CY15" s="817">
        <v>0.35</v>
      </c>
      <c r="CZ15" s="817" t="s">
        <v>764</v>
      </c>
      <c r="DA15" s="818" t="s">
        <v>764</v>
      </c>
      <c r="DI15" s="1016" t="s">
        <v>2739</v>
      </c>
      <c r="DJ15" s="1016" t="s">
        <v>2747</v>
      </c>
      <c r="DK15" s="1016" t="s">
        <v>2747</v>
      </c>
      <c r="DL15" s="1016" t="s">
        <v>2750</v>
      </c>
    </row>
    <row r="16" spans="1:121" s="129" customFormat="1" ht="57" x14ac:dyDescent="0.25">
      <c r="A16" s="147" t="s">
        <v>793</v>
      </c>
      <c r="B16" s="151" t="s">
        <v>710</v>
      </c>
      <c r="C16" s="132" t="s">
        <v>710</v>
      </c>
      <c r="D16" s="132" t="s">
        <v>739</v>
      </c>
      <c r="E16" s="132" t="s">
        <v>740</v>
      </c>
      <c r="F16" s="132" t="s">
        <v>731</v>
      </c>
      <c r="G16" s="132" t="s">
        <v>714</v>
      </c>
      <c r="H16" s="132" t="s">
        <v>716</v>
      </c>
      <c r="I16" s="132" t="s">
        <v>716</v>
      </c>
      <c r="J16" s="132" t="s">
        <v>716</v>
      </c>
      <c r="K16" s="132" t="s">
        <v>732</v>
      </c>
      <c r="L16" s="132" t="s">
        <v>732</v>
      </c>
      <c r="M16" s="132" t="s">
        <v>733</v>
      </c>
      <c r="N16" s="132" t="s">
        <v>718</v>
      </c>
      <c r="O16" s="132" t="s">
        <v>718</v>
      </c>
      <c r="P16" s="132" t="s">
        <v>718</v>
      </c>
      <c r="Q16" s="132" t="s">
        <v>719</v>
      </c>
      <c r="R16" s="132" t="s">
        <v>719</v>
      </c>
      <c r="S16" s="132" t="s">
        <v>719</v>
      </c>
      <c r="T16" s="132" t="s">
        <v>720</v>
      </c>
      <c r="U16" s="132" t="s">
        <v>734</v>
      </c>
      <c r="V16" s="132" t="s">
        <v>720</v>
      </c>
      <c r="W16" s="327"/>
      <c r="X16" s="821">
        <v>0.22</v>
      </c>
      <c r="Y16" s="821">
        <v>0.22</v>
      </c>
      <c r="Z16" s="821">
        <v>0.68</v>
      </c>
      <c r="AA16" s="821">
        <v>0.23</v>
      </c>
      <c r="AB16" s="821">
        <v>0.23</v>
      </c>
      <c r="AC16" s="821">
        <v>0.55000000000000004</v>
      </c>
      <c r="AD16" s="821">
        <v>0.15</v>
      </c>
      <c r="AE16" s="821">
        <v>0.15</v>
      </c>
      <c r="AF16" s="821">
        <v>0.3</v>
      </c>
      <c r="AG16" s="821">
        <v>0.7</v>
      </c>
      <c r="AH16" s="821">
        <v>0.59</v>
      </c>
      <c r="AI16" s="821">
        <v>3.29</v>
      </c>
      <c r="AJ16" s="821">
        <v>0.53</v>
      </c>
      <c r="AK16" s="821">
        <v>0.41</v>
      </c>
      <c r="AL16" s="821">
        <v>0.92</v>
      </c>
      <c r="AM16" s="821">
        <v>0.44</v>
      </c>
      <c r="AN16" s="821">
        <v>0.36</v>
      </c>
      <c r="AO16" s="821">
        <v>0.7</v>
      </c>
      <c r="AP16" s="821">
        <v>0.51</v>
      </c>
      <c r="AQ16" s="821">
        <v>0.36</v>
      </c>
      <c r="AR16" s="821">
        <v>0.51</v>
      </c>
      <c r="AS16" s="821">
        <v>6.47</v>
      </c>
      <c r="AT16" s="821">
        <v>6.47</v>
      </c>
      <c r="AU16" s="821">
        <v>6.47</v>
      </c>
      <c r="AV16" s="821">
        <v>0.42</v>
      </c>
      <c r="AW16" s="821">
        <v>0.42</v>
      </c>
      <c r="AX16" s="821">
        <v>0.78</v>
      </c>
      <c r="AY16" s="821">
        <v>0.22</v>
      </c>
      <c r="AZ16" s="821">
        <v>0.22</v>
      </c>
      <c r="BA16" s="821">
        <v>0.3</v>
      </c>
      <c r="BB16" s="821">
        <v>0.19</v>
      </c>
      <c r="BC16" s="821">
        <v>0.19</v>
      </c>
      <c r="BD16" s="821">
        <v>0.06</v>
      </c>
      <c r="BE16" s="821">
        <v>1.26</v>
      </c>
      <c r="BF16" s="821">
        <v>0.94</v>
      </c>
      <c r="BG16" s="821">
        <v>1.26</v>
      </c>
      <c r="BH16" s="821">
        <v>1.49</v>
      </c>
      <c r="BI16" s="821">
        <v>1.49</v>
      </c>
      <c r="BJ16" s="821">
        <v>1.77</v>
      </c>
      <c r="BK16" s="821">
        <v>3.97</v>
      </c>
      <c r="BL16" s="821">
        <v>2.84</v>
      </c>
      <c r="BM16" s="821">
        <v>3.97</v>
      </c>
      <c r="BN16" s="821">
        <v>2.84</v>
      </c>
      <c r="BO16" s="821">
        <v>2.84</v>
      </c>
      <c r="BP16" s="821">
        <v>8.23</v>
      </c>
      <c r="BQ16" s="327"/>
      <c r="BR16" s="132">
        <v>3.69</v>
      </c>
      <c r="BS16" s="132">
        <v>3.41</v>
      </c>
      <c r="BT16" s="132">
        <v>5.1100000000000003</v>
      </c>
      <c r="BU16" s="132"/>
      <c r="BV16" s="132"/>
      <c r="BW16" s="132"/>
      <c r="BX16" s="132"/>
      <c r="BY16" s="132"/>
      <c r="BZ16" s="132"/>
      <c r="CA16" s="132"/>
      <c r="CB16" s="132"/>
      <c r="CC16" s="132"/>
      <c r="CD16" s="132">
        <v>0.25</v>
      </c>
      <c r="CE16" s="132">
        <v>0.25</v>
      </c>
      <c r="CF16" s="132">
        <v>0.25</v>
      </c>
      <c r="CG16" s="132"/>
      <c r="CH16" s="132"/>
      <c r="CI16" s="132"/>
      <c r="CJ16" s="132"/>
      <c r="CK16" s="132"/>
      <c r="CL16" s="132"/>
      <c r="CM16" s="132">
        <v>0.25</v>
      </c>
      <c r="CN16" s="132">
        <v>0.25</v>
      </c>
      <c r="CO16" s="132">
        <v>0.25</v>
      </c>
      <c r="CP16" s="821">
        <v>3.12</v>
      </c>
      <c r="CQ16" s="821">
        <v>3.12</v>
      </c>
      <c r="CR16" s="821">
        <v>3.12</v>
      </c>
      <c r="CS16" s="821">
        <v>3.12</v>
      </c>
      <c r="CT16" s="821">
        <v>9.65</v>
      </c>
      <c r="CU16" s="821">
        <v>9.65</v>
      </c>
      <c r="CV16" s="821">
        <v>0.35</v>
      </c>
      <c r="CW16" s="821">
        <v>0.35</v>
      </c>
      <c r="CX16" s="821">
        <v>0.35</v>
      </c>
      <c r="CY16" s="821">
        <v>0.35</v>
      </c>
      <c r="CZ16" s="821" t="s">
        <v>764</v>
      </c>
      <c r="DA16" s="822" t="s">
        <v>764</v>
      </c>
      <c r="DI16" s="1016" t="s">
        <v>2740</v>
      </c>
      <c r="DJ16" s="1016" t="s">
        <v>2745</v>
      </c>
      <c r="DK16" s="1016" t="s">
        <v>2745</v>
      </c>
      <c r="DL16" s="1016" t="s">
        <v>2751</v>
      </c>
    </row>
    <row r="17" spans="1:116" s="1016" customFormat="1" ht="57" x14ac:dyDescent="0.25">
      <c r="A17" s="815" t="s">
        <v>771</v>
      </c>
      <c r="B17" s="816" t="s">
        <v>2169</v>
      </c>
      <c r="C17" s="817" t="s">
        <v>2169</v>
      </c>
      <c r="D17" s="817" t="s">
        <v>2170</v>
      </c>
      <c r="E17" s="817" t="s">
        <v>198</v>
      </c>
      <c r="F17" s="817" t="s">
        <v>198</v>
      </c>
      <c r="G17" s="817" t="s">
        <v>196</v>
      </c>
      <c r="H17" s="817" t="s">
        <v>2171</v>
      </c>
      <c r="I17" s="817" t="s">
        <v>2172</v>
      </c>
      <c r="J17" s="817" t="s">
        <v>202</v>
      </c>
      <c r="K17" s="817" t="s">
        <v>182</v>
      </c>
      <c r="L17" s="817" t="s">
        <v>182</v>
      </c>
      <c r="M17" s="817" t="s">
        <v>180</v>
      </c>
      <c r="N17" s="817" t="s">
        <v>2173</v>
      </c>
      <c r="O17" s="817" t="s">
        <v>185</v>
      </c>
      <c r="P17" s="817" t="s">
        <v>184</v>
      </c>
      <c r="Q17" s="817" t="s">
        <v>189</v>
      </c>
      <c r="R17" s="817" t="s">
        <v>189</v>
      </c>
      <c r="S17" s="817" t="s">
        <v>187</v>
      </c>
      <c r="T17" s="817" t="s">
        <v>189</v>
      </c>
      <c r="U17" s="817" t="s">
        <v>189</v>
      </c>
      <c r="V17" s="817" t="s">
        <v>188</v>
      </c>
      <c r="W17" s="823"/>
      <c r="X17" s="1981">
        <v>3.2000000000000001E-2</v>
      </c>
      <c r="Y17" s="1981">
        <v>3.2000000000000001E-2</v>
      </c>
      <c r="Z17" s="1485">
        <v>9.2999999999999999E-2</v>
      </c>
      <c r="AA17" s="1981">
        <v>3.6999999999999998E-2</v>
      </c>
      <c r="AB17" s="1981">
        <v>3.6999999999999998E-2</v>
      </c>
      <c r="AC17" s="1485">
        <v>8.2000000000000003E-2</v>
      </c>
      <c r="AD17" s="1981">
        <v>2.1000000000000001E-2</v>
      </c>
      <c r="AE17" s="1981">
        <v>2.1000000000000001E-2</v>
      </c>
      <c r="AF17" s="1485">
        <v>3.4000000000000002E-2</v>
      </c>
      <c r="AG17" s="1485">
        <v>0.104</v>
      </c>
      <c r="AH17" s="1485">
        <v>0.09</v>
      </c>
      <c r="AI17" s="1485">
        <v>0.57999999999999996</v>
      </c>
      <c r="AJ17" s="1485">
        <v>0.06</v>
      </c>
      <c r="AK17" s="1485">
        <v>0.05</v>
      </c>
      <c r="AL17" s="1485">
        <v>0.16200000000000001</v>
      </c>
      <c r="AM17" s="1485">
        <v>6.4000000000000001E-2</v>
      </c>
      <c r="AN17" s="1485">
        <v>6.4000000000000001E-2</v>
      </c>
      <c r="AO17" s="1485">
        <v>0.124</v>
      </c>
      <c r="AP17" s="1485">
        <v>6.4000000000000001E-2</v>
      </c>
      <c r="AQ17" s="1485">
        <v>6.4000000000000001E-2</v>
      </c>
      <c r="AR17" s="1485">
        <v>8.8999999999999996E-2</v>
      </c>
      <c r="AS17" s="1485">
        <v>0.11899999999999999</v>
      </c>
      <c r="AT17" s="1485">
        <v>9.1999999999999998E-2</v>
      </c>
      <c r="AU17" s="1485">
        <v>1.1399999999999999</v>
      </c>
      <c r="AV17" s="1485">
        <v>5.7000000000000002E-2</v>
      </c>
      <c r="AW17" s="1485">
        <v>5.0999999999999997E-2</v>
      </c>
      <c r="AX17" s="1485">
        <v>0.107</v>
      </c>
      <c r="AY17" s="1485">
        <v>3.7999999999999999E-2</v>
      </c>
      <c r="AZ17" s="1485">
        <v>3.7999999999999999E-2</v>
      </c>
      <c r="BA17" s="1485">
        <v>5.1999999999999998E-2</v>
      </c>
      <c r="BB17" s="1485">
        <v>3.3000000000000002E-2</v>
      </c>
      <c r="BC17" s="1485">
        <v>3.3000000000000002E-2</v>
      </c>
      <c r="BD17" s="1485">
        <v>5.0999999999999997E-2</v>
      </c>
      <c r="BE17" s="1485">
        <v>0.52</v>
      </c>
      <c r="BF17" s="1485">
        <v>0.52</v>
      </c>
      <c r="BG17" s="1485">
        <v>0.73</v>
      </c>
      <c r="BH17" s="1485">
        <v>0.84299999999999997</v>
      </c>
      <c r="BI17" s="1485">
        <v>0.68799999999999994</v>
      </c>
      <c r="BJ17" s="1485">
        <v>0.9</v>
      </c>
      <c r="BK17" s="1485">
        <v>0.5</v>
      </c>
      <c r="BL17" s="1485">
        <v>0.5</v>
      </c>
      <c r="BM17" s="1485">
        <v>0.7</v>
      </c>
      <c r="BN17" s="1006">
        <v>0.5</v>
      </c>
      <c r="BO17" s="1006">
        <v>0.5</v>
      </c>
      <c r="BP17" s="1006">
        <v>1.45</v>
      </c>
      <c r="BQ17" s="823"/>
      <c r="BR17" s="945">
        <v>0.35</v>
      </c>
      <c r="BS17" s="945">
        <v>0.35</v>
      </c>
      <c r="BT17" s="945">
        <v>0.51</v>
      </c>
      <c r="BU17" s="945">
        <v>0.42</v>
      </c>
      <c r="BV17" s="945">
        <v>0.42</v>
      </c>
      <c r="BW17" s="945">
        <v>0.73</v>
      </c>
      <c r="BX17" s="945">
        <v>0.5</v>
      </c>
      <c r="BY17" s="945">
        <v>0.5</v>
      </c>
      <c r="BZ17" s="945">
        <v>0.81</v>
      </c>
      <c r="CA17" s="945">
        <v>0.77</v>
      </c>
      <c r="CB17" s="945">
        <v>0.68</v>
      </c>
      <c r="CC17" s="945">
        <v>0.77</v>
      </c>
      <c r="CD17" s="817">
        <v>0.4</v>
      </c>
      <c r="CE17" s="817">
        <v>0.4</v>
      </c>
      <c r="CF17" s="817" t="s">
        <v>764</v>
      </c>
      <c r="CG17" s="817">
        <v>0.4</v>
      </c>
      <c r="CH17" s="817">
        <v>0.4</v>
      </c>
      <c r="CI17" s="817" t="s">
        <v>764</v>
      </c>
      <c r="CJ17" s="817">
        <v>0.4</v>
      </c>
      <c r="CK17" s="817">
        <v>0.4</v>
      </c>
      <c r="CL17" s="817" t="s">
        <v>764</v>
      </c>
      <c r="CM17" s="817">
        <v>0.4</v>
      </c>
      <c r="CN17" s="817">
        <v>0.4</v>
      </c>
      <c r="CO17" s="817" t="s">
        <v>764</v>
      </c>
      <c r="CP17" s="945">
        <v>0.5</v>
      </c>
      <c r="CQ17" s="945">
        <v>0.5</v>
      </c>
      <c r="CR17" s="945">
        <v>0.5</v>
      </c>
      <c r="CS17" s="945">
        <v>0.5</v>
      </c>
      <c r="CT17" s="945">
        <v>1.1499999999999999</v>
      </c>
      <c r="CU17" s="945">
        <v>1.1499999999999999</v>
      </c>
      <c r="CV17" s="945">
        <v>0.4</v>
      </c>
      <c r="CW17" s="945">
        <v>0.4</v>
      </c>
      <c r="CX17" s="945">
        <v>0.4</v>
      </c>
      <c r="CY17" s="945">
        <v>0.4</v>
      </c>
      <c r="CZ17" s="817" t="s">
        <v>764</v>
      </c>
      <c r="DA17" s="818" t="s">
        <v>764</v>
      </c>
      <c r="DI17" s="1016" t="s">
        <v>2738</v>
      </c>
      <c r="DJ17" s="1016" t="s">
        <v>2746</v>
      </c>
      <c r="DK17" s="1016" t="s">
        <v>2746</v>
      </c>
      <c r="DL17" s="1016" t="s">
        <v>2752</v>
      </c>
    </row>
    <row r="18" spans="1:116" s="1016" customFormat="1" ht="57" x14ac:dyDescent="0.25">
      <c r="A18" s="819" t="s">
        <v>792</v>
      </c>
      <c r="B18" s="820" t="s">
        <v>2174</v>
      </c>
      <c r="C18" s="820" t="s">
        <v>2174</v>
      </c>
      <c r="D18" s="820" t="s">
        <v>2175</v>
      </c>
      <c r="E18" s="821" t="s">
        <v>2176</v>
      </c>
      <c r="F18" s="821" t="s">
        <v>2176</v>
      </c>
      <c r="G18" s="821" t="s">
        <v>1691</v>
      </c>
      <c r="H18" s="821" t="s">
        <v>2184</v>
      </c>
      <c r="I18" s="821" t="s">
        <v>2183</v>
      </c>
      <c r="J18" s="821" t="s">
        <v>2182</v>
      </c>
      <c r="K18" s="821" t="s">
        <v>2181</v>
      </c>
      <c r="L18" s="821" t="s">
        <v>2181</v>
      </c>
      <c r="M18" s="821" t="s">
        <v>1693</v>
      </c>
      <c r="N18" s="821" t="s">
        <v>2180</v>
      </c>
      <c r="O18" s="821" t="s">
        <v>2180</v>
      </c>
      <c r="P18" s="821" t="s">
        <v>718</v>
      </c>
      <c r="Q18" s="821" t="s">
        <v>2178</v>
      </c>
      <c r="R18" s="821" t="s">
        <v>2178</v>
      </c>
      <c r="S18" s="821" t="s">
        <v>2179</v>
      </c>
      <c r="T18" s="821" t="s">
        <v>2178</v>
      </c>
      <c r="U18" s="821" t="s">
        <v>2178</v>
      </c>
      <c r="V18" s="821" t="s">
        <v>2177</v>
      </c>
      <c r="W18" s="823"/>
      <c r="X18" s="1484">
        <v>0.18170441600000001</v>
      </c>
      <c r="Y18" s="1484">
        <v>0.18170441600000001</v>
      </c>
      <c r="Z18" s="1484">
        <v>0.52807845900000006</v>
      </c>
      <c r="AA18" s="1484">
        <v>0.21009573100000001</v>
      </c>
      <c r="AB18" s="1484">
        <v>0.21009573100000001</v>
      </c>
      <c r="AC18" s="1484">
        <v>0.46561756600000004</v>
      </c>
      <c r="AD18" s="1484">
        <v>0.11924352300000002</v>
      </c>
      <c r="AE18" s="1484">
        <v>0.11924352300000002</v>
      </c>
      <c r="AF18" s="1484">
        <v>0.19306094200000001</v>
      </c>
      <c r="AG18" s="1484">
        <v>0.59053935199999996</v>
      </c>
      <c r="AH18" s="1484">
        <v>0.51104367000000006</v>
      </c>
      <c r="AI18" s="1484">
        <v>3.2933925400000001</v>
      </c>
      <c r="AJ18" s="1484">
        <v>0.34069578</v>
      </c>
      <c r="AK18" s="1484">
        <v>0.28391315</v>
      </c>
      <c r="AL18" s="1484">
        <v>0.91987860600000004</v>
      </c>
      <c r="AM18" s="1484">
        <v>0.36340883200000001</v>
      </c>
      <c r="AN18" s="1484">
        <v>0.36340883200000001</v>
      </c>
      <c r="AO18" s="1484">
        <v>0.70410461200000007</v>
      </c>
      <c r="AP18" s="1484">
        <v>0.36340883200000001</v>
      </c>
      <c r="AQ18" s="1484">
        <v>0.36340883200000001</v>
      </c>
      <c r="AR18" s="1484">
        <v>0.50536540699999999</v>
      </c>
      <c r="AS18" s="1484">
        <v>0.66700000000000004</v>
      </c>
      <c r="AT18" s="1484">
        <v>0.52300000000000002</v>
      </c>
      <c r="AU18" s="1484">
        <v>6.484</v>
      </c>
      <c r="AV18" s="1484">
        <v>0.32366099100000001</v>
      </c>
      <c r="AW18" s="1484">
        <v>0.28959141300000002</v>
      </c>
      <c r="AX18" s="1484">
        <v>0.60757414100000007</v>
      </c>
      <c r="AY18" s="1484">
        <v>0.215773994</v>
      </c>
      <c r="AZ18" s="1484">
        <v>0.215773994</v>
      </c>
      <c r="BA18" s="1484">
        <v>0.29526967599999998</v>
      </c>
      <c r="BB18" s="1484">
        <v>0.66700000000000004</v>
      </c>
      <c r="BC18" s="1484">
        <v>0.52300000000000002</v>
      </c>
      <c r="BD18" s="1484">
        <v>6.484</v>
      </c>
      <c r="BE18" s="1484">
        <v>0.90038000000000007</v>
      </c>
      <c r="BF18" s="1484">
        <v>0.90038000000000007</v>
      </c>
      <c r="BG18" s="1484">
        <v>1.263995</v>
      </c>
      <c r="BH18" s="1484">
        <v>1.4596545000000001</v>
      </c>
      <c r="BI18" s="1484">
        <v>1.1912719999999999</v>
      </c>
      <c r="BJ18" s="1484">
        <v>1.5583500000000001</v>
      </c>
      <c r="BK18" s="1484">
        <v>2.8391315000000001</v>
      </c>
      <c r="BL18" s="1484">
        <v>2.8391315000000001</v>
      </c>
      <c r="BM18" s="1484">
        <v>3.9747840999999999</v>
      </c>
      <c r="BN18" s="1484">
        <v>2.8391315000000001</v>
      </c>
      <c r="BO18" s="1484">
        <v>2.8391315000000001</v>
      </c>
      <c r="BP18" s="1484">
        <v>8.2334813499999999</v>
      </c>
      <c r="BQ18" s="823"/>
      <c r="BR18" s="1003">
        <f>BR17*5.678263</f>
        <v>1.98739205</v>
      </c>
      <c r="BS18" s="1003">
        <f t="shared" ref="BS18:CC18" si="0">BS17*5.678263</f>
        <v>1.98739205</v>
      </c>
      <c r="BT18" s="1003">
        <f t="shared" si="0"/>
        <v>2.89591413</v>
      </c>
      <c r="BU18" s="1003">
        <f t="shared" si="0"/>
        <v>2.3848704600000001</v>
      </c>
      <c r="BV18" s="1003">
        <f t="shared" si="0"/>
        <v>2.3848704600000001</v>
      </c>
      <c r="BW18" s="1003">
        <f t="shared" si="0"/>
        <v>4.1451319900000003</v>
      </c>
      <c r="BX18" s="1003">
        <f t="shared" si="0"/>
        <v>2.8391315000000001</v>
      </c>
      <c r="BY18" s="1003">
        <f t="shared" si="0"/>
        <v>2.8391315000000001</v>
      </c>
      <c r="BZ18" s="1003">
        <f t="shared" si="0"/>
        <v>4.5993930300000008</v>
      </c>
      <c r="CA18" s="1003">
        <f t="shared" si="0"/>
        <v>4.3722625100000005</v>
      </c>
      <c r="CB18" s="1003">
        <f t="shared" si="0"/>
        <v>3.8612188400000003</v>
      </c>
      <c r="CC18" s="1003">
        <f t="shared" si="0"/>
        <v>4.3722625100000005</v>
      </c>
      <c r="CD18" s="1003">
        <v>0.4</v>
      </c>
      <c r="CE18" s="1003">
        <v>0.4</v>
      </c>
      <c r="CF18" s="1003" t="s">
        <v>764</v>
      </c>
      <c r="CG18" s="1003">
        <v>0.4</v>
      </c>
      <c r="CH18" s="1003">
        <v>0.4</v>
      </c>
      <c r="CI18" s="1003" t="s">
        <v>764</v>
      </c>
      <c r="CJ18" s="1003">
        <v>0.4</v>
      </c>
      <c r="CK18" s="1003">
        <v>0.4</v>
      </c>
      <c r="CL18" s="1003" t="s">
        <v>764</v>
      </c>
      <c r="CM18" s="1003">
        <v>0.4</v>
      </c>
      <c r="CN18" s="1003">
        <v>0.4</v>
      </c>
      <c r="CO18" s="1003" t="s">
        <v>764</v>
      </c>
      <c r="CP18" s="1003">
        <v>2.84</v>
      </c>
      <c r="CQ18" s="1003">
        <v>2.84</v>
      </c>
      <c r="CR18" s="1003">
        <v>2.84</v>
      </c>
      <c r="CS18" s="1003">
        <v>2.84</v>
      </c>
      <c r="CT18" s="1003">
        <v>6.53</v>
      </c>
      <c r="CU18" s="1003">
        <v>6.53</v>
      </c>
      <c r="CV18" s="1003">
        <v>0.4</v>
      </c>
      <c r="CW18" s="1003">
        <v>0.4</v>
      </c>
      <c r="CX18" s="1003">
        <v>0.4</v>
      </c>
      <c r="CY18" s="1003">
        <v>0.4</v>
      </c>
      <c r="CZ18" s="1003" t="s">
        <v>764</v>
      </c>
      <c r="DA18" s="1004" t="s">
        <v>764</v>
      </c>
      <c r="DI18" s="1016" t="s">
        <v>2737</v>
      </c>
      <c r="DJ18" s="1016" t="s">
        <v>2748</v>
      </c>
      <c r="DK18" s="1016" t="s">
        <v>2749</v>
      </c>
      <c r="DL18" s="1016" t="s">
        <v>2753</v>
      </c>
    </row>
    <row r="19" spans="1:116" s="1016" customFormat="1" ht="57" x14ac:dyDescent="0.25">
      <c r="A19" s="815" t="s">
        <v>772</v>
      </c>
      <c r="B19" s="816" t="s">
        <v>2169</v>
      </c>
      <c r="C19" s="817" t="s">
        <v>2169</v>
      </c>
      <c r="D19" s="817" t="s">
        <v>2170</v>
      </c>
      <c r="E19" s="817" t="s">
        <v>198</v>
      </c>
      <c r="F19" s="817" t="s">
        <v>198</v>
      </c>
      <c r="G19" s="817" t="s">
        <v>196</v>
      </c>
      <c r="H19" s="817" t="s">
        <v>2171</v>
      </c>
      <c r="I19" s="817" t="s">
        <v>2172</v>
      </c>
      <c r="J19" s="817" t="s">
        <v>202</v>
      </c>
      <c r="K19" s="817" t="s">
        <v>182</v>
      </c>
      <c r="L19" s="817" t="s">
        <v>182</v>
      </c>
      <c r="M19" s="817" t="s">
        <v>180</v>
      </c>
      <c r="N19" s="817" t="s">
        <v>2173</v>
      </c>
      <c r="O19" s="817" t="s">
        <v>185</v>
      </c>
      <c r="P19" s="817" t="s">
        <v>184</v>
      </c>
      <c r="Q19" s="817" t="s">
        <v>189</v>
      </c>
      <c r="R19" s="817" t="s">
        <v>189</v>
      </c>
      <c r="S19" s="817" t="s">
        <v>187</v>
      </c>
      <c r="T19" s="817" t="s">
        <v>189</v>
      </c>
      <c r="U19" s="817" t="s">
        <v>189</v>
      </c>
      <c r="V19" s="817" t="s">
        <v>188</v>
      </c>
      <c r="W19" s="823"/>
      <c r="X19" s="1981">
        <v>3.2000000000000001E-2</v>
      </c>
      <c r="Y19" s="1981">
        <v>3.2000000000000001E-2</v>
      </c>
      <c r="Z19" s="1485">
        <v>9.2999999999999999E-2</v>
      </c>
      <c r="AA19" s="1981">
        <v>3.6999999999999998E-2</v>
      </c>
      <c r="AB19" s="1981">
        <v>3.6999999999999998E-2</v>
      </c>
      <c r="AC19" s="1485">
        <v>8.2000000000000003E-2</v>
      </c>
      <c r="AD19" s="1981">
        <v>2.1000000000000001E-2</v>
      </c>
      <c r="AE19" s="1981">
        <v>2.1000000000000001E-2</v>
      </c>
      <c r="AF19" s="1485">
        <v>3.4000000000000002E-2</v>
      </c>
      <c r="AG19" s="1485">
        <v>0.104</v>
      </c>
      <c r="AH19" s="1485">
        <v>0.09</v>
      </c>
      <c r="AI19" s="1485">
        <v>0.57999999999999996</v>
      </c>
      <c r="AJ19" s="1485">
        <v>0.06</v>
      </c>
      <c r="AK19" s="1485">
        <v>0.05</v>
      </c>
      <c r="AL19" s="1485">
        <v>0.16200000000000001</v>
      </c>
      <c r="AM19" s="1485">
        <v>6.4000000000000001E-2</v>
      </c>
      <c r="AN19" s="1485">
        <v>6.4000000000000001E-2</v>
      </c>
      <c r="AO19" s="1485">
        <v>0.124</v>
      </c>
      <c r="AP19" s="1485">
        <v>6.4000000000000001E-2</v>
      </c>
      <c r="AQ19" s="1485">
        <v>6.4000000000000001E-2</v>
      </c>
      <c r="AR19" s="1485">
        <v>8.8999999999999996E-2</v>
      </c>
      <c r="AS19" s="1485">
        <v>0.11899999999999999</v>
      </c>
      <c r="AT19" s="1485">
        <v>9.1999999999999998E-2</v>
      </c>
      <c r="AU19" s="1485">
        <v>1.1399999999999999</v>
      </c>
      <c r="AV19" s="1485">
        <v>5.7000000000000002E-2</v>
      </c>
      <c r="AW19" s="1485">
        <v>5.0999999999999997E-2</v>
      </c>
      <c r="AX19" s="1485">
        <v>0.107</v>
      </c>
      <c r="AY19" s="1485">
        <v>3.7999999999999999E-2</v>
      </c>
      <c r="AZ19" s="1485">
        <v>3.7999999999999999E-2</v>
      </c>
      <c r="BA19" s="1485">
        <v>5.1999999999999998E-2</v>
      </c>
      <c r="BB19" s="1485">
        <v>3.3000000000000002E-2</v>
      </c>
      <c r="BC19" s="1485">
        <v>3.3000000000000002E-2</v>
      </c>
      <c r="BD19" s="1485">
        <v>5.0999999999999997E-2</v>
      </c>
      <c r="BE19" s="1485">
        <v>0.52</v>
      </c>
      <c r="BF19" s="1485">
        <v>0.52</v>
      </c>
      <c r="BG19" s="1485">
        <v>0.73</v>
      </c>
      <c r="BH19" s="1485">
        <v>0.84299999999999997</v>
      </c>
      <c r="BI19" s="1485">
        <v>0.68799999999999994</v>
      </c>
      <c r="BJ19" s="1485">
        <v>0.9</v>
      </c>
      <c r="BK19" s="1485">
        <v>0.5</v>
      </c>
      <c r="BL19" s="1485">
        <v>0.5</v>
      </c>
      <c r="BM19" s="1485">
        <v>0.7</v>
      </c>
      <c r="BN19" s="1006">
        <v>0.5</v>
      </c>
      <c r="BO19" s="1006">
        <v>0.5</v>
      </c>
      <c r="BP19" s="1006">
        <v>1.45</v>
      </c>
      <c r="BQ19" s="823"/>
      <c r="BR19" s="945">
        <v>0.35</v>
      </c>
      <c r="BS19" s="945">
        <v>0.35</v>
      </c>
      <c r="BT19" s="945">
        <v>0.51</v>
      </c>
      <c r="BU19" s="945">
        <v>0.42</v>
      </c>
      <c r="BV19" s="945">
        <v>0.42</v>
      </c>
      <c r="BW19" s="945">
        <v>0.73</v>
      </c>
      <c r="BX19" s="945">
        <v>0.5</v>
      </c>
      <c r="BY19" s="945">
        <v>0.5</v>
      </c>
      <c r="BZ19" s="945">
        <v>0.81</v>
      </c>
      <c r="CA19" s="945">
        <v>0.77</v>
      </c>
      <c r="CB19" s="945">
        <v>0.68</v>
      </c>
      <c r="CC19" s="945">
        <v>0.77</v>
      </c>
      <c r="CD19" s="1006">
        <v>0.4</v>
      </c>
      <c r="CE19" s="1006">
        <v>0.4</v>
      </c>
      <c r="CF19" s="1006" t="s">
        <v>764</v>
      </c>
      <c r="CG19" s="1006">
        <v>0.4</v>
      </c>
      <c r="CH19" s="1006">
        <v>0.4</v>
      </c>
      <c r="CI19" s="1006" t="s">
        <v>764</v>
      </c>
      <c r="CJ19" s="1006">
        <v>0.4</v>
      </c>
      <c r="CK19" s="1006">
        <v>0.4</v>
      </c>
      <c r="CL19" s="1006" t="s">
        <v>764</v>
      </c>
      <c r="CM19" s="1006">
        <v>0.4</v>
      </c>
      <c r="CN19" s="1006">
        <v>0.4</v>
      </c>
      <c r="CO19" s="1006" t="s">
        <v>764</v>
      </c>
      <c r="CP19" s="1005">
        <v>0.5</v>
      </c>
      <c r="CQ19" s="1005">
        <v>0.5</v>
      </c>
      <c r="CR19" s="1005">
        <v>0.5</v>
      </c>
      <c r="CS19" s="1005">
        <v>0.5</v>
      </c>
      <c r="CT19" s="1005">
        <v>1.1499999999999999</v>
      </c>
      <c r="CU19" s="1005">
        <v>1.1499999999999999</v>
      </c>
      <c r="CV19" s="1005">
        <v>0.4</v>
      </c>
      <c r="CW19" s="1005">
        <v>0.4</v>
      </c>
      <c r="CX19" s="1005">
        <v>0.4</v>
      </c>
      <c r="CY19" s="1005">
        <v>0.4</v>
      </c>
      <c r="CZ19" s="1006" t="s">
        <v>764</v>
      </c>
      <c r="DA19" s="1007" t="s">
        <v>764</v>
      </c>
      <c r="DI19" s="1016" t="s">
        <v>2741</v>
      </c>
      <c r="DJ19" s="1016" t="s">
        <v>2754</v>
      </c>
      <c r="DK19" s="1016" t="s">
        <v>2754</v>
      </c>
      <c r="DL19" s="1016" t="s">
        <v>2755</v>
      </c>
    </row>
    <row r="20" spans="1:116" s="1016" customFormat="1" ht="57" x14ac:dyDescent="0.25">
      <c r="A20" s="819" t="s">
        <v>791</v>
      </c>
      <c r="B20" s="820" t="s">
        <v>2174</v>
      </c>
      <c r="C20" s="820" t="s">
        <v>2174</v>
      </c>
      <c r="D20" s="820" t="s">
        <v>2175</v>
      </c>
      <c r="E20" s="821" t="s">
        <v>2176</v>
      </c>
      <c r="F20" s="821" t="s">
        <v>2176</v>
      </c>
      <c r="G20" s="821" t="s">
        <v>1691</v>
      </c>
      <c r="H20" s="821" t="s">
        <v>2184</v>
      </c>
      <c r="I20" s="821" t="s">
        <v>2183</v>
      </c>
      <c r="J20" s="821" t="s">
        <v>2182</v>
      </c>
      <c r="K20" s="821" t="s">
        <v>2181</v>
      </c>
      <c r="L20" s="821" t="s">
        <v>2181</v>
      </c>
      <c r="M20" s="821" t="s">
        <v>1693</v>
      </c>
      <c r="N20" s="821" t="s">
        <v>2180</v>
      </c>
      <c r="O20" s="821" t="s">
        <v>2180</v>
      </c>
      <c r="P20" s="821" t="s">
        <v>718</v>
      </c>
      <c r="Q20" s="821" t="s">
        <v>2178</v>
      </c>
      <c r="R20" s="821" t="s">
        <v>2178</v>
      </c>
      <c r="S20" s="821" t="s">
        <v>2179</v>
      </c>
      <c r="T20" s="821" t="s">
        <v>2178</v>
      </c>
      <c r="U20" s="821" t="s">
        <v>2178</v>
      </c>
      <c r="V20" s="821" t="s">
        <v>2177</v>
      </c>
      <c r="W20" s="823"/>
      <c r="X20" s="1484">
        <v>0.18170441600000001</v>
      </c>
      <c r="Y20" s="1484">
        <v>0.18170441600000001</v>
      </c>
      <c r="Z20" s="1484">
        <v>0.52807845900000006</v>
      </c>
      <c r="AA20" s="1484">
        <v>0.21009573100000001</v>
      </c>
      <c r="AB20" s="1484">
        <v>0.21009573100000001</v>
      </c>
      <c r="AC20" s="1484">
        <v>0.46561756600000004</v>
      </c>
      <c r="AD20" s="1484">
        <v>0.11924352300000002</v>
      </c>
      <c r="AE20" s="1484">
        <v>0.11924352300000002</v>
      </c>
      <c r="AF20" s="1484">
        <v>0.19306094200000001</v>
      </c>
      <c r="AG20" s="1484">
        <v>0.59053935199999996</v>
      </c>
      <c r="AH20" s="1484">
        <v>0.51104367000000006</v>
      </c>
      <c r="AI20" s="1484">
        <v>3.2933925400000001</v>
      </c>
      <c r="AJ20" s="1484">
        <v>0.34069578</v>
      </c>
      <c r="AK20" s="1484">
        <v>0.28391315</v>
      </c>
      <c r="AL20" s="1484">
        <v>0.91987860600000004</v>
      </c>
      <c r="AM20" s="1484">
        <v>0.36340883200000001</v>
      </c>
      <c r="AN20" s="1484">
        <v>0.36340883200000001</v>
      </c>
      <c r="AO20" s="1484">
        <v>0.70410461200000007</v>
      </c>
      <c r="AP20" s="1484">
        <v>0.36340883200000001</v>
      </c>
      <c r="AQ20" s="1484">
        <v>0.36340883200000001</v>
      </c>
      <c r="AR20" s="1484">
        <v>0.50536540699999999</v>
      </c>
      <c r="AS20" s="1484">
        <v>0.66700000000000004</v>
      </c>
      <c r="AT20" s="1484">
        <v>0.52300000000000002</v>
      </c>
      <c r="AU20" s="1484">
        <v>6.484</v>
      </c>
      <c r="AV20" s="1484">
        <v>0.32366099100000001</v>
      </c>
      <c r="AW20" s="1484">
        <v>0.28959141300000002</v>
      </c>
      <c r="AX20" s="1484">
        <v>0.60757414100000007</v>
      </c>
      <c r="AY20" s="1484">
        <v>0.215773994</v>
      </c>
      <c r="AZ20" s="1484">
        <v>0.215773994</v>
      </c>
      <c r="BA20" s="1484">
        <v>0.29526967599999998</v>
      </c>
      <c r="BB20" s="1484">
        <v>0.66700000000000004</v>
      </c>
      <c r="BC20" s="1484">
        <v>0.52300000000000002</v>
      </c>
      <c r="BD20" s="1484">
        <v>6.484</v>
      </c>
      <c r="BE20" s="1484">
        <v>0.90038000000000007</v>
      </c>
      <c r="BF20" s="1484">
        <v>0.90038000000000007</v>
      </c>
      <c r="BG20" s="1484">
        <v>1.263995</v>
      </c>
      <c r="BH20" s="1484">
        <v>1.4596545000000001</v>
      </c>
      <c r="BI20" s="1484">
        <v>1.1912719999999999</v>
      </c>
      <c r="BJ20" s="1484">
        <v>1.5583500000000001</v>
      </c>
      <c r="BK20" s="1484">
        <v>2.8391315000000001</v>
      </c>
      <c r="BL20" s="1484">
        <v>2.8391315000000001</v>
      </c>
      <c r="BM20" s="1484">
        <v>3.9747840999999999</v>
      </c>
      <c r="BN20" s="1484">
        <v>2.8391315000000001</v>
      </c>
      <c r="BO20" s="1484">
        <v>2.8391315000000001</v>
      </c>
      <c r="BP20" s="1484">
        <v>8.2334813499999999</v>
      </c>
      <c r="BQ20" s="823"/>
      <c r="BR20" s="1003">
        <f>BR19*5.678263</f>
        <v>1.98739205</v>
      </c>
      <c r="BS20" s="1003">
        <f t="shared" ref="BS20" si="1">BS19*5.678263</f>
        <v>1.98739205</v>
      </c>
      <c r="BT20" s="1003">
        <f t="shared" ref="BT20" si="2">BT19*5.678263</f>
        <v>2.89591413</v>
      </c>
      <c r="BU20" s="1003">
        <f t="shared" ref="BU20" si="3">BU19*5.678263</f>
        <v>2.3848704600000001</v>
      </c>
      <c r="BV20" s="1003">
        <f t="shared" ref="BV20" si="4">BV19*5.678263</f>
        <v>2.3848704600000001</v>
      </c>
      <c r="BW20" s="1003">
        <f t="shared" ref="BW20" si="5">BW19*5.678263</f>
        <v>4.1451319900000003</v>
      </c>
      <c r="BX20" s="1003">
        <f t="shared" ref="BX20" si="6">BX19*5.678263</f>
        <v>2.8391315000000001</v>
      </c>
      <c r="BY20" s="1003">
        <f t="shared" ref="BY20" si="7">BY19*5.678263</f>
        <v>2.8391315000000001</v>
      </c>
      <c r="BZ20" s="1003">
        <f t="shared" ref="BZ20" si="8">BZ19*5.678263</f>
        <v>4.5993930300000008</v>
      </c>
      <c r="CA20" s="1003">
        <f t="shared" ref="CA20" si="9">CA19*5.678263</f>
        <v>4.3722625100000005</v>
      </c>
      <c r="CB20" s="1003">
        <f t="shared" ref="CB20" si="10">CB19*5.678263</f>
        <v>3.8612188400000003</v>
      </c>
      <c r="CC20" s="1003">
        <f t="shared" ref="CC20" si="11">CC19*5.678263</f>
        <v>4.3722625100000005</v>
      </c>
      <c r="CD20" s="1003">
        <v>0.4</v>
      </c>
      <c r="CE20" s="1003">
        <v>0.4</v>
      </c>
      <c r="CF20" s="1003" t="s">
        <v>764</v>
      </c>
      <c r="CG20" s="1003">
        <v>0.4</v>
      </c>
      <c r="CH20" s="1003">
        <v>0.4</v>
      </c>
      <c r="CI20" s="1003" t="s">
        <v>764</v>
      </c>
      <c r="CJ20" s="1003">
        <v>0.4</v>
      </c>
      <c r="CK20" s="1003">
        <v>0.4</v>
      </c>
      <c r="CL20" s="1003" t="s">
        <v>764</v>
      </c>
      <c r="CM20" s="1003">
        <v>0.4</v>
      </c>
      <c r="CN20" s="1003">
        <v>0.4</v>
      </c>
      <c r="CO20" s="1003" t="s">
        <v>764</v>
      </c>
      <c r="CP20" s="1003">
        <v>2.84</v>
      </c>
      <c r="CQ20" s="1003">
        <v>2.84</v>
      </c>
      <c r="CR20" s="1003">
        <v>2.84</v>
      </c>
      <c r="CS20" s="1003">
        <v>2.84</v>
      </c>
      <c r="CT20" s="1003">
        <v>6.53</v>
      </c>
      <c r="CU20" s="1003">
        <v>6.53</v>
      </c>
      <c r="CV20" s="1003">
        <v>0.4</v>
      </c>
      <c r="CW20" s="1003">
        <v>0.4</v>
      </c>
      <c r="CX20" s="1003">
        <v>0.4</v>
      </c>
      <c r="CY20" s="1003">
        <v>0.4</v>
      </c>
      <c r="CZ20" s="1003" t="s">
        <v>764</v>
      </c>
      <c r="DA20" s="1004" t="s">
        <v>764</v>
      </c>
      <c r="DI20" s="1016" t="s">
        <v>2742</v>
      </c>
      <c r="DJ20" s="1016" t="s">
        <v>2745</v>
      </c>
      <c r="DK20" s="1016" t="s">
        <v>2745</v>
      </c>
      <c r="DL20" s="1016" t="s">
        <v>2756</v>
      </c>
    </row>
    <row r="21" spans="1:116" s="1016" customFormat="1" ht="57" x14ac:dyDescent="0.25">
      <c r="A21" s="815" t="s">
        <v>773</v>
      </c>
      <c r="B21" s="816" t="s">
        <v>2169</v>
      </c>
      <c r="C21" s="817" t="s">
        <v>2169</v>
      </c>
      <c r="D21" s="817" t="s">
        <v>2170</v>
      </c>
      <c r="E21" s="817" t="s">
        <v>198</v>
      </c>
      <c r="F21" s="817" t="s">
        <v>198</v>
      </c>
      <c r="G21" s="817" t="s">
        <v>196</v>
      </c>
      <c r="H21" s="817" t="s">
        <v>2171</v>
      </c>
      <c r="I21" s="817" t="s">
        <v>2172</v>
      </c>
      <c r="J21" s="817" t="s">
        <v>202</v>
      </c>
      <c r="K21" s="817" t="s">
        <v>182</v>
      </c>
      <c r="L21" s="817" t="s">
        <v>182</v>
      </c>
      <c r="M21" s="817" t="s">
        <v>180</v>
      </c>
      <c r="N21" s="817" t="s">
        <v>2173</v>
      </c>
      <c r="O21" s="817" t="s">
        <v>185</v>
      </c>
      <c r="P21" s="817" t="s">
        <v>184</v>
      </c>
      <c r="Q21" s="817" t="s">
        <v>189</v>
      </c>
      <c r="R21" s="817" t="s">
        <v>189</v>
      </c>
      <c r="S21" s="817" t="s">
        <v>187</v>
      </c>
      <c r="T21" s="817" t="s">
        <v>189</v>
      </c>
      <c r="U21" s="817" t="s">
        <v>189</v>
      </c>
      <c r="V21" s="817" t="s">
        <v>188</v>
      </c>
      <c r="W21" s="823"/>
      <c r="X21" s="1981">
        <v>3.2000000000000001E-2</v>
      </c>
      <c r="Y21" s="1981">
        <v>3.2000000000000001E-2</v>
      </c>
      <c r="Z21" s="1485">
        <v>9.2999999999999999E-2</v>
      </c>
      <c r="AA21" s="1981">
        <v>3.6999999999999998E-2</v>
      </c>
      <c r="AB21" s="1981">
        <v>3.6999999999999998E-2</v>
      </c>
      <c r="AC21" s="1485">
        <v>8.2000000000000003E-2</v>
      </c>
      <c r="AD21" s="1981">
        <v>2.1000000000000001E-2</v>
      </c>
      <c r="AE21" s="1981">
        <v>2.1000000000000001E-2</v>
      </c>
      <c r="AF21" s="1485">
        <v>3.4000000000000002E-2</v>
      </c>
      <c r="AG21" s="1485">
        <v>0.104</v>
      </c>
      <c r="AH21" s="1485">
        <v>0.09</v>
      </c>
      <c r="AI21" s="1485">
        <v>0.57999999999999996</v>
      </c>
      <c r="AJ21" s="1485">
        <v>0.06</v>
      </c>
      <c r="AK21" s="1485">
        <v>0.05</v>
      </c>
      <c r="AL21" s="1485">
        <v>0.16200000000000001</v>
      </c>
      <c r="AM21" s="1485">
        <v>6.4000000000000001E-2</v>
      </c>
      <c r="AN21" s="1485">
        <v>6.4000000000000001E-2</v>
      </c>
      <c r="AO21" s="1485">
        <v>0.124</v>
      </c>
      <c r="AP21" s="1485">
        <v>6.4000000000000001E-2</v>
      </c>
      <c r="AQ21" s="1485">
        <v>6.4000000000000001E-2</v>
      </c>
      <c r="AR21" s="1485">
        <v>8.8999999999999996E-2</v>
      </c>
      <c r="AS21" s="1485">
        <v>0.11899999999999999</v>
      </c>
      <c r="AT21" s="1485">
        <v>9.1999999999999998E-2</v>
      </c>
      <c r="AU21" s="1485">
        <v>1.1399999999999999</v>
      </c>
      <c r="AV21" s="1485">
        <v>5.7000000000000002E-2</v>
      </c>
      <c r="AW21" s="1485">
        <v>5.0999999999999997E-2</v>
      </c>
      <c r="AX21" s="1485">
        <v>0.107</v>
      </c>
      <c r="AY21" s="1485">
        <v>3.7999999999999999E-2</v>
      </c>
      <c r="AZ21" s="1485">
        <v>3.7999999999999999E-2</v>
      </c>
      <c r="BA21" s="1485">
        <v>5.1999999999999998E-2</v>
      </c>
      <c r="BB21" s="1485">
        <v>3.3000000000000002E-2</v>
      </c>
      <c r="BC21" s="1485">
        <v>3.3000000000000002E-2</v>
      </c>
      <c r="BD21" s="1485">
        <v>5.0999999999999997E-2</v>
      </c>
      <c r="BE21" s="1485">
        <v>0.52</v>
      </c>
      <c r="BF21" s="1485">
        <v>0.52</v>
      </c>
      <c r="BG21" s="1485">
        <v>0.73</v>
      </c>
      <c r="BH21" s="1485">
        <v>0.84299999999999997</v>
      </c>
      <c r="BI21" s="1485">
        <v>0.68799999999999994</v>
      </c>
      <c r="BJ21" s="1485">
        <v>0.9</v>
      </c>
      <c r="BK21" s="1485">
        <v>0.5</v>
      </c>
      <c r="BL21" s="1485">
        <v>0.5</v>
      </c>
      <c r="BM21" s="1485">
        <v>0.7</v>
      </c>
      <c r="BN21" s="1006">
        <v>0.5</v>
      </c>
      <c r="BO21" s="1006">
        <v>0.5</v>
      </c>
      <c r="BP21" s="1006">
        <v>1.45</v>
      </c>
      <c r="BQ21" s="823"/>
      <c r="BR21" s="945">
        <v>0.35</v>
      </c>
      <c r="BS21" s="945">
        <v>0.35</v>
      </c>
      <c r="BT21" s="945">
        <v>0.51</v>
      </c>
      <c r="BU21" s="945">
        <v>0.42</v>
      </c>
      <c r="BV21" s="945">
        <v>0.42</v>
      </c>
      <c r="BW21" s="945">
        <v>0.73</v>
      </c>
      <c r="BX21" s="945">
        <v>0.5</v>
      </c>
      <c r="BY21" s="945">
        <v>0.5</v>
      </c>
      <c r="BZ21" s="945">
        <v>0.81</v>
      </c>
      <c r="CA21" s="945">
        <v>0.77</v>
      </c>
      <c r="CB21" s="945">
        <v>0.68</v>
      </c>
      <c r="CC21" s="945">
        <v>0.77</v>
      </c>
      <c r="CD21" s="1006">
        <v>0.4</v>
      </c>
      <c r="CE21" s="1006">
        <v>0.4</v>
      </c>
      <c r="CF21" s="1006" t="s">
        <v>764</v>
      </c>
      <c r="CG21" s="1006">
        <v>0.4</v>
      </c>
      <c r="CH21" s="1006">
        <v>0.4</v>
      </c>
      <c r="CI21" s="1006" t="s">
        <v>764</v>
      </c>
      <c r="CJ21" s="1006">
        <v>0.4</v>
      </c>
      <c r="CK21" s="1006">
        <v>0.4</v>
      </c>
      <c r="CL21" s="1006" t="s">
        <v>764</v>
      </c>
      <c r="CM21" s="1006">
        <v>0.4</v>
      </c>
      <c r="CN21" s="1006">
        <v>0.4</v>
      </c>
      <c r="CO21" s="1006" t="s">
        <v>764</v>
      </c>
      <c r="CP21" s="1005">
        <v>0.5</v>
      </c>
      <c r="CQ21" s="1005">
        <v>0.5</v>
      </c>
      <c r="CR21" s="1005">
        <v>0.5</v>
      </c>
      <c r="CS21" s="1005">
        <v>0.5</v>
      </c>
      <c r="CT21" s="1005">
        <v>1.1499999999999999</v>
      </c>
      <c r="CU21" s="1005">
        <v>1.1499999999999999</v>
      </c>
      <c r="CV21" s="1005">
        <v>0.4</v>
      </c>
      <c r="CW21" s="1005">
        <v>0.4</v>
      </c>
      <c r="CX21" s="1005">
        <v>0.4</v>
      </c>
      <c r="CY21" s="1005">
        <v>0.4</v>
      </c>
      <c r="CZ21" s="1006" t="s">
        <v>764</v>
      </c>
      <c r="DA21" s="1007" t="s">
        <v>764</v>
      </c>
      <c r="DI21" s="1016" t="s">
        <v>2743</v>
      </c>
      <c r="DJ21" s="1016" t="s">
        <v>2746</v>
      </c>
      <c r="DK21" s="1016" t="s">
        <v>2746</v>
      </c>
      <c r="DL21" s="1016" t="s">
        <v>2757</v>
      </c>
    </row>
    <row r="22" spans="1:116" s="1016" customFormat="1" ht="57" x14ac:dyDescent="0.25">
      <c r="A22" s="819" t="s">
        <v>790</v>
      </c>
      <c r="B22" s="820" t="s">
        <v>2174</v>
      </c>
      <c r="C22" s="820" t="s">
        <v>2174</v>
      </c>
      <c r="D22" s="820" t="s">
        <v>2175</v>
      </c>
      <c r="E22" s="821" t="s">
        <v>2176</v>
      </c>
      <c r="F22" s="821" t="s">
        <v>2176</v>
      </c>
      <c r="G22" s="821" t="s">
        <v>1691</v>
      </c>
      <c r="H22" s="821" t="s">
        <v>2184</v>
      </c>
      <c r="I22" s="821" t="s">
        <v>2183</v>
      </c>
      <c r="J22" s="821" t="s">
        <v>2182</v>
      </c>
      <c r="K22" s="821" t="s">
        <v>2181</v>
      </c>
      <c r="L22" s="821" t="s">
        <v>2181</v>
      </c>
      <c r="M22" s="821" t="s">
        <v>1693</v>
      </c>
      <c r="N22" s="821" t="s">
        <v>2180</v>
      </c>
      <c r="O22" s="821" t="s">
        <v>2180</v>
      </c>
      <c r="P22" s="821" t="s">
        <v>718</v>
      </c>
      <c r="Q22" s="821" t="s">
        <v>2178</v>
      </c>
      <c r="R22" s="821" t="s">
        <v>2178</v>
      </c>
      <c r="S22" s="821" t="s">
        <v>2179</v>
      </c>
      <c r="T22" s="821" t="s">
        <v>2178</v>
      </c>
      <c r="U22" s="821" t="s">
        <v>2178</v>
      </c>
      <c r="V22" s="821" t="s">
        <v>2177</v>
      </c>
      <c r="W22" s="823"/>
      <c r="X22" s="1484">
        <v>0.18170441600000001</v>
      </c>
      <c r="Y22" s="1484">
        <v>0.18170441600000001</v>
      </c>
      <c r="Z22" s="1484">
        <v>0.52807845900000006</v>
      </c>
      <c r="AA22" s="1484">
        <v>0.21009573100000001</v>
      </c>
      <c r="AB22" s="1484">
        <v>0.21009573100000001</v>
      </c>
      <c r="AC22" s="1484">
        <v>0.46561756600000004</v>
      </c>
      <c r="AD22" s="1484">
        <v>0.11924352300000002</v>
      </c>
      <c r="AE22" s="1484">
        <v>0.11924352300000002</v>
      </c>
      <c r="AF22" s="1484">
        <v>0.19306094200000001</v>
      </c>
      <c r="AG22" s="1484">
        <v>0.59053935199999996</v>
      </c>
      <c r="AH22" s="1484">
        <v>0.51104367000000006</v>
      </c>
      <c r="AI22" s="1484">
        <v>3.2933925400000001</v>
      </c>
      <c r="AJ22" s="1484">
        <v>0.34069578</v>
      </c>
      <c r="AK22" s="1484">
        <v>0.28391315</v>
      </c>
      <c r="AL22" s="1484">
        <v>0.91987860600000004</v>
      </c>
      <c r="AM22" s="1484">
        <v>0.36340883200000001</v>
      </c>
      <c r="AN22" s="1484">
        <v>0.36340883200000001</v>
      </c>
      <c r="AO22" s="1484">
        <v>0.70410461200000007</v>
      </c>
      <c r="AP22" s="1484">
        <v>0.36340883200000001</v>
      </c>
      <c r="AQ22" s="1484">
        <v>0.36340883200000001</v>
      </c>
      <c r="AR22" s="1484">
        <v>0.50536540699999999</v>
      </c>
      <c r="AS22" s="1484">
        <v>0.66700000000000004</v>
      </c>
      <c r="AT22" s="1484">
        <v>0.52300000000000002</v>
      </c>
      <c r="AU22" s="1484">
        <v>6.484</v>
      </c>
      <c r="AV22" s="1484">
        <v>0.32366099100000001</v>
      </c>
      <c r="AW22" s="1484">
        <v>0.28959141300000002</v>
      </c>
      <c r="AX22" s="1484">
        <v>0.60757414100000007</v>
      </c>
      <c r="AY22" s="1484">
        <v>0.215773994</v>
      </c>
      <c r="AZ22" s="1484">
        <v>0.215773994</v>
      </c>
      <c r="BA22" s="1484">
        <v>0.29526967599999998</v>
      </c>
      <c r="BB22" s="1484">
        <v>0.66700000000000004</v>
      </c>
      <c r="BC22" s="1484">
        <v>0.52300000000000002</v>
      </c>
      <c r="BD22" s="1484">
        <v>6.484</v>
      </c>
      <c r="BE22" s="1484">
        <v>0.90038000000000007</v>
      </c>
      <c r="BF22" s="1484">
        <v>0.90038000000000007</v>
      </c>
      <c r="BG22" s="1484">
        <v>1.263995</v>
      </c>
      <c r="BH22" s="1484">
        <v>1.4596545000000001</v>
      </c>
      <c r="BI22" s="1484">
        <v>1.1912719999999999</v>
      </c>
      <c r="BJ22" s="1484">
        <v>1.5583500000000001</v>
      </c>
      <c r="BK22" s="1484">
        <v>2.8391315000000001</v>
      </c>
      <c r="BL22" s="1484">
        <v>2.8391315000000001</v>
      </c>
      <c r="BM22" s="1484">
        <v>3.9747840999999999</v>
      </c>
      <c r="BN22" s="1484">
        <v>2.8391315000000001</v>
      </c>
      <c r="BO22" s="1484">
        <v>2.8391315000000001</v>
      </c>
      <c r="BP22" s="1484">
        <v>8.2334813499999999</v>
      </c>
      <c r="BQ22" s="823"/>
      <c r="BR22" s="1003">
        <f>BR21*5.678263</f>
        <v>1.98739205</v>
      </c>
      <c r="BS22" s="1003">
        <f t="shared" ref="BS22" si="12">BS21*5.678263</f>
        <v>1.98739205</v>
      </c>
      <c r="BT22" s="1003">
        <f t="shared" ref="BT22" si="13">BT21*5.678263</f>
        <v>2.89591413</v>
      </c>
      <c r="BU22" s="1003">
        <f t="shared" ref="BU22" si="14">BU21*5.678263</f>
        <v>2.3848704600000001</v>
      </c>
      <c r="BV22" s="1003">
        <f t="shared" ref="BV22" si="15">BV21*5.678263</f>
        <v>2.3848704600000001</v>
      </c>
      <c r="BW22" s="1003">
        <f t="shared" ref="BW22" si="16">BW21*5.678263</f>
        <v>4.1451319900000003</v>
      </c>
      <c r="BX22" s="1003">
        <f t="shared" ref="BX22" si="17">BX21*5.678263</f>
        <v>2.8391315000000001</v>
      </c>
      <c r="BY22" s="1003">
        <f t="shared" ref="BY22" si="18">BY21*5.678263</f>
        <v>2.8391315000000001</v>
      </c>
      <c r="BZ22" s="1003">
        <f t="shared" ref="BZ22" si="19">BZ21*5.678263</f>
        <v>4.5993930300000008</v>
      </c>
      <c r="CA22" s="1003">
        <f t="shared" ref="CA22" si="20">CA21*5.678263</f>
        <v>4.3722625100000005</v>
      </c>
      <c r="CB22" s="1003">
        <f t="shared" ref="CB22" si="21">CB21*5.678263</f>
        <v>3.8612188400000003</v>
      </c>
      <c r="CC22" s="1003">
        <f t="shared" ref="CC22" si="22">CC21*5.678263</f>
        <v>4.3722625100000005</v>
      </c>
      <c r="CD22" s="1003">
        <v>0.4</v>
      </c>
      <c r="CE22" s="1003">
        <v>0.4</v>
      </c>
      <c r="CF22" s="1003" t="s">
        <v>764</v>
      </c>
      <c r="CG22" s="1003">
        <v>0.4</v>
      </c>
      <c r="CH22" s="1003">
        <v>0.4</v>
      </c>
      <c r="CI22" s="1003" t="s">
        <v>764</v>
      </c>
      <c r="CJ22" s="1003">
        <v>0.4</v>
      </c>
      <c r="CK22" s="1003">
        <v>0.4</v>
      </c>
      <c r="CL22" s="1003" t="s">
        <v>764</v>
      </c>
      <c r="CM22" s="1003">
        <v>0.4</v>
      </c>
      <c r="CN22" s="1003">
        <v>0.4</v>
      </c>
      <c r="CO22" s="1003" t="s">
        <v>764</v>
      </c>
      <c r="CP22" s="1003">
        <v>2.84</v>
      </c>
      <c r="CQ22" s="1003">
        <v>2.84</v>
      </c>
      <c r="CR22" s="1003">
        <v>2.84</v>
      </c>
      <c r="CS22" s="1003">
        <v>2.84</v>
      </c>
      <c r="CT22" s="1003">
        <v>6.53</v>
      </c>
      <c r="CU22" s="1003">
        <v>6.53</v>
      </c>
      <c r="CV22" s="1003">
        <v>0.4</v>
      </c>
      <c r="CW22" s="1003">
        <v>0.4</v>
      </c>
      <c r="CX22" s="1003">
        <v>0.4</v>
      </c>
      <c r="CY22" s="1003">
        <v>0.4</v>
      </c>
      <c r="CZ22" s="1003" t="s">
        <v>764</v>
      </c>
      <c r="DA22" s="1004" t="s">
        <v>764</v>
      </c>
      <c r="DI22" s="1016" t="s">
        <v>2744</v>
      </c>
      <c r="DJ22" s="1016" t="s">
        <v>2748</v>
      </c>
      <c r="DK22" s="1016" t="s">
        <v>2749</v>
      </c>
      <c r="DL22" s="1016" t="s">
        <v>2753</v>
      </c>
    </row>
    <row r="23" spans="1:116" s="129" customFormat="1" ht="45.6" x14ac:dyDescent="0.25">
      <c r="A23" s="148" t="s">
        <v>774</v>
      </c>
      <c r="B23" s="152" t="s">
        <v>1681</v>
      </c>
      <c r="C23" s="152" t="s">
        <v>1681</v>
      </c>
      <c r="D23" s="152" t="s">
        <v>1696</v>
      </c>
      <c r="E23" s="142" t="s">
        <v>1697</v>
      </c>
      <c r="F23" s="142" t="s">
        <v>1684</v>
      </c>
      <c r="G23" s="142" t="s">
        <v>1683</v>
      </c>
      <c r="H23" s="142" t="s">
        <v>202</v>
      </c>
      <c r="I23" s="142" t="s">
        <v>202</v>
      </c>
      <c r="J23" s="142" t="s">
        <v>202</v>
      </c>
      <c r="K23" s="142" t="s">
        <v>1685</v>
      </c>
      <c r="L23" s="142" t="s">
        <v>1686</v>
      </c>
      <c r="M23" s="142" t="s">
        <v>1687</v>
      </c>
      <c r="N23" s="142" t="s">
        <v>184</v>
      </c>
      <c r="O23" s="142" t="s">
        <v>184</v>
      </c>
      <c r="P23" s="142" t="s">
        <v>184</v>
      </c>
      <c r="Q23" s="142" t="s">
        <v>187</v>
      </c>
      <c r="R23" s="142" t="s">
        <v>187</v>
      </c>
      <c r="S23" s="142" t="s">
        <v>187</v>
      </c>
      <c r="T23" s="142" t="s">
        <v>188</v>
      </c>
      <c r="U23" s="142" t="s">
        <v>189</v>
      </c>
      <c r="V23" s="142" t="s">
        <v>188</v>
      </c>
      <c r="W23" s="327"/>
      <c r="X23" s="1981">
        <v>3.2000000000000001E-2</v>
      </c>
      <c r="Y23" s="1981">
        <v>3.2000000000000001E-2</v>
      </c>
      <c r="Z23" s="1485">
        <v>6.3E-2</v>
      </c>
      <c r="AA23" s="1981">
        <v>3.6999999999999998E-2</v>
      </c>
      <c r="AB23" s="1981">
        <v>3.6999999999999998E-2</v>
      </c>
      <c r="AC23" s="1485">
        <v>8.2000000000000003E-2</v>
      </c>
      <c r="AD23" s="1981">
        <v>2.1000000000000001E-2</v>
      </c>
      <c r="AE23" s="1981">
        <v>2.1000000000000001E-2</v>
      </c>
      <c r="AF23" s="1485">
        <v>3.4000000000000002E-2</v>
      </c>
      <c r="AG23" s="1485">
        <v>0.09</v>
      </c>
      <c r="AH23" s="1485">
        <v>0.08</v>
      </c>
      <c r="AI23" s="1485">
        <v>0.151</v>
      </c>
      <c r="AJ23" s="1485">
        <v>0.05</v>
      </c>
      <c r="AK23" s="1485">
        <v>0.05</v>
      </c>
      <c r="AL23" s="1485">
        <v>9.4E-2</v>
      </c>
      <c r="AM23" s="1485">
        <v>5.5E-2</v>
      </c>
      <c r="AN23" s="1485">
        <v>5.5E-2</v>
      </c>
      <c r="AO23" s="1485">
        <v>8.4000000000000005E-2</v>
      </c>
      <c r="AP23" s="1485">
        <v>5.0999999999999997E-2</v>
      </c>
      <c r="AQ23" s="1485">
        <v>5.0999999999999997E-2</v>
      </c>
      <c r="AR23" s="1485">
        <v>8.8999999999999996E-2</v>
      </c>
      <c r="AS23" s="1485">
        <v>0.11899999999999999</v>
      </c>
      <c r="AT23" s="1485">
        <v>9.1999999999999998E-2</v>
      </c>
      <c r="AU23" s="1485">
        <v>1.1399999999999999</v>
      </c>
      <c r="AV23" s="1485">
        <v>5.7000000000000002E-2</v>
      </c>
      <c r="AW23" s="1485">
        <v>5.0999999999999997E-2</v>
      </c>
      <c r="AX23" s="1485">
        <v>0.107</v>
      </c>
      <c r="AY23" s="1485">
        <v>3.7999999999999999E-2</v>
      </c>
      <c r="AZ23" s="1485">
        <v>3.7999999999999999E-2</v>
      </c>
      <c r="BA23" s="1485">
        <v>5.1999999999999998E-2</v>
      </c>
      <c r="BB23" s="1485">
        <v>3.3000000000000002E-2</v>
      </c>
      <c r="BC23" s="1485">
        <v>3.3000000000000002E-2</v>
      </c>
      <c r="BD23" s="1485">
        <v>5.0999999999999997E-2</v>
      </c>
      <c r="BE23" s="1485">
        <v>0.52</v>
      </c>
      <c r="BF23" s="1485">
        <v>0.51</v>
      </c>
      <c r="BG23" s="1485">
        <v>0.73</v>
      </c>
      <c r="BH23" s="1485">
        <v>0.68799999999999994</v>
      </c>
      <c r="BI23" s="1485">
        <v>0.68799999999999994</v>
      </c>
      <c r="BJ23" s="1485">
        <v>0.9</v>
      </c>
      <c r="BK23" s="1485">
        <v>0.5</v>
      </c>
      <c r="BL23" s="1485">
        <v>0.5</v>
      </c>
      <c r="BM23" s="1485">
        <v>0.7</v>
      </c>
      <c r="BN23" s="1006">
        <v>0.5</v>
      </c>
      <c r="BO23" s="1006">
        <v>0.5</v>
      </c>
      <c r="BP23" s="1006">
        <v>1.45</v>
      </c>
      <c r="BQ23" s="327"/>
      <c r="BR23" s="817">
        <v>0.32</v>
      </c>
      <c r="BS23" s="817">
        <v>0.32</v>
      </c>
      <c r="BT23" s="817">
        <v>0.45</v>
      </c>
      <c r="BU23" s="817">
        <v>0.42</v>
      </c>
      <c r="BV23" s="817">
        <v>0.42</v>
      </c>
      <c r="BW23" s="817">
        <v>0.62</v>
      </c>
      <c r="BX23" s="817">
        <v>0.5</v>
      </c>
      <c r="BY23" s="817">
        <v>0.5</v>
      </c>
      <c r="BZ23" s="817">
        <v>0.7</v>
      </c>
      <c r="CA23" s="817">
        <v>0.77</v>
      </c>
      <c r="CB23" s="817">
        <v>0.68</v>
      </c>
      <c r="CC23" s="817">
        <v>0.77</v>
      </c>
      <c r="CD23" s="142">
        <v>0.49</v>
      </c>
      <c r="CE23" s="142">
        <v>0.49</v>
      </c>
      <c r="CF23" s="142" t="s">
        <v>764</v>
      </c>
      <c r="CG23" s="142">
        <v>0.39</v>
      </c>
      <c r="CH23" s="142">
        <v>0.39</v>
      </c>
      <c r="CI23" s="142" t="s">
        <v>764</v>
      </c>
      <c r="CJ23" s="142">
        <v>0.39</v>
      </c>
      <c r="CK23" s="142">
        <v>0.39</v>
      </c>
      <c r="CL23" s="142" t="s">
        <v>764</v>
      </c>
      <c r="CM23" s="142">
        <v>0.39</v>
      </c>
      <c r="CN23" s="142">
        <v>0.39</v>
      </c>
      <c r="CO23" s="142" t="s">
        <v>764</v>
      </c>
      <c r="CP23" s="817">
        <v>0.5</v>
      </c>
      <c r="CQ23" s="817">
        <v>0.5</v>
      </c>
      <c r="CR23" s="817">
        <v>0.5</v>
      </c>
      <c r="CS23" s="817">
        <v>0.5</v>
      </c>
      <c r="CT23" s="817">
        <v>0.98</v>
      </c>
      <c r="CU23" s="817">
        <v>0.98</v>
      </c>
      <c r="CV23" s="817">
        <v>0.4</v>
      </c>
      <c r="CW23" s="817">
        <v>0.4</v>
      </c>
      <c r="CX23" s="817">
        <v>0.4</v>
      </c>
      <c r="CY23" s="817">
        <v>0.4</v>
      </c>
      <c r="CZ23" s="817" t="s">
        <v>764</v>
      </c>
      <c r="DA23" s="818" t="s">
        <v>764</v>
      </c>
      <c r="DI23" s="1016" t="s">
        <v>3145</v>
      </c>
      <c r="DJ23" s="1016" t="s">
        <v>2754</v>
      </c>
      <c r="DK23" s="1016" t="s">
        <v>2754</v>
      </c>
      <c r="DL23" s="1016" t="s">
        <v>2755</v>
      </c>
    </row>
    <row r="24" spans="1:116" s="129" customFormat="1" ht="57" x14ac:dyDescent="0.25">
      <c r="A24" s="147" t="s">
        <v>789</v>
      </c>
      <c r="B24" s="151" t="s">
        <v>1689</v>
      </c>
      <c r="C24" s="132" t="s">
        <v>1689</v>
      </c>
      <c r="D24" s="132" t="s">
        <v>1698</v>
      </c>
      <c r="E24" s="132" t="s">
        <v>1699</v>
      </c>
      <c r="F24" s="132" t="s">
        <v>1692</v>
      </c>
      <c r="G24" s="132" t="s">
        <v>1691</v>
      </c>
      <c r="H24" s="132" t="s">
        <v>716</v>
      </c>
      <c r="I24" s="132" t="s">
        <v>716</v>
      </c>
      <c r="J24" s="132" t="s">
        <v>716</v>
      </c>
      <c r="K24" s="132" t="s">
        <v>1693</v>
      </c>
      <c r="L24" s="132" t="s">
        <v>1694</v>
      </c>
      <c r="M24" s="132" t="s">
        <v>1695</v>
      </c>
      <c r="N24" s="132" t="s">
        <v>718</v>
      </c>
      <c r="O24" s="132" t="s">
        <v>718</v>
      </c>
      <c r="P24" s="132" t="s">
        <v>718</v>
      </c>
      <c r="Q24" s="132" t="s">
        <v>719</v>
      </c>
      <c r="R24" s="132" t="s">
        <v>719</v>
      </c>
      <c r="S24" s="132" t="s">
        <v>719</v>
      </c>
      <c r="T24" s="132" t="s">
        <v>720</v>
      </c>
      <c r="U24" s="132" t="s">
        <v>734</v>
      </c>
      <c r="V24" s="132" t="s">
        <v>720</v>
      </c>
      <c r="W24" s="327"/>
      <c r="X24" s="1484">
        <v>0.18170441600000001</v>
      </c>
      <c r="Y24" s="1484">
        <v>0.18170441600000001</v>
      </c>
      <c r="Z24" s="1484">
        <v>0.357730569</v>
      </c>
      <c r="AA24" s="1484">
        <v>0.21009573100000001</v>
      </c>
      <c r="AB24" s="1484">
        <v>0.21009573100000001</v>
      </c>
      <c r="AC24" s="1484">
        <v>0.46561756600000004</v>
      </c>
      <c r="AD24" s="1484">
        <v>0.11924352300000002</v>
      </c>
      <c r="AE24" s="1484">
        <v>0.11924352300000002</v>
      </c>
      <c r="AF24" s="1484">
        <v>0.19306094200000001</v>
      </c>
      <c r="AG24" s="1484">
        <v>0.51104367000000006</v>
      </c>
      <c r="AH24" s="1484">
        <v>0.45426104</v>
      </c>
      <c r="AI24" s="1484">
        <v>0.85741771300000003</v>
      </c>
      <c r="AJ24" s="1484">
        <v>0.28391315</v>
      </c>
      <c r="AK24" s="1484">
        <v>0.28391315</v>
      </c>
      <c r="AL24" s="1484">
        <v>0.53375672200000002</v>
      </c>
      <c r="AM24" s="1484">
        <v>0.31230446500000003</v>
      </c>
      <c r="AN24" s="1484">
        <v>0.31230446500000003</v>
      </c>
      <c r="AO24" s="1484">
        <v>0.47697409200000007</v>
      </c>
      <c r="AP24" s="1484">
        <v>0.28959141300000002</v>
      </c>
      <c r="AQ24" s="1484">
        <v>0.28959141300000002</v>
      </c>
      <c r="AR24" s="1484">
        <v>0.50536540699999999</v>
      </c>
      <c r="AS24" s="1484">
        <v>0.67571329700000005</v>
      </c>
      <c r="AT24" s="1484">
        <v>0.52240019599999998</v>
      </c>
      <c r="AU24" s="1484">
        <v>6.4732198199999997</v>
      </c>
      <c r="AV24" s="1484">
        <v>0.32366099100000001</v>
      </c>
      <c r="AW24" s="1484">
        <v>0.28959141300000002</v>
      </c>
      <c r="AX24" s="1484">
        <v>0.60757414100000007</v>
      </c>
      <c r="AY24" s="1484">
        <v>0.215773994</v>
      </c>
      <c r="AZ24" s="1484">
        <v>0.215773994</v>
      </c>
      <c r="BA24" s="1484">
        <v>0.29526967599999998</v>
      </c>
      <c r="BB24" s="1484">
        <v>0.66700000000000004</v>
      </c>
      <c r="BC24" s="1484">
        <v>0.52300000000000002</v>
      </c>
      <c r="BD24" s="1484">
        <v>6.484</v>
      </c>
      <c r="BE24" s="1484">
        <v>0.90038000000000007</v>
      </c>
      <c r="BF24" s="1484">
        <v>0.88306499999999999</v>
      </c>
      <c r="BG24" s="1484">
        <v>1.263995</v>
      </c>
      <c r="BH24" s="1484">
        <v>1.1912719999999999</v>
      </c>
      <c r="BI24" s="1484">
        <v>1.1912719999999999</v>
      </c>
      <c r="BJ24" s="1484">
        <v>1.5583500000000001</v>
      </c>
      <c r="BK24" s="1484">
        <v>2.8391315000000001</v>
      </c>
      <c r="BL24" s="1484">
        <v>2.8391315000000001</v>
      </c>
      <c r="BM24" s="1484">
        <v>3.9747840999999999</v>
      </c>
      <c r="BN24" s="1484">
        <v>2.8391315000000001</v>
      </c>
      <c r="BO24" s="1484">
        <v>2.8391315000000001</v>
      </c>
      <c r="BP24" s="1484">
        <v>8.2334813499999999</v>
      </c>
      <c r="BQ24" s="327"/>
      <c r="BR24" s="1003">
        <f>BR23*5.678263</f>
        <v>1.81704416</v>
      </c>
      <c r="BS24" s="1003">
        <f t="shared" ref="BS24" si="23">BS23*5.678263</f>
        <v>1.81704416</v>
      </c>
      <c r="BT24" s="1003">
        <f t="shared" ref="BT24" si="24">BT23*5.678263</f>
        <v>2.5552183500000001</v>
      </c>
      <c r="BU24" s="1003">
        <f t="shared" ref="BU24" si="25">BU23*5.678263</f>
        <v>2.3848704600000001</v>
      </c>
      <c r="BV24" s="1003">
        <f t="shared" ref="BV24" si="26">BV23*5.678263</f>
        <v>2.3848704600000001</v>
      </c>
      <c r="BW24" s="1003">
        <f t="shared" ref="BW24" si="27">BW23*5.678263</f>
        <v>3.5205230600000004</v>
      </c>
      <c r="BX24" s="1003">
        <f t="shared" ref="BX24" si="28">BX23*5.678263</f>
        <v>2.8391315000000001</v>
      </c>
      <c r="BY24" s="1003">
        <f t="shared" ref="BY24" si="29">BY23*5.678263</f>
        <v>2.8391315000000001</v>
      </c>
      <c r="BZ24" s="1003">
        <f t="shared" ref="BZ24" si="30">BZ23*5.678263</f>
        <v>3.9747840999999999</v>
      </c>
      <c r="CA24" s="1003">
        <f t="shared" ref="CA24" si="31">CA23*5.678263</f>
        <v>4.3722625100000005</v>
      </c>
      <c r="CB24" s="1003">
        <f t="shared" ref="CB24" si="32">CB23*5.678263</f>
        <v>3.8612188400000003</v>
      </c>
      <c r="CC24" s="1003">
        <f t="shared" ref="CC24" si="33">CC23*5.678263</f>
        <v>4.3722625100000005</v>
      </c>
      <c r="CD24" s="132">
        <v>0.49</v>
      </c>
      <c r="CE24" s="132">
        <v>0.49</v>
      </c>
      <c r="CF24" s="132" t="s">
        <v>764</v>
      </c>
      <c r="CG24" s="132">
        <v>0.39</v>
      </c>
      <c r="CH24" s="132">
        <v>0.39</v>
      </c>
      <c r="CI24" s="132" t="s">
        <v>764</v>
      </c>
      <c r="CJ24" s="132">
        <v>0.39</v>
      </c>
      <c r="CK24" s="132">
        <v>0.39</v>
      </c>
      <c r="CL24" s="132" t="s">
        <v>764</v>
      </c>
      <c r="CM24" s="132">
        <v>0.39</v>
      </c>
      <c r="CN24" s="132">
        <v>0.39</v>
      </c>
      <c r="CO24" s="132" t="s">
        <v>764</v>
      </c>
      <c r="CP24" s="821">
        <v>2.84</v>
      </c>
      <c r="CQ24" s="821">
        <v>2.84</v>
      </c>
      <c r="CR24" s="821">
        <v>2.84</v>
      </c>
      <c r="CS24" s="821">
        <v>2.84</v>
      </c>
      <c r="CT24" s="821">
        <v>5.56</v>
      </c>
      <c r="CU24" s="821">
        <v>5.56</v>
      </c>
      <c r="CV24" s="821">
        <v>0.4</v>
      </c>
      <c r="CW24" s="821">
        <v>0.4</v>
      </c>
      <c r="CX24" s="821">
        <v>0.4</v>
      </c>
      <c r="CY24" s="821">
        <v>0.4</v>
      </c>
      <c r="CZ24" s="821" t="s">
        <v>764</v>
      </c>
      <c r="DA24" s="822" t="s">
        <v>764</v>
      </c>
      <c r="DI24" s="1016" t="s">
        <v>3146</v>
      </c>
      <c r="DJ24" s="1016" t="s">
        <v>2745</v>
      </c>
      <c r="DK24" s="1016" t="s">
        <v>2745</v>
      </c>
      <c r="DL24" s="1016" t="s">
        <v>3147</v>
      </c>
    </row>
    <row r="25" spans="1:116" s="129" customFormat="1" ht="45.6" x14ac:dyDescent="0.25">
      <c r="A25" s="148" t="s">
        <v>775</v>
      </c>
      <c r="B25" s="152" t="s">
        <v>1681</v>
      </c>
      <c r="C25" s="142" t="s">
        <v>1681</v>
      </c>
      <c r="D25" s="142" t="s">
        <v>1696</v>
      </c>
      <c r="E25" s="142" t="s">
        <v>1697</v>
      </c>
      <c r="F25" s="142" t="s">
        <v>1684</v>
      </c>
      <c r="G25" s="142" t="s">
        <v>1683</v>
      </c>
      <c r="H25" s="142" t="s">
        <v>202</v>
      </c>
      <c r="I25" s="142" t="s">
        <v>202</v>
      </c>
      <c r="J25" s="142" t="s">
        <v>202</v>
      </c>
      <c r="K25" s="142" t="s">
        <v>1685</v>
      </c>
      <c r="L25" s="142" t="s">
        <v>1686</v>
      </c>
      <c r="M25" s="142" t="s">
        <v>1687</v>
      </c>
      <c r="N25" s="142" t="s">
        <v>184</v>
      </c>
      <c r="O25" s="142" t="s">
        <v>184</v>
      </c>
      <c r="P25" s="142" t="s">
        <v>184</v>
      </c>
      <c r="Q25" s="142" t="s">
        <v>187</v>
      </c>
      <c r="R25" s="142" t="s">
        <v>187</v>
      </c>
      <c r="S25" s="142" t="s">
        <v>187</v>
      </c>
      <c r="T25" s="142" t="s">
        <v>188</v>
      </c>
      <c r="U25" s="142" t="s">
        <v>189</v>
      </c>
      <c r="V25" s="142" t="s">
        <v>188</v>
      </c>
      <c r="W25" s="327"/>
      <c r="X25" s="1981">
        <v>3.2000000000000001E-2</v>
      </c>
      <c r="Y25" s="1981">
        <v>3.2000000000000001E-2</v>
      </c>
      <c r="Z25" s="1485">
        <v>6.3E-2</v>
      </c>
      <c r="AA25" s="1981">
        <v>3.6999999999999998E-2</v>
      </c>
      <c r="AB25" s="1981">
        <v>3.6999999999999998E-2</v>
      </c>
      <c r="AC25" s="1485">
        <v>8.2000000000000003E-2</v>
      </c>
      <c r="AD25" s="1981">
        <v>2.1000000000000001E-2</v>
      </c>
      <c r="AE25" s="1981">
        <v>2.1000000000000001E-2</v>
      </c>
      <c r="AF25" s="1485">
        <v>3.4000000000000002E-2</v>
      </c>
      <c r="AG25" s="1485">
        <v>0.09</v>
      </c>
      <c r="AH25" s="1485">
        <v>0.08</v>
      </c>
      <c r="AI25" s="1485">
        <v>0.151</v>
      </c>
      <c r="AJ25" s="1485">
        <v>0.05</v>
      </c>
      <c r="AK25" s="1485">
        <v>0.05</v>
      </c>
      <c r="AL25" s="1485">
        <v>9.4E-2</v>
      </c>
      <c r="AM25" s="1485">
        <v>5.5E-2</v>
      </c>
      <c r="AN25" s="1485">
        <v>5.5E-2</v>
      </c>
      <c r="AO25" s="1485">
        <v>8.4000000000000005E-2</v>
      </c>
      <c r="AP25" s="1485">
        <v>5.0999999999999997E-2</v>
      </c>
      <c r="AQ25" s="1485">
        <v>5.0999999999999997E-2</v>
      </c>
      <c r="AR25" s="1485">
        <v>8.8999999999999996E-2</v>
      </c>
      <c r="AS25" s="1485">
        <v>0.11899999999999999</v>
      </c>
      <c r="AT25" s="1485">
        <v>9.1999999999999998E-2</v>
      </c>
      <c r="AU25" s="1485">
        <v>1.1399999999999999</v>
      </c>
      <c r="AV25" s="1485">
        <v>5.7000000000000002E-2</v>
      </c>
      <c r="AW25" s="1485">
        <v>5.0999999999999997E-2</v>
      </c>
      <c r="AX25" s="1485">
        <v>0.107</v>
      </c>
      <c r="AY25" s="1485">
        <v>3.7999999999999999E-2</v>
      </c>
      <c r="AZ25" s="1485">
        <v>3.7999999999999999E-2</v>
      </c>
      <c r="BA25" s="1485">
        <v>5.1999999999999998E-2</v>
      </c>
      <c r="BB25" s="1485">
        <v>3.3000000000000002E-2</v>
      </c>
      <c r="BC25" s="1485">
        <v>3.3000000000000002E-2</v>
      </c>
      <c r="BD25" s="1485">
        <v>5.0999999999999997E-2</v>
      </c>
      <c r="BE25" s="1485">
        <v>0.52</v>
      </c>
      <c r="BF25" s="1485">
        <v>0.51</v>
      </c>
      <c r="BG25" s="1485">
        <v>0.73</v>
      </c>
      <c r="BH25" s="1485">
        <v>0.68799999999999994</v>
      </c>
      <c r="BI25" s="1485">
        <v>0.68799999999999994</v>
      </c>
      <c r="BJ25" s="1485">
        <v>0.9</v>
      </c>
      <c r="BK25" s="1485">
        <v>0.5</v>
      </c>
      <c r="BL25" s="1485">
        <v>0.5</v>
      </c>
      <c r="BM25" s="1485">
        <v>0.7</v>
      </c>
      <c r="BN25" s="1006">
        <v>0.5</v>
      </c>
      <c r="BO25" s="1006">
        <v>0.5</v>
      </c>
      <c r="BP25" s="1006">
        <v>1.45</v>
      </c>
      <c r="BQ25" s="327"/>
      <c r="BR25" s="817">
        <v>0.32</v>
      </c>
      <c r="BS25" s="817">
        <v>0.32</v>
      </c>
      <c r="BT25" s="817">
        <v>0.45</v>
      </c>
      <c r="BU25" s="817">
        <v>0.42</v>
      </c>
      <c r="BV25" s="817">
        <v>0.42</v>
      </c>
      <c r="BW25" s="817">
        <v>0.62</v>
      </c>
      <c r="BX25" s="817">
        <v>0.5</v>
      </c>
      <c r="BY25" s="817">
        <v>0.5</v>
      </c>
      <c r="BZ25" s="817">
        <v>0.7</v>
      </c>
      <c r="CA25" s="817">
        <v>0.77</v>
      </c>
      <c r="CB25" s="817">
        <v>0.68</v>
      </c>
      <c r="CC25" s="817">
        <v>0.77</v>
      </c>
      <c r="CD25" s="142">
        <v>0.49</v>
      </c>
      <c r="CE25" s="142">
        <v>0.49</v>
      </c>
      <c r="CF25" s="142" t="s">
        <v>764</v>
      </c>
      <c r="CG25" s="142">
        <v>0.39</v>
      </c>
      <c r="CH25" s="142">
        <v>0.39</v>
      </c>
      <c r="CI25" s="142" t="s">
        <v>764</v>
      </c>
      <c r="CJ25" s="142">
        <v>0.39</v>
      </c>
      <c r="CK25" s="142">
        <v>0.39</v>
      </c>
      <c r="CL25" s="142" t="s">
        <v>764</v>
      </c>
      <c r="CM25" s="142">
        <v>0.39</v>
      </c>
      <c r="CN25" s="142">
        <v>0.39</v>
      </c>
      <c r="CO25" s="142" t="s">
        <v>764</v>
      </c>
      <c r="CP25" s="817">
        <v>0.5</v>
      </c>
      <c r="CQ25" s="817">
        <v>0.5</v>
      </c>
      <c r="CR25" s="817">
        <v>0.5</v>
      </c>
      <c r="CS25" s="817">
        <v>0.5</v>
      </c>
      <c r="CT25" s="817">
        <v>0.98</v>
      </c>
      <c r="CU25" s="817">
        <v>0.98</v>
      </c>
      <c r="CV25" s="817">
        <v>0.4</v>
      </c>
      <c r="CW25" s="817">
        <v>0.4</v>
      </c>
      <c r="CX25" s="817">
        <v>0.4</v>
      </c>
      <c r="CY25" s="817">
        <v>0.4</v>
      </c>
      <c r="CZ25" s="817" t="s">
        <v>764</v>
      </c>
      <c r="DA25" s="818" t="s">
        <v>764</v>
      </c>
      <c r="DI25" s="1016" t="s">
        <v>3148</v>
      </c>
      <c r="DJ25" s="1016" t="s">
        <v>2746</v>
      </c>
      <c r="DK25" s="1016" t="s">
        <v>2746</v>
      </c>
      <c r="DL25" s="1016" t="s">
        <v>3149</v>
      </c>
    </row>
    <row r="26" spans="1:116" s="129" customFormat="1" ht="57" x14ac:dyDescent="0.25">
      <c r="A26" s="147" t="s">
        <v>788</v>
      </c>
      <c r="B26" s="151" t="s">
        <v>1689</v>
      </c>
      <c r="C26" s="132" t="s">
        <v>1689</v>
      </c>
      <c r="D26" s="132" t="s">
        <v>1698</v>
      </c>
      <c r="E26" s="132" t="s">
        <v>1699</v>
      </c>
      <c r="F26" s="132" t="s">
        <v>1692</v>
      </c>
      <c r="G26" s="132" t="s">
        <v>1691</v>
      </c>
      <c r="H26" s="132" t="s">
        <v>716</v>
      </c>
      <c r="I26" s="132" t="s">
        <v>716</v>
      </c>
      <c r="J26" s="132" t="s">
        <v>716</v>
      </c>
      <c r="K26" s="132" t="s">
        <v>1693</v>
      </c>
      <c r="L26" s="132" t="s">
        <v>1694</v>
      </c>
      <c r="M26" s="132" t="s">
        <v>1695</v>
      </c>
      <c r="N26" s="132" t="s">
        <v>718</v>
      </c>
      <c r="O26" s="132" t="s">
        <v>718</v>
      </c>
      <c r="P26" s="132" t="s">
        <v>718</v>
      </c>
      <c r="Q26" s="132" t="s">
        <v>719</v>
      </c>
      <c r="R26" s="132" t="s">
        <v>719</v>
      </c>
      <c r="S26" s="132" t="s">
        <v>719</v>
      </c>
      <c r="T26" s="132" t="s">
        <v>720</v>
      </c>
      <c r="U26" s="132" t="s">
        <v>734</v>
      </c>
      <c r="V26" s="132" t="s">
        <v>720</v>
      </c>
      <c r="W26" s="327"/>
      <c r="X26" s="1484">
        <v>0.18170441600000001</v>
      </c>
      <c r="Y26" s="1484">
        <v>0.18170441600000001</v>
      </c>
      <c r="Z26" s="1484">
        <v>0.357730569</v>
      </c>
      <c r="AA26" s="1484">
        <v>0.21009573100000001</v>
      </c>
      <c r="AB26" s="1484">
        <v>0.21009573100000001</v>
      </c>
      <c r="AC26" s="1484">
        <v>0.46561756600000004</v>
      </c>
      <c r="AD26" s="1484">
        <v>0.11924352300000002</v>
      </c>
      <c r="AE26" s="1484">
        <v>0.11924352300000002</v>
      </c>
      <c r="AF26" s="1484">
        <v>0.19306094200000001</v>
      </c>
      <c r="AG26" s="1484">
        <v>0.51104367000000006</v>
      </c>
      <c r="AH26" s="1484">
        <v>0.45426104</v>
      </c>
      <c r="AI26" s="1484">
        <v>0.85741771300000003</v>
      </c>
      <c r="AJ26" s="1484">
        <v>0.28391315</v>
      </c>
      <c r="AK26" s="1484">
        <v>0.28391315</v>
      </c>
      <c r="AL26" s="1484">
        <v>0.53375672200000002</v>
      </c>
      <c r="AM26" s="1484">
        <v>0.31230446500000003</v>
      </c>
      <c r="AN26" s="1484">
        <v>0.31230446500000003</v>
      </c>
      <c r="AO26" s="1484">
        <v>0.47697409200000007</v>
      </c>
      <c r="AP26" s="1484">
        <v>0.28959141300000002</v>
      </c>
      <c r="AQ26" s="1484">
        <v>0.28959141300000002</v>
      </c>
      <c r="AR26" s="1484">
        <v>0.50536540699999999</v>
      </c>
      <c r="AS26" s="1484">
        <v>0.67571329700000005</v>
      </c>
      <c r="AT26" s="1484">
        <v>0.52240019599999998</v>
      </c>
      <c r="AU26" s="1484">
        <v>6.4732198199999997</v>
      </c>
      <c r="AV26" s="1484">
        <v>0.32366099100000001</v>
      </c>
      <c r="AW26" s="1484">
        <v>0.28959141300000002</v>
      </c>
      <c r="AX26" s="1484">
        <v>0.60757414100000007</v>
      </c>
      <c r="AY26" s="1484">
        <v>0.215773994</v>
      </c>
      <c r="AZ26" s="1484">
        <v>0.215773994</v>
      </c>
      <c r="BA26" s="1484">
        <v>0.29526967599999998</v>
      </c>
      <c r="BB26" s="1484">
        <v>0.66700000000000004</v>
      </c>
      <c r="BC26" s="1484">
        <v>0.52300000000000002</v>
      </c>
      <c r="BD26" s="1484">
        <v>6.484</v>
      </c>
      <c r="BE26" s="1484">
        <v>0.90038000000000007</v>
      </c>
      <c r="BF26" s="1484">
        <v>0.88306499999999999</v>
      </c>
      <c r="BG26" s="1484">
        <v>1.263995</v>
      </c>
      <c r="BH26" s="1484">
        <v>1.1912719999999999</v>
      </c>
      <c r="BI26" s="1484">
        <v>1.1912719999999999</v>
      </c>
      <c r="BJ26" s="1484">
        <v>1.5583500000000001</v>
      </c>
      <c r="BK26" s="1484">
        <v>2.8391315000000001</v>
      </c>
      <c r="BL26" s="1484">
        <v>2.8391315000000001</v>
      </c>
      <c r="BM26" s="1484">
        <v>3.9747840999999999</v>
      </c>
      <c r="BN26" s="1484">
        <v>2.8391315000000001</v>
      </c>
      <c r="BO26" s="1484">
        <v>2.8391315000000001</v>
      </c>
      <c r="BP26" s="1484">
        <v>8.2334813499999999</v>
      </c>
      <c r="BQ26" s="327"/>
      <c r="BR26" s="1003">
        <f>BR25*5.678263</f>
        <v>1.81704416</v>
      </c>
      <c r="BS26" s="1003">
        <f t="shared" ref="BS26" si="34">BS25*5.678263</f>
        <v>1.81704416</v>
      </c>
      <c r="BT26" s="1003">
        <f t="shared" ref="BT26" si="35">BT25*5.678263</f>
        <v>2.5552183500000001</v>
      </c>
      <c r="BU26" s="1003">
        <f t="shared" ref="BU26" si="36">BU25*5.678263</f>
        <v>2.3848704600000001</v>
      </c>
      <c r="BV26" s="1003">
        <f t="shared" ref="BV26" si="37">BV25*5.678263</f>
        <v>2.3848704600000001</v>
      </c>
      <c r="BW26" s="1003">
        <f t="shared" ref="BW26" si="38">BW25*5.678263</f>
        <v>3.5205230600000004</v>
      </c>
      <c r="BX26" s="1003">
        <f t="shared" ref="BX26" si="39">BX25*5.678263</f>
        <v>2.8391315000000001</v>
      </c>
      <c r="BY26" s="1003">
        <f t="shared" ref="BY26" si="40">BY25*5.678263</f>
        <v>2.8391315000000001</v>
      </c>
      <c r="BZ26" s="1003">
        <f t="shared" ref="BZ26" si="41">BZ25*5.678263</f>
        <v>3.9747840999999999</v>
      </c>
      <c r="CA26" s="1003">
        <f t="shared" ref="CA26" si="42">CA25*5.678263</f>
        <v>4.3722625100000005</v>
      </c>
      <c r="CB26" s="1003">
        <f t="shared" ref="CB26" si="43">CB25*5.678263</f>
        <v>3.8612188400000003</v>
      </c>
      <c r="CC26" s="1003">
        <f t="shared" ref="CC26" si="44">CC25*5.678263</f>
        <v>4.3722625100000005</v>
      </c>
      <c r="CD26" s="132">
        <v>0.49</v>
      </c>
      <c r="CE26" s="132">
        <v>0.49</v>
      </c>
      <c r="CF26" s="132" t="s">
        <v>764</v>
      </c>
      <c r="CG26" s="132">
        <v>0.39</v>
      </c>
      <c r="CH26" s="132">
        <v>0.39</v>
      </c>
      <c r="CI26" s="132" t="s">
        <v>764</v>
      </c>
      <c r="CJ26" s="132">
        <v>0.39</v>
      </c>
      <c r="CK26" s="132">
        <v>0.39</v>
      </c>
      <c r="CL26" s="132" t="s">
        <v>764</v>
      </c>
      <c r="CM26" s="132">
        <v>0.39</v>
      </c>
      <c r="CN26" s="132">
        <v>0.39</v>
      </c>
      <c r="CO26" s="132" t="s">
        <v>764</v>
      </c>
      <c r="CP26" s="821">
        <v>2.84</v>
      </c>
      <c r="CQ26" s="821">
        <v>2.84</v>
      </c>
      <c r="CR26" s="821">
        <v>2.84</v>
      </c>
      <c r="CS26" s="821">
        <v>2.84</v>
      </c>
      <c r="CT26" s="821">
        <v>5.56</v>
      </c>
      <c r="CU26" s="821">
        <v>5.56</v>
      </c>
      <c r="CV26" s="821">
        <v>0.4</v>
      </c>
      <c r="CW26" s="821">
        <v>0.4</v>
      </c>
      <c r="CX26" s="821">
        <v>0.4</v>
      </c>
      <c r="CY26" s="821">
        <v>0.4</v>
      </c>
      <c r="CZ26" s="821" t="s">
        <v>764</v>
      </c>
      <c r="DA26" s="822" t="s">
        <v>764</v>
      </c>
      <c r="DI26" s="1016" t="s">
        <v>3150</v>
      </c>
      <c r="DJ26" s="1016" t="s">
        <v>2748</v>
      </c>
      <c r="DK26" s="1016" t="s">
        <v>2749</v>
      </c>
      <c r="DL26" s="1016" t="s">
        <v>2753</v>
      </c>
    </row>
    <row r="27" spans="1:116" s="129" customFormat="1" ht="45.6" x14ac:dyDescent="0.25">
      <c r="A27" s="148" t="s">
        <v>776</v>
      </c>
      <c r="B27" s="152" t="s">
        <v>1681</v>
      </c>
      <c r="C27" s="142" t="s">
        <v>1681</v>
      </c>
      <c r="D27" s="142" t="s">
        <v>1696</v>
      </c>
      <c r="E27" s="142" t="s">
        <v>1697</v>
      </c>
      <c r="F27" s="142" t="s">
        <v>1684</v>
      </c>
      <c r="G27" s="142" t="s">
        <v>1683</v>
      </c>
      <c r="H27" s="142" t="s">
        <v>202</v>
      </c>
      <c r="I27" s="142" t="s">
        <v>202</v>
      </c>
      <c r="J27" s="142" t="s">
        <v>202</v>
      </c>
      <c r="K27" s="142" t="s">
        <v>1685</v>
      </c>
      <c r="L27" s="142" t="s">
        <v>1686</v>
      </c>
      <c r="M27" s="142" t="s">
        <v>1687</v>
      </c>
      <c r="N27" s="142" t="s">
        <v>184</v>
      </c>
      <c r="O27" s="142" t="s">
        <v>184</v>
      </c>
      <c r="P27" s="142" t="s">
        <v>184</v>
      </c>
      <c r="Q27" s="142" t="s">
        <v>187</v>
      </c>
      <c r="R27" s="142" t="s">
        <v>187</v>
      </c>
      <c r="S27" s="142" t="s">
        <v>187</v>
      </c>
      <c r="T27" s="142" t="s">
        <v>188</v>
      </c>
      <c r="U27" s="142" t="s">
        <v>189</v>
      </c>
      <c r="V27" s="142" t="s">
        <v>188</v>
      </c>
      <c r="W27" s="327"/>
      <c r="X27" s="1981">
        <v>3.2000000000000001E-2</v>
      </c>
      <c r="Y27" s="1981">
        <v>3.2000000000000001E-2</v>
      </c>
      <c r="Z27" s="1485">
        <v>6.3E-2</v>
      </c>
      <c r="AA27" s="1981">
        <v>3.6999999999999998E-2</v>
      </c>
      <c r="AB27" s="1981">
        <v>3.6999999999999998E-2</v>
      </c>
      <c r="AC27" s="1485">
        <v>8.2000000000000003E-2</v>
      </c>
      <c r="AD27" s="1981">
        <v>2.1000000000000001E-2</v>
      </c>
      <c r="AE27" s="1981">
        <v>2.1000000000000001E-2</v>
      </c>
      <c r="AF27" s="1485">
        <v>3.4000000000000002E-2</v>
      </c>
      <c r="AG27" s="1485">
        <v>0.09</v>
      </c>
      <c r="AH27" s="1485">
        <v>0.08</v>
      </c>
      <c r="AI27" s="1485">
        <v>0.151</v>
      </c>
      <c r="AJ27" s="1485">
        <v>0.05</v>
      </c>
      <c r="AK27" s="1485">
        <v>0.05</v>
      </c>
      <c r="AL27" s="1485">
        <v>9.4E-2</v>
      </c>
      <c r="AM27" s="1485">
        <v>5.5E-2</v>
      </c>
      <c r="AN27" s="1485">
        <v>5.5E-2</v>
      </c>
      <c r="AO27" s="1485">
        <v>8.4000000000000005E-2</v>
      </c>
      <c r="AP27" s="1485">
        <v>5.0999999999999997E-2</v>
      </c>
      <c r="AQ27" s="1485">
        <v>5.0999999999999997E-2</v>
      </c>
      <c r="AR27" s="1485">
        <v>8.8999999999999996E-2</v>
      </c>
      <c r="AS27" s="1485">
        <v>0.11899999999999999</v>
      </c>
      <c r="AT27" s="1485">
        <v>9.1999999999999998E-2</v>
      </c>
      <c r="AU27" s="1485">
        <v>1.1399999999999999</v>
      </c>
      <c r="AV27" s="1485">
        <v>5.7000000000000002E-2</v>
      </c>
      <c r="AW27" s="1485">
        <v>5.0999999999999997E-2</v>
      </c>
      <c r="AX27" s="1485">
        <v>0.107</v>
      </c>
      <c r="AY27" s="1485">
        <v>3.7999999999999999E-2</v>
      </c>
      <c r="AZ27" s="1485">
        <v>3.7999999999999999E-2</v>
      </c>
      <c r="BA27" s="1485">
        <v>5.1999999999999998E-2</v>
      </c>
      <c r="BB27" s="1485">
        <v>3.3000000000000002E-2</v>
      </c>
      <c r="BC27" s="1485">
        <v>3.3000000000000002E-2</v>
      </c>
      <c r="BD27" s="1485">
        <v>5.0999999999999997E-2</v>
      </c>
      <c r="BE27" s="1485">
        <v>0.52</v>
      </c>
      <c r="BF27" s="1485">
        <v>0.51</v>
      </c>
      <c r="BG27" s="1485">
        <v>0.73</v>
      </c>
      <c r="BH27" s="1485">
        <v>0.68799999999999994</v>
      </c>
      <c r="BI27" s="1485">
        <v>0.68799999999999994</v>
      </c>
      <c r="BJ27" s="1485">
        <v>0.9</v>
      </c>
      <c r="BK27" s="1485">
        <v>0.5</v>
      </c>
      <c r="BL27" s="1485">
        <v>0.5</v>
      </c>
      <c r="BM27" s="1485">
        <v>0.7</v>
      </c>
      <c r="BN27" s="1006">
        <v>0.5</v>
      </c>
      <c r="BO27" s="1006">
        <v>0.5</v>
      </c>
      <c r="BP27" s="1006">
        <v>1.45</v>
      </c>
      <c r="BQ27" s="327"/>
      <c r="BR27" s="817">
        <v>0.32</v>
      </c>
      <c r="BS27" s="817">
        <v>0.32</v>
      </c>
      <c r="BT27" s="817">
        <v>0.45</v>
      </c>
      <c r="BU27" s="817">
        <v>0.42</v>
      </c>
      <c r="BV27" s="817">
        <v>0.42</v>
      </c>
      <c r="BW27" s="817">
        <v>0.62</v>
      </c>
      <c r="BX27" s="817">
        <v>0.5</v>
      </c>
      <c r="BY27" s="817">
        <v>0.5</v>
      </c>
      <c r="BZ27" s="817">
        <v>0.7</v>
      </c>
      <c r="CA27" s="817">
        <v>0.77</v>
      </c>
      <c r="CB27" s="817">
        <v>0.68</v>
      </c>
      <c r="CC27" s="817">
        <v>0.77</v>
      </c>
      <c r="CD27" s="142">
        <v>0.49</v>
      </c>
      <c r="CE27" s="142">
        <v>0.49</v>
      </c>
      <c r="CF27" s="142" t="s">
        <v>764</v>
      </c>
      <c r="CG27" s="142">
        <v>0.39</v>
      </c>
      <c r="CH27" s="142">
        <v>0.39</v>
      </c>
      <c r="CI27" s="142" t="s">
        <v>764</v>
      </c>
      <c r="CJ27" s="142">
        <v>0.39</v>
      </c>
      <c r="CK27" s="142">
        <v>0.39</v>
      </c>
      <c r="CL27" s="142" t="s">
        <v>764</v>
      </c>
      <c r="CM27" s="142">
        <v>0.39</v>
      </c>
      <c r="CN27" s="142">
        <v>0.39</v>
      </c>
      <c r="CO27" s="142" t="s">
        <v>764</v>
      </c>
      <c r="CP27" s="817">
        <v>0.5</v>
      </c>
      <c r="CQ27" s="817">
        <v>0.5</v>
      </c>
      <c r="CR27" s="817">
        <v>0.5</v>
      </c>
      <c r="CS27" s="817">
        <v>0.5</v>
      </c>
      <c r="CT27" s="817">
        <v>0.98</v>
      </c>
      <c r="CU27" s="817">
        <v>0.98</v>
      </c>
      <c r="CV27" s="817">
        <v>0.4</v>
      </c>
      <c r="CW27" s="817">
        <v>0.4</v>
      </c>
      <c r="CX27" s="817">
        <v>0.4</v>
      </c>
      <c r="CY27" s="817">
        <v>0.4</v>
      </c>
      <c r="CZ27" s="817" t="s">
        <v>764</v>
      </c>
      <c r="DA27" s="818" t="s">
        <v>764</v>
      </c>
      <c r="DI27" s="1016" t="s">
        <v>3151</v>
      </c>
      <c r="DJ27" s="1016" t="s">
        <v>3152</v>
      </c>
      <c r="DK27" s="1016" t="s">
        <v>3152</v>
      </c>
      <c r="DL27" s="1016" t="s">
        <v>2755</v>
      </c>
    </row>
    <row r="28" spans="1:116" s="129" customFormat="1" ht="57" x14ac:dyDescent="0.25">
      <c r="A28" s="147" t="s">
        <v>787</v>
      </c>
      <c r="B28" s="151" t="s">
        <v>1689</v>
      </c>
      <c r="C28" s="132" t="s">
        <v>1689</v>
      </c>
      <c r="D28" s="132" t="s">
        <v>1698</v>
      </c>
      <c r="E28" s="132" t="s">
        <v>1699</v>
      </c>
      <c r="F28" s="132" t="s">
        <v>1692</v>
      </c>
      <c r="G28" s="132" t="s">
        <v>1691</v>
      </c>
      <c r="H28" s="132" t="s">
        <v>716</v>
      </c>
      <c r="I28" s="132" t="s">
        <v>716</v>
      </c>
      <c r="J28" s="132" t="s">
        <v>716</v>
      </c>
      <c r="K28" s="132" t="s">
        <v>1693</v>
      </c>
      <c r="L28" s="132" t="s">
        <v>1694</v>
      </c>
      <c r="M28" s="132" t="s">
        <v>1695</v>
      </c>
      <c r="N28" s="132" t="s">
        <v>718</v>
      </c>
      <c r="O28" s="132" t="s">
        <v>718</v>
      </c>
      <c r="P28" s="132" t="s">
        <v>718</v>
      </c>
      <c r="Q28" s="132" t="s">
        <v>719</v>
      </c>
      <c r="R28" s="132" t="s">
        <v>719</v>
      </c>
      <c r="S28" s="132" t="s">
        <v>719</v>
      </c>
      <c r="T28" s="132" t="s">
        <v>720</v>
      </c>
      <c r="U28" s="132" t="s">
        <v>734</v>
      </c>
      <c r="V28" s="132" t="s">
        <v>720</v>
      </c>
      <c r="W28" s="327"/>
      <c r="X28" s="1484">
        <v>0.18170441600000001</v>
      </c>
      <c r="Y28" s="1484">
        <v>0.18170441600000001</v>
      </c>
      <c r="Z28" s="1484">
        <v>0.357730569</v>
      </c>
      <c r="AA28" s="1484">
        <v>0.21009573100000001</v>
      </c>
      <c r="AB28" s="1484">
        <v>0.21009573100000001</v>
      </c>
      <c r="AC28" s="1484">
        <v>0.46561756600000004</v>
      </c>
      <c r="AD28" s="1484">
        <v>0.11924352300000002</v>
      </c>
      <c r="AE28" s="1484">
        <v>0.11924352300000002</v>
      </c>
      <c r="AF28" s="1484">
        <v>0.19306094200000001</v>
      </c>
      <c r="AG28" s="1484">
        <v>0.51104367000000006</v>
      </c>
      <c r="AH28" s="1484">
        <v>0.45426104</v>
      </c>
      <c r="AI28" s="1484">
        <v>0.85741771300000003</v>
      </c>
      <c r="AJ28" s="1484">
        <v>0.28391315</v>
      </c>
      <c r="AK28" s="1484">
        <v>0.28391315</v>
      </c>
      <c r="AL28" s="1484">
        <v>0.53375672200000002</v>
      </c>
      <c r="AM28" s="1484">
        <v>0.31230446500000003</v>
      </c>
      <c r="AN28" s="1484">
        <v>0.31230446500000003</v>
      </c>
      <c r="AO28" s="1484">
        <v>0.47697409200000007</v>
      </c>
      <c r="AP28" s="1484">
        <v>0.28959141300000002</v>
      </c>
      <c r="AQ28" s="1484">
        <v>0.28959141300000002</v>
      </c>
      <c r="AR28" s="1484">
        <v>0.50536540699999999</v>
      </c>
      <c r="AS28" s="1484">
        <v>0.67571329700000005</v>
      </c>
      <c r="AT28" s="1484">
        <v>0.52240019599999998</v>
      </c>
      <c r="AU28" s="1484">
        <v>6.4732198199999997</v>
      </c>
      <c r="AV28" s="1484">
        <v>0.32366099100000001</v>
      </c>
      <c r="AW28" s="1484">
        <v>0.28959141300000002</v>
      </c>
      <c r="AX28" s="1484">
        <v>0.60757414100000007</v>
      </c>
      <c r="AY28" s="1484">
        <v>0.215773994</v>
      </c>
      <c r="AZ28" s="1484">
        <v>0.215773994</v>
      </c>
      <c r="BA28" s="1484">
        <v>0.29526967599999998</v>
      </c>
      <c r="BB28" s="1484">
        <v>0.66700000000000004</v>
      </c>
      <c r="BC28" s="1484">
        <v>0.52300000000000002</v>
      </c>
      <c r="BD28" s="1484">
        <v>6.484</v>
      </c>
      <c r="BE28" s="1484">
        <v>0.90038000000000007</v>
      </c>
      <c r="BF28" s="1484">
        <v>0.88306499999999999</v>
      </c>
      <c r="BG28" s="1484">
        <v>1.263995</v>
      </c>
      <c r="BH28" s="1484">
        <v>1.1912719999999999</v>
      </c>
      <c r="BI28" s="1484">
        <v>1.1912719999999999</v>
      </c>
      <c r="BJ28" s="1484">
        <v>1.5583500000000001</v>
      </c>
      <c r="BK28" s="1484">
        <v>2.8391315000000001</v>
      </c>
      <c r="BL28" s="1484">
        <v>2.8391315000000001</v>
      </c>
      <c r="BM28" s="1484">
        <v>3.9747840999999999</v>
      </c>
      <c r="BN28" s="1484">
        <v>2.8391315000000001</v>
      </c>
      <c r="BO28" s="1484">
        <v>2.8391315000000001</v>
      </c>
      <c r="BP28" s="1484">
        <v>8.2334813499999999</v>
      </c>
      <c r="BQ28" s="327"/>
      <c r="BR28" s="1003">
        <f>BR27*5.678263</f>
        <v>1.81704416</v>
      </c>
      <c r="BS28" s="1003">
        <f t="shared" ref="BS28" si="45">BS27*5.678263</f>
        <v>1.81704416</v>
      </c>
      <c r="BT28" s="1003">
        <f t="shared" ref="BT28" si="46">BT27*5.678263</f>
        <v>2.5552183500000001</v>
      </c>
      <c r="BU28" s="1003">
        <f t="shared" ref="BU28" si="47">BU27*5.678263</f>
        <v>2.3848704600000001</v>
      </c>
      <c r="BV28" s="1003">
        <f t="shared" ref="BV28" si="48">BV27*5.678263</f>
        <v>2.3848704600000001</v>
      </c>
      <c r="BW28" s="1003">
        <f t="shared" ref="BW28" si="49">BW27*5.678263</f>
        <v>3.5205230600000004</v>
      </c>
      <c r="BX28" s="1003">
        <f t="shared" ref="BX28" si="50">BX27*5.678263</f>
        <v>2.8391315000000001</v>
      </c>
      <c r="BY28" s="1003">
        <f t="shared" ref="BY28" si="51">BY27*5.678263</f>
        <v>2.8391315000000001</v>
      </c>
      <c r="BZ28" s="1003">
        <f t="shared" ref="BZ28" si="52">BZ27*5.678263</f>
        <v>3.9747840999999999</v>
      </c>
      <c r="CA28" s="1003">
        <f t="shared" ref="CA28" si="53">CA27*5.678263</f>
        <v>4.3722625100000005</v>
      </c>
      <c r="CB28" s="1003">
        <f t="shared" ref="CB28" si="54">CB27*5.678263</f>
        <v>3.8612188400000003</v>
      </c>
      <c r="CC28" s="1003">
        <f t="shared" ref="CC28" si="55">CC27*5.678263</f>
        <v>4.3722625100000005</v>
      </c>
      <c r="CD28" s="132">
        <v>0.49</v>
      </c>
      <c r="CE28" s="132">
        <v>0.49</v>
      </c>
      <c r="CF28" s="132" t="s">
        <v>764</v>
      </c>
      <c r="CG28" s="132">
        <v>0.39</v>
      </c>
      <c r="CH28" s="132">
        <v>0.39</v>
      </c>
      <c r="CI28" s="132" t="s">
        <v>764</v>
      </c>
      <c r="CJ28" s="132">
        <v>0.39</v>
      </c>
      <c r="CK28" s="132">
        <v>0.39</v>
      </c>
      <c r="CL28" s="132" t="s">
        <v>764</v>
      </c>
      <c r="CM28" s="132">
        <v>0.39</v>
      </c>
      <c r="CN28" s="132">
        <v>0.39</v>
      </c>
      <c r="CO28" s="132" t="s">
        <v>764</v>
      </c>
      <c r="CP28" s="821">
        <v>2.84</v>
      </c>
      <c r="CQ28" s="821">
        <v>2.84</v>
      </c>
      <c r="CR28" s="821">
        <v>2.84</v>
      </c>
      <c r="CS28" s="821">
        <v>2.84</v>
      </c>
      <c r="CT28" s="821">
        <v>5.56</v>
      </c>
      <c r="CU28" s="821">
        <v>5.56</v>
      </c>
      <c r="CV28" s="821">
        <v>0.4</v>
      </c>
      <c r="CW28" s="821">
        <v>0.4</v>
      </c>
      <c r="CX28" s="821">
        <v>0.4</v>
      </c>
      <c r="CY28" s="821">
        <v>0.4</v>
      </c>
      <c r="CZ28" s="821" t="s">
        <v>764</v>
      </c>
      <c r="DA28" s="822" t="s">
        <v>764</v>
      </c>
      <c r="DI28" s="1016" t="s">
        <v>3153</v>
      </c>
      <c r="DJ28" s="1016" t="s">
        <v>3154</v>
      </c>
      <c r="DK28" s="1016" t="s">
        <v>3154</v>
      </c>
      <c r="DL28" s="1016" t="s">
        <v>3155</v>
      </c>
    </row>
    <row r="29" spans="1:116" s="129" customFormat="1" ht="45.6" x14ac:dyDescent="0.25">
      <c r="A29" s="148" t="s">
        <v>777</v>
      </c>
      <c r="B29" s="152" t="s">
        <v>1681</v>
      </c>
      <c r="C29" s="152" t="s">
        <v>1681</v>
      </c>
      <c r="D29" s="152" t="s">
        <v>1696</v>
      </c>
      <c r="E29" s="142" t="s">
        <v>1697</v>
      </c>
      <c r="F29" s="142" t="s">
        <v>1684</v>
      </c>
      <c r="G29" s="142" t="s">
        <v>1683</v>
      </c>
      <c r="H29" s="142" t="s">
        <v>202</v>
      </c>
      <c r="I29" s="142" t="s">
        <v>1700</v>
      </c>
      <c r="J29" s="142" t="s">
        <v>202</v>
      </c>
      <c r="K29" s="142" t="s">
        <v>1686</v>
      </c>
      <c r="L29" s="142" t="s">
        <v>1686</v>
      </c>
      <c r="M29" s="142" t="s">
        <v>1687</v>
      </c>
      <c r="N29" s="142" t="s">
        <v>184</v>
      </c>
      <c r="O29" s="142" t="s">
        <v>184</v>
      </c>
      <c r="P29" s="142" t="s">
        <v>184</v>
      </c>
      <c r="Q29" s="142" t="s">
        <v>187</v>
      </c>
      <c r="R29" s="142" t="s">
        <v>189</v>
      </c>
      <c r="S29" s="142" t="s">
        <v>187</v>
      </c>
      <c r="T29" s="142" t="s">
        <v>189</v>
      </c>
      <c r="U29" s="142" t="s">
        <v>189</v>
      </c>
      <c r="V29" s="142" t="s">
        <v>188</v>
      </c>
      <c r="W29" s="327"/>
      <c r="X29" s="1981">
        <v>3.2000000000000001E-2</v>
      </c>
      <c r="Y29" s="1981">
        <v>3.2000000000000001E-2</v>
      </c>
      <c r="Z29" s="1485">
        <v>6.3E-2</v>
      </c>
      <c r="AA29" s="1981">
        <v>3.1E-2</v>
      </c>
      <c r="AB29" s="1981">
        <v>2.9000000000000001E-2</v>
      </c>
      <c r="AC29" s="1485">
        <v>0.06</v>
      </c>
      <c r="AD29" s="1981">
        <v>2.1000000000000001E-2</v>
      </c>
      <c r="AE29" s="1981">
        <v>2.1000000000000001E-2</v>
      </c>
      <c r="AF29" s="1485">
        <v>3.4000000000000002E-2</v>
      </c>
      <c r="AG29" s="1485">
        <v>0.08</v>
      </c>
      <c r="AH29" s="1485">
        <v>8.1000000000000003E-2</v>
      </c>
      <c r="AI29" s="1485">
        <v>0.151</v>
      </c>
      <c r="AJ29" s="1485">
        <v>0.05</v>
      </c>
      <c r="AK29" s="1485">
        <v>0.05</v>
      </c>
      <c r="AL29" s="1485">
        <v>9.4E-2</v>
      </c>
      <c r="AM29" s="1485">
        <v>4.9000000000000002E-2</v>
      </c>
      <c r="AN29" s="1485">
        <v>4.9000000000000002E-2</v>
      </c>
      <c r="AO29" s="1485">
        <v>8.4000000000000005E-2</v>
      </c>
      <c r="AP29" s="1485">
        <v>5.0999999999999997E-2</v>
      </c>
      <c r="AQ29" s="1485">
        <v>5.0999999999999997E-2</v>
      </c>
      <c r="AR29" s="1485">
        <v>8.8999999999999996E-2</v>
      </c>
      <c r="AS29" s="1485">
        <v>9.1999999999999998E-2</v>
      </c>
      <c r="AT29" s="1485">
        <v>6.3E-2</v>
      </c>
      <c r="AU29" s="1485">
        <v>0.11899999999999999</v>
      </c>
      <c r="AV29" s="1485">
        <v>5.0999999999999997E-2</v>
      </c>
      <c r="AW29" s="1485">
        <v>5.0999999999999997E-2</v>
      </c>
      <c r="AX29" s="1485">
        <v>8.6999999999999994E-2</v>
      </c>
      <c r="AY29" s="1485">
        <v>3.2000000000000001E-2</v>
      </c>
      <c r="AZ29" s="1485">
        <v>3.2000000000000001E-2</v>
      </c>
      <c r="BA29" s="1485">
        <v>5.1999999999999998E-2</v>
      </c>
      <c r="BB29" s="1485">
        <v>2.7E-2</v>
      </c>
      <c r="BC29" s="1485">
        <v>2.7E-2</v>
      </c>
      <c r="BD29" s="1485">
        <v>5.0999999999999997E-2</v>
      </c>
      <c r="BE29" s="1485">
        <v>0.51</v>
      </c>
      <c r="BF29" s="1485">
        <v>0.434</v>
      </c>
      <c r="BG29" s="1485">
        <v>0.73</v>
      </c>
      <c r="BH29" s="1485">
        <v>0.68799999999999994</v>
      </c>
      <c r="BI29" s="1485">
        <v>0.67100000000000004</v>
      </c>
      <c r="BJ29" s="1485">
        <v>0.86</v>
      </c>
      <c r="BK29" s="1485">
        <v>0.5</v>
      </c>
      <c r="BL29" s="1485">
        <v>0.5</v>
      </c>
      <c r="BM29" s="1485">
        <v>0.7</v>
      </c>
      <c r="BN29" s="1006">
        <v>0.5</v>
      </c>
      <c r="BO29" s="1006">
        <v>0.5</v>
      </c>
      <c r="BP29" s="1006">
        <v>0.5</v>
      </c>
      <c r="BQ29" s="327"/>
      <c r="BR29" s="817">
        <v>0.32</v>
      </c>
      <c r="BS29" s="817">
        <v>0.32</v>
      </c>
      <c r="BT29" s="817">
        <v>0.45</v>
      </c>
      <c r="BU29" s="817">
        <v>0.42</v>
      </c>
      <c r="BV29" s="817">
        <v>0.42</v>
      </c>
      <c r="BW29" s="817">
        <v>0.51</v>
      </c>
      <c r="BX29" s="817">
        <v>0.5</v>
      </c>
      <c r="BY29" s="817">
        <v>0.5</v>
      </c>
      <c r="BZ29" s="817">
        <v>0.59</v>
      </c>
      <c r="CA29" s="817">
        <v>0.77</v>
      </c>
      <c r="CB29" s="817">
        <v>0.68</v>
      </c>
      <c r="CC29" s="817">
        <v>0.77</v>
      </c>
      <c r="CD29" s="142">
        <v>0.49</v>
      </c>
      <c r="CE29" s="142">
        <v>0.49</v>
      </c>
      <c r="CF29" s="142" t="s">
        <v>764</v>
      </c>
      <c r="CG29" s="142">
        <v>0.39</v>
      </c>
      <c r="CH29" s="142">
        <v>0.39</v>
      </c>
      <c r="CI29" s="142" t="s">
        <v>764</v>
      </c>
      <c r="CJ29" s="142">
        <v>0.39</v>
      </c>
      <c r="CK29" s="142">
        <v>0.39</v>
      </c>
      <c r="CL29" s="142" t="s">
        <v>764</v>
      </c>
      <c r="CM29" s="142">
        <v>0.39</v>
      </c>
      <c r="CN29" s="142">
        <v>0.39</v>
      </c>
      <c r="CO29" s="142" t="s">
        <v>764</v>
      </c>
      <c r="CP29" s="817">
        <v>0.5</v>
      </c>
      <c r="CQ29" s="817">
        <v>0.5</v>
      </c>
      <c r="CR29" s="817">
        <v>0.5</v>
      </c>
      <c r="CS29" s="817">
        <v>0.5</v>
      </c>
      <c r="CT29" s="817">
        <v>0.85</v>
      </c>
      <c r="CU29" s="817">
        <v>0.85</v>
      </c>
      <c r="CV29" s="817">
        <v>0.4</v>
      </c>
      <c r="CW29" s="817">
        <v>0.4</v>
      </c>
      <c r="CX29" s="817">
        <v>0.4</v>
      </c>
      <c r="CY29" s="817">
        <v>0.4</v>
      </c>
      <c r="CZ29" s="817" t="s">
        <v>764</v>
      </c>
      <c r="DA29" s="818" t="s">
        <v>764</v>
      </c>
      <c r="DI29" s="1016" t="s">
        <v>3156</v>
      </c>
      <c r="DJ29" s="1016" t="s">
        <v>3157</v>
      </c>
      <c r="DK29" s="1016" t="s">
        <v>3157</v>
      </c>
      <c r="DL29" s="1016" t="s">
        <v>3158</v>
      </c>
    </row>
    <row r="30" spans="1:116" s="129" customFormat="1" ht="57" x14ac:dyDescent="0.25">
      <c r="A30" s="147" t="s">
        <v>786</v>
      </c>
      <c r="B30" s="151" t="s">
        <v>1689</v>
      </c>
      <c r="C30" s="132" t="s">
        <v>1689</v>
      </c>
      <c r="D30" s="132" t="s">
        <v>1698</v>
      </c>
      <c r="E30" s="132" t="s">
        <v>1699</v>
      </c>
      <c r="F30" s="132" t="s">
        <v>1692</v>
      </c>
      <c r="G30" s="132" t="s">
        <v>1691</v>
      </c>
      <c r="H30" s="132" t="s">
        <v>716</v>
      </c>
      <c r="I30" s="132" t="s">
        <v>1701</v>
      </c>
      <c r="J30" s="132" t="s">
        <v>716</v>
      </c>
      <c r="K30" s="132" t="s">
        <v>1694</v>
      </c>
      <c r="L30" s="132" t="s">
        <v>1694</v>
      </c>
      <c r="M30" s="132" t="s">
        <v>1695</v>
      </c>
      <c r="N30" s="132" t="s">
        <v>718</v>
      </c>
      <c r="O30" s="132" t="s">
        <v>1702</v>
      </c>
      <c r="P30" s="132" t="s">
        <v>718</v>
      </c>
      <c r="Q30" s="132" t="s">
        <v>719</v>
      </c>
      <c r="R30" s="132" t="s">
        <v>734</v>
      </c>
      <c r="S30" s="132" t="s">
        <v>719</v>
      </c>
      <c r="T30" s="132" t="s">
        <v>734</v>
      </c>
      <c r="U30" s="132" t="s">
        <v>734</v>
      </c>
      <c r="V30" s="132" t="s">
        <v>720</v>
      </c>
      <c r="W30" s="327"/>
      <c r="X30" s="1484">
        <v>0.18170441600000001</v>
      </c>
      <c r="Y30" s="1484">
        <v>0.18170441600000001</v>
      </c>
      <c r="Z30" s="1484">
        <v>0.357730569</v>
      </c>
      <c r="AA30" s="1484">
        <v>0.17602615300000002</v>
      </c>
      <c r="AB30" s="1484">
        <v>0.16466962700000001</v>
      </c>
      <c r="AC30" s="1484">
        <v>0.34069578</v>
      </c>
      <c r="AD30" s="1484">
        <v>0.11924352300000002</v>
      </c>
      <c r="AE30" s="1484">
        <v>0.11924352300000002</v>
      </c>
      <c r="AF30" s="1484">
        <v>0.19306094200000001</v>
      </c>
      <c r="AG30" s="1484">
        <v>0.45426104</v>
      </c>
      <c r="AH30" s="1484">
        <v>0.45993930300000002</v>
      </c>
      <c r="AI30" s="1484">
        <v>0.85741771300000003</v>
      </c>
      <c r="AJ30" s="1484">
        <v>0.28391315</v>
      </c>
      <c r="AK30" s="1484">
        <v>0.28391315</v>
      </c>
      <c r="AL30" s="1484">
        <v>0.53375672200000002</v>
      </c>
      <c r="AM30" s="1484">
        <v>0.27823488700000004</v>
      </c>
      <c r="AN30" s="1484">
        <v>0.27823488700000004</v>
      </c>
      <c r="AO30" s="1484">
        <v>0.47697409200000007</v>
      </c>
      <c r="AP30" s="1484">
        <v>0.28959141300000002</v>
      </c>
      <c r="AQ30" s="1484">
        <v>0.28959141300000002</v>
      </c>
      <c r="AR30" s="1484">
        <v>0.50536540699999999</v>
      </c>
      <c r="AS30" s="1484">
        <v>0.52240019599999998</v>
      </c>
      <c r="AT30" s="1484">
        <v>0.357730569</v>
      </c>
      <c r="AU30" s="1484">
        <v>0.67571329700000005</v>
      </c>
      <c r="AV30" s="1484">
        <v>0.28959141300000002</v>
      </c>
      <c r="AW30" s="1484">
        <v>0.28959141300000002</v>
      </c>
      <c r="AX30" s="1484">
        <v>0.49400888100000001</v>
      </c>
      <c r="AY30" s="1484">
        <v>0.18170441600000001</v>
      </c>
      <c r="AZ30" s="1484">
        <v>0.18170441600000001</v>
      </c>
      <c r="BA30" s="1484">
        <v>0.29526967599999998</v>
      </c>
      <c r="BB30" s="1484">
        <v>0.66700000000000004</v>
      </c>
      <c r="BC30" s="1484">
        <v>0.52300000000000002</v>
      </c>
      <c r="BD30" s="1484">
        <v>6.484</v>
      </c>
      <c r="BE30" s="1484">
        <v>0.88306499999999999</v>
      </c>
      <c r="BF30" s="1484">
        <v>0.751471</v>
      </c>
      <c r="BG30" s="1484">
        <v>1.263995</v>
      </c>
      <c r="BH30" s="1484">
        <v>1.1912719999999999</v>
      </c>
      <c r="BI30" s="1484">
        <v>1.1618365000000002</v>
      </c>
      <c r="BJ30" s="1484">
        <v>1.48909</v>
      </c>
      <c r="BK30" s="1484">
        <v>2.8391315000000001</v>
      </c>
      <c r="BL30" s="1484">
        <v>2.8391315000000001</v>
      </c>
      <c r="BM30" s="1484">
        <v>3.9747840999999999</v>
      </c>
      <c r="BN30" s="1484">
        <v>2.8391315000000001</v>
      </c>
      <c r="BO30" s="1484">
        <v>2.8391315000000001</v>
      </c>
      <c r="BP30" s="1484">
        <v>2.8391315000000001</v>
      </c>
      <c r="BQ30" s="327"/>
      <c r="BR30" s="1003">
        <f>BR29*5.678263</f>
        <v>1.81704416</v>
      </c>
      <c r="BS30" s="1003">
        <f t="shared" ref="BS30" si="56">BS29*5.678263</f>
        <v>1.81704416</v>
      </c>
      <c r="BT30" s="1003">
        <f t="shared" ref="BT30" si="57">BT29*5.678263</f>
        <v>2.5552183500000001</v>
      </c>
      <c r="BU30" s="1003">
        <f t="shared" ref="BU30" si="58">BU29*5.678263</f>
        <v>2.3848704600000001</v>
      </c>
      <c r="BV30" s="1003">
        <f t="shared" ref="BV30" si="59">BV29*5.678263</f>
        <v>2.3848704600000001</v>
      </c>
      <c r="BW30" s="1003">
        <f t="shared" ref="BW30" si="60">BW29*5.678263</f>
        <v>2.89591413</v>
      </c>
      <c r="BX30" s="1003">
        <f t="shared" ref="BX30" si="61">BX29*5.678263</f>
        <v>2.8391315000000001</v>
      </c>
      <c r="BY30" s="1003">
        <f t="shared" ref="BY30" si="62">BY29*5.678263</f>
        <v>2.8391315000000001</v>
      </c>
      <c r="BZ30" s="1003">
        <f t="shared" ref="BZ30" si="63">BZ29*5.678263</f>
        <v>3.35017517</v>
      </c>
      <c r="CA30" s="1003">
        <f t="shared" ref="CA30" si="64">CA29*5.678263</f>
        <v>4.3722625100000005</v>
      </c>
      <c r="CB30" s="1003">
        <f t="shared" ref="CB30" si="65">CB29*5.678263</f>
        <v>3.8612188400000003</v>
      </c>
      <c r="CC30" s="1003">
        <f t="shared" ref="CC30" si="66">CC29*5.678263</f>
        <v>4.3722625100000005</v>
      </c>
      <c r="CD30" s="132">
        <v>0.49</v>
      </c>
      <c r="CE30" s="132">
        <v>0.49</v>
      </c>
      <c r="CF30" s="132" t="s">
        <v>764</v>
      </c>
      <c r="CG30" s="132">
        <v>0.39</v>
      </c>
      <c r="CH30" s="132">
        <v>0.39</v>
      </c>
      <c r="CI30" s="132" t="s">
        <v>764</v>
      </c>
      <c r="CJ30" s="132">
        <v>0.39</v>
      </c>
      <c r="CK30" s="132">
        <v>0.39</v>
      </c>
      <c r="CL30" s="132" t="s">
        <v>764</v>
      </c>
      <c r="CM30" s="132">
        <v>0.39</v>
      </c>
      <c r="CN30" s="132">
        <v>0.39</v>
      </c>
      <c r="CO30" s="132" t="s">
        <v>764</v>
      </c>
      <c r="CP30" s="821">
        <v>2.84</v>
      </c>
      <c r="CQ30" s="821">
        <v>2.84</v>
      </c>
      <c r="CR30" s="821">
        <v>2.84</v>
      </c>
      <c r="CS30" s="821">
        <v>2.84</v>
      </c>
      <c r="CT30" s="821">
        <v>4.83</v>
      </c>
      <c r="CU30" s="821">
        <v>4.83</v>
      </c>
      <c r="CV30" s="821">
        <v>0.4</v>
      </c>
      <c r="CW30" s="821">
        <v>0.4</v>
      </c>
      <c r="CX30" s="821">
        <v>0.4</v>
      </c>
      <c r="CY30" s="821">
        <v>0.4</v>
      </c>
      <c r="CZ30" s="821" t="s">
        <v>764</v>
      </c>
      <c r="DA30" s="822" t="s">
        <v>764</v>
      </c>
      <c r="DI30" s="1016" t="s">
        <v>3159</v>
      </c>
      <c r="DJ30" s="1016" t="s">
        <v>3160</v>
      </c>
      <c r="DK30" s="1016" t="s">
        <v>3161</v>
      </c>
      <c r="DL30" s="1016" t="s">
        <v>2753</v>
      </c>
    </row>
    <row r="31" spans="1:116" s="129" customFormat="1" ht="45.6" x14ac:dyDescent="0.25">
      <c r="A31" s="148" t="s">
        <v>778</v>
      </c>
      <c r="B31" s="152" t="s">
        <v>1681</v>
      </c>
      <c r="C31" s="142" t="s">
        <v>1681</v>
      </c>
      <c r="D31" s="142" t="s">
        <v>1696</v>
      </c>
      <c r="E31" s="142" t="s">
        <v>1697</v>
      </c>
      <c r="F31" s="142" t="s">
        <v>1684</v>
      </c>
      <c r="G31" s="142" t="s">
        <v>1683</v>
      </c>
      <c r="H31" s="142" t="s">
        <v>202</v>
      </c>
      <c r="I31" s="142" t="s">
        <v>1700</v>
      </c>
      <c r="J31" s="142" t="s">
        <v>202</v>
      </c>
      <c r="K31" s="142" t="s">
        <v>1686</v>
      </c>
      <c r="L31" s="142" t="s">
        <v>1686</v>
      </c>
      <c r="M31" s="142" t="s">
        <v>1687</v>
      </c>
      <c r="N31" s="142" t="s">
        <v>184</v>
      </c>
      <c r="O31" s="142" t="s">
        <v>184</v>
      </c>
      <c r="P31" s="142" t="s">
        <v>184</v>
      </c>
      <c r="Q31" s="142" t="s">
        <v>187</v>
      </c>
      <c r="R31" s="142" t="s">
        <v>189</v>
      </c>
      <c r="S31" s="142" t="s">
        <v>187</v>
      </c>
      <c r="T31" s="142" t="s">
        <v>189</v>
      </c>
      <c r="U31" s="142" t="s">
        <v>189</v>
      </c>
      <c r="V31" s="142" t="s">
        <v>188</v>
      </c>
      <c r="W31" s="327"/>
      <c r="X31" s="1981">
        <v>3.2000000000000001E-2</v>
      </c>
      <c r="Y31" s="1981">
        <v>3.2000000000000001E-2</v>
      </c>
      <c r="Z31" s="1485">
        <v>6.3E-2</v>
      </c>
      <c r="AA31" s="1981">
        <v>3.1E-2</v>
      </c>
      <c r="AB31" s="1981">
        <v>2.9000000000000001E-2</v>
      </c>
      <c r="AC31" s="1485">
        <v>0.06</v>
      </c>
      <c r="AD31" s="1981">
        <v>2.1000000000000001E-2</v>
      </c>
      <c r="AE31" s="1981">
        <v>2.1000000000000001E-2</v>
      </c>
      <c r="AF31" s="1485">
        <v>3.4000000000000002E-2</v>
      </c>
      <c r="AG31" s="1485">
        <v>0.08</v>
      </c>
      <c r="AH31" s="1485">
        <v>8.1000000000000003E-2</v>
      </c>
      <c r="AI31" s="1485">
        <v>0.151</v>
      </c>
      <c r="AJ31" s="1485">
        <v>0.05</v>
      </c>
      <c r="AK31" s="1485">
        <v>0.05</v>
      </c>
      <c r="AL31" s="1485">
        <v>9.4E-2</v>
      </c>
      <c r="AM31" s="1485">
        <v>4.9000000000000002E-2</v>
      </c>
      <c r="AN31" s="1485">
        <v>4.9000000000000002E-2</v>
      </c>
      <c r="AO31" s="1485">
        <v>8.4000000000000005E-2</v>
      </c>
      <c r="AP31" s="1485">
        <v>5.0999999999999997E-2</v>
      </c>
      <c r="AQ31" s="1485">
        <v>5.0999999999999997E-2</v>
      </c>
      <c r="AR31" s="1485">
        <v>8.8999999999999996E-2</v>
      </c>
      <c r="AS31" s="1485">
        <v>9.1999999999999998E-2</v>
      </c>
      <c r="AT31" s="1485">
        <v>6.3E-2</v>
      </c>
      <c r="AU31" s="1485">
        <v>0.11899999999999999</v>
      </c>
      <c r="AV31" s="1485">
        <v>5.0999999999999997E-2</v>
      </c>
      <c r="AW31" s="1485">
        <v>5.0999999999999997E-2</v>
      </c>
      <c r="AX31" s="1485">
        <v>8.6999999999999994E-2</v>
      </c>
      <c r="AY31" s="1485">
        <v>3.2000000000000001E-2</v>
      </c>
      <c r="AZ31" s="1485">
        <v>3.2000000000000001E-2</v>
      </c>
      <c r="BA31" s="1485">
        <v>5.1999999999999998E-2</v>
      </c>
      <c r="BB31" s="1485">
        <v>2.7E-2</v>
      </c>
      <c r="BC31" s="1485">
        <v>2.7E-2</v>
      </c>
      <c r="BD31" s="1485">
        <v>5.0999999999999997E-2</v>
      </c>
      <c r="BE31" s="1485">
        <v>0.51</v>
      </c>
      <c r="BF31" s="1485">
        <v>0.434</v>
      </c>
      <c r="BG31" s="1485">
        <v>0.73</v>
      </c>
      <c r="BH31" s="1485">
        <v>0.68799999999999994</v>
      </c>
      <c r="BI31" s="1485">
        <v>0.67100000000000004</v>
      </c>
      <c r="BJ31" s="1485">
        <v>0.86</v>
      </c>
      <c r="BK31" s="1485">
        <v>0.5</v>
      </c>
      <c r="BL31" s="1485">
        <v>0.5</v>
      </c>
      <c r="BM31" s="1485">
        <v>0.7</v>
      </c>
      <c r="BN31" s="1006">
        <v>0.5</v>
      </c>
      <c r="BO31" s="1006">
        <v>0.5</v>
      </c>
      <c r="BP31" s="1006">
        <v>0.5</v>
      </c>
      <c r="BQ31" s="327"/>
      <c r="BR31" s="817">
        <v>0.32</v>
      </c>
      <c r="BS31" s="817">
        <v>0.32</v>
      </c>
      <c r="BT31" s="817">
        <v>0.45</v>
      </c>
      <c r="BU31" s="817">
        <v>0.42</v>
      </c>
      <c r="BV31" s="817">
        <v>0.42</v>
      </c>
      <c r="BW31" s="817">
        <v>0.51</v>
      </c>
      <c r="BX31" s="817">
        <v>0.5</v>
      </c>
      <c r="BY31" s="817">
        <v>0.5</v>
      </c>
      <c r="BZ31" s="817">
        <v>0.59</v>
      </c>
      <c r="CA31" s="817">
        <v>0.77</v>
      </c>
      <c r="CB31" s="817">
        <v>0.68</v>
      </c>
      <c r="CC31" s="817">
        <v>0.77</v>
      </c>
      <c r="CD31" s="142">
        <v>0.49</v>
      </c>
      <c r="CE31" s="142">
        <v>0.49</v>
      </c>
      <c r="CF31" s="142" t="s">
        <v>764</v>
      </c>
      <c r="CG31" s="142">
        <v>0.39</v>
      </c>
      <c r="CH31" s="142">
        <v>0.39</v>
      </c>
      <c r="CI31" s="142" t="s">
        <v>764</v>
      </c>
      <c r="CJ31" s="142">
        <v>0.39</v>
      </c>
      <c r="CK31" s="142">
        <v>0.39</v>
      </c>
      <c r="CL31" s="142" t="s">
        <v>764</v>
      </c>
      <c r="CM31" s="142">
        <v>0.39</v>
      </c>
      <c r="CN31" s="142">
        <v>0.39</v>
      </c>
      <c r="CO31" s="142" t="s">
        <v>764</v>
      </c>
      <c r="CP31" s="817">
        <v>0.5</v>
      </c>
      <c r="CQ31" s="817">
        <v>0.5</v>
      </c>
      <c r="CR31" s="817">
        <v>0.5</v>
      </c>
      <c r="CS31" s="817">
        <v>0.5</v>
      </c>
      <c r="CT31" s="817">
        <v>0.85</v>
      </c>
      <c r="CU31" s="817">
        <v>0.85</v>
      </c>
      <c r="CV31" s="817">
        <v>0.4</v>
      </c>
      <c r="CW31" s="817">
        <v>0.4</v>
      </c>
      <c r="CX31" s="817">
        <v>0.4</v>
      </c>
      <c r="CY31" s="817">
        <v>0.4</v>
      </c>
      <c r="CZ31" s="817" t="s">
        <v>764</v>
      </c>
      <c r="DA31" s="818" t="s">
        <v>764</v>
      </c>
      <c r="DI31" s="1016" t="s">
        <v>3162</v>
      </c>
      <c r="DJ31" s="1016" t="s">
        <v>3152</v>
      </c>
      <c r="DK31" s="1016" t="s">
        <v>3152</v>
      </c>
      <c r="DL31" s="1016" t="s">
        <v>3163</v>
      </c>
    </row>
    <row r="32" spans="1:116" s="129" customFormat="1" ht="57" x14ac:dyDescent="0.25">
      <c r="A32" s="147" t="s">
        <v>785</v>
      </c>
      <c r="B32" s="151" t="s">
        <v>1689</v>
      </c>
      <c r="C32" s="132" t="s">
        <v>1689</v>
      </c>
      <c r="D32" s="132" t="s">
        <v>1698</v>
      </c>
      <c r="E32" s="132" t="s">
        <v>1699</v>
      </c>
      <c r="F32" s="132" t="s">
        <v>1692</v>
      </c>
      <c r="G32" s="132" t="s">
        <v>1691</v>
      </c>
      <c r="H32" s="132" t="s">
        <v>716</v>
      </c>
      <c r="I32" s="132" t="s">
        <v>1701</v>
      </c>
      <c r="J32" s="132" t="s">
        <v>716</v>
      </c>
      <c r="K32" s="132" t="s">
        <v>1694</v>
      </c>
      <c r="L32" s="132" t="s">
        <v>1694</v>
      </c>
      <c r="M32" s="132" t="s">
        <v>1695</v>
      </c>
      <c r="N32" s="132" t="s">
        <v>718</v>
      </c>
      <c r="O32" s="132" t="s">
        <v>1702</v>
      </c>
      <c r="P32" s="132" t="s">
        <v>718</v>
      </c>
      <c r="Q32" s="132" t="s">
        <v>719</v>
      </c>
      <c r="R32" s="132" t="s">
        <v>734</v>
      </c>
      <c r="S32" s="132" t="s">
        <v>719</v>
      </c>
      <c r="T32" s="132" t="s">
        <v>734</v>
      </c>
      <c r="U32" s="132" t="s">
        <v>734</v>
      </c>
      <c r="V32" s="132" t="s">
        <v>720</v>
      </c>
      <c r="W32" s="327"/>
      <c r="X32" s="1484">
        <v>0.18170441600000001</v>
      </c>
      <c r="Y32" s="1484">
        <v>0.18170441600000001</v>
      </c>
      <c r="Z32" s="1484">
        <v>0.357730569</v>
      </c>
      <c r="AA32" s="1484">
        <v>0.17602615300000002</v>
      </c>
      <c r="AB32" s="1484">
        <v>0.16466962700000001</v>
      </c>
      <c r="AC32" s="1484">
        <v>0.34069578</v>
      </c>
      <c r="AD32" s="1484">
        <v>0.11924352300000002</v>
      </c>
      <c r="AE32" s="1484">
        <v>0.11924352300000002</v>
      </c>
      <c r="AF32" s="1484">
        <v>0.19306094200000001</v>
      </c>
      <c r="AG32" s="1484">
        <v>0.45426104</v>
      </c>
      <c r="AH32" s="1484">
        <v>0.45993930300000002</v>
      </c>
      <c r="AI32" s="1484">
        <v>0.85741771300000003</v>
      </c>
      <c r="AJ32" s="1484">
        <v>0.28391315</v>
      </c>
      <c r="AK32" s="1484">
        <v>0.28391315</v>
      </c>
      <c r="AL32" s="1484">
        <v>0.53375672200000002</v>
      </c>
      <c r="AM32" s="1484">
        <v>0.27823488700000004</v>
      </c>
      <c r="AN32" s="1484">
        <v>0.27823488700000004</v>
      </c>
      <c r="AO32" s="1484">
        <v>0.47697409200000007</v>
      </c>
      <c r="AP32" s="1484">
        <v>0.28959141300000002</v>
      </c>
      <c r="AQ32" s="1484">
        <v>0.28959141300000002</v>
      </c>
      <c r="AR32" s="1484">
        <v>0.50536540699999999</v>
      </c>
      <c r="AS32" s="1484">
        <v>0.52240019599999998</v>
      </c>
      <c r="AT32" s="1484">
        <v>0.357730569</v>
      </c>
      <c r="AU32" s="1484">
        <v>0.67571329700000005</v>
      </c>
      <c r="AV32" s="1484">
        <v>0.28959141300000002</v>
      </c>
      <c r="AW32" s="1484">
        <v>0.28959141300000002</v>
      </c>
      <c r="AX32" s="1484">
        <v>0.49400888100000001</v>
      </c>
      <c r="AY32" s="1484">
        <v>0.18170441600000001</v>
      </c>
      <c r="AZ32" s="1484">
        <v>0.18170441600000001</v>
      </c>
      <c r="BA32" s="1484">
        <v>0.29526967599999998</v>
      </c>
      <c r="BB32" s="1484">
        <v>0.66700000000000004</v>
      </c>
      <c r="BC32" s="1484">
        <v>0.52300000000000002</v>
      </c>
      <c r="BD32" s="1484">
        <v>6.484</v>
      </c>
      <c r="BE32" s="1484">
        <v>0.88306499999999999</v>
      </c>
      <c r="BF32" s="1484">
        <v>0.751471</v>
      </c>
      <c r="BG32" s="1484">
        <v>1.263995</v>
      </c>
      <c r="BH32" s="1484">
        <v>1.1912719999999999</v>
      </c>
      <c r="BI32" s="1484">
        <v>1.1618365000000002</v>
      </c>
      <c r="BJ32" s="1484">
        <v>1.48909</v>
      </c>
      <c r="BK32" s="1484">
        <v>2.8391315000000001</v>
      </c>
      <c r="BL32" s="1484">
        <v>2.8391315000000001</v>
      </c>
      <c r="BM32" s="1484">
        <v>3.9747840999999999</v>
      </c>
      <c r="BN32" s="1484">
        <v>2.8391315000000001</v>
      </c>
      <c r="BO32" s="1484">
        <v>2.8391315000000001</v>
      </c>
      <c r="BP32" s="1484">
        <v>2.8391315000000001</v>
      </c>
      <c r="BQ32" s="327"/>
      <c r="BR32" s="1003">
        <f>BR31*5.678263</f>
        <v>1.81704416</v>
      </c>
      <c r="BS32" s="1003">
        <f t="shared" ref="BS32" si="67">BS31*5.678263</f>
        <v>1.81704416</v>
      </c>
      <c r="BT32" s="1003">
        <f t="shared" ref="BT32" si="68">BT31*5.678263</f>
        <v>2.5552183500000001</v>
      </c>
      <c r="BU32" s="1003">
        <f t="shared" ref="BU32" si="69">BU31*5.678263</f>
        <v>2.3848704600000001</v>
      </c>
      <c r="BV32" s="1003">
        <f t="shared" ref="BV32" si="70">BV31*5.678263</f>
        <v>2.3848704600000001</v>
      </c>
      <c r="BW32" s="1003">
        <f t="shared" ref="BW32" si="71">BW31*5.678263</f>
        <v>2.89591413</v>
      </c>
      <c r="BX32" s="1003">
        <f t="shared" ref="BX32" si="72">BX31*5.678263</f>
        <v>2.8391315000000001</v>
      </c>
      <c r="BY32" s="1003">
        <f t="shared" ref="BY32" si="73">BY31*5.678263</f>
        <v>2.8391315000000001</v>
      </c>
      <c r="BZ32" s="1003">
        <f t="shared" ref="BZ32" si="74">BZ31*5.678263</f>
        <v>3.35017517</v>
      </c>
      <c r="CA32" s="1003">
        <f t="shared" ref="CA32" si="75">CA31*5.678263</f>
        <v>4.3722625100000005</v>
      </c>
      <c r="CB32" s="1003">
        <f t="shared" ref="CB32" si="76">CB31*5.678263</f>
        <v>3.8612188400000003</v>
      </c>
      <c r="CC32" s="1003">
        <f t="shared" ref="CC32" si="77">CC31*5.678263</f>
        <v>4.3722625100000005</v>
      </c>
      <c r="CD32" s="132">
        <v>0.49</v>
      </c>
      <c r="CE32" s="132">
        <v>0.49</v>
      </c>
      <c r="CF32" s="132" t="s">
        <v>764</v>
      </c>
      <c r="CG32" s="132">
        <v>0.39</v>
      </c>
      <c r="CH32" s="132">
        <v>0.39</v>
      </c>
      <c r="CI32" s="132" t="s">
        <v>764</v>
      </c>
      <c r="CJ32" s="132">
        <v>0.39</v>
      </c>
      <c r="CK32" s="132">
        <v>0.39</v>
      </c>
      <c r="CL32" s="132" t="s">
        <v>764</v>
      </c>
      <c r="CM32" s="132">
        <v>0.39</v>
      </c>
      <c r="CN32" s="132">
        <v>0.39</v>
      </c>
      <c r="CO32" s="132" t="s">
        <v>764</v>
      </c>
      <c r="CP32" s="821">
        <v>2.84</v>
      </c>
      <c r="CQ32" s="821">
        <v>2.84</v>
      </c>
      <c r="CR32" s="821">
        <v>2.84</v>
      </c>
      <c r="CS32" s="821">
        <v>2.84</v>
      </c>
      <c r="CT32" s="821">
        <v>4.83</v>
      </c>
      <c r="CU32" s="821">
        <v>4.83</v>
      </c>
      <c r="CV32" s="821">
        <v>0.4</v>
      </c>
      <c r="CW32" s="821">
        <v>0.4</v>
      </c>
      <c r="CX32" s="821">
        <v>0.4</v>
      </c>
      <c r="CY32" s="821">
        <v>0.4</v>
      </c>
      <c r="CZ32" s="821" t="s">
        <v>764</v>
      </c>
      <c r="DA32" s="822" t="s">
        <v>764</v>
      </c>
      <c r="DI32" s="1016" t="s">
        <v>3164</v>
      </c>
      <c r="DJ32" s="1016" t="s">
        <v>3154</v>
      </c>
      <c r="DK32" s="1016" t="s">
        <v>3154</v>
      </c>
      <c r="DL32" s="1016" t="s">
        <v>3155</v>
      </c>
    </row>
    <row r="33" spans="1:116" s="129" customFormat="1" ht="45.6" x14ac:dyDescent="0.25">
      <c r="A33" s="148" t="s">
        <v>779</v>
      </c>
      <c r="B33" s="152" t="s">
        <v>191</v>
      </c>
      <c r="C33" s="142" t="s">
        <v>191</v>
      </c>
      <c r="D33" s="142" t="s">
        <v>194</v>
      </c>
      <c r="E33" s="142" t="s">
        <v>198</v>
      </c>
      <c r="F33" s="142" t="s">
        <v>200</v>
      </c>
      <c r="G33" s="142" t="s">
        <v>196</v>
      </c>
      <c r="H33" s="142" t="s">
        <v>203</v>
      </c>
      <c r="I33" s="142" t="s">
        <v>204</v>
      </c>
      <c r="J33" s="142" t="s">
        <v>202</v>
      </c>
      <c r="K33" s="142" t="s">
        <v>182</v>
      </c>
      <c r="L33" s="142" t="s">
        <v>183</v>
      </c>
      <c r="M33" s="142" t="s">
        <v>180</v>
      </c>
      <c r="N33" s="142" t="s">
        <v>185</v>
      </c>
      <c r="O33" s="142" t="s">
        <v>185</v>
      </c>
      <c r="P33" s="142" t="s">
        <v>184</v>
      </c>
      <c r="Q33" s="142" t="s">
        <v>189</v>
      </c>
      <c r="R33" s="142" t="s">
        <v>189</v>
      </c>
      <c r="S33" s="142" t="s">
        <v>187</v>
      </c>
      <c r="T33" s="142" t="s">
        <v>189</v>
      </c>
      <c r="U33" s="142" t="s">
        <v>189</v>
      </c>
      <c r="V33" s="142" t="s">
        <v>188</v>
      </c>
      <c r="W33" s="327"/>
      <c r="X33" s="1485">
        <v>2.8000000000000001E-2</v>
      </c>
      <c r="Y33" s="1485">
        <v>2.8000000000000001E-2</v>
      </c>
      <c r="Z33" s="1485">
        <v>3.9E-2</v>
      </c>
      <c r="AA33" s="1485">
        <v>2.9000000000000001E-2</v>
      </c>
      <c r="AB33" s="1485">
        <v>2.9000000000000001E-2</v>
      </c>
      <c r="AC33" s="1485">
        <v>3.6999999999999998E-2</v>
      </c>
      <c r="AD33" s="1485">
        <v>1.7000000000000001E-2</v>
      </c>
      <c r="AE33" s="1485">
        <v>1.7000000000000001E-2</v>
      </c>
      <c r="AF33" s="1485">
        <v>2.7E-2</v>
      </c>
      <c r="AG33" s="1485">
        <v>7.0999999999999994E-2</v>
      </c>
      <c r="AH33" s="1485">
        <v>7.0999999999999994E-2</v>
      </c>
      <c r="AI33" s="1485">
        <v>0.123</v>
      </c>
      <c r="AJ33" s="1485">
        <v>4.3999999999999997E-2</v>
      </c>
      <c r="AK33" s="1485">
        <v>4.3999999999999997E-2</v>
      </c>
      <c r="AL33" s="1485">
        <v>7.1999999999999995E-2</v>
      </c>
      <c r="AM33" s="1485">
        <v>4.9000000000000002E-2</v>
      </c>
      <c r="AN33" s="1485">
        <v>4.2000000000000003E-2</v>
      </c>
      <c r="AO33" s="1485">
        <v>6.4000000000000001E-2</v>
      </c>
      <c r="AP33" s="1485">
        <v>5.0999999999999997E-2</v>
      </c>
      <c r="AQ33" s="1485">
        <v>5.0999999999999997E-2</v>
      </c>
      <c r="AR33" s="1485">
        <v>6.4000000000000001E-2</v>
      </c>
      <c r="AS33" s="1485">
        <v>6.3E-2</v>
      </c>
      <c r="AT33" s="1485">
        <v>6.3E-2</v>
      </c>
      <c r="AU33" s="1485">
        <v>0.11899999999999999</v>
      </c>
      <c r="AV33" s="1485">
        <v>4.2000000000000003E-2</v>
      </c>
      <c r="AW33" s="1485">
        <v>4.2000000000000003E-2</v>
      </c>
      <c r="AX33" s="1485">
        <v>7.3999999999999996E-2</v>
      </c>
      <c r="AY33" s="1485">
        <v>3.2000000000000001E-2</v>
      </c>
      <c r="AZ33" s="1485">
        <v>3.2000000000000001E-2</v>
      </c>
      <c r="BA33" s="1485">
        <v>5.1999999999999998E-2</v>
      </c>
      <c r="BB33" s="1485">
        <v>2.7E-2</v>
      </c>
      <c r="BC33" s="1485">
        <v>2.7E-2</v>
      </c>
      <c r="BD33" s="1485">
        <v>5.0999999999999997E-2</v>
      </c>
      <c r="BE33" s="1485">
        <v>0.51</v>
      </c>
      <c r="BF33" s="1485">
        <v>0.434</v>
      </c>
      <c r="BG33" s="1485">
        <v>0.73</v>
      </c>
      <c r="BH33" s="1485">
        <v>0.67100000000000004</v>
      </c>
      <c r="BI33" s="1485">
        <v>0.67100000000000004</v>
      </c>
      <c r="BJ33" s="1485">
        <v>0.86</v>
      </c>
      <c r="BK33" s="1485">
        <v>0.5</v>
      </c>
      <c r="BL33" s="1485">
        <v>0.5</v>
      </c>
      <c r="BM33" s="1485">
        <v>0.7</v>
      </c>
      <c r="BN33" s="817">
        <v>0.5</v>
      </c>
      <c r="BO33" s="817">
        <v>0.5</v>
      </c>
      <c r="BP33" s="817">
        <v>0.5</v>
      </c>
      <c r="BQ33" s="327"/>
      <c r="BR33" s="142">
        <v>0.35</v>
      </c>
      <c r="BS33" s="142">
        <v>0.4</v>
      </c>
      <c r="BT33" s="142">
        <v>0.8</v>
      </c>
      <c r="BU33" s="142"/>
      <c r="BV33" s="142"/>
      <c r="BW33" s="142"/>
      <c r="BX33" s="142"/>
      <c r="BY33" s="142"/>
      <c r="BZ33" s="142"/>
      <c r="CA33" s="142"/>
      <c r="CB33" s="142"/>
      <c r="CC33" s="142"/>
      <c r="CD33" s="142">
        <v>0.45</v>
      </c>
      <c r="CE33" s="142">
        <v>0.45</v>
      </c>
      <c r="CF33" s="142">
        <v>0.45</v>
      </c>
      <c r="CG33" s="142"/>
      <c r="CH33" s="142"/>
      <c r="CI33" s="142"/>
      <c r="CJ33" s="142"/>
      <c r="CK33" s="142"/>
      <c r="CL33" s="142"/>
      <c r="CM33" s="142">
        <v>0.45</v>
      </c>
      <c r="CN33" s="142">
        <v>0.45</v>
      </c>
      <c r="CO33" s="142">
        <v>0.45</v>
      </c>
      <c r="CP33" s="817">
        <v>0.5</v>
      </c>
      <c r="CQ33" s="817">
        <v>0.5</v>
      </c>
      <c r="CR33" s="817">
        <v>0.5</v>
      </c>
      <c r="CS33" s="817">
        <v>0.5</v>
      </c>
      <c r="CT33" s="817">
        <v>0.85</v>
      </c>
      <c r="CU33" s="817">
        <v>0.85</v>
      </c>
      <c r="CV33" s="817" t="s">
        <v>764</v>
      </c>
      <c r="CW33" s="817" t="s">
        <v>764</v>
      </c>
      <c r="CX33" s="817" t="s">
        <v>764</v>
      </c>
      <c r="CY33" s="817" t="s">
        <v>764</v>
      </c>
      <c r="CZ33" s="817" t="s">
        <v>764</v>
      </c>
      <c r="DA33" s="818" t="s">
        <v>764</v>
      </c>
      <c r="DI33" s="1016" t="s">
        <v>3165</v>
      </c>
      <c r="DJ33" s="1016" t="s">
        <v>3157</v>
      </c>
      <c r="DK33" s="1016" t="s">
        <v>3157</v>
      </c>
      <c r="DL33" s="1016" t="s">
        <v>3158</v>
      </c>
    </row>
    <row r="34" spans="1:116" s="129" customFormat="1" ht="57" x14ac:dyDescent="0.25">
      <c r="A34" s="147" t="s">
        <v>784</v>
      </c>
      <c r="B34" s="151" t="s">
        <v>710</v>
      </c>
      <c r="C34" s="132" t="s">
        <v>710</v>
      </c>
      <c r="D34" s="132" t="s">
        <v>748</v>
      </c>
      <c r="E34" s="132" t="s">
        <v>731</v>
      </c>
      <c r="F34" s="132" t="s">
        <v>754</v>
      </c>
      <c r="G34" s="132" t="s">
        <v>714</v>
      </c>
      <c r="H34" s="132" t="s">
        <v>743</v>
      </c>
      <c r="I34" s="132" t="s">
        <v>755</v>
      </c>
      <c r="J34" s="132" t="s">
        <v>716</v>
      </c>
      <c r="K34" s="132" t="s">
        <v>744</v>
      </c>
      <c r="L34" s="132" t="s">
        <v>749</v>
      </c>
      <c r="M34" s="132" t="s">
        <v>732</v>
      </c>
      <c r="N34" s="132" t="s">
        <v>750</v>
      </c>
      <c r="O34" s="132" t="s">
        <v>750</v>
      </c>
      <c r="P34" s="132" t="s">
        <v>718</v>
      </c>
      <c r="Q34" s="132" t="s">
        <v>734</v>
      </c>
      <c r="R34" s="132" t="s">
        <v>734</v>
      </c>
      <c r="S34" s="132" t="s">
        <v>719</v>
      </c>
      <c r="T34" s="132" t="s">
        <v>734</v>
      </c>
      <c r="U34" s="132" t="s">
        <v>734</v>
      </c>
      <c r="V34" s="132" t="s">
        <v>720</v>
      </c>
      <c r="W34" s="327"/>
      <c r="X34" s="1484">
        <v>0.16</v>
      </c>
      <c r="Y34" s="1484">
        <v>0.16</v>
      </c>
      <c r="Z34" s="1484">
        <v>0.22</v>
      </c>
      <c r="AA34" s="1484">
        <v>0.16</v>
      </c>
      <c r="AB34" s="1484">
        <v>0.16</v>
      </c>
      <c r="AC34" s="1484">
        <v>0.21</v>
      </c>
      <c r="AD34" s="1484">
        <v>0.1</v>
      </c>
      <c r="AE34" s="1484">
        <v>0.1</v>
      </c>
      <c r="AF34" s="1484">
        <v>0.15</v>
      </c>
      <c r="AG34" s="1484">
        <v>0.4</v>
      </c>
      <c r="AH34" s="1484">
        <v>0.4</v>
      </c>
      <c r="AI34" s="1484">
        <v>0.7</v>
      </c>
      <c r="AJ34" s="1484">
        <v>0.25</v>
      </c>
      <c r="AK34" s="1484">
        <v>0.25</v>
      </c>
      <c r="AL34" s="1484">
        <v>0.41</v>
      </c>
      <c r="AM34" s="1484">
        <v>0.28000000000000003</v>
      </c>
      <c r="AN34" s="1484">
        <v>0.24</v>
      </c>
      <c r="AO34" s="1484">
        <v>0.36</v>
      </c>
      <c r="AP34" s="1484">
        <v>0.28999999999999998</v>
      </c>
      <c r="AQ34" s="1484">
        <v>0.28999999999999998</v>
      </c>
      <c r="AR34" s="1484">
        <v>0.36</v>
      </c>
      <c r="AS34" s="1484">
        <v>0.36</v>
      </c>
      <c r="AT34" s="1484">
        <v>0.36</v>
      </c>
      <c r="AU34" s="1484">
        <v>0.68</v>
      </c>
      <c r="AV34" s="1484">
        <v>0.24</v>
      </c>
      <c r="AW34" s="1484">
        <v>0.24</v>
      </c>
      <c r="AX34" s="1484">
        <v>0.42</v>
      </c>
      <c r="AY34" s="1484">
        <v>0.18</v>
      </c>
      <c r="AZ34" s="1484">
        <v>0.18</v>
      </c>
      <c r="BA34" s="1484">
        <v>0.3</v>
      </c>
      <c r="BB34" s="1484">
        <v>0.15</v>
      </c>
      <c r="BC34" s="1484">
        <v>0.15</v>
      </c>
      <c r="BD34" s="1484">
        <v>0.28999999999999998</v>
      </c>
      <c r="BE34" s="1484">
        <v>0.88</v>
      </c>
      <c r="BF34" s="1484">
        <v>0.75</v>
      </c>
      <c r="BG34" s="1484">
        <v>1.26</v>
      </c>
      <c r="BH34" s="1484">
        <v>1.1599999999999999</v>
      </c>
      <c r="BI34" s="1484">
        <v>1.1599999999999999</v>
      </c>
      <c r="BJ34" s="1484">
        <v>1.49</v>
      </c>
      <c r="BK34" s="1484">
        <v>2.84</v>
      </c>
      <c r="BL34" s="1484">
        <v>2.84</v>
      </c>
      <c r="BM34" s="1484">
        <v>3.97</v>
      </c>
      <c r="BN34" s="821">
        <v>2.84</v>
      </c>
      <c r="BO34" s="821">
        <v>2.84</v>
      </c>
      <c r="BP34" s="821">
        <v>2.84</v>
      </c>
      <c r="BQ34" s="327"/>
      <c r="BR34" s="132">
        <v>0.35</v>
      </c>
      <c r="BS34" s="132">
        <v>0.4</v>
      </c>
      <c r="BT34" s="132">
        <v>0.8</v>
      </c>
      <c r="BU34" s="132"/>
      <c r="BV34" s="132"/>
      <c r="BW34" s="132"/>
      <c r="BX34" s="132"/>
      <c r="BY34" s="132"/>
      <c r="BZ34" s="132"/>
      <c r="CA34" s="132"/>
      <c r="CB34" s="132"/>
      <c r="CC34" s="132"/>
      <c r="CD34" s="132">
        <v>0.45</v>
      </c>
      <c r="CE34" s="132">
        <v>0.45</v>
      </c>
      <c r="CF34" s="132">
        <v>0.45</v>
      </c>
      <c r="CG34" s="132"/>
      <c r="CH34" s="132"/>
      <c r="CI34" s="132"/>
      <c r="CJ34" s="132"/>
      <c r="CK34" s="132"/>
      <c r="CL34" s="132"/>
      <c r="CM34" s="132">
        <v>0.45</v>
      </c>
      <c r="CN34" s="132">
        <v>0.45</v>
      </c>
      <c r="CO34" s="132">
        <v>0.45</v>
      </c>
      <c r="CP34" s="821">
        <v>2.84</v>
      </c>
      <c r="CQ34" s="821">
        <v>2.84</v>
      </c>
      <c r="CR34" s="821">
        <v>2.84</v>
      </c>
      <c r="CS34" s="821">
        <v>2.84</v>
      </c>
      <c r="CT34" s="821">
        <v>4.83</v>
      </c>
      <c r="CU34" s="821">
        <v>4.83</v>
      </c>
      <c r="CV34" s="821" t="s">
        <v>764</v>
      </c>
      <c r="CW34" s="821" t="s">
        <v>764</v>
      </c>
      <c r="CX34" s="821" t="s">
        <v>764</v>
      </c>
      <c r="CY34" s="821" t="s">
        <v>764</v>
      </c>
      <c r="CZ34" s="821" t="s">
        <v>764</v>
      </c>
      <c r="DA34" s="822" t="s">
        <v>764</v>
      </c>
      <c r="DI34" s="1016" t="s">
        <v>3166</v>
      </c>
      <c r="DJ34" s="1016" t="s">
        <v>3160</v>
      </c>
      <c r="DK34" s="1016" t="s">
        <v>3161</v>
      </c>
      <c r="DL34" s="1016" t="s">
        <v>2753</v>
      </c>
    </row>
    <row r="35" spans="1:116" s="129" customFormat="1" ht="45.6" x14ac:dyDescent="0.25">
      <c r="A35" s="148" t="s">
        <v>780</v>
      </c>
      <c r="B35" s="152" t="s">
        <v>191</v>
      </c>
      <c r="C35" s="142" t="s">
        <v>191</v>
      </c>
      <c r="D35" s="142" t="s">
        <v>194</v>
      </c>
      <c r="E35" s="142" t="s">
        <v>198</v>
      </c>
      <c r="F35" s="142" t="s">
        <v>200</v>
      </c>
      <c r="G35" s="142" t="s">
        <v>196</v>
      </c>
      <c r="H35" s="142" t="s">
        <v>203</v>
      </c>
      <c r="I35" s="142" t="s">
        <v>204</v>
      </c>
      <c r="J35" s="142" t="s">
        <v>202</v>
      </c>
      <c r="K35" s="142" t="s">
        <v>182</v>
      </c>
      <c r="L35" s="142" t="s">
        <v>183</v>
      </c>
      <c r="M35" s="142" t="s">
        <v>180</v>
      </c>
      <c r="N35" s="142" t="s">
        <v>185</v>
      </c>
      <c r="O35" s="142" t="s">
        <v>185</v>
      </c>
      <c r="P35" s="142" t="s">
        <v>184</v>
      </c>
      <c r="Q35" s="142" t="s">
        <v>189</v>
      </c>
      <c r="R35" s="142" t="s">
        <v>189</v>
      </c>
      <c r="S35" s="142" t="s">
        <v>187</v>
      </c>
      <c r="T35" s="142" t="s">
        <v>189</v>
      </c>
      <c r="U35" s="142" t="s">
        <v>189</v>
      </c>
      <c r="V35" s="142" t="s">
        <v>188</v>
      </c>
      <c r="W35" s="327"/>
      <c r="X35" s="1485">
        <v>2.8000000000000001E-2</v>
      </c>
      <c r="Y35" s="1485">
        <v>2.8000000000000001E-2</v>
      </c>
      <c r="Z35" s="1485">
        <v>3.9E-2</v>
      </c>
      <c r="AA35" s="1485">
        <v>2.9000000000000001E-2</v>
      </c>
      <c r="AB35" s="1485">
        <v>2.9000000000000001E-2</v>
      </c>
      <c r="AC35" s="1485">
        <v>3.6999999999999998E-2</v>
      </c>
      <c r="AD35" s="1485">
        <v>1.7000000000000001E-2</v>
      </c>
      <c r="AE35" s="1485">
        <v>1.7000000000000001E-2</v>
      </c>
      <c r="AF35" s="1485">
        <v>2.7E-2</v>
      </c>
      <c r="AG35" s="1485">
        <v>7.0999999999999994E-2</v>
      </c>
      <c r="AH35" s="1485">
        <v>7.0999999999999994E-2</v>
      </c>
      <c r="AI35" s="1485">
        <v>0.123</v>
      </c>
      <c r="AJ35" s="1485">
        <v>4.3999999999999997E-2</v>
      </c>
      <c r="AK35" s="1485">
        <v>4.3999999999999997E-2</v>
      </c>
      <c r="AL35" s="1485">
        <v>7.1999999999999995E-2</v>
      </c>
      <c r="AM35" s="1485">
        <v>4.9000000000000002E-2</v>
      </c>
      <c r="AN35" s="1485">
        <v>4.2000000000000003E-2</v>
      </c>
      <c r="AO35" s="1485">
        <v>6.4000000000000001E-2</v>
      </c>
      <c r="AP35" s="1485">
        <v>5.0999999999999997E-2</v>
      </c>
      <c r="AQ35" s="1485">
        <v>5.0999999999999997E-2</v>
      </c>
      <c r="AR35" s="1485">
        <v>6.4000000000000001E-2</v>
      </c>
      <c r="AS35" s="1485">
        <v>6.3E-2</v>
      </c>
      <c r="AT35" s="1485">
        <v>6.3E-2</v>
      </c>
      <c r="AU35" s="1485">
        <v>0.11899999999999999</v>
      </c>
      <c r="AV35" s="1485">
        <v>4.2000000000000003E-2</v>
      </c>
      <c r="AW35" s="1485">
        <v>4.2000000000000003E-2</v>
      </c>
      <c r="AX35" s="1485">
        <v>7.3999999999999996E-2</v>
      </c>
      <c r="AY35" s="1485">
        <v>3.2000000000000001E-2</v>
      </c>
      <c r="AZ35" s="1485">
        <v>3.2000000000000001E-2</v>
      </c>
      <c r="BA35" s="1485">
        <v>5.1999999999999998E-2</v>
      </c>
      <c r="BB35" s="1485">
        <v>2.7E-2</v>
      </c>
      <c r="BC35" s="1485">
        <v>2.7E-2</v>
      </c>
      <c r="BD35" s="1485">
        <v>5.0999999999999997E-2</v>
      </c>
      <c r="BE35" s="1485">
        <v>0.51</v>
      </c>
      <c r="BF35" s="1485">
        <v>0.434</v>
      </c>
      <c r="BG35" s="1485">
        <v>0.73</v>
      </c>
      <c r="BH35" s="1485">
        <v>0.67100000000000004</v>
      </c>
      <c r="BI35" s="1485">
        <v>0.67100000000000004</v>
      </c>
      <c r="BJ35" s="1485">
        <v>0.86</v>
      </c>
      <c r="BK35" s="1485">
        <v>0.5</v>
      </c>
      <c r="BL35" s="1485">
        <v>0.5</v>
      </c>
      <c r="BM35" s="1485">
        <v>0.7</v>
      </c>
      <c r="BN35" s="817">
        <v>0.5</v>
      </c>
      <c r="BO35" s="817">
        <v>0.5</v>
      </c>
      <c r="BP35" s="817">
        <v>0.5</v>
      </c>
      <c r="BQ35" s="327"/>
      <c r="BR35" s="142">
        <v>0.35</v>
      </c>
      <c r="BS35" s="142">
        <v>0.4</v>
      </c>
      <c r="BT35" s="142">
        <v>0.8</v>
      </c>
      <c r="BU35" s="142"/>
      <c r="BV35" s="142"/>
      <c r="BW35" s="142"/>
      <c r="BX35" s="142"/>
      <c r="BY35" s="142"/>
      <c r="BZ35" s="142"/>
      <c r="CA35" s="142"/>
      <c r="CB35" s="142"/>
      <c r="CC35" s="142"/>
      <c r="CD35" s="142">
        <v>0.45</v>
      </c>
      <c r="CE35" s="142">
        <v>0.45</v>
      </c>
      <c r="CF35" s="142">
        <v>0.45</v>
      </c>
      <c r="CG35" s="142"/>
      <c r="CH35" s="142"/>
      <c r="CI35" s="142"/>
      <c r="CJ35" s="142"/>
      <c r="CK35" s="142"/>
      <c r="CL35" s="142"/>
      <c r="CM35" s="142">
        <v>0.45</v>
      </c>
      <c r="CN35" s="142">
        <v>0.45</v>
      </c>
      <c r="CO35" s="142">
        <v>0.45</v>
      </c>
      <c r="CP35" s="817">
        <v>0.5</v>
      </c>
      <c r="CQ35" s="817">
        <v>0.5</v>
      </c>
      <c r="CR35" s="817">
        <v>0.5</v>
      </c>
      <c r="CS35" s="817">
        <v>0.5</v>
      </c>
      <c r="CT35" s="817">
        <v>0.85</v>
      </c>
      <c r="CU35" s="817">
        <v>0.85</v>
      </c>
      <c r="CV35" s="817" t="s">
        <v>764</v>
      </c>
      <c r="CW35" s="817" t="s">
        <v>764</v>
      </c>
      <c r="CX35" s="817" t="s">
        <v>764</v>
      </c>
      <c r="CY35" s="817" t="s">
        <v>764</v>
      </c>
      <c r="CZ35" s="817" t="s">
        <v>764</v>
      </c>
      <c r="DA35" s="818" t="s">
        <v>764</v>
      </c>
    </row>
    <row r="36" spans="1:116" s="129" customFormat="1" ht="57" x14ac:dyDescent="0.25">
      <c r="A36" s="147" t="s">
        <v>783</v>
      </c>
      <c r="B36" s="151" t="s">
        <v>710</v>
      </c>
      <c r="C36" s="132" t="s">
        <v>710</v>
      </c>
      <c r="D36" s="132" t="s">
        <v>748</v>
      </c>
      <c r="E36" s="132" t="s">
        <v>731</v>
      </c>
      <c r="F36" s="132" t="s">
        <v>754</v>
      </c>
      <c r="G36" s="132" t="s">
        <v>714</v>
      </c>
      <c r="H36" s="132" t="s">
        <v>743</v>
      </c>
      <c r="I36" s="132" t="s">
        <v>755</v>
      </c>
      <c r="J36" s="132" t="s">
        <v>716</v>
      </c>
      <c r="K36" s="132" t="s">
        <v>744</v>
      </c>
      <c r="L36" s="132" t="s">
        <v>749</v>
      </c>
      <c r="M36" s="132" t="s">
        <v>732</v>
      </c>
      <c r="N36" s="132" t="s">
        <v>750</v>
      </c>
      <c r="O36" s="132" t="s">
        <v>750</v>
      </c>
      <c r="P36" s="132" t="s">
        <v>718</v>
      </c>
      <c r="Q36" s="132" t="s">
        <v>734</v>
      </c>
      <c r="R36" s="132" t="s">
        <v>734</v>
      </c>
      <c r="S36" s="132" t="s">
        <v>719</v>
      </c>
      <c r="T36" s="132" t="s">
        <v>734</v>
      </c>
      <c r="U36" s="132" t="s">
        <v>734</v>
      </c>
      <c r="V36" s="132" t="s">
        <v>720</v>
      </c>
      <c r="W36" s="327"/>
      <c r="X36" s="1484">
        <v>0.16</v>
      </c>
      <c r="Y36" s="1484">
        <v>0.16</v>
      </c>
      <c r="Z36" s="1484">
        <v>0.22</v>
      </c>
      <c r="AA36" s="1484">
        <v>0.16</v>
      </c>
      <c r="AB36" s="1484">
        <v>0.16</v>
      </c>
      <c r="AC36" s="1484">
        <v>0.21</v>
      </c>
      <c r="AD36" s="1484">
        <v>0.1</v>
      </c>
      <c r="AE36" s="1484">
        <v>0.1</v>
      </c>
      <c r="AF36" s="1484">
        <v>0.15</v>
      </c>
      <c r="AG36" s="1484">
        <v>0.4</v>
      </c>
      <c r="AH36" s="1484">
        <v>0.4</v>
      </c>
      <c r="AI36" s="1484">
        <v>0.7</v>
      </c>
      <c r="AJ36" s="1484">
        <v>0.25</v>
      </c>
      <c r="AK36" s="1484">
        <v>0.25</v>
      </c>
      <c r="AL36" s="1484">
        <v>0.41</v>
      </c>
      <c r="AM36" s="1484">
        <v>0.28000000000000003</v>
      </c>
      <c r="AN36" s="1484">
        <v>0.24</v>
      </c>
      <c r="AO36" s="1484">
        <v>0.36</v>
      </c>
      <c r="AP36" s="1484">
        <v>0.28999999999999998</v>
      </c>
      <c r="AQ36" s="1484">
        <v>0.28999999999999998</v>
      </c>
      <c r="AR36" s="1484">
        <v>0.36</v>
      </c>
      <c r="AS36" s="1484">
        <v>0.36</v>
      </c>
      <c r="AT36" s="1484">
        <v>0.36</v>
      </c>
      <c r="AU36" s="1484">
        <v>0.68</v>
      </c>
      <c r="AV36" s="1484">
        <v>0.24</v>
      </c>
      <c r="AW36" s="1484">
        <v>0.24</v>
      </c>
      <c r="AX36" s="1484">
        <v>0.42</v>
      </c>
      <c r="AY36" s="1484">
        <v>0.18</v>
      </c>
      <c r="AZ36" s="1484">
        <v>0.18</v>
      </c>
      <c r="BA36" s="1484">
        <v>0.3</v>
      </c>
      <c r="BB36" s="1484">
        <v>0.15</v>
      </c>
      <c r="BC36" s="1484">
        <v>0.15</v>
      </c>
      <c r="BD36" s="1484">
        <v>0.28999999999999998</v>
      </c>
      <c r="BE36" s="1484">
        <v>0.88</v>
      </c>
      <c r="BF36" s="1484">
        <v>0.75</v>
      </c>
      <c r="BG36" s="1484">
        <v>1.26</v>
      </c>
      <c r="BH36" s="1484">
        <v>1.1599999999999999</v>
      </c>
      <c r="BI36" s="1484">
        <v>1.1599999999999999</v>
      </c>
      <c r="BJ36" s="1484">
        <v>1.49</v>
      </c>
      <c r="BK36" s="1484">
        <v>2.84</v>
      </c>
      <c r="BL36" s="1484">
        <v>2.84</v>
      </c>
      <c r="BM36" s="1484">
        <v>3.97</v>
      </c>
      <c r="BN36" s="821">
        <v>2.84</v>
      </c>
      <c r="BO36" s="821">
        <v>2.84</v>
      </c>
      <c r="BP36" s="821">
        <v>2.84</v>
      </c>
      <c r="BQ36" s="327"/>
      <c r="BR36" s="132">
        <v>1.99</v>
      </c>
      <c r="BS36" s="132">
        <v>2.27</v>
      </c>
      <c r="BT36" s="132">
        <v>4.54</v>
      </c>
      <c r="BU36" s="132"/>
      <c r="BV36" s="132"/>
      <c r="BW36" s="132"/>
      <c r="BX36" s="132"/>
      <c r="BY36" s="132"/>
      <c r="BZ36" s="132"/>
      <c r="CA36" s="132"/>
      <c r="CB36" s="132"/>
      <c r="CC36" s="132"/>
      <c r="CD36" s="132">
        <v>0.45</v>
      </c>
      <c r="CE36" s="132">
        <v>0.45</v>
      </c>
      <c r="CF36" s="132">
        <v>0.45</v>
      </c>
      <c r="CG36" s="132"/>
      <c r="CH36" s="132"/>
      <c r="CI36" s="132"/>
      <c r="CJ36" s="132"/>
      <c r="CK36" s="132"/>
      <c r="CL36" s="132"/>
      <c r="CM36" s="132">
        <v>0.45</v>
      </c>
      <c r="CN36" s="132">
        <v>0.45</v>
      </c>
      <c r="CO36" s="132">
        <v>0.45</v>
      </c>
      <c r="CP36" s="821">
        <v>2.84</v>
      </c>
      <c r="CQ36" s="821">
        <v>2.84</v>
      </c>
      <c r="CR36" s="821">
        <v>2.84</v>
      </c>
      <c r="CS36" s="821">
        <v>2.84</v>
      </c>
      <c r="CT36" s="821">
        <v>4.83</v>
      </c>
      <c r="CU36" s="821">
        <v>4.83</v>
      </c>
      <c r="CV36" s="821" t="s">
        <v>764</v>
      </c>
      <c r="CW36" s="821" t="s">
        <v>764</v>
      </c>
      <c r="CX36" s="821" t="s">
        <v>764</v>
      </c>
      <c r="CY36" s="821" t="s">
        <v>764</v>
      </c>
      <c r="CZ36" s="821" t="s">
        <v>764</v>
      </c>
      <c r="DA36" s="822" t="s">
        <v>764</v>
      </c>
    </row>
    <row r="37" spans="1:116" s="129" customFormat="1" ht="45.6" x14ac:dyDescent="0.25">
      <c r="A37" s="148" t="s">
        <v>781</v>
      </c>
      <c r="B37" s="152" t="s">
        <v>191</v>
      </c>
      <c r="C37" s="142" t="s">
        <v>191</v>
      </c>
      <c r="D37" s="142" t="s">
        <v>195</v>
      </c>
      <c r="E37" s="142" t="s">
        <v>198</v>
      </c>
      <c r="F37" s="142" t="s">
        <v>201</v>
      </c>
      <c r="G37" s="142" t="s">
        <v>199</v>
      </c>
      <c r="H37" s="142" t="s">
        <v>203</v>
      </c>
      <c r="I37" s="142" t="s">
        <v>205</v>
      </c>
      <c r="J37" s="142" t="s">
        <v>202</v>
      </c>
      <c r="K37" s="142" t="s">
        <v>183</v>
      </c>
      <c r="L37" s="142" t="s">
        <v>183</v>
      </c>
      <c r="M37" s="142" t="s">
        <v>180</v>
      </c>
      <c r="N37" s="142" t="s">
        <v>185</v>
      </c>
      <c r="O37" s="142" t="s">
        <v>186</v>
      </c>
      <c r="P37" s="142" t="s">
        <v>184</v>
      </c>
      <c r="Q37" s="142" t="s">
        <v>189</v>
      </c>
      <c r="R37" s="142" t="s">
        <v>189</v>
      </c>
      <c r="S37" s="142" t="s">
        <v>187</v>
      </c>
      <c r="T37" s="142" t="s">
        <v>189</v>
      </c>
      <c r="U37" s="142" t="s">
        <v>189</v>
      </c>
      <c r="V37" s="142" t="s">
        <v>189</v>
      </c>
      <c r="W37" s="327"/>
      <c r="X37" s="1485">
        <v>2.8000000000000001E-2</v>
      </c>
      <c r="Y37" s="1485">
        <v>2.8000000000000001E-2</v>
      </c>
      <c r="Z37" s="1485">
        <v>3.9E-2</v>
      </c>
      <c r="AA37" s="1485">
        <v>2.5999999999999999E-2</v>
      </c>
      <c r="AB37" s="1485">
        <v>2.5999999999999999E-2</v>
      </c>
      <c r="AC37" s="1485">
        <v>3.6999999999999998E-2</v>
      </c>
      <c r="AD37" s="1485">
        <v>1.7000000000000001E-2</v>
      </c>
      <c r="AE37" s="1485">
        <v>1.7000000000000001E-2</v>
      </c>
      <c r="AF37" s="1485">
        <v>2.7E-2</v>
      </c>
      <c r="AG37" s="1485">
        <v>4.8000000000000001E-2</v>
      </c>
      <c r="AH37" s="1485">
        <v>4.8000000000000001E-2</v>
      </c>
      <c r="AI37" s="1485">
        <v>0.104</v>
      </c>
      <c r="AJ37" s="1485">
        <v>3.9E-2</v>
      </c>
      <c r="AK37" s="1485">
        <v>3.9E-2</v>
      </c>
      <c r="AL37" s="1485">
        <v>0.06</v>
      </c>
      <c r="AM37" s="1485">
        <v>3.6999999999999998E-2</v>
      </c>
      <c r="AN37" s="1485">
        <v>3.6999999999999998E-2</v>
      </c>
      <c r="AO37" s="1485">
        <v>6.4000000000000001E-2</v>
      </c>
      <c r="AP37" s="1485">
        <v>3.2000000000000001E-2</v>
      </c>
      <c r="AQ37" s="1485">
        <v>3.2000000000000001E-2</v>
      </c>
      <c r="AR37" s="1485">
        <v>5.0999999999999997E-2</v>
      </c>
      <c r="AS37" s="1485">
        <v>6.3E-2</v>
      </c>
      <c r="AT37" s="1485">
        <v>6.3E-2</v>
      </c>
      <c r="AU37" s="1485">
        <v>0.11899999999999999</v>
      </c>
      <c r="AV37" s="1485">
        <v>3.7999999999999999E-2</v>
      </c>
      <c r="AW37" s="1485">
        <v>3.7999999999999999E-2</v>
      </c>
      <c r="AX37" s="1485">
        <v>6.4000000000000001E-2</v>
      </c>
      <c r="AY37" s="1485">
        <v>3.2000000000000001E-2</v>
      </c>
      <c r="AZ37" s="1485">
        <v>3.2000000000000001E-2</v>
      </c>
      <c r="BA37" s="1485">
        <v>5.1999999999999998E-2</v>
      </c>
      <c r="BB37" s="1485">
        <v>2.7E-2</v>
      </c>
      <c r="BC37" s="1485">
        <v>2.7E-2</v>
      </c>
      <c r="BD37" s="1485">
        <v>3.3000000000000002E-2</v>
      </c>
      <c r="BE37" s="1485">
        <v>0.434</v>
      </c>
      <c r="BF37" s="1485">
        <v>0.42399999999999999</v>
      </c>
      <c r="BG37" s="1485">
        <v>0.54</v>
      </c>
      <c r="BH37" s="1485">
        <v>0.67100000000000004</v>
      </c>
      <c r="BI37" s="1485">
        <v>0.373</v>
      </c>
      <c r="BJ37" s="1485">
        <v>0.86</v>
      </c>
      <c r="BK37" s="1485">
        <v>0.5</v>
      </c>
      <c r="BL37" s="1485">
        <v>0.5</v>
      </c>
      <c r="BM37" s="1485">
        <v>0.5</v>
      </c>
      <c r="BN37" s="817">
        <v>0.5</v>
      </c>
      <c r="BO37" s="817">
        <v>0.5</v>
      </c>
      <c r="BP37" s="817">
        <v>0.5</v>
      </c>
      <c r="BQ37" s="327"/>
      <c r="BR37" s="142">
        <v>0.35</v>
      </c>
      <c r="BS37" s="142">
        <v>0.4</v>
      </c>
      <c r="BT37" s="142">
        <v>0.8</v>
      </c>
      <c r="BU37" s="142"/>
      <c r="BV37" s="142"/>
      <c r="BW37" s="142"/>
      <c r="BX37" s="142"/>
      <c r="BY37" s="142"/>
      <c r="BZ37" s="142"/>
      <c r="CA37" s="142"/>
      <c r="CB37" s="142"/>
      <c r="CC37" s="142"/>
      <c r="CD37" s="142">
        <v>0.45</v>
      </c>
      <c r="CE37" s="142">
        <v>0.45</v>
      </c>
      <c r="CF37" s="142">
        <v>0.45</v>
      </c>
      <c r="CG37" s="142"/>
      <c r="CH37" s="142"/>
      <c r="CI37" s="142"/>
      <c r="CJ37" s="142"/>
      <c r="CK37" s="142"/>
      <c r="CL37" s="142"/>
      <c r="CM37" s="142">
        <v>0.45</v>
      </c>
      <c r="CN37" s="142">
        <v>0.45</v>
      </c>
      <c r="CO37" s="142">
        <v>0.45</v>
      </c>
      <c r="CP37" s="817">
        <v>0.5</v>
      </c>
      <c r="CQ37" s="817">
        <v>0.5</v>
      </c>
      <c r="CR37" s="817">
        <v>0.5</v>
      </c>
      <c r="CS37" s="817">
        <v>0.5</v>
      </c>
      <c r="CT37" s="817">
        <v>0.85</v>
      </c>
      <c r="CU37" s="817">
        <v>0.85</v>
      </c>
      <c r="CV37" s="817" t="s">
        <v>764</v>
      </c>
      <c r="CW37" s="817" t="s">
        <v>764</v>
      </c>
      <c r="CX37" s="817" t="s">
        <v>764</v>
      </c>
      <c r="CY37" s="817" t="s">
        <v>764</v>
      </c>
      <c r="CZ37" s="817" t="s">
        <v>764</v>
      </c>
      <c r="DA37" s="818" t="s">
        <v>764</v>
      </c>
    </row>
    <row r="38" spans="1:116" ht="79.2" x14ac:dyDescent="0.25">
      <c r="A38" s="149" t="s">
        <v>782</v>
      </c>
      <c r="B38" s="153" t="s">
        <v>710</v>
      </c>
      <c r="C38" s="144" t="s">
        <v>710</v>
      </c>
      <c r="D38" s="144" t="s">
        <v>709</v>
      </c>
      <c r="E38" s="144" t="s">
        <v>731</v>
      </c>
      <c r="F38" s="144" t="s">
        <v>758</v>
      </c>
      <c r="G38" s="144" t="s">
        <v>740</v>
      </c>
      <c r="H38" s="144" t="s">
        <v>743</v>
      </c>
      <c r="I38" s="144" t="s">
        <v>759</v>
      </c>
      <c r="J38" s="144" t="s">
        <v>716</v>
      </c>
      <c r="K38" s="144" t="s">
        <v>749</v>
      </c>
      <c r="L38" s="144" t="s">
        <v>749</v>
      </c>
      <c r="M38" s="144" t="s">
        <v>732</v>
      </c>
      <c r="N38" s="144" t="s">
        <v>750</v>
      </c>
      <c r="O38" s="144" t="s">
        <v>760</v>
      </c>
      <c r="P38" s="144" t="s">
        <v>718</v>
      </c>
      <c r="Q38" s="144" t="s">
        <v>734</v>
      </c>
      <c r="R38" s="144" t="s">
        <v>734</v>
      </c>
      <c r="S38" s="144" t="s">
        <v>719</v>
      </c>
      <c r="T38" s="144" t="s">
        <v>734</v>
      </c>
      <c r="U38" s="144" t="s">
        <v>734</v>
      </c>
      <c r="V38" s="144" t="s">
        <v>734</v>
      </c>
      <c r="W38" s="328"/>
      <c r="X38" s="2350">
        <v>0.16</v>
      </c>
      <c r="Y38" s="2350">
        <v>0.16</v>
      </c>
      <c r="Z38" s="2350">
        <v>0.22</v>
      </c>
      <c r="AA38" s="2350">
        <v>0.15</v>
      </c>
      <c r="AB38" s="2350">
        <v>0.15</v>
      </c>
      <c r="AC38" s="2350">
        <v>0.21</v>
      </c>
      <c r="AD38" s="2350">
        <v>0.1</v>
      </c>
      <c r="AE38" s="2350">
        <v>0.1</v>
      </c>
      <c r="AF38" s="2350">
        <v>0.15</v>
      </c>
      <c r="AG38" s="2350">
        <v>0.27</v>
      </c>
      <c r="AH38" s="2350">
        <v>0.27</v>
      </c>
      <c r="AI38" s="2350">
        <v>0.59</v>
      </c>
      <c r="AJ38" s="2350">
        <v>0.22</v>
      </c>
      <c r="AK38" s="2350">
        <v>0.22</v>
      </c>
      <c r="AL38" s="2350">
        <v>0.34</v>
      </c>
      <c r="AM38" s="2350">
        <v>0.21</v>
      </c>
      <c r="AN38" s="2350">
        <v>0.21</v>
      </c>
      <c r="AO38" s="2350">
        <v>0.36</v>
      </c>
      <c r="AP38" s="2350">
        <v>0.18</v>
      </c>
      <c r="AQ38" s="2350">
        <v>0.18</v>
      </c>
      <c r="AR38" s="2350">
        <v>0.28999999999999998</v>
      </c>
      <c r="AS38" s="2350">
        <v>0.36</v>
      </c>
      <c r="AT38" s="2350">
        <v>0.36</v>
      </c>
      <c r="AU38" s="2350">
        <v>0.68</v>
      </c>
      <c r="AV38" s="2350">
        <v>0.22</v>
      </c>
      <c r="AW38" s="2350">
        <v>0.22</v>
      </c>
      <c r="AX38" s="2350">
        <v>0.36</v>
      </c>
      <c r="AY38" s="2350">
        <v>0.18</v>
      </c>
      <c r="AZ38" s="2350">
        <v>0.18</v>
      </c>
      <c r="BA38" s="2350">
        <v>0.3</v>
      </c>
      <c r="BB38" s="2350">
        <v>0.15</v>
      </c>
      <c r="BC38" s="2350">
        <v>0.15</v>
      </c>
      <c r="BD38" s="2350">
        <v>0.19</v>
      </c>
      <c r="BE38" s="2350">
        <v>0.75</v>
      </c>
      <c r="BF38" s="2350">
        <v>0.73</v>
      </c>
      <c r="BG38" s="2350">
        <v>0.94</v>
      </c>
      <c r="BH38" s="2350">
        <v>1.1599999999999999</v>
      </c>
      <c r="BI38" s="2350">
        <v>0.65</v>
      </c>
      <c r="BJ38" s="2350">
        <v>1.49</v>
      </c>
      <c r="BK38" s="2350">
        <v>2.84</v>
      </c>
      <c r="BL38" s="2350">
        <v>2.84</v>
      </c>
      <c r="BM38" s="2350">
        <v>2.84</v>
      </c>
      <c r="BN38" s="2334">
        <v>2.84</v>
      </c>
      <c r="BO38" s="2334">
        <v>2.84</v>
      </c>
      <c r="BP38" s="2334">
        <v>2.84</v>
      </c>
      <c r="BQ38" s="328"/>
      <c r="BR38" s="144">
        <v>1.99</v>
      </c>
      <c r="BS38" s="144">
        <v>2.27</v>
      </c>
      <c r="BT38" s="144">
        <v>4.54</v>
      </c>
      <c r="BU38" s="144"/>
      <c r="BV38" s="144"/>
      <c r="BW38" s="144"/>
      <c r="BX38" s="144"/>
      <c r="BY38" s="144"/>
      <c r="BZ38" s="144"/>
      <c r="CA38" s="144"/>
      <c r="CB38" s="144"/>
      <c r="CC38" s="144"/>
      <c r="CD38" s="144">
        <v>0.45</v>
      </c>
      <c r="CE38" s="144">
        <v>0.45</v>
      </c>
      <c r="CF38" s="144">
        <v>0.45</v>
      </c>
      <c r="CG38" s="144"/>
      <c r="CH38" s="144"/>
      <c r="CI38" s="144"/>
      <c r="CJ38" s="144"/>
      <c r="CK38" s="144"/>
      <c r="CL38" s="144"/>
      <c r="CM38" s="144">
        <v>0.45</v>
      </c>
      <c r="CN38" s="144">
        <v>0.45</v>
      </c>
      <c r="CO38" s="144">
        <v>0.45</v>
      </c>
      <c r="CP38" s="2334">
        <v>2.84</v>
      </c>
      <c r="CQ38" s="2334">
        <v>2.84</v>
      </c>
      <c r="CR38" s="2334">
        <v>2.84</v>
      </c>
      <c r="CS38" s="2334">
        <v>2.84</v>
      </c>
      <c r="CT38" s="2334">
        <v>4.83</v>
      </c>
      <c r="CU38" s="2334">
        <v>4.83</v>
      </c>
      <c r="CV38" s="2334" t="s">
        <v>764</v>
      </c>
      <c r="CW38" s="2334" t="s">
        <v>764</v>
      </c>
      <c r="CX38" s="2334" t="s">
        <v>764</v>
      </c>
      <c r="CY38" s="2334" t="s">
        <v>764</v>
      </c>
      <c r="CZ38" s="2334" t="s">
        <v>764</v>
      </c>
      <c r="DA38" s="2336" t="s">
        <v>764</v>
      </c>
    </row>
  </sheetData>
  <sheetProtection algorithmName="SHA-512" hashValue="TAwSBBKU+1J/rKAJp8YL5yOeFaXI23pOAFQnPnnpQ+03jTXZA3zpJT7UhBXJrdvpsLl3zdoUbePJIa0lIBxgKw==" saltValue="77O00CpKWs3Eto6kLk5p3A==" spinCount="100000" sheet="1" objects="1" scenarios="1"/>
  <mergeCells count="18">
    <mergeCell ref="N1:P1"/>
    <mergeCell ref="Q1:S1"/>
    <mergeCell ref="T1:V1"/>
    <mergeCell ref="AS1:AU1"/>
    <mergeCell ref="X1:AF1"/>
    <mergeCell ref="AG1:AR1"/>
    <mergeCell ref="A1:A2"/>
    <mergeCell ref="B1:D1"/>
    <mergeCell ref="E1:G1"/>
    <mergeCell ref="H1:J1"/>
    <mergeCell ref="K1:M1"/>
    <mergeCell ref="AV1:BD1"/>
    <mergeCell ref="CV1:DA1"/>
    <mergeCell ref="BR1:CC1"/>
    <mergeCell ref="CD1:CO1"/>
    <mergeCell ref="CP1:CU1"/>
    <mergeCell ref="BE1:BJ1"/>
    <mergeCell ref="BK1:BP1"/>
  </mergeCells>
  <pageMargins left="0.7" right="0.7" top="0.75" bottom="0.75" header="0.3" footer="0.3"/>
  <ignoredErrors>
    <ignoredError sqref="BQ18 BQ17 BQ20 BQ19 BQ22 BQ21" numberStoredAsText="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theme="5" tint="0.39997558519241921"/>
  </sheetPr>
  <dimension ref="A1:DL38"/>
  <sheetViews>
    <sheetView zoomScale="85" zoomScaleNormal="85" workbookViewId="0">
      <selection sqref="A1:A2"/>
    </sheetView>
  </sheetViews>
  <sheetFormatPr defaultColWidth="8.69921875" defaultRowHeight="13.2" x14ac:dyDescent="0.25"/>
  <cols>
    <col min="1" max="1" width="10.69921875" style="33" customWidth="1"/>
    <col min="2" max="22" width="18.69921875" style="42" customWidth="1"/>
    <col min="23" max="23" width="4.69921875" style="42" customWidth="1"/>
    <col min="24" max="68" width="10.69921875" style="42" customWidth="1"/>
    <col min="69" max="69" width="4.69921875" style="42" customWidth="1"/>
    <col min="70" max="86" width="10.69921875" style="42" customWidth="1"/>
    <col min="87" max="93" width="8.69921875" style="42" customWidth="1"/>
    <col min="94" max="94" width="11.296875" style="42" customWidth="1"/>
    <col min="95" max="113" width="8.69921875" style="42"/>
    <col min="114" max="116" width="43.296875" style="42" customWidth="1"/>
    <col min="117" max="16384" width="8.69921875" style="42"/>
  </cols>
  <sheetData>
    <row r="1" spans="1:116" ht="32.25" customHeight="1" x14ac:dyDescent="0.25">
      <c r="A1" s="3546" t="s">
        <v>30</v>
      </c>
      <c r="B1" s="3535" t="s">
        <v>3</v>
      </c>
      <c r="C1" s="3535"/>
      <c r="D1" s="3536"/>
      <c r="E1" s="3537" t="s">
        <v>6</v>
      </c>
      <c r="F1" s="3535"/>
      <c r="G1" s="3536"/>
      <c r="H1" s="3537" t="s">
        <v>7</v>
      </c>
      <c r="I1" s="3535"/>
      <c r="J1" s="3536"/>
      <c r="K1" s="3537" t="s">
        <v>18</v>
      </c>
      <c r="L1" s="3535"/>
      <c r="M1" s="3536"/>
      <c r="N1" s="3537" t="s">
        <v>1</v>
      </c>
      <c r="O1" s="3535"/>
      <c r="P1" s="3536"/>
      <c r="Q1" s="3537" t="s">
        <v>799</v>
      </c>
      <c r="R1" s="3535"/>
      <c r="S1" s="3535"/>
      <c r="T1" s="3537" t="s">
        <v>801</v>
      </c>
      <c r="U1" s="3535"/>
      <c r="V1" s="3535"/>
      <c r="W1" s="130"/>
      <c r="X1" s="3537" t="s">
        <v>3</v>
      </c>
      <c r="Y1" s="3535"/>
      <c r="Z1" s="3535"/>
      <c r="AA1" s="3535"/>
      <c r="AB1" s="3535"/>
      <c r="AC1" s="3535"/>
      <c r="AD1" s="3535"/>
      <c r="AE1" s="3535"/>
      <c r="AF1" s="3536"/>
      <c r="AG1" s="3537" t="s">
        <v>6</v>
      </c>
      <c r="AH1" s="3535"/>
      <c r="AI1" s="3535"/>
      <c r="AJ1" s="3535"/>
      <c r="AK1" s="3535"/>
      <c r="AL1" s="3535"/>
      <c r="AM1" s="3535"/>
      <c r="AN1" s="3535"/>
      <c r="AO1" s="3535"/>
      <c r="AP1" s="3535"/>
      <c r="AQ1" s="3535"/>
      <c r="AR1" s="3536"/>
      <c r="AS1" s="3538" t="s">
        <v>7</v>
      </c>
      <c r="AT1" s="3533"/>
      <c r="AU1" s="3539"/>
      <c r="AV1" s="3537" t="s">
        <v>18</v>
      </c>
      <c r="AW1" s="3535"/>
      <c r="AX1" s="3535"/>
      <c r="AY1" s="3535"/>
      <c r="AZ1" s="3535"/>
      <c r="BA1" s="3535"/>
      <c r="BB1" s="3535"/>
      <c r="BC1" s="3535"/>
      <c r="BD1" s="3536"/>
      <c r="BE1" s="3537" t="s">
        <v>1</v>
      </c>
      <c r="BF1" s="3535"/>
      <c r="BG1" s="3535"/>
      <c r="BH1" s="3535"/>
      <c r="BI1" s="3535"/>
      <c r="BJ1" s="3536"/>
      <c r="BK1" s="3537" t="s">
        <v>2802</v>
      </c>
      <c r="BL1" s="3535"/>
      <c r="BM1" s="3535"/>
      <c r="BN1" s="3535"/>
      <c r="BO1" s="3535"/>
      <c r="BP1" s="3536"/>
      <c r="BR1" s="3540" t="s">
        <v>1646</v>
      </c>
      <c r="BS1" s="3543"/>
      <c r="BT1" s="3543"/>
      <c r="BU1" s="3543"/>
      <c r="BV1" s="3543"/>
      <c r="BW1" s="3543"/>
      <c r="BX1" s="3543"/>
      <c r="BY1" s="3543"/>
      <c r="BZ1" s="3543"/>
      <c r="CA1" s="3543"/>
      <c r="CB1" s="3543"/>
      <c r="CC1" s="3543"/>
      <c r="CD1" s="3544" t="s">
        <v>1647</v>
      </c>
      <c r="CE1" s="3543"/>
      <c r="CF1" s="3543"/>
      <c r="CG1" s="3543"/>
      <c r="CH1" s="3543"/>
      <c r="CI1" s="3543"/>
      <c r="CJ1" s="3543"/>
      <c r="CK1" s="3543"/>
      <c r="CL1" s="3543"/>
      <c r="CM1" s="3543"/>
      <c r="CN1" s="3543"/>
      <c r="CO1" s="3545"/>
      <c r="CP1" s="3540" t="s">
        <v>916</v>
      </c>
      <c r="CQ1" s="3543"/>
      <c r="CR1" s="3543"/>
      <c r="CS1" s="3543"/>
      <c r="CT1" s="3543"/>
      <c r="CU1" s="3545"/>
      <c r="CV1" s="3540" t="s">
        <v>917</v>
      </c>
      <c r="CW1" s="3541"/>
      <c r="CX1" s="3541"/>
      <c r="CY1" s="3541"/>
      <c r="CZ1" s="3541"/>
      <c r="DA1" s="3542"/>
    </row>
    <row r="2" spans="1:116" s="32" customFormat="1" ht="153.75" customHeight="1" x14ac:dyDescent="0.25">
      <c r="A2" s="3546"/>
      <c r="B2" s="155" t="s">
        <v>21</v>
      </c>
      <c r="C2" s="156" t="s">
        <v>23</v>
      </c>
      <c r="D2" s="157" t="s">
        <v>46</v>
      </c>
      <c r="E2" s="671" t="s">
        <v>21</v>
      </c>
      <c r="F2" s="133" t="s">
        <v>23</v>
      </c>
      <c r="G2" s="672" t="s">
        <v>46</v>
      </c>
      <c r="H2" s="671" t="s">
        <v>21</v>
      </c>
      <c r="I2" s="133" t="s">
        <v>23</v>
      </c>
      <c r="J2" s="672" t="s">
        <v>46</v>
      </c>
      <c r="K2" s="671" t="s">
        <v>21</v>
      </c>
      <c r="L2" s="133" t="s">
        <v>23</v>
      </c>
      <c r="M2" s="672" t="s">
        <v>46</v>
      </c>
      <c r="N2" s="671" t="s">
        <v>21</v>
      </c>
      <c r="O2" s="133" t="s">
        <v>23</v>
      </c>
      <c r="P2" s="672" t="s">
        <v>46</v>
      </c>
      <c r="Q2" s="671" t="s">
        <v>21</v>
      </c>
      <c r="R2" s="133" t="s">
        <v>23</v>
      </c>
      <c r="S2" s="133" t="s">
        <v>46</v>
      </c>
      <c r="T2" s="133" t="s">
        <v>21</v>
      </c>
      <c r="U2" s="133" t="s">
        <v>23</v>
      </c>
      <c r="V2" s="672" t="s">
        <v>46</v>
      </c>
      <c r="W2" s="131"/>
      <c r="X2" s="134" t="s">
        <v>2769</v>
      </c>
      <c r="Y2" s="135" t="s">
        <v>2770</v>
      </c>
      <c r="Z2" s="136" t="s">
        <v>2771</v>
      </c>
      <c r="AA2" s="134" t="s">
        <v>2772</v>
      </c>
      <c r="AB2" s="135" t="s">
        <v>2773</v>
      </c>
      <c r="AC2" s="136" t="s">
        <v>2774</v>
      </c>
      <c r="AD2" s="134" t="s">
        <v>2775</v>
      </c>
      <c r="AE2" s="135" t="s">
        <v>2776</v>
      </c>
      <c r="AF2" s="136" t="s">
        <v>2777</v>
      </c>
      <c r="AG2" s="137" t="s">
        <v>2778</v>
      </c>
      <c r="AH2" s="135" t="s">
        <v>2779</v>
      </c>
      <c r="AI2" s="138" t="s">
        <v>2780</v>
      </c>
      <c r="AJ2" s="137" t="s">
        <v>2772</v>
      </c>
      <c r="AK2" s="135" t="s">
        <v>2773</v>
      </c>
      <c r="AL2" s="138" t="s">
        <v>2774</v>
      </c>
      <c r="AM2" s="137" t="s">
        <v>2781</v>
      </c>
      <c r="AN2" s="135" t="s">
        <v>2782</v>
      </c>
      <c r="AO2" s="138" t="s">
        <v>2783</v>
      </c>
      <c r="AP2" s="137" t="s">
        <v>2784</v>
      </c>
      <c r="AQ2" s="135" t="s">
        <v>2785</v>
      </c>
      <c r="AR2" s="138" t="s">
        <v>2786</v>
      </c>
      <c r="AS2" s="158" t="s">
        <v>21</v>
      </c>
      <c r="AT2" s="159" t="s">
        <v>23</v>
      </c>
      <c r="AU2" s="160" t="s">
        <v>46</v>
      </c>
      <c r="AV2" s="161" t="s">
        <v>2778</v>
      </c>
      <c r="AW2" s="159" t="s">
        <v>2779</v>
      </c>
      <c r="AX2" s="162" t="s">
        <v>2780</v>
      </c>
      <c r="AY2" s="161" t="s">
        <v>2787</v>
      </c>
      <c r="AZ2" s="159" t="s">
        <v>2788</v>
      </c>
      <c r="BA2" s="162" t="s">
        <v>2789</v>
      </c>
      <c r="BB2" s="161" t="s">
        <v>2784</v>
      </c>
      <c r="BC2" s="159" t="s">
        <v>2785</v>
      </c>
      <c r="BD2" s="162" t="s">
        <v>2786</v>
      </c>
      <c r="BE2" s="158" t="s">
        <v>2790</v>
      </c>
      <c r="BF2" s="159" t="s">
        <v>2791</v>
      </c>
      <c r="BG2" s="160" t="s">
        <v>2792</v>
      </c>
      <c r="BH2" s="158" t="s">
        <v>2793</v>
      </c>
      <c r="BI2" s="159" t="s">
        <v>2794</v>
      </c>
      <c r="BJ2" s="160" t="s">
        <v>2795</v>
      </c>
      <c r="BK2" s="163" t="s">
        <v>2796</v>
      </c>
      <c r="BL2" s="164" t="s">
        <v>2797</v>
      </c>
      <c r="BM2" s="165" t="s">
        <v>2798</v>
      </c>
      <c r="BN2" s="163" t="s">
        <v>2799</v>
      </c>
      <c r="BO2" s="164" t="s">
        <v>2800</v>
      </c>
      <c r="BP2" s="165" t="s">
        <v>2801</v>
      </c>
      <c r="BR2" s="1978" t="s">
        <v>2758</v>
      </c>
      <c r="BS2" s="1979" t="s">
        <v>2759</v>
      </c>
      <c r="BT2" s="1980" t="s">
        <v>2760</v>
      </c>
      <c r="BU2" s="1979" t="s">
        <v>2761</v>
      </c>
      <c r="BV2" s="1979" t="s">
        <v>2761</v>
      </c>
      <c r="BW2" s="1980" t="s">
        <v>2762</v>
      </c>
      <c r="BX2" s="1978" t="s">
        <v>2763</v>
      </c>
      <c r="BY2" s="1979" t="s">
        <v>2764</v>
      </c>
      <c r="BZ2" s="1980" t="s">
        <v>2765</v>
      </c>
      <c r="CA2" s="1978" t="s">
        <v>2766</v>
      </c>
      <c r="CB2" s="1979" t="s">
        <v>2767</v>
      </c>
      <c r="CC2" s="1980" t="s">
        <v>2768</v>
      </c>
      <c r="CD2" s="163" t="s">
        <v>1649</v>
      </c>
      <c r="CE2" s="164" t="s">
        <v>1650</v>
      </c>
      <c r="CF2" s="165" t="s">
        <v>1651</v>
      </c>
      <c r="CG2" s="163" t="s">
        <v>1652</v>
      </c>
      <c r="CH2" s="164" t="s">
        <v>1653</v>
      </c>
      <c r="CI2" s="165" t="s">
        <v>1654</v>
      </c>
      <c r="CJ2" s="163" t="s">
        <v>1655</v>
      </c>
      <c r="CK2" s="164" t="s">
        <v>1656</v>
      </c>
      <c r="CL2" s="165" t="s">
        <v>1657</v>
      </c>
      <c r="CM2" s="163" t="s">
        <v>1658</v>
      </c>
      <c r="CN2" s="164" t="s">
        <v>1659</v>
      </c>
      <c r="CO2" s="165" t="s">
        <v>1660</v>
      </c>
      <c r="CP2" s="1088" t="s">
        <v>1661</v>
      </c>
      <c r="CQ2" s="1151" t="s">
        <v>1662</v>
      </c>
      <c r="CR2" s="1088" t="s">
        <v>1663</v>
      </c>
      <c r="CS2" s="1151" t="s">
        <v>1664</v>
      </c>
      <c r="CT2" s="1088" t="s">
        <v>1665</v>
      </c>
      <c r="CU2" s="1151" t="s">
        <v>1666</v>
      </c>
      <c r="CV2" s="1088" t="s">
        <v>1661</v>
      </c>
      <c r="CW2" s="1151" t="s">
        <v>1662</v>
      </c>
      <c r="CX2" s="1088" t="s">
        <v>1663</v>
      </c>
      <c r="CY2" s="1151" t="s">
        <v>1664</v>
      </c>
      <c r="CZ2" s="1088" t="s">
        <v>1665</v>
      </c>
      <c r="DA2" s="1151" t="s">
        <v>1666</v>
      </c>
      <c r="DI2" s="1175" t="s">
        <v>30</v>
      </c>
      <c r="DJ2" s="1175" t="s">
        <v>21</v>
      </c>
      <c r="DK2" s="1175" t="s">
        <v>23</v>
      </c>
      <c r="DL2" s="1175" t="s">
        <v>46</v>
      </c>
    </row>
    <row r="3" spans="1:116" s="129" customFormat="1" ht="57" x14ac:dyDescent="0.25">
      <c r="A3" s="146" t="s">
        <v>712</v>
      </c>
      <c r="B3" s="150" t="s">
        <v>190</v>
      </c>
      <c r="C3" s="139" t="s">
        <v>191</v>
      </c>
      <c r="D3" s="139" t="s">
        <v>192</v>
      </c>
      <c r="E3" s="139" t="s">
        <v>196</v>
      </c>
      <c r="F3" s="139" t="s">
        <v>196</v>
      </c>
      <c r="G3" s="139" t="s">
        <v>197</v>
      </c>
      <c r="H3" s="139" t="s">
        <v>202</v>
      </c>
      <c r="I3" s="139" t="s">
        <v>202</v>
      </c>
      <c r="J3" s="139" t="s">
        <v>202</v>
      </c>
      <c r="K3" s="139" t="s">
        <v>179</v>
      </c>
      <c r="L3" s="139" t="s">
        <v>179</v>
      </c>
      <c r="M3" s="139" t="s">
        <v>179</v>
      </c>
      <c r="N3" s="139" t="s">
        <v>184</v>
      </c>
      <c r="O3" s="139" t="s">
        <v>184</v>
      </c>
      <c r="P3" s="139" t="s">
        <v>184</v>
      </c>
      <c r="Q3" s="139" t="s">
        <v>187</v>
      </c>
      <c r="R3" s="139" t="s">
        <v>187</v>
      </c>
      <c r="S3" s="139" t="s">
        <v>187</v>
      </c>
      <c r="T3" s="139" t="s">
        <v>188</v>
      </c>
      <c r="U3" s="139" t="s">
        <v>188</v>
      </c>
      <c r="V3" s="139" t="s">
        <v>188</v>
      </c>
      <c r="W3" s="327"/>
      <c r="X3" s="139" t="s">
        <v>152</v>
      </c>
      <c r="Y3" s="139" t="s">
        <v>153</v>
      </c>
      <c r="Z3" s="139" t="s">
        <v>154</v>
      </c>
      <c r="AA3" s="139" t="s">
        <v>152</v>
      </c>
      <c r="AB3" s="139" t="s">
        <v>153</v>
      </c>
      <c r="AC3" s="139" t="s">
        <v>154</v>
      </c>
      <c r="AD3" s="139" t="s">
        <v>152</v>
      </c>
      <c r="AE3" s="139" t="s">
        <v>153</v>
      </c>
      <c r="AF3" s="139" t="s">
        <v>154</v>
      </c>
      <c r="AG3" s="139" t="s">
        <v>155</v>
      </c>
      <c r="AH3" s="139" t="s">
        <v>155</v>
      </c>
      <c r="AI3" s="139" t="s">
        <v>156</v>
      </c>
      <c r="AJ3" s="139" t="s">
        <v>155</v>
      </c>
      <c r="AK3" s="139" t="s">
        <v>155</v>
      </c>
      <c r="AL3" s="139" t="s">
        <v>156</v>
      </c>
      <c r="AM3" s="139" t="s">
        <v>155</v>
      </c>
      <c r="AN3" s="139" t="s">
        <v>155</v>
      </c>
      <c r="AO3" s="139" t="s">
        <v>156</v>
      </c>
      <c r="AP3" s="139" t="s">
        <v>155</v>
      </c>
      <c r="AQ3" s="139" t="s">
        <v>155</v>
      </c>
      <c r="AR3" s="139" t="s">
        <v>156</v>
      </c>
      <c r="AS3" s="139" t="s">
        <v>167</v>
      </c>
      <c r="AT3" s="139" t="s">
        <v>167</v>
      </c>
      <c r="AU3" s="139" t="s">
        <v>167</v>
      </c>
      <c r="AV3" s="139" t="s">
        <v>157</v>
      </c>
      <c r="AW3" s="139" t="s">
        <v>157</v>
      </c>
      <c r="AX3" s="139" t="s">
        <v>157</v>
      </c>
      <c r="AY3" s="139" t="s">
        <v>157</v>
      </c>
      <c r="AZ3" s="139" t="s">
        <v>157</v>
      </c>
      <c r="BA3" s="139" t="s">
        <v>157</v>
      </c>
      <c r="BB3" s="139" t="s">
        <v>157</v>
      </c>
      <c r="BC3" s="139" t="s">
        <v>157</v>
      </c>
      <c r="BD3" s="139" t="s">
        <v>157</v>
      </c>
      <c r="BE3" s="139" t="s">
        <v>158</v>
      </c>
      <c r="BF3" s="139" t="s">
        <v>158</v>
      </c>
      <c r="BG3" s="139" t="s">
        <v>158</v>
      </c>
      <c r="BH3" s="139" t="s">
        <v>158</v>
      </c>
      <c r="BI3" s="139" t="s">
        <v>158</v>
      </c>
      <c r="BJ3" s="139" t="s">
        <v>158</v>
      </c>
      <c r="BK3" s="139" t="s">
        <v>159</v>
      </c>
      <c r="BL3" s="139" t="s">
        <v>159</v>
      </c>
      <c r="BM3" s="139" t="s">
        <v>159</v>
      </c>
      <c r="BN3" s="139" t="s">
        <v>160</v>
      </c>
      <c r="BO3" s="139" t="s">
        <v>160</v>
      </c>
      <c r="BP3" s="139" t="s">
        <v>160</v>
      </c>
      <c r="BQ3" s="327"/>
      <c r="BR3" s="139">
        <v>1.2</v>
      </c>
      <c r="BS3" s="139">
        <v>1.2</v>
      </c>
      <c r="BT3" s="139">
        <v>1.2</v>
      </c>
      <c r="BU3" s="139"/>
      <c r="BV3" s="139"/>
      <c r="BW3" s="139"/>
      <c r="BX3" s="139"/>
      <c r="BY3" s="139"/>
      <c r="BZ3" s="139"/>
      <c r="CA3" s="139"/>
      <c r="CB3" s="139"/>
      <c r="CC3" s="139"/>
      <c r="CD3" s="139">
        <v>0.25</v>
      </c>
      <c r="CE3" s="139">
        <v>0.25</v>
      </c>
      <c r="CF3" s="139">
        <v>0.25</v>
      </c>
      <c r="CG3" s="139"/>
      <c r="CH3" s="139"/>
      <c r="CI3" s="139"/>
      <c r="CJ3" s="139"/>
      <c r="CK3" s="139"/>
      <c r="CL3" s="139"/>
      <c r="CM3" s="139">
        <v>0.25</v>
      </c>
      <c r="CN3" s="139">
        <v>0.25</v>
      </c>
      <c r="CO3" s="139">
        <v>0.25</v>
      </c>
      <c r="CP3" s="139">
        <v>1.98</v>
      </c>
      <c r="CQ3" s="139">
        <v>1.98</v>
      </c>
      <c r="CR3" s="139">
        <v>1.98</v>
      </c>
      <c r="CS3" s="139">
        <v>1.98</v>
      </c>
      <c r="CT3" s="139">
        <v>1.98</v>
      </c>
      <c r="CU3" s="139">
        <v>1.98</v>
      </c>
      <c r="CV3" s="139">
        <v>0.36</v>
      </c>
      <c r="CW3" s="139">
        <v>0.19</v>
      </c>
      <c r="CX3" s="139">
        <v>0.34</v>
      </c>
      <c r="CY3" s="139">
        <v>0.27</v>
      </c>
      <c r="CZ3" s="139">
        <v>0.36</v>
      </c>
      <c r="DA3" s="140">
        <v>0.19</v>
      </c>
      <c r="DH3" s="1176" t="s">
        <v>2238</v>
      </c>
      <c r="DI3" s="1016">
        <v>1</v>
      </c>
      <c r="DJ3" s="1177" t="s">
        <v>2345</v>
      </c>
      <c r="DK3" s="1177" t="s">
        <v>2347</v>
      </c>
      <c r="DL3" s="1177" t="s">
        <v>2349</v>
      </c>
    </row>
    <row r="4" spans="1:116" s="129" customFormat="1" ht="57" x14ac:dyDescent="0.25">
      <c r="A4" s="147" t="s">
        <v>713</v>
      </c>
      <c r="B4" s="151" t="s">
        <v>709</v>
      </c>
      <c r="C4" s="132" t="s">
        <v>710</v>
      </c>
      <c r="D4" s="132" t="s">
        <v>711</v>
      </c>
      <c r="E4" s="132" t="s">
        <v>714</v>
      </c>
      <c r="F4" s="132" t="s">
        <v>714</v>
      </c>
      <c r="G4" s="132" t="s">
        <v>715</v>
      </c>
      <c r="H4" s="132" t="s">
        <v>716</v>
      </c>
      <c r="I4" s="132" t="s">
        <v>716</v>
      </c>
      <c r="J4" s="132" t="s">
        <v>716</v>
      </c>
      <c r="K4" s="132" t="s">
        <v>717</v>
      </c>
      <c r="L4" s="132" t="s">
        <v>717</v>
      </c>
      <c r="M4" s="132" t="s">
        <v>717</v>
      </c>
      <c r="N4" s="132" t="s">
        <v>718</v>
      </c>
      <c r="O4" s="132" t="s">
        <v>718</v>
      </c>
      <c r="P4" s="132" t="s">
        <v>718</v>
      </c>
      <c r="Q4" s="132" t="s">
        <v>719</v>
      </c>
      <c r="R4" s="132" t="s">
        <v>719</v>
      </c>
      <c r="S4" s="132" t="s">
        <v>719</v>
      </c>
      <c r="T4" s="132" t="s">
        <v>720</v>
      </c>
      <c r="U4" s="132" t="s">
        <v>720</v>
      </c>
      <c r="V4" s="132" t="s">
        <v>720</v>
      </c>
      <c r="W4" s="327"/>
      <c r="X4" s="132" t="s">
        <v>721</v>
      </c>
      <c r="Y4" s="132" t="s">
        <v>722</v>
      </c>
      <c r="Z4" s="132" t="s">
        <v>723</v>
      </c>
      <c r="AA4" s="132" t="s">
        <v>721</v>
      </c>
      <c r="AB4" s="132" t="s">
        <v>722</v>
      </c>
      <c r="AC4" s="132" t="s">
        <v>723</v>
      </c>
      <c r="AD4" s="132" t="s">
        <v>721</v>
      </c>
      <c r="AE4" s="132" t="s">
        <v>722</v>
      </c>
      <c r="AF4" s="132" t="s">
        <v>723</v>
      </c>
      <c r="AG4" s="132" t="s">
        <v>724</v>
      </c>
      <c r="AH4" s="132" t="s">
        <v>724</v>
      </c>
      <c r="AI4" s="132" t="s">
        <v>725</v>
      </c>
      <c r="AJ4" s="132" t="s">
        <v>724</v>
      </c>
      <c r="AK4" s="132" t="s">
        <v>724</v>
      </c>
      <c r="AL4" s="132" t="s">
        <v>725</v>
      </c>
      <c r="AM4" s="132" t="s">
        <v>724</v>
      </c>
      <c r="AN4" s="132" t="s">
        <v>724</v>
      </c>
      <c r="AO4" s="132" t="s">
        <v>725</v>
      </c>
      <c r="AP4" s="132" t="s">
        <v>724</v>
      </c>
      <c r="AQ4" s="132" t="s">
        <v>724</v>
      </c>
      <c r="AR4" s="132" t="s">
        <v>725</v>
      </c>
      <c r="AS4" s="132" t="s">
        <v>726</v>
      </c>
      <c r="AT4" s="132" t="s">
        <v>726</v>
      </c>
      <c r="AU4" s="132" t="s">
        <v>726</v>
      </c>
      <c r="AV4" s="132" t="s">
        <v>727</v>
      </c>
      <c r="AW4" s="132" t="s">
        <v>727</v>
      </c>
      <c r="AX4" s="132" t="s">
        <v>727</v>
      </c>
      <c r="AY4" s="132" t="s">
        <v>727</v>
      </c>
      <c r="AZ4" s="132" t="s">
        <v>727</v>
      </c>
      <c r="BA4" s="132" t="s">
        <v>727</v>
      </c>
      <c r="BB4" s="132" t="s">
        <v>727</v>
      </c>
      <c r="BC4" s="132" t="s">
        <v>727</v>
      </c>
      <c r="BD4" s="132" t="s">
        <v>727</v>
      </c>
      <c r="BE4" s="132" t="s">
        <v>728</v>
      </c>
      <c r="BF4" s="132" t="s">
        <v>728</v>
      </c>
      <c r="BG4" s="132" t="s">
        <v>728</v>
      </c>
      <c r="BH4" s="132" t="s">
        <v>728</v>
      </c>
      <c r="BI4" s="132" t="s">
        <v>728</v>
      </c>
      <c r="BJ4" s="132" t="s">
        <v>728</v>
      </c>
      <c r="BK4" s="132" t="s">
        <v>729</v>
      </c>
      <c r="BL4" s="132" t="s">
        <v>729</v>
      </c>
      <c r="BM4" s="132" t="s">
        <v>729</v>
      </c>
      <c r="BN4" s="132" t="s">
        <v>730</v>
      </c>
      <c r="BO4" s="132" t="s">
        <v>730</v>
      </c>
      <c r="BP4" s="132" t="s">
        <v>730</v>
      </c>
      <c r="BQ4" s="327"/>
      <c r="BR4" s="132">
        <v>6.81</v>
      </c>
      <c r="BS4" s="132">
        <v>6.81</v>
      </c>
      <c r="BT4" s="132">
        <v>6.81</v>
      </c>
      <c r="BU4" s="132"/>
      <c r="BV4" s="132"/>
      <c r="BW4" s="132"/>
      <c r="BX4" s="132"/>
      <c r="BY4" s="132"/>
      <c r="BZ4" s="132"/>
      <c r="CA4" s="132"/>
      <c r="CB4" s="132"/>
      <c r="CC4" s="132"/>
      <c r="CD4" s="132">
        <v>0.25</v>
      </c>
      <c r="CE4" s="132">
        <v>0.25</v>
      </c>
      <c r="CF4" s="132">
        <v>0.25</v>
      </c>
      <c r="CG4" s="132"/>
      <c r="CH4" s="132"/>
      <c r="CI4" s="132"/>
      <c r="CJ4" s="132"/>
      <c r="CK4" s="132"/>
      <c r="CL4" s="132"/>
      <c r="CM4" s="132">
        <v>0.25</v>
      </c>
      <c r="CN4" s="132">
        <v>0.25</v>
      </c>
      <c r="CO4" s="132">
        <v>0.25</v>
      </c>
      <c r="CP4" s="132">
        <v>11.24</v>
      </c>
      <c r="CQ4" s="132">
        <v>11.24</v>
      </c>
      <c r="CR4" s="132">
        <v>11.24</v>
      </c>
      <c r="CS4" s="132">
        <v>11.24</v>
      </c>
      <c r="CT4" s="132">
        <v>11.24</v>
      </c>
      <c r="CU4" s="132">
        <v>11.24</v>
      </c>
      <c r="CV4" s="132">
        <v>0.36</v>
      </c>
      <c r="CW4" s="132">
        <v>0.19</v>
      </c>
      <c r="CX4" s="132">
        <v>0.34</v>
      </c>
      <c r="CY4" s="132">
        <v>0.27</v>
      </c>
      <c r="CZ4" s="132">
        <v>0.36</v>
      </c>
      <c r="DA4" s="141">
        <v>0.19</v>
      </c>
      <c r="DH4" s="1176" t="s">
        <v>2238</v>
      </c>
      <c r="DI4" s="1016">
        <v>2</v>
      </c>
      <c r="DJ4" s="1177" t="s">
        <v>2345</v>
      </c>
      <c r="DK4" s="1177" t="s">
        <v>2347</v>
      </c>
      <c r="DL4" s="1177" t="s">
        <v>2349</v>
      </c>
    </row>
    <row r="5" spans="1:116" s="129" customFormat="1" ht="57" x14ac:dyDescent="0.25">
      <c r="A5" s="148" t="s">
        <v>765</v>
      </c>
      <c r="B5" s="152" t="s">
        <v>190</v>
      </c>
      <c r="C5" s="142" t="s">
        <v>191</v>
      </c>
      <c r="D5" s="142" t="s">
        <v>192</v>
      </c>
      <c r="E5" s="142" t="s">
        <v>196</v>
      </c>
      <c r="F5" s="142" t="s">
        <v>196</v>
      </c>
      <c r="G5" s="142" t="s">
        <v>197</v>
      </c>
      <c r="H5" s="142" t="s">
        <v>202</v>
      </c>
      <c r="I5" s="142" t="s">
        <v>202</v>
      </c>
      <c r="J5" s="142" t="s">
        <v>202</v>
      </c>
      <c r="K5" s="142" t="s">
        <v>179</v>
      </c>
      <c r="L5" s="142" t="s">
        <v>179</v>
      </c>
      <c r="M5" s="142" t="s">
        <v>179</v>
      </c>
      <c r="N5" s="142" t="s">
        <v>184</v>
      </c>
      <c r="O5" s="142" t="s">
        <v>184</v>
      </c>
      <c r="P5" s="142" t="s">
        <v>184</v>
      </c>
      <c r="Q5" s="142" t="s">
        <v>187</v>
      </c>
      <c r="R5" s="142" t="s">
        <v>187</v>
      </c>
      <c r="S5" s="142" t="s">
        <v>187</v>
      </c>
      <c r="T5" s="142" t="s">
        <v>188</v>
      </c>
      <c r="U5" s="142" t="s">
        <v>188</v>
      </c>
      <c r="V5" s="142" t="s">
        <v>188</v>
      </c>
      <c r="W5" s="327"/>
      <c r="X5" s="142" t="s">
        <v>152</v>
      </c>
      <c r="Y5" s="142" t="s">
        <v>153</v>
      </c>
      <c r="Z5" s="142" t="s">
        <v>154</v>
      </c>
      <c r="AA5" s="142" t="s">
        <v>152</v>
      </c>
      <c r="AB5" s="142" t="s">
        <v>153</v>
      </c>
      <c r="AC5" s="142" t="s">
        <v>154</v>
      </c>
      <c r="AD5" s="142" t="s">
        <v>152</v>
      </c>
      <c r="AE5" s="142" t="s">
        <v>153</v>
      </c>
      <c r="AF5" s="142" t="s">
        <v>154</v>
      </c>
      <c r="AG5" s="142" t="s">
        <v>155</v>
      </c>
      <c r="AH5" s="142" t="s">
        <v>155</v>
      </c>
      <c r="AI5" s="142" t="s">
        <v>156</v>
      </c>
      <c r="AJ5" s="142" t="s">
        <v>155</v>
      </c>
      <c r="AK5" s="142" t="s">
        <v>155</v>
      </c>
      <c r="AL5" s="142" t="s">
        <v>156</v>
      </c>
      <c r="AM5" s="142" t="s">
        <v>155</v>
      </c>
      <c r="AN5" s="142" t="s">
        <v>155</v>
      </c>
      <c r="AO5" s="142" t="s">
        <v>156</v>
      </c>
      <c r="AP5" s="142" t="s">
        <v>155</v>
      </c>
      <c r="AQ5" s="142" t="s">
        <v>155</v>
      </c>
      <c r="AR5" s="142" t="s">
        <v>156</v>
      </c>
      <c r="AS5" s="142" t="s">
        <v>167</v>
      </c>
      <c r="AT5" s="142" t="s">
        <v>167</v>
      </c>
      <c r="AU5" s="142" t="s">
        <v>167</v>
      </c>
      <c r="AV5" s="142" t="s">
        <v>157</v>
      </c>
      <c r="AW5" s="142" t="s">
        <v>157</v>
      </c>
      <c r="AX5" s="142" t="s">
        <v>157</v>
      </c>
      <c r="AY5" s="142" t="s">
        <v>157</v>
      </c>
      <c r="AZ5" s="142" t="s">
        <v>157</v>
      </c>
      <c r="BA5" s="142" t="s">
        <v>157</v>
      </c>
      <c r="BB5" s="142" t="s">
        <v>157</v>
      </c>
      <c r="BC5" s="142" t="s">
        <v>157</v>
      </c>
      <c r="BD5" s="142" t="s">
        <v>157</v>
      </c>
      <c r="BE5" s="142" t="s">
        <v>158</v>
      </c>
      <c r="BF5" s="142" t="s">
        <v>158</v>
      </c>
      <c r="BG5" s="142" t="s">
        <v>158</v>
      </c>
      <c r="BH5" s="142" t="s">
        <v>158</v>
      </c>
      <c r="BI5" s="142" t="s">
        <v>158</v>
      </c>
      <c r="BJ5" s="142" t="s">
        <v>158</v>
      </c>
      <c r="BK5" s="142" t="s">
        <v>159</v>
      </c>
      <c r="BL5" s="142" t="s">
        <v>159</v>
      </c>
      <c r="BM5" s="142" t="s">
        <v>159</v>
      </c>
      <c r="BN5" s="142" t="s">
        <v>160</v>
      </c>
      <c r="BO5" s="142" t="s">
        <v>160</v>
      </c>
      <c r="BP5" s="142" t="s">
        <v>160</v>
      </c>
      <c r="BQ5" s="327"/>
      <c r="BR5" s="142">
        <v>1.2</v>
      </c>
      <c r="BS5" s="142">
        <v>1.2</v>
      </c>
      <c r="BT5" s="142">
        <v>1.2</v>
      </c>
      <c r="BU5" s="142"/>
      <c r="BV5" s="142"/>
      <c r="BW5" s="142"/>
      <c r="BX5" s="142"/>
      <c r="BY5" s="142"/>
      <c r="BZ5" s="142"/>
      <c r="CA5" s="142"/>
      <c r="CB5" s="142"/>
      <c r="CC5" s="142"/>
      <c r="CD5" s="142">
        <v>0.25</v>
      </c>
      <c r="CE5" s="142">
        <v>0.25</v>
      </c>
      <c r="CF5" s="142">
        <v>0.25</v>
      </c>
      <c r="CG5" s="142"/>
      <c r="CH5" s="142"/>
      <c r="CI5" s="142"/>
      <c r="CJ5" s="142"/>
      <c r="CK5" s="142"/>
      <c r="CL5" s="142"/>
      <c r="CM5" s="142">
        <v>0.25</v>
      </c>
      <c r="CN5" s="142">
        <v>0.25</v>
      </c>
      <c r="CO5" s="142">
        <v>0.25</v>
      </c>
      <c r="CP5" s="142">
        <v>1.98</v>
      </c>
      <c r="CQ5" s="142">
        <v>1.98</v>
      </c>
      <c r="CR5" s="142">
        <v>1.98</v>
      </c>
      <c r="CS5" s="142">
        <v>1.98</v>
      </c>
      <c r="CT5" s="142">
        <v>1.98</v>
      </c>
      <c r="CU5" s="142">
        <v>1.98</v>
      </c>
      <c r="CV5" s="142">
        <v>0.36</v>
      </c>
      <c r="CW5" s="142">
        <v>0.19</v>
      </c>
      <c r="CX5" s="142">
        <v>0.34</v>
      </c>
      <c r="CY5" s="142">
        <v>0.27</v>
      </c>
      <c r="CZ5" s="142">
        <v>0.36</v>
      </c>
      <c r="DA5" s="143">
        <v>0.19</v>
      </c>
      <c r="DH5" s="1176" t="s">
        <v>2238</v>
      </c>
      <c r="DI5" s="1016">
        <v>3</v>
      </c>
      <c r="DJ5" s="1177" t="s">
        <v>2345</v>
      </c>
      <c r="DK5" s="1177" t="s">
        <v>2347</v>
      </c>
      <c r="DL5" s="1177" t="s">
        <v>2349</v>
      </c>
    </row>
    <row r="6" spans="1:116" s="129" customFormat="1" ht="57" x14ac:dyDescent="0.25">
      <c r="A6" s="147" t="s">
        <v>798</v>
      </c>
      <c r="B6" s="151" t="s">
        <v>709</v>
      </c>
      <c r="C6" s="132" t="s">
        <v>710</v>
      </c>
      <c r="D6" s="132" t="s">
        <v>711</v>
      </c>
      <c r="E6" s="132" t="s">
        <v>714</v>
      </c>
      <c r="F6" s="132" t="s">
        <v>714</v>
      </c>
      <c r="G6" s="132" t="s">
        <v>715</v>
      </c>
      <c r="H6" s="132" t="s">
        <v>716</v>
      </c>
      <c r="I6" s="132" t="s">
        <v>716</v>
      </c>
      <c r="J6" s="132" t="s">
        <v>716</v>
      </c>
      <c r="K6" s="132" t="s">
        <v>717</v>
      </c>
      <c r="L6" s="132" t="s">
        <v>717</v>
      </c>
      <c r="M6" s="132" t="s">
        <v>717</v>
      </c>
      <c r="N6" s="132" t="s">
        <v>718</v>
      </c>
      <c r="O6" s="132" t="s">
        <v>718</v>
      </c>
      <c r="P6" s="132" t="s">
        <v>718</v>
      </c>
      <c r="Q6" s="132" t="s">
        <v>719</v>
      </c>
      <c r="R6" s="132" t="s">
        <v>719</v>
      </c>
      <c r="S6" s="132" t="s">
        <v>719</v>
      </c>
      <c r="T6" s="132" t="s">
        <v>720</v>
      </c>
      <c r="U6" s="132" t="s">
        <v>720</v>
      </c>
      <c r="V6" s="132" t="s">
        <v>720</v>
      </c>
      <c r="W6" s="327"/>
      <c r="X6" s="132" t="s">
        <v>721</v>
      </c>
      <c r="Y6" s="132" t="s">
        <v>722</v>
      </c>
      <c r="Z6" s="132" t="s">
        <v>723</v>
      </c>
      <c r="AA6" s="132" t="s">
        <v>721</v>
      </c>
      <c r="AB6" s="132" t="s">
        <v>722</v>
      </c>
      <c r="AC6" s="132" t="s">
        <v>723</v>
      </c>
      <c r="AD6" s="132" t="s">
        <v>721</v>
      </c>
      <c r="AE6" s="132" t="s">
        <v>722</v>
      </c>
      <c r="AF6" s="132" t="s">
        <v>723</v>
      </c>
      <c r="AG6" s="132" t="s">
        <v>724</v>
      </c>
      <c r="AH6" s="132" t="s">
        <v>724</v>
      </c>
      <c r="AI6" s="132" t="s">
        <v>725</v>
      </c>
      <c r="AJ6" s="132" t="s">
        <v>724</v>
      </c>
      <c r="AK6" s="132" t="s">
        <v>724</v>
      </c>
      <c r="AL6" s="132" t="s">
        <v>725</v>
      </c>
      <c r="AM6" s="132" t="s">
        <v>724</v>
      </c>
      <c r="AN6" s="132" t="s">
        <v>724</v>
      </c>
      <c r="AO6" s="132" t="s">
        <v>725</v>
      </c>
      <c r="AP6" s="132" t="s">
        <v>724</v>
      </c>
      <c r="AQ6" s="132" t="s">
        <v>724</v>
      </c>
      <c r="AR6" s="132" t="s">
        <v>725</v>
      </c>
      <c r="AS6" s="132" t="s">
        <v>726</v>
      </c>
      <c r="AT6" s="132" t="s">
        <v>726</v>
      </c>
      <c r="AU6" s="132" t="s">
        <v>726</v>
      </c>
      <c r="AV6" s="132" t="s">
        <v>727</v>
      </c>
      <c r="AW6" s="132" t="s">
        <v>727</v>
      </c>
      <c r="AX6" s="132" t="s">
        <v>727</v>
      </c>
      <c r="AY6" s="132" t="s">
        <v>727</v>
      </c>
      <c r="AZ6" s="132" t="s">
        <v>727</v>
      </c>
      <c r="BA6" s="132" t="s">
        <v>727</v>
      </c>
      <c r="BB6" s="132" t="s">
        <v>727</v>
      </c>
      <c r="BC6" s="132" t="s">
        <v>727</v>
      </c>
      <c r="BD6" s="132" t="s">
        <v>727</v>
      </c>
      <c r="BE6" s="132" t="s">
        <v>728</v>
      </c>
      <c r="BF6" s="132" t="s">
        <v>728</v>
      </c>
      <c r="BG6" s="132" t="s">
        <v>728</v>
      </c>
      <c r="BH6" s="132" t="s">
        <v>728</v>
      </c>
      <c r="BI6" s="132" t="s">
        <v>728</v>
      </c>
      <c r="BJ6" s="132" t="s">
        <v>728</v>
      </c>
      <c r="BK6" s="132" t="s">
        <v>729</v>
      </c>
      <c r="BL6" s="132" t="s">
        <v>729</v>
      </c>
      <c r="BM6" s="132" t="s">
        <v>729</v>
      </c>
      <c r="BN6" s="132" t="s">
        <v>730</v>
      </c>
      <c r="BO6" s="132" t="s">
        <v>730</v>
      </c>
      <c r="BP6" s="132" t="s">
        <v>730</v>
      </c>
      <c r="BQ6" s="327"/>
      <c r="BR6" s="132">
        <v>6.81</v>
      </c>
      <c r="BS6" s="132">
        <v>6.81</v>
      </c>
      <c r="BT6" s="132">
        <v>6.81</v>
      </c>
      <c r="BU6" s="132"/>
      <c r="BV6" s="132"/>
      <c r="BW6" s="132"/>
      <c r="BX6" s="132"/>
      <c r="BY6" s="132"/>
      <c r="BZ6" s="132"/>
      <c r="CA6" s="132"/>
      <c r="CB6" s="132"/>
      <c r="CC6" s="132"/>
      <c r="CD6" s="132">
        <v>0.25</v>
      </c>
      <c r="CE6" s="132">
        <v>0.25</v>
      </c>
      <c r="CF6" s="132">
        <v>0.25</v>
      </c>
      <c r="CG6" s="132"/>
      <c r="CH6" s="132"/>
      <c r="CI6" s="132"/>
      <c r="CJ6" s="132"/>
      <c r="CK6" s="132"/>
      <c r="CL6" s="132"/>
      <c r="CM6" s="132">
        <v>0.25</v>
      </c>
      <c r="CN6" s="132">
        <v>0.25</v>
      </c>
      <c r="CO6" s="132">
        <v>0.25</v>
      </c>
      <c r="CP6" s="132">
        <v>11.24</v>
      </c>
      <c r="CQ6" s="132">
        <v>11.24</v>
      </c>
      <c r="CR6" s="132">
        <v>11.24</v>
      </c>
      <c r="CS6" s="132">
        <v>11.24</v>
      </c>
      <c r="CT6" s="132">
        <v>11.24</v>
      </c>
      <c r="CU6" s="132">
        <v>11.24</v>
      </c>
      <c r="CV6" s="132">
        <v>0.36</v>
      </c>
      <c r="CW6" s="132">
        <v>0.19</v>
      </c>
      <c r="CX6" s="132">
        <v>0.34</v>
      </c>
      <c r="CY6" s="132">
        <v>0.27</v>
      </c>
      <c r="CZ6" s="132">
        <v>0.36</v>
      </c>
      <c r="DA6" s="141">
        <v>0.19</v>
      </c>
      <c r="DH6" s="1016"/>
      <c r="DI6" s="1016" t="s">
        <v>2739</v>
      </c>
      <c r="DJ6" s="1016" t="s">
        <v>2747</v>
      </c>
      <c r="DK6" s="1016" t="s">
        <v>2747</v>
      </c>
      <c r="DL6" s="1016" t="s">
        <v>2750</v>
      </c>
    </row>
    <row r="7" spans="1:116" s="129" customFormat="1" ht="45.6" x14ac:dyDescent="0.25">
      <c r="A7" s="148" t="s">
        <v>766</v>
      </c>
      <c r="B7" s="152" t="s">
        <v>191</v>
      </c>
      <c r="C7" s="142" t="s">
        <v>191</v>
      </c>
      <c r="D7" s="142" t="s">
        <v>192</v>
      </c>
      <c r="E7" s="142" t="s">
        <v>196</v>
      </c>
      <c r="F7" s="142" t="s">
        <v>198</v>
      </c>
      <c r="G7" s="142" t="s">
        <v>196</v>
      </c>
      <c r="H7" s="142" t="s">
        <v>202</v>
      </c>
      <c r="I7" s="142" t="s">
        <v>202</v>
      </c>
      <c r="J7" s="142" t="s">
        <v>202</v>
      </c>
      <c r="K7" s="142" t="s">
        <v>180</v>
      </c>
      <c r="L7" s="142" t="s">
        <v>180</v>
      </c>
      <c r="M7" s="142" t="s">
        <v>181</v>
      </c>
      <c r="N7" s="142" t="s">
        <v>184</v>
      </c>
      <c r="O7" s="142" t="s">
        <v>184</v>
      </c>
      <c r="P7" s="142" t="s">
        <v>184</v>
      </c>
      <c r="Q7" s="142" t="s">
        <v>187</v>
      </c>
      <c r="R7" s="142" t="s">
        <v>187</v>
      </c>
      <c r="S7" s="142" t="s">
        <v>187</v>
      </c>
      <c r="T7" s="142" t="s">
        <v>188</v>
      </c>
      <c r="U7" s="142" t="s">
        <v>189</v>
      </c>
      <c r="V7" s="142" t="s">
        <v>188</v>
      </c>
      <c r="W7" s="327"/>
      <c r="X7" s="142" t="s">
        <v>153</v>
      </c>
      <c r="Y7" s="142" t="s">
        <v>153</v>
      </c>
      <c r="Z7" s="142" t="s">
        <v>154</v>
      </c>
      <c r="AA7" s="142" t="s">
        <v>153</v>
      </c>
      <c r="AB7" s="142" t="s">
        <v>153</v>
      </c>
      <c r="AC7" s="142" t="s">
        <v>154</v>
      </c>
      <c r="AD7" s="142" t="s">
        <v>153</v>
      </c>
      <c r="AE7" s="142" t="s">
        <v>153</v>
      </c>
      <c r="AF7" s="142" t="s">
        <v>154</v>
      </c>
      <c r="AG7" s="142" t="s">
        <v>155</v>
      </c>
      <c r="AH7" s="142" t="s">
        <v>161</v>
      </c>
      <c r="AI7" s="142" t="s">
        <v>155</v>
      </c>
      <c r="AJ7" s="142" t="s">
        <v>155</v>
      </c>
      <c r="AK7" s="142" t="s">
        <v>161</v>
      </c>
      <c r="AL7" s="142" t="s">
        <v>155</v>
      </c>
      <c r="AM7" s="142" t="s">
        <v>155</v>
      </c>
      <c r="AN7" s="142" t="s">
        <v>161</v>
      </c>
      <c r="AO7" s="142" t="s">
        <v>155</v>
      </c>
      <c r="AP7" s="142" t="s">
        <v>155</v>
      </c>
      <c r="AQ7" s="142" t="s">
        <v>161</v>
      </c>
      <c r="AR7" s="142" t="s">
        <v>155</v>
      </c>
      <c r="AS7" s="142" t="s">
        <v>167</v>
      </c>
      <c r="AT7" s="142" t="s">
        <v>167</v>
      </c>
      <c r="AU7" s="142" t="s">
        <v>167</v>
      </c>
      <c r="AV7" s="142" t="s">
        <v>162</v>
      </c>
      <c r="AW7" s="142" t="s">
        <v>162</v>
      </c>
      <c r="AX7" s="142" t="s">
        <v>163</v>
      </c>
      <c r="AY7" s="142" t="s">
        <v>162</v>
      </c>
      <c r="AZ7" s="142" t="s">
        <v>162</v>
      </c>
      <c r="BA7" s="142" t="s">
        <v>163</v>
      </c>
      <c r="BB7" s="142" t="s">
        <v>162</v>
      </c>
      <c r="BC7" s="142" t="s">
        <v>162</v>
      </c>
      <c r="BD7" s="142" t="s">
        <v>163</v>
      </c>
      <c r="BE7" s="142" t="s">
        <v>158</v>
      </c>
      <c r="BF7" s="142" t="s">
        <v>158</v>
      </c>
      <c r="BG7" s="142" t="s">
        <v>158</v>
      </c>
      <c r="BH7" s="142" t="s">
        <v>158</v>
      </c>
      <c r="BI7" s="142" t="s">
        <v>158</v>
      </c>
      <c r="BJ7" s="142" t="s">
        <v>158</v>
      </c>
      <c r="BK7" s="142" t="s">
        <v>159</v>
      </c>
      <c r="BL7" s="142" t="s">
        <v>159</v>
      </c>
      <c r="BM7" s="142" t="s">
        <v>159</v>
      </c>
      <c r="BN7" s="142" t="s">
        <v>160</v>
      </c>
      <c r="BO7" s="142" t="s">
        <v>164</v>
      </c>
      <c r="BP7" s="142" t="s">
        <v>160</v>
      </c>
      <c r="BQ7" s="327"/>
      <c r="BR7" s="142">
        <v>0.75</v>
      </c>
      <c r="BS7" s="142">
        <v>0.7</v>
      </c>
      <c r="BT7" s="142">
        <v>1.1000000000000001</v>
      </c>
      <c r="BU7" s="142"/>
      <c r="BV7" s="142"/>
      <c r="BW7" s="142"/>
      <c r="BX7" s="142"/>
      <c r="BY7" s="142"/>
      <c r="BZ7" s="142"/>
      <c r="CA7" s="142"/>
      <c r="CB7" s="142"/>
      <c r="CC7" s="142"/>
      <c r="CD7" s="142">
        <v>0.25</v>
      </c>
      <c r="CE7" s="142">
        <v>0.25</v>
      </c>
      <c r="CF7" s="142">
        <v>0.25</v>
      </c>
      <c r="CG7" s="142"/>
      <c r="CH7" s="142"/>
      <c r="CI7" s="142"/>
      <c r="CJ7" s="142"/>
      <c r="CK7" s="142"/>
      <c r="CL7" s="142"/>
      <c r="CM7" s="142">
        <v>0.25</v>
      </c>
      <c r="CN7" s="142">
        <v>0.25</v>
      </c>
      <c r="CO7" s="142">
        <v>0.25</v>
      </c>
      <c r="CP7" s="142">
        <v>1.98</v>
      </c>
      <c r="CQ7" s="142">
        <v>1.98</v>
      </c>
      <c r="CR7" s="142">
        <v>1.98</v>
      </c>
      <c r="CS7" s="142">
        <v>1.98</v>
      </c>
      <c r="CT7" s="142">
        <v>1.98</v>
      </c>
      <c r="CU7" s="142">
        <v>1.98</v>
      </c>
      <c r="CV7" s="142">
        <v>0.36</v>
      </c>
      <c r="CW7" s="142">
        <v>0.19</v>
      </c>
      <c r="CX7" s="142">
        <v>0.39</v>
      </c>
      <c r="CY7" s="142">
        <v>0.34</v>
      </c>
      <c r="CZ7" s="142">
        <v>0.36</v>
      </c>
      <c r="DA7" s="143">
        <v>0.19</v>
      </c>
      <c r="DI7" s="1016" t="s">
        <v>2740</v>
      </c>
      <c r="DJ7" s="1016" t="s">
        <v>2745</v>
      </c>
      <c r="DK7" s="1016" t="s">
        <v>2745</v>
      </c>
      <c r="DL7" s="1016" t="s">
        <v>2751</v>
      </c>
    </row>
    <row r="8" spans="1:116" s="129" customFormat="1" ht="57" x14ac:dyDescent="0.25">
      <c r="A8" s="147" t="s">
        <v>797</v>
      </c>
      <c r="B8" s="151" t="s">
        <v>710</v>
      </c>
      <c r="C8" s="132" t="s">
        <v>710</v>
      </c>
      <c r="D8" s="132" t="s">
        <v>711</v>
      </c>
      <c r="E8" s="132" t="s">
        <v>714</v>
      </c>
      <c r="F8" s="132" t="s">
        <v>731</v>
      </c>
      <c r="G8" s="132" t="s">
        <v>714</v>
      </c>
      <c r="H8" s="132" t="s">
        <v>716</v>
      </c>
      <c r="I8" s="132" t="s">
        <v>716</v>
      </c>
      <c r="J8" s="132" t="s">
        <v>716</v>
      </c>
      <c r="K8" s="132" t="s">
        <v>732</v>
      </c>
      <c r="L8" s="132" t="s">
        <v>732</v>
      </c>
      <c r="M8" s="132" t="s">
        <v>733</v>
      </c>
      <c r="N8" s="132" t="s">
        <v>718</v>
      </c>
      <c r="O8" s="132" t="s">
        <v>718</v>
      </c>
      <c r="P8" s="132" t="s">
        <v>718</v>
      </c>
      <c r="Q8" s="132" t="s">
        <v>719</v>
      </c>
      <c r="R8" s="132" t="s">
        <v>719</v>
      </c>
      <c r="S8" s="132" t="s">
        <v>719</v>
      </c>
      <c r="T8" s="132" t="s">
        <v>720</v>
      </c>
      <c r="U8" s="132" t="s">
        <v>734</v>
      </c>
      <c r="V8" s="132" t="s">
        <v>720</v>
      </c>
      <c r="W8" s="327"/>
      <c r="X8" s="132" t="s">
        <v>722</v>
      </c>
      <c r="Y8" s="132" t="s">
        <v>722</v>
      </c>
      <c r="Z8" s="132" t="s">
        <v>723</v>
      </c>
      <c r="AA8" s="132" t="s">
        <v>722</v>
      </c>
      <c r="AB8" s="132" t="s">
        <v>722</v>
      </c>
      <c r="AC8" s="132" t="s">
        <v>723</v>
      </c>
      <c r="AD8" s="132" t="s">
        <v>722</v>
      </c>
      <c r="AE8" s="132" t="s">
        <v>722</v>
      </c>
      <c r="AF8" s="132" t="s">
        <v>723</v>
      </c>
      <c r="AG8" s="132" t="s">
        <v>724</v>
      </c>
      <c r="AH8" s="132" t="s">
        <v>735</v>
      </c>
      <c r="AI8" s="132" t="s">
        <v>724</v>
      </c>
      <c r="AJ8" s="132" t="s">
        <v>724</v>
      </c>
      <c r="AK8" s="132" t="s">
        <v>735</v>
      </c>
      <c r="AL8" s="132" t="s">
        <v>724</v>
      </c>
      <c r="AM8" s="132" t="s">
        <v>724</v>
      </c>
      <c r="AN8" s="132" t="s">
        <v>735</v>
      </c>
      <c r="AO8" s="132" t="s">
        <v>724</v>
      </c>
      <c r="AP8" s="132" t="s">
        <v>724</v>
      </c>
      <c r="AQ8" s="132" t="s">
        <v>735</v>
      </c>
      <c r="AR8" s="132" t="s">
        <v>724</v>
      </c>
      <c r="AS8" s="132" t="s">
        <v>726</v>
      </c>
      <c r="AT8" s="132" t="s">
        <v>726</v>
      </c>
      <c r="AU8" s="132" t="s">
        <v>726</v>
      </c>
      <c r="AV8" s="132" t="s">
        <v>736</v>
      </c>
      <c r="AW8" s="132" t="s">
        <v>736</v>
      </c>
      <c r="AX8" s="132" t="s">
        <v>737</v>
      </c>
      <c r="AY8" s="132" t="s">
        <v>736</v>
      </c>
      <c r="AZ8" s="132" t="s">
        <v>736</v>
      </c>
      <c r="BA8" s="132" t="s">
        <v>737</v>
      </c>
      <c r="BB8" s="132" t="s">
        <v>736</v>
      </c>
      <c r="BC8" s="132" t="s">
        <v>736</v>
      </c>
      <c r="BD8" s="132" t="s">
        <v>737</v>
      </c>
      <c r="BE8" s="132" t="s">
        <v>728</v>
      </c>
      <c r="BF8" s="132" t="s">
        <v>728</v>
      </c>
      <c r="BG8" s="132" t="s">
        <v>728</v>
      </c>
      <c r="BH8" s="132" t="s">
        <v>728</v>
      </c>
      <c r="BI8" s="132" t="s">
        <v>728</v>
      </c>
      <c r="BJ8" s="132" t="s">
        <v>728</v>
      </c>
      <c r="BK8" s="132" t="s">
        <v>729</v>
      </c>
      <c r="BL8" s="132" t="s">
        <v>729</v>
      </c>
      <c r="BM8" s="132" t="s">
        <v>729</v>
      </c>
      <c r="BN8" s="132" t="s">
        <v>730</v>
      </c>
      <c r="BO8" s="132" t="s">
        <v>738</v>
      </c>
      <c r="BP8" s="132" t="s">
        <v>730</v>
      </c>
      <c r="BQ8" s="327"/>
      <c r="BR8" s="132">
        <v>4.26</v>
      </c>
      <c r="BS8" s="132">
        <v>3.97</v>
      </c>
      <c r="BT8" s="132">
        <v>6.25</v>
      </c>
      <c r="BU8" s="132"/>
      <c r="BV8" s="132"/>
      <c r="BW8" s="132"/>
      <c r="BX8" s="132"/>
      <c r="BY8" s="132"/>
      <c r="BZ8" s="132"/>
      <c r="CA8" s="132"/>
      <c r="CB8" s="132"/>
      <c r="CC8" s="132"/>
      <c r="CD8" s="132">
        <v>0.25</v>
      </c>
      <c r="CE8" s="132">
        <v>0.25</v>
      </c>
      <c r="CF8" s="132">
        <v>0.25</v>
      </c>
      <c r="CG8" s="132"/>
      <c r="CH8" s="132"/>
      <c r="CI8" s="132"/>
      <c r="CJ8" s="132"/>
      <c r="CK8" s="132"/>
      <c r="CL8" s="132"/>
      <c r="CM8" s="132">
        <v>0.25</v>
      </c>
      <c r="CN8" s="132">
        <v>0.25</v>
      </c>
      <c r="CO8" s="132">
        <v>0.25</v>
      </c>
      <c r="CP8" s="132">
        <v>11.24</v>
      </c>
      <c r="CQ8" s="132">
        <v>11.24</v>
      </c>
      <c r="CR8" s="132">
        <v>11.24</v>
      </c>
      <c r="CS8" s="132">
        <v>11.24</v>
      </c>
      <c r="CT8" s="132">
        <v>11.24</v>
      </c>
      <c r="CU8" s="132">
        <v>11.24</v>
      </c>
      <c r="CV8" s="132">
        <v>0.36</v>
      </c>
      <c r="CW8" s="132">
        <v>0.19</v>
      </c>
      <c r="CX8" s="132">
        <v>0.39</v>
      </c>
      <c r="CY8" s="132">
        <v>0.34</v>
      </c>
      <c r="CZ8" s="132">
        <v>0.36</v>
      </c>
      <c r="DA8" s="141">
        <v>0.19</v>
      </c>
      <c r="DI8" s="1016" t="s">
        <v>2738</v>
      </c>
      <c r="DJ8" s="1016" t="s">
        <v>2746</v>
      </c>
      <c r="DK8" s="1016" t="s">
        <v>2746</v>
      </c>
      <c r="DL8" s="1016" t="s">
        <v>2752</v>
      </c>
    </row>
    <row r="9" spans="1:116" s="129" customFormat="1" ht="45.6" x14ac:dyDescent="0.25">
      <c r="A9" s="148" t="s">
        <v>767</v>
      </c>
      <c r="B9" s="152" t="s">
        <v>191</v>
      </c>
      <c r="C9" s="142" t="s">
        <v>191</v>
      </c>
      <c r="D9" s="142" t="s">
        <v>192</v>
      </c>
      <c r="E9" s="142" t="s">
        <v>196</v>
      </c>
      <c r="F9" s="142" t="s">
        <v>198</v>
      </c>
      <c r="G9" s="142" t="s">
        <v>196</v>
      </c>
      <c r="H9" s="142" t="s">
        <v>202</v>
      </c>
      <c r="I9" s="142" t="s">
        <v>202</v>
      </c>
      <c r="J9" s="142" t="s">
        <v>202</v>
      </c>
      <c r="K9" s="142" t="s">
        <v>180</v>
      </c>
      <c r="L9" s="142" t="s">
        <v>180</v>
      </c>
      <c r="M9" s="142" t="s">
        <v>181</v>
      </c>
      <c r="N9" s="142" t="s">
        <v>184</v>
      </c>
      <c r="O9" s="142" t="s">
        <v>184</v>
      </c>
      <c r="P9" s="142" t="s">
        <v>184</v>
      </c>
      <c r="Q9" s="142" t="s">
        <v>187</v>
      </c>
      <c r="R9" s="142" t="s">
        <v>187</v>
      </c>
      <c r="S9" s="142" t="s">
        <v>187</v>
      </c>
      <c r="T9" s="142" t="s">
        <v>188</v>
      </c>
      <c r="U9" s="142" t="s">
        <v>189</v>
      </c>
      <c r="V9" s="142" t="s">
        <v>188</v>
      </c>
      <c r="W9" s="327"/>
      <c r="X9" s="142" t="s">
        <v>153</v>
      </c>
      <c r="Y9" s="142" t="s">
        <v>153</v>
      </c>
      <c r="Z9" s="142" t="s">
        <v>154</v>
      </c>
      <c r="AA9" s="142" t="s">
        <v>153</v>
      </c>
      <c r="AB9" s="142" t="s">
        <v>153</v>
      </c>
      <c r="AC9" s="142" t="s">
        <v>154</v>
      </c>
      <c r="AD9" s="142" t="s">
        <v>153</v>
      </c>
      <c r="AE9" s="142" t="s">
        <v>153</v>
      </c>
      <c r="AF9" s="142" t="s">
        <v>154</v>
      </c>
      <c r="AG9" s="142" t="s">
        <v>155</v>
      </c>
      <c r="AH9" s="142" t="s">
        <v>161</v>
      </c>
      <c r="AI9" s="142" t="s">
        <v>155</v>
      </c>
      <c r="AJ9" s="142" t="s">
        <v>155</v>
      </c>
      <c r="AK9" s="142" t="s">
        <v>161</v>
      </c>
      <c r="AL9" s="142" t="s">
        <v>155</v>
      </c>
      <c r="AM9" s="142" t="s">
        <v>155</v>
      </c>
      <c r="AN9" s="142" t="s">
        <v>161</v>
      </c>
      <c r="AO9" s="142" t="s">
        <v>155</v>
      </c>
      <c r="AP9" s="142" t="s">
        <v>155</v>
      </c>
      <c r="AQ9" s="142" t="s">
        <v>161</v>
      </c>
      <c r="AR9" s="142" t="s">
        <v>155</v>
      </c>
      <c r="AS9" s="142" t="s">
        <v>167</v>
      </c>
      <c r="AT9" s="142" t="s">
        <v>167</v>
      </c>
      <c r="AU9" s="142" t="s">
        <v>167</v>
      </c>
      <c r="AV9" s="142" t="s">
        <v>162</v>
      </c>
      <c r="AW9" s="142" t="s">
        <v>162</v>
      </c>
      <c r="AX9" s="142" t="s">
        <v>163</v>
      </c>
      <c r="AY9" s="142" t="s">
        <v>162</v>
      </c>
      <c r="AZ9" s="142" t="s">
        <v>162</v>
      </c>
      <c r="BA9" s="142" t="s">
        <v>163</v>
      </c>
      <c r="BB9" s="142" t="s">
        <v>162</v>
      </c>
      <c r="BC9" s="142" t="s">
        <v>162</v>
      </c>
      <c r="BD9" s="142" t="s">
        <v>163</v>
      </c>
      <c r="BE9" s="142" t="s">
        <v>158</v>
      </c>
      <c r="BF9" s="142" t="s">
        <v>158</v>
      </c>
      <c r="BG9" s="142" t="s">
        <v>158</v>
      </c>
      <c r="BH9" s="142" t="s">
        <v>158</v>
      </c>
      <c r="BI9" s="142" t="s">
        <v>158</v>
      </c>
      <c r="BJ9" s="142" t="s">
        <v>158</v>
      </c>
      <c r="BK9" s="142" t="s">
        <v>159</v>
      </c>
      <c r="BL9" s="142" t="s">
        <v>159</v>
      </c>
      <c r="BM9" s="142" t="s">
        <v>159</v>
      </c>
      <c r="BN9" s="142" t="s">
        <v>160</v>
      </c>
      <c r="BO9" s="142" t="s">
        <v>164</v>
      </c>
      <c r="BP9" s="142" t="s">
        <v>160</v>
      </c>
      <c r="BQ9" s="327"/>
      <c r="BR9" s="142">
        <v>0.75</v>
      </c>
      <c r="BS9" s="142">
        <v>0.7</v>
      </c>
      <c r="BT9" s="142">
        <v>1.1000000000000001</v>
      </c>
      <c r="BU9" s="142"/>
      <c r="BV9" s="142"/>
      <c r="BW9" s="142"/>
      <c r="BX9" s="142"/>
      <c r="BY9" s="142"/>
      <c r="BZ9" s="142"/>
      <c r="CA9" s="142"/>
      <c r="CB9" s="142"/>
      <c r="CC9" s="142"/>
      <c r="CD9" s="142">
        <v>0.25</v>
      </c>
      <c r="CE9" s="142">
        <v>0.25</v>
      </c>
      <c r="CF9" s="142">
        <v>0.25</v>
      </c>
      <c r="CG9" s="142"/>
      <c r="CH9" s="142"/>
      <c r="CI9" s="142"/>
      <c r="CJ9" s="142"/>
      <c r="CK9" s="142"/>
      <c r="CL9" s="142"/>
      <c r="CM9" s="142">
        <v>0.25</v>
      </c>
      <c r="CN9" s="142">
        <v>0.25</v>
      </c>
      <c r="CO9" s="142">
        <v>0.25</v>
      </c>
      <c r="CP9" s="142">
        <v>1.98</v>
      </c>
      <c r="CQ9" s="142">
        <v>1.98</v>
      </c>
      <c r="CR9" s="142">
        <v>1.98</v>
      </c>
      <c r="CS9" s="142">
        <v>1.98</v>
      </c>
      <c r="CT9" s="142">
        <v>1.98</v>
      </c>
      <c r="CU9" s="142">
        <v>1.98</v>
      </c>
      <c r="CV9" s="142">
        <v>0.36</v>
      </c>
      <c r="CW9" s="142">
        <v>0.19</v>
      </c>
      <c r="CX9" s="142">
        <v>0.39</v>
      </c>
      <c r="CY9" s="142">
        <v>0.34</v>
      </c>
      <c r="CZ9" s="142">
        <v>0.36</v>
      </c>
      <c r="DA9" s="143">
        <v>0.19</v>
      </c>
      <c r="DI9" s="1016" t="s">
        <v>2737</v>
      </c>
      <c r="DJ9" s="1016" t="s">
        <v>2748</v>
      </c>
      <c r="DK9" s="1016" t="s">
        <v>2749</v>
      </c>
      <c r="DL9" s="1016" t="s">
        <v>2753</v>
      </c>
    </row>
    <row r="10" spans="1:116" s="129" customFormat="1" ht="57" x14ac:dyDescent="0.25">
      <c r="A10" s="147" t="s">
        <v>796</v>
      </c>
      <c r="B10" s="151" t="s">
        <v>710</v>
      </c>
      <c r="C10" s="132" t="s">
        <v>710</v>
      </c>
      <c r="D10" s="132" t="s">
        <v>711</v>
      </c>
      <c r="E10" s="132" t="s">
        <v>714</v>
      </c>
      <c r="F10" s="132" t="s">
        <v>731</v>
      </c>
      <c r="G10" s="132" t="s">
        <v>714</v>
      </c>
      <c r="H10" s="132" t="s">
        <v>716</v>
      </c>
      <c r="I10" s="132" t="s">
        <v>716</v>
      </c>
      <c r="J10" s="132" t="s">
        <v>716</v>
      </c>
      <c r="K10" s="132" t="s">
        <v>732</v>
      </c>
      <c r="L10" s="132" t="s">
        <v>732</v>
      </c>
      <c r="M10" s="132" t="s">
        <v>733</v>
      </c>
      <c r="N10" s="132" t="s">
        <v>718</v>
      </c>
      <c r="O10" s="132" t="s">
        <v>718</v>
      </c>
      <c r="P10" s="132" t="s">
        <v>718</v>
      </c>
      <c r="Q10" s="132" t="s">
        <v>719</v>
      </c>
      <c r="R10" s="132" t="s">
        <v>719</v>
      </c>
      <c r="S10" s="132" t="s">
        <v>719</v>
      </c>
      <c r="T10" s="132" t="s">
        <v>720</v>
      </c>
      <c r="U10" s="132" t="s">
        <v>734</v>
      </c>
      <c r="V10" s="132" t="s">
        <v>720</v>
      </c>
      <c r="W10" s="327"/>
      <c r="X10" s="132" t="s">
        <v>722</v>
      </c>
      <c r="Y10" s="132" t="s">
        <v>722</v>
      </c>
      <c r="Z10" s="132" t="s">
        <v>723</v>
      </c>
      <c r="AA10" s="132" t="s">
        <v>722</v>
      </c>
      <c r="AB10" s="132" t="s">
        <v>722</v>
      </c>
      <c r="AC10" s="132" t="s">
        <v>723</v>
      </c>
      <c r="AD10" s="132" t="s">
        <v>722</v>
      </c>
      <c r="AE10" s="132" t="s">
        <v>722</v>
      </c>
      <c r="AF10" s="132" t="s">
        <v>723</v>
      </c>
      <c r="AG10" s="132" t="s">
        <v>724</v>
      </c>
      <c r="AH10" s="132" t="s">
        <v>735</v>
      </c>
      <c r="AI10" s="132" t="s">
        <v>724</v>
      </c>
      <c r="AJ10" s="132" t="s">
        <v>724</v>
      </c>
      <c r="AK10" s="132" t="s">
        <v>735</v>
      </c>
      <c r="AL10" s="132" t="s">
        <v>724</v>
      </c>
      <c r="AM10" s="132" t="s">
        <v>724</v>
      </c>
      <c r="AN10" s="132" t="s">
        <v>735</v>
      </c>
      <c r="AO10" s="132" t="s">
        <v>724</v>
      </c>
      <c r="AP10" s="132" t="s">
        <v>724</v>
      </c>
      <c r="AQ10" s="132" t="s">
        <v>735</v>
      </c>
      <c r="AR10" s="132" t="s">
        <v>724</v>
      </c>
      <c r="AS10" s="132" t="s">
        <v>726</v>
      </c>
      <c r="AT10" s="132" t="s">
        <v>726</v>
      </c>
      <c r="AU10" s="132" t="s">
        <v>726</v>
      </c>
      <c r="AV10" s="132" t="s">
        <v>736</v>
      </c>
      <c r="AW10" s="132" t="s">
        <v>736</v>
      </c>
      <c r="AX10" s="132" t="s">
        <v>737</v>
      </c>
      <c r="AY10" s="132" t="s">
        <v>736</v>
      </c>
      <c r="AZ10" s="132" t="s">
        <v>736</v>
      </c>
      <c r="BA10" s="132" t="s">
        <v>737</v>
      </c>
      <c r="BB10" s="132" t="s">
        <v>736</v>
      </c>
      <c r="BC10" s="132" t="s">
        <v>736</v>
      </c>
      <c r="BD10" s="132" t="s">
        <v>737</v>
      </c>
      <c r="BE10" s="132" t="s">
        <v>728</v>
      </c>
      <c r="BF10" s="132" t="s">
        <v>728</v>
      </c>
      <c r="BG10" s="132" t="s">
        <v>728</v>
      </c>
      <c r="BH10" s="132" t="s">
        <v>728</v>
      </c>
      <c r="BI10" s="132" t="s">
        <v>728</v>
      </c>
      <c r="BJ10" s="132" t="s">
        <v>728</v>
      </c>
      <c r="BK10" s="132" t="s">
        <v>729</v>
      </c>
      <c r="BL10" s="132" t="s">
        <v>729</v>
      </c>
      <c r="BM10" s="132" t="s">
        <v>729</v>
      </c>
      <c r="BN10" s="132" t="s">
        <v>730</v>
      </c>
      <c r="BO10" s="132" t="s">
        <v>738</v>
      </c>
      <c r="BP10" s="132" t="s">
        <v>730</v>
      </c>
      <c r="BQ10" s="327"/>
      <c r="BR10" s="132">
        <v>4.26</v>
      </c>
      <c r="BS10" s="132">
        <v>3.97</v>
      </c>
      <c r="BT10" s="132">
        <v>6.25</v>
      </c>
      <c r="BU10" s="132"/>
      <c r="BV10" s="132"/>
      <c r="BW10" s="132"/>
      <c r="BX10" s="132"/>
      <c r="BY10" s="132"/>
      <c r="BZ10" s="132"/>
      <c r="CA10" s="132"/>
      <c r="CB10" s="132"/>
      <c r="CC10" s="132"/>
      <c r="CD10" s="132">
        <v>0.25</v>
      </c>
      <c r="CE10" s="132">
        <v>0.25</v>
      </c>
      <c r="CF10" s="132">
        <v>0.25</v>
      </c>
      <c r="CG10" s="132"/>
      <c r="CH10" s="132"/>
      <c r="CI10" s="132"/>
      <c r="CJ10" s="132"/>
      <c r="CK10" s="132"/>
      <c r="CL10" s="132"/>
      <c r="CM10" s="132">
        <v>0.25</v>
      </c>
      <c r="CN10" s="132">
        <v>0.25</v>
      </c>
      <c r="CO10" s="132">
        <v>0.25</v>
      </c>
      <c r="CP10" s="132">
        <v>11.24</v>
      </c>
      <c r="CQ10" s="132">
        <v>11.24</v>
      </c>
      <c r="CR10" s="132">
        <v>11.24</v>
      </c>
      <c r="CS10" s="132">
        <v>11.24</v>
      </c>
      <c r="CT10" s="132">
        <v>11.24</v>
      </c>
      <c r="CU10" s="132">
        <v>11.24</v>
      </c>
      <c r="CV10" s="132">
        <v>0.36</v>
      </c>
      <c r="CW10" s="132">
        <v>0.19</v>
      </c>
      <c r="CX10" s="132">
        <v>0.39</v>
      </c>
      <c r="CY10" s="132">
        <v>0.34</v>
      </c>
      <c r="CZ10" s="132">
        <v>0.36</v>
      </c>
      <c r="DA10" s="141">
        <v>0.19</v>
      </c>
      <c r="DI10" s="1016" t="s">
        <v>2741</v>
      </c>
      <c r="DJ10" s="1016" t="s">
        <v>2754</v>
      </c>
      <c r="DK10" s="1016" t="s">
        <v>2754</v>
      </c>
      <c r="DL10" s="1016" t="s">
        <v>2755</v>
      </c>
    </row>
    <row r="11" spans="1:116" s="129" customFormat="1" ht="45.6" x14ac:dyDescent="0.25">
      <c r="A11" s="148" t="s">
        <v>768</v>
      </c>
      <c r="B11" s="152" t="s">
        <v>191</v>
      </c>
      <c r="C11" s="142" t="s">
        <v>191</v>
      </c>
      <c r="D11" s="142" t="s">
        <v>193</v>
      </c>
      <c r="E11" s="142" t="s">
        <v>199</v>
      </c>
      <c r="F11" s="142" t="s">
        <v>198</v>
      </c>
      <c r="G11" s="142" t="s">
        <v>196</v>
      </c>
      <c r="H11" s="142" t="s">
        <v>202</v>
      </c>
      <c r="I11" s="142" t="s">
        <v>202</v>
      </c>
      <c r="J11" s="142" t="s">
        <v>202</v>
      </c>
      <c r="K11" s="142" t="s">
        <v>180</v>
      </c>
      <c r="L11" s="142" t="s">
        <v>180</v>
      </c>
      <c r="M11" s="142" t="s">
        <v>181</v>
      </c>
      <c r="N11" s="142" t="s">
        <v>184</v>
      </c>
      <c r="O11" s="142" t="s">
        <v>184</v>
      </c>
      <c r="P11" s="142" t="s">
        <v>184</v>
      </c>
      <c r="Q11" s="142" t="s">
        <v>187</v>
      </c>
      <c r="R11" s="142" t="s">
        <v>187</v>
      </c>
      <c r="S11" s="142" t="s">
        <v>187</v>
      </c>
      <c r="T11" s="142" t="s">
        <v>188</v>
      </c>
      <c r="U11" s="142" t="s">
        <v>189</v>
      </c>
      <c r="V11" s="142" t="s">
        <v>188</v>
      </c>
      <c r="W11" s="327"/>
      <c r="X11" s="142" t="s">
        <v>153</v>
      </c>
      <c r="Y11" s="142" t="s">
        <v>153</v>
      </c>
      <c r="Z11" s="142" t="s">
        <v>165</v>
      </c>
      <c r="AA11" s="142" t="s">
        <v>153</v>
      </c>
      <c r="AB11" s="142" t="s">
        <v>153</v>
      </c>
      <c r="AC11" s="142" t="s">
        <v>165</v>
      </c>
      <c r="AD11" s="142" t="s">
        <v>153</v>
      </c>
      <c r="AE11" s="142" t="s">
        <v>153</v>
      </c>
      <c r="AF11" s="142" t="s">
        <v>165</v>
      </c>
      <c r="AG11" s="142" t="s">
        <v>166</v>
      </c>
      <c r="AH11" s="142" t="s">
        <v>161</v>
      </c>
      <c r="AI11" s="142" t="s">
        <v>155</v>
      </c>
      <c r="AJ11" s="142" t="s">
        <v>166</v>
      </c>
      <c r="AK11" s="142" t="s">
        <v>161</v>
      </c>
      <c r="AL11" s="142" t="s">
        <v>155</v>
      </c>
      <c r="AM11" s="142" t="s">
        <v>166</v>
      </c>
      <c r="AN11" s="142" t="s">
        <v>161</v>
      </c>
      <c r="AO11" s="142" t="s">
        <v>155</v>
      </c>
      <c r="AP11" s="142" t="s">
        <v>166</v>
      </c>
      <c r="AQ11" s="142" t="s">
        <v>161</v>
      </c>
      <c r="AR11" s="142" t="s">
        <v>155</v>
      </c>
      <c r="AS11" s="142" t="s">
        <v>167</v>
      </c>
      <c r="AT11" s="142" t="s">
        <v>167</v>
      </c>
      <c r="AU11" s="142" t="s">
        <v>167</v>
      </c>
      <c r="AV11" s="142" t="s">
        <v>162</v>
      </c>
      <c r="AW11" s="142" t="s">
        <v>162</v>
      </c>
      <c r="AX11" s="142" t="s">
        <v>163</v>
      </c>
      <c r="AY11" s="142" t="s">
        <v>162</v>
      </c>
      <c r="AZ11" s="142" t="s">
        <v>162</v>
      </c>
      <c r="BA11" s="142" t="s">
        <v>163</v>
      </c>
      <c r="BB11" s="142" t="s">
        <v>162</v>
      </c>
      <c r="BC11" s="142" t="s">
        <v>162</v>
      </c>
      <c r="BD11" s="142" t="s">
        <v>163</v>
      </c>
      <c r="BE11" s="142" t="s">
        <v>158</v>
      </c>
      <c r="BF11" s="142" t="s">
        <v>158</v>
      </c>
      <c r="BG11" s="142" t="s">
        <v>158</v>
      </c>
      <c r="BH11" s="142" t="s">
        <v>158</v>
      </c>
      <c r="BI11" s="142" t="s">
        <v>158</v>
      </c>
      <c r="BJ11" s="142" t="s">
        <v>158</v>
      </c>
      <c r="BK11" s="142" t="s">
        <v>159</v>
      </c>
      <c r="BL11" s="142" t="s">
        <v>159</v>
      </c>
      <c r="BM11" s="142" t="s">
        <v>159</v>
      </c>
      <c r="BN11" s="142" t="s">
        <v>160</v>
      </c>
      <c r="BO11" s="142" t="s">
        <v>164</v>
      </c>
      <c r="BP11" s="142" t="s">
        <v>160</v>
      </c>
      <c r="BQ11" s="327"/>
      <c r="BR11" s="142">
        <v>0.65</v>
      </c>
      <c r="BS11" s="142">
        <v>0.6</v>
      </c>
      <c r="BT11" s="142">
        <v>0.9</v>
      </c>
      <c r="BU11" s="142"/>
      <c r="BV11" s="142"/>
      <c r="BW11" s="142"/>
      <c r="BX11" s="142"/>
      <c r="BY11" s="142"/>
      <c r="BZ11" s="142"/>
      <c r="CA11" s="142"/>
      <c r="CB11" s="142"/>
      <c r="CC11" s="142"/>
      <c r="CD11" s="142">
        <v>0.25</v>
      </c>
      <c r="CE11" s="142">
        <v>0.25</v>
      </c>
      <c r="CF11" s="142">
        <v>0.25</v>
      </c>
      <c r="CG11" s="142"/>
      <c r="CH11" s="142"/>
      <c r="CI11" s="142"/>
      <c r="CJ11" s="142"/>
      <c r="CK11" s="142"/>
      <c r="CL11" s="142"/>
      <c r="CM11" s="142">
        <v>0.25</v>
      </c>
      <c r="CN11" s="142">
        <v>0.25</v>
      </c>
      <c r="CO11" s="142">
        <v>0.25</v>
      </c>
      <c r="CP11" s="142">
        <v>1.17</v>
      </c>
      <c r="CQ11" s="142">
        <v>1.17</v>
      </c>
      <c r="CR11" s="142">
        <v>1.17</v>
      </c>
      <c r="CS11" s="142">
        <v>1.17</v>
      </c>
      <c r="CT11" s="142">
        <v>1.17</v>
      </c>
      <c r="CU11" s="142">
        <v>1.17</v>
      </c>
      <c r="CV11" s="142">
        <v>0.39</v>
      </c>
      <c r="CW11" s="142">
        <v>0.19</v>
      </c>
      <c r="CX11" s="142">
        <v>0.65</v>
      </c>
      <c r="CY11" s="142">
        <v>0.34</v>
      </c>
      <c r="CZ11" s="142">
        <v>0.39</v>
      </c>
      <c r="DA11" s="143">
        <v>0.19</v>
      </c>
      <c r="DI11" s="1016" t="s">
        <v>2742</v>
      </c>
      <c r="DJ11" s="1016" t="s">
        <v>2745</v>
      </c>
      <c r="DK11" s="1016" t="s">
        <v>2745</v>
      </c>
      <c r="DL11" s="1016" t="s">
        <v>2756</v>
      </c>
    </row>
    <row r="12" spans="1:116" s="129" customFormat="1" ht="57" x14ac:dyDescent="0.25">
      <c r="A12" s="147" t="s">
        <v>795</v>
      </c>
      <c r="B12" s="151" t="s">
        <v>710</v>
      </c>
      <c r="C12" s="132" t="s">
        <v>710</v>
      </c>
      <c r="D12" s="132" t="s">
        <v>739</v>
      </c>
      <c r="E12" s="132" t="s">
        <v>740</v>
      </c>
      <c r="F12" s="132" t="s">
        <v>731</v>
      </c>
      <c r="G12" s="132" t="s">
        <v>714</v>
      </c>
      <c r="H12" s="132" t="s">
        <v>716</v>
      </c>
      <c r="I12" s="132" t="s">
        <v>716</v>
      </c>
      <c r="J12" s="132" t="s">
        <v>716</v>
      </c>
      <c r="K12" s="132" t="s">
        <v>732</v>
      </c>
      <c r="L12" s="132" t="s">
        <v>732</v>
      </c>
      <c r="M12" s="132" t="s">
        <v>733</v>
      </c>
      <c r="N12" s="132" t="s">
        <v>718</v>
      </c>
      <c r="O12" s="132" t="s">
        <v>718</v>
      </c>
      <c r="P12" s="132" t="s">
        <v>718</v>
      </c>
      <c r="Q12" s="132" t="s">
        <v>719</v>
      </c>
      <c r="R12" s="132" t="s">
        <v>719</v>
      </c>
      <c r="S12" s="132" t="s">
        <v>719</v>
      </c>
      <c r="T12" s="132" t="s">
        <v>720</v>
      </c>
      <c r="U12" s="132" t="s">
        <v>734</v>
      </c>
      <c r="V12" s="132" t="s">
        <v>720</v>
      </c>
      <c r="W12" s="327"/>
      <c r="X12" s="132" t="s">
        <v>722</v>
      </c>
      <c r="Y12" s="132" t="s">
        <v>722</v>
      </c>
      <c r="Z12" s="132" t="s">
        <v>741</v>
      </c>
      <c r="AA12" s="132" t="s">
        <v>722</v>
      </c>
      <c r="AB12" s="132" t="s">
        <v>722</v>
      </c>
      <c r="AC12" s="132" t="s">
        <v>741</v>
      </c>
      <c r="AD12" s="132" t="s">
        <v>722</v>
      </c>
      <c r="AE12" s="132" t="s">
        <v>722</v>
      </c>
      <c r="AF12" s="132" t="s">
        <v>741</v>
      </c>
      <c r="AG12" s="132" t="s">
        <v>742</v>
      </c>
      <c r="AH12" s="132" t="s">
        <v>735</v>
      </c>
      <c r="AI12" s="132" t="s">
        <v>724</v>
      </c>
      <c r="AJ12" s="132" t="s">
        <v>742</v>
      </c>
      <c r="AK12" s="132" t="s">
        <v>735</v>
      </c>
      <c r="AL12" s="132" t="s">
        <v>724</v>
      </c>
      <c r="AM12" s="132" t="s">
        <v>742</v>
      </c>
      <c r="AN12" s="132" t="s">
        <v>735</v>
      </c>
      <c r="AO12" s="132" t="s">
        <v>724</v>
      </c>
      <c r="AP12" s="132" t="s">
        <v>742</v>
      </c>
      <c r="AQ12" s="132" t="s">
        <v>735</v>
      </c>
      <c r="AR12" s="132" t="s">
        <v>724</v>
      </c>
      <c r="AS12" s="132" t="s">
        <v>726</v>
      </c>
      <c r="AT12" s="132" t="s">
        <v>726</v>
      </c>
      <c r="AU12" s="132" t="s">
        <v>726</v>
      </c>
      <c r="AV12" s="132" t="s">
        <v>736</v>
      </c>
      <c r="AW12" s="132" t="s">
        <v>736</v>
      </c>
      <c r="AX12" s="132" t="s">
        <v>737</v>
      </c>
      <c r="AY12" s="132" t="s">
        <v>736</v>
      </c>
      <c r="AZ12" s="132" t="s">
        <v>736</v>
      </c>
      <c r="BA12" s="132" t="s">
        <v>737</v>
      </c>
      <c r="BB12" s="132" t="s">
        <v>736</v>
      </c>
      <c r="BC12" s="132" t="s">
        <v>736</v>
      </c>
      <c r="BD12" s="132" t="s">
        <v>737</v>
      </c>
      <c r="BE12" s="132" t="s">
        <v>728</v>
      </c>
      <c r="BF12" s="132" t="s">
        <v>728</v>
      </c>
      <c r="BG12" s="132" t="s">
        <v>728</v>
      </c>
      <c r="BH12" s="132" t="s">
        <v>728</v>
      </c>
      <c r="BI12" s="132" t="s">
        <v>728</v>
      </c>
      <c r="BJ12" s="132" t="s">
        <v>728</v>
      </c>
      <c r="BK12" s="132" t="s">
        <v>729</v>
      </c>
      <c r="BL12" s="132" t="s">
        <v>729</v>
      </c>
      <c r="BM12" s="132" t="s">
        <v>729</v>
      </c>
      <c r="BN12" s="132" t="s">
        <v>730</v>
      </c>
      <c r="BO12" s="132" t="s">
        <v>738</v>
      </c>
      <c r="BP12" s="132" t="s">
        <v>730</v>
      </c>
      <c r="BQ12" s="327"/>
      <c r="BR12" s="132">
        <v>3.69</v>
      </c>
      <c r="BS12" s="132">
        <v>3.41</v>
      </c>
      <c r="BT12" s="132">
        <v>5.1100000000000003</v>
      </c>
      <c r="BU12" s="132"/>
      <c r="BV12" s="132"/>
      <c r="BW12" s="132"/>
      <c r="BX12" s="132"/>
      <c r="BY12" s="132"/>
      <c r="BZ12" s="132"/>
      <c r="CA12" s="132"/>
      <c r="CB12" s="132"/>
      <c r="CC12" s="132"/>
      <c r="CD12" s="132">
        <v>0.25</v>
      </c>
      <c r="CE12" s="132">
        <v>0.25</v>
      </c>
      <c r="CF12" s="132">
        <v>0.25</v>
      </c>
      <c r="CG12" s="132"/>
      <c r="CH12" s="132"/>
      <c r="CI12" s="132"/>
      <c r="CJ12" s="132"/>
      <c r="CK12" s="132"/>
      <c r="CL12" s="132"/>
      <c r="CM12" s="132">
        <v>0.25</v>
      </c>
      <c r="CN12" s="132">
        <v>0.25</v>
      </c>
      <c r="CO12" s="132">
        <v>0.25</v>
      </c>
      <c r="CP12" s="132">
        <v>6.64</v>
      </c>
      <c r="CQ12" s="132">
        <v>6.64</v>
      </c>
      <c r="CR12" s="132">
        <v>6.64</v>
      </c>
      <c r="CS12" s="132">
        <v>6.64</v>
      </c>
      <c r="CT12" s="132">
        <v>6.64</v>
      </c>
      <c r="CU12" s="132">
        <v>6.64</v>
      </c>
      <c r="CV12" s="132">
        <v>0.39</v>
      </c>
      <c r="CW12" s="132">
        <v>0.19</v>
      </c>
      <c r="CX12" s="132">
        <v>0.65</v>
      </c>
      <c r="CY12" s="132">
        <v>0.34</v>
      </c>
      <c r="CZ12" s="132">
        <v>0.39</v>
      </c>
      <c r="DA12" s="141">
        <v>0.19</v>
      </c>
      <c r="DI12" s="1016" t="s">
        <v>2743</v>
      </c>
      <c r="DJ12" s="1016" t="s">
        <v>2746</v>
      </c>
      <c r="DK12" s="1016" t="s">
        <v>2746</v>
      </c>
      <c r="DL12" s="1016" t="s">
        <v>2757</v>
      </c>
    </row>
    <row r="13" spans="1:116" s="129" customFormat="1" ht="45.6" x14ac:dyDescent="0.25">
      <c r="A13" s="148" t="s">
        <v>769</v>
      </c>
      <c r="B13" s="152" t="s">
        <v>191</v>
      </c>
      <c r="C13" s="142" t="s">
        <v>191</v>
      </c>
      <c r="D13" s="142" t="s">
        <v>193</v>
      </c>
      <c r="E13" s="142" t="s">
        <v>199</v>
      </c>
      <c r="F13" s="142" t="s">
        <v>198</v>
      </c>
      <c r="G13" s="142" t="s">
        <v>196</v>
      </c>
      <c r="H13" s="142" t="s">
        <v>202</v>
      </c>
      <c r="I13" s="142" t="s">
        <v>202</v>
      </c>
      <c r="J13" s="142" t="s">
        <v>202</v>
      </c>
      <c r="K13" s="142" t="s">
        <v>180</v>
      </c>
      <c r="L13" s="142" t="s">
        <v>180</v>
      </c>
      <c r="M13" s="142" t="s">
        <v>181</v>
      </c>
      <c r="N13" s="142" t="s">
        <v>184</v>
      </c>
      <c r="O13" s="142" t="s">
        <v>184</v>
      </c>
      <c r="P13" s="142" t="s">
        <v>184</v>
      </c>
      <c r="Q13" s="142" t="s">
        <v>187</v>
      </c>
      <c r="R13" s="142" t="s">
        <v>187</v>
      </c>
      <c r="S13" s="142" t="s">
        <v>187</v>
      </c>
      <c r="T13" s="142" t="s">
        <v>188</v>
      </c>
      <c r="U13" s="142" t="s">
        <v>189</v>
      </c>
      <c r="V13" s="142" t="s">
        <v>188</v>
      </c>
      <c r="W13" s="327"/>
      <c r="X13" s="142" t="s">
        <v>153</v>
      </c>
      <c r="Y13" s="142" t="s">
        <v>153</v>
      </c>
      <c r="Z13" s="142" t="s">
        <v>165</v>
      </c>
      <c r="AA13" s="142" t="s">
        <v>153</v>
      </c>
      <c r="AB13" s="142" t="s">
        <v>153</v>
      </c>
      <c r="AC13" s="142" t="s">
        <v>165</v>
      </c>
      <c r="AD13" s="142" t="s">
        <v>153</v>
      </c>
      <c r="AE13" s="142" t="s">
        <v>153</v>
      </c>
      <c r="AF13" s="142" t="s">
        <v>165</v>
      </c>
      <c r="AG13" s="142" t="s">
        <v>166</v>
      </c>
      <c r="AH13" s="142" t="s">
        <v>161</v>
      </c>
      <c r="AI13" s="142" t="s">
        <v>155</v>
      </c>
      <c r="AJ13" s="142" t="s">
        <v>166</v>
      </c>
      <c r="AK13" s="142" t="s">
        <v>161</v>
      </c>
      <c r="AL13" s="142" t="s">
        <v>155</v>
      </c>
      <c r="AM13" s="142" t="s">
        <v>166</v>
      </c>
      <c r="AN13" s="142" t="s">
        <v>161</v>
      </c>
      <c r="AO13" s="142" t="s">
        <v>155</v>
      </c>
      <c r="AP13" s="142" t="s">
        <v>166</v>
      </c>
      <c r="AQ13" s="142" t="s">
        <v>161</v>
      </c>
      <c r="AR13" s="142" t="s">
        <v>155</v>
      </c>
      <c r="AS13" s="142" t="s">
        <v>167</v>
      </c>
      <c r="AT13" s="142" t="s">
        <v>167</v>
      </c>
      <c r="AU13" s="142" t="s">
        <v>167</v>
      </c>
      <c r="AV13" s="142" t="s">
        <v>162</v>
      </c>
      <c r="AW13" s="142" t="s">
        <v>162</v>
      </c>
      <c r="AX13" s="142" t="s">
        <v>163</v>
      </c>
      <c r="AY13" s="142" t="s">
        <v>162</v>
      </c>
      <c r="AZ13" s="142" t="s">
        <v>162</v>
      </c>
      <c r="BA13" s="142" t="s">
        <v>163</v>
      </c>
      <c r="BB13" s="142" t="s">
        <v>162</v>
      </c>
      <c r="BC13" s="142" t="s">
        <v>162</v>
      </c>
      <c r="BD13" s="142" t="s">
        <v>163</v>
      </c>
      <c r="BE13" s="142" t="s">
        <v>158</v>
      </c>
      <c r="BF13" s="142" t="s">
        <v>158</v>
      </c>
      <c r="BG13" s="142" t="s">
        <v>158</v>
      </c>
      <c r="BH13" s="142" t="s">
        <v>158</v>
      </c>
      <c r="BI13" s="142" t="s">
        <v>158</v>
      </c>
      <c r="BJ13" s="142" t="s">
        <v>158</v>
      </c>
      <c r="BK13" s="142" t="s">
        <v>159</v>
      </c>
      <c r="BL13" s="142" t="s">
        <v>159</v>
      </c>
      <c r="BM13" s="142" t="s">
        <v>159</v>
      </c>
      <c r="BN13" s="142" t="s">
        <v>160</v>
      </c>
      <c r="BO13" s="142" t="s">
        <v>164</v>
      </c>
      <c r="BP13" s="142" t="s">
        <v>160</v>
      </c>
      <c r="BQ13" s="327"/>
      <c r="BR13" s="142">
        <v>0.65</v>
      </c>
      <c r="BS13" s="142">
        <v>0.6</v>
      </c>
      <c r="BT13" s="142">
        <v>0.9</v>
      </c>
      <c r="BU13" s="142"/>
      <c r="BV13" s="142"/>
      <c r="BW13" s="142"/>
      <c r="BX13" s="142"/>
      <c r="BY13" s="142"/>
      <c r="BZ13" s="142"/>
      <c r="CA13" s="142"/>
      <c r="CB13" s="142"/>
      <c r="CC13" s="142"/>
      <c r="CD13" s="142">
        <v>0.25</v>
      </c>
      <c r="CE13" s="142">
        <v>0.25</v>
      </c>
      <c r="CF13" s="142">
        <v>0.25</v>
      </c>
      <c r="CG13" s="142"/>
      <c r="CH13" s="142"/>
      <c r="CI13" s="142"/>
      <c r="CJ13" s="142"/>
      <c r="CK13" s="142"/>
      <c r="CL13" s="142"/>
      <c r="CM13" s="142">
        <v>0.25</v>
      </c>
      <c r="CN13" s="142">
        <v>0.25</v>
      </c>
      <c r="CO13" s="142">
        <v>0.25</v>
      </c>
      <c r="CP13" s="142">
        <v>1.17</v>
      </c>
      <c r="CQ13" s="142">
        <v>1.17</v>
      </c>
      <c r="CR13" s="142">
        <v>1.17</v>
      </c>
      <c r="CS13" s="142">
        <v>1.17</v>
      </c>
      <c r="CT13" s="142">
        <v>1.17</v>
      </c>
      <c r="CU13" s="142">
        <v>1.17</v>
      </c>
      <c r="CV13" s="142">
        <v>0.39</v>
      </c>
      <c r="CW13" s="142">
        <v>0.19</v>
      </c>
      <c r="CX13" s="142">
        <v>0.65</v>
      </c>
      <c r="CY13" s="142">
        <v>0.34</v>
      </c>
      <c r="CZ13" s="142">
        <v>0.39</v>
      </c>
      <c r="DA13" s="143">
        <v>0.19</v>
      </c>
      <c r="DI13" s="1016" t="s">
        <v>2744</v>
      </c>
      <c r="DJ13" s="1016" t="s">
        <v>2748</v>
      </c>
      <c r="DK13" s="1016" t="s">
        <v>2749</v>
      </c>
      <c r="DL13" s="1016" t="s">
        <v>2753</v>
      </c>
    </row>
    <row r="14" spans="1:116" s="129" customFormat="1" ht="57" x14ac:dyDescent="0.25">
      <c r="A14" s="147" t="s">
        <v>794</v>
      </c>
      <c r="B14" s="151" t="s">
        <v>710</v>
      </c>
      <c r="C14" s="132" t="s">
        <v>710</v>
      </c>
      <c r="D14" s="132" t="s">
        <v>739</v>
      </c>
      <c r="E14" s="132" t="s">
        <v>740</v>
      </c>
      <c r="F14" s="132" t="s">
        <v>731</v>
      </c>
      <c r="G14" s="132" t="s">
        <v>714</v>
      </c>
      <c r="H14" s="132" t="s">
        <v>716</v>
      </c>
      <c r="I14" s="132" t="s">
        <v>716</v>
      </c>
      <c r="J14" s="132" t="s">
        <v>716</v>
      </c>
      <c r="K14" s="132" t="s">
        <v>732</v>
      </c>
      <c r="L14" s="132" t="s">
        <v>732</v>
      </c>
      <c r="M14" s="132" t="s">
        <v>733</v>
      </c>
      <c r="N14" s="132" t="s">
        <v>718</v>
      </c>
      <c r="O14" s="132" t="s">
        <v>718</v>
      </c>
      <c r="P14" s="132" t="s">
        <v>718</v>
      </c>
      <c r="Q14" s="132" t="s">
        <v>719</v>
      </c>
      <c r="R14" s="132" t="s">
        <v>719</v>
      </c>
      <c r="S14" s="132" t="s">
        <v>719</v>
      </c>
      <c r="T14" s="132" t="s">
        <v>720</v>
      </c>
      <c r="U14" s="132" t="s">
        <v>734</v>
      </c>
      <c r="V14" s="132" t="s">
        <v>720</v>
      </c>
      <c r="W14" s="327"/>
      <c r="X14" s="132" t="s">
        <v>722</v>
      </c>
      <c r="Y14" s="132" t="s">
        <v>722</v>
      </c>
      <c r="Z14" s="132" t="s">
        <v>741</v>
      </c>
      <c r="AA14" s="132" t="s">
        <v>722</v>
      </c>
      <c r="AB14" s="132" t="s">
        <v>722</v>
      </c>
      <c r="AC14" s="132" t="s">
        <v>741</v>
      </c>
      <c r="AD14" s="132" t="s">
        <v>722</v>
      </c>
      <c r="AE14" s="132" t="s">
        <v>722</v>
      </c>
      <c r="AF14" s="132" t="s">
        <v>741</v>
      </c>
      <c r="AG14" s="132" t="s">
        <v>742</v>
      </c>
      <c r="AH14" s="132" t="s">
        <v>735</v>
      </c>
      <c r="AI14" s="132" t="s">
        <v>724</v>
      </c>
      <c r="AJ14" s="132" t="s">
        <v>742</v>
      </c>
      <c r="AK14" s="132" t="s">
        <v>735</v>
      </c>
      <c r="AL14" s="132" t="s">
        <v>724</v>
      </c>
      <c r="AM14" s="132" t="s">
        <v>742</v>
      </c>
      <c r="AN14" s="132" t="s">
        <v>735</v>
      </c>
      <c r="AO14" s="132" t="s">
        <v>724</v>
      </c>
      <c r="AP14" s="132" t="s">
        <v>742</v>
      </c>
      <c r="AQ14" s="132" t="s">
        <v>735</v>
      </c>
      <c r="AR14" s="132" t="s">
        <v>724</v>
      </c>
      <c r="AS14" s="132" t="s">
        <v>726</v>
      </c>
      <c r="AT14" s="132" t="s">
        <v>726</v>
      </c>
      <c r="AU14" s="132" t="s">
        <v>726</v>
      </c>
      <c r="AV14" s="132" t="s">
        <v>736</v>
      </c>
      <c r="AW14" s="132" t="s">
        <v>736</v>
      </c>
      <c r="AX14" s="132" t="s">
        <v>737</v>
      </c>
      <c r="AY14" s="132" t="s">
        <v>736</v>
      </c>
      <c r="AZ14" s="132" t="s">
        <v>736</v>
      </c>
      <c r="BA14" s="132" t="s">
        <v>737</v>
      </c>
      <c r="BB14" s="132" t="s">
        <v>736</v>
      </c>
      <c r="BC14" s="132" t="s">
        <v>736</v>
      </c>
      <c r="BD14" s="132" t="s">
        <v>737</v>
      </c>
      <c r="BE14" s="132" t="s">
        <v>728</v>
      </c>
      <c r="BF14" s="132" t="s">
        <v>728</v>
      </c>
      <c r="BG14" s="132" t="s">
        <v>728</v>
      </c>
      <c r="BH14" s="132" t="s">
        <v>728</v>
      </c>
      <c r="BI14" s="132" t="s">
        <v>728</v>
      </c>
      <c r="BJ14" s="132" t="s">
        <v>728</v>
      </c>
      <c r="BK14" s="132" t="s">
        <v>729</v>
      </c>
      <c r="BL14" s="132" t="s">
        <v>729</v>
      </c>
      <c r="BM14" s="132" t="s">
        <v>729</v>
      </c>
      <c r="BN14" s="132" t="s">
        <v>730</v>
      </c>
      <c r="BO14" s="132" t="s">
        <v>738</v>
      </c>
      <c r="BP14" s="132" t="s">
        <v>730</v>
      </c>
      <c r="BQ14" s="327"/>
      <c r="BR14" s="132">
        <v>3.69</v>
      </c>
      <c r="BS14" s="132">
        <v>3.41</v>
      </c>
      <c r="BT14" s="132">
        <v>5.1100000000000003</v>
      </c>
      <c r="BU14" s="132"/>
      <c r="BV14" s="132"/>
      <c r="BW14" s="132"/>
      <c r="BX14" s="132"/>
      <c r="BY14" s="132"/>
      <c r="BZ14" s="132"/>
      <c r="CA14" s="132"/>
      <c r="CB14" s="132"/>
      <c r="CC14" s="132"/>
      <c r="CD14" s="132">
        <v>0.25</v>
      </c>
      <c r="CE14" s="132">
        <v>0.25</v>
      </c>
      <c r="CF14" s="132">
        <v>0.25</v>
      </c>
      <c r="CG14" s="132"/>
      <c r="CH14" s="132"/>
      <c r="CI14" s="132"/>
      <c r="CJ14" s="132"/>
      <c r="CK14" s="132"/>
      <c r="CL14" s="132"/>
      <c r="CM14" s="132">
        <v>0.25</v>
      </c>
      <c r="CN14" s="132">
        <v>0.25</v>
      </c>
      <c r="CO14" s="132">
        <v>0.25</v>
      </c>
      <c r="CP14" s="132">
        <v>6.64</v>
      </c>
      <c r="CQ14" s="132">
        <v>6.64</v>
      </c>
      <c r="CR14" s="132">
        <v>6.64</v>
      </c>
      <c r="CS14" s="132">
        <v>6.64</v>
      </c>
      <c r="CT14" s="132">
        <v>6.64</v>
      </c>
      <c r="CU14" s="132">
        <v>6.64</v>
      </c>
      <c r="CV14" s="132">
        <v>0.39</v>
      </c>
      <c r="CW14" s="132">
        <v>0.19</v>
      </c>
      <c r="CX14" s="132">
        <v>0.65</v>
      </c>
      <c r="CY14" s="132">
        <v>0.34</v>
      </c>
      <c r="CZ14" s="132">
        <v>0.39</v>
      </c>
      <c r="DA14" s="141">
        <v>0.19</v>
      </c>
      <c r="DH14" s="1176" t="s">
        <v>2238</v>
      </c>
      <c r="DI14" s="1016">
        <v>6</v>
      </c>
      <c r="DJ14" s="1177" t="s">
        <v>2345</v>
      </c>
      <c r="DK14" s="1177" t="s">
        <v>2347</v>
      </c>
      <c r="DL14" s="1177" t="s">
        <v>2349</v>
      </c>
    </row>
    <row r="15" spans="1:116" s="129" customFormat="1" ht="57" x14ac:dyDescent="0.25">
      <c r="A15" s="148" t="s">
        <v>770</v>
      </c>
      <c r="B15" s="152" t="s">
        <v>191</v>
      </c>
      <c r="C15" s="142" t="s">
        <v>191</v>
      </c>
      <c r="D15" s="142" t="s">
        <v>193</v>
      </c>
      <c r="E15" s="142" t="s">
        <v>199</v>
      </c>
      <c r="F15" s="142" t="s">
        <v>198</v>
      </c>
      <c r="G15" s="142" t="s">
        <v>196</v>
      </c>
      <c r="H15" s="142" t="s">
        <v>202</v>
      </c>
      <c r="I15" s="142" t="s">
        <v>202</v>
      </c>
      <c r="J15" s="142" t="s">
        <v>202</v>
      </c>
      <c r="K15" s="142" t="s">
        <v>180</v>
      </c>
      <c r="L15" s="142" t="s">
        <v>180</v>
      </c>
      <c r="M15" s="142" t="s">
        <v>181</v>
      </c>
      <c r="N15" s="142" t="s">
        <v>184</v>
      </c>
      <c r="O15" s="142" t="s">
        <v>184</v>
      </c>
      <c r="P15" s="142" t="s">
        <v>184</v>
      </c>
      <c r="Q15" s="142" t="s">
        <v>187</v>
      </c>
      <c r="R15" s="142" t="s">
        <v>187</v>
      </c>
      <c r="S15" s="142" t="s">
        <v>187</v>
      </c>
      <c r="T15" s="142" t="s">
        <v>188</v>
      </c>
      <c r="U15" s="142" t="s">
        <v>189</v>
      </c>
      <c r="V15" s="142" t="s">
        <v>188</v>
      </c>
      <c r="W15" s="327"/>
      <c r="X15" s="142" t="s">
        <v>153</v>
      </c>
      <c r="Y15" s="142" t="s">
        <v>153</v>
      </c>
      <c r="Z15" s="142" t="s">
        <v>165</v>
      </c>
      <c r="AA15" s="142" t="s">
        <v>153</v>
      </c>
      <c r="AB15" s="142" t="s">
        <v>153</v>
      </c>
      <c r="AC15" s="142" t="s">
        <v>165</v>
      </c>
      <c r="AD15" s="142" t="s">
        <v>153</v>
      </c>
      <c r="AE15" s="142" t="s">
        <v>153</v>
      </c>
      <c r="AF15" s="142" t="s">
        <v>165</v>
      </c>
      <c r="AG15" s="142" t="s">
        <v>166</v>
      </c>
      <c r="AH15" s="142" t="s">
        <v>161</v>
      </c>
      <c r="AI15" s="142" t="s">
        <v>155</v>
      </c>
      <c r="AJ15" s="142" t="s">
        <v>166</v>
      </c>
      <c r="AK15" s="142" t="s">
        <v>161</v>
      </c>
      <c r="AL15" s="142" t="s">
        <v>155</v>
      </c>
      <c r="AM15" s="142" t="s">
        <v>166</v>
      </c>
      <c r="AN15" s="142" t="s">
        <v>161</v>
      </c>
      <c r="AO15" s="142" t="s">
        <v>155</v>
      </c>
      <c r="AP15" s="142" t="s">
        <v>166</v>
      </c>
      <c r="AQ15" s="142" t="s">
        <v>161</v>
      </c>
      <c r="AR15" s="142" t="s">
        <v>155</v>
      </c>
      <c r="AS15" s="142" t="s">
        <v>167</v>
      </c>
      <c r="AT15" s="142" t="s">
        <v>167</v>
      </c>
      <c r="AU15" s="142" t="s">
        <v>167</v>
      </c>
      <c r="AV15" s="142" t="s">
        <v>162</v>
      </c>
      <c r="AW15" s="142" t="s">
        <v>162</v>
      </c>
      <c r="AX15" s="142" t="s">
        <v>163</v>
      </c>
      <c r="AY15" s="142" t="s">
        <v>162</v>
      </c>
      <c r="AZ15" s="142" t="s">
        <v>162</v>
      </c>
      <c r="BA15" s="142" t="s">
        <v>163</v>
      </c>
      <c r="BB15" s="142" t="s">
        <v>162</v>
      </c>
      <c r="BC15" s="142" t="s">
        <v>162</v>
      </c>
      <c r="BD15" s="142" t="s">
        <v>163</v>
      </c>
      <c r="BE15" s="142" t="s">
        <v>158</v>
      </c>
      <c r="BF15" s="142" t="s">
        <v>158</v>
      </c>
      <c r="BG15" s="142" t="s">
        <v>158</v>
      </c>
      <c r="BH15" s="142" t="s">
        <v>158</v>
      </c>
      <c r="BI15" s="142" t="s">
        <v>158</v>
      </c>
      <c r="BJ15" s="142" t="s">
        <v>158</v>
      </c>
      <c r="BK15" s="142" t="s">
        <v>159</v>
      </c>
      <c r="BL15" s="142" t="s">
        <v>159</v>
      </c>
      <c r="BM15" s="142" t="s">
        <v>159</v>
      </c>
      <c r="BN15" s="142" t="s">
        <v>160</v>
      </c>
      <c r="BO15" s="142" t="s">
        <v>164</v>
      </c>
      <c r="BP15" s="142" t="s">
        <v>160</v>
      </c>
      <c r="BQ15" s="327"/>
      <c r="BR15" s="142">
        <v>0.65</v>
      </c>
      <c r="BS15" s="142">
        <v>0.6</v>
      </c>
      <c r="BT15" s="142">
        <v>0.9</v>
      </c>
      <c r="BU15" s="142"/>
      <c r="BV15" s="142"/>
      <c r="BW15" s="142"/>
      <c r="BX15" s="142"/>
      <c r="BY15" s="142"/>
      <c r="BZ15" s="142"/>
      <c r="CA15" s="142"/>
      <c r="CB15" s="142"/>
      <c r="CC15" s="142"/>
      <c r="CD15" s="142">
        <v>0.25</v>
      </c>
      <c r="CE15" s="142">
        <v>0.25</v>
      </c>
      <c r="CF15" s="142">
        <v>0.25</v>
      </c>
      <c r="CG15" s="142"/>
      <c r="CH15" s="142"/>
      <c r="CI15" s="142"/>
      <c r="CJ15" s="142"/>
      <c r="CK15" s="142"/>
      <c r="CL15" s="142"/>
      <c r="CM15" s="142">
        <v>0.25</v>
      </c>
      <c r="CN15" s="142">
        <v>0.25</v>
      </c>
      <c r="CO15" s="142">
        <v>0.25</v>
      </c>
      <c r="CP15" s="142">
        <v>1.17</v>
      </c>
      <c r="CQ15" s="142">
        <v>1.17</v>
      </c>
      <c r="CR15" s="142">
        <v>1.17</v>
      </c>
      <c r="CS15" s="142">
        <v>1.17</v>
      </c>
      <c r="CT15" s="142">
        <v>1.17</v>
      </c>
      <c r="CU15" s="142">
        <v>1.17</v>
      </c>
      <c r="CV15" s="142">
        <v>0.39</v>
      </c>
      <c r="CW15" s="142">
        <v>0.19</v>
      </c>
      <c r="CX15" s="142">
        <v>0.65</v>
      </c>
      <c r="CY15" s="142">
        <v>0.34</v>
      </c>
      <c r="CZ15" s="142">
        <v>0.39</v>
      </c>
      <c r="DA15" s="143">
        <v>0.19</v>
      </c>
      <c r="DH15" s="1176" t="s">
        <v>2238</v>
      </c>
      <c r="DI15" s="1016">
        <v>7</v>
      </c>
      <c r="DJ15" s="1177" t="s">
        <v>2345</v>
      </c>
      <c r="DK15" s="1177" t="s">
        <v>2347</v>
      </c>
      <c r="DL15" s="1177" t="s">
        <v>2349</v>
      </c>
    </row>
    <row r="16" spans="1:116" s="129" customFormat="1" ht="57" x14ac:dyDescent="0.25">
      <c r="A16" s="147" t="s">
        <v>793</v>
      </c>
      <c r="B16" s="151" t="s">
        <v>710</v>
      </c>
      <c r="C16" s="132" t="s">
        <v>710</v>
      </c>
      <c r="D16" s="132" t="s">
        <v>739</v>
      </c>
      <c r="E16" s="132" t="s">
        <v>740</v>
      </c>
      <c r="F16" s="132" t="s">
        <v>731</v>
      </c>
      <c r="G16" s="132" t="s">
        <v>714</v>
      </c>
      <c r="H16" s="132" t="s">
        <v>716</v>
      </c>
      <c r="I16" s="132" t="s">
        <v>716</v>
      </c>
      <c r="J16" s="132" t="s">
        <v>716</v>
      </c>
      <c r="K16" s="132" t="s">
        <v>732</v>
      </c>
      <c r="L16" s="132" t="s">
        <v>732</v>
      </c>
      <c r="M16" s="132" t="s">
        <v>733</v>
      </c>
      <c r="N16" s="132" t="s">
        <v>718</v>
      </c>
      <c r="O16" s="132" t="s">
        <v>718</v>
      </c>
      <c r="P16" s="132" t="s">
        <v>718</v>
      </c>
      <c r="Q16" s="132" t="s">
        <v>719</v>
      </c>
      <c r="R16" s="132" t="s">
        <v>719</v>
      </c>
      <c r="S16" s="132" t="s">
        <v>719</v>
      </c>
      <c r="T16" s="132" t="s">
        <v>720</v>
      </c>
      <c r="U16" s="132" t="s">
        <v>734</v>
      </c>
      <c r="V16" s="132" t="s">
        <v>720</v>
      </c>
      <c r="W16" s="327"/>
      <c r="X16" s="132" t="s">
        <v>722</v>
      </c>
      <c r="Y16" s="132" t="s">
        <v>722</v>
      </c>
      <c r="Z16" s="132" t="s">
        <v>741</v>
      </c>
      <c r="AA16" s="132" t="s">
        <v>722</v>
      </c>
      <c r="AB16" s="132" t="s">
        <v>722</v>
      </c>
      <c r="AC16" s="132" t="s">
        <v>741</v>
      </c>
      <c r="AD16" s="132" t="s">
        <v>722</v>
      </c>
      <c r="AE16" s="132" t="s">
        <v>722</v>
      </c>
      <c r="AF16" s="132" t="s">
        <v>741</v>
      </c>
      <c r="AG16" s="132" t="s">
        <v>742</v>
      </c>
      <c r="AH16" s="132" t="s">
        <v>735</v>
      </c>
      <c r="AI16" s="132" t="s">
        <v>724</v>
      </c>
      <c r="AJ16" s="132" t="s">
        <v>742</v>
      </c>
      <c r="AK16" s="132" t="s">
        <v>735</v>
      </c>
      <c r="AL16" s="132" t="s">
        <v>724</v>
      </c>
      <c r="AM16" s="132" t="s">
        <v>742</v>
      </c>
      <c r="AN16" s="132" t="s">
        <v>735</v>
      </c>
      <c r="AO16" s="132" t="s">
        <v>724</v>
      </c>
      <c r="AP16" s="132" t="s">
        <v>742</v>
      </c>
      <c r="AQ16" s="132" t="s">
        <v>735</v>
      </c>
      <c r="AR16" s="132" t="s">
        <v>724</v>
      </c>
      <c r="AS16" s="132" t="s">
        <v>726</v>
      </c>
      <c r="AT16" s="132" t="s">
        <v>726</v>
      </c>
      <c r="AU16" s="132" t="s">
        <v>726</v>
      </c>
      <c r="AV16" s="132" t="s">
        <v>736</v>
      </c>
      <c r="AW16" s="132" t="s">
        <v>736</v>
      </c>
      <c r="AX16" s="132" t="s">
        <v>737</v>
      </c>
      <c r="AY16" s="132" t="s">
        <v>736</v>
      </c>
      <c r="AZ16" s="132" t="s">
        <v>736</v>
      </c>
      <c r="BA16" s="132" t="s">
        <v>737</v>
      </c>
      <c r="BB16" s="132" t="s">
        <v>736</v>
      </c>
      <c r="BC16" s="132" t="s">
        <v>736</v>
      </c>
      <c r="BD16" s="132" t="s">
        <v>737</v>
      </c>
      <c r="BE16" s="132" t="s">
        <v>728</v>
      </c>
      <c r="BF16" s="132" t="s">
        <v>728</v>
      </c>
      <c r="BG16" s="132" t="s">
        <v>728</v>
      </c>
      <c r="BH16" s="132" t="s">
        <v>728</v>
      </c>
      <c r="BI16" s="132" t="s">
        <v>728</v>
      </c>
      <c r="BJ16" s="132" t="s">
        <v>728</v>
      </c>
      <c r="BK16" s="132" t="s">
        <v>729</v>
      </c>
      <c r="BL16" s="132" t="s">
        <v>729</v>
      </c>
      <c r="BM16" s="132" t="s">
        <v>729</v>
      </c>
      <c r="BN16" s="132" t="s">
        <v>730</v>
      </c>
      <c r="BO16" s="132" t="s">
        <v>738</v>
      </c>
      <c r="BP16" s="132" t="s">
        <v>730</v>
      </c>
      <c r="BQ16" s="327"/>
      <c r="BR16" s="132">
        <v>3.69</v>
      </c>
      <c r="BS16" s="132">
        <v>3.41</v>
      </c>
      <c r="BT16" s="132">
        <v>5.1100000000000003</v>
      </c>
      <c r="BU16" s="132"/>
      <c r="BV16" s="132"/>
      <c r="BW16" s="132"/>
      <c r="BX16" s="132"/>
      <c r="BY16" s="132"/>
      <c r="BZ16" s="132"/>
      <c r="CA16" s="132"/>
      <c r="CB16" s="132"/>
      <c r="CC16" s="132"/>
      <c r="CD16" s="132">
        <v>0.25</v>
      </c>
      <c r="CE16" s="132">
        <v>0.25</v>
      </c>
      <c r="CF16" s="132">
        <v>0.25</v>
      </c>
      <c r="CG16" s="132"/>
      <c r="CH16" s="132"/>
      <c r="CI16" s="132"/>
      <c r="CJ16" s="132"/>
      <c r="CK16" s="132"/>
      <c r="CL16" s="132"/>
      <c r="CM16" s="132">
        <v>0.25</v>
      </c>
      <c r="CN16" s="132">
        <v>0.25</v>
      </c>
      <c r="CO16" s="132">
        <v>0.25</v>
      </c>
      <c r="CP16" s="132">
        <v>6.64</v>
      </c>
      <c r="CQ16" s="132">
        <v>6.64</v>
      </c>
      <c r="CR16" s="132">
        <v>6.64</v>
      </c>
      <c r="CS16" s="132">
        <v>6.64</v>
      </c>
      <c r="CT16" s="132">
        <v>6.64</v>
      </c>
      <c r="CU16" s="132">
        <v>6.64</v>
      </c>
      <c r="CV16" s="132">
        <v>0.39</v>
      </c>
      <c r="CW16" s="132">
        <v>0.19</v>
      </c>
      <c r="CX16" s="132">
        <v>0.65</v>
      </c>
      <c r="CY16" s="132">
        <v>0.34</v>
      </c>
      <c r="CZ16" s="132">
        <v>0.39</v>
      </c>
      <c r="DA16" s="141">
        <v>0.19</v>
      </c>
      <c r="DH16" s="1176" t="s">
        <v>2238</v>
      </c>
      <c r="DI16" s="1016">
        <v>8</v>
      </c>
      <c r="DJ16" s="1177" t="s">
        <v>2345</v>
      </c>
      <c r="DK16" s="1177" t="s">
        <v>2347</v>
      </c>
      <c r="DL16" s="1177" t="s">
        <v>2349</v>
      </c>
    </row>
    <row r="17" spans="1:105" s="1016" customFormat="1" ht="57" x14ac:dyDescent="0.25">
      <c r="A17" s="815" t="s">
        <v>771</v>
      </c>
      <c r="B17" s="816" t="s">
        <v>2169</v>
      </c>
      <c r="C17" s="817" t="s">
        <v>2169</v>
      </c>
      <c r="D17" s="817" t="s">
        <v>2170</v>
      </c>
      <c r="E17" s="817" t="s">
        <v>198</v>
      </c>
      <c r="F17" s="817" t="s">
        <v>198</v>
      </c>
      <c r="G17" s="817" t="s">
        <v>196</v>
      </c>
      <c r="H17" s="817" t="s">
        <v>2171</v>
      </c>
      <c r="I17" s="817" t="s">
        <v>2172</v>
      </c>
      <c r="J17" s="817" t="s">
        <v>202</v>
      </c>
      <c r="K17" s="817" t="s">
        <v>182</v>
      </c>
      <c r="L17" s="817" t="s">
        <v>182</v>
      </c>
      <c r="M17" s="817" t="s">
        <v>180</v>
      </c>
      <c r="N17" s="817" t="s">
        <v>2173</v>
      </c>
      <c r="O17" s="817" t="s">
        <v>185</v>
      </c>
      <c r="P17" s="817" t="s">
        <v>184</v>
      </c>
      <c r="Q17" s="817" t="s">
        <v>189</v>
      </c>
      <c r="R17" s="817" t="s">
        <v>189</v>
      </c>
      <c r="S17" s="817" t="s">
        <v>187</v>
      </c>
      <c r="T17" s="817" t="s">
        <v>189</v>
      </c>
      <c r="U17" s="817" t="s">
        <v>189</v>
      </c>
      <c r="V17" s="817" t="s">
        <v>188</v>
      </c>
      <c r="W17" s="823"/>
      <c r="X17" s="1981">
        <v>4.8000000000000001E-2</v>
      </c>
      <c r="Y17" s="1981">
        <v>4.8000000000000001E-2</v>
      </c>
      <c r="Z17" s="1485">
        <v>0.17299999999999999</v>
      </c>
      <c r="AA17" s="1981">
        <v>5.5E-2</v>
      </c>
      <c r="AB17" s="1981">
        <v>5.5E-2</v>
      </c>
      <c r="AC17" s="1485">
        <v>9.7000000000000003E-2</v>
      </c>
      <c r="AD17" s="1981">
        <v>2.7E-2</v>
      </c>
      <c r="AE17" s="1981">
        <v>2.7E-2</v>
      </c>
      <c r="AF17" s="1485">
        <v>5.2999999999999999E-2</v>
      </c>
      <c r="AG17" s="1485">
        <v>0.104</v>
      </c>
      <c r="AH17" s="1485">
        <v>0.09</v>
      </c>
      <c r="AI17" s="1485">
        <v>0.57999999999999996</v>
      </c>
      <c r="AJ17" s="1485">
        <v>8.4000000000000005E-2</v>
      </c>
      <c r="AK17" s="1485">
        <v>8.4000000000000005E-2</v>
      </c>
      <c r="AL17" s="1485">
        <v>0.113</v>
      </c>
      <c r="AM17" s="1485">
        <v>6.4000000000000001E-2</v>
      </c>
      <c r="AN17" s="1485">
        <v>6.4000000000000001E-2</v>
      </c>
      <c r="AO17" s="1485">
        <v>0.124</v>
      </c>
      <c r="AP17" s="1485">
        <v>8.8999999999999996E-2</v>
      </c>
      <c r="AQ17" s="1485">
        <v>6.4000000000000001E-2</v>
      </c>
      <c r="AR17" s="1485">
        <v>8.8999999999999996E-2</v>
      </c>
      <c r="AS17" s="1006">
        <v>0.11899999999999999</v>
      </c>
      <c r="AT17" s="1006">
        <v>9.1999999999999998E-2</v>
      </c>
      <c r="AU17" s="1006">
        <v>1.1399999999999999</v>
      </c>
      <c r="AV17" s="1485">
        <v>8.6999999999999994E-2</v>
      </c>
      <c r="AW17" s="1485">
        <v>7.3999999999999996E-2</v>
      </c>
      <c r="AX17" s="1485">
        <v>0.13700000000000001</v>
      </c>
      <c r="AY17" s="1485">
        <v>3.7999999999999999E-2</v>
      </c>
      <c r="AZ17" s="1485">
        <v>3.7999999999999999E-2</v>
      </c>
      <c r="BA17" s="1485">
        <v>6.9000000000000006E-2</v>
      </c>
      <c r="BB17" s="1485">
        <v>3.3000000000000002E-2</v>
      </c>
      <c r="BC17" s="1485">
        <v>3.3000000000000002E-2</v>
      </c>
      <c r="BD17" s="1485">
        <v>6.6000000000000003E-2</v>
      </c>
      <c r="BE17" s="1485">
        <v>0.73</v>
      </c>
      <c r="BF17" s="1485">
        <v>0.54</v>
      </c>
      <c r="BG17" s="1485">
        <v>0.73</v>
      </c>
      <c r="BH17" s="1485">
        <v>0.86</v>
      </c>
      <c r="BI17" s="1485">
        <v>0.86</v>
      </c>
      <c r="BJ17" s="1485">
        <v>1.02</v>
      </c>
      <c r="BK17" s="1485">
        <v>0.7</v>
      </c>
      <c r="BL17" s="1485">
        <v>0.7</v>
      </c>
      <c r="BM17" s="1485">
        <v>0.7</v>
      </c>
      <c r="BN17" s="1006">
        <v>0.5</v>
      </c>
      <c r="BO17" s="1006">
        <v>0.5</v>
      </c>
      <c r="BP17" s="1006">
        <v>1.45</v>
      </c>
      <c r="BQ17" s="823"/>
      <c r="BR17" s="945">
        <v>0.4</v>
      </c>
      <c r="BS17" s="945">
        <v>0.4</v>
      </c>
      <c r="BT17" s="945">
        <v>1.2</v>
      </c>
      <c r="BU17" s="945">
        <v>0.5</v>
      </c>
      <c r="BV17" s="945">
        <v>0.5</v>
      </c>
      <c r="BW17" s="945">
        <v>1.2</v>
      </c>
      <c r="BX17" s="945">
        <v>0.85</v>
      </c>
      <c r="BY17" s="945">
        <v>0.85</v>
      </c>
      <c r="BZ17" s="945">
        <v>1.2</v>
      </c>
      <c r="CA17" s="945">
        <v>0.55000000000000004</v>
      </c>
      <c r="CB17" s="945">
        <v>0.55000000000000004</v>
      </c>
      <c r="CC17" s="945">
        <v>1.2</v>
      </c>
      <c r="CD17" s="817">
        <v>0.4</v>
      </c>
      <c r="CE17" s="817">
        <v>0.4</v>
      </c>
      <c r="CF17" s="817" t="s">
        <v>764</v>
      </c>
      <c r="CG17" s="817">
        <v>0.4</v>
      </c>
      <c r="CH17" s="817">
        <v>0.4</v>
      </c>
      <c r="CI17" s="817" t="s">
        <v>764</v>
      </c>
      <c r="CJ17" s="817">
        <v>0.4</v>
      </c>
      <c r="CK17" s="817">
        <v>0.4</v>
      </c>
      <c r="CL17" s="817" t="s">
        <v>764</v>
      </c>
      <c r="CM17" s="817">
        <v>0.4</v>
      </c>
      <c r="CN17" s="817">
        <v>0.4</v>
      </c>
      <c r="CO17" s="817" t="s">
        <v>764</v>
      </c>
      <c r="CP17" s="945">
        <v>0.5</v>
      </c>
      <c r="CQ17" s="945">
        <v>0.5</v>
      </c>
      <c r="CR17" s="945">
        <v>0.5</v>
      </c>
      <c r="CS17" s="945">
        <v>0.5</v>
      </c>
      <c r="CT17" s="945">
        <v>1.1499999999999999</v>
      </c>
      <c r="CU17" s="945">
        <v>1.1499999999999999</v>
      </c>
      <c r="CV17" s="945">
        <v>0.4</v>
      </c>
      <c r="CW17" s="945">
        <v>0.4</v>
      </c>
      <c r="CX17" s="945">
        <v>0.4</v>
      </c>
      <c r="CY17" s="945">
        <v>0.4</v>
      </c>
      <c r="CZ17" s="817" t="s">
        <v>764</v>
      </c>
      <c r="DA17" s="818" t="s">
        <v>764</v>
      </c>
    </row>
    <row r="18" spans="1:105" s="1016" customFormat="1" ht="57" x14ac:dyDescent="0.25">
      <c r="A18" s="819" t="s">
        <v>792</v>
      </c>
      <c r="B18" s="820" t="s">
        <v>2174</v>
      </c>
      <c r="C18" s="820" t="s">
        <v>2174</v>
      </c>
      <c r="D18" s="820" t="s">
        <v>2175</v>
      </c>
      <c r="E18" s="821" t="s">
        <v>2176</v>
      </c>
      <c r="F18" s="821" t="s">
        <v>2176</v>
      </c>
      <c r="G18" s="821" t="s">
        <v>1691</v>
      </c>
      <c r="H18" s="821" t="s">
        <v>2184</v>
      </c>
      <c r="I18" s="821" t="s">
        <v>2183</v>
      </c>
      <c r="J18" s="821" t="s">
        <v>2182</v>
      </c>
      <c r="K18" s="821" t="s">
        <v>2181</v>
      </c>
      <c r="L18" s="821" t="s">
        <v>2181</v>
      </c>
      <c r="M18" s="821" t="s">
        <v>1693</v>
      </c>
      <c r="N18" s="821" t="s">
        <v>2180</v>
      </c>
      <c r="O18" s="821" t="s">
        <v>2180</v>
      </c>
      <c r="P18" s="821" t="s">
        <v>718</v>
      </c>
      <c r="Q18" s="821" t="s">
        <v>2178</v>
      </c>
      <c r="R18" s="821" t="s">
        <v>2178</v>
      </c>
      <c r="S18" s="821" t="s">
        <v>2179</v>
      </c>
      <c r="T18" s="821" t="s">
        <v>2178</v>
      </c>
      <c r="U18" s="821" t="s">
        <v>2178</v>
      </c>
      <c r="V18" s="821" t="s">
        <v>2177</v>
      </c>
      <c r="W18" s="823"/>
      <c r="X18" s="1484">
        <f>X17*5.678263</f>
        <v>0.27255662400000003</v>
      </c>
      <c r="Y18" s="1484">
        <f t="shared" ref="Y18:AE18" si="0">Y17*5.678263</f>
        <v>0.27255662400000003</v>
      </c>
      <c r="Z18" s="1484">
        <f t="shared" si="0"/>
        <v>0.98233949899999995</v>
      </c>
      <c r="AA18" s="1484">
        <f t="shared" si="0"/>
        <v>0.31230446500000003</v>
      </c>
      <c r="AB18" s="1484">
        <f t="shared" si="0"/>
        <v>0.31230446500000003</v>
      </c>
      <c r="AC18" s="1484">
        <f t="shared" si="0"/>
        <v>0.55079151100000001</v>
      </c>
      <c r="AD18" s="1484">
        <f t="shared" si="0"/>
        <v>0.15331310100000001</v>
      </c>
      <c r="AE18" s="1484">
        <f t="shared" si="0"/>
        <v>0.15331310100000001</v>
      </c>
      <c r="AF18" s="1484">
        <f>AF17*5.678263</f>
        <v>0.300947939</v>
      </c>
      <c r="AG18" s="1484">
        <f>AG17*5.678263</f>
        <v>0.59053935199999996</v>
      </c>
      <c r="AH18" s="1484">
        <f t="shared" ref="AH18:AN18" si="1">AH17*5.678263</f>
        <v>0.51104367000000006</v>
      </c>
      <c r="AI18" s="1484">
        <f t="shared" si="1"/>
        <v>3.2933925400000001</v>
      </c>
      <c r="AJ18" s="1484">
        <f t="shared" si="1"/>
        <v>0.47697409200000007</v>
      </c>
      <c r="AK18" s="1484">
        <f t="shared" si="1"/>
        <v>0.47697409200000007</v>
      </c>
      <c r="AL18" s="1484">
        <f t="shared" si="1"/>
        <v>0.64164371900000006</v>
      </c>
      <c r="AM18" s="1484">
        <f t="shared" si="1"/>
        <v>0.36340883200000001</v>
      </c>
      <c r="AN18" s="1484">
        <f t="shared" si="1"/>
        <v>0.36340883200000001</v>
      </c>
      <c r="AO18" s="1484">
        <f>AO17*5.678263</f>
        <v>0.70410461200000007</v>
      </c>
      <c r="AP18" s="1484">
        <f t="shared" ref="AP18:AQ18" si="2">AP17*5.678263</f>
        <v>0.50536540699999999</v>
      </c>
      <c r="AQ18" s="1484">
        <f t="shared" si="2"/>
        <v>0.36340883200000001</v>
      </c>
      <c r="AR18" s="1484">
        <f>AR17*5.678263</f>
        <v>0.50536540699999999</v>
      </c>
      <c r="AS18" s="1003">
        <v>0.66700000000000004</v>
      </c>
      <c r="AT18" s="1003">
        <v>0.52300000000000002</v>
      </c>
      <c r="AU18" s="1003">
        <v>6.484</v>
      </c>
      <c r="AV18" s="1484">
        <f t="shared" ref="AV18:AW18" si="3">AV17*5.678263</f>
        <v>0.49400888100000001</v>
      </c>
      <c r="AW18" s="1484">
        <f t="shared" si="3"/>
        <v>0.42019146200000002</v>
      </c>
      <c r="AX18" s="1484">
        <f>AX17*5.678263</f>
        <v>0.77792203100000012</v>
      </c>
      <c r="AY18" s="1484">
        <f t="shared" ref="AY18:AZ18" si="4">AY17*5.678263</f>
        <v>0.215773994</v>
      </c>
      <c r="AZ18" s="1484">
        <f t="shared" si="4"/>
        <v>0.215773994</v>
      </c>
      <c r="BA18" s="1484">
        <f>BA17*5.678263</f>
        <v>0.39180014700000004</v>
      </c>
      <c r="BB18" s="1484">
        <v>0.66700000000000004</v>
      </c>
      <c r="BC18" s="1484">
        <v>0.52300000000000002</v>
      </c>
      <c r="BD18" s="1484">
        <v>6.484</v>
      </c>
      <c r="BE18" s="1484">
        <f>BE17*1.7315</f>
        <v>1.263995</v>
      </c>
      <c r="BF18" s="1484">
        <f t="shared" ref="BF18:BJ18" si="5">BF17*1.7315</f>
        <v>0.93501000000000012</v>
      </c>
      <c r="BG18" s="1484">
        <f t="shared" si="5"/>
        <v>1.263995</v>
      </c>
      <c r="BH18" s="1484">
        <f t="shared" si="5"/>
        <v>1.48909</v>
      </c>
      <c r="BI18" s="1484">
        <f t="shared" si="5"/>
        <v>1.48909</v>
      </c>
      <c r="BJ18" s="1484">
        <f t="shared" si="5"/>
        <v>1.76613</v>
      </c>
      <c r="BK18" s="1484">
        <f>BK17*5.678263</f>
        <v>3.9747840999999999</v>
      </c>
      <c r="BL18" s="1484">
        <f>BL17*5.678263</f>
        <v>3.9747840999999999</v>
      </c>
      <c r="BM18" s="1484">
        <f t="shared" ref="BM18" si="6">BM17*5.678263</f>
        <v>3.9747840999999999</v>
      </c>
      <c r="BN18" s="1484">
        <f t="shared" ref="BN18" si="7">BN17*5.678263</f>
        <v>2.8391315000000001</v>
      </c>
      <c r="BO18" s="1484">
        <f t="shared" ref="BO18" si="8">BO17*5.678263</f>
        <v>2.8391315000000001</v>
      </c>
      <c r="BP18" s="1484">
        <f t="shared" ref="BP18" si="9">BP17*5.678263</f>
        <v>8.2334813499999999</v>
      </c>
      <c r="BQ18" s="823"/>
      <c r="BR18" s="1003">
        <f>BR17*5.678263</f>
        <v>2.2713052</v>
      </c>
      <c r="BS18" s="1003">
        <f t="shared" ref="BS18:CC18" si="10">BS17*5.678263</f>
        <v>2.2713052</v>
      </c>
      <c r="BT18" s="1003">
        <f t="shared" si="10"/>
        <v>6.8139156000000005</v>
      </c>
      <c r="BU18" s="1003">
        <f t="shared" si="10"/>
        <v>2.8391315000000001</v>
      </c>
      <c r="BV18" s="1003">
        <f t="shared" si="10"/>
        <v>2.8391315000000001</v>
      </c>
      <c r="BW18" s="1003">
        <f t="shared" si="10"/>
        <v>6.8139156000000005</v>
      </c>
      <c r="BX18" s="1003">
        <f t="shared" si="10"/>
        <v>4.8265235500000001</v>
      </c>
      <c r="BY18" s="1003">
        <f t="shared" si="10"/>
        <v>4.8265235500000001</v>
      </c>
      <c r="BZ18" s="1003">
        <f t="shared" si="10"/>
        <v>6.8139156000000005</v>
      </c>
      <c r="CA18" s="1003">
        <f t="shared" si="10"/>
        <v>3.1230446500000002</v>
      </c>
      <c r="CB18" s="1003">
        <f t="shared" si="10"/>
        <v>3.1230446500000002</v>
      </c>
      <c r="CC18" s="1003">
        <f t="shared" si="10"/>
        <v>6.8139156000000005</v>
      </c>
      <c r="CD18" s="1003">
        <v>0.4</v>
      </c>
      <c r="CE18" s="1003">
        <v>0.4</v>
      </c>
      <c r="CF18" s="1003" t="s">
        <v>764</v>
      </c>
      <c r="CG18" s="1003">
        <v>0.4</v>
      </c>
      <c r="CH18" s="1003">
        <v>0.4</v>
      </c>
      <c r="CI18" s="1003" t="s">
        <v>764</v>
      </c>
      <c r="CJ18" s="1003">
        <v>0.4</v>
      </c>
      <c r="CK18" s="1003">
        <v>0.4</v>
      </c>
      <c r="CL18" s="1003" t="s">
        <v>764</v>
      </c>
      <c r="CM18" s="1003">
        <v>0.4</v>
      </c>
      <c r="CN18" s="1003">
        <v>0.4</v>
      </c>
      <c r="CO18" s="1003" t="s">
        <v>764</v>
      </c>
      <c r="CP18" s="1003">
        <v>2.84</v>
      </c>
      <c r="CQ18" s="1003">
        <v>2.84</v>
      </c>
      <c r="CR18" s="1003">
        <v>2.84</v>
      </c>
      <c r="CS18" s="1003">
        <v>2.84</v>
      </c>
      <c r="CT18" s="1003">
        <v>6.53</v>
      </c>
      <c r="CU18" s="1003">
        <v>6.53</v>
      </c>
      <c r="CV18" s="1003">
        <v>0.4</v>
      </c>
      <c r="CW18" s="1003">
        <v>0.4</v>
      </c>
      <c r="CX18" s="1003">
        <v>0.4</v>
      </c>
      <c r="CY18" s="1003">
        <v>0.4</v>
      </c>
      <c r="CZ18" s="1003" t="s">
        <v>764</v>
      </c>
      <c r="DA18" s="1004" t="s">
        <v>764</v>
      </c>
    </row>
    <row r="19" spans="1:105" s="1016" customFormat="1" ht="57" x14ac:dyDescent="0.25">
      <c r="A19" s="815" t="s">
        <v>772</v>
      </c>
      <c r="B19" s="816" t="s">
        <v>2169</v>
      </c>
      <c r="C19" s="817" t="s">
        <v>2169</v>
      </c>
      <c r="D19" s="817" t="s">
        <v>2170</v>
      </c>
      <c r="E19" s="817" t="s">
        <v>198</v>
      </c>
      <c r="F19" s="817" t="s">
        <v>198</v>
      </c>
      <c r="G19" s="817" t="s">
        <v>196</v>
      </c>
      <c r="H19" s="817" t="s">
        <v>2171</v>
      </c>
      <c r="I19" s="817" t="s">
        <v>2172</v>
      </c>
      <c r="J19" s="817" t="s">
        <v>202</v>
      </c>
      <c r="K19" s="817" t="s">
        <v>182</v>
      </c>
      <c r="L19" s="817" t="s">
        <v>182</v>
      </c>
      <c r="M19" s="817" t="s">
        <v>180</v>
      </c>
      <c r="N19" s="817" t="s">
        <v>2173</v>
      </c>
      <c r="O19" s="817" t="s">
        <v>185</v>
      </c>
      <c r="P19" s="817" t="s">
        <v>184</v>
      </c>
      <c r="Q19" s="817" t="s">
        <v>189</v>
      </c>
      <c r="R19" s="817" t="s">
        <v>189</v>
      </c>
      <c r="S19" s="817" t="s">
        <v>187</v>
      </c>
      <c r="T19" s="817" t="s">
        <v>189</v>
      </c>
      <c r="U19" s="817" t="s">
        <v>189</v>
      </c>
      <c r="V19" s="817" t="s">
        <v>188</v>
      </c>
      <c r="W19" s="823"/>
      <c r="X19" s="1981">
        <v>4.8000000000000001E-2</v>
      </c>
      <c r="Y19" s="1981">
        <v>4.8000000000000001E-2</v>
      </c>
      <c r="Z19" s="1485">
        <v>0.17299999999999999</v>
      </c>
      <c r="AA19" s="1981">
        <v>5.5E-2</v>
      </c>
      <c r="AB19" s="1981">
        <v>5.5E-2</v>
      </c>
      <c r="AC19" s="1485">
        <v>9.7000000000000003E-2</v>
      </c>
      <c r="AD19" s="1981">
        <v>2.7E-2</v>
      </c>
      <c r="AE19" s="1981">
        <v>2.7E-2</v>
      </c>
      <c r="AF19" s="1485">
        <v>5.2999999999999999E-2</v>
      </c>
      <c r="AG19" s="1485">
        <v>0.104</v>
      </c>
      <c r="AH19" s="1485">
        <v>0.09</v>
      </c>
      <c r="AI19" s="1485">
        <v>0.57999999999999996</v>
      </c>
      <c r="AJ19" s="1485">
        <v>8.4000000000000005E-2</v>
      </c>
      <c r="AK19" s="1485">
        <v>8.4000000000000005E-2</v>
      </c>
      <c r="AL19" s="1485">
        <v>0.113</v>
      </c>
      <c r="AM19" s="1485">
        <v>6.4000000000000001E-2</v>
      </c>
      <c r="AN19" s="1485">
        <v>6.4000000000000001E-2</v>
      </c>
      <c r="AO19" s="1485">
        <v>0.124</v>
      </c>
      <c r="AP19" s="1485">
        <v>8.8999999999999996E-2</v>
      </c>
      <c r="AQ19" s="1485">
        <v>6.4000000000000001E-2</v>
      </c>
      <c r="AR19" s="1485">
        <v>8.8999999999999996E-2</v>
      </c>
      <c r="AS19" s="1006">
        <v>0.11899999999999999</v>
      </c>
      <c r="AT19" s="1006">
        <v>9.1999999999999998E-2</v>
      </c>
      <c r="AU19" s="1006">
        <v>1.1399999999999999</v>
      </c>
      <c r="AV19" s="1485">
        <v>8.6999999999999994E-2</v>
      </c>
      <c r="AW19" s="1485">
        <v>7.3999999999999996E-2</v>
      </c>
      <c r="AX19" s="1485">
        <v>0.13700000000000001</v>
      </c>
      <c r="AY19" s="1485">
        <v>3.7999999999999999E-2</v>
      </c>
      <c r="AZ19" s="1485">
        <v>3.7999999999999999E-2</v>
      </c>
      <c r="BA19" s="1485">
        <v>6.9000000000000006E-2</v>
      </c>
      <c r="BB19" s="1485">
        <v>3.3000000000000002E-2</v>
      </c>
      <c r="BC19" s="1485">
        <v>3.3000000000000002E-2</v>
      </c>
      <c r="BD19" s="1485">
        <v>6.6000000000000003E-2</v>
      </c>
      <c r="BE19" s="1485">
        <v>0.73</v>
      </c>
      <c r="BF19" s="1485">
        <v>0.54</v>
      </c>
      <c r="BG19" s="1485">
        <v>0.73</v>
      </c>
      <c r="BH19" s="1485">
        <v>0.86</v>
      </c>
      <c r="BI19" s="1485">
        <v>0.86</v>
      </c>
      <c r="BJ19" s="1485">
        <v>1.02</v>
      </c>
      <c r="BK19" s="1485">
        <v>0.7</v>
      </c>
      <c r="BL19" s="1485">
        <v>0.7</v>
      </c>
      <c r="BM19" s="1485">
        <v>0.7</v>
      </c>
      <c r="BN19" s="1006">
        <v>0.5</v>
      </c>
      <c r="BO19" s="1006">
        <v>0.5</v>
      </c>
      <c r="BP19" s="1006">
        <v>1.45</v>
      </c>
      <c r="BQ19" s="823"/>
      <c r="BR19" s="945">
        <v>0.4</v>
      </c>
      <c r="BS19" s="945">
        <v>0.4</v>
      </c>
      <c r="BT19" s="945">
        <v>1.2</v>
      </c>
      <c r="BU19" s="945">
        <v>0.5</v>
      </c>
      <c r="BV19" s="945">
        <v>0.5</v>
      </c>
      <c r="BW19" s="945">
        <v>1.2</v>
      </c>
      <c r="BX19" s="945">
        <v>0.85</v>
      </c>
      <c r="BY19" s="945">
        <v>0.85</v>
      </c>
      <c r="BZ19" s="945">
        <v>1.2</v>
      </c>
      <c r="CA19" s="945">
        <v>0.55000000000000004</v>
      </c>
      <c r="CB19" s="945">
        <v>0.55000000000000004</v>
      </c>
      <c r="CC19" s="945">
        <v>1.2</v>
      </c>
      <c r="CD19" s="1006">
        <v>0.4</v>
      </c>
      <c r="CE19" s="1006">
        <v>0.4</v>
      </c>
      <c r="CF19" s="1006" t="s">
        <v>764</v>
      </c>
      <c r="CG19" s="1006">
        <v>0.4</v>
      </c>
      <c r="CH19" s="1006">
        <v>0.4</v>
      </c>
      <c r="CI19" s="1006" t="s">
        <v>764</v>
      </c>
      <c r="CJ19" s="1006">
        <v>0.4</v>
      </c>
      <c r="CK19" s="1006">
        <v>0.4</v>
      </c>
      <c r="CL19" s="1006" t="s">
        <v>764</v>
      </c>
      <c r="CM19" s="1006">
        <v>0.4</v>
      </c>
      <c r="CN19" s="1006">
        <v>0.4</v>
      </c>
      <c r="CO19" s="1006" t="s">
        <v>764</v>
      </c>
      <c r="CP19" s="1005">
        <v>0.5</v>
      </c>
      <c r="CQ19" s="1005">
        <v>0.5</v>
      </c>
      <c r="CR19" s="1005">
        <v>0.5</v>
      </c>
      <c r="CS19" s="1005">
        <v>0.5</v>
      </c>
      <c r="CT19" s="1005">
        <v>1.1499999999999999</v>
      </c>
      <c r="CU19" s="1005">
        <v>1.1499999999999999</v>
      </c>
      <c r="CV19" s="1005">
        <v>0.4</v>
      </c>
      <c r="CW19" s="1005">
        <v>0.4</v>
      </c>
      <c r="CX19" s="1005">
        <v>0.4</v>
      </c>
      <c r="CY19" s="1005">
        <v>0.4</v>
      </c>
      <c r="CZ19" s="1006" t="s">
        <v>764</v>
      </c>
      <c r="DA19" s="1007" t="s">
        <v>764</v>
      </c>
    </row>
    <row r="20" spans="1:105" s="1016" customFormat="1" ht="57" x14ac:dyDescent="0.25">
      <c r="A20" s="819" t="s">
        <v>791</v>
      </c>
      <c r="B20" s="820" t="s">
        <v>2174</v>
      </c>
      <c r="C20" s="820" t="s">
        <v>2174</v>
      </c>
      <c r="D20" s="820" t="s">
        <v>2175</v>
      </c>
      <c r="E20" s="821" t="s">
        <v>2176</v>
      </c>
      <c r="F20" s="821" t="s">
        <v>2176</v>
      </c>
      <c r="G20" s="821" t="s">
        <v>1691</v>
      </c>
      <c r="H20" s="821" t="s">
        <v>2184</v>
      </c>
      <c r="I20" s="821" t="s">
        <v>2183</v>
      </c>
      <c r="J20" s="821" t="s">
        <v>2182</v>
      </c>
      <c r="K20" s="821" t="s">
        <v>2181</v>
      </c>
      <c r="L20" s="821" t="s">
        <v>2181</v>
      </c>
      <c r="M20" s="821" t="s">
        <v>1693</v>
      </c>
      <c r="N20" s="821" t="s">
        <v>2180</v>
      </c>
      <c r="O20" s="821" t="s">
        <v>2180</v>
      </c>
      <c r="P20" s="821" t="s">
        <v>718</v>
      </c>
      <c r="Q20" s="821" t="s">
        <v>2178</v>
      </c>
      <c r="R20" s="821" t="s">
        <v>2178</v>
      </c>
      <c r="S20" s="821" t="s">
        <v>2179</v>
      </c>
      <c r="T20" s="821" t="s">
        <v>2178</v>
      </c>
      <c r="U20" s="821" t="s">
        <v>2178</v>
      </c>
      <c r="V20" s="821" t="s">
        <v>2177</v>
      </c>
      <c r="W20" s="823"/>
      <c r="X20" s="1484">
        <f>X19*5.678263</f>
        <v>0.27255662400000003</v>
      </c>
      <c r="Y20" s="1484">
        <f t="shared" ref="Y20:AE20" si="11">Y19*5.678263</f>
        <v>0.27255662400000003</v>
      </c>
      <c r="Z20" s="1484">
        <f t="shared" si="11"/>
        <v>0.98233949899999995</v>
      </c>
      <c r="AA20" s="1484">
        <f t="shared" si="11"/>
        <v>0.31230446500000003</v>
      </c>
      <c r="AB20" s="1484">
        <f t="shared" si="11"/>
        <v>0.31230446500000003</v>
      </c>
      <c r="AC20" s="1484">
        <f t="shared" si="11"/>
        <v>0.55079151100000001</v>
      </c>
      <c r="AD20" s="1484">
        <f t="shared" si="11"/>
        <v>0.15331310100000001</v>
      </c>
      <c r="AE20" s="1484">
        <f t="shared" si="11"/>
        <v>0.15331310100000001</v>
      </c>
      <c r="AF20" s="1484">
        <f>AF19*5.678263</f>
        <v>0.300947939</v>
      </c>
      <c r="AG20" s="1484">
        <f>AG19*5.678263</f>
        <v>0.59053935199999996</v>
      </c>
      <c r="AH20" s="1484">
        <f t="shared" ref="AH20:AN20" si="12">AH19*5.678263</f>
        <v>0.51104367000000006</v>
      </c>
      <c r="AI20" s="1484">
        <f t="shared" si="12"/>
        <v>3.2933925400000001</v>
      </c>
      <c r="AJ20" s="1484">
        <f t="shared" si="12"/>
        <v>0.47697409200000007</v>
      </c>
      <c r="AK20" s="1484">
        <f t="shared" si="12"/>
        <v>0.47697409200000007</v>
      </c>
      <c r="AL20" s="1484">
        <f t="shared" si="12"/>
        <v>0.64164371900000006</v>
      </c>
      <c r="AM20" s="1484">
        <f t="shared" si="12"/>
        <v>0.36340883200000001</v>
      </c>
      <c r="AN20" s="1484">
        <f t="shared" si="12"/>
        <v>0.36340883200000001</v>
      </c>
      <c r="AO20" s="1484">
        <f>AO19*5.678263</f>
        <v>0.70410461200000007</v>
      </c>
      <c r="AP20" s="1484">
        <f t="shared" ref="AP20:AQ20" si="13">AP19*5.678263</f>
        <v>0.50536540699999999</v>
      </c>
      <c r="AQ20" s="1484">
        <f t="shared" si="13"/>
        <v>0.36340883200000001</v>
      </c>
      <c r="AR20" s="1484">
        <f>AR19*5.678263</f>
        <v>0.50536540699999999</v>
      </c>
      <c r="AS20" s="1003">
        <v>0.66700000000000004</v>
      </c>
      <c r="AT20" s="1003">
        <v>0.52300000000000002</v>
      </c>
      <c r="AU20" s="1003">
        <v>6.484</v>
      </c>
      <c r="AV20" s="1484">
        <f t="shared" ref="AV20:AW20" si="14">AV19*5.678263</f>
        <v>0.49400888100000001</v>
      </c>
      <c r="AW20" s="1484">
        <f t="shared" si="14"/>
        <v>0.42019146200000002</v>
      </c>
      <c r="AX20" s="1484">
        <f>AX19*5.678263</f>
        <v>0.77792203100000012</v>
      </c>
      <c r="AY20" s="1484">
        <f t="shared" ref="AY20:AZ20" si="15">AY19*5.678263</f>
        <v>0.215773994</v>
      </c>
      <c r="AZ20" s="1484">
        <f t="shared" si="15"/>
        <v>0.215773994</v>
      </c>
      <c r="BA20" s="1484">
        <f>BA19*5.678263</f>
        <v>0.39180014700000004</v>
      </c>
      <c r="BB20" s="1484">
        <v>0.66700000000000004</v>
      </c>
      <c r="BC20" s="1484">
        <v>0.52300000000000002</v>
      </c>
      <c r="BD20" s="1484">
        <v>6.484</v>
      </c>
      <c r="BE20" s="1484">
        <f>BE19*1.7315</f>
        <v>1.263995</v>
      </c>
      <c r="BF20" s="1484">
        <f t="shared" ref="BF20:BJ20" si="16">BF19*1.7315</f>
        <v>0.93501000000000012</v>
      </c>
      <c r="BG20" s="1484">
        <f t="shared" si="16"/>
        <v>1.263995</v>
      </c>
      <c r="BH20" s="1484">
        <f t="shared" si="16"/>
        <v>1.48909</v>
      </c>
      <c r="BI20" s="1484">
        <f t="shared" si="16"/>
        <v>1.48909</v>
      </c>
      <c r="BJ20" s="1484">
        <f t="shared" si="16"/>
        <v>1.76613</v>
      </c>
      <c r="BK20" s="1484">
        <f>BK19*5.678263</f>
        <v>3.9747840999999999</v>
      </c>
      <c r="BL20" s="1484">
        <f>BL19*5.678263</f>
        <v>3.9747840999999999</v>
      </c>
      <c r="BM20" s="1484">
        <f t="shared" ref="BM20" si="17">BM19*5.678263</f>
        <v>3.9747840999999999</v>
      </c>
      <c r="BN20" s="1484">
        <f t="shared" ref="BN20" si="18">BN19*5.678263</f>
        <v>2.8391315000000001</v>
      </c>
      <c r="BO20" s="1484">
        <f t="shared" ref="BO20" si="19">BO19*5.678263</f>
        <v>2.8391315000000001</v>
      </c>
      <c r="BP20" s="1484">
        <f t="shared" ref="BP20" si="20">BP19*5.678263</f>
        <v>8.2334813499999999</v>
      </c>
      <c r="BQ20" s="823"/>
      <c r="BR20" s="1003">
        <f>BR19*5.678263</f>
        <v>2.2713052</v>
      </c>
      <c r="BS20" s="1003">
        <f t="shared" ref="BS20" si="21">BS19*5.678263</f>
        <v>2.2713052</v>
      </c>
      <c r="BT20" s="1003">
        <f t="shared" ref="BT20" si="22">BT19*5.678263</f>
        <v>6.8139156000000005</v>
      </c>
      <c r="BU20" s="1003">
        <f t="shared" ref="BU20" si="23">BU19*5.678263</f>
        <v>2.8391315000000001</v>
      </c>
      <c r="BV20" s="1003">
        <f t="shared" ref="BV20" si="24">BV19*5.678263</f>
        <v>2.8391315000000001</v>
      </c>
      <c r="BW20" s="1003">
        <f t="shared" ref="BW20" si="25">BW19*5.678263</f>
        <v>6.8139156000000005</v>
      </c>
      <c r="BX20" s="1003">
        <f t="shared" ref="BX20" si="26">BX19*5.678263</f>
        <v>4.8265235500000001</v>
      </c>
      <c r="BY20" s="1003">
        <f t="shared" ref="BY20" si="27">BY19*5.678263</f>
        <v>4.8265235500000001</v>
      </c>
      <c r="BZ20" s="1003">
        <f t="shared" ref="BZ20" si="28">BZ19*5.678263</f>
        <v>6.8139156000000005</v>
      </c>
      <c r="CA20" s="1003">
        <f t="shared" ref="CA20" si="29">CA19*5.678263</f>
        <v>3.1230446500000002</v>
      </c>
      <c r="CB20" s="1003">
        <f t="shared" ref="CB20" si="30">CB19*5.678263</f>
        <v>3.1230446500000002</v>
      </c>
      <c r="CC20" s="1003">
        <f t="shared" ref="CC20" si="31">CC19*5.678263</f>
        <v>6.8139156000000005</v>
      </c>
      <c r="CD20" s="1003">
        <v>0.4</v>
      </c>
      <c r="CE20" s="1003">
        <v>0.4</v>
      </c>
      <c r="CF20" s="1003" t="s">
        <v>764</v>
      </c>
      <c r="CG20" s="1003">
        <v>0.4</v>
      </c>
      <c r="CH20" s="1003">
        <v>0.4</v>
      </c>
      <c r="CI20" s="1003" t="s">
        <v>764</v>
      </c>
      <c r="CJ20" s="1003">
        <v>0.4</v>
      </c>
      <c r="CK20" s="1003">
        <v>0.4</v>
      </c>
      <c r="CL20" s="1003" t="s">
        <v>764</v>
      </c>
      <c r="CM20" s="1003">
        <v>0.4</v>
      </c>
      <c r="CN20" s="1003">
        <v>0.4</v>
      </c>
      <c r="CO20" s="1003" t="s">
        <v>764</v>
      </c>
      <c r="CP20" s="1003">
        <v>2.84</v>
      </c>
      <c r="CQ20" s="1003">
        <v>2.84</v>
      </c>
      <c r="CR20" s="1003">
        <v>2.84</v>
      </c>
      <c r="CS20" s="1003">
        <v>2.84</v>
      </c>
      <c r="CT20" s="1003">
        <v>6.53</v>
      </c>
      <c r="CU20" s="1003">
        <v>6.53</v>
      </c>
      <c r="CV20" s="1003">
        <v>0.4</v>
      </c>
      <c r="CW20" s="1003">
        <v>0.4</v>
      </c>
      <c r="CX20" s="1003">
        <v>0.4</v>
      </c>
      <c r="CY20" s="1003">
        <v>0.4</v>
      </c>
      <c r="CZ20" s="1003" t="s">
        <v>764</v>
      </c>
      <c r="DA20" s="1004" t="s">
        <v>764</v>
      </c>
    </row>
    <row r="21" spans="1:105" s="1016" customFormat="1" ht="57" x14ac:dyDescent="0.25">
      <c r="A21" s="815" t="s">
        <v>773</v>
      </c>
      <c r="B21" s="816" t="s">
        <v>2169</v>
      </c>
      <c r="C21" s="817" t="s">
        <v>2169</v>
      </c>
      <c r="D21" s="817" t="s">
        <v>2170</v>
      </c>
      <c r="E21" s="817" t="s">
        <v>198</v>
      </c>
      <c r="F21" s="817" t="s">
        <v>198</v>
      </c>
      <c r="G21" s="817" t="s">
        <v>196</v>
      </c>
      <c r="H21" s="817" t="s">
        <v>2171</v>
      </c>
      <c r="I21" s="817" t="s">
        <v>2172</v>
      </c>
      <c r="J21" s="817" t="s">
        <v>202</v>
      </c>
      <c r="K21" s="817" t="s">
        <v>182</v>
      </c>
      <c r="L21" s="817" t="s">
        <v>182</v>
      </c>
      <c r="M21" s="817" t="s">
        <v>180</v>
      </c>
      <c r="N21" s="817" t="s">
        <v>2173</v>
      </c>
      <c r="O21" s="817" t="s">
        <v>185</v>
      </c>
      <c r="P21" s="817" t="s">
        <v>184</v>
      </c>
      <c r="Q21" s="817" t="s">
        <v>189</v>
      </c>
      <c r="R21" s="817" t="s">
        <v>189</v>
      </c>
      <c r="S21" s="817" t="s">
        <v>187</v>
      </c>
      <c r="T21" s="817" t="s">
        <v>189</v>
      </c>
      <c r="U21" s="817" t="s">
        <v>189</v>
      </c>
      <c r="V21" s="817" t="s">
        <v>188</v>
      </c>
      <c r="W21" s="823"/>
      <c r="X21" s="1981">
        <v>4.8000000000000001E-2</v>
      </c>
      <c r="Y21" s="1981">
        <v>4.8000000000000001E-2</v>
      </c>
      <c r="Z21" s="1485">
        <v>0.17299999999999999</v>
      </c>
      <c r="AA21" s="1981">
        <v>5.5E-2</v>
      </c>
      <c r="AB21" s="1981">
        <v>5.5E-2</v>
      </c>
      <c r="AC21" s="1485">
        <v>9.7000000000000003E-2</v>
      </c>
      <c r="AD21" s="1981">
        <v>2.7E-2</v>
      </c>
      <c r="AE21" s="1981">
        <v>2.7E-2</v>
      </c>
      <c r="AF21" s="1485">
        <v>5.2999999999999999E-2</v>
      </c>
      <c r="AG21" s="1485">
        <v>0.104</v>
      </c>
      <c r="AH21" s="1485">
        <v>0.09</v>
      </c>
      <c r="AI21" s="1485">
        <v>0.57999999999999996</v>
      </c>
      <c r="AJ21" s="1485">
        <v>8.4000000000000005E-2</v>
      </c>
      <c r="AK21" s="1485">
        <v>8.4000000000000005E-2</v>
      </c>
      <c r="AL21" s="1485">
        <v>0.113</v>
      </c>
      <c r="AM21" s="1485">
        <v>6.4000000000000001E-2</v>
      </c>
      <c r="AN21" s="1485">
        <v>6.4000000000000001E-2</v>
      </c>
      <c r="AO21" s="1485">
        <v>0.124</v>
      </c>
      <c r="AP21" s="1485">
        <v>8.8999999999999996E-2</v>
      </c>
      <c r="AQ21" s="1485">
        <v>6.4000000000000001E-2</v>
      </c>
      <c r="AR21" s="1485">
        <v>8.8999999999999996E-2</v>
      </c>
      <c r="AS21" s="1006">
        <v>0.11899999999999999</v>
      </c>
      <c r="AT21" s="1006">
        <v>9.1999999999999998E-2</v>
      </c>
      <c r="AU21" s="1006">
        <v>1.1399999999999999</v>
      </c>
      <c r="AV21" s="1485">
        <v>8.6999999999999994E-2</v>
      </c>
      <c r="AW21" s="1485">
        <v>7.3999999999999996E-2</v>
      </c>
      <c r="AX21" s="1485">
        <v>0.13700000000000001</v>
      </c>
      <c r="AY21" s="1485">
        <v>3.7999999999999999E-2</v>
      </c>
      <c r="AZ21" s="1485">
        <v>3.7999999999999999E-2</v>
      </c>
      <c r="BA21" s="1485">
        <v>6.9000000000000006E-2</v>
      </c>
      <c r="BB21" s="1485">
        <v>3.3000000000000002E-2</v>
      </c>
      <c r="BC21" s="1485">
        <v>3.3000000000000002E-2</v>
      </c>
      <c r="BD21" s="1485">
        <v>6.6000000000000003E-2</v>
      </c>
      <c r="BE21" s="1485">
        <v>0.73</v>
      </c>
      <c r="BF21" s="1485">
        <v>0.54</v>
      </c>
      <c r="BG21" s="1485">
        <v>0.73</v>
      </c>
      <c r="BH21" s="1485">
        <v>0.86</v>
      </c>
      <c r="BI21" s="1485">
        <v>0.86</v>
      </c>
      <c r="BJ21" s="1485">
        <v>1.02</v>
      </c>
      <c r="BK21" s="1485">
        <v>0.7</v>
      </c>
      <c r="BL21" s="1485">
        <v>0.7</v>
      </c>
      <c r="BM21" s="1485">
        <v>0.7</v>
      </c>
      <c r="BN21" s="1006">
        <v>0.5</v>
      </c>
      <c r="BO21" s="1006">
        <v>0.5</v>
      </c>
      <c r="BP21" s="1006">
        <v>1.45</v>
      </c>
      <c r="BQ21" s="823"/>
      <c r="BR21" s="945">
        <v>0.4</v>
      </c>
      <c r="BS21" s="945">
        <v>0.4</v>
      </c>
      <c r="BT21" s="945">
        <v>1.2</v>
      </c>
      <c r="BU21" s="945">
        <v>0.5</v>
      </c>
      <c r="BV21" s="945">
        <v>0.5</v>
      </c>
      <c r="BW21" s="945">
        <v>1.2</v>
      </c>
      <c r="BX21" s="945">
        <v>0.85</v>
      </c>
      <c r="BY21" s="945">
        <v>0.85</v>
      </c>
      <c r="BZ21" s="945">
        <v>1.2</v>
      </c>
      <c r="CA21" s="945">
        <v>0.55000000000000004</v>
      </c>
      <c r="CB21" s="945">
        <v>0.55000000000000004</v>
      </c>
      <c r="CC21" s="945">
        <v>1.2</v>
      </c>
      <c r="CD21" s="1006">
        <v>0.4</v>
      </c>
      <c r="CE21" s="1006">
        <v>0.4</v>
      </c>
      <c r="CF21" s="1006" t="s">
        <v>764</v>
      </c>
      <c r="CG21" s="1006">
        <v>0.4</v>
      </c>
      <c r="CH21" s="1006">
        <v>0.4</v>
      </c>
      <c r="CI21" s="1006" t="s">
        <v>764</v>
      </c>
      <c r="CJ21" s="1006">
        <v>0.4</v>
      </c>
      <c r="CK21" s="1006">
        <v>0.4</v>
      </c>
      <c r="CL21" s="1006" t="s">
        <v>764</v>
      </c>
      <c r="CM21" s="1006">
        <v>0.4</v>
      </c>
      <c r="CN21" s="1006">
        <v>0.4</v>
      </c>
      <c r="CO21" s="1006" t="s">
        <v>764</v>
      </c>
      <c r="CP21" s="1005">
        <v>0.5</v>
      </c>
      <c r="CQ21" s="1005">
        <v>0.5</v>
      </c>
      <c r="CR21" s="1005">
        <v>0.5</v>
      </c>
      <c r="CS21" s="1005">
        <v>0.5</v>
      </c>
      <c r="CT21" s="1005">
        <v>1.1499999999999999</v>
      </c>
      <c r="CU21" s="1005">
        <v>1.1499999999999999</v>
      </c>
      <c r="CV21" s="1005">
        <v>0.4</v>
      </c>
      <c r="CW21" s="1005">
        <v>0.4</v>
      </c>
      <c r="CX21" s="1005">
        <v>0.4</v>
      </c>
      <c r="CY21" s="1005">
        <v>0.4</v>
      </c>
      <c r="CZ21" s="1006" t="s">
        <v>764</v>
      </c>
      <c r="DA21" s="1007" t="s">
        <v>764</v>
      </c>
    </row>
    <row r="22" spans="1:105" s="1016" customFormat="1" ht="57" x14ac:dyDescent="0.25">
      <c r="A22" s="819" t="s">
        <v>790</v>
      </c>
      <c r="B22" s="820" t="s">
        <v>2174</v>
      </c>
      <c r="C22" s="820" t="s">
        <v>2174</v>
      </c>
      <c r="D22" s="820" t="s">
        <v>2175</v>
      </c>
      <c r="E22" s="821" t="s">
        <v>2176</v>
      </c>
      <c r="F22" s="821" t="s">
        <v>2176</v>
      </c>
      <c r="G22" s="821" t="s">
        <v>1691</v>
      </c>
      <c r="H22" s="821" t="s">
        <v>2184</v>
      </c>
      <c r="I22" s="821" t="s">
        <v>2183</v>
      </c>
      <c r="J22" s="821" t="s">
        <v>2182</v>
      </c>
      <c r="K22" s="821" t="s">
        <v>2181</v>
      </c>
      <c r="L22" s="821" t="s">
        <v>2181</v>
      </c>
      <c r="M22" s="821" t="s">
        <v>1693</v>
      </c>
      <c r="N22" s="821" t="s">
        <v>2180</v>
      </c>
      <c r="O22" s="821" t="s">
        <v>2180</v>
      </c>
      <c r="P22" s="821" t="s">
        <v>718</v>
      </c>
      <c r="Q22" s="821" t="s">
        <v>2178</v>
      </c>
      <c r="R22" s="821" t="s">
        <v>2178</v>
      </c>
      <c r="S22" s="821" t="s">
        <v>2179</v>
      </c>
      <c r="T22" s="821" t="s">
        <v>2178</v>
      </c>
      <c r="U22" s="821" t="s">
        <v>2178</v>
      </c>
      <c r="V22" s="821" t="s">
        <v>2177</v>
      </c>
      <c r="W22" s="823"/>
      <c r="X22" s="1484">
        <f>X21*5.678263</f>
        <v>0.27255662400000003</v>
      </c>
      <c r="Y22" s="1484">
        <f t="shared" ref="Y22:AE22" si="32">Y21*5.678263</f>
        <v>0.27255662400000003</v>
      </c>
      <c r="Z22" s="1484">
        <f t="shared" si="32"/>
        <v>0.98233949899999995</v>
      </c>
      <c r="AA22" s="1484">
        <f t="shared" si="32"/>
        <v>0.31230446500000003</v>
      </c>
      <c r="AB22" s="1484">
        <f t="shared" si="32"/>
        <v>0.31230446500000003</v>
      </c>
      <c r="AC22" s="1484">
        <f t="shared" si="32"/>
        <v>0.55079151100000001</v>
      </c>
      <c r="AD22" s="1484">
        <f t="shared" si="32"/>
        <v>0.15331310100000001</v>
      </c>
      <c r="AE22" s="1484">
        <f t="shared" si="32"/>
        <v>0.15331310100000001</v>
      </c>
      <c r="AF22" s="1484">
        <f>AF21*5.678263</f>
        <v>0.300947939</v>
      </c>
      <c r="AG22" s="1484">
        <f>AG21*5.678263</f>
        <v>0.59053935199999996</v>
      </c>
      <c r="AH22" s="1484">
        <f t="shared" ref="AH22:AN22" si="33">AH21*5.678263</f>
        <v>0.51104367000000006</v>
      </c>
      <c r="AI22" s="1484">
        <f t="shared" si="33"/>
        <v>3.2933925400000001</v>
      </c>
      <c r="AJ22" s="1484">
        <f t="shared" si="33"/>
        <v>0.47697409200000007</v>
      </c>
      <c r="AK22" s="1484">
        <f t="shared" si="33"/>
        <v>0.47697409200000007</v>
      </c>
      <c r="AL22" s="1484">
        <f t="shared" si="33"/>
        <v>0.64164371900000006</v>
      </c>
      <c r="AM22" s="1484">
        <f t="shared" si="33"/>
        <v>0.36340883200000001</v>
      </c>
      <c r="AN22" s="1484">
        <f t="shared" si="33"/>
        <v>0.36340883200000001</v>
      </c>
      <c r="AO22" s="1484">
        <f>AO21*5.678263</f>
        <v>0.70410461200000007</v>
      </c>
      <c r="AP22" s="1484">
        <f t="shared" ref="AP22:AQ22" si="34">AP21*5.678263</f>
        <v>0.50536540699999999</v>
      </c>
      <c r="AQ22" s="1484">
        <f t="shared" si="34"/>
        <v>0.36340883200000001</v>
      </c>
      <c r="AR22" s="1484">
        <f>AR21*5.678263</f>
        <v>0.50536540699999999</v>
      </c>
      <c r="AS22" s="1003">
        <v>0.66700000000000004</v>
      </c>
      <c r="AT22" s="1003">
        <v>0.52300000000000002</v>
      </c>
      <c r="AU22" s="1003">
        <v>6.484</v>
      </c>
      <c r="AV22" s="1484">
        <f t="shared" ref="AV22:AW22" si="35">AV21*5.678263</f>
        <v>0.49400888100000001</v>
      </c>
      <c r="AW22" s="1484">
        <f t="shared" si="35"/>
        <v>0.42019146200000002</v>
      </c>
      <c r="AX22" s="1484">
        <f>AX21*5.678263</f>
        <v>0.77792203100000012</v>
      </c>
      <c r="AY22" s="1484">
        <f t="shared" ref="AY22:AZ22" si="36">AY21*5.678263</f>
        <v>0.215773994</v>
      </c>
      <c r="AZ22" s="1484">
        <f t="shared" si="36"/>
        <v>0.215773994</v>
      </c>
      <c r="BA22" s="1484">
        <f>BA21*5.678263</f>
        <v>0.39180014700000004</v>
      </c>
      <c r="BB22" s="1484">
        <v>0.66700000000000004</v>
      </c>
      <c r="BC22" s="1484">
        <v>0.52300000000000002</v>
      </c>
      <c r="BD22" s="1484">
        <v>6.484</v>
      </c>
      <c r="BE22" s="1484">
        <f>BE21*1.7315</f>
        <v>1.263995</v>
      </c>
      <c r="BF22" s="1484">
        <f t="shared" ref="BF22:BJ22" si="37">BF21*1.7315</f>
        <v>0.93501000000000012</v>
      </c>
      <c r="BG22" s="1484">
        <f t="shared" si="37"/>
        <v>1.263995</v>
      </c>
      <c r="BH22" s="1484">
        <f t="shared" si="37"/>
        <v>1.48909</v>
      </c>
      <c r="BI22" s="1484">
        <f t="shared" si="37"/>
        <v>1.48909</v>
      </c>
      <c r="BJ22" s="1484">
        <f t="shared" si="37"/>
        <v>1.76613</v>
      </c>
      <c r="BK22" s="1484">
        <f>BK21*5.678263</f>
        <v>3.9747840999999999</v>
      </c>
      <c r="BL22" s="1484">
        <f>BL21*5.678263</f>
        <v>3.9747840999999999</v>
      </c>
      <c r="BM22" s="1484">
        <f t="shared" ref="BM22" si="38">BM21*5.678263</f>
        <v>3.9747840999999999</v>
      </c>
      <c r="BN22" s="1484">
        <f t="shared" ref="BN22" si="39">BN21*5.678263</f>
        <v>2.8391315000000001</v>
      </c>
      <c r="BO22" s="1484">
        <f t="shared" ref="BO22" si="40">BO21*5.678263</f>
        <v>2.8391315000000001</v>
      </c>
      <c r="BP22" s="1484">
        <f t="shared" ref="BP22" si="41">BP21*5.678263</f>
        <v>8.2334813499999999</v>
      </c>
      <c r="BQ22" s="823"/>
      <c r="BR22" s="1003">
        <f>BR21*5.678263</f>
        <v>2.2713052</v>
      </c>
      <c r="BS22" s="1003">
        <f t="shared" ref="BS22" si="42">BS21*5.678263</f>
        <v>2.2713052</v>
      </c>
      <c r="BT22" s="1003">
        <f t="shared" ref="BT22" si="43">BT21*5.678263</f>
        <v>6.8139156000000005</v>
      </c>
      <c r="BU22" s="1003">
        <f t="shared" ref="BU22" si="44">BU21*5.678263</f>
        <v>2.8391315000000001</v>
      </c>
      <c r="BV22" s="1003">
        <f t="shared" ref="BV22" si="45">BV21*5.678263</f>
        <v>2.8391315000000001</v>
      </c>
      <c r="BW22" s="1003">
        <f t="shared" ref="BW22" si="46">BW21*5.678263</f>
        <v>6.8139156000000005</v>
      </c>
      <c r="BX22" s="1003">
        <f t="shared" ref="BX22" si="47">BX21*5.678263</f>
        <v>4.8265235500000001</v>
      </c>
      <c r="BY22" s="1003">
        <f t="shared" ref="BY22" si="48">BY21*5.678263</f>
        <v>4.8265235500000001</v>
      </c>
      <c r="BZ22" s="1003">
        <f t="shared" ref="BZ22" si="49">BZ21*5.678263</f>
        <v>6.8139156000000005</v>
      </c>
      <c r="CA22" s="1003">
        <f t="shared" ref="CA22" si="50">CA21*5.678263</f>
        <v>3.1230446500000002</v>
      </c>
      <c r="CB22" s="1003">
        <f t="shared" ref="CB22" si="51">CB21*5.678263</f>
        <v>3.1230446500000002</v>
      </c>
      <c r="CC22" s="1003">
        <f t="shared" ref="CC22" si="52">CC21*5.678263</f>
        <v>6.8139156000000005</v>
      </c>
      <c r="CD22" s="1003">
        <v>0.4</v>
      </c>
      <c r="CE22" s="1003">
        <v>0.4</v>
      </c>
      <c r="CF22" s="1003" t="s">
        <v>764</v>
      </c>
      <c r="CG22" s="1003">
        <v>0.4</v>
      </c>
      <c r="CH22" s="1003">
        <v>0.4</v>
      </c>
      <c r="CI22" s="1003" t="s">
        <v>764</v>
      </c>
      <c r="CJ22" s="1003">
        <v>0.4</v>
      </c>
      <c r="CK22" s="1003">
        <v>0.4</v>
      </c>
      <c r="CL22" s="1003" t="s">
        <v>764</v>
      </c>
      <c r="CM22" s="1003">
        <v>0.4</v>
      </c>
      <c r="CN22" s="1003">
        <v>0.4</v>
      </c>
      <c r="CO22" s="1003" t="s">
        <v>764</v>
      </c>
      <c r="CP22" s="1003">
        <v>2.84</v>
      </c>
      <c r="CQ22" s="1003">
        <v>2.84</v>
      </c>
      <c r="CR22" s="1003">
        <v>2.84</v>
      </c>
      <c r="CS22" s="1003">
        <v>2.84</v>
      </c>
      <c r="CT22" s="1003">
        <v>6.53</v>
      </c>
      <c r="CU22" s="1003">
        <v>6.53</v>
      </c>
      <c r="CV22" s="1003">
        <v>0.4</v>
      </c>
      <c r="CW22" s="1003">
        <v>0.4</v>
      </c>
      <c r="CX22" s="1003">
        <v>0.4</v>
      </c>
      <c r="CY22" s="1003">
        <v>0.4</v>
      </c>
      <c r="CZ22" s="1003" t="s">
        <v>764</v>
      </c>
      <c r="DA22" s="1004" t="s">
        <v>764</v>
      </c>
    </row>
    <row r="23" spans="1:105" s="129" customFormat="1" ht="45.6" x14ac:dyDescent="0.25">
      <c r="A23" s="148" t="s">
        <v>774</v>
      </c>
      <c r="B23" s="152" t="s">
        <v>1681</v>
      </c>
      <c r="C23" s="152" t="s">
        <v>1681</v>
      </c>
      <c r="D23" s="152" t="s">
        <v>1696</v>
      </c>
      <c r="E23" s="142" t="s">
        <v>1697</v>
      </c>
      <c r="F23" s="142" t="s">
        <v>1684</v>
      </c>
      <c r="G23" s="142" t="s">
        <v>1683</v>
      </c>
      <c r="H23" s="142" t="s">
        <v>202</v>
      </c>
      <c r="I23" s="142" t="s">
        <v>202</v>
      </c>
      <c r="J23" s="142" t="s">
        <v>202</v>
      </c>
      <c r="K23" s="142" t="s">
        <v>1685</v>
      </c>
      <c r="L23" s="142" t="s">
        <v>1686</v>
      </c>
      <c r="M23" s="142" t="s">
        <v>1687</v>
      </c>
      <c r="N23" s="142" t="s">
        <v>184</v>
      </c>
      <c r="O23" s="142" t="s">
        <v>184</v>
      </c>
      <c r="P23" s="142" t="s">
        <v>184</v>
      </c>
      <c r="Q23" s="142" t="s">
        <v>187</v>
      </c>
      <c r="R23" s="142" t="s">
        <v>187</v>
      </c>
      <c r="S23" s="142" t="s">
        <v>187</v>
      </c>
      <c r="T23" s="142" t="s">
        <v>188</v>
      </c>
      <c r="U23" s="142" t="s">
        <v>189</v>
      </c>
      <c r="V23" s="142" t="s">
        <v>188</v>
      </c>
      <c r="W23" s="327"/>
      <c r="X23" s="1981">
        <v>4.8000000000000001E-2</v>
      </c>
      <c r="Y23" s="1981">
        <v>4.8000000000000001E-2</v>
      </c>
      <c r="Z23" s="1485">
        <v>0.11899999999999999</v>
      </c>
      <c r="AA23" s="1981">
        <v>5.5E-2</v>
      </c>
      <c r="AB23" s="1981">
        <v>5.5E-2</v>
      </c>
      <c r="AC23" s="1485">
        <v>8.3000000000000004E-2</v>
      </c>
      <c r="AD23" s="1981">
        <v>2.7E-2</v>
      </c>
      <c r="AE23" s="1981">
        <v>2.7E-2</v>
      </c>
      <c r="AF23" s="1485">
        <v>5.2999999999999999E-2</v>
      </c>
      <c r="AG23" s="1485">
        <v>0.09</v>
      </c>
      <c r="AH23" s="1485">
        <v>0.08</v>
      </c>
      <c r="AI23" s="1485">
        <v>0.151</v>
      </c>
      <c r="AJ23" s="1485">
        <v>6.9000000000000006E-2</v>
      </c>
      <c r="AK23" s="1485">
        <v>6.9000000000000006E-2</v>
      </c>
      <c r="AL23" s="1485">
        <v>0.113</v>
      </c>
      <c r="AM23" s="1485">
        <v>6.4000000000000001E-2</v>
      </c>
      <c r="AN23" s="1485">
        <v>6.4000000000000001E-2</v>
      </c>
      <c r="AO23" s="1485">
        <v>0.124</v>
      </c>
      <c r="AP23" s="1485">
        <v>6.4000000000000001E-2</v>
      </c>
      <c r="AQ23" s="1485">
        <v>5.0999999999999997E-2</v>
      </c>
      <c r="AR23" s="1485">
        <v>8.8999999999999996E-2</v>
      </c>
      <c r="AS23" s="142" t="s">
        <v>167</v>
      </c>
      <c r="AT23" s="142" t="s">
        <v>167</v>
      </c>
      <c r="AU23" s="142" t="s">
        <v>167</v>
      </c>
      <c r="AV23" s="1485">
        <v>7.3999999999999996E-2</v>
      </c>
      <c r="AW23" s="1485">
        <v>6.4000000000000001E-2</v>
      </c>
      <c r="AX23" s="1485">
        <v>0.13700000000000001</v>
      </c>
      <c r="AY23" s="1485">
        <v>3.7999999999999999E-2</v>
      </c>
      <c r="AZ23" s="1485">
        <v>3.7999999999999999E-2</v>
      </c>
      <c r="BA23" s="1485">
        <v>5.1999999999999998E-2</v>
      </c>
      <c r="BB23" s="1485">
        <v>3.3000000000000002E-2</v>
      </c>
      <c r="BC23" s="1485">
        <v>3.3000000000000002E-2</v>
      </c>
      <c r="BD23" s="1485">
        <v>5.0999999999999997E-2</v>
      </c>
      <c r="BE23" s="1485">
        <v>0.73</v>
      </c>
      <c r="BF23" s="1485">
        <v>0.54</v>
      </c>
      <c r="BG23" s="1485">
        <v>0.73</v>
      </c>
      <c r="BH23" s="1485">
        <v>0.86</v>
      </c>
      <c r="BI23" s="1485">
        <v>0.86</v>
      </c>
      <c r="BJ23" s="1485">
        <v>1.02</v>
      </c>
      <c r="BK23" s="1485">
        <v>0.7</v>
      </c>
      <c r="BL23" s="1485">
        <v>0.5</v>
      </c>
      <c r="BM23" s="1485">
        <v>0.7</v>
      </c>
      <c r="BN23" s="1006">
        <v>0.5</v>
      </c>
      <c r="BO23" s="1006">
        <v>0.5</v>
      </c>
      <c r="BP23" s="1006">
        <v>1.45</v>
      </c>
      <c r="BQ23" s="327"/>
      <c r="BR23" s="817">
        <v>0.35</v>
      </c>
      <c r="BS23" s="817">
        <v>0.35</v>
      </c>
      <c r="BT23" s="817">
        <v>1.2</v>
      </c>
      <c r="BU23" s="817">
        <v>0.45</v>
      </c>
      <c r="BV23" s="817">
        <v>0.45</v>
      </c>
      <c r="BW23" s="817">
        <v>1.2</v>
      </c>
      <c r="BX23" s="817">
        <v>0.8</v>
      </c>
      <c r="BY23" s="817">
        <v>0.8</v>
      </c>
      <c r="BZ23" s="817">
        <v>1.2</v>
      </c>
      <c r="CA23" s="817">
        <v>0.55000000000000004</v>
      </c>
      <c r="CB23" s="817">
        <v>0.55000000000000004</v>
      </c>
      <c r="CC23" s="817">
        <v>1.2</v>
      </c>
      <c r="CD23" s="142">
        <v>0.49</v>
      </c>
      <c r="CE23" s="142">
        <v>0.49</v>
      </c>
      <c r="CF23" s="142" t="s">
        <v>764</v>
      </c>
      <c r="CG23" s="142">
        <v>0.39</v>
      </c>
      <c r="CH23" s="142">
        <v>0.39</v>
      </c>
      <c r="CI23" s="142" t="s">
        <v>764</v>
      </c>
      <c r="CJ23" s="142">
        <v>0.39</v>
      </c>
      <c r="CK23" s="142">
        <v>0.39</v>
      </c>
      <c r="CL23" s="142" t="s">
        <v>764</v>
      </c>
      <c r="CM23" s="142">
        <v>0.39</v>
      </c>
      <c r="CN23" s="142">
        <v>0.39</v>
      </c>
      <c r="CO23" s="142" t="s">
        <v>764</v>
      </c>
      <c r="CP23" s="142">
        <v>1.17</v>
      </c>
      <c r="CQ23" s="142">
        <v>1.17</v>
      </c>
      <c r="CR23" s="142">
        <v>1.17</v>
      </c>
      <c r="CS23" s="142">
        <v>1.17</v>
      </c>
      <c r="CT23" s="142">
        <v>1.17</v>
      </c>
      <c r="CU23" s="142">
        <v>1.17</v>
      </c>
      <c r="CV23" s="142">
        <v>0.49</v>
      </c>
      <c r="CW23" s="142">
        <v>0.39</v>
      </c>
      <c r="CX23" s="142">
        <v>0.77</v>
      </c>
      <c r="CY23" s="142">
        <v>0.62</v>
      </c>
      <c r="CZ23" s="142">
        <v>0.49</v>
      </c>
      <c r="DA23" s="143">
        <v>0.39</v>
      </c>
    </row>
    <row r="24" spans="1:105" s="129" customFormat="1" ht="57" x14ac:dyDescent="0.25">
      <c r="A24" s="147" t="s">
        <v>789</v>
      </c>
      <c r="B24" s="151" t="s">
        <v>1689</v>
      </c>
      <c r="C24" s="132" t="s">
        <v>1689</v>
      </c>
      <c r="D24" s="132" t="s">
        <v>1698</v>
      </c>
      <c r="E24" s="132" t="s">
        <v>1699</v>
      </c>
      <c r="F24" s="132" t="s">
        <v>1692</v>
      </c>
      <c r="G24" s="132" t="s">
        <v>1691</v>
      </c>
      <c r="H24" s="132" t="s">
        <v>716</v>
      </c>
      <c r="I24" s="132" t="s">
        <v>716</v>
      </c>
      <c r="J24" s="132" t="s">
        <v>716</v>
      </c>
      <c r="K24" s="132" t="s">
        <v>1693</v>
      </c>
      <c r="L24" s="132" t="s">
        <v>1694</v>
      </c>
      <c r="M24" s="132" t="s">
        <v>1695</v>
      </c>
      <c r="N24" s="132" t="s">
        <v>718</v>
      </c>
      <c r="O24" s="132" t="s">
        <v>718</v>
      </c>
      <c r="P24" s="132" t="s">
        <v>718</v>
      </c>
      <c r="Q24" s="132" t="s">
        <v>719</v>
      </c>
      <c r="R24" s="132" t="s">
        <v>719</v>
      </c>
      <c r="S24" s="132" t="s">
        <v>719</v>
      </c>
      <c r="T24" s="132" t="s">
        <v>720</v>
      </c>
      <c r="U24" s="132" t="s">
        <v>734</v>
      </c>
      <c r="V24" s="132" t="s">
        <v>720</v>
      </c>
      <c r="W24" s="327"/>
      <c r="X24" s="1484">
        <f>X23*5.678263</f>
        <v>0.27255662400000003</v>
      </c>
      <c r="Y24" s="1484">
        <f t="shared" ref="Y24:AE24" si="53">Y23*5.678263</f>
        <v>0.27255662400000003</v>
      </c>
      <c r="Z24" s="1484">
        <f t="shared" si="53"/>
        <v>0.67571329700000005</v>
      </c>
      <c r="AA24" s="1484">
        <f t="shared" si="53"/>
        <v>0.31230446500000003</v>
      </c>
      <c r="AB24" s="1484">
        <f t="shared" si="53"/>
        <v>0.31230446500000003</v>
      </c>
      <c r="AC24" s="1484">
        <f t="shared" si="53"/>
        <v>0.47129582900000005</v>
      </c>
      <c r="AD24" s="1484">
        <f t="shared" si="53"/>
        <v>0.15331310100000001</v>
      </c>
      <c r="AE24" s="1484">
        <f t="shared" si="53"/>
        <v>0.15331310100000001</v>
      </c>
      <c r="AF24" s="1484">
        <f>AF23*5.678263</f>
        <v>0.300947939</v>
      </c>
      <c r="AG24" s="1484">
        <f>AG23*5.678263</f>
        <v>0.51104367000000006</v>
      </c>
      <c r="AH24" s="1484">
        <f t="shared" ref="AH24:AN24" si="54">AH23*5.678263</f>
        <v>0.45426104</v>
      </c>
      <c r="AI24" s="1484">
        <f t="shared" si="54"/>
        <v>0.85741771300000003</v>
      </c>
      <c r="AJ24" s="1484">
        <f t="shared" si="54"/>
        <v>0.39180014700000004</v>
      </c>
      <c r="AK24" s="1484">
        <f t="shared" si="54"/>
        <v>0.39180014700000004</v>
      </c>
      <c r="AL24" s="1484">
        <f t="shared" si="54"/>
        <v>0.64164371900000006</v>
      </c>
      <c r="AM24" s="1484">
        <f t="shared" si="54"/>
        <v>0.36340883200000001</v>
      </c>
      <c r="AN24" s="1484">
        <f t="shared" si="54"/>
        <v>0.36340883200000001</v>
      </c>
      <c r="AO24" s="1484">
        <f>AO23*5.678263</f>
        <v>0.70410461200000007</v>
      </c>
      <c r="AP24" s="1484">
        <f t="shared" ref="AP24:AQ24" si="55">AP23*5.678263</f>
        <v>0.36340883200000001</v>
      </c>
      <c r="AQ24" s="1484">
        <f t="shared" si="55"/>
        <v>0.28959141300000002</v>
      </c>
      <c r="AR24" s="1484">
        <f>AR23*5.678263</f>
        <v>0.50536540699999999</v>
      </c>
      <c r="AS24" s="132" t="s">
        <v>726</v>
      </c>
      <c r="AT24" s="132" t="s">
        <v>726</v>
      </c>
      <c r="AU24" s="132" t="s">
        <v>726</v>
      </c>
      <c r="AV24" s="1484">
        <f t="shared" ref="AV24:AW24" si="56">AV23*5.678263</f>
        <v>0.42019146200000002</v>
      </c>
      <c r="AW24" s="1484">
        <f t="shared" si="56"/>
        <v>0.36340883200000001</v>
      </c>
      <c r="AX24" s="1484">
        <f>AX23*5.678263</f>
        <v>0.77792203100000012</v>
      </c>
      <c r="AY24" s="1484">
        <f t="shared" ref="AY24:AZ24" si="57">AY23*5.678263</f>
        <v>0.215773994</v>
      </c>
      <c r="AZ24" s="1484">
        <f t="shared" si="57"/>
        <v>0.215773994</v>
      </c>
      <c r="BA24" s="1484">
        <f>BA23*5.678263</f>
        <v>0.29526967599999998</v>
      </c>
      <c r="BB24" s="1484">
        <v>0.66700000000000004</v>
      </c>
      <c r="BC24" s="1484">
        <v>0.52300000000000002</v>
      </c>
      <c r="BD24" s="1484">
        <v>6.484</v>
      </c>
      <c r="BE24" s="1484">
        <f>BE23*1.7315</f>
        <v>1.263995</v>
      </c>
      <c r="BF24" s="1484">
        <f t="shared" ref="BF24:BJ24" si="58">BF23*1.7315</f>
        <v>0.93501000000000012</v>
      </c>
      <c r="BG24" s="1484">
        <f t="shared" si="58"/>
        <v>1.263995</v>
      </c>
      <c r="BH24" s="1484">
        <f t="shared" si="58"/>
        <v>1.48909</v>
      </c>
      <c r="BI24" s="1484">
        <f t="shared" si="58"/>
        <v>1.48909</v>
      </c>
      <c r="BJ24" s="1484">
        <f t="shared" si="58"/>
        <v>1.76613</v>
      </c>
      <c r="BK24" s="1484">
        <f>BK23*5.678263</f>
        <v>3.9747840999999999</v>
      </c>
      <c r="BL24" s="1484">
        <f>BL23*5.678263</f>
        <v>2.8391315000000001</v>
      </c>
      <c r="BM24" s="1484">
        <f t="shared" ref="BM24" si="59">BM23*5.678263</f>
        <v>3.9747840999999999</v>
      </c>
      <c r="BN24" s="1484">
        <f t="shared" ref="BN24" si="60">BN23*5.678263</f>
        <v>2.8391315000000001</v>
      </c>
      <c r="BO24" s="1484">
        <f t="shared" ref="BO24" si="61">BO23*5.678263</f>
        <v>2.8391315000000001</v>
      </c>
      <c r="BP24" s="1484">
        <f t="shared" ref="BP24" si="62">BP23*5.678263</f>
        <v>8.2334813499999999</v>
      </c>
      <c r="BQ24" s="327"/>
      <c r="BR24" s="1003">
        <f>BR23*5.678263</f>
        <v>1.98739205</v>
      </c>
      <c r="BS24" s="1003">
        <f t="shared" ref="BS24" si="63">BS23*5.678263</f>
        <v>1.98739205</v>
      </c>
      <c r="BT24" s="1003">
        <f t="shared" ref="BT24" si="64">BT23*5.678263</f>
        <v>6.8139156000000005</v>
      </c>
      <c r="BU24" s="1003">
        <f t="shared" ref="BU24" si="65">BU23*5.678263</f>
        <v>2.5552183500000001</v>
      </c>
      <c r="BV24" s="1003">
        <f t="shared" ref="BV24" si="66">BV23*5.678263</f>
        <v>2.5552183500000001</v>
      </c>
      <c r="BW24" s="1003">
        <f t="shared" ref="BW24" si="67">BW23*5.678263</f>
        <v>6.8139156000000005</v>
      </c>
      <c r="BX24" s="1003">
        <f t="shared" ref="BX24" si="68">BX23*5.678263</f>
        <v>4.5426104</v>
      </c>
      <c r="BY24" s="1003">
        <f t="shared" ref="BY24" si="69">BY23*5.678263</f>
        <v>4.5426104</v>
      </c>
      <c r="BZ24" s="1003">
        <f t="shared" ref="BZ24" si="70">BZ23*5.678263</f>
        <v>6.8139156000000005</v>
      </c>
      <c r="CA24" s="1003">
        <f t="shared" ref="CA24" si="71">CA23*5.678263</f>
        <v>3.1230446500000002</v>
      </c>
      <c r="CB24" s="1003">
        <f t="shared" ref="CB24" si="72">CB23*5.678263</f>
        <v>3.1230446500000002</v>
      </c>
      <c r="CC24" s="1003">
        <f t="shared" ref="CC24" si="73">CC23*5.678263</f>
        <v>6.8139156000000005</v>
      </c>
      <c r="CD24" s="132">
        <v>0.49</v>
      </c>
      <c r="CE24" s="132">
        <v>0.49</v>
      </c>
      <c r="CF24" s="132" t="s">
        <v>764</v>
      </c>
      <c r="CG24" s="132">
        <v>0.39</v>
      </c>
      <c r="CH24" s="132">
        <v>0.39</v>
      </c>
      <c r="CI24" s="132" t="s">
        <v>764</v>
      </c>
      <c r="CJ24" s="132">
        <v>0.39</v>
      </c>
      <c r="CK24" s="132">
        <v>0.39</v>
      </c>
      <c r="CL24" s="132" t="s">
        <v>764</v>
      </c>
      <c r="CM24" s="132">
        <v>0.39</v>
      </c>
      <c r="CN24" s="132">
        <v>0.39</v>
      </c>
      <c r="CO24" s="132" t="s">
        <v>764</v>
      </c>
      <c r="CP24" s="132">
        <v>6.64</v>
      </c>
      <c r="CQ24" s="132">
        <v>6.64</v>
      </c>
      <c r="CR24" s="132">
        <v>6.64</v>
      </c>
      <c r="CS24" s="132">
        <v>6.64</v>
      </c>
      <c r="CT24" s="132">
        <v>6.64</v>
      </c>
      <c r="CU24" s="132">
        <v>6.64</v>
      </c>
      <c r="CV24" s="132">
        <v>0.49</v>
      </c>
      <c r="CW24" s="132">
        <v>0.39</v>
      </c>
      <c r="CX24" s="132">
        <v>0.77</v>
      </c>
      <c r="CY24" s="132">
        <v>0.62</v>
      </c>
      <c r="CZ24" s="132">
        <v>0.49</v>
      </c>
      <c r="DA24" s="141">
        <v>0.39</v>
      </c>
    </row>
    <row r="25" spans="1:105" s="129" customFormat="1" ht="45.6" x14ac:dyDescent="0.25">
      <c r="A25" s="148" t="s">
        <v>775</v>
      </c>
      <c r="B25" s="152" t="s">
        <v>1681</v>
      </c>
      <c r="C25" s="142" t="s">
        <v>1681</v>
      </c>
      <c r="D25" s="142" t="s">
        <v>1696</v>
      </c>
      <c r="E25" s="142" t="s">
        <v>1697</v>
      </c>
      <c r="F25" s="142" t="s">
        <v>1684</v>
      </c>
      <c r="G25" s="142" t="s">
        <v>1683</v>
      </c>
      <c r="H25" s="142" t="s">
        <v>202</v>
      </c>
      <c r="I25" s="142" t="s">
        <v>202</v>
      </c>
      <c r="J25" s="142" t="s">
        <v>202</v>
      </c>
      <c r="K25" s="142" t="s">
        <v>1685</v>
      </c>
      <c r="L25" s="142" t="s">
        <v>1686</v>
      </c>
      <c r="M25" s="142" t="s">
        <v>1687</v>
      </c>
      <c r="N25" s="142" t="s">
        <v>184</v>
      </c>
      <c r="O25" s="142" t="s">
        <v>184</v>
      </c>
      <c r="P25" s="142" t="s">
        <v>184</v>
      </c>
      <c r="Q25" s="142" t="s">
        <v>187</v>
      </c>
      <c r="R25" s="142" t="s">
        <v>187</v>
      </c>
      <c r="S25" s="142" t="s">
        <v>187</v>
      </c>
      <c r="T25" s="142" t="s">
        <v>188</v>
      </c>
      <c r="U25" s="142" t="s">
        <v>189</v>
      </c>
      <c r="V25" s="142" t="s">
        <v>188</v>
      </c>
      <c r="W25" s="327"/>
      <c r="X25" s="1981">
        <v>4.8000000000000001E-2</v>
      </c>
      <c r="Y25" s="1981">
        <v>4.8000000000000001E-2</v>
      </c>
      <c r="Z25" s="1485">
        <v>0.11899999999999999</v>
      </c>
      <c r="AA25" s="1981">
        <v>5.5E-2</v>
      </c>
      <c r="AB25" s="1981">
        <v>5.5E-2</v>
      </c>
      <c r="AC25" s="1485">
        <v>8.3000000000000004E-2</v>
      </c>
      <c r="AD25" s="1981">
        <v>2.7E-2</v>
      </c>
      <c r="AE25" s="1981">
        <v>2.7E-2</v>
      </c>
      <c r="AF25" s="1485">
        <v>5.2999999999999999E-2</v>
      </c>
      <c r="AG25" s="1485">
        <v>0.09</v>
      </c>
      <c r="AH25" s="1485">
        <v>0.08</v>
      </c>
      <c r="AI25" s="1485">
        <v>0.151</v>
      </c>
      <c r="AJ25" s="1485">
        <v>6.9000000000000006E-2</v>
      </c>
      <c r="AK25" s="1485">
        <v>6.9000000000000006E-2</v>
      </c>
      <c r="AL25" s="1485">
        <v>0.113</v>
      </c>
      <c r="AM25" s="1485">
        <v>6.4000000000000001E-2</v>
      </c>
      <c r="AN25" s="1485">
        <v>6.4000000000000001E-2</v>
      </c>
      <c r="AO25" s="1485">
        <v>0.124</v>
      </c>
      <c r="AP25" s="1485">
        <v>6.4000000000000001E-2</v>
      </c>
      <c r="AQ25" s="1485">
        <v>5.0999999999999997E-2</v>
      </c>
      <c r="AR25" s="1485">
        <v>8.8999999999999996E-2</v>
      </c>
      <c r="AS25" s="142" t="s">
        <v>167</v>
      </c>
      <c r="AT25" s="142" t="s">
        <v>167</v>
      </c>
      <c r="AU25" s="142" t="s">
        <v>167</v>
      </c>
      <c r="AV25" s="1485">
        <v>7.3999999999999996E-2</v>
      </c>
      <c r="AW25" s="1485">
        <v>6.4000000000000001E-2</v>
      </c>
      <c r="AX25" s="1485">
        <v>0.13700000000000001</v>
      </c>
      <c r="AY25" s="1485">
        <v>3.7999999999999999E-2</v>
      </c>
      <c r="AZ25" s="1485">
        <v>3.7999999999999999E-2</v>
      </c>
      <c r="BA25" s="1485">
        <v>5.1999999999999998E-2</v>
      </c>
      <c r="BB25" s="1485">
        <v>3.3000000000000002E-2</v>
      </c>
      <c r="BC25" s="1485">
        <v>3.3000000000000002E-2</v>
      </c>
      <c r="BD25" s="1485">
        <v>5.0999999999999997E-2</v>
      </c>
      <c r="BE25" s="1485">
        <v>0.73</v>
      </c>
      <c r="BF25" s="1485">
        <v>0.54</v>
      </c>
      <c r="BG25" s="1485">
        <v>0.73</v>
      </c>
      <c r="BH25" s="1485">
        <v>0.86</v>
      </c>
      <c r="BI25" s="1485">
        <v>0.86</v>
      </c>
      <c r="BJ25" s="1485">
        <v>1.02</v>
      </c>
      <c r="BK25" s="1485">
        <v>0.7</v>
      </c>
      <c r="BL25" s="1485">
        <v>0.5</v>
      </c>
      <c r="BM25" s="1485">
        <v>0.7</v>
      </c>
      <c r="BN25" s="1006">
        <v>0.5</v>
      </c>
      <c r="BO25" s="1006">
        <v>0.5</v>
      </c>
      <c r="BP25" s="1006">
        <v>1.45</v>
      </c>
      <c r="BQ25" s="327"/>
      <c r="BR25" s="817">
        <v>0.35</v>
      </c>
      <c r="BS25" s="817">
        <v>0.35</v>
      </c>
      <c r="BT25" s="817">
        <v>1.2</v>
      </c>
      <c r="BU25" s="817">
        <v>0.45</v>
      </c>
      <c r="BV25" s="817">
        <v>0.45</v>
      </c>
      <c r="BW25" s="817">
        <v>1.2</v>
      </c>
      <c r="BX25" s="817">
        <v>0.8</v>
      </c>
      <c r="BY25" s="817">
        <v>0.8</v>
      </c>
      <c r="BZ25" s="817">
        <v>1.2</v>
      </c>
      <c r="CA25" s="817">
        <v>0.55000000000000004</v>
      </c>
      <c r="CB25" s="817">
        <v>0.55000000000000004</v>
      </c>
      <c r="CC25" s="817">
        <v>1.2</v>
      </c>
      <c r="CD25" s="142">
        <v>0.49</v>
      </c>
      <c r="CE25" s="142">
        <v>0.49</v>
      </c>
      <c r="CF25" s="142" t="s">
        <v>764</v>
      </c>
      <c r="CG25" s="142">
        <v>0.39</v>
      </c>
      <c r="CH25" s="142">
        <v>0.39</v>
      </c>
      <c r="CI25" s="142" t="s">
        <v>764</v>
      </c>
      <c r="CJ25" s="142">
        <v>0.39</v>
      </c>
      <c r="CK25" s="142">
        <v>0.39</v>
      </c>
      <c r="CL25" s="142" t="s">
        <v>764</v>
      </c>
      <c r="CM25" s="142">
        <v>0.39</v>
      </c>
      <c r="CN25" s="142">
        <v>0.39</v>
      </c>
      <c r="CO25" s="142" t="s">
        <v>764</v>
      </c>
      <c r="CP25" s="142">
        <v>1.17</v>
      </c>
      <c r="CQ25" s="142">
        <v>1.17</v>
      </c>
      <c r="CR25" s="142">
        <v>1.17</v>
      </c>
      <c r="CS25" s="142">
        <v>1.17</v>
      </c>
      <c r="CT25" s="142">
        <v>1.17</v>
      </c>
      <c r="CU25" s="142">
        <v>1.17</v>
      </c>
      <c r="CV25" s="142">
        <v>0.49</v>
      </c>
      <c r="CW25" s="142">
        <v>0.39</v>
      </c>
      <c r="CX25" s="142">
        <v>0.77</v>
      </c>
      <c r="CY25" s="142">
        <v>0.62</v>
      </c>
      <c r="CZ25" s="142">
        <v>0.49</v>
      </c>
      <c r="DA25" s="143">
        <v>0.39</v>
      </c>
    </row>
    <row r="26" spans="1:105" s="129" customFormat="1" ht="57" x14ac:dyDescent="0.25">
      <c r="A26" s="147" t="s">
        <v>788</v>
      </c>
      <c r="B26" s="151" t="s">
        <v>1689</v>
      </c>
      <c r="C26" s="132" t="s">
        <v>1689</v>
      </c>
      <c r="D26" s="132" t="s">
        <v>1698</v>
      </c>
      <c r="E26" s="132" t="s">
        <v>1699</v>
      </c>
      <c r="F26" s="132" t="s">
        <v>1692</v>
      </c>
      <c r="G26" s="132" t="s">
        <v>1691</v>
      </c>
      <c r="H26" s="132" t="s">
        <v>716</v>
      </c>
      <c r="I26" s="132" t="s">
        <v>716</v>
      </c>
      <c r="J26" s="132" t="s">
        <v>716</v>
      </c>
      <c r="K26" s="132" t="s">
        <v>1693</v>
      </c>
      <c r="L26" s="132" t="s">
        <v>1694</v>
      </c>
      <c r="M26" s="132" t="s">
        <v>1695</v>
      </c>
      <c r="N26" s="132" t="s">
        <v>718</v>
      </c>
      <c r="O26" s="132" t="s">
        <v>718</v>
      </c>
      <c r="P26" s="132" t="s">
        <v>718</v>
      </c>
      <c r="Q26" s="132" t="s">
        <v>719</v>
      </c>
      <c r="R26" s="132" t="s">
        <v>719</v>
      </c>
      <c r="S26" s="132" t="s">
        <v>719</v>
      </c>
      <c r="T26" s="132" t="s">
        <v>720</v>
      </c>
      <c r="U26" s="132" t="s">
        <v>734</v>
      </c>
      <c r="V26" s="132" t="s">
        <v>720</v>
      </c>
      <c r="W26" s="327"/>
      <c r="X26" s="1484">
        <f>X25*5.678263</f>
        <v>0.27255662400000003</v>
      </c>
      <c r="Y26" s="1484">
        <f t="shared" ref="Y26:AE26" si="74">Y25*5.678263</f>
        <v>0.27255662400000003</v>
      </c>
      <c r="Z26" s="1484">
        <f t="shared" si="74"/>
        <v>0.67571329700000005</v>
      </c>
      <c r="AA26" s="1484">
        <f t="shared" si="74"/>
        <v>0.31230446500000003</v>
      </c>
      <c r="AB26" s="1484">
        <f t="shared" si="74"/>
        <v>0.31230446500000003</v>
      </c>
      <c r="AC26" s="1484">
        <f t="shared" si="74"/>
        <v>0.47129582900000005</v>
      </c>
      <c r="AD26" s="1484">
        <f t="shared" si="74"/>
        <v>0.15331310100000001</v>
      </c>
      <c r="AE26" s="1484">
        <f t="shared" si="74"/>
        <v>0.15331310100000001</v>
      </c>
      <c r="AF26" s="1484">
        <f>AF25*5.678263</f>
        <v>0.300947939</v>
      </c>
      <c r="AG26" s="1484">
        <f>AG25*5.678263</f>
        <v>0.51104367000000006</v>
      </c>
      <c r="AH26" s="1484">
        <f t="shared" ref="AH26:AN26" si="75">AH25*5.678263</f>
        <v>0.45426104</v>
      </c>
      <c r="AI26" s="1484">
        <f t="shared" si="75"/>
        <v>0.85741771300000003</v>
      </c>
      <c r="AJ26" s="1484">
        <f t="shared" si="75"/>
        <v>0.39180014700000004</v>
      </c>
      <c r="AK26" s="1484">
        <f t="shared" si="75"/>
        <v>0.39180014700000004</v>
      </c>
      <c r="AL26" s="1484">
        <f t="shared" si="75"/>
        <v>0.64164371900000006</v>
      </c>
      <c r="AM26" s="1484">
        <f t="shared" si="75"/>
        <v>0.36340883200000001</v>
      </c>
      <c r="AN26" s="1484">
        <f t="shared" si="75"/>
        <v>0.36340883200000001</v>
      </c>
      <c r="AO26" s="1484">
        <f>AO25*5.678263</f>
        <v>0.70410461200000007</v>
      </c>
      <c r="AP26" s="1484">
        <f t="shared" ref="AP26:AQ26" si="76">AP25*5.678263</f>
        <v>0.36340883200000001</v>
      </c>
      <c r="AQ26" s="1484">
        <f t="shared" si="76"/>
        <v>0.28959141300000002</v>
      </c>
      <c r="AR26" s="1484">
        <f>AR25*5.678263</f>
        <v>0.50536540699999999</v>
      </c>
      <c r="AS26" s="132" t="s">
        <v>726</v>
      </c>
      <c r="AT26" s="132" t="s">
        <v>726</v>
      </c>
      <c r="AU26" s="132" t="s">
        <v>726</v>
      </c>
      <c r="AV26" s="1484">
        <f t="shared" ref="AV26:AW26" si="77">AV25*5.678263</f>
        <v>0.42019146200000002</v>
      </c>
      <c r="AW26" s="1484">
        <f t="shared" si="77"/>
        <v>0.36340883200000001</v>
      </c>
      <c r="AX26" s="1484">
        <f>AX25*5.678263</f>
        <v>0.77792203100000012</v>
      </c>
      <c r="AY26" s="1484">
        <f t="shared" ref="AY26:AZ26" si="78">AY25*5.678263</f>
        <v>0.215773994</v>
      </c>
      <c r="AZ26" s="1484">
        <f t="shared" si="78"/>
        <v>0.215773994</v>
      </c>
      <c r="BA26" s="1484">
        <f>BA25*5.678263</f>
        <v>0.29526967599999998</v>
      </c>
      <c r="BB26" s="1484">
        <v>0.66700000000000004</v>
      </c>
      <c r="BC26" s="1484">
        <v>0.52300000000000002</v>
      </c>
      <c r="BD26" s="1484">
        <v>6.484</v>
      </c>
      <c r="BE26" s="1484">
        <f>BE25*1.7315</f>
        <v>1.263995</v>
      </c>
      <c r="BF26" s="1484">
        <f t="shared" ref="BF26:BJ26" si="79">BF25*1.7315</f>
        <v>0.93501000000000012</v>
      </c>
      <c r="BG26" s="1484">
        <f t="shared" si="79"/>
        <v>1.263995</v>
      </c>
      <c r="BH26" s="1484">
        <f t="shared" si="79"/>
        <v>1.48909</v>
      </c>
      <c r="BI26" s="1484">
        <f t="shared" si="79"/>
        <v>1.48909</v>
      </c>
      <c r="BJ26" s="1484">
        <f t="shared" si="79"/>
        <v>1.76613</v>
      </c>
      <c r="BK26" s="1484">
        <f>BK25*5.678263</f>
        <v>3.9747840999999999</v>
      </c>
      <c r="BL26" s="1484">
        <f>BL25*5.678263</f>
        <v>2.8391315000000001</v>
      </c>
      <c r="BM26" s="1484">
        <f t="shared" ref="BM26" si="80">BM25*5.678263</f>
        <v>3.9747840999999999</v>
      </c>
      <c r="BN26" s="1484">
        <f t="shared" ref="BN26" si="81">BN25*5.678263</f>
        <v>2.8391315000000001</v>
      </c>
      <c r="BO26" s="1484">
        <f t="shared" ref="BO26" si="82">BO25*5.678263</f>
        <v>2.8391315000000001</v>
      </c>
      <c r="BP26" s="1484">
        <f t="shared" ref="BP26" si="83">BP25*5.678263</f>
        <v>8.2334813499999999</v>
      </c>
      <c r="BQ26" s="327"/>
      <c r="BR26" s="1003">
        <f>BR25*5.678263</f>
        <v>1.98739205</v>
      </c>
      <c r="BS26" s="1003">
        <f t="shared" ref="BS26" si="84">BS25*5.678263</f>
        <v>1.98739205</v>
      </c>
      <c r="BT26" s="1003">
        <f t="shared" ref="BT26" si="85">BT25*5.678263</f>
        <v>6.8139156000000005</v>
      </c>
      <c r="BU26" s="1003">
        <f t="shared" ref="BU26" si="86">BU25*5.678263</f>
        <v>2.5552183500000001</v>
      </c>
      <c r="BV26" s="1003">
        <f t="shared" ref="BV26" si="87">BV25*5.678263</f>
        <v>2.5552183500000001</v>
      </c>
      <c r="BW26" s="1003">
        <f t="shared" ref="BW26" si="88">BW25*5.678263</f>
        <v>6.8139156000000005</v>
      </c>
      <c r="BX26" s="1003">
        <f t="shared" ref="BX26" si="89">BX25*5.678263</f>
        <v>4.5426104</v>
      </c>
      <c r="BY26" s="1003">
        <f t="shared" ref="BY26" si="90">BY25*5.678263</f>
        <v>4.5426104</v>
      </c>
      <c r="BZ26" s="1003">
        <f t="shared" ref="BZ26" si="91">BZ25*5.678263</f>
        <v>6.8139156000000005</v>
      </c>
      <c r="CA26" s="1003">
        <f t="shared" ref="CA26" si="92">CA25*5.678263</f>
        <v>3.1230446500000002</v>
      </c>
      <c r="CB26" s="1003">
        <f t="shared" ref="CB26" si="93">CB25*5.678263</f>
        <v>3.1230446500000002</v>
      </c>
      <c r="CC26" s="1003">
        <f t="shared" ref="CC26" si="94">CC25*5.678263</f>
        <v>6.8139156000000005</v>
      </c>
      <c r="CD26" s="132">
        <v>0.49</v>
      </c>
      <c r="CE26" s="132">
        <v>0.49</v>
      </c>
      <c r="CF26" s="132" t="s">
        <v>764</v>
      </c>
      <c r="CG26" s="132">
        <v>0.39</v>
      </c>
      <c r="CH26" s="132">
        <v>0.39</v>
      </c>
      <c r="CI26" s="132" t="s">
        <v>764</v>
      </c>
      <c r="CJ26" s="132">
        <v>0.39</v>
      </c>
      <c r="CK26" s="132">
        <v>0.39</v>
      </c>
      <c r="CL26" s="132" t="s">
        <v>764</v>
      </c>
      <c r="CM26" s="132">
        <v>0.39</v>
      </c>
      <c r="CN26" s="132">
        <v>0.39</v>
      </c>
      <c r="CO26" s="132" t="s">
        <v>764</v>
      </c>
      <c r="CP26" s="132">
        <v>6.64</v>
      </c>
      <c r="CQ26" s="132">
        <v>6.64</v>
      </c>
      <c r="CR26" s="132">
        <v>6.64</v>
      </c>
      <c r="CS26" s="132">
        <v>6.64</v>
      </c>
      <c r="CT26" s="132">
        <v>6.64</v>
      </c>
      <c r="CU26" s="132">
        <v>6.64</v>
      </c>
      <c r="CV26" s="132">
        <v>0.49</v>
      </c>
      <c r="CW26" s="132">
        <v>0.39</v>
      </c>
      <c r="CX26" s="132">
        <v>0.77</v>
      </c>
      <c r="CY26" s="132">
        <v>0.62</v>
      </c>
      <c r="CZ26" s="132">
        <v>0.49</v>
      </c>
      <c r="DA26" s="141">
        <v>0.39</v>
      </c>
    </row>
    <row r="27" spans="1:105" s="129" customFormat="1" ht="45.6" x14ac:dyDescent="0.25">
      <c r="A27" s="148" t="s">
        <v>776</v>
      </c>
      <c r="B27" s="152" t="s">
        <v>1681</v>
      </c>
      <c r="C27" s="142" t="s">
        <v>1681</v>
      </c>
      <c r="D27" s="142" t="s">
        <v>1696</v>
      </c>
      <c r="E27" s="142" t="s">
        <v>1697</v>
      </c>
      <c r="F27" s="142" t="s">
        <v>1684</v>
      </c>
      <c r="G27" s="142" t="s">
        <v>1683</v>
      </c>
      <c r="H27" s="142" t="s">
        <v>202</v>
      </c>
      <c r="I27" s="142" t="s">
        <v>202</v>
      </c>
      <c r="J27" s="142" t="s">
        <v>202</v>
      </c>
      <c r="K27" s="142" t="s">
        <v>1685</v>
      </c>
      <c r="L27" s="142" t="s">
        <v>1686</v>
      </c>
      <c r="M27" s="142" t="s">
        <v>1687</v>
      </c>
      <c r="N27" s="142" t="s">
        <v>184</v>
      </c>
      <c r="O27" s="142" t="s">
        <v>184</v>
      </c>
      <c r="P27" s="142" t="s">
        <v>184</v>
      </c>
      <c r="Q27" s="142" t="s">
        <v>187</v>
      </c>
      <c r="R27" s="142" t="s">
        <v>187</v>
      </c>
      <c r="S27" s="142" t="s">
        <v>187</v>
      </c>
      <c r="T27" s="142" t="s">
        <v>188</v>
      </c>
      <c r="U27" s="142" t="s">
        <v>189</v>
      </c>
      <c r="V27" s="142" t="s">
        <v>188</v>
      </c>
      <c r="W27" s="327"/>
      <c r="X27" s="1981">
        <v>4.8000000000000001E-2</v>
      </c>
      <c r="Y27" s="1981">
        <v>4.8000000000000001E-2</v>
      </c>
      <c r="Z27" s="1485">
        <v>0.11899999999999999</v>
      </c>
      <c r="AA27" s="1981">
        <v>5.5E-2</v>
      </c>
      <c r="AB27" s="1981">
        <v>5.5E-2</v>
      </c>
      <c r="AC27" s="1485">
        <v>8.3000000000000004E-2</v>
      </c>
      <c r="AD27" s="1981">
        <v>2.7E-2</v>
      </c>
      <c r="AE27" s="1981">
        <v>2.7E-2</v>
      </c>
      <c r="AF27" s="1485">
        <v>5.2999999999999999E-2</v>
      </c>
      <c r="AG27" s="1485">
        <v>0.09</v>
      </c>
      <c r="AH27" s="1485">
        <v>0.08</v>
      </c>
      <c r="AI27" s="1485">
        <v>0.151</v>
      </c>
      <c r="AJ27" s="1485">
        <v>6.9000000000000006E-2</v>
      </c>
      <c r="AK27" s="1485">
        <v>6.9000000000000006E-2</v>
      </c>
      <c r="AL27" s="1485">
        <v>0.113</v>
      </c>
      <c r="AM27" s="1485">
        <v>6.4000000000000001E-2</v>
      </c>
      <c r="AN27" s="1485">
        <v>6.4000000000000001E-2</v>
      </c>
      <c r="AO27" s="1485">
        <v>0.124</v>
      </c>
      <c r="AP27" s="1485">
        <v>6.4000000000000001E-2</v>
      </c>
      <c r="AQ27" s="1485">
        <v>5.0999999999999997E-2</v>
      </c>
      <c r="AR27" s="1485">
        <v>8.8999999999999996E-2</v>
      </c>
      <c r="AS27" s="142" t="s">
        <v>167</v>
      </c>
      <c r="AT27" s="142" t="s">
        <v>167</v>
      </c>
      <c r="AU27" s="142" t="s">
        <v>167</v>
      </c>
      <c r="AV27" s="1485">
        <v>7.3999999999999996E-2</v>
      </c>
      <c r="AW27" s="1485">
        <v>6.4000000000000001E-2</v>
      </c>
      <c r="AX27" s="1485">
        <v>0.13700000000000001</v>
      </c>
      <c r="AY27" s="1485">
        <v>3.7999999999999999E-2</v>
      </c>
      <c r="AZ27" s="1485">
        <v>3.7999999999999999E-2</v>
      </c>
      <c r="BA27" s="1485">
        <v>5.1999999999999998E-2</v>
      </c>
      <c r="BB27" s="1485">
        <v>3.3000000000000002E-2</v>
      </c>
      <c r="BC27" s="1485">
        <v>3.3000000000000002E-2</v>
      </c>
      <c r="BD27" s="1485">
        <v>5.0999999999999997E-2</v>
      </c>
      <c r="BE27" s="1485">
        <v>0.73</v>
      </c>
      <c r="BF27" s="1485">
        <v>0.54</v>
      </c>
      <c r="BG27" s="1485">
        <v>0.73</v>
      </c>
      <c r="BH27" s="1485">
        <v>0.86</v>
      </c>
      <c r="BI27" s="1485">
        <v>0.86</v>
      </c>
      <c r="BJ27" s="1485">
        <v>1.02</v>
      </c>
      <c r="BK27" s="1485">
        <v>0.7</v>
      </c>
      <c r="BL27" s="1485">
        <v>0.5</v>
      </c>
      <c r="BM27" s="1485">
        <v>0.7</v>
      </c>
      <c r="BN27" s="1006">
        <v>0.5</v>
      </c>
      <c r="BO27" s="1006">
        <v>0.5</v>
      </c>
      <c r="BP27" s="1006">
        <v>1.45</v>
      </c>
      <c r="BQ27" s="327"/>
      <c r="BR27" s="817">
        <v>0.35</v>
      </c>
      <c r="BS27" s="817">
        <v>0.35</v>
      </c>
      <c r="BT27" s="817">
        <v>1.2</v>
      </c>
      <c r="BU27" s="817">
        <v>0.45</v>
      </c>
      <c r="BV27" s="817">
        <v>0.45</v>
      </c>
      <c r="BW27" s="817">
        <v>1.2</v>
      </c>
      <c r="BX27" s="817">
        <v>0.8</v>
      </c>
      <c r="BY27" s="817">
        <v>0.8</v>
      </c>
      <c r="BZ27" s="817">
        <v>1.2</v>
      </c>
      <c r="CA27" s="817">
        <v>0.55000000000000004</v>
      </c>
      <c r="CB27" s="817">
        <v>0.55000000000000004</v>
      </c>
      <c r="CC27" s="817">
        <v>1.2</v>
      </c>
      <c r="CD27" s="142">
        <v>0.49</v>
      </c>
      <c r="CE27" s="142">
        <v>0.49</v>
      </c>
      <c r="CF27" s="142" t="s">
        <v>764</v>
      </c>
      <c r="CG27" s="142">
        <v>0.39</v>
      </c>
      <c r="CH27" s="142">
        <v>0.39</v>
      </c>
      <c r="CI27" s="142" t="s">
        <v>764</v>
      </c>
      <c r="CJ27" s="142">
        <v>0.39</v>
      </c>
      <c r="CK27" s="142">
        <v>0.39</v>
      </c>
      <c r="CL27" s="142" t="s">
        <v>764</v>
      </c>
      <c r="CM27" s="142">
        <v>0.39</v>
      </c>
      <c r="CN27" s="142">
        <v>0.39</v>
      </c>
      <c r="CO27" s="142" t="s">
        <v>764</v>
      </c>
      <c r="CP27" s="142">
        <v>1.17</v>
      </c>
      <c r="CQ27" s="142">
        <v>1.17</v>
      </c>
      <c r="CR27" s="142">
        <v>1.17</v>
      </c>
      <c r="CS27" s="142">
        <v>1.17</v>
      </c>
      <c r="CT27" s="142">
        <v>1.17</v>
      </c>
      <c r="CU27" s="142">
        <v>1.17</v>
      </c>
      <c r="CV27" s="142">
        <v>0.49</v>
      </c>
      <c r="CW27" s="142">
        <v>0.39</v>
      </c>
      <c r="CX27" s="142">
        <v>0.77</v>
      </c>
      <c r="CY27" s="142">
        <v>0.62</v>
      </c>
      <c r="CZ27" s="142">
        <v>0.49</v>
      </c>
      <c r="DA27" s="143">
        <v>0.39</v>
      </c>
    </row>
    <row r="28" spans="1:105" s="129" customFormat="1" ht="57" x14ac:dyDescent="0.25">
      <c r="A28" s="147" t="s">
        <v>787</v>
      </c>
      <c r="B28" s="151" t="s">
        <v>1689</v>
      </c>
      <c r="C28" s="132" t="s">
        <v>1689</v>
      </c>
      <c r="D28" s="132" t="s">
        <v>1698</v>
      </c>
      <c r="E28" s="132" t="s">
        <v>1699</v>
      </c>
      <c r="F28" s="132" t="s">
        <v>1692</v>
      </c>
      <c r="G28" s="132" t="s">
        <v>1691</v>
      </c>
      <c r="H28" s="132" t="s">
        <v>716</v>
      </c>
      <c r="I28" s="132" t="s">
        <v>716</v>
      </c>
      <c r="J28" s="132" t="s">
        <v>716</v>
      </c>
      <c r="K28" s="132" t="s">
        <v>1693</v>
      </c>
      <c r="L28" s="132" t="s">
        <v>1694</v>
      </c>
      <c r="M28" s="132" t="s">
        <v>1695</v>
      </c>
      <c r="N28" s="132" t="s">
        <v>718</v>
      </c>
      <c r="O28" s="132" t="s">
        <v>718</v>
      </c>
      <c r="P28" s="132" t="s">
        <v>718</v>
      </c>
      <c r="Q28" s="132" t="s">
        <v>719</v>
      </c>
      <c r="R28" s="132" t="s">
        <v>719</v>
      </c>
      <c r="S28" s="132" t="s">
        <v>719</v>
      </c>
      <c r="T28" s="132" t="s">
        <v>720</v>
      </c>
      <c r="U28" s="132" t="s">
        <v>734</v>
      </c>
      <c r="V28" s="132" t="s">
        <v>720</v>
      </c>
      <c r="W28" s="327"/>
      <c r="X28" s="1484">
        <f>X27*5.678263</f>
        <v>0.27255662400000003</v>
      </c>
      <c r="Y28" s="1484">
        <f t="shared" ref="Y28:AE28" si="95">Y27*5.678263</f>
        <v>0.27255662400000003</v>
      </c>
      <c r="Z28" s="1484">
        <f t="shared" si="95"/>
        <v>0.67571329700000005</v>
      </c>
      <c r="AA28" s="1484">
        <f t="shared" si="95"/>
        <v>0.31230446500000003</v>
      </c>
      <c r="AB28" s="1484">
        <f t="shared" si="95"/>
        <v>0.31230446500000003</v>
      </c>
      <c r="AC28" s="1484">
        <f t="shared" si="95"/>
        <v>0.47129582900000005</v>
      </c>
      <c r="AD28" s="1484">
        <f t="shared" si="95"/>
        <v>0.15331310100000001</v>
      </c>
      <c r="AE28" s="1484">
        <f t="shared" si="95"/>
        <v>0.15331310100000001</v>
      </c>
      <c r="AF28" s="1484">
        <f>AF27*5.678263</f>
        <v>0.300947939</v>
      </c>
      <c r="AG28" s="1484">
        <f>AG27*5.678263</f>
        <v>0.51104367000000006</v>
      </c>
      <c r="AH28" s="1484">
        <f t="shared" ref="AH28:AN28" si="96">AH27*5.678263</f>
        <v>0.45426104</v>
      </c>
      <c r="AI28" s="1484">
        <f t="shared" si="96"/>
        <v>0.85741771300000003</v>
      </c>
      <c r="AJ28" s="1484">
        <f t="shared" si="96"/>
        <v>0.39180014700000004</v>
      </c>
      <c r="AK28" s="1484">
        <f t="shared" si="96"/>
        <v>0.39180014700000004</v>
      </c>
      <c r="AL28" s="1484">
        <f t="shared" si="96"/>
        <v>0.64164371900000006</v>
      </c>
      <c r="AM28" s="1484">
        <f t="shared" si="96"/>
        <v>0.36340883200000001</v>
      </c>
      <c r="AN28" s="1484">
        <f t="shared" si="96"/>
        <v>0.36340883200000001</v>
      </c>
      <c r="AO28" s="1484">
        <f>AO27*5.678263</f>
        <v>0.70410461200000007</v>
      </c>
      <c r="AP28" s="1484">
        <f t="shared" ref="AP28:AQ28" si="97">AP27*5.678263</f>
        <v>0.36340883200000001</v>
      </c>
      <c r="AQ28" s="1484">
        <f t="shared" si="97"/>
        <v>0.28959141300000002</v>
      </c>
      <c r="AR28" s="1484">
        <f>AR27*5.678263</f>
        <v>0.50536540699999999</v>
      </c>
      <c r="AS28" s="132" t="s">
        <v>726</v>
      </c>
      <c r="AT28" s="132" t="s">
        <v>726</v>
      </c>
      <c r="AU28" s="132" t="s">
        <v>726</v>
      </c>
      <c r="AV28" s="1484">
        <f t="shared" ref="AV28:AW28" si="98">AV27*5.678263</f>
        <v>0.42019146200000002</v>
      </c>
      <c r="AW28" s="1484">
        <f t="shared" si="98"/>
        <v>0.36340883200000001</v>
      </c>
      <c r="AX28" s="1484">
        <f>AX27*5.678263</f>
        <v>0.77792203100000012</v>
      </c>
      <c r="AY28" s="1484">
        <f t="shared" ref="AY28:AZ28" si="99">AY27*5.678263</f>
        <v>0.215773994</v>
      </c>
      <c r="AZ28" s="1484">
        <f t="shared" si="99"/>
        <v>0.215773994</v>
      </c>
      <c r="BA28" s="1484">
        <f>BA27*5.678263</f>
        <v>0.29526967599999998</v>
      </c>
      <c r="BB28" s="1484">
        <v>0.66700000000000004</v>
      </c>
      <c r="BC28" s="1484">
        <v>0.52300000000000002</v>
      </c>
      <c r="BD28" s="1484">
        <v>6.484</v>
      </c>
      <c r="BE28" s="1484">
        <f>BE27*1.7315</f>
        <v>1.263995</v>
      </c>
      <c r="BF28" s="1484">
        <f t="shared" ref="BF28:BJ28" si="100">BF27*1.7315</f>
        <v>0.93501000000000012</v>
      </c>
      <c r="BG28" s="1484">
        <f t="shared" si="100"/>
        <v>1.263995</v>
      </c>
      <c r="BH28" s="1484">
        <f t="shared" si="100"/>
        <v>1.48909</v>
      </c>
      <c r="BI28" s="1484">
        <f t="shared" si="100"/>
        <v>1.48909</v>
      </c>
      <c r="BJ28" s="1484">
        <f t="shared" si="100"/>
        <v>1.76613</v>
      </c>
      <c r="BK28" s="1484">
        <f>BK27*5.678263</f>
        <v>3.9747840999999999</v>
      </c>
      <c r="BL28" s="1484">
        <f>BL27*5.678263</f>
        <v>2.8391315000000001</v>
      </c>
      <c r="BM28" s="1484">
        <f t="shared" ref="BM28" si="101">BM27*5.678263</f>
        <v>3.9747840999999999</v>
      </c>
      <c r="BN28" s="1484">
        <f t="shared" ref="BN28" si="102">BN27*5.678263</f>
        <v>2.8391315000000001</v>
      </c>
      <c r="BO28" s="1484">
        <f t="shared" ref="BO28" si="103">BO27*5.678263</f>
        <v>2.8391315000000001</v>
      </c>
      <c r="BP28" s="1484">
        <f t="shared" ref="BP28" si="104">BP27*5.678263</f>
        <v>8.2334813499999999</v>
      </c>
      <c r="BQ28" s="327"/>
      <c r="BR28" s="1003">
        <f>BR27*5.678263</f>
        <v>1.98739205</v>
      </c>
      <c r="BS28" s="1003">
        <f t="shared" ref="BS28" si="105">BS27*5.678263</f>
        <v>1.98739205</v>
      </c>
      <c r="BT28" s="1003">
        <f t="shared" ref="BT28" si="106">BT27*5.678263</f>
        <v>6.8139156000000005</v>
      </c>
      <c r="BU28" s="1003">
        <f t="shared" ref="BU28" si="107">BU27*5.678263</f>
        <v>2.5552183500000001</v>
      </c>
      <c r="BV28" s="1003">
        <f t="shared" ref="BV28" si="108">BV27*5.678263</f>
        <v>2.5552183500000001</v>
      </c>
      <c r="BW28" s="1003">
        <f t="shared" ref="BW28" si="109">BW27*5.678263</f>
        <v>6.8139156000000005</v>
      </c>
      <c r="BX28" s="1003">
        <f t="shared" ref="BX28" si="110">BX27*5.678263</f>
        <v>4.5426104</v>
      </c>
      <c r="BY28" s="1003">
        <f t="shared" ref="BY28" si="111">BY27*5.678263</f>
        <v>4.5426104</v>
      </c>
      <c r="BZ28" s="1003">
        <f t="shared" ref="BZ28" si="112">BZ27*5.678263</f>
        <v>6.8139156000000005</v>
      </c>
      <c r="CA28" s="1003">
        <f t="shared" ref="CA28" si="113">CA27*5.678263</f>
        <v>3.1230446500000002</v>
      </c>
      <c r="CB28" s="1003">
        <f t="shared" ref="CB28" si="114">CB27*5.678263</f>
        <v>3.1230446500000002</v>
      </c>
      <c r="CC28" s="1003">
        <f t="shared" ref="CC28" si="115">CC27*5.678263</f>
        <v>6.8139156000000005</v>
      </c>
      <c r="CD28" s="132">
        <v>0.49</v>
      </c>
      <c r="CE28" s="132">
        <v>0.49</v>
      </c>
      <c r="CF28" s="132" t="s">
        <v>764</v>
      </c>
      <c r="CG28" s="132">
        <v>0.39</v>
      </c>
      <c r="CH28" s="132">
        <v>0.39</v>
      </c>
      <c r="CI28" s="132" t="s">
        <v>764</v>
      </c>
      <c r="CJ28" s="132">
        <v>0.39</v>
      </c>
      <c r="CK28" s="132">
        <v>0.39</v>
      </c>
      <c r="CL28" s="132" t="s">
        <v>764</v>
      </c>
      <c r="CM28" s="132">
        <v>0.39</v>
      </c>
      <c r="CN28" s="132">
        <v>0.39</v>
      </c>
      <c r="CO28" s="132" t="s">
        <v>764</v>
      </c>
      <c r="CP28" s="132">
        <v>6.64</v>
      </c>
      <c r="CQ28" s="132">
        <v>6.64</v>
      </c>
      <c r="CR28" s="132">
        <v>6.64</v>
      </c>
      <c r="CS28" s="132">
        <v>6.64</v>
      </c>
      <c r="CT28" s="132">
        <v>6.64</v>
      </c>
      <c r="CU28" s="132">
        <v>6.64</v>
      </c>
      <c r="CV28" s="132">
        <v>0.49</v>
      </c>
      <c r="CW28" s="132">
        <v>0.39</v>
      </c>
      <c r="CX28" s="132">
        <v>0.77</v>
      </c>
      <c r="CY28" s="132">
        <v>0.62</v>
      </c>
      <c r="CZ28" s="132">
        <v>0.49</v>
      </c>
      <c r="DA28" s="141">
        <v>0.39</v>
      </c>
    </row>
    <row r="29" spans="1:105" s="129" customFormat="1" ht="45.6" x14ac:dyDescent="0.25">
      <c r="A29" s="148" t="s">
        <v>777</v>
      </c>
      <c r="B29" s="152" t="s">
        <v>1681</v>
      </c>
      <c r="C29" s="152" t="s">
        <v>1681</v>
      </c>
      <c r="D29" s="152" t="s">
        <v>1696</v>
      </c>
      <c r="E29" s="142" t="s">
        <v>1697</v>
      </c>
      <c r="F29" s="142" t="s">
        <v>1684</v>
      </c>
      <c r="G29" s="142" t="s">
        <v>1683</v>
      </c>
      <c r="H29" s="142" t="s">
        <v>202</v>
      </c>
      <c r="I29" s="142" t="s">
        <v>1700</v>
      </c>
      <c r="J29" s="142" t="s">
        <v>202</v>
      </c>
      <c r="K29" s="142" t="s">
        <v>1686</v>
      </c>
      <c r="L29" s="142" t="s">
        <v>1686</v>
      </c>
      <c r="M29" s="142" t="s">
        <v>1687</v>
      </c>
      <c r="N29" s="142" t="s">
        <v>184</v>
      </c>
      <c r="O29" s="142" t="s">
        <v>184</v>
      </c>
      <c r="P29" s="142" t="s">
        <v>184</v>
      </c>
      <c r="Q29" s="142" t="s">
        <v>187</v>
      </c>
      <c r="R29" s="142" t="s">
        <v>189</v>
      </c>
      <c r="S29" s="142" t="s">
        <v>187</v>
      </c>
      <c r="T29" s="142" t="s">
        <v>189</v>
      </c>
      <c r="U29" s="142" t="s">
        <v>189</v>
      </c>
      <c r="V29" s="142" t="s">
        <v>188</v>
      </c>
      <c r="W29" s="327"/>
      <c r="X29" s="1981">
        <v>4.8000000000000001E-2</v>
      </c>
      <c r="Y29" s="1981">
        <v>4.8000000000000001E-2</v>
      </c>
      <c r="Z29" s="1485">
        <v>9.2999999999999999E-2</v>
      </c>
      <c r="AA29" s="1981">
        <v>4.9000000000000002E-2</v>
      </c>
      <c r="AB29" s="1981">
        <v>4.9000000000000002E-2</v>
      </c>
      <c r="AC29" s="1485">
        <v>7.1999999999999995E-2</v>
      </c>
      <c r="AD29" s="1981">
        <v>2.7E-2</v>
      </c>
      <c r="AE29" s="1981">
        <v>2.7E-2</v>
      </c>
      <c r="AF29" s="1485">
        <v>3.4000000000000002E-2</v>
      </c>
      <c r="AG29" s="1485">
        <v>0.08</v>
      </c>
      <c r="AH29" s="1485">
        <v>7.0999999999999994E-2</v>
      </c>
      <c r="AI29" s="1485">
        <v>0.151</v>
      </c>
      <c r="AJ29" s="1485">
        <v>6.9000000000000006E-2</v>
      </c>
      <c r="AK29" s="1485">
        <v>6.9000000000000006E-2</v>
      </c>
      <c r="AL29" s="1485">
        <v>0.113</v>
      </c>
      <c r="AM29" s="1485">
        <v>6.4000000000000001E-2</v>
      </c>
      <c r="AN29" s="1485">
        <v>6.4000000000000001E-2</v>
      </c>
      <c r="AO29" s="1485">
        <v>0.124</v>
      </c>
      <c r="AP29" s="1485">
        <v>5.0999999999999997E-2</v>
      </c>
      <c r="AQ29" s="1485">
        <v>5.0999999999999997E-2</v>
      </c>
      <c r="AR29" s="1485">
        <v>8.8999999999999996E-2</v>
      </c>
      <c r="AS29" s="142" t="s">
        <v>167</v>
      </c>
      <c r="AT29" s="142" t="s">
        <v>168</v>
      </c>
      <c r="AU29" s="142" t="s">
        <v>167</v>
      </c>
      <c r="AV29" s="1485">
        <v>6.4000000000000001E-2</v>
      </c>
      <c r="AW29" s="1485">
        <v>5.7000000000000002E-2</v>
      </c>
      <c r="AX29" s="1485">
        <v>0.13700000000000001</v>
      </c>
      <c r="AY29" s="1485">
        <v>3.7999999999999999E-2</v>
      </c>
      <c r="AZ29" s="1485">
        <v>3.2000000000000001E-2</v>
      </c>
      <c r="BA29" s="1485">
        <v>5.1999999999999998E-2</v>
      </c>
      <c r="BB29" s="1485">
        <v>3.3000000000000002E-2</v>
      </c>
      <c r="BC29" s="1485">
        <v>3.3000000000000002E-2</v>
      </c>
      <c r="BD29" s="1485">
        <v>5.0999999999999997E-2</v>
      </c>
      <c r="BE29" s="1485">
        <v>0.54</v>
      </c>
      <c r="BF29" s="1485">
        <v>0.52</v>
      </c>
      <c r="BG29" s="1485">
        <v>0.73</v>
      </c>
      <c r="BH29" s="1485">
        <v>0.86</v>
      </c>
      <c r="BI29" s="1485">
        <v>0.68799999999999994</v>
      </c>
      <c r="BJ29" s="1485">
        <v>1.02</v>
      </c>
      <c r="BK29" s="1485">
        <v>0.7</v>
      </c>
      <c r="BL29" s="1485">
        <v>0.5</v>
      </c>
      <c r="BM29" s="1485">
        <v>0.7</v>
      </c>
      <c r="BN29" s="1006">
        <v>0.5</v>
      </c>
      <c r="BO29" s="1006">
        <v>0.5</v>
      </c>
      <c r="BP29" s="1006">
        <v>1.45</v>
      </c>
      <c r="BQ29" s="327"/>
      <c r="BR29" s="817">
        <v>0.35</v>
      </c>
      <c r="BS29" s="817">
        <v>0.35</v>
      </c>
      <c r="BT29" s="817">
        <v>0.65</v>
      </c>
      <c r="BU29" s="817">
        <v>0.45</v>
      </c>
      <c r="BV29" s="817">
        <v>0.45</v>
      </c>
      <c r="BW29" s="817">
        <v>0.6</v>
      </c>
      <c r="BX29" s="817">
        <v>0.8</v>
      </c>
      <c r="BY29" s="817">
        <v>0.8</v>
      </c>
      <c r="BZ29" s="817">
        <v>0.9</v>
      </c>
      <c r="CA29" s="817">
        <v>0.55000000000000004</v>
      </c>
      <c r="CB29" s="817">
        <v>0.55000000000000004</v>
      </c>
      <c r="CC29" s="817">
        <v>0.65</v>
      </c>
      <c r="CD29" s="142">
        <v>0.49</v>
      </c>
      <c r="CE29" s="142">
        <v>0.49</v>
      </c>
      <c r="CF29" s="142" t="s">
        <v>764</v>
      </c>
      <c r="CG29" s="142">
        <v>0.39</v>
      </c>
      <c r="CH29" s="142">
        <v>0.39</v>
      </c>
      <c r="CI29" s="142" t="s">
        <v>764</v>
      </c>
      <c r="CJ29" s="142">
        <v>0.39</v>
      </c>
      <c r="CK29" s="142">
        <v>0.39</v>
      </c>
      <c r="CL29" s="142" t="s">
        <v>764</v>
      </c>
      <c r="CM29" s="142">
        <v>0.39</v>
      </c>
      <c r="CN29" s="142">
        <v>0.39</v>
      </c>
      <c r="CO29" s="142" t="s">
        <v>764</v>
      </c>
      <c r="CP29" s="142">
        <v>1.17</v>
      </c>
      <c r="CQ29" s="142">
        <v>1.17</v>
      </c>
      <c r="CR29" s="142">
        <v>1.17</v>
      </c>
      <c r="CS29" s="142">
        <v>1.17</v>
      </c>
      <c r="CT29" s="142">
        <v>1.17</v>
      </c>
      <c r="CU29" s="142">
        <v>1.17</v>
      </c>
      <c r="CV29" s="142">
        <v>0.49</v>
      </c>
      <c r="CW29" s="142">
        <v>0.49</v>
      </c>
      <c r="CX29" s="142">
        <v>0.71</v>
      </c>
      <c r="CY29" s="142">
        <v>0.57999999999999996</v>
      </c>
      <c r="CZ29" s="142">
        <v>0.49</v>
      </c>
      <c r="DA29" s="143">
        <v>0.49</v>
      </c>
    </row>
    <row r="30" spans="1:105" s="129" customFormat="1" ht="57" x14ac:dyDescent="0.25">
      <c r="A30" s="147" t="s">
        <v>786</v>
      </c>
      <c r="B30" s="151" t="s">
        <v>1689</v>
      </c>
      <c r="C30" s="132" t="s">
        <v>1689</v>
      </c>
      <c r="D30" s="132" t="s">
        <v>1698</v>
      </c>
      <c r="E30" s="132" t="s">
        <v>1699</v>
      </c>
      <c r="F30" s="132" t="s">
        <v>1692</v>
      </c>
      <c r="G30" s="132" t="s">
        <v>1691</v>
      </c>
      <c r="H30" s="132" t="s">
        <v>716</v>
      </c>
      <c r="I30" s="132" t="s">
        <v>1701</v>
      </c>
      <c r="J30" s="132" t="s">
        <v>716</v>
      </c>
      <c r="K30" s="132" t="s">
        <v>1694</v>
      </c>
      <c r="L30" s="132" t="s">
        <v>1694</v>
      </c>
      <c r="M30" s="132" t="s">
        <v>1695</v>
      </c>
      <c r="N30" s="132" t="s">
        <v>718</v>
      </c>
      <c r="O30" s="132" t="s">
        <v>1702</v>
      </c>
      <c r="P30" s="132" t="s">
        <v>718</v>
      </c>
      <c r="Q30" s="132" t="s">
        <v>719</v>
      </c>
      <c r="R30" s="132" t="s">
        <v>734</v>
      </c>
      <c r="S30" s="132" t="s">
        <v>719</v>
      </c>
      <c r="T30" s="132" t="s">
        <v>734</v>
      </c>
      <c r="U30" s="132" t="s">
        <v>734</v>
      </c>
      <c r="V30" s="132" t="s">
        <v>720</v>
      </c>
      <c r="W30" s="327"/>
      <c r="X30" s="1484">
        <f>X29*5.678263</f>
        <v>0.27255662400000003</v>
      </c>
      <c r="Y30" s="1484">
        <f t="shared" ref="Y30:AE30" si="116">Y29*5.678263</f>
        <v>0.27255662400000003</v>
      </c>
      <c r="Z30" s="1484">
        <f t="shared" si="116"/>
        <v>0.52807845900000006</v>
      </c>
      <c r="AA30" s="1484">
        <f t="shared" si="116"/>
        <v>0.27823488700000004</v>
      </c>
      <c r="AB30" s="1484">
        <f t="shared" si="116"/>
        <v>0.27823488700000004</v>
      </c>
      <c r="AC30" s="1484">
        <f t="shared" si="116"/>
        <v>0.40883493599999998</v>
      </c>
      <c r="AD30" s="1484">
        <f t="shared" si="116"/>
        <v>0.15331310100000001</v>
      </c>
      <c r="AE30" s="1484">
        <f t="shared" si="116"/>
        <v>0.15331310100000001</v>
      </c>
      <c r="AF30" s="1484">
        <f>AF29*5.678263</f>
        <v>0.19306094200000001</v>
      </c>
      <c r="AG30" s="1484">
        <f>AG29*5.678263</f>
        <v>0.45426104</v>
      </c>
      <c r="AH30" s="1484">
        <f t="shared" ref="AH30:AN30" si="117">AH29*5.678263</f>
        <v>0.40315667299999997</v>
      </c>
      <c r="AI30" s="1484">
        <f t="shared" si="117"/>
        <v>0.85741771300000003</v>
      </c>
      <c r="AJ30" s="1484">
        <f t="shared" si="117"/>
        <v>0.39180014700000004</v>
      </c>
      <c r="AK30" s="1484">
        <f t="shared" si="117"/>
        <v>0.39180014700000004</v>
      </c>
      <c r="AL30" s="1484">
        <f t="shared" si="117"/>
        <v>0.64164371900000006</v>
      </c>
      <c r="AM30" s="1484">
        <f t="shared" si="117"/>
        <v>0.36340883200000001</v>
      </c>
      <c r="AN30" s="1484">
        <f t="shared" si="117"/>
        <v>0.36340883200000001</v>
      </c>
      <c r="AO30" s="1484">
        <f>AO29*5.678263</f>
        <v>0.70410461200000007</v>
      </c>
      <c r="AP30" s="1484">
        <f t="shared" ref="AP30:AQ30" si="118">AP29*5.678263</f>
        <v>0.28959141300000002</v>
      </c>
      <c r="AQ30" s="1484">
        <f t="shared" si="118"/>
        <v>0.28959141300000002</v>
      </c>
      <c r="AR30" s="1484">
        <f>AR29*5.678263</f>
        <v>0.50536540699999999</v>
      </c>
      <c r="AS30" s="132" t="s">
        <v>726</v>
      </c>
      <c r="AT30" s="132" t="s">
        <v>745</v>
      </c>
      <c r="AU30" s="132" t="s">
        <v>726</v>
      </c>
      <c r="AV30" s="1484">
        <f t="shared" ref="AV30:AW30" si="119">AV29*5.678263</f>
        <v>0.36340883200000001</v>
      </c>
      <c r="AW30" s="1484">
        <f t="shared" si="119"/>
        <v>0.32366099100000001</v>
      </c>
      <c r="AX30" s="1484">
        <f>AX29*5.678263</f>
        <v>0.77792203100000012</v>
      </c>
      <c r="AY30" s="1484">
        <f t="shared" ref="AY30:AZ30" si="120">AY29*5.678263</f>
        <v>0.215773994</v>
      </c>
      <c r="AZ30" s="1484">
        <f t="shared" si="120"/>
        <v>0.18170441600000001</v>
      </c>
      <c r="BA30" s="1484">
        <f>BA29*5.678263</f>
        <v>0.29526967599999998</v>
      </c>
      <c r="BB30" s="1484">
        <v>0.66700000000000004</v>
      </c>
      <c r="BC30" s="1484">
        <v>0.52300000000000002</v>
      </c>
      <c r="BD30" s="1484">
        <v>6.484</v>
      </c>
      <c r="BE30" s="1484">
        <f>BE29*1.7315</f>
        <v>0.93501000000000012</v>
      </c>
      <c r="BF30" s="1484">
        <f t="shared" ref="BF30:BJ30" si="121">BF29*1.7315</f>
        <v>0.90038000000000007</v>
      </c>
      <c r="BG30" s="1484">
        <f t="shared" si="121"/>
        <v>1.263995</v>
      </c>
      <c r="BH30" s="1484">
        <f t="shared" si="121"/>
        <v>1.48909</v>
      </c>
      <c r="BI30" s="1484">
        <f t="shared" si="121"/>
        <v>1.1912719999999999</v>
      </c>
      <c r="BJ30" s="1484">
        <f t="shared" si="121"/>
        <v>1.76613</v>
      </c>
      <c r="BK30" s="1484">
        <f>BK29*5.678263</f>
        <v>3.9747840999999999</v>
      </c>
      <c r="BL30" s="1484">
        <f>BL29*5.678263</f>
        <v>2.8391315000000001</v>
      </c>
      <c r="BM30" s="1484">
        <f t="shared" ref="BM30" si="122">BM29*5.678263</f>
        <v>3.9747840999999999</v>
      </c>
      <c r="BN30" s="1484">
        <f t="shared" ref="BN30" si="123">BN29*5.678263</f>
        <v>2.8391315000000001</v>
      </c>
      <c r="BO30" s="1484">
        <f t="shared" ref="BO30" si="124">BO29*5.678263</f>
        <v>2.8391315000000001</v>
      </c>
      <c r="BP30" s="1484">
        <f t="shared" ref="BP30" si="125">BP29*5.678263</f>
        <v>8.2334813499999999</v>
      </c>
      <c r="BQ30" s="327"/>
      <c r="BR30" s="1003">
        <f>BR29*5.678263</f>
        <v>1.98739205</v>
      </c>
      <c r="BS30" s="1003">
        <f t="shared" ref="BS30" si="126">BS29*5.678263</f>
        <v>1.98739205</v>
      </c>
      <c r="BT30" s="1003">
        <f t="shared" ref="BT30" si="127">BT29*5.678263</f>
        <v>3.6908709500000003</v>
      </c>
      <c r="BU30" s="1003">
        <f t="shared" ref="BU30" si="128">BU29*5.678263</f>
        <v>2.5552183500000001</v>
      </c>
      <c r="BV30" s="1003">
        <f t="shared" ref="BV30" si="129">BV29*5.678263</f>
        <v>2.5552183500000001</v>
      </c>
      <c r="BW30" s="1003">
        <f t="shared" ref="BW30" si="130">BW29*5.678263</f>
        <v>3.4069578000000003</v>
      </c>
      <c r="BX30" s="1003">
        <f t="shared" ref="BX30" si="131">BX29*5.678263</f>
        <v>4.5426104</v>
      </c>
      <c r="BY30" s="1003">
        <f t="shared" ref="BY30" si="132">BY29*5.678263</f>
        <v>4.5426104</v>
      </c>
      <c r="BZ30" s="1003">
        <f t="shared" ref="BZ30" si="133">BZ29*5.678263</f>
        <v>5.1104367000000002</v>
      </c>
      <c r="CA30" s="1003">
        <f t="shared" ref="CA30" si="134">CA29*5.678263</f>
        <v>3.1230446500000002</v>
      </c>
      <c r="CB30" s="1003">
        <f t="shared" ref="CB30" si="135">CB29*5.678263</f>
        <v>3.1230446500000002</v>
      </c>
      <c r="CC30" s="1003">
        <f t="shared" ref="CC30" si="136">CC29*5.678263</f>
        <v>3.6908709500000003</v>
      </c>
      <c r="CD30" s="132">
        <v>0.49</v>
      </c>
      <c r="CE30" s="132">
        <v>0.49</v>
      </c>
      <c r="CF30" s="132" t="s">
        <v>764</v>
      </c>
      <c r="CG30" s="132">
        <v>0.39</v>
      </c>
      <c r="CH30" s="132">
        <v>0.39</v>
      </c>
      <c r="CI30" s="132" t="s">
        <v>764</v>
      </c>
      <c r="CJ30" s="132">
        <v>0.39</v>
      </c>
      <c r="CK30" s="132">
        <v>0.39</v>
      </c>
      <c r="CL30" s="132" t="s">
        <v>764</v>
      </c>
      <c r="CM30" s="132">
        <v>0.39</v>
      </c>
      <c r="CN30" s="132">
        <v>0.39</v>
      </c>
      <c r="CO30" s="132" t="s">
        <v>764</v>
      </c>
      <c r="CP30" s="132">
        <v>6.64</v>
      </c>
      <c r="CQ30" s="132">
        <v>6.64</v>
      </c>
      <c r="CR30" s="132">
        <v>6.64</v>
      </c>
      <c r="CS30" s="132">
        <v>6.64</v>
      </c>
      <c r="CT30" s="132">
        <v>6.64</v>
      </c>
      <c r="CU30" s="132">
        <v>6.64</v>
      </c>
      <c r="CV30" s="132">
        <v>0.49</v>
      </c>
      <c r="CW30" s="132">
        <v>0.49</v>
      </c>
      <c r="CX30" s="132">
        <v>0.71</v>
      </c>
      <c r="CY30" s="132">
        <v>0.57999999999999996</v>
      </c>
      <c r="CZ30" s="132">
        <v>0.49</v>
      </c>
      <c r="DA30" s="141">
        <v>0.49</v>
      </c>
    </row>
    <row r="31" spans="1:105" s="129" customFormat="1" ht="45.6" x14ac:dyDescent="0.25">
      <c r="A31" s="148" t="s">
        <v>778</v>
      </c>
      <c r="B31" s="152" t="s">
        <v>1681</v>
      </c>
      <c r="C31" s="142" t="s">
        <v>1681</v>
      </c>
      <c r="D31" s="142" t="s">
        <v>1696</v>
      </c>
      <c r="E31" s="142" t="s">
        <v>1697</v>
      </c>
      <c r="F31" s="142" t="s">
        <v>1684</v>
      </c>
      <c r="G31" s="142" t="s">
        <v>1683</v>
      </c>
      <c r="H31" s="142" t="s">
        <v>202</v>
      </c>
      <c r="I31" s="142" t="s">
        <v>1700</v>
      </c>
      <c r="J31" s="142" t="s">
        <v>202</v>
      </c>
      <c r="K31" s="142" t="s">
        <v>1686</v>
      </c>
      <c r="L31" s="142" t="s">
        <v>1686</v>
      </c>
      <c r="M31" s="142" t="s">
        <v>1687</v>
      </c>
      <c r="N31" s="142" t="s">
        <v>184</v>
      </c>
      <c r="O31" s="142" t="s">
        <v>184</v>
      </c>
      <c r="P31" s="142" t="s">
        <v>184</v>
      </c>
      <c r="Q31" s="142" t="s">
        <v>187</v>
      </c>
      <c r="R31" s="142" t="s">
        <v>189</v>
      </c>
      <c r="S31" s="142" t="s">
        <v>187</v>
      </c>
      <c r="T31" s="142" t="s">
        <v>189</v>
      </c>
      <c r="U31" s="142" t="s">
        <v>189</v>
      </c>
      <c r="V31" s="142" t="s">
        <v>188</v>
      </c>
      <c r="W31" s="327"/>
      <c r="X31" s="1981">
        <v>4.8000000000000001E-2</v>
      </c>
      <c r="Y31" s="1981">
        <v>4.8000000000000001E-2</v>
      </c>
      <c r="Z31" s="1485">
        <v>9.2999999999999999E-2</v>
      </c>
      <c r="AA31" s="1981">
        <v>4.9000000000000002E-2</v>
      </c>
      <c r="AB31" s="1981">
        <v>4.9000000000000002E-2</v>
      </c>
      <c r="AC31" s="1485">
        <v>7.1999999999999995E-2</v>
      </c>
      <c r="AD31" s="1981">
        <v>2.7E-2</v>
      </c>
      <c r="AE31" s="1981">
        <v>2.7E-2</v>
      </c>
      <c r="AF31" s="1485">
        <v>3.4000000000000002E-2</v>
      </c>
      <c r="AG31" s="1485">
        <v>0.08</v>
      </c>
      <c r="AH31" s="1485">
        <v>7.0999999999999994E-2</v>
      </c>
      <c r="AI31" s="1485">
        <v>0.151</v>
      </c>
      <c r="AJ31" s="1485">
        <v>6.9000000000000006E-2</v>
      </c>
      <c r="AK31" s="1485">
        <v>6.9000000000000006E-2</v>
      </c>
      <c r="AL31" s="1485">
        <v>0.113</v>
      </c>
      <c r="AM31" s="1485">
        <v>6.4000000000000001E-2</v>
      </c>
      <c r="AN31" s="1485">
        <v>6.4000000000000001E-2</v>
      </c>
      <c r="AO31" s="1485">
        <v>0.124</v>
      </c>
      <c r="AP31" s="1485">
        <v>5.0999999999999997E-2</v>
      </c>
      <c r="AQ31" s="1485">
        <v>5.0999999999999997E-2</v>
      </c>
      <c r="AR31" s="1485">
        <v>8.8999999999999996E-2</v>
      </c>
      <c r="AS31" s="142" t="s">
        <v>167</v>
      </c>
      <c r="AT31" s="142" t="s">
        <v>168</v>
      </c>
      <c r="AU31" s="142" t="s">
        <v>167</v>
      </c>
      <c r="AV31" s="1485">
        <v>6.4000000000000001E-2</v>
      </c>
      <c r="AW31" s="1485">
        <v>5.7000000000000002E-2</v>
      </c>
      <c r="AX31" s="1485">
        <v>0.13700000000000001</v>
      </c>
      <c r="AY31" s="1485">
        <v>3.7999999999999999E-2</v>
      </c>
      <c r="AZ31" s="1485">
        <v>3.2000000000000001E-2</v>
      </c>
      <c r="BA31" s="1485">
        <v>5.1999999999999998E-2</v>
      </c>
      <c r="BB31" s="1485">
        <v>3.3000000000000002E-2</v>
      </c>
      <c r="BC31" s="1485">
        <v>3.3000000000000002E-2</v>
      </c>
      <c r="BD31" s="1485">
        <v>5.0999999999999997E-2</v>
      </c>
      <c r="BE31" s="1485">
        <v>0.54</v>
      </c>
      <c r="BF31" s="1485">
        <v>0.52</v>
      </c>
      <c r="BG31" s="1485">
        <v>0.73</v>
      </c>
      <c r="BH31" s="1485">
        <v>0.86</v>
      </c>
      <c r="BI31" s="1485">
        <v>0.68799999999999994</v>
      </c>
      <c r="BJ31" s="1485">
        <v>1.02</v>
      </c>
      <c r="BK31" s="1485">
        <v>0.7</v>
      </c>
      <c r="BL31" s="1485">
        <v>0.5</v>
      </c>
      <c r="BM31" s="1485">
        <v>0.7</v>
      </c>
      <c r="BN31" s="1006">
        <v>0.5</v>
      </c>
      <c r="BO31" s="1006">
        <v>0.5</v>
      </c>
      <c r="BP31" s="1006">
        <v>1.45</v>
      </c>
      <c r="BQ31" s="327"/>
      <c r="BR31" s="817">
        <v>0.35</v>
      </c>
      <c r="BS31" s="817">
        <v>0.35</v>
      </c>
      <c r="BT31" s="817">
        <v>0.65</v>
      </c>
      <c r="BU31" s="817">
        <v>0.45</v>
      </c>
      <c r="BV31" s="817">
        <v>0.45</v>
      </c>
      <c r="BW31" s="817">
        <v>0.6</v>
      </c>
      <c r="BX31" s="817">
        <v>0.8</v>
      </c>
      <c r="BY31" s="817">
        <v>0.8</v>
      </c>
      <c r="BZ31" s="817">
        <v>0.9</v>
      </c>
      <c r="CA31" s="817">
        <v>0.55000000000000004</v>
      </c>
      <c r="CB31" s="817">
        <v>0.55000000000000004</v>
      </c>
      <c r="CC31" s="817">
        <v>0.65</v>
      </c>
      <c r="CD31" s="142">
        <v>0.49</v>
      </c>
      <c r="CE31" s="142">
        <v>0.49</v>
      </c>
      <c r="CF31" s="142" t="s">
        <v>764</v>
      </c>
      <c r="CG31" s="142">
        <v>0.39</v>
      </c>
      <c r="CH31" s="142">
        <v>0.39</v>
      </c>
      <c r="CI31" s="142" t="s">
        <v>764</v>
      </c>
      <c r="CJ31" s="142">
        <v>0.39</v>
      </c>
      <c r="CK31" s="142">
        <v>0.39</v>
      </c>
      <c r="CL31" s="142" t="s">
        <v>764</v>
      </c>
      <c r="CM31" s="142">
        <v>0.39</v>
      </c>
      <c r="CN31" s="142">
        <v>0.39</v>
      </c>
      <c r="CO31" s="142" t="s">
        <v>764</v>
      </c>
      <c r="CP31" s="142">
        <v>1.17</v>
      </c>
      <c r="CQ31" s="142">
        <v>1.17</v>
      </c>
      <c r="CR31" s="142">
        <v>1.17</v>
      </c>
      <c r="CS31" s="142">
        <v>1.17</v>
      </c>
      <c r="CT31" s="142">
        <v>1.17</v>
      </c>
      <c r="CU31" s="142">
        <v>1.17</v>
      </c>
      <c r="CV31" s="142">
        <v>0.49</v>
      </c>
      <c r="CW31" s="142">
        <v>0.49</v>
      </c>
      <c r="CX31" s="142">
        <v>0.71</v>
      </c>
      <c r="CY31" s="142">
        <v>0.57999999999999996</v>
      </c>
      <c r="CZ31" s="142">
        <v>0.49</v>
      </c>
      <c r="DA31" s="143">
        <v>0.49</v>
      </c>
    </row>
    <row r="32" spans="1:105" s="129" customFormat="1" ht="57" x14ac:dyDescent="0.25">
      <c r="A32" s="147" t="s">
        <v>785</v>
      </c>
      <c r="B32" s="151" t="s">
        <v>1689</v>
      </c>
      <c r="C32" s="132" t="s">
        <v>1689</v>
      </c>
      <c r="D32" s="132" t="s">
        <v>1698</v>
      </c>
      <c r="E32" s="132" t="s">
        <v>1699</v>
      </c>
      <c r="F32" s="132" t="s">
        <v>1692</v>
      </c>
      <c r="G32" s="132" t="s">
        <v>1691</v>
      </c>
      <c r="H32" s="132" t="s">
        <v>716</v>
      </c>
      <c r="I32" s="132" t="s">
        <v>1701</v>
      </c>
      <c r="J32" s="132" t="s">
        <v>716</v>
      </c>
      <c r="K32" s="132" t="s">
        <v>1694</v>
      </c>
      <c r="L32" s="132" t="s">
        <v>1694</v>
      </c>
      <c r="M32" s="132" t="s">
        <v>1695</v>
      </c>
      <c r="N32" s="132" t="s">
        <v>718</v>
      </c>
      <c r="O32" s="132" t="s">
        <v>1702</v>
      </c>
      <c r="P32" s="132" t="s">
        <v>718</v>
      </c>
      <c r="Q32" s="132" t="s">
        <v>719</v>
      </c>
      <c r="R32" s="132" t="s">
        <v>734</v>
      </c>
      <c r="S32" s="132" t="s">
        <v>719</v>
      </c>
      <c r="T32" s="132" t="s">
        <v>734</v>
      </c>
      <c r="U32" s="132" t="s">
        <v>734</v>
      </c>
      <c r="V32" s="132" t="s">
        <v>720</v>
      </c>
      <c r="W32" s="327"/>
      <c r="X32" s="1484">
        <f>X31*5.678263</f>
        <v>0.27255662400000003</v>
      </c>
      <c r="Y32" s="1484">
        <f t="shared" ref="Y32:AE32" si="137">Y31*5.678263</f>
        <v>0.27255662400000003</v>
      </c>
      <c r="Z32" s="1484">
        <f t="shared" si="137"/>
        <v>0.52807845900000006</v>
      </c>
      <c r="AA32" s="1484">
        <f t="shared" si="137"/>
        <v>0.27823488700000004</v>
      </c>
      <c r="AB32" s="1484">
        <f t="shared" si="137"/>
        <v>0.27823488700000004</v>
      </c>
      <c r="AC32" s="1484">
        <f t="shared" si="137"/>
        <v>0.40883493599999998</v>
      </c>
      <c r="AD32" s="1484">
        <f t="shared" si="137"/>
        <v>0.15331310100000001</v>
      </c>
      <c r="AE32" s="1484">
        <f t="shared" si="137"/>
        <v>0.15331310100000001</v>
      </c>
      <c r="AF32" s="1484">
        <f>AF31*5.678263</f>
        <v>0.19306094200000001</v>
      </c>
      <c r="AG32" s="1484">
        <f>AG31*5.678263</f>
        <v>0.45426104</v>
      </c>
      <c r="AH32" s="1484">
        <f t="shared" ref="AH32:AN32" si="138">AH31*5.678263</f>
        <v>0.40315667299999997</v>
      </c>
      <c r="AI32" s="1484">
        <f t="shared" si="138"/>
        <v>0.85741771300000003</v>
      </c>
      <c r="AJ32" s="1484">
        <f t="shared" si="138"/>
        <v>0.39180014700000004</v>
      </c>
      <c r="AK32" s="1484">
        <f t="shared" si="138"/>
        <v>0.39180014700000004</v>
      </c>
      <c r="AL32" s="1484">
        <f t="shared" si="138"/>
        <v>0.64164371900000006</v>
      </c>
      <c r="AM32" s="1484">
        <f t="shared" si="138"/>
        <v>0.36340883200000001</v>
      </c>
      <c r="AN32" s="1484">
        <f t="shared" si="138"/>
        <v>0.36340883200000001</v>
      </c>
      <c r="AO32" s="1484">
        <f>AO31*5.678263</f>
        <v>0.70410461200000007</v>
      </c>
      <c r="AP32" s="1484">
        <f t="shared" ref="AP32:AQ32" si="139">AP31*5.678263</f>
        <v>0.28959141300000002</v>
      </c>
      <c r="AQ32" s="1484">
        <f t="shared" si="139"/>
        <v>0.28959141300000002</v>
      </c>
      <c r="AR32" s="1484">
        <f>AR31*5.678263</f>
        <v>0.50536540699999999</v>
      </c>
      <c r="AS32" s="132" t="s">
        <v>726</v>
      </c>
      <c r="AT32" s="132" t="s">
        <v>745</v>
      </c>
      <c r="AU32" s="132" t="s">
        <v>726</v>
      </c>
      <c r="AV32" s="1484">
        <f t="shared" ref="AV32:AW32" si="140">AV31*5.678263</f>
        <v>0.36340883200000001</v>
      </c>
      <c r="AW32" s="1484">
        <f t="shared" si="140"/>
        <v>0.32366099100000001</v>
      </c>
      <c r="AX32" s="1484">
        <f>AX31*5.678263</f>
        <v>0.77792203100000012</v>
      </c>
      <c r="AY32" s="1484">
        <f t="shared" ref="AY32:AZ32" si="141">AY31*5.678263</f>
        <v>0.215773994</v>
      </c>
      <c r="AZ32" s="1484">
        <f t="shared" si="141"/>
        <v>0.18170441600000001</v>
      </c>
      <c r="BA32" s="1484">
        <f>BA31*5.678263</f>
        <v>0.29526967599999998</v>
      </c>
      <c r="BB32" s="1484">
        <v>0.66700000000000004</v>
      </c>
      <c r="BC32" s="1484">
        <v>0.52300000000000002</v>
      </c>
      <c r="BD32" s="1484">
        <v>6.484</v>
      </c>
      <c r="BE32" s="1484">
        <f>BE31*1.7315</f>
        <v>0.93501000000000012</v>
      </c>
      <c r="BF32" s="1484">
        <f t="shared" ref="BF32:BJ32" si="142">BF31*1.7315</f>
        <v>0.90038000000000007</v>
      </c>
      <c r="BG32" s="1484">
        <f t="shared" si="142"/>
        <v>1.263995</v>
      </c>
      <c r="BH32" s="1484">
        <f t="shared" si="142"/>
        <v>1.48909</v>
      </c>
      <c r="BI32" s="1484">
        <f t="shared" si="142"/>
        <v>1.1912719999999999</v>
      </c>
      <c r="BJ32" s="1484">
        <f t="shared" si="142"/>
        <v>1.76613</v>
      </c>
      <c r="BK32" s="1484">
        <f>BK31*5.678263</f>
        <v>3.9747840999999999</v>
      </c>
      <c r="BL32" s="1484">
        <f>BL31*5.678263</f>
        <v>2.8391315000000001</v>
      </c>
      <c r="BM32" s="1484">
        <f t="shared" ref="BM32:BP32" si="143">BM31*5.678263</f>
        <v>3.9747840999999999</v>
      </c>
      <c r="BN32" s="1484">
        <f t="shared" si="143"/>
        <v>2.8391315000000001</v>
      </c>
      <c r="BO32" s="1484">
        <f t="shared" si="143"/>
        <v>2.8391315000000001</v>
      </c>
      <c r="BP32" s="1484">
        <f t="shared" si="143"/>
        <v>8.2334813499999999</v>
      </c>
      <c r="BQ32" s="327"/>
      <c r="BR32" s="1003">
        <f>BR31*5.678263</f>
        <v>1.98739205</v>
      </c>
      <c r="BS32" s="1003">
        <f t="shared" ref="BS32" si="144">BS31*5.678263</f>
        <v>1.98739205</v>
      </c>
      <c r="BT32" s="1003">
        <f t="shared" ref="BT32" si="145">BT31*5.678263</f>
        <v>3.6908709500000003</v>
      </c>
      <c r="BU32" s="1003">
        <f t="shared" ref="BU32" si="146">BU31*5.678263</f>
        <v>2.5552183500000001</v>
      </c>
      <c r="BV32" s="1003">
        <f t="shared" ref="BV32" si="147">BV31*5.678263</f>
        <v>2.5552183500000001</v>
      </c>
      <c r="BW32" s="1003">
        <f t="shared" ref="BW32" si="148">BW31*5.678263</f>
        <v>3.4069578000000003</v>
      </c>
      <c r="BX32" s="1003">
        <f t="shared" ref="BX32" si="149">BX31*5.678263</f>
        <v>4.5426104</v>
      </c>
      <c r="BY32" s="1003">
        <f t="shared" ref="BY32" si="150">BY31*5.678263</f>
        <v>4.5426104</v>
      </c>
      <c r="BZ32" s="1003">
        <f t="shared" ref="BZ32" si="151">BZ31*5.678263</f>
        <v>5.1104367000000002</v>
      </c>
      <c r="CA32" s="1003">
        <f t="shared" ref="CA32" si="152">CA31*5.678263</f>
        <v>3.1230446500000002</v>
      </c>
      <c r="CB32" s="1003">
        <f t="shared" ref="CB32" si="153">CB31*5.678263</f>
        <v>3.1230446500000002</v>
      </c>
      <c r="CC32" s="1003">
        <f t="shared" ref="CC32" si="154">CC31*5.678263</f>
        <v>3.6908709500000003</v>
      </c>
      <c r="CD32" s="132">
        <v>0.49</v>
      </c>
      <c r="CE32" s="132">
        <v>0.49</v>
      </c>
      <c r="CF32" s="132" t="s">
        <v>764</v>
      </c>
      <c r="CG32" s="132">
        <v>0.39</v>
      </c>
      <c r="CH32" s="132">
        <v>0.39</v>
      </c>
      <c r="CI32" s="132" t="s">
        <v>764</v>
      </c>
      <c r="CJ32" s="132">
        <v>0.39</v>
      </c>
      <c r="CK32" s="132">
        <v>0.39</v>
      </c>
      <c r="CL32" s="132" t="s">
        <v>764</v>
      </c>
      <c r="CM32" s="132">
        <v>0.39</v>
      </c>
      <c r="CN32" s="132">
        <v>0.39</v>
      </c>
      <c r="CO32" s="132" t="s">
        <v>764</v>
      </c>
      <c r="CP32" s="132">
        <v>6.64</v>
      </c>
      <c r="CQ32" s="132">
        <v>6.64</v>
      </c>
      <c r="CR32" s="132">
        <v>6.64</v>
      </c>
      <c r="CS32" s="132">
        <v>6.64</v>
      </c>
      <c r="CT32" s="132">
        <v>6.64</v>
      </c>
      <c r="CU32" s="132">
        <v>6.64</v>
      </c>
      <c r="CV32" s="132">
        <v>0.49</v>
      </c>
      <c r="CW32" s="132">
        <v>0.49</v>
      </c>
      <c r="CX32" s="132">
        <v>0.71</v>
      </c>
      <c r="CY32" s="132">
        <v>0.57999999999999996</v>
      </c>
      <c r="CZ32" s="132">
        <v>0.49</v>
      </c>
      <c r="DA32" s="141">
        <v>0.49</v>
      </c>
    </row>
    <row r="33" spans="1:105" s="129" customFormat="1" ht="45.6" x14ac:dyDescent="0.25">
      <c r="A33" s="148" t="s">
        <v>779</v>
      </c>
      <c r="B33" s="152" t="s">
        <v>191</v>
      </c>
      <c r="C33" s="142" t="s">
        <v>191</v>
      </c>
      <c r="D33" s="142" t="s">
        <v>194</v>
      </c>
      <c r="E33" s="142" t="s">
        <v>198</v>
      </c>
      <c r="F33" s="142" t="s">
        <v>200</v>
      </c>
      <c r="G33" s="142" t="s">
        <v>196</v>
      </c>
      <c r="H33" s="142" t="s">
        <v>203</v>
      </c>
      <c r="I33" s="142" t="s">
        <v>204</v>
      </c>
      <c r="J33" s="142" t="s">
        <v>202</v>
      </c>
      <c r="K33" s="142" t="s">
        <v>182</v>
      </c>
      <c r="L33" s="142" t="s">
        <v>183</v>
      </c>
      <c r="M33" s="142" t="s">
        <v>180</v>
      </c>
      <c r="N33" s="142" t="s">
        <v>185</v>
      </c>
      <c r="O33" s="142" t="s">
        <v>185</v>
      </c>
      <c r="P33" s="142" t="s">
        <v>184</v>
      </c>
      <c r="Q33" s="142" t="s">
        <v>189</v>
      </c>
      <c r="R33" s="142" t="s">
        <v>189</v>
      </c>
      <c r="S33" s="142" t="s">
        <v>187</v>
      </c>
      <c r="T33" s="142" t="s">
        <v>189</v>
      </c>
      <c r="U33" s="142" t="s">
        <v>189</v>
      </c>
      <c r="V33" s="142" t="s">
        <v>188</v>
      </c>
      <c r="W33" s="327"/>
      <c r="X33" s="142" t="s">
        <v>153</v>
      </c>
      <c r="Y33" s="142" t="s">
        <v>153</v>
      </c>
      <c r="Z33" s="142" t="s">
        <v>171</v>
      </c>
      <c r="AA33" s="142" t="s">
        <v>153</v>
      </c>
      <c r="AB33" s="142" t="s">
        <v>153</v>
      </c>
      <c r="AC33" s="142" t="s">
        <v>171</v>
      </c>
      <c r="AD33" s="142" t="s">
        <v>153</v>
      </c>
      <c r="AE33" s="142" t="s">
        <v>153</v>
      </c>
      <c r="AF33" s="142" t="s">
        <v>171</v>
      </c>
      <c r="AG33" s="142" t="s">
        <v>161</v>
      </c>
      <c r="AH33" s="142" t="s">
        <v>174</v>
      </c>
      <c r="AI33" s="142" t="s">
        <v>155</v>
      </c>
      <c r="AJ33" s="142" t="s">
        <v>161</v>
      </c>
      <c r="AK33" s="142" t="s">
        <v>174</v>
      </c>
      <c r="AL33" s="142" t="s">
        <v>155</v>
      </c>
      <c r="AM33" s="142" t="s">
        <v>161</v>
      </c>
      <c r="AN33" s="142" t="s">
        <v>174</v>
      </c>
      <c r="AO33" s="142" t="s">
        <v>155</v>
      </c>
      <c r="AP33" s="142" t="s">
        <v>161</v>
      </c>
      <c r="AQ33" s="142" t="s">
        <v>174</v>
      </c>
      <c r="AR33" s="142" t="s">
        <v>155</v>
      </c>
      <c r="AS33" s="142" t="s">
        <v>168</v>
      </c>
      <c r="AT33" s="142" t="s">
        <v>175</v>
      </c>
      <c r="AU33" s="142" t="s">
        <v>167</v>
      </c>
      <c r="AV33" s="142" t="s">
        <v>169</v>
      </c>
      <c r="AW33" s="142" t="s">
        <v>172</v>
      </c>
      <c r="AX33" s="142" t="s">
        <v>170</v>
      </c>
      <c r="AY33" s="142" t="s">
        <v>169</v>
      </c>
      <c r="AZ33" s="142" t="s">
        <v>172</v>
      </c>
      <c r="BA33" s="142" t="s">
        <v>170</v>
      </c>
      <c r="BB33" s="142" t="s">
        <v>169</v>
      </c>
      <c r="BC33" s="142" t="s">
        <v>172</v>
      </c>
      <c r="BD33" s="142" t="s">
        <v>170</v>
      </c>
      <c r="BE33" s="142" t="s">
        <v>173</v>
      </c>
      <c r="BF33" s="142" t="s">
        <v>173</v>
      </c>
      <c r="BG33" s="142" t="s">
        <v>158</v>
      </c>
      <c r="BH33" s="142" t="s">
        <v>173</v>
      </c>
      <c r="BI33" s="142" t="s">
        <v>173</v>
      </c>
      <c r="BJ33" s="142" t="s">
        <v>158</v>
      </c>
      <c r="BK33" s="142" t="s">
        <v>164</v>
      </c>
      <c r="BL33" s="142" t="s">
        <v>164</v>
      </c>
      <c r="BM33" s="142" t="s">
        <v>159</v>
      </c>
      <c r="BN33" s="142" t="s">
        <v>164</v>
      </c>
      <c r="BO33" s="142" t="s">
        <v>164</v>
      </c>
      <c r="BP33" s="142" t="s">
        <v>160</v>
      </c>
      <c r="BQ33" s="327"/>
      <c r="BR33" s="142">
        <v>0.35</v>
      </c>
      <c r="BS33" s="142">
        <v>0.4</v>
      </c>
      <c r="BT33" s="142">
        <v>0.8</v>
      </c>
      <c r="BU33" s="142"/>
      <c r="BV33" s="142"/>
      <c r="BW33" s="142"/>
      <c r="BX33" s="142"/>
      <c r="BY33" s="142"/>
      <c r="BZ33" s="142"/>
      <c r="CA33" s="142"/>
      <c r="CB33" s="142"/>
      <c r="CC33" s="142"/>
      <c r="CD33" s="142">
        <v>0.45</v>
      </c>
      <c r="CE33" s="142">
        <v>0.45</v>
      </c>
      <c r="CF33" s="142">
        <v>0.45</v>
      </c>
      <c r="CG33" s="142"/>
      <c r="CH33" s="142"/>
      <c r="CI33" s="142"/>
      <c r="CJ33" s="142"/>
      <c r="CK33" s="142"/>
      <c r="CL33" s="142"/>
      <c r="CM33" s="142">
        <v>0.45</v>
      </c>
      <c r="CN33" s="142">
        <v>0.45</v>
      </c>
      <c r="CO33" s="142">
        <v>0.45</v>
      </c>
      <c r="CP33" s="142">
        <v>1.17</v>
      </c>
      <c r="CQ33" s="142">
        <v>1.17</v>
      </c>
      <c r="CR33" s="142">
        <v>1.17</v>
      </c>
      <c r="CS33" s="142">
        <v>1.17</v>
      </c>
      <c r="CT33" s="142">
        <v>1.17</v>
      </c>
      <c r="CU33" s="142">
        <v>1.17</v>
      </c>
      <c r="CV33" s="142">
        <v>0.68</v>
      </c>
      <c r="CW33" s="142">
        <v>0.64</v>
      </c>
      <c r="CX33" s="142">
        <v>0.77</v>
      </c>
      <c r="CY33" s="142">
        <v>0.71</v>
      </c>
      <c r="CZ33" s="142">
        <v>0.68</v>
      </c>
      <c r="DA33" s="143">
        <v>0.64</v>
      </c>
    </row>
    <row r="34" spans="1:105" s="129" customFormat="1" ht="57" x14ac:dyDescent="0.25">
      <c r="A34" s="147" t="s">
        <v>784</v>
      </c>
      <c r="B34" s="151" t="s">
        <v>710</v>
      </c>
      <c r="C34" s="132" t="s">
        <v>710</v>
      </c>
      <c r="D34" s="132" t="s">
        <v>748</v>
      </c>
      <c r="E34" s="132" t="s">
        <v>731</v>
      </c>
      <c r="F34" s="132" t="s">
        <v>754</v>
      </c>
      <c r="G34" s="132" t="s">
        <v>714</v>
      </c>
      <c r="H34" s="132" t="s">
        <v>743</v>
      </c>
      <c r="I34" s="132" t="s">
        <v>755</v>
      </c>
      <c r="J34" s="132" t="s">
        <v>716</v>
      </c>
      <c r="K34" s="132" t="s">
        <v>744</v>
      </c>
      <c r="L34" s="132" t="s">
        <v>749</v>
      </c>
      <c r="M34" s="132" t="s">
        <v>732</v>
      </c>
      <c r="N34" s="132" t="s">
        <v>750</v>
      </c>
      <c r="O34" s="132" t="s">
        <v>750</v>
      </c>
      <c r="P34" s="132" t="s">
        <v>718</v>
      </c>
      <c r="Q34" s="132" t="s">
        <v>734</v>
      </c>
      <c r="R34" s="132" t="s">
        <v>734</v>
      </c>
      <c r="S34" s="132" t="s">
        <v>719</v>
      </c>
      <c r="T34" s="132" t="s">
        <v>734</v>
      </c>
      <c r="U34" s="132" t="s">
        <v>734</v>
      </c>
      <c r="V34" s="132" t="s">
        <v>720</v>
      </c>
      <c r="W34" s="327"/>
      <c r="X34" s="132" t="s">
        <v>722</v>
      </c>
      <c r="Y34" s="132" t="s">
        <v>722</v>
      </c>
      <c r="Z34" s="132" t="s">
        <v>751</v>
      </c>
      <c r="AA34" s="132" t="s">
        <v>722</v>
      </c>
      <c r="AB34" s="132" t="s">
        <v>722</v>
      </c>
      <c r="AC34" s="132" t="s">
        <v>751</v>
      </c>
      <c r="AD34" s="132" t="s">
        <v>722</v>
      </c>
      <c r="AE34" s="132" t="s">
        <v>722</v>
      </c>
      <c r="AF34" s="132" t="s">
        <v>751</v>
      </c>
      <c r="AG34" s="132" t="s">
        <v>735</v>
      </c>
      <c r="AH34" s="132" t="s">
        <v>756</v>
      </c>
      <c r="AI34" s="132" t="s">
        <v>724</v>
      </c>
      <c r="AJ34" s="132" t="s">
        <v>735</v>
      </c>
      <c r="AK34" s="132" t="s">
        <v>756</v>
      </c>
      <c r="AL34" s="132" t="s">
        <v>724</v>
      </c>
      <c r="AM34" s="132" t="s">
        <v>735</v>
      </c>
      <c r="AN34" s="132" t="s">
        <v>756</v>
      </c>
      <c r="AO34" s="132" t="s">
        <v>724</v>
      </c>
      <c r="AP34" s="132" t="s">
        <v>735</v>
      </c>
      <c r="AQ34" s="132" t="s">
        <v>756</v>
      </c>
      <c r="AR34" s="132" t="s">
        <v>724</v>
      </c>
      <c r="AS34" s="132" t="s">
        <v>745</v>
      </c>
      <c r="AT34" s="132" t="s">
        <v>757</v>
      </c>
      <c r="AU34" s="132" t="s">
        <v>726</v>
      </c>
      <c r="AV34" s="132" t="s">
        <v>746</v>
      </c>
      <c r="AW34" s="132" t="s">
        <v>752</v>
      </c>
      <c r="AX34" s="132" t="s">
        <v>747</v>
      </c>
      <c r="AY34" s="132" t="s">
        <v>746</v>
      </c>
      <c r="AZ34" s="132" t="s">
        <v>752</v>
      </c>
      <c r="BA34" s="132" t="s">
        <v>747</v>
      </c>
      <c r="BB34" s="132" t="s">
        <v>746</v>
      </c>
      <c r="BC34" s="132" t="s">
        <v>752</v>
      </c>
      <c r="BD34" s="132" t="s">
        <v>747</v>
      </c>
      <c r="BE34" s="132" t="s">
        <v>753</v>
      </c>
      <c r="BF34" s="132" t="s">
        <v>753</v>
      </c>
      <c r="BG34" s="132" t="s">
        <v>728</v>
      </c>
      <c r="BH34" s="132" t="s">
        <v>753</v>
      </c>
      <c r="BI34" s="132" t="s">
        <v>753</v>
      </c>
      <c r="BJ34" s="132" t="s">
        <v>728</v>
      </c>
      <c r="BK34" s="132" t="s">
        <v>738</v>
      </c>
      <c r="BL34" s="132" t="s">
        <v>738</v>
      </c>
      <c r="BM34" s="132" t="s">
        <v>729</v>
      </c>
      <c r="BN34" s="132" t="s">
        <v>738</v>
      </c>
      <c r="BO34" s="132" t="s">
        <v>738</v>
      </c>
      <c r="BP34" s="132" t="s">
        <v>730</v>
      </c>
      <c r="BQ34" s="327"/>
      <c r="BR34" s="132">
        <v>0.35</v>
      </c>
      <c r="BS34" s="132">
        <v>0.4</v>
      </c>
      <c r="BT34" s="132">
        <v>0.8</v>
      </c>
      <c r="BU34" s="132"/>
      <c r="BV34" s="132"/>
      <c r="BW34" s="132"/>
      <c r="BX34" s="132"/>
      <c r="BY34" s="132"/>
      <c r="BZ34" s="132"/>
      <c r="CA34" s="132"/>
      <c r="CB34" s="132"/>
      <c r="CC34" s="132"/>
      <c r="CD34" s="132">
        <v>0.45</v>
      </c>
      <c r="CE34" s="132">
        <v>0.45</v>
      </c>
      <c r="CF34" s="132">
        <v>0.45</v>
      </c>
      <c r="CG34" s="132"/>
      <c r="CH34" s="132"/>
      <c r="CI34" s="132"/>
      <c r="CJ34" s="132"/>
      <c r="CK34" s="132"/>
      <c r="CL34" s="132"/>
      <c r="CM34" s="132">
        <v>0.45</v>
      </c>
      <c r="CN34" s="132">
        <v>0.45</v>
      </c>
      <c r="CO34" s="132">
        <v>0.45</v>
      </c>
      <c r="CP34" s="132">
        <v>6.64</v>
      </c>
      <c r="CQ34" s="132">
        <v>6.64</v>
      </c>
      <c r="CR34" s="132">
        <v>6.64</v>
      </c>
      <c r="CS34" s="132">
        <v>6.64</v>
      </c>
      <c r="CT34" s="132">
        <v>6.64</v>
      </c>
      <c r="CU34" s="132">
        <v>6.64</v>
      </c>
      <c r="CV34" s="132">
        <v>0.68</v>
      </c>
      <c r="CW34" s="132">
        <v>0.64</v>
      </c>
      <c r="CX34" s="132">
        <v>0.77</v>
      </c>
      <c r="CY34" s="132">
        <v>0.71</v>
      </c>
      <c r="CZ34" s="132">
        <v>0.68</v>
      </c>
      <c r="DA34" s="141">
        <v>0.64</v>
      </c>
    </row>
    <row r="35" spans="1:105" s="129" customFormat="1" ht="45.6" x14ac:dyDescent="0.25">
      <c r="A35" s="148" t="s">
        <v>780</v>
      </c>
      <c r="B35" s="152" t="s">
        <v>191</v>
      </c>
      <c r="C35" s="142" t="s">
        <v>191</v>
      </c>
      <c r="D35" s="142" t="s">
        <v>194</v>
      </c>
      <c r="E35" s="142" t="s">
        <v>198</v>
      </c>
      <c r="F35" s="142" t="s">
        <v>200</v>
      </c>
      <c r="G35" s="142" t="s">
        <v>196</v>
      </c>
      <c r="H35" s="142" t="s">
        <v>203</v>
      </c>
      <c r="I35" s="142" t="s">
        <v>204</v>
      </c>
      <c r="J35" s="142" t="s">
        <v>202</v>
      </c>
      <c r="K35" s="142" t="s">
        <v>182</v>
      </c>
      <c r="L35" s="142" t="s">
        <v>183</v>
      </c>
      <c r="M35" s="142" t="s">
        <v>180</v>
      </c>
      <c r="N35" s="142" t="s">
        <v>185</v>
      </c>
      <c r="O35" s="142" t="s">
        <v>185</v>
      </c>
      <c r="P35" s="142" t="s">
        <v>184</v>
      </c>
      <c r="Q35" s="142" t="s">
        <v>189</v>
      </c>
      <c r="R35" s="142" t="s">
        <v>189</v>
      </c>
      <c r="S35" s="142" t="s">
        <v>187</v>
      </c>
      <c r="T35" s="142" t="s">
        <v>189</v>
      </c>
      <c r="U35" s="142" t="s">
        <v>189</v>
      </c>
      <c r="V35" s="142" t="s">
        <v>188</v>
      </c>
      <c r="W35" s="327"/>
      <c r="X35" s="142" t="s">
        <v>153</v>
      </c>
      <c r="Y35" s="142" t="s">
        <v>153</v>
      </c>
      <c r="Z35" s="142" t="s">
        <v>171</v>
      </c>
      <c r="AA35" s="142" t="s">
        <v>153</v>
      </c>
      <c r="AB35" s="142" t="s">
        <v>153</v>
      </c>
      <c r="AC35" s="142" t="s">
        <v>171</v>
      </c>
      <c r="AD35" s="142" t="s">
        <v>153</v>
      </c>
      <c r="AE35" s="142" t="s">
        <v>153</v>
      </c>
      <c r="AF35" s="142" t="s">
        <v>171</v>
      </c>
      <c r="AG35" s="142" t="s">
        <v>161</v>
      </c>
      <c r="AH35" s="142" t="s">
        <v>174</v>
      </c>
      <c r="AI35" s="142" t="s">
        <v>155</v>
      </c>
      <c r="AJ35" s="142" t="s">
        <v>161</v>
      </c>
      <c r="AK35" s="142" t="s">
        <v>174</v>
      </c>
      <c r="AL35" s="142" t="s">
        <v>155</v>
      </c>
      <c r="AM35" s="142" t="s">
        <v>161</v>
      </c>
      <c r="AN35" s="142" t="s">
        <v>174</v>
      </c>
      <c r="AO35" s="142" t="s">
        <v>155</v>
      </c>
      <c r="AP35" s="142" t="s">
        <v>161</v>
      </c>
      <c r="AQ35" s="142" t="s">
        <v>174</v>
      </c>
      <c r="AR35" s="142" t="s">
        <v>155</v>
      </c>
      <c r="AS35" s="142" t="s">
        <v>168</v>
      </c>
      <c r="AT35" s="142" t="s">
        <v>175</v>
      </c>
      <c r="AU35" s="142" t="s">
        <v>167</v>
      </c>
      <c r="AV35" s="142" t="s">
        <v>169</v>
      </c>
      <c r="AW35" s="142" t="s">
        <v>172</v>
      </c>
      <c r="AX35" s="142" t="s">
        <v>170</v>
      </c>
      <c r="AY35" s="142" t="s">
        <v>169</v>
      </c>
      <c r="AZ35" s="142" t="s">
        <v>172</v>
      </c>
      <c r="BA35" s="142" t="s">
        <v>170</v>
      </c>
      <c r="BB35" s="142" t="s">
        <v>169</v>
      </c>
      <c r="BC35" s="142" t="s">
        <v>172</v>
      </c>
      <c r="BD35" s="142" t="s">
        <v>170</v>
      </c>
      <c r="BE35" s="142" t="s">
        <v>173</v>
      </c>
      <c r="BF35" s="142" t="s">
        <v>173</v>
      </c>
      <c r="BG35" s="142" t="s">
        <v>158</v>
      </c>
      <c r="BH35" s="142" t="s">
        <v>173</v>
      </c>
      <c r="BI35" s="142" t="s">
        <v>173</v>
      </c>
      <c r="BJ35" s="142" t="s">
        <v>158</v>
      </c>
      <c r="BK35" s="142" t="s">
        <v>164</v>
      </c>
      <c r="BL35" s="142" t="s">
        <v>164</v>
      </c>
      <c r="BM35" s="142" t="s">
        <v>159</v>
      </c>
      <c r="BN35" s="142" t="s">
        <v>164</v>
      </c>
      <c r="BO35" s="142" t="s">
        <v>164</v>
      </c>
      <c r="BP35" s="142" t="s">
        <v>160</v>
      </c>
      <c r="BQ35" s="327"/>
      <c r="BR35" s="142">
        <v>0.35</v>
      </c>
      <c r="BS35" s="142">
        <v>0.4</v>
      </c>
      <c r="BT35" s="142">
        <v>0.8</v>
      </c>
      <c r="BU35" s="142"/>
      <c r="BV35" s="142"/>
      <c r="BW35" s="142"/>
      <c r="BX35" s="142"/>
      <c r="BY35" s="142"/>
      <c r="BZ35" s="142"/>
      <c r="CA35" s="142"/>
      <c r="CB35" s="142"/>
      <c r="CC35" s="142"/>
      <c r="CD35" s="142">
        <v>0.45</v>
      </c>
      <c r="CE35" s="142">
        <v>0.45</v>
      </c>
      <c r="CF35" s="142">
        <v>0.45</v>
      </c>
      <c r="CG35" s="142"/>
      <c r="CH35" s="142"/>
      <c r="CI35" s="142"/>
      <c r="CJ35" s="142"/>
      <c r="CK35" s="142"/>
      <c r="CL35" s="142"/>
      <c r="CM35" s="142">
        <v>0.45</v>
      </c>
      <c r="CN35" s="142">
        <v>0.45</v>
      </c>
      <c r="CO35" s="142">
        <v>0.45</v>
      </c>
      <c r="CP35" s="142">
        <v>1.17</v>
      </c>
      <c r="CQ35" s="142">
        <v>1.17</v>
      </c>
      <c r="CR35" s="142">
        <v>1.17</v>
      </c>
      <c r="CS35" s="142">
        <v>1.17</v>
      </c>
      <c r="CT35" s="142">
        <v>1.17</v>
      </c>
      <c r="CU35" s="142">
        <v>1.17</v>
      </c>
      <c r="CV35" s="142">
        <v>0.68</v>
      </c>
      <c r="CW35" s="142">
        <v>0.64</v>
      </c>
      <c r="CX35" s="142">
        <v>0.77</v>
      </c>
      <c r="CY35" s="142">
        <v>0.71</v>
      </c>
      <c r="CZ35" s="142">
        <v>0.68</v>
      </c>
      <c r="DA35" s="143">
        <v>0.64</v>
      </c>
    </row>
    <row r="36" spans="1:105" s="129" customFormat="1" ht="57" x14ac:dyDescent="0.25">
      <c r="A36" s="147" t="s">
        <v>783</v>
      </c>
      <c r="B36" s="151" t="s">
        <v>710</v>
      </c>
      <c r="C36" s="132" t="s">
        <v>710</v>
      </c>
      <c r="D36" s="132" t="s">
        <v>748</v>
      </c>
      <c r="E36" s="132" t="s">
        <v>731</v>
      </c>
      <c r="F36" s="132" t="s">
        <v>754</v>
      </c>
      <c r="G36" s="132" t="s">
        <v>714</v>
      </c>
      <c r="H36" s="132" t="s">
        <v>743</v>
      </c>
      <c r="I36" s="132" t="s">
        <v>755</v>
      </c>
      <c r="J36" s="132" t="s">
        <v>716</v>
      </c>
      <c r="K36" s="132" t="s">
        <v>744</v>
      </c>
      <c r="L36" s="132" t="s">
        <v>749</v>
      </c>
      <c r="M36" s="132" t="s">
        <v>732</v>
      </c>
      <c r="N36" s="132" t="s">
        <v>750</v>
      </c>
      <c r="O36" s="132" t="s">
        <v>750</v>
      </c>
      <c r="P36" s="132" t="s">
        <v>718</v>
      </c>
      <c r="Q36" s="132" t="s">
        <v>734</v>
      </c>
      <c r="R36" s="132" t="s">
        <v>734</v>
      </c>
      <c r="S36" s="132" t="s">
        <v>719</v>
      </c>
      <c r="T36" s="132" t="s">
        <v>734</v>
      </c>
      <c r="U36" s="132" t="s">
        <v>734</v>
      </c>
      <c r="V36" s="132" t="s">
        <v>720</v>
      </c>
      <c r="W36" s="327"/>
      <c r="X36" s="132" t="s">
        <v>722</v>
      </c>
      <c r="Y36" s="132" t="s">
        <v>722</v>
      </c>
      <c r="Z36" s="132" t="s">
        <v>751</v>
      </c>
      <c r="AA36" s="132" t="s">
        <v>722</v>
      </c>
      <c r="AB36" s="132" t="s">
        <v>722</v>
      </c>
      <c r="AC36" s="132" t="s">
        <v>751</v>
      </c>
      <c r="AD36" s="132" t="s">
        <v>722</v>
      </c>
      <c r="AE36" s="132" t="s">
        <v>722</v>
      </c>
      <c r="AF36" s="132" t="s">
        <v>751</v>
      </c>
      <c r="AG36" s="132" t="s">
        <v>735</v>
      </c>
      <c r="AH36" s="132" t="s">
        <v>756</v>
      </c>
      <c r="AI36" s="132" t="s">
        <v>724</v>
      </c>
      <c r="AJ36" s="132" t="s">
        <v>735</v>
      </c>
      <c r="AK36" s="132" t="s">
        <v>756</v>
      </c>
      <c r="AL36" s="132" t="s">
        <v>724</v>
      </c>
      <c r="AM36" s="132" t="s">
        <v>735</v>
      </c>
      <c r="AN36" s="132" t="s">
        <v>756</v>
      </c>
      <c r="AO36" s="132" t="s">
        <v>724</v>
      </c>
      <c r="AP36" s="132" t="s">
        <v>735</v>
      </c>
      <c r="AQ36" s="132" t="s">
        <v>756</v>
      </c>
      <c r="AR36" s="132" t="s">
        <v>724</v>
      </c>
      <c r="AS36" s="132" t="s">
        <v>745</v>
      </c>
      <c r="AT36" s="132" t="s">
        <v>757</v>
      </c>
      <c r="AU36" s="132" t="s">
        <v>726</v>
      </c>
      <c r="AV36" s="132" t="s">
        <v>746</v>
      </c>
      <c r="AW36" s="132" t="s">
        <v>752</v>
      </c>
      <c r="AX36" s="132" t="s">
        <v>747</v>
      </c>
      <c r="AY36" s="132" t="s">
        <v>746</v>
      </c>
      <c r="AZ36" s="132" t="s">
        <v>752</v>
      </c>
      <c r="BA36" s="132" t="s">
        <v>747</v>
      </c>
      <c r="BB36" s="132" t="s">
        <v>746</v>
      </c>
      <c r="BC36" s="132" t="s">
        <v>752</v>
      </c>
      <c r="BD36" s="132" t="s">
        <v>747</v>
      </c>
      <c r="BE36" s="132" t="s">
        <v>753</v>
      </c>
      <c r="BF36" s="132" t="s">
        <v>753</v>
      </c>
      <c r="BG36" s="132" t="s">
        <v>728</v>
      </c>
      <c r="BH36" s="132" t="s">
        <v>753</v>
      </c>
      <c r="BI36" s="132" t="s">
        <v>753</v>
      </c>
      <c r="BJ36" s="132" t="s">
        <v>728</v>
      </c>
      <c r="BK36" s="132" t="s">
        <v>738</v>
      </c>
      <c r="BL36" s="132" t="s">
        <v>738</v>
      </c>
      <c r="BM36" s="132" t="s">
        <v>729</v>
      </c>
      <c r="BN36" s="132" t="s">
        <v>738</v>
      </c>
      <c r="BO36" s="132" t="s">
        <v>738</v>
      </c>
      <c r="BP36" s="132" t="s">
        <v>730</v>
      </c>
      <c r="BQ36" s="327"/>
      <c r="BR36" s="132">
        <v>1.99</v>
      </c>
      <c r="BS36" s="132">
        <v>2.27</v>
      </c>
      <c r="BT36" s="132">
        <v>4.54</v>
      </c>
      <c r="BU36" s="132"/>
      <c r="BV36" s="132"/>
      <c r="BW36" s="132"/>
      <c r="BX36" s="132"/>
      <c r="BY36" s="132"/>
      <c r="BZ36" s="132"/>
      <c r="CA36" s="132"/>
      <c r="CB36" s="132"/>
      <c r="CC36" s="132"/>
      <c r="CD36" s="132">
        <v>0.45</v>
      </c>
      <c r="CE36" s="132">
        <v>0.45</v>
      </c>
      <c r="CF36" s="132">
        <v>0.45</v>
      </c>
      <c r="CG36" s="132"/>
      <c r="CH36" s="132"/>
      <c r="CI36" s="132"/>
      <c r="CJ36" s="132"/>
      <c r="CK36" s="132"/>
      <c r="CL36" s="132"/>
      <c r="CM36" s="132">
        <v>0.45</v>
      </c>
      <c r="CN36" s="132">
        <v>0.45</v>
      </c>
      <c r="CO36" s="132">
        <v>0.45</v>
      </c>
      <c r="CP36" s="132">
        <v>6.64</v>
      </c>
      <c r="CQ36" s="132">
        <v>6.64</v>
      </c>
      <c r="CR36" s="132">
        <v>6.64</v>
      </c>
      <c r="CS36" s="132">
        <v>6.64</v>
      </c>
      <c r="CT36" s="132">
        <v>6.64</v>
      </c>
      <c r="CU36" s="132">
        <v>6.64</v>
      </c>
      <c r="CV36" s="132">
        <v>0.68</v>
      </c>
      <c r="CW36" s="132">
        <v>0.64</v>
      </c>
      <c r="CX36" s="132">
        <v>0.77</v>
      </c>
      <c r="CY36" s="132">
        <v>0.71</v>
      </c>
      <c r="CZ36" s="132">
        <v>0.68</v>
      </c>
      <c r="DA36" s="141">
        <v>0.64</v>
      </c>
    </row>
    <row r="37" spans="1:105" s="129" customFormat="1" ht="45.6" x14ac:dyDescent="0.25">
      <c r="A37" s="148" t="s">
        <v>781</v>
      </c>
      <c r="B37" s="152" t="s">
        <v>191</v>
      </c>
      <c r="C37" s="142" t="s">
        <v>191</v>
      </c>
      <c r="D37" s="142" t="s">
        <v>195</v>
      </c>
      <c r="E37" s="142" t="s">
        <v>198</v>
      </c>
      <c r="F37" s="142" t="s">
        <v>201</v>
      </c>
      <c r="G37" s="142" t="s">
        <v>199</v>
      </c>
      <c r="H37" s="142" t="s">
        <v>203</v>
      </c>
      <c r="I37" s="142" t="s">
        <v>205</v>
      </c>
      <c r="J37" s="142" t="s">
        <v>202</v>
      </c>
      <c r="K37" s="142" t="s">
        <v>183</v>
      </c>
      <c r="L37" s="142" t="s">
        <v>183</v>
      </c>
      <c r="M37" s="142" t="s">
        <v>180</v>
      </c>
      <c r="N37" s="142" t="s">
        <v>185</v>
      </c>
      <c r="O37" s="142" t="s">
        <v>186</v>
      </c>
      <c r="P37" s="142" t="s">
        <v>184</v>
      </c>
      <c r="Q37" s="142" t="s">
        <v>189</v>
      </c>
      <c r="R37" s="142" t="s">
        <v>189</v>
      </c>
      <c r="S37" s="142" t="s">
        <v>187</v>
      </c>
      <c r="T37" s="142" t="s">
        <v>189</v>
      </c>
      <c r="U37" s="142" t="s">
        <v>189</v>
      </c>
      <c r="V37" s="142" t="s">
        <v>189</v>
      </c>
      <c r="W37" s="327"/>
      <c r="X37" s="142" t="s">
        <v>153</v>
      </c>
      <c r="Y37" s="142" t="s">
        <v>153</v>
      </c>
      <c r="Z37" s="142" t="s">
        <v>152</v>
      </c>
      <c r="AA37" s="142" t="s">
        <v>153</v>
      </c>
      <c r="AB37" s="142" t="s">
        <v>153</v>
      </c>
      <c r="AC37" s="142" t="s">
        <v>152</v>
      </c>
      <c r="AD37" s="142" t="s">
        <v>153</v>
      </c>
      <c r="AE37" s="142" t="s">
        <v>153</v>
      </c>
      <c r="AF37" s="142" t="s">
        <v>152</v>
      </c>
      <c r="AG37" s="142" t="s">
        <v>161</v>
      </c>
      <c r="AH37" s="142" t="s">
        <v>176</v>
      </c>
      <c r="AI37" s="142" t="s">
        <v>166</v>
      </c>
      <c r="AJ37" s="142" t="s">
        <v>161</v>
      </c>
      <c r="AK37" s="142" t="s">
        <v>176</v>
      </c>
      <c r="AL37" s="142" t="s">
        <v>166</v>
      </c>
      <c r="AM37" s="142" t="s">
        <v>161</v>
      </c>
      <c r="AN37" s="142" t="s">
        <v>176</v>
      </c>
      <c r="AO37" s="142" t="s">
        <v>166</v>
      </c>
      <c r="AP37" s="142" t="s">
        <v>161</v>
      </c>
      <c r="AQ37" s="142" t="s">
        <v>176</v>
      </c>
      <c r="AR37" s="142" t="s">
        <v>166</v>
      </c>
      <c r="AS37" s="142" t="s">
        <v>168</v>
      </c>
      <c r="AT37" s="142" t="s">
        <v>177</v>
      </c>
      <c r="AU37" s="142" t="s">
        <v>167</v>
      </c>
      <c r="AV37" s="142" t="s">
        <v>172</v>
      </c>
      <c r="AW37" s="142" t="s">
        <v>172</v>
      </c>
      <c r="AX37" s="142" t="s">
        <v>170</v>
      </c>
      <c r="AY37" s="142" t="s">
        <v>172</v>
      </c>
      <c r="AZ37" s="142" t="s">
        <v>172</v>
      </c>
      <c r="BA37" s="142" t="s">
        <v>170</v>
      </c>
      <c r="BB37" s="142" t="s">
        <v>172</v>
      </c>
      <c r="BC37" s="142" t="s">
        <v>172</v>
      </c>
      <c r="BD37" s="142" t="s">
        <v>170</v>
      </c>
      <c r="BE37" s="142" t="s">
        <v>173</v>
      </c>
      <c r="BF37" s="142" t="s">
        <v>178</v>
      </c>
      <c r="BG37" s="142" t="s">
        <v>158</v>
      </c>
      <c r="BH37" s="142" t="s">
        <v>173</v>
      </c>
      <c r="BI37" s="142" t="s">
        <v>178</v>
      </c>
      <c r="BJ37" s="142" t="s">
        <v>158</v>
      </c>
      <c r="BK37" s="142" t="s">
        <v>164</v>
      </c>
      <c r="BL37" s="142" t="s">
        <v>164</v>
      </c>
      <c r="BM37" s="142" t="s">
        <v>159</v>
      </c>
      <c r="BN37" s="142" t="s">
        <v>164</v>
      </c>
      <c r="BO37" s="142" t="s">
        <v>164</v>
      </c>
      <c r="BP37" s="142" t="s">
        <v>164</v>
      </c>
      <c r="BQ37" s="327"/>
      <c r="BR37" s="142">
        <v>0.35</v>
      </c>
      <c r="BS37" s="142">
        <v>0.4</v>
      </c>
      <c r="BT37" s="142">
        <v>0.8</v>
      </c>
      <c r="BU37" s="142"/>
      <c r="BV37" s="142"/>
      <c r="BW37" s="142"/>
      <c r="BX37" s="142"/>
      <c r="BY37" s="142"/>
      <c r="BZ37" s="142"/>
      <c r="CA37" s="142"/>
      <c r="CB37" s="142"/>
      <c r="CC37" s="142"/>
      <c r="CD37" s="142">
        <v>0.45</v>
      </c>
      <c r="CE37" s="142">
        <v>0.45</v>
      </c>
      <c r="CF37" s="142">
        <v>0.45</v>
      </c>
      <c r="CG37" s="142"/>
      <c r="CH37" s="142"/>
      <c r="CI37" s="142"/>
      <c r="CJ37" s="142"/>
      <c r="CK37" s="142"/>
      <c r="CL37" s="142"/>
      <c r="CM37" s="142">
        <v>0.45</v>
      </c>
      <c r="CN37" s="142">
        <v>0.45</v>
      </c>
      <c r="CO37" s="142">
        <v>0.45</v>
      </c>
      <c r="CP37" s="142">
        <v>0.98</v>
      </c>
      <c r="CQ37" s="142">
        <v>0.98</v>
      </c>
      <c r="CR37" s="142">
        <v>0.98</v>
      </c>
      <c r="CS37" s="142">
        <v>0.98</v>
      </c>
      <c r="CT37" s="142">
        <v>0.98</v>
      </c>
      <c r="CU37" s="142">
        <v>0.98</v>
      </c>
      <c r="CV37" s="142">
        <v>0.68</v>
      </c>
      <c r="CW37" s="142">
        <v>0.64</v>
      </c>
      <c r="CX37" s="142">
        <v>0.77</v>
      </c>
      <c r="CY37" s="142">
        <v>0.71</v>
      </c>
      <c r="CZ37" s="142">
        <v>0.68</v>
      </c>
      <c r="DA37" s="143">
        <v>0.64</v>
      </c>
    </row>
    <row r="38" spans="1:105" ht="79.2" x14ac:dyDescent="0.25">
      <c r="A38" s="149" t="s">
        <v>782</v>
      </c>
      <c r="B38" s="153" t="s">
        <v>710</v>
      </c>
      <c r="C38" s="144" t="s">
        <v>710</v>
      </c>
      <c r="D38" s="144" t="s">
        <v>709</v>
      </c>
      <c r="E38" s="144" t="s">
        <v>731</v>
      </c>
      <c r="F38" s="144" t="s">
        <v>758</v>
      </c>
      <c r="G38" s="144" t="s">
        <v>740</v>
      </c>
      <c r="H38" s="144" t="s">
        <v>743</v>
      </c>
      <c r="I38" s="144" t="s">
        <v>759</v>
      </c>
      <c r="J38" s="144" t="s">
        <v>716</v>
      </c>
      <c r="K38" s="144" t="s">
        <v>749</v>
      </c>
      <c r="L38" s="144" t="s">
        <v>749</v>
      </c>
      <c r="M38" s="144" t="s">
        <v>732</v>
      </c>
      <c r="N38" s="144" t="s">
        <v>750</v>
      </c>
      <c r="O38" s="144" t="s">
        <v>760</v>
      </c>
      <c r="P38" s="144" t="s">
        <v>718</v>
      </c>
      <c r="Q38" s="144" t="s">
        <v>734</v>
      </c>
      <c r="R38" s="144" t="s">
        <v>734</v>
      </c>
      <c r="S38" s="144" t="s">
        <v>719</v>
      </c>
      <c r="T38" s="144" t="s">
        <v>734</v>
      </c>
      <c r="U38" s="144" t="s">
        <v>734</v>
      </c>
      <c r="V38" s="144" t="s">
        <v>734</v>
      </c>
      <c r="W38" s="328"/>
      <c r="X38" s="144" t="s">
        <v>722</v>
      </c>
      <c r="Y38" s="144" t="s">
        <v>722</v>
      </c>
      <c r="Z38" s="144" t="s">
        <v>721</v>
      </c>
      <c r="AA38" s="144" t="s">
        <v>722</v>
      </c>
      <c r="AB38" s="144" t="s">
        <v>722</v>
      </c>
      <c r="AC38" s="144" t="s">
        <v>721</v>
      </c>
      <c r="AD38" s="144" t="s">
        <v>722</v>
      </c>
      <c r="AE38" s="144" t="s">
        <v>722</v>
      </c>
      <c r="AF38" s="144" t="s">
        <v>721</v>
      </c>
      <c r="AG38" s="144" t="s">
        <v>735</v>
      </c>
      <c r="AH38" s="144" t="s">
        <v>761</v>
      </c>
      <c r="AI38" s="144" t="s">
        <v>742</v>
      </c>
      <c r="AJ38" s="144" t="s">
        <v>735</v>
      </c>
      <c r="AK38" s="144" t="s">
        <v>761</v>
      </c>
      <c r="AL38" s="144" t="s">
        <v>742</v>
      </c>
      <c r="AM38" s="144" t="s">
        <v>735</v>
      </c>
      <c r="AN38" s="144" t="s">
        <v>761</v>
      </c>
      <c r="AO38" s="144" t="s">
        <v>742</v>
      </c>
      <c r="AP38" s="144" t="s">
        <v>735</v>
      </c>
      <c r="AQ38" s="144" t="s">
        <v>761</v>
      </c>
      <c r="AR38" s="144" t="s">
        <v>742</v>
      </c>
      <c r="AS38" s="144" t="s">
        <v>745</v>
      </c>
      <c r="AT38" s="144" t="s">
        <v>762</v>
      </c>
      <c r="AU38" s="144" t="s">
        <v>726</v>
      </c>
      <c r="AV38" s="144" t="s">
        <v>752</v>
      </c>
      <c r="AW38" s="144" t="s">
        <v>752</v>
      </c>
      <c r="AX38" s="144" t="s">
        <v>747</v>
      </c>
      <c r="AY38" s="144" t="s">
        <v>752</v>
      </c>
      <c r="AZ38" s="144" t="s">
        <v>752</v>
      </c>
      <c r="BA38" s="144" t="s">
        <v>747</v>
      </c>
      <c r="BB38" s="144" t="s">
        <v>752</v>
      </c>
      <c r="BC38" s="144" t="s">
        <v>752</v>
      </c>
      <c r="BD38" s="144" t="s">
        <v>747</v>
      </c>
      <c r="BE38" s="144" t="s">
        <v>753</v>
      </c>
      <c r="BF38" s="144" t="s">
        <v>763</v>
      </c>
      <c r="BG38" s="144" t="s">
        <v>728</v>
      </c>
      <c r="BH38" s="144" t="s">
        <v>753</v>
      </c>
      <c r="BI38" s="144" t="s">
        <v>763</v>
      </c>
      <c r="BJ38" s="144" t="s">
        <v>728</v>
      </c>
      <c r="BK38" s="144" t="s">
        <v>738</v>
      </c>
      <c r="BL38" s="144" t="s">
        <v>738</v>
      </c>
      <c r="BM38" s="144" t="s">
        <v>729</v>
      </c>
      <c r="BN38" s="144" t="s">
        <v>738</v>
      </c>
      <c r="BO38" s="144" t="s">
        <v>738</v>
      </c>
      <c r="BP38" s="144" t="s">
        <v>738</v>
      </c>
      <c r="BQ38" s="328"/>
      <c r="BR38" s="144">
        <v>1.99</v>
      </c>
      <c r="BS38" s="144">
        <v>2.27</v>
      </c>
      <c r="BT38" s="144">
        <v>4.54</v>
      </c>
      <c r="BU38" s="144"/>
      <c r="BV38" s="144"/>
      <c r="BW38" s="144"/>
      <c r="BX38" s="144"/>
      <c r="BY38" s="144"/>
      <c r="BZ38" s="144"/>
      <c r="CA38" s="144"/>
      <c r="CB38" s="144"/>
      <c r="CC38" s="144"/>
      <c r="CD38" s="144">
        <v>0.45</v>
      </c>
      <c r="CE38" s="144">
        <v>0.45</v>
      </c>
      <c r="CF38" s="144">
        <v>0.45</v>
      </c>
      <c r="CG38" s="144"/>
      <c r="CH38" s="144"/>
      <c r="CI38" s="144"/>
      <c r="CJ38" s="144"/>
      <c r="CK38" s="144"/>
      <c r="CL38" s="144"/>
      <c r="CM38" s="144">
        <v>0.45</v>
      </c>
      <c r="CN38" s="144">
        <v>0.45</v>
      </c>
      <c r="CO38" s="144">
        <v>0.45</v>
      </c>
      <c r="CP38" s="144">
        <v>5.56</v>
      </c>
      <c r="CQ38" s="144">
        <v>5.56</v>
      </c>
      <c r="CR38" s="144">
        <v>5.56</v>
      </c>
      <c r="CS38" s="144">
        <v>5.56</v>
      </c>
      <c r="CT38" s="144">
        <v>5.56</v>
      </c>
      <c r="CU38" s="144">
        <v>5.56</v>
      </c>
      <c r="CV38" s="144" t="s">
        <v>764</v>
      </c>
      <c r="CW38" s="144" t="s">
        <v>764</v>
      </c>
      <c r="CX38" s="144" t="s">
        <v>764</v>
      </c>
      <c r="CY38" s="144" t="s">
        <v>764</v>
      </c>
      <c r="CZ38" s="144" t="s">
        <v>764</v>
      </c>
      <c r="DA38" s="145" t="s">
        <v>764</v>
      </c>
    </row>
  </sheetData>
  <sheetProtection algorithmName="SHA-512" hashValue="6Q8JxDrhb5Nz3k1b4sKij9Km9wioM6MXUWiHg9QC3JddFvC5BjoRmokVRxSWiB1vQe+aJN7ctpBtMgyHK0HOAg==" saltValue="7ZCVA33e5Q+jWRCamiksmw==" spinCount="100000" sheet="1" objects="1" scenarios="1"/>
  <mergeCells count="18">
    <mergeCell ref="N1:P1"/>
    <mergeCell ref="Q1:S1"/>
    <mergeCell ref="T1:V1"/>
    <mergeCell ref="AS1:AU1"/>
    <mergeCell ref="X1:AF1"/>
    <mergeCell ref="AG1:AR1"/>
    <mergeCell ref="A1:A2"/>
    <mergeCell ref="B1:D1"/>
    <mergeCell ref="E1:G1"/>
    <mergeCell ref="H1:J1"/>
    <mergeCell ref="K1:M1"/>
    <mergeCell ref="AV1:BD1"/>
    <mergeCell ref="BE1:BJ1"/>
    <mergeCell ref="CV1:DA1"/>
    <mergeCell ref="BR1:CC1"/>
    <mergeCell ref="CD1:CO1"/>
    <mergeCell ref="CP1:CU1"/>
    <mergeCell ref="BK1:BP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tabColor theme="0" tint="-0.249977111117893"/>
  </sheetPr>
  <dimension ref="A1:EZ555"/>
  <sheetViews>
    <sheetView showGridLines="0" topLeftCell="B1" zoomScale="90" zoomScaleNormal="90" workbookViewId="0">
      <pane xSplit="7" topLeftCell="I1" activePane="topRight" state="frozenSplit"/>
      <selection activeCell="B13" sqref="B13"/>
      <selection pane="topRight" activeCell="I22" sqref="I22"/>
    </sheetView>
  </sheetViews>
  <sheetFormatPr defaultColWidth="9" defaultRowHeight="13.8" outlineLevelCol="1" x14ac:dyDescent="0.25"/>
  <cols>
    <col min="1" max="1" width="3.796875" style="855" hidden="1" customWidth="1"/>
    <col min="2" max="2" width="2" style="855" customWidth="1"/>
    <col min="3" max="3" width="4.19921875" style="855" customWidth="1"/>
    <col min="4" max="4" width="24" style="855" customWidth="1"/>
    <col min="5" max="5" width="12.19921875" style="876" customWidth="1"/>
    <col min="6" max="6" width="6.796875" style="876" customWidth="1"/>
    <col min="7" max="7" width="35.796875" style="855" customWidth="1"/>
    <col min="8" max="8" width="9.19921875" style="2060" customWidth="1"/>
    <col min="9" max="95" width="5.5" style="855" customWidth="1"/>
    <col min="96" max="96" width="5.5" style="855" hidden="1" customWidth="1"/>
    <col min="97" max="97" width="10.69921875" style="2060" customWidth="1"/>
    <col min="98" max="98" width="15.19921875" style="2057" customWidth="1"/>
    <col min="99" max="99" width="16.69921875" style="858" customWidth="1"/>
    <col min="100" max="100" width="10.296875" style="1154" customWidth="1"/>
    <col min="101" max="101" width="11.19921875" style="2060" customWidth="1"/>
    <col min="102" max="102" width="13" style="2060" customWidth="1"/>
    <col min="103" max="103" width="18.5" style="2060" customWidth="1"/>
    <col min="104" max="104" width="12.19921875" style="2060" customWidth="1"/>
    <col min="105" max="106" width="11.69921875" style="2060" customWidth="1"/>
    <col min="107" max="108" width="12.19921875" style="855" customWidth="1"/>
    <col min="109" max="109" width="11.69921875" style="855" customWidth="1"/>
    <col min="110" max="110" width="12.19921875" style="855" customWidth="1"/>
    <col min="111" max="111" width="12.19921875" style="2060" customWidth="1"/>
    <col min="112" max="112" width="16.69921875" style="855" hidden="1" customWidth="1"/>
    <col min="113" max="113" width="43.296875" style="1772" customWidth="1"/>
    <col min="114" max="114" width="11.69921875" style="855" customWidth="1"/>
    <col min="115" max="117" width="9" style="855"/>
    <col min="118" max="118" width="9" style="855" hidden="1" customWidth="1" outlineLevel="1"/>
    <col min="119" max="119" width="20" style="858" hidden="1" customWidth="1" outlineLevel="1"/>
    <col min="120" max="121" width="18.69921875" style="858" hidden="1" customWidth="1" outlineLevel="1"/>
    <col min="122" max="126" width="9" style="855" hidden="1" customWidth="1" outlineLevel="1"/>
    <col min="127" max="128" width="0" style="855" hidden="1" customWidth="1"/>
    <col min="129" max="152" width="9" style="855"/>
    <col min="157" max="16384" width="9" style="855"/>
  </cols>
  <sheetData>
    <row r="1" spans="1:156" s="347" customFormat="1" ht="13.5" customHeight="1" x14ac:dyDescent="0.25">
      <c r="A1" s="331"/>
      <c r="B1" s="331"/>
      <c r="C1" s="15"/>
      <c r="D1" s="16"/>
      <c r="E1" s="16"/>
      <c r="F1" s="16"/>
      <c r="G1" s="16"/>
      <c r="H1" s="2107"/>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c r="AX1" s="16"/>
      <c r="AY1" s="16"/>
      <c r="AZ1" s="16"/>
      <c r="BA1" s="16"/>
      <c r="BB1" s="16"/>
      <c r="BC1" s="16"/>
      <c r="BD1" s="16"/>
      <c r="BE1" s="16"/>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row>
    <row r="2" spans="1:156" s="347" customFormat="1" ht="24.75" customHeight="1" x14ac:dyDescent="0.25">
      <c r="A2" s="331"/>
      <c r="B2" s="331"/>
      <c r="C2" s="15" t="s">
        <v>1966</v>
      </c>
      <c r="D2" s="16"/>
      <c r="E2" s="16"/>
      <c r="F2" s="16"/>
      <c r="G2" s="16"/>
      <c r="H2" s="2107"/>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row>
    <row r="3" spans="1:156" s="347" customFormat="1" ht="15" customHeight="1" x14ac:dyDescent="0.25">
      <c r="A3" s="331"/>
      <c r="B3" s="331"/>
      <c r="C3" s="331"/>
      <c r="D3" s="359"/>
      <c r="E3" s="359"/>
      <c r="F3" s="359"/>
      <c r="G3" s="359"/>
      <c r="H3" s="2108"/>
      <c r="I3" s="360"/>
      <c r="J3" s="359"/>
      <c r="K3" s="360"/>
      <c r="L3" s="360"/>
      <c r="M3" s="359"/>
      <c r="N3" s="359"/>
      <c r="O3" s="359"/>
      <c r="P3" s="359"/>
      <c r="Q3" s="359"/>
      <c r="R3" s="359"/>
      <c r="S3" s="359"/>
      <c r="T3" s="359"/>
      <c r="U3" s="359"/>
      <c r="V3" s="359"/>
      <c r="W3" s="359"/>
      <c r="X3" s="359"/>
      <c r="Y3" s="359"/>
      <c r="Z3" s="359"/>
      <c r="AA3" s="359"/>
      <c r="AB3" s="359"/>
      <c r="AC3" s="359"/>
      <c r="AD3" s="359"/>
      <c r="AE3" s="360"/>
      <c r="AF3" s="360"/>
      <c r="AG3" s="359"/>
      <c r="AH3" s="359"/>
      <c r="AI3" s="359"/>
      <c r="AJ3" s="359"/>
      <c r="AK3" s="359"/>
      <c r="AL3" s="359"/>
      <c r="AM3" s="359"/>
      <c r="AN3" s="359"/>
      <c r="AO3" s="359"/>
      <c r="AP3" s="359"/>
      <c r="AQ3" s="359"/>
      <c r="AR3" s="359"/>
      <c r="AS3" s="359"/>
      <c r="AT3" s="359"/>
      <c r="AU3" s="359"/>
      <c r="AV3" s="359"/>
      <c r="AW3" s="359"/>
      <c r="AX3" s="359"/>
      <c r="AY3" s="360"/>
      <c r="AZ3" s="360"/>
      <c r="BA3" s="359"/>
      <c r="BB3" s="359"/>
      <c r="BC3" s="359"/>
      <c r="BD3" s="359"/>
      <c r="BE3" s="359"/>
      <c r="BF3" s="359"/>
      <c r="BG3" s="359"/>
      <c r="BH3" s="359"/>
      <c r="BI3" s="359"/>
      <c r="BJ3" s="359"/>
      <c r="BK3" s="359"/>
      <c r="BL3" s="359"/>
      <c r="BM3" s="359"/>
      <c r="BN3" s="359"/>
      <c r="BO3" s="359"/>
      <c r="BP3" s="359"/>
      <c r="BQ3" s="359"/>
      <c r="BR3" s="359"/>
      <c r="BS3" s="360"/>
      <c r="BT3" s="360"/>
      <c r="BU3" s="359"/>
      <c r="BV3" s="359"/>
      <c r="BW3" s="359"/>
      <c r="BX3" s="359"/>
      <c r="BY3" s="359"/>
      <c r="BZ3" s="359"/>
      <c r="CA3" s="359"/>
      <c r="CB3" s="359"/>
      <c r="CC3" s="359"/>
      <c r="CD3" s="359"/>
      <c r="CE3" s="359"/>
      <c r="CF3" s="359"/>
      <c r="CG3" s="359"/>
      <c r="CH3" s="359"/>
      <c r="CI3" s="359"/>
      <c r="CJ3" s="359"/>
      <c r="CK3" s="359"/>
      <c r="CL3" s="359"/>
      <c r="CM3" s="359"/>
      <c r="CN3" s="359"/>
      <c r="CO3" s="359"/>
      <c r="CP3" s="359"/>
      <c r="CQ3" s="359"/>
      <c r="CR3" s="359"/>
      <c r="CS3" s="359"/>
      <c r="CT3" s="359"/>
      <c r="CU3" s="359"/>
      <c r="CV3" s="359"/>
      <c r="CW3" s="359"/>
      <c r="CX3" s="359"/>
      <c r="CY3" s="359"/>
      <c r="CZ3" s="359"/>
      <c r="DA3" s="359"/>
      <c r="DB3" s="359"/>
      <c r="DC3" s="359"/>
      <c r="DD3" s="359"/>
      <c r="DE3" s="359"/>
      <c r="DF3" s="359"/>
      <c r="DG3" s="359"/>
      <c r="DH3" s="359"/>
      <c r="DI3" s="359"/>
      <c r="DJ3" s="359"/>
    </row>
    <row r="4" spans="1:156" ht="19.5" customHeight="1" x14ac:dyDescent="0.25">
      <c r="C4" s="3036" t="s">
        <v>1634</v>
      </c>
      <c r="D4" s="3037"/>
      <c r="E4" s="3038"/>
      <c r="F4" s="3038"/>
      <c r="G4" s="3039"/>
      <c r="H4" s="3040"/>
      <c r="I4" s="856"/>
      <c r="K4" s="1164"/>
      <c r="L4" s="856"/>
      <c r="M4" s="856"/>
      <c r="N4" s="856"/>
      <c r="O4" s="856"/>
      <c r="P4" s="856"/>
      <c r="Q4" s="856"/>
      <c r="R4" s="856"/>
      <c r="S4" s="856"/>
      <c r="T4" s="856"/>
      <c r="U4" s="856"/>
      <c r="V4" s="856"/>
      <c r="W4" s="856"/>
      <c r="X4" s="856"/>
      <c r="Y4" s="856"/>
      <c r="Z4" s="856"/>
      <c r="AA4" s="856"/>
      <c r="AB4" s="856"/>
      <c r="AC4" s="856"/>
      <c r="AD4" s="856"/>
      <c r="AE4" s="856"/>
      <c r="AF4" s="856"/>
      <c r="AG4" s="856"/>
      <c r="AH4" s="856"/>
      <c r="AI4" s="857"/>
      <c r="AJ4" s="857"/>
      <c r="AK4" s="857"/>
      <c r="AL4" s="857"/>
      <c r="AM4" s="857"/>
      <c r="AN4" s="857"/>
      <c r="AO4" s="857"/>
      <c r="AP4" s="857"/>
      <c r="AQ4" s="857"/>
      <c r="AR4" s="857"/>
      <c r="AS4" s="857"/>
      <c r="AT4" s="857"/>
      <c r="AU4" s="857"/>
      <c r="AV4" s="857"/>
      <c r="AW4" s="857"/>
      <c r="AX4" s="856"/>
      <c r="AY4" s="856"/>
      <c r="AZ4" s="856"/>
      <c r="BA4" s="856"/>
      <c r="BB4" s="856"/>
      <c r="BC4" s="857"/>
      <c r="BD4" s="857"/>
      <c r="BE4" s="857"/>
      <c r="BF4" s="857"/>
      <c r="BG4" s="857"/>
      <c r="BH4" s="857"/>
      <c r="BI4" s="857"/>
      <c r="BJ4" s="857"/>
      <c r="BK4" s="857"/>
      <c r="BL4" s="857"/>
      <c r="BM4" s="857"/>
      <c r="BN4" s="857"/>
      <c r="BO4" s="857"/>
      <c r="BP4" s="857"/>
      <c r="BQ4" s="857"/>
      <c r="BR4" s="856"/>
      <c r="BS4" s="856"/>
      <c r="BT4" s="856"/>
      <c r="BU4" s="856"/>
      <c r="BV4" s="856"/>
      <c r="BW4" s="857"/>
      <c r="BX4" s="857"/>
      <c r="BY4" s="857"/>
      <c r="BZ4" s="857"/>
      <c r="CA4" s="857"/>
      <c r="CB4" s="857"/>
      <c r="CC4" s="857"/>
      <c r="CD4" s="857"/>
      <c r="CE4" s="857"/>
      <c r="CF4" s="857"/>
      <c r="CG4" s="857"/>
      <c r="CH4" s="857"/>
      <c r="CI4" s="857"/>
      <c r="CJ4" s="857"/>
      <c r="CK4" s="857"/>
      <c r="CL4" s="857"/>
      <c r="CM4" s="857"/>
      <c r="CN4" s="857"/>
      <c r="CO4" s="857"/>
      <c r="CP4" s="857"/>
      <c r="CQ4" s="857"/>
      <c r="CR4" s="857"/>
      <c r="EW4" s="866"/>
      <c r="EX4" s="866"/>
      <c r="EY4" s="866"/>
      <c r="EZ4" s="866"/>
    </row>
    <row r="5" spans="1:156" x14ac:dyDescent="0.25">
      <c r="C5" s="3041">
        <v>1</v>
      </c>
      <c r="D5" s="3364" t="str">
        <f>"Enter data as instructed in Steps 1-3, starting at row "&amp;ROW(C22)&amp;"."</f>
        <v>Enter data as instructed in Steps 1-3, starting at row 22.</v>
      </c>
      <c r="E5" s="3566"/>
      <c r="F5" s="3566"/>
      <c r="G5" s="3566"/>
      <c r="H5" s="3566"/>
      <c r="I5" s="3567"/>
      <c r="J5" s="3567"/>
      <c r="K5" s="3567"/>
      <c r="L5" s="3567"/>
      <c r="M5" s="3567"/>
      <c r="N5" s="3567"/>
      <c r="O5" s="3567"/>
      <c r="P5" s="3567"/>
      <c r="Q5" s="3567"/>
      <c r="R5" s="3567"/>
      <c r="S5" s="3567"/>
      <c r="T5" s="3567"/>
      <c r="U5" s="856"/>
      <c r="V5" s="856"/>
      <c r="W5" s="856"/>
      <c r="X5" s="856"/>
      <c r="Y5" s="856"/>
      <c r="Z5" s="856"/>
      <c r="AA5" s="856"/>
      <c r="AB5" s="856"/>
      <c r="AC5" s="856"/>
      <c r="AD5" s="860"/>
      <c r="AE5" s="860"/>
      <c r="AF5" s="860"/>
      <c r="AG5" s="860"/>
      <c r="AH5" s="860"/>
      <c r="AI5" s="857"/>
      <c r="AJ5" s="857"/>
      <c r="AK5" s="857"/>
      <c r="AL5" s="857"/>
      <c r="AM5" s="857"/>
      <c r="AN5" s="857"/>
      <c r="AO5" s="857"/>
      <c r="AP5" s="857"/>
      <c r="AQ5" s="857"/>
      <c r="AR5" s="857"/>
      <c r="AS5" s="857"/>
      <c r="AT5" s="857"/>
      <c r="AU5" s="857"/>
      <c r="AV5" s="857"/>
      <c r="AW5" s="857"/>
      <c r="AX5" s="860"/>
      <c r="AY5" s="860"/>
      <c r="AZ5" s="860"/>
      <c r="BA5" s="860"/>
      <c r="BB5" s="860"/>
      <c r="BC5" s="857"/>
      <c r="BD5" s="857"/>
      <c r="BE5" s="857"/>
      <c r="BF5" s="857"/>
      <c r="BG5" s="857"/>
      <c r="BH5" s="857"/>
      <c r="BI5" s="857"/>
      <c r="BJ5" s="857"/>
      <c r="BK5" s="857"/>
      <c r="BL5" s="857"/>
      <c r="BM5" s="857"/>
      <c r="BN5" s="857"/>
      <c r="BO5" s="857"/>
      <c r="BP5" s="857"/>
      <c r="BQ5" s="857"/>
      <c r="BR5" s="860"/>
      <c r="BS5" s="860"/>
      <c r="BT5" s="860"/>
      <c r="BU5" s="860"/>
      <c r="BV5" s="860"/>
      <c r="BW5" s="857"/>
      <c r="BX5" s="857"/>
      <c r="BY5" s="857"/>
      <c r="BZ5" s="857"/>
      <c r="CA5" s="857"/>
      <c r="CB5" s="857"/>
      <c r="CC5" s="857"/>
      <c r="CD5" s="857"/>
      <c r="CE5" s="857"/>
      <c r="CF5" s="857"/>
      <c r="CG5" s="857"/>
      <c r="CH5" s="857"/>
      <c r="CI5" s="857"/>
      <c r="CJ5" s="857"/>
      <c r="CK5" s="857"/>
      <c r="CL5" s="857"/>
      <c r="CM5" s="857"/>
      <c r="CN5" s="857"/>
      <c r="CO5" s="857"/>
      <c r="CP5" s="857"/>
      <c r="CQ5" s="857"/>
      <c r="CR5" s="857"/>
      <c r="CT5" s="2058"/>
      <c r="CU5" s="859"/>
      <c r="CV5" s="1155"/>
      <c r="DG5" s="2072"/>
      <c r="DO5" s="859"/>
      <c r="DP5" s="859"/>
      <c r="DQ5" s="859"/>
      <c r="EW5" s="866"/>
      <c r="EX5" s="866"/>
      <c r="EY5" s="866"/>
      <c r="EZ5" s="866"/>
    </row>
    <row r="6" spans="1:156" x14ac:dyDescent="0.25">
      <c r="C6" s="3041">
        <v>2</v>
      </c>
      <c r="D6" s="3364" t="s">
        <v>1861</v>
      </c>
      <c r="E6" s="3566"/>
      <c r="F6" s="3566"/>
      <c r="G6" s="3566"/>
      <c r="H6" s="3566"/>
      <c r="I6" s="3567"/>
      <c r="J6" s="3567"/>
      <c r="K6" s="3567"/>
      <c r="L6" s="3567"/>
      <c r="M6" s="3567"/>
      <c r="N6" s="3567"/>
      <c r="O6" s="3567"/>
      <c r="P6" s="3567"/>
      <c r="Q6" s="3567"/>
      <c r="R6" s="3567"/>
      <c r="S6" s="3567"/>
      <c r="T6" s="3567"/>
      <c r="U6" s="3044"/>
      <c r="V6" s="3044"/>
      <c r="W6" s="3044"/>
      <c r="X6" s="3044"/>
      <c r="Y6" s="3044"/>
      <c r="Z6" s="3044"/>
      <c r="AA6" s="3044"/>
      <c r="AB6" s="3044"/>
      <c r="AC6" s="3044"/>
      <c r="AD6" s="856"/>
      <c r="AE6" s="860"/>
      <c r="AF6" s="860"/>
      <c r="AG6" s="860"/>
      <c r="AH6" s="860"/>
      <c r="AI6" s="857"/>
      <c r="AJ6" s="857"/>
      <c r="AK6" s="857"/>
      <c r="AL6" s="857"/>
      <c r="AM6" s="857"/>
      <c r="AN6" s="857"/>
      <c r="AO6" s="857"/>
      <c r="AP6" s="857"/>
      <c r="AQ6" s="857"/>
      <c r="AR6" s="857"/>
      <c r="AS6" s="857"/>
      <c r="AT6" s="857"/>
      <c r="AU6" s="857"/>
      <c r="AV6" s="857"/>
      <c r="AW6" s="857"/>
      <c r="AX6" s="860"/>
      <c r="AY6" s="860"/>
      <c r="AZ6" s="860"/>
      <c r="BA6" s="860"/>
      <c r="BB6" s="860"/>
      <c r="BC6" s="857"/>
      <c r="BD6" s="857"/>
      <c r="BE6" s="857"/>
      <c r="BF6" s="857"/>
      <c r="BG6" s="857"/>
      <c r="BH6" s="857"/>
      <c r="BI6" s="857"/>
      <c r="BJ6" s="857"/>
      <c r="BK6" s="857"/>
      <c r="BL6" s="857"/>
      <c r="BM6" s="857"/>
      <c r="BN6" s="857"/>
      <c r="BO6" s="857"/>
      <c r="BP6" s="857"/>
      <c r="BQ6" s="857"/>
      <c r="BR6" s="860"/>
      <c r="BS6" s="860"/>
      <c r="BT6" s="860"/>
      <c r="BU6" s="860"/>
      <c r="BV6" s="860"/>
      <c r="BW6" s="857"/>
      <c r="BX6" s="857"/>
      <c r="BY6" s="857"/>
      <c r="BZ6" s="857"/>
      <c r="CA6" s="857"/>
      <c r="CB6" s="857"/>
      <c r="CC6" s="857"/>
      <c r="CD6" s="857"/>
      <c r="CE6" s="857"/>
      <c r="CF6" s="857"/>
      <c r="CG6" s="857"/>
      <c r="CH6" s="857"/>
      <c r="CI6" s="857"/>
      <c r="CJ6" s="857"/>
      <c r="CK6" s="857"/>
      <c r="CL6" s="857"/>
      <c r="CM6" s="857"/>
      <c r="CN6" s="857"/>
      <c r="CO6" s="857"/>
      <c r="CP6" s="857"/>
      <c r="CQ6" s="857"/>
      <c r="CR6" s="857"/>
      <c r="CT6" s="2058"/>
      <c r="CU6" s="859"/>
      <c r="CV6" s="1155"/>
      <c r="DG6" s="2072"/>
      <c r="DO6" s="859"/>
      <c r="DP6" s="859"/>
      <c r="DQ6" s="859"/>
      <c r="EW6" s="866"/>
      <c r="EX6" s="866"/>
      <c r="EY6" s="866"/>
      <c r="EZ6" s="866"/>
    </row>
    <row r="7" spans="1:156" ht="24" customHeight="1" x14ac:dyDescent="0.25">
      <c r="C7" s="3042">
        <v>3</v>
      </c>
      <c r="D7" s="3364" t="s">
        <v>1862</v>
      </c>
      <c r="E7" s="3566"/>
      <c r="F7" s="3566"/>
      <c r="G7" s="3566"/>
      <c r="H7" s="3566"/>
      <c r="I7" s="3202"/>
      <c r="J7" s="3567"/>
      <c r="K7" s="3567"/>
      <c r="L7" s="3567"/>
      <c r="M7" s="3567"/>
      <c r="N7" s="3567"/>
      <c r="O7" s="3567"/>
      <c r="P7" s="3567"/>
      <c r="Q7" s="3567"/>
      <c r="R7" s="3567"/>
      <c r="S7" s="3567"/>
      <c r="T7" s="3567"/>
      <c r="AD7" s="2984"/>
      <c r="AE7" s="2984"/>
      <c r="AF7" s="3035"/>
      <c r="AG7" s="3035"/>
      <c r="AH7" s="3035"/>
      <c r="AI7" s="3035"/>
      <c r="AJ7" s="3035"/>
      <c r="AK7" s="3035"/>
      <c r="AL7" s="3035"/>
      <c r="AM7" s="3035"/>
      <c r="AN7" s="3035"/>
      <c r="AO7" s="3035"/>
      <c r="AP7" s="3035"/>
      <c r="AQ7" s="3035"/>
      <c r="AR7" s="3035"/>
      <c r="AS7" s="3035"/>
      <c r="AT7" s="3035"/>
      <c r="AU7" s="3035"/>
      <c r="AV7" s="3035"/>
      <c r="AW7" s="3035"/>
      <c r="AX7" s="3035"/>
      <c r="AY7" s="3035"/>
      <c r="AZ7" s="3035"/>
      <c r="BA7" s="3035"/>
      <c r="BB7" s="860"/>
      <c r="BC7" s="857"/>
      <c r="BD7" s="857"/>
      <c r="BE7" s="857"/>
      <c r="BF7" s="857"/>
      <c r="BG7" s="857"/>
      <c r="BH7" s="857"/>
      <c r="BI7" s="857"/>
      <c r="BJ7" s="857"/>
      <c r="BK7" s="857"/>
      <c r="BL7" s="857"/>
      <c r="BM7" s="857"/>
      <c r="BN7" s="857"/>
      <c r="BO7" s="857"/>
      <c r="BP7" s="857"/>
      <c r="BQ7" s="857"/>
      <c r="BR7" s="857"/>
      <c r="BS7" s="857"/>
      <c r="BT7" s="857"/>
      <c r="BU7" s="857"/>
      <c r="BV7" s="860"/>
      <c r="BW7" s="857"/>
      <c r="BX7" s="857"/>
      <c r="BY7" s="857"/>
      <c r="BZ7" s="857"/>
      <c r="CA7" s="857"/>
      <c r="CB7" s="857"/>
      <c r="CC7" s="857"/>
      <c r="CD7" s="857"/>
      <c r="CE7" s="857"/>
      <c r="CF7" s="857"/>
      <c r="CG7" s="857"/>
      <c r="CH7" s="857"/>
      <c r="CI7" s="857"/>
      <c r="CJ7" s="857"/>
      <c r="CK7" s="857"/>
      <c r="CL7" s="857"/>
      <c r="CM7" s="857"/>
      <c r="CN7" s="857"/>
      <c r="CO7" s="857"/>
      <c r="CP7" s="857"/>
      <c r="CQ7" s="857"/>
      <c r="CR7" s="857"/>
      <c r="CT7" s="2058"/>
      <c r="CU7" s="859"/>
      <c r="CV7" s="1155"/>
      <c r="DG7" s="2072"/>
      <c r="DO7" s="859"/>
      <c r="DP7" s="859"/>
      <c r="DQ7" s="859"/>
      <c r="EW7" s="866"/>
      <c r="EX7" s="866"/>
      <c r="EY7" s="866"/>
      <c r="EZ7" s="866"/>
    </row>
    <row r="8" spans="1:156" x14ac:dyDescent="0.25">
      <c r="C8" s="3041">
        <v>4</v>
      </c>
      <c r="D8" s="3364" t="s">
        <v>1878</v>
      </c>
      <c r="E8" s="3566"/>
      <c r="F8" s="3566"/>
      <c r="G8" s="3566"/>
      <c r="H8" s="3566"/>
      <c r="I8" s="3051"/>
      <c r="J8" s="1772"/>
      <c r="K8" s="3042"/>
      <c r="L8" s="3052"/>
      <c r="M8" s="938"/>
      <c r="N8" s="938"/>
      <c r="O8" s="938"/>
      <c r="P8" s="938"/>
      <c r="Q8" s="938"/>
      <c r="R8" s="938"/>
      <c r="S8" s="938"/>
      <c r="T8" s="938"/>
      <c r="U8" s="3045"/>
      <c r="V8" s="3045"/>
      <c r="W8" s="3045"/>
      <c r="X8" s="3045"/>
      <c r="Y8" s="3045"/>
      <c r="Z8" s="3045"/>
      <c r="AA8" s="3045"/>
      <c r="AB8" s="3045"/>
      <c r="AC8" s="3045"/>
      <c r="AD8" s="3045"/>
      <c r="AE8" s="3045"/>
      <c r="AF8" s="860"/>
      <c r="AG8" s="860"/>
      <c r="AH8" s="860"/>
      <c r="AI8" s="857"/>
      <c r="AJ8" s="857"/>
      <c r="AK8" s="857"/>
      <c r="AL8" s="857"/>
      <c r="AM8" s="857"/>
      <c r="AN8" s="857"/>
      <c r="AO8" s="857"/>
      <c r="AP8" s="857"/>
      <c r="AQ8" s="857"/>
      <c r="AR8" s="857"/>
      <c r="AS8" s="857"/>
      <c r="AT8" s="857"/>
      <c r="AU8" s="857"/>
      <c r="AV8" s="857"/>
      <c r="AW8" s="857"/>
      <c r="AX8" s="860"/>
      <c r="AY8" s="860"/>
      <c r="AZ8" s="860"/>
      <c r="BA8" s="860"/>
      <c r="BB8" s="860"/>
      <c r="BC8" s="857"/>
      <c r="BD8" s="857"/>
      <c r="BE8" s="857"/>
      <c r="BF8" s="857"/>
      <c r="BG8" s="857"/>
      <c r="BH8" s="857"/>
      <c r="BI8" s="857"/>
      <c r="BJ8" s="857"/>
      <c r="BK8" s="857"/>
      <c r="BL8" s="857"/>
      <c r="BM8" s="857"/>
      <c r="BN8" s="857"/>
      <c r="BO8" s="857"/>
      <c r="BP8" s="857"/>
      <c r="BQ8" s="857"/>
      <c r="BR8" s="860"/>
      <c r="BS8" s="860"/>
      <c r="BT8" s="860"/>
      <c r="BU8" s="860"/>
      <c r="BV8" s="860"/>
      <c r="BW8" s="857"/>
      <c r="BX8" s="857"/>
      <c r="BY8" s="857"/>
      <c r="BZ8" s="857"/>
      <c r="CA8" s="857"/>
      <c r="CB8" s="857"/>
      <c r="CC8" s="857"/>
      <c r="CD8" s="857"/>
      <c r="CE8" s="857"/>
      <c r="CF8" s="857"/>
      <c r="CG8" s="857"/>
      <c r="CH8" s="857"/>
      <c r="CI8" s="857"/>
      <c r="CJ8" s="857"/>
      <c r="CK8" s="857"/>
      <c r="CL8" s="857"/>
      <c r="CM8" s="857"/>
      <c r="CN8" s="857"/>
      <c r="CO8" s="857"/>
      <c r="CP8" s="857"/>
      <c r="CQ8" s="857"/>
      <c r="CR8" s="857"/>
      <c r="CT8" s="2058"/>
      <c r="CU8" s="859"/>
      <c r="CV8" s="1155"/>
      <c r="DG8" s="2072"/>
      <c r="DO8" s="859"/>
      <c r="DP8" s="859"/>
      <c r="DQ8" s="859"/>
      <c r="EW8" s="866"/>
      <c r="EX8" s="866"/>
      <c r="EY8" s="866"/>
      <c r="EZ8" s="866"/>
    </row>
    <row r="9" spans="1:156" ht="13.5" hidden="1" customHeight="1" x14ac:dyDescent="0.25">
      <c r="C9" s="856"/>
      <c r="D9" s="1775"/>
      <c r="E9" s="3053"/>
      <c r="F9" s="3053"/>
      <c r="G9" s="1775"/>
      <c r="H9" s="3054"/>
      <c r="I9" s="1775"/>
      <c r="J9" s="1775"/>
      <c r="K9" s="1775"/>
      <c r="L9" s="1775"/>
      <c r="M9" s="1775"/>
      <c r="N9" s="3051"/>
      <c r="O9" s="1775"/>
      <c r="P9" s="1775"/>
      <c r="Q9" s="1775"/>
      <c r="R9" s="1775"/>
      <c r="S9" s="1775"/>
      <c r="T9" s="1775"/>
      <c r="U9" s="856"/>
      <c r="V9" s="856"/>
      <c r="W9" s="856"/>
      <c r="X9" s="856"/>
      <c r="Y9" s="856"/>
      <c r="Z9" s="856"/>
      <c r="AA9" s="856"/>
      <c r="AB9" s="856"/>
      <c r="AC9" s="856"/>
      <c r="AD9" s="860"/>
      <c r="AE9" s="860"/>
      <c r="AF9" s="860"/>
      <c r="AG9" s="860"/>
      <c r="AH9" s="860"/>
      <c r="AI9" s="857"/>
      <c r="AJ9" s="857"/>
      <c r="AK9" s="857"/>
      <c r="AL9" s="857"/>
      <c r="AM9" s="857"/>
      <c r="AN9" s="857"/>
      <c r="AO9" s="857"/>
      <c r="AP9" s="857"/>
      <c r="AQ9" s="857"/>
      <c r="AR9" s="857"/>
      <c r="AS9" s="857"/>
      <c r="AT9" s="857"/>
      <c r="AU9" s="857"/>
      <c r="AV9" s="857"/>
      <c r="AW9" s="857"/>
      <c r="AX9" s="860"/>
      <c r="AY9" s="860"/>
      <c r="AZ9" s="860"/>
      <c r="BA9" s="860"/>
      <c r="BB9" s="860"/>
      <c r="BC9" s="857"/>
      <c r="BD9" s="857"/>
      <c r="BE9" s="857"/>
      <c r="BF9" s="857"/>
      <c r="BG9" s="857"/>
      <c r="BH9" s="857"/>
      <c r="BI9" s="857"/>
      <c r="BJ9" s="857"/>
      <c r="BK9" s="857"/>
      <c r="BL9" s="857"/>
      <c r="BM9" s="857"/>
      <c r="BN9" s="857"/>
      <c r="BO9" s="857"/>
      <c r="BP9" s="857"/>
      <c r="BQ9" s="857"/>
      <c r="BR9" s="860"/>
      <c r="BS9" s="860"/>
      <c r="BT9" s="860"/>
      <c r="BU9" s="860"/>
      <c r="BV9" s="860"/>
      <c r="BW9" s="857"/>
      <c r="BX9" s="857"/>
      <c r="BY9" s="857"/>
      <c r="BZ9" s="857"/>
      <c r="CA9" s="857"/>
      <c r="CB9" s="857"/>
      <c r="CC9" s="857"/>
      <c r="CD9" s="857"/>
      <c r="CE9" s="857"/>
      <c r="CF9" s="857"/>
      <c r="CG9" s="857"/>
      <c r="CH9" s="857"/>
      <c r="CI9" s="857"/>
      <c r="CJ9" s="857"/>
      <c r="CK9" s="857"/>
      <c r="CL9" s="857"/>
      <c r="CM9" s="857"/>
      <c r="CN9" s="857"/>
      <c r="CO9" s="857"/>
      <c r="CP9" s="857"/>
      <c r="CQ9" s="857"/>
      <c r="CR9" s="857"/>
      <c r="CT9" s="2058"/>
      <c r="CU9" s="859"/>
      <c r="CV9" s="1155"/>
      <c r="DG9" s="2072"/>
      <c r="DO9" s="859"/>
      <c r="DP9" s="859"/>
      <c r="DQ9" s="859"/>
      <c r="EW9" s="866"/>
      <c r="EX9" s="866"/>
      <c r="EY9" s="866"/>
      <c r="EZ9" s="866"/>
    </row>
    <row r="10" spans="1:156" ht="14.25" hidden="1" customHeight="1" x14ac:dyDescent="0.25">
      <c r="C10" s="856"/>
      <c r="D10" s="1775"/>
      <c r="E10" s="3053"/>
      <c r="F10" s="3053"/>
      <c r="G10" s="1775"/>
      <c r="H10" s="3054"/>
      <c r="I10" s="1775"/>
      <c r="J10" s="1775"/>
      <c r="K10" s="1775"/>
      <c r="L10" s="1775"/>
      <c r="M10" s="1775"/>
      <c r="N10" s="3055"/>
      <c r="O10" s="3056"/>
      <c r="P10" s="3056"/>
      <c r="Q10" s="3056"/>
      <c r="R10" s="3056"/>
      <c r="S10" s="3056"/>
      <c r="T10" s="3056"/>
      <c r="U10" s="865"/>
      <c r="V10" s="865"/>
      <c r="W10" s="865"/>
      <c r="X10" s="865"/>
      <c r="Y10" s="865"/>
      <c r="Z10" s="865"/>
      <c r="AA10" s="865"/>
      <c r="AB10" s="865"/>
      <c r="AC10" s="865"/>
      <c r="AD10" s="1"/>
      <c r="AE10" s="231"/>
      <c r="AF10" s="231"/>
      <c r="AG10" s="231"/>
      <c r="AH10" s="231"/>
      <c r="AI10" s="861"/>
      <c r="AJ10" s="861"/>
      <c r="AK10" s="861"/>
      <c r="AL10" s="861"/>
      <c r="AM10" s="861"/>
      <c r="AN10" s="861"/>
      <c r="AO10" s="861"/>
      <c r="AP10" s="861"/>
      <c r="AQ10" s="861"/>
      <c r="AR10" s="861"/>
      <c r="AS10" s="861"/>
      <c r="AT10" s="861"/>
      <c r="AU10" s="861"/>
      <c r="AV10" s="861"/>
      <c r="AW10" s="861"/>
      <c r="AX10" s="1"/>
      <c r="AY10" s="231"/>
      <c r="AZ10" s="231"/>
      <c r="BA10" s="231"/>
      <c r="BB10" s="231"/>
      <c r="BC10" s="861"/>
      <c r="BD10" s="861"/>
      <c r="BE10" s="861"/>
      <c r="BF10" s="861"/>
      <c r="BG10" s="861"/>
      <c r="BH10" s="861"/>
      <c r="BI10" s="861"/>
      <c r="BJ10" s="861"/>
      <c r="BK10" s="861"/>
      <c r="BL10" s="861"/>
      <c r="BM10" s="861"/>
      <c r="BN10" s="861"/>
      <c r="BO10" s="861"/>
      <c r="BP10" s="861"/>
      <c r="BQ10" s="861"/>
      <c r="BR10" s="1"/>
      <c r="BS10" s="231"/>
      <c r="BT10" s="231"/>
      <c r="BU10" s="231"/>
      <c r="BV10" s="231"/>
      <c r="BW10" s="861"/>
      <c r="BX10" s="861"/>
      <c r="BY10" s="861"/>
      <c r="BZ10" s="861"/>
      <c r="CA10" s="861"/>
      <c r="CB10" s="861"/>
      <c r="CC10" s="861"/>
      <c r="CD10" s="861"/>
      <c r="CE10" s="861"/>
      <c r="CF10" s="861"/>
      <c r="CG10" s="861"/>
      <c r="CH10" s="861"/>
      <c r="CI10" s="861"/>
      <c r="CJ10" s="861"/>
      <c r="CK10" s="861"/>
      <c r="CL10" s="861"/>
      <c r="CM10" s="861"/>
      <c r="CN10" s="861"/>
      <c r="CO10" s="861"/>
      <c r="CP10" s="861"/>
      <c r="CQ10" s="861"/>
      <c r="CR10" s="861"/>
      <c r="CT10" s="2058"/>
      <c r="CU10" s="859"/>
      <c r="CV10" s="1155"/>
      <c r="DG10" s="2072"/>
      <c r="DO10" s="859"/>
      <c r="DP10" s="859"/>
      <c r="DQ10" s="859"/>
      <c r="EW10" s="855"/>
      <c r="EX10" s="855"/>
      <c r="EY10" s="855"/>
      <c r="EZ10" s="855"/>
    </row>
    <row r="11" spans="1:156" ht="15.75" hidden="1" customHeight="1" x14ac:dyDescent="0.25">
      <c r="C11" s="856"/>
      <c r="D11" s="1775"/>
      <c r="E11" s="3053"/>
      <c r="F11" s="3053"/>
      <c r="G11" s="1775"/>
      <c r="H11" s="3054"/>
      <c r="I11" s="1775"/>
      <c r="J11" s="1775"/>
      <c r="K11" s="1775"/>
      <c r="L11" s="1775"/>
      <c r="M11" s="1775"/>
      <c r="N11" s="3055"/>
      <c r="O11" s="3056"/>
      <c r="P11" s="3056"/>
      <c r="Q11" s="3056"/>
      <c r="R11" s="3056"/>
      <c r="S11" s="3056"/>
      <c r="T11" s="3056"/>
      <c r="U11" s="865"/>
      <c r="V11" s="865"/>
      <c r="W11" s="865"/>
      <c r="X11" s="865"/>
      <c r="Y11" s="865"/>
      <c r="Z11" s="865"/>
      <c r="AA11" s="865"/>
      <c r="AB11" s="865"/>
      <c r="AC11" s="865"/>
      <c r="AD11" s="1"/>
      <c r="AE11" s="231"/>
      <c r="AF11" s="231"/>
      <c r="AG11" s="231"/>
      <c r="AH11" s="231"/>
      <c r="AI11" s="861"/>
      <c r="AJ11" s="861"/>
      <c r="AK11" s="861"/>
      <c r="AL11" s="861"/>
      <c r="AM11" s="861"/>
      <c r="AN11" s="861"/>
      <c r="AO11" s="861"/>
      <c r="AP11" s="861"/>
      <c r="AQ11" s="861"/>
      <c r="AR11" s="861"/>
      <c r="AS11" s="861"/>
      <c r="AT11" s="861"/>
      <c r="AU11" s="861"/>
      <c r="AV11" s="861"/>
      <c r="AW11" s="861"/>
      <c r="AX11" s="1"/>
      <c r="AY11" s="231"/>
      <c r="AZ11" s="231"/>
      <c r="BA11" s="231"/>
      <c r="BB11" s="231"/>
      <c r="BC11" s="861"/>
      <c r="BD11" s="861"/>
      <c r="BE11" s="861"/>
      <c r="BF11" s="861"/>
      <c r="BG11" s="861"/>
      <c r="BH11" s="861"/>
      <c r="BI11" s="861"/>
      <c r="BJ11" s="861"/>
      <c r="BK11" s="861"/>
      <c r="BL11" s="861"/>
      <c r="BM11" s="861"/>
      <c r="BN11" s="861"/>
      <c r="BO11" s="861"/>
      <c r="BP11" s="861"/>
      <c r="BQ11" s="861"/>
      <c r="BR11" s="1"/>
      <c r="BS11" s="231"/>
      <c r="BT11" s="231"/>
      <c r="BU11" s="231"/>
      <c r="BV11" s="231"/>
      <c r="BW11" s="861"/>
      <c r="BX11" s="861"/>
      <c r="BY11" s="861"/>
      <c r="BZ11" s="861"/>
      <c r="CA11" s="861"/>
      <c r="CB11" s="861"/>
      <c r="CC11" s="861"/>
      <c r="CD11" s="861"/>
      <c r="CE11" s="861"/>
      <c r="CF11" s="861"/>
      <c r="CG11" s="861"/>
      <c r="CH11" s="861"/>
      <c r="CI11" s="861"/>
      <c r="CJ11" s="861"/>
      <c r="CK11" s="861"/>
      <c r="CL11" s="861"/>
      <c r="CM11" s="861"/>
      <c r="CN11" s="861"/>
      <c r="CO11" s="861"/>
      <c r="CP11" s="861"/>
      <c r="CQ11" s="861"/>
      <c r="CR11" s="861"/>
      <c r="CT11" s="2058"/>
      <c r="CU11" s="859"/>
      <c r="CV11" s="1155"/>
      <c r="DG11" s="2072"/>
      <c r="DO11" s="859"/>
      <c r="DP11" s="859"/>
      <c r="DQ11" s="859"/>
      <c r="EW11" s="855"/>
      <c r="EX11" s="855"/>
      <c r="EY11" s="855"/>
      <c r="EZ11" s="855"/>
    </row>
    <row r="12" spans="1:156" ht="15" hidden="1" customHeight="1" x14ac:dyDescent="0.25">
      <c r="C12" s="856"/>
      <c r="D12" s="1775"/>
      <c r="E12" s="3053"/>
      <c r="F12" s="3053"/>
      <c r="G12" s="1775"/>
      <c r="H12" s="3054"/>
      <c r="I12" s="1775"/>
      <c r="J12" s="1775"/>
      <c r="K12" s="1775"/>
      <c r="L12" s="1775"/>
      <c r="M12" s="1775"/>
      <c r="N12" s="3055"/>
      <c r="O12" s="3056"/>
      <c r="P12" s="3056"/>
      <c r="Q12" s="3056"/>
      <c r="R12" s="3056"/>
      <c r="S12" s="3056"/>
      <c r="T12" s="3056"/>
      <c r="U12" s="865"/>
      <c r="V12" s="865"/>
      <c r="W12" s="865"/>
      <c r="X12" s="865"/>
      <c r="Y12" s="865"/>
      <c r="Z12" s="865"/>
      <c r="AA12" s="865"/>
      <c r="AB12" s="865"/>
      <c r="AC12" s="865"/>
      <c r="AD12" s="1"/>
      <c r="AE12" s="231"/>
      <c r="AF12" s="231"/>
      <c r="AG12" s="231"/>
      <c r="AH12" s="231"/>
      <c r="AI12" s="861"/>
      <c r="AJ12" s="861"/>
      <c r="AK12" s="861"/>
      <c r="AL12" s="861"/>
      <c r="AM12" s="861"/>
      <c r="AN12" s="861"/>
      <c r="AO12" s="861"/>
      <c r="AP12" s="861"/>
      <c r="AQ12" s="861"/>
      <c r="AR12" s="861"/>
      <c r="AS12" s="861"/>
      <c r="AT12" s="861"/>
      <c r="AU12" s="861"/>
      <c r="AV12" s="861"/>
      <c r="AW12" s="861"/>
      <c r="AX12" s="1"/>
      <c r="AY12" s="231"/>
      <c r="AZ12" s="231"/>
      <c r="BA12" s="231"/>
      <c r="BB12" s="231"/>
      <c r="BC12" s="861"/>
      <c r="BD12" s="861"/>
      <c r="BE12" s="861"/>
      <c r="BF12" s="861"/>
      <c r="BG12" s="861"/>
      <c r="BH12" s="861"/>
      <c r="BI12" s="861"/>
      <c r="BJ12" s="861"/>
      <c r="BK12" s="861"/>
      <c r="BL12" s="861"/>
      <c r="BM12" s="861"/>
      <c r="BN12" s="861"/>
      <c r="BO12" s="861"/>
      <c r="BP12" s="861"/>
      <c r="BQ12" s="861"/>
      <c r="BR12" s="1"/>
      <c r="BS12" s="231"/>
      <c r="BT12" s="231"/>
      <c r="BU12" s="231"/>
      <c r="BV12" s="231"/>
      <c r="BW12" s="861"/>
      <c r="BX12" s="861"/>
      <c r="BY12" s="861"/>
      <c r="BZ12" s="861"/>
      <c r="CA12" s="861"/>
      <c r="CB12" s="861"/>
      <c r="CC12" s="861"/>
      <c r="CD12" s="861"/>
      <c r="CE12" s="861"/>
      <c r="CF12" s="861"/>
      <c r="CG12" s="861"/>
      <c r="CH12" s="861"/>
      <c r="CI12" s="861"/>
      <c r="CJ12" s="861"/>
      <c r="CK12" s="861"/>
      <c r="CL12" s="861"/>
      <c r="CM12" s="861"/>
      <c r="CN12" s="861"/>
      <c r="CO12" s="861"/>
      <c r="CP12" s="861"/>
      <c r="CQ12" s="861"/>
      <c r="CR12" s="861"/>
      <c r="CT12" s="2058"/>
      <c r="CU12" s="859"/>
      <c r="CV12" s="1155"/>
      <c r="DG12" s="2072"/>
      <c r="DO12" s="859"/>
      <c r="DP12" s="859"/>
      <c r="DQ12" s="859"/>
      <c r="EW12" s="855"/>
      <c r="EX12" s="855"/>
      <c r="EY12" s="855"/>
      <c r="EZ12" s="855"/>
    </row>
    <row r="13" spans="1:156" ht="18.75" customHeight="1" x14ac:dyDescent="0.25">
      <c r="C13" s="3036" t="s">
        <v>1863</v>
      </c>
      <c r="D13" s="3057"/>
      <c r="E13" s="3057"/>
      <c r="F13" s="3051"/>
      <c r="G13" s="3051"/>
      <c r="H13" s="3058"/>
      <c r="I13" s="3051"/>
      <c r="J13" s="3051"/>
      <c r="K13" s="3051"/>
      <c r="L13" s="1772"/>
      <c r="M13" s="3043"/>
      <c r="N13" s="3043"/>
      <c r="O13" s="3043"/>
      <c r="P13" s="3043"/>
      <c r="Q13" s="3043"/>
      <c r="R13" s="3043"/>
      <c r="S13" s="3043"/>
      <c r="T13" s="3043"/>
      <c r="U13" s="3044"/>
      <c r="V13" s="3044"/>
      <c r="W13" s="3044"/>
      <c r="X13" s="3044"/>
      <c r="Y13" s="3044"/>
      <c r="Z13" s="3044"/>
      <c r="AA13" s="3044"/>
      <c r="AB13" s="3044"/>
      <c r="AC13" s="3044"/>
      <c r="AD13" s="860"/>
      <c r="AE13" s="860"/>
      <c r="AF13" s="860"/>
      <c r="AG13" s="860"/>
      <c r="AH13" s="860"/>
      <c r="AI13" s="857"/>
      <c r="AJ13" s="857"/>
      <c r="AK13" s="857"/>
      <c r="AL13" s="857"/>
      <c r="AM13" s="857"/>
      <c r="AN13" s="857"/>
      <c r="AO13" s="857"/>
      <c r="AP13" s="857"/>
      <c r="AQ13" s="857"/>
      <c r="AR13" s="857"/>
      <c r="AS13" s="857"/>
      <c r="AT13" s="857"/>
      <c r="AU13" s="857"/>
      <c r="AV13" s="857"/>
      <c r="AW13" s="857"/>
      <c r="AX13" s="860"/>
      <c r="AY13" s="860"/>
      <c r="AZ13" s="860"/>
      <c r="BA13" s="860"/>
      <c r="BB13" s="860"/>
      <c r="BC13" s="857"/>
      <c r="BD13" s="857"/>
      <c r="BE13" s="857"/>
      <c r="BF13" s="857"/>
      <c r="BG13" s="857"/>
      <c r="BH13" s="857"/>
      <c r="BI13" s="857"/>
      <c r="BJ13" s="857"/>
      <c r="BK13" s="857"/>
      <c r="BL13" s="857"/>
      <c r="BM13" s="857"/>
      <c r="BN13" s="857"/>
      <c r="BO13" s="857"/>
      <c r="BP13" s="857"/>
      <c r="BQ13" s="857"/>
      <c r="BR13" s="860"/>
      <c r="BS13" s="860"/>
      <c r="BT13" s="860"/>
      <c r="BU13" s="860"/>
      <c r="BV13" s="860"/>
      <c r="BW13" s="857"/>
      <c r="BX13" s="857"/>
      <c r="BY13" s="857"/>
      <c r="BZ13" s="857"/>
      <c r="CA13" s="857"/>
      <c r="CB13" s="857"/>
      <c r="CC13" s="857"/>
      <c r="CD13" s="857"/>
      <c r="CE13" s="857"/>
      <c r="CF13" s="857"/>
      <c r="CG13" s="857"/>
      <c r="CH13" s="857"/>
      <c r="CI13" s="857"/>
      <c r="CJ13" s="857"/>
      <c r="CK13" s="857"/>
      <c r="CL13" s="857"/>
      <c r="CM13" s="857"/>
      <c r="CN13" s="857"/>
      <c r="CO13" s="857"/>
      <c r="CP13" s="857"/>
      <c r="CQ13" s="857"/>
      <c r="CR13" s="857"/>
      <c r="CT13" s="2058"/>
      <c r="CU13" s="859"/>
      <c r="CV13" s="1155"/>
      <c r="DG13" s="2072"/>
      <c r="DO13" s="859"/>
      <c r="DP13" s="859"/>
      <c r="DQ13" s="859"/>
      <c r="EW13" s="855"/>
      <c r="EX13" s="855"/>
      <c r="EY13" s="855"/>
      <c r="EZ13" s="855"/>
    </row>
    <row r="14" spans="1:156" ht="45.75" customHeight="1" x14ac:dyDescent="0.25">
      <c r="C14" s="3041">
        <v>1</v>
      </c>
      <c r="D14" s="3364" t="s">
        <v>3454</v>
      </c>
      <c r="E14" s="3202"/>
      <c r="F14" s="3202"/>
      <c r="G14" s="3202"/>
      <c r="H14" s="3202"/>
      <c r="I14" s="3202"/>
      <c r="J14" s="3202"/>
      <c r="K14" s="3202"/>
      <c r="L14" s="3202"/>
      <c r="M14" s="3202"/>
      <c r="N14" s="3202"/>
      <c r="O14" s="3202"/>
      <c r="P14" s="3202"/>
      <c r="Q14" s="3202"/>
      <c r="R14" s="3202"/>
      <c r="S14" s="3202"/>
      <c r="T14" s="3202"/>
      <c r="U14" s="3035"/>
      <c r="V14" s="3035"/>
      <c r="W14" s="3035"/>
      <c r="X14" s="3035"/>
      <c r="Y14" s="3035"/>
      <c r="Z14" s="3035"/>
      <c r="AA14" s="3035"/>
      <c r="AB14" s="3035"/>
      <c r="AC14" s="3035"/>
      <c r="AD14" s="3035"/>
      <c r="AE14" s="3035"/>
      <c r="AF14" s="3035"/>
      <c r="AG14" s="3035"/>
      <c r="AH14" s="3035"/>
      <c r="AI14" s="3035"/>
      <c r="AJ14" s="3035"/>
      <c r="AK14" s="3035"/>
      <c r="AL14" s="3035"/>
      <c r="AM14" s="3035"/>
      <c r="AN14" s="3035"/>
      <c r="AO14" s="3035"/>
      <c r="AP14" s="3035"/>
      <c r="AQ14" s="3035"/>
      <c r="AR14" s="3035"/>
      <c r="AS14" s="3035"/>
      <c r="AT14" s="3035"/>
      <c r="AU14" s="3035"/>
      <c r="AV14" s="3035"/>
      <c r="AW14" s="3035"/>
      <c r="AX14" s="3035"/>
      <c r="AY14" s="3035"/>
      <c r="AZ14" s="3035"/>
      <c r="BA14" s="3035"/>
      <c r="BB14" s="3035"/>
      <c r="CT14" s="1772"/>
      <c r="CU14" s="855"/>
      <c r="CV14" s="872"/>
      <c r="DO14" s="855"/>
      <c r="DP14" s="855"/>
      <c r="DQ14" s="855"/>
      <c r="EW14" s="855"/>
      <c r="EX14" s="855"/>
      <c r="EY14" s="855"/>
      <c r="EZ14" s="855"/>
    </row>
    <row r="15" spans="1:156" ht="41.25" customHeight="1" x14ac:dyDescent="0.25">
      <c r="C15" s="3041">
        <v>2</v>
      </c>
      <c r="D15" s="3364" t="s">
        <v>2877</v>
      </c>
      <c r="E15" s="3202"/>
      <c r="F15" s="3202"/>
      <c r="G15" s="3202"/>
      <c r="H15" s="3202"/>
      <c r="I15" s="3202"/>
      <c r="J15" s="3202"/>
      <c r="K15" s="3202"/>
      <c r="L15" s="3202"/>
      <c r="M15" s="3202"/>
      <c r="N15" s="3202"/>
      <c r="O15" s="3202"/>
      <c r="P15" s="3202"/>
      <c r="Q15" s="3202"/>
      <c r="R15" s="3202"/>
      <c r="S15" s="3202"/>
      <c r="T15" s="3202"/>
      <c r="U15" s="3035"/>
      <c r="V15" s="3035"/>
      <c r="W15" s="3035"/>
      <c r="X15" s="3035"/>
      <c r="Y15" s="3035"/>
      <c r="Z15" s="3035"/>
      <c r="AA15" s="3035"/>
      <c r="AB15" s="3035"/>
      <c r="AC15" s="3035"/>
      <c r="AD15" s="3035"/>
      <c r="AE15" s="3035"/>
      <c r="AF15" s="3035"/>
      <c r="AG15" s="3035"/>
      <c r="AH15" s="3035"/>
      <c r="AI15" s="3035"/>
      <c r="AJ15" s="3035"/>
      <c r="AK15" s="3035"/>
      <c r="AL15" s="3035"/>
      <c r="AM15" s="3035"/>
      <c r="AN15" s="3035"/>
      <c r="AO15" s="3035"/>
      <c r="AP15" s="3035"/>
      <c r="AQ15" s="3035"/>
      <c r="AR15" s="3035"/>
      <c r="AS15" s="3035"/>
      <c r="AT15" s="3035"/>
      <c r="AU15" s="3035"/>
      <c r="AV15" s="3035"/>
      <c r="AW15" s="3035"/>
      <c r="AX15" s="3035"/>
      <c r="AY15" s="3035"/>
      <c r="AZ15" s="3035"/>
      <c r="BA15" s="3035"/>
      <c r="BB15" s="3035"/>
      <c r="BC15" s="863"/>
      <c r="BD15" s="863"/>
      <c r="BE15" s="863"/>
      <c r="BF15" s="863"/>
      <c r="BG15" s="863"/>
      <c r="BH15" s="863"/>
      <c r="BI15" s="863"/>
      <c r="BJ15" s="863"/>
      <c r="BK15" s="863"/>
      <c r="BL15" s="863"/>
      <c r="BM15" s="863"/>
      <c r="BN15" s="863"/>
      <c r="BO15" s="863"/>
      <c r="BP15" s="863"/>
      <c r="BQ15" s="863"/>
      <c r="BR15" s="863"/>
      <c r="BS15" s="863"/>
      <c r="BT15" s="863"/>
      <c r="BU15" s="863"/>
      <c r="BV15" s="863"/>
      <c r="BW15" s="863"/>
      <c r="BX15" s="863"/>
      <c r="BY15" s="863"/>
      <c r="BZ15" s="863"/>
      <c r="CA15" s="863"/>
      <c r="CB15" s="863"/>
      <c r="CC15" s="863"/>
      <c r="CD15" s="863"/>
      <c r="CE15" s="863"/>
      <c r="CF15" s="863"/>
      <c r="CG15" s="863"/>
      <c r="CH15" s="863"/>
      <c r="CI15" s="863"/>
      <c r="CJ15" s="863"/>
      <c r="CK15" s="863"/>
      <c r="CL15" s="863"/>
      <c r="CM15" s="863"/>
      <c r="CN15" s="863"/>
      <c r="CO15" s="863"/>
      <c r="CP15" s="863"/>
      <c r="CQ15" s="863"/>
      <c r="CR15" s="863"/>
      <c r="CT15" s="2058"/>
      <c r="CU15" s="859"/>
      <c r="CV15" s="1155"/>
      <c r="DG15" s="2072"/>
      <c r="DO15" s="859"/>
      <c r="DP15" s="859"/>
      <c r="DQ15" s="859"/>
      <c r="EW15" s="855"/>
      <c r="EX15" s="855"/>
      <c r="EY15" s="855"/>
      <c r="EZ15" s="855"/>
    </row>
    <row r="16" spans="1:156" ht="92.25" customHeight="1" x14ac:dyDescent="0.25">
      <c r="C16" s="3041">
        <v>3</v>
      </c>
      <c r="D16" s="3365" t="s">
        <v>3455</v>
      </c>
      <c r="E16" s="3566"/>
      <c r="F16" s="3566"/>
      <c r="G16" s="3566"/>
      <c r="H16" s="3566"/>
      <c r="I16" s="3566"/>
      <c r="J16" s="3202"/>
      <c r="K16" s="3202"/>
      <c r="L16" s="3202"/>
      <c r="M16" s="3202"/>
      <c r="N16" s="3202"/>
      <c r="O16" s="3202"/>
      <c r="P16" s="3202"/>
      <c r="Q16" s="3202"/>
      <c r="R16" s="3202"/>
      <c r="S16" s="3202"/>
      <c r="T16" s="3202"/>
      <c r="U16" s="1210"/>
      <c r="V16" s="1210"/>
      <c r="W16" s="1210"/>
      <c r="X16" s="1210"/>
      <c r="Y16" s="1210"/>
      <c r="Z16" s="1210"/>
      <c r="AA16" s="1210"/>
      <c r="AB16" s="1210"/>
      <c r="AC16" s="1210"/>
      <c r="AD16" s="1210"/>
      <c r="AE16" s="1210"/>
      <c r="AF16" s="1210"/>
      <c r="AG16" s="1210"/>
      <c r="AH16" s="1210"/>
      <c r="AI16" s="1210"/>
      <c r="AJ16" s="1210"/>
      <c r="AK16" s="1210"/>
      <c r="AL16" s="1210"/>
      <c r="AM16" s="1210"/>
      <c r="AN16" s="1210"/>
      <c r="AO16" s="1210"/>
      <c r="AP16" s="1210"/>
      <c r="AQ16" s="1210"/>
      <c r="AR16" s="1210"/>
      <c r="AS16" s="1210"/>
      <c r="AT16" s="1210"/>
      <c r="AU16" s="1210"/>
      <c r="AV16" s="1210"/>
      <c r="AW16" s="1210"/>
      <c r="AX16" s="1210"/>
      <c r="AY16" s="1210"/>
      <c r="AZ16" s="1210"/>
      <c r="BA16" s="1210"/>
      <c r="BB16" s="1210"/>
      <c r="BC16" s="862"/>
      <c r="BD16" s="862"/>
      <c r="BE16" s="862"/>
      <c r="BF16" s="862"/>
      <c r="BG16" s="862"/>
      <c r="BH16" s="862"/>
      <c r="BI16" s="862"/>
      <c r="BJ16" s="862"/>
      <c r="BK16" s="862"/>
      <c r="BL16" s="862"/>
      <c r="BM16" s="862"/>
      <c r="BN16" s="862"/>
      <c r="BO16" s="862"/>
      <c r="BP16" s="862"/>
      <c r="BQ16" s="862"/>
      <c r="BR16" s="862"/>
      <c r="BS16" s="862"/>
      <c r="BT16" s="862"/>
      <c r="BU16" s="862"/>
      <c r="BV16" s="862"/>
      <c r="BW16" s="862"/>
      <c r="BX16" s="862"/>
      <c r="BY16" s="862"/>
      <c r="BZ16" s="862"/>
      <c r="CA16" s="862"/>
      <c r="CB16" s="862"/>
      <c r="CC16" s="862"/>
      <c r="CD16" s="862"/>
      <c r="CE16" s="862"/>
      <c r="CF16" s="862"/>
      <c r="CG16" s="862"/>
      <c r="CH16" s="862"/>
      <c r="CI16" s="862"/>
      <c r="CJ16" s="862"/>
      <c r="CK16" s="862"/>
      <c r="CL16" s="862"/>
      <c r="CM16" s="862"/>
      <c r="CN16" s="862"/>
      <c r="CO16" s="862"/>
      <c r="CP16" s="862"/>
      <c r="CQ16" s="862"/>
      <c r="CR16" s="862"/>
      <c r="CT16" s="2058"/>
      <c r="CU16" s="859"/>
      <c r="CV16" s="1155"/>
      <c r="DG16" s="2072"/>
      <c r="DO16" s="859"/>
      <c r="DP16" s="859"/>
      <c r="DQ16" s="859"/>
      <c r="EW16" s="855"/>
      <c r="EX16" s="855"/>
      <c r="EY16" s="855"/>
      <c r="EZ16" s="855"/>
    </row>
    <row r="17" spans="3:156" hidden="1" x14ac:dyDescent="0.25">
      <c r="C17" s="864"/>
      <c r="D17" s="864"/>
      <c r="E17" s="865"/>
      <c r="F17" s="865"/>
      <c r="CT17" s="1772"/>
      <c r="CU17" s="855"/>
      <c r="CV17" s="872"/>
      <c r="DO17" s="855"/>
      <c r="DP17" s="855"/>
      <c r="DQ17" s="855"/>
      <c r="EW17" s="855"/>
      <c r="EX17" s="855"/>
      <c r="EY17" s="855"/>
      <c r="EZ17" s="855"/>
    </row>
    <row r="18" spans="3:156" ht="5.25" customHeight="1" x14ac:dyDescent="0.25">
      <c r="C18" s="864"/>
      <c r="D18" s="864"/>
      <c r="E18" s="865"/>
      <c r="F18" s="865"/>
      <c r="H18" s="2061"/>
      <c r="I18" s="866"/>
      <c r="J18" s="866"/>
      <c r="K18" s="866"/>
      <c r="L18" s="866"/>
      <c r="M18" s="866"/>
      <c r="N18" s="866"/>
      <c r="O18" s="866"/>
      <c r="P18" s="867"/>
      <c r="Q18" s="867"/>
      <c r="R18" s="867"/>
      <c r="S18" s="867"/>
      <c r="T18" s="867"/>
      <c r="U18" s="867"/>
      <c r="V18" s="867"/>
      <c r="W18" s="867"/>
      <c r="X18" s="867"/>
      <c r="Y18" s="867"/>
      <c r="Z18" s="867"/>
      <c r="AA18" s="867"/>
      <c r="AB18" s="867"/>
      <c r="AC18" s="867"/>
      <c r="AD18" s="866"/>
      <c r="AE18" s="866"/>
      <c r="AF18" s="866"/>
      <c r="AG18" s="866"/>
      <c r="AH18" s="866"/>
      <c r="AI18" s="866"/>
      <c r="AJ18" s="867"/>
      <c r="AK18" s="867"/>
      <c r="AL18" s="867"/>
      <c r="AM18" s="867"/>
      <c r="AN18" s="867"/>
      <c r="AO18" s="867"/>
      <c r="AP18" s="867"/>
      <c r="AQ18" s="867"/>
      <c r="AR18" s="867"/>
      <c r="AS18" s="867"/>
      <c r="AT18" s="867"/>
      <c r="AU18" s="867"/>
      <c r="AV18" s="867"/>
      <c r="AW18" s="867"/>
      <c r="AX18" s="866"/>
      <c r="AY18" s="866"/>
      <c r="AZ18" s="866"/>
      <c r="BA18" s="866"/>
      <c r="BB18" s="866"/>
      <c r="BC18" s="866"/>
      <c r="BD18" s="867"/>
      <c r="BE18" s="867"/>
      <c r="BF18" s="867"/>
      <c r="BG18" s="867"/>
      <c r="BH18" s="867"/>
      <c r="BI18" s="867"/>
      <c r="BJ18" s="867"/>
      <c r="BK18" s="867"/>
      <c r="BL18" s="867"/>
      <c r="BM18" s="867"/>
      <c r="BN18" s="867"/>
      <c r="BO18" s="867"/>
      <c r="BP18" s="867"/>
      <c r="BQ18" s="867"/>
      <c r="BR18" s="866"/>
      <c r="BS18" s="866"/>
      <c r="BT18" s="866"/>
      <c r="BU18" s="866"/>
      <c r="BV18" s="866"/>
      <c r="BW18" s="866"/>
      <c r="BX18" s="867"/>
      <c r="BY18" s="867"/>
      <c r="BZ18" s="867"/>
      <c r="CA18" s="867"/>
      <c r="CB18" s="867"/>
      <c r="CC18" s="867"/>
      <c r="CD18" s="867"/>
      <c r="CE18" s="867"/>
      <c r="CF18" s="867"/>
      <c r="CG18" s="867"/>
      <c r="CH18" s="867"/>
      <c r="CI18" s="867"/>
      <c r="CJ18" s="867"/>
      <c r="CK18" s="867"/>
      <c r="CL18" s="867"/>
      <c r="CM18" s="867"/>
      <c r="CN18" s="867"/>
      <c r="CO18" s="867"/>
      <c r="CP18" s="867"/>
      <c r="CQ18" s="867"/>
      <c r="CR18" s="867"/>
      <c r="EW18" s="855"/>
      <c r="EX18" s="855"/>
      <c r="EY18" s="855"/>
      <c r="EZ18" s="855"/>
    </row>
    <row r="19" spans="3:156" x14ac:dyDescent="0.25">
      <c r="EW19" s="866"/>
      <c r="EX19" s="866"/>
      <c r="EY19" s="866"/>
      <c r="EZ19" s="866"/>
    </row>
    <row r="20" spans="3:156" ht="16.5" hidden="1" customHeight="1" x14ac:dyDescent="0.25">
      <c r="C20" s="868"/>
      <c r="D20" s="3561"/>
      <c r="E20" s="3561"/>
      <c r="F20" s="3561"/>
      <c r="G20" s="3561"/>
      <c r="H20" s="3561"/>
      <c r="I20" s="3562"/>
      <c r="J20" s="3563"/>
      <c r="K20" s="3563"/>
      <c r="L20" s="3563"/>
      <c r="M20" s="3563"/>
      <c r="N20" s="3563"/>
      <c r="O20" s="3563"/>
      <c r="P20" s="3563"/>
      <c r="Q20" s="3563"/>
      <c r="R20" s="3563"/>
      <c r="S20" s="3563"/>
      <c r="T20" s="3563"/>
      <c r="U20" s="3563"/>
      <c r="V20" s="3563"/>
      <c r="W20" s="3563"/>
      <c r="X20" s="3563"/>
      <c r="Y20" s="3563"/>
      <c r="Z20" s="3563"/>
      <c r="AA20" s="3563"/>
      <c r="AB20" s="3563"/>
      <c r="AC20" s="3563"/>
      <c r="AD20" s="3563"/>
      <c r="AE20" s="3563"/>
      <c r="AF20" s="3563"/>
      <c r="AG20" s="3563"/>
      <c r="AH20" s="3563"/>
      <c r="AI20" s="3563"/>
      <c r="AJ20" s="3563"/>
      <c r="AK20" s="3563"/>
      <c r="AL20" s="3563"/>
      <c r="AM20" s="3563"/>
      <c r="AN20" s="3563"/>
      <c r="AO20" s="3563"/>
      <c r="AP20" s="3563"/>
      <c r="AQ20" s="3563"/>
      <c r="AR20" s="3563"/>
      <c r="AS20" s="3563"/>
      <c r="AT20" s="3563"/>
      <c r="AU20" s="3563"/>
      <c r="AV20" s="3563"/>
      <c r="AW20" s="3563"/>
      <c r="AX20" s="3564"/>
      <c r="AY20" s="3564"/>
      <c r="AZ20" s="3564"/>
      <c r="BA20" s="3564"/>
      <c r="BB20" s="3565"/>
      <c r="BC20" s="869"/>
      <c r="BW20" s="869"/>
      <c r="CS20" s="2061"/>
      <c r="CW20" s="2061"/>
      <c r="CX20" s="2061"/>
      <c r="CY20" s="2061"/>
      <c r="CZ20" s="2061"/>
      <c r="DA20" s="2072"/>
      <c r="DB20" s="2072"/>
      <c r="DG20" s="2061"/>
      <c r="EW20" s="855"/>
      <c r="EX20" s="855"/>
      <c r="EY20" s="855"/>
      <c r="EZ20" s="855"/>
    </row>
    <row r="21" spans="3:156" ht="18" hidden="1" customHeight="1" x14ac:dyDescent="0.25">
      <c r="C21" s="875"/>
      <c r="D21" s="3549"/>
      <c r="E21" s="3549"/>
      <c r="F21" s="3549"/>
      <c r="G21" s="3549"/>
      <c r="H21" s="3549"/>
      <c r="I21" s="3550"/>
      <c r="J21" s="3551"/>
      <c r="K21" s="3551"/>
      <c r="L21" s="3551"/>
      <c r="M21" s="3551"/>
      <c r="N21" s="3551"/>
      <c r="O21" s="3551"/>
      <c r="P21" s="3551"/>
      <c r="Q21" s="3551"/>
      <c r="R21" s="3551"/>
      <c r="S21" s="3551"/>
      <c r="T21" s="3551"/>
      <c r="U21" s="3551"/>
      <c r="V21" s="3551"/>
      <c r="W21" s="3551"/>
      <c r="X21" s="3551"/>
      <c r="Y21" s="3551"/>
      <c r="Z21" s="3551"/>
      <c r="AA21" s="3551"/>
      <c r="AB21" s="3551"/>
      <c r="AC21" s="3551"/>
      <c r="AD21" s="3551"/>
      <c r="AE21" s="3551"/>
      <c r="AF21" s="3551"/>
      <c r="AG21" s="3551"/>
      <c r="AH21" s="3551"/>
      <c r="AI21" s="3551"/>
      <c r="AJ21" s="3551"/>
      <c r="AK21" s="3551"/>
      <c r="AL21" s="3551"/>
      <c r="AM21" s="3551"/>
      <c r="AN21" s="3551"/>
      <c r="AO21" s="3551"/>
      <c r="AP21" s="3551"/>
      <c r="AQ21" s="3551"/>
      <c r="AR21" s="3551"/>
      <c r="AS21" s="3551"/>
      <c r="AT21" s="3551"/>
      <c r="AU21" s="3551"/>
      <c r="AV21" s="3551"/>
      <c r="AW21" s="3551"/>
      <c r="AX21" s="3552"/>
      <c r="AY21" s="3552"/>
      <c r="AZ21" s="3552"/>
      <c r="BA21" s="3552"/>
      <c r="BB21" s="3553"/>
      <c r="CS21" s="2061"/>
      <c r="CW21" s="2061"/>
      <c r="CX21" s="2061"/>
      <c r="CY21" s="2061"/>
      <c r="CZ21" s="2061"/>
      <c r="DA21" s="2072"/>
      <c r="DB21" s="2072"/>
      <c r="DG21" s="2061"/>
      <c r="EW21" s="855"/>
      <c r="EX21" s="855"/>
      <c r="EY21" s="855"/>
      <c r="EZ21" s="855"/>
    </row>
    <row r="22" spans="3:156" s="871" customFormat="1" ht="31.5" customHeight="1" x14ac:dyDescent="0.25">
      <c r="D22" s="3554" t="s">
        <v>2580</v>
      </c>
      <c r="E22" s="3554"/>
      <c r="F22" s="3554"/>
      <c r="G22" s="3554"/>
      <c r="H22" s="3554"/>
      <c r="I22" s="3065"/>
      <c r="J22" s="3065"/>
      <c r="K22" s="3065"/>
      <c r="L22" s="3065"/>
      <c r="M22" s="3065"/>
      <c r="N22" s="3065"/>
      <c r="O22" s="3065"/>
      <c r="P22" s="3065"/>
      <c r="Q22" s="3065"/>
      <c r="R22" s="3065"/>
      <c r="S22" s="3065"/>
      <c r="T22" s="3065"/>
      <c r="U22" s="3065"/>
      <c r="V22" s="3065"/>
      <c r="W22" s="3065"/>
      <c r="X22" s="3065"/>
      <c r="Y22" s="3065"/>
      <c r="Z22" s="3065"/>
      <c r="AA22" s="3065"/>
      <c r="AB22" s="3065"/>
      <c r="AC22" s="3065"/>
      <c r="AD22" s="3065"/>
      <c r="AE22" s="3065"/>
      <c r="AF22" s="3065"/>
      <c r="AG22" s="3065"/>
      <c r="AH22" s="3065"/>
      <c r="AI22" s="3065"/>
      <c r="AJ22" s="3065"/>
      <c r="AK22" s="3065"/>
      <c r="AL22" s="3065"/>
      <c r="AM22" s="3065"/>
      <c r="AN22" s="3065"/>
      <c r="AO22" s="3065"/>
      <c r="AP22" s="3065"/>
      <c r="AQ22" s="3065"/>
      <c r="AR22" s="3065"/>
      <c r="AS22" s="3065"/>
      <c r="AT22" s="3065"/>
      <c r="AU22" s="3065"/>
      <c r="AV22" s="3065"/>
      <c r="AW22" s="3065"/>
      <c r="AX22" s="3065"/>
      <c r="AY22" s="3065"/>
      <c r="AZ22" s="3065"/>
      <c r="BA22" s="3065"/>
      <c r="BB22" s="3065"/>
      <c r="BC22" s="3065"/>
      <c r="BD22" s="3065"/>
      <c r="BE22" s="3065"/>
      <c r="BF22" s="3065"/>
      <c r="BG22" s="3065"/>
      <c r="BH22" s="3065"/>
      <c r="BI22" s="3065"/>
      <c r="BJ22" s="3065"/>
      <c r="BK22" s="3065"/>
      <c r="BL22" s="3065"/>
      <c r="BM22" s="3065"/>
      <c r="BN22" s="3065"/>
      <c r="BO22" s="3065"/>
      <c r="BP22" s="3065"/>
      <c r="BQ22" s="3065"/>
      <c r="BR22" s="3065"/>
      <c r="BS22" s="3065"/>
      <c r="BT22" s="3065"/>
      <c r="BU22" s="3065"/>
      <c r="BV22" s="3065"/>
      <c r="BW22" s="3065"/>
      <c r="BX22" s="3065"/>
      <c r="BY22" s="3065"/>
      <c r="BZ22" s="3065"/>
      <c r="CA22" s="3065"/>
      <c r="CB22" s="3065"/>
      <c r="CC22" s="3065"/>
      <c r="CD22" s="3065"/>
      <c r="CE22" s="3065"/>
      <c r="CF22" s="3065"/>
      <c r="CG22" s="3065"/>
      <c r="CH22" s="3065"/>
      <c r="CI22" s="3065"/>
      <c r="CJ22" s="3065"/>
      <c r="CK22" s="3065"/>
      <c r="CL22" s="3065"/>
      <c r="CM22" s="3065"/>
      <c r="CN22" s="3065"/>
      <c r="CO22" s="3065"/>
      <c r="CP22" s="3065"/>
      <c r="CQ22" s="3065"/>
      <c r="CR22" s="2048"/>
      <c r="CS22" s="2062"/>
      <c r="CT22" s="870"/>
      <c r="CU22" s="870"/>
      <c r="CW22" s="2067"/>
      <c r="CX22" s="2067"/>
      <c r="CY22" s="2067"/>
      <c r="CZ22" s="2067"/>
      <c r="DA22" s="2067"/>
      <c r="DB22" s="2067"/>
      <c r="DC22" s="870"/>
      <c r="DE22" s="870"/>
      <c r="DG22" s="2067"/>
      <c r="DH22" s="870"/>
      <c r="DI22" s="870"/>
      <c r="DO22" s="870"/>
      <c r="DP22" s="870"/>
      <c r="DQ22" s="870"/>
    </row>
    <row r="23" spans="3:156" ht="38.25" customHeight="1" x14ac:dyDescent="0.25">
      <c r="C23" s="871"/>
      <c r="D23" s="3554" t="s">
        <v>2581</v>
      </c>
      <c r="E23" s="3554"/>
      <c r="F23" s="3554"/>
      <c r="G23" s="3554"/>
      <c r="H23" s="3554"/>
      <c r="I23" s="3066"/>
      <c r="J23" s="3066"/>
      <c r="K23" s="3066"/>
      <c r="L23" s="3066"/>
      <c r="M23" s="3066"/>
      <c r="N23" s="3066"/>
      <c r="O23" s="3066"/>
      <c r="P23" s="3066"/>
      <c r="Q23" s="3066"/>
      <c r="R23" s="3067"/>
      <c r="S23" s="3067"/>
      <c r="T23" s="3067"/>
      <c r="U23" s="3067"/>
      <c r="V23" s="3067"/>
      <c r="W23" s="3067"/>
      <c r="X23" s="3067"/>
      <c r="Y23" s="3067"/>
      <c r="Z23" s="3067"/>
      <c r="AA23" s="3067"/>
      <c r="AB23" s="3067"/>
      <c r="AC23" s="3067"/>
      <c r="AD23" s="3066"/>
      <c r="AE23" s="3066"/>
      <c r="AF23" s="3066"/>
      <c r="AG23" s="3066"/>
      <c r="AH23" s="3066"/>
      <c r="AI23" s="3066"/>
      <c r="AJ23" s="3066"/>
      <c r="AK23" s="3066"/>
      <c r="AL23" s="3067"/>
      <c r="AM23" s="3067"/>
      <c r="AN23" s="3067"/>
      <c r="AO23" s="3067"/>
      <c r="AP23" s="3067"/>
      <c r="AQ23" s="3067"/>
      <c r="AR23" s="3067"/>
      <c r="AS23" s="3067"/>
      <c r="AT23" s="3067"/>
      <c r="AU23" s="3067"/>
      <c r="AV23" s="3067"/>
      <c r="AW23" s="3067"/>
      <c r="AX23" s="3066"/>
      <c r="AY23" s="3066"/>
      <c r="AZ23" s="3066"/>
      <c r="BA23" s="3066"/>
      <c r="BB23" s="3066"/>
      <c r="BC23" s="3066"/>
      <c r="BD23" s="3066"/>
      <c r="BE23" s="3066"/>
      <c r="BF23" s="3067"/>
      <c r="BG23" s="3067"/>
      <c r="BH23" s="3067"/>
      <c r="BI23" s="3067"/>
      <c r="BJ23" s="3067"/>
      <c r="BK23" s="3067"/>
      <c r="BL23" s="3067"/>
      <c r="BM23" s="3067"/>
      <c r="BN23" s="3067"/>
      <c r="BO23" s="3067"/>
      <c r="BP23" s="3067"/>
      <c r="BQ23" s="3067"/>
      <c r="BR23" s="3066"/>
      <c r="BS23" s="3066"/>
      <c r="BT23" s="3066"/>
      <c r="BU23" s="3066"/>
      <c r="BV23" s="3066"/>
      <c r="BW23" s="3066"/>
      <c r="BX23" s="3066"/>
      <c r="BY23" s="3066"/>
      <c r="BZ23" s="3067"/>
      <c r="CA23" s="3067"/>
      <c r="CB23" s="3067"/>
      <c r="CC23" s="3067"/>
      <c r="CD23" s="3067"/>
      <c r="CE23" s="3067"/>
      <c r="CF23" s="3067"/>
      <c r="CG23" s="3067"/>
      <c r="CH23" s="3067"/>
      <c r="CI23" s="3067"/>
      <c r="CJ23" s="3067"/>
      <c r="CK23" s="3067"/>
      <c r="CL23" s="3067"/>
      <c r="CM23" s="3067"/>
      <c r="CN23" s="3067"/>
      <c r="CO23" s="3067"/>
      <c r="CP23" s="3067"/>
      <c r="CQ23" s="3067"/>
      <c r="CR23" s="2051"/>
      <c r="CS23" s="2063"/>
      <c r="CT23" s="1773"/>
      <c r="CU23" s="872"/>
      <c r="CV23" s="872"/>
      <c r="CW23" s="2068"/>
      <c r="CX23" s="2068"/>
      <c r="CY23" s="2068"/>
      <c r="CZ23" s="2068"/>
      <c r="DA23" s="2068"/>
      <c r="DB23" s="2068"/>
      <c r="DC23" s="872"/>
      <c r="DD23" s="872"/>
      <c r="DE23" s="870"/>
      <c r="DF23" s="872"/>
      <c r="DG23" s="2068"/>
      <c r="DH23" s="872"/>
      <c r="DI23" s="1773"/>
      <c r="DO23" s="872"/>
      <c r="DP23" s="872"/>
      <c r="DQ23" s="872"/>
      <c r="EW23" s="855"/>
      <c r="EX23" s="855"/>
      <c r="EY23" s="855"/>
      <c r="EZ23" s="855"/>
    </row>
    <row r="24" spans="3:156" s="871" customFormat="1" ht="21" hidden="1" customHeight="1" x14ac:dyDescent="0.25">
      <c r="D24" s="3554"/>
      <c r="E24" s="3554"/>
      <c r="F24" s="3554"/>
      <c r="G24" s="3554"/>
      <c r="H24" s="3554"/>
      <c r="I24" s="3068">
        <f>IF(I25="Yes",I23,0)</f>
        <v>0</v>
      </c>
      <c r="J24" s="3068">
        <f t="shared" ref="J24:AC24" si="0">IF(J25="Yes",J23,0)</f>
        <v>0</v>
      </c>
      <c r="K24" s="3068">
        <f t="shared" si="0"/>
        <v>0</v>
      </c>
      <c r="L24" s="3068">
        <f t="shared" si="0"/>
        <v>0</v>
      </c>
      <c r="M24" s="3068">
        <f t="shared" si="0"/>
        <v>0</v>
      </c>
      <c r="N24" s="3068">
        <f t="shared" si="0"/>
        <v>0</v>
      </c>
      <c r="O24" s="3068">
        <f t="shared" si="0"/>
        <v>0</v>
      </c>
      <c r="P24" s="3068">
        <f t="shared" si="0"/>
        <v>0</v>
      </c>
      <c r="Q24" s="3068">
        <f t="shared" si="0"/>
        <v>0</v>
      </c>
      <c r="R24" s="3068">
        <f t="shared" si="0"/>
        <v>0</v>
      </c>
      <c r="S24" s="3068">
        <f t="shared" si="0"/>
        <v>0</v>
      </c>
      <c r="T24" s="3068">
        <f t="shared" si="0"/>
        <v>0</v>
      </c>
      <c r="U24" s="3068">
        <f t="shared" si="0"/>
        <v>0</v>
      </c>
      <c r="V24" s="3068">
        <f t="shared" si="0"/>
        <v>0</v>
      </c>
      <c r="W24" s="3068">
        <f t="shared" si="0"/>
        <v>0</v>
      </c>
      <c r="X24" s="3068">
        <f t="shared" si="0"/>
        <v>0</v>
      </c>
      <c r="Y24" s="3068">
        <f t="shared" si="0"/>
        <v>0</v>
      </c>
      <c r="Z24" s="3068">
        <f t="shared" si="0"/>
        <v>0</v>
      </c>
      <c r="AA24" s="3068">
        <f t="shared" si="0"/>
        <v>0</v>
      </c>
      <c r="AB24" s="3068">
        <f t="shared" si="0"/>
        <v>0</v>
      </c>
      <c r="AC24" s="3068">
        <f t="shared" si="0"/>
        <v>0</v>
      </c>
      <c r="AD24" s="3068">
        <f t="shared" ref="AD24:AW24" si="1">IF(AD25="Yes",AD23,0)</f>
        <v>0</v>
      </c>
      <c r="AE24" s="3068">
        <f t="shared" si="1"/>
        <v>0</v>
      </c>
      <c r="AF24" s="3068">
        <f t="shared" si="1"/>
        <v>0</v>
      </c>
      <c r="AG24" s="3068">
        <f t="shared" si="1"/>
        <v>0</v>
      </c>
      <c r="AH24" s="3068">
        <f t="shared" si="1"/>
        <v>0</v>
      </c>
      <c r="AI24" s="3068">
        <f t="shared" si="1"/>
        <v>0</v>
      </c>
      <c r="AJ24" s="3068">
        <f t="shared" si="1"/>
        <v>0</v>
      </c>
      <c r="AK24" s="3068">
        <f t="shared" si="1"/>
        <v>0</v>
      </c>
      <c r="AL24" s="3068">
        <f t="shared" si="1"/>
        <v>0</v>
      </c>
      <c r="AM24" s="3068">
        <f t="shared" si="1"/>
        <v>0</v>
      </c>
      <c r="AN24" s="3068">
        <f t="shared" si="1"/>
        <v>0</v>
      </c>
      <c r="AO24" s="3068">
        <f t="shared" si="1"/>
        <v>0</v>
      </c>
      <c r="AP24" s="3068">
        <f t="shared" si="1"/>
        <v>0</v>
      </c>
      <c r="AQ24" s="3068">
        <f t="shared" si="1"/>
        <v>0</v>
      </c>
      <c r="AR24" s="3068">
        <f t="shared" si="1"/>
        <v>0</v>
      </c>
      <c r="AS24" s="3068">
        <f t="shared" si="1"/>
        <v>0</v>
      </c>
      <c r="AT24" s="3068">
        <f t="shared" si="1"/>
        <v>0</v>
      </c>
      <c r="AU24" s="3068">
        <f t="shared" si="1"/>
        <v>0</v>
      </c>
      <c r="AV24" s="3068">
        <f t="shared" si="1"/>
        <v>0</v>
      </c>
      <c r="AW24" s="3068">
        <f t="shared" si="1"/>
        <v>0</v>
      </c>
      <c r="AX24" s="3068">
        <f t="shared" ref="AX24:BA24" si="2">IF(AX25="Yes",AX23,0)</f>
        <v>0</v>
      </c>
      <c r="AY24" s="3068">
        <f t="shared" si="2"/>
        <v>0</v>
      </c>
      <c r="AZ24" s="3068">
        <f t="shared" si="2"/>
        <v>0</v>
      </c>
      <c r="BA24" s="3068">
        <f t="shared" si="2"/>
        <v>0</v>
      </c>
      <c r="BB24" s="3068">
        <f t="shared" ref="BB24" si="3">IF(BB25="Yes",BB23,0)</f>
        <v>0</v>
      </c>
      <c r="BC24" s="3068">
        <f t="shared" ref="BC24" si="4">IF(BC25="Yes",BC23,0)</f>
        <v>0</v>
      </c>
      <c r="BD24" s="3068">
        <f t="shared" ref="BD24:BE24" si="5">IF(BD25="Yes",BD23,0)</f>
        <v>0</v>
      </c>
      <c r="BE24" s="3068">
        <f t="shared" si="5"/>
        <v>0</v>
      </c>
      <c r="BF24" s="3068">
        <f t="shared" ref="BF24" si="6">IF(BF25="Yes",BF23,0)</f>
        <v>0</v>
      </c>
      <c r="BG24" s="3068">
        <f t="shared" ref="BG24" si="7">IF(BG25="Yes",BG23,0)</f>
        <v>0</v>
      </c>
      <c r="BH24" s="3068">
        <f t="shared" ref="BH24:BI24" si="8">IF(BH25="Yes",BH23,0)</f>
        <v>0</v>
      </c>
      <c r="BI24" s="3068">
        <f t="shared" si="8"/>
        <v>0</v>
      </c>
      <c r="BJ24" s="3068">
        <f t="shared" ref="BJ24" si="9">IF(BJ25="Yes",BJ23,0)</f>
        <v>0</v>
      </c>
      <c r="BK24" s="3068">
        <f t="shared" ref="BK24" si="10">IF(BK25="Yes",BK23,0)</f>
        <v>0</v>
      </c>
      <c r="BL24" s="3068">
        <f t="shared" ref="BL24:BM24" si="11">IF(BL25="Yes",BL23,0)</f>
        <v>0</v>
      </c>
      <c r="BM24" s="3068">
        <f t="shared" si="11"/>
        <v>0</v>
      </c>
      <c r="BN24" s="3068">
        <f t="shared" ref="BN24" si="12">IF(BN25="Yes",BN23,0)</f>
        <v>0</v>
      </c>
      <c r="BO24" s="3068">
        <f t="shared" ref="BO24" si="13">IF(BO25="Yes",BO23,0)</f>
        <v>0</v>
      </c>
      <c r="BP24" s="3068">
        <f t="shared" ref="BP24:CI24" si="14">IF(BP25="Yes",BP23,0)</f>
        <v>0</v>
      </c>
      <c r="BQ24" s="3068">
        <f t="shared" si="14"/>
        <v>0</v>
      </c>
      <c r="BR24" s="3068">
        <f t="shared" si="14"/>
        <v>0</v>
      </c>
      <c r="BS24" s="3068">
        <f t="shared" si="14"/>
        <v>0</v>
      </c>
      <c r="BT24" s="3068">
        <f t="shared" si="14"/>
        <v>0</v>
      </c>
      <c r="BU24" s="3068">
        <f t="shared" si="14"/>
        <v>0</v>
      </c>
      <c r="BV24" s="3068">
        <f t="shared" si="14"/>
        <v>0</v>
      </c>
      <c r="BW24" s="3068">
        <f t="shared" si="14"/>
        <v>0</v>
      </c>
      <c r="BX24" s="3068">
        <f t="shared" si="14"/>
        <v>0</v>
      </c>
      <c r="BY24" s="3068">
        <f t="shared" si="14"/>
        <v>0</v>
      </c>
      <c r="BZ24" s="3068">
        <f t="shared" si="14"/>
        <v>0</v>
      </c>
      <c r="CA24" s="3068">
        <f t="shared" si="14"/>
        <v>0</v>
      </c>
      <c r="CB24" s="3068">
        <f t="shared" si="14"/>
        <v>0</v>
      </c>
      <c r="CC24" s="3068">
        <f t="shared" si="14"/>
        <v>0</v>
      </c>
      <c r="CD24" s="3068">
        <f t="shared" si="14"/>
        <v>0</v>
      </c>
      <c r="CE24" s="3068">
        <f t="shared" si="14"/>
        <v>0</v>
      </c>
      <c r="CF24" s="3068">
        <f t="shared" si="14"/>
        <v>0</v>
      </c>
      <c r="CG24" s="3068">
        <f t="shared" si="14"/>
        <v>0</v>
      </c>
      <c r="CH24" s="3068">
        <f t="shared" si="14"/>
        <v>0</v>
      </c>
      <c r="CI24" s="3068">
        <f t="shared" si="14"/>
        <v>0</v>
      </c>
      <c r="CJ24" s="3068">
        <f t="shared" ref="CJ24:CK24" si="15">IF(CJ25="Yes",CJ23,0)</f>
        <v>0</v>
      </c>
      <c r="CK24" s="3068">
        <f t="shared" si="15"/>
        <v>0</v>
      </c>
      <c r="CL24" s="3068">
        <f t="shared" ref="CL24" si="16">IF(CL25="Yes",CL23,0)</f>
        <v>0</v>
      </c>
      <c r="CM24" s="3068">
        <f t="shared" ref="CM24" si="17">IF(CM25="Yes",CM23,0)</f>
        <v>0</v>
      </c>
      <c r="CN24" s="3068">
        <f t="shared" ref="CN24:CO24" si="18">IF(CN25="Yes",CN23,0)</f>
        <v>0</v>
      </c>
      <c r="CO24" s="3068">
        <f t="shared" si="18"/>
        <v>0</v>
      </c>
      <c r="CP24" s="3068">
        <f t="shared" ref="CP24" si="19">IF(CP25="Yes",CP23,0)</f>
        <v>0</v>
      </c>
      <c r="CQ24" s="3068">
        <f t="shared" ref="CQ24" si="20">IF(CQ25="Yes",CQ23,0)</f>
        <v>0</v>
      </c>
      <c r="CR24" s="2052">
        <f t="shared" ref="CR24" si="21">IF(CR25="Yes",CR23,0)</f>
        <v>0</v>
      </c>
      <c r="CS24" s="2063"/>
      <c r="CT24" s="870"/>
      <c r="CU24" s="870"/>
      <c r="CV24" s="870"/>
      <c r="CW24" s="2060"/>
      <c r="CX24" s="2060"/>
      <c r="CY24" s="2060"/>
      <c r="CZ24" s="2073"/>
      <c r="DA24" s="2073"/>
      <c r="DB24" s="2073"/>
      <c r="DC24" s="873"/>
      <c r="DD24" s="873"/>
      <c r="DE24" s="873"/>
      <c r="DF24" s="874"/>
      <c r="DG24" s="2073"/>
      <c r="DH24" s="873"/>
      <c r="DI24" s="874"/>
      <c r="DJ24" s="873"/>
      <c r="DK24" s="873"/>
      <c r="DL24" s="873"/>
      <c r="DO24" s="870"/>
      <c r="DP24" s="870"/>
      <c r="DQ24" s="870"/>
    </row>
    <row r="25" spans="3:156" s="871" customFormat="1" ht="30.75" customHeight="1" x14ac:dyDescent="0.25">
      <c r="D25" s="3555" t="s">
        <v>2878</v>
      </c>
      <c r="E25" s="3554"/>
      <c r="F25" s="3554"/>
      <c r="G25" s="3554"/>
      <c r="H25" s="3554"/>
      <c r="I25" s="3069" t="s">
        <v>1560</v>
      </c>
      <c r="J25" s="3069" t="s">
        <v>1560</v>
      </c>
      <c r="K25" s="3069" t="s">
        <v>1560</v>
      </c>
      <c r="L25" s="3069" t="s">
        <v>1560</v>
      </c>
      <c r="M25" s="3069" t="s">
        <v>1560</v>
      </c>
      <c r="N25" s="3069" t="s">
        <v>1560</v>
      </c>
      <c r="O25" s="3069" t="s">
        <v>1560</v>
      </c>
      <c r="P25" s="3069" t="s">
        <v>1560</v>
      </c>
      <c r="Q25" s="3069" t="s">
        <v>1560</v>
      </c>
      <c r="R25" s="3069" t="s">
        <v>1560</v>
      </c>
      <c r="S25" s="3069" t="s">
        <v>1560</v>
      </c>
      <c r="T25" s="3069" t="s">
        <v>1560</v>
      </c>
      <c r="U25" s="3069" t="s">
        <v>1560</v>
      </c>
      <c r="V25" s="3069" t="s">
        <v>1560</v>
      </c>
      <c r="W25" s="3069" t="s">
        <v>1560</v>
      </c>
      <c r="X25" s="3069" t="s">
        <v>1560</v>
      </c>
      <c r="Y25" s="3069" t="s">
        <v>1560</v>
      </c>
      <c r="Z25" s="3069" t="s">
        <v>1560</v>
      </c>
      <c r="AA25" s="3069" t="s">
        <v>1560</v>
      </c>
      <c r="AB25" s="3069" t="s">
        <v>1560</v>
      </c>
      <c r="AC25" s="3069" t="s">
        <v>1560</v>
      </c>
      <c r="AD25" s="3069" t="s">
        <v>1560</v>
      </c>
      <c r="AE25" s="3069" t="s">
        <v>1560</v>
      </c>
      <c r="AF25" s="3069" t="s">
        <v>1560</v>
      </c>
      <c r="AG25" s="3069" t="s">
        <v>1560</v>
      </c>
      <c r="AH25" s="3069" t="s">
        <v>1560</v>
      </c>
      <c r="AI25" s="3069" t="s">
        <v>1560</v>
      </c>
      <c r="AJ25" s="3069" t="s">
        <v>1560</v>
      </c>
      <c r="AK25" s="3069" t="s">
        <v>1560</v>
      </c>
      <c r="AL25" s="3069" t="s">
        <v>1560</v>
      </c>
      <c r="AM25" s="3069" t="s">
        <v>1560</v>
      </c>
      <c r="AN25" s="3069" t="s">
        <v>1560</v>
      </c>
      <c r="AO25" s="3069" t="s">
        <v>1560</v>
      </c>
      <c r="AP25" s="3069" t="s">
        <v>1560</v>
      </c>
      <c r="AQ25" s="3069" t="s">
        <v>1560</v>
      </c>
      <c r="AR25" s="3069" t="s">
        <v>1560</v>
      </c>
      <c r="AS25" s="3069" t="s">
        <v>1560</v>
      </c>
      <c r="AT25" s="3069" t="s">
        <v>1560</v>
      </c>
      <c r="AU25" s="3069" t="s">
        <v>1560</v>
      </c>
      <c r="AV25" s="3069" t="s">
        <v>1560</v>
      </c>
      <c r="AW25" s="3069" t="s">
        <v>1560</v>
      </c>
      <c r="AX25" s="3069" t="s">
        <v>1560</v>
      </c>
      <c r="AY25" s="3069" t="s">
        <v>1560</v>
      </c>
      <c r="AZ25" s="3069" t="s">
        <v>1560</v>
      </c>
      <c r="BA25" s="3069" t="s">
        <v>1560</v>
      </c>
      <c r="BB25" s="3069" t="s">
        <v>1560</v>
      </c>
      <c r="BC25" s="3069" t="s">
        <v>1560</v>
      </c>
      <c r="BD25" s="3069" t="s">
        <v>1560</v>
      </c>
      <c r="BE25" s="3069" t="s">
        <v>1560</v>
      </c>
      <c r="BF25" s="3069" t="s">
        <v>1560</v>
      </c>
      <c r="BG25" s="3069" t="s">
        <v>1560</v>
      </c>
      <c r="BH25" s="3069" t="s">
        <v>1560</v>
      </c>
      <c r="BI25" s="3069" t="s">
        <v>1560</v>
      </c>
      <c r="BJ25" s="3069" t="s">
        <v>1560</v>
      </c>
      <c r="BK25" s="3069" t="s">
        <v>1560</v>
      </c>
      <c r="BL25" s="3069" t="s">
        <v>1560</v>
      </c>
      <c r="BM25" s="3069" t="s">
        <v>1560</v>
      </c>
      <c r="BN25" s="3069" t="s">
        <v>1560</v>
      </c>
      <c r="BO25" s="3069" t="s">
        <v>1560</v>
      </c>
      <c r="BP25" s="3069" t="s">
        <v>1560</v>
      </c>
      <c r="BQ25" s="3069" t="s">
        <v>1560</v>
      </c>
      <c r="BR25" s="3069" t="s">
        <v>1560</v>
      </c>
      <c r="BS25" s="3069" t="s">
        <v>1560</v>
      </c>
      <c r="BT25" s="3069" t="s">
        <v>1560</v>
      </c>
      <c r="BU25" s="3069" t="s">
        <v>1560</v>
      </c>
      <c r="BV25" s="3069" t="s">
        <v>1560</v>
      </c>
      <c r="BW25" s="3069" t="s">
        <v>1560</v>
      </c>
      <c r="BX25" s="3069" t="s">
        <v>1560</v>
      </c>
      <c r="BY25" s="3069" t="s">
        <v>1560</v>
      </c>
      <c r="BZ25" s="3069" t="s">
        <v>1560</v>
      </c>
      <c r="CA25" s="3069" t="s">
        <v>1560</v>
      </c>
      <c r="CB25" s="3069" t="s">
        <v>1560</v>
      </c>
      <c r="CC25" s="3069" t="s">
        <v>1560</v>
      </c>
      <c r="CD25" s="3069" t="s">
        <v>1560</v>
      </c>
      <c r="CE25" s="3069" t="s">
        <v>1560</v>
      </c>
      <c r="CF25" s="3069" t="s">
        <v>1560</v>
      </c>
      <c r="CG25" s="3069" t="s">
        <v>1560</v>
      </c>
      <c r="CH25" s="3069" t="s">
        <v>1560</v>
      </c>
      <c r="CI25" s="3069" t="s">
        <v>1560</v>
      </c>
      <c r="CJ25" s="3069" t="s">
        <v>1560</v>
      </c>
      <c r="CK25" s="3069" t="s">
        <v>1560</v>
      </c>
      <c r="CL25" s="3069" t="s">
        <v>1560</v>
      </c>
      <c r="CM25" s="3069" t="s">
        <v>1560</v>
      </c>
      <c r="CN25" s="3069" t="s">
        <v>1560</v>
      </c>
      <c r="CO25" s="3069" t="s">
        <v>1560</v>
      </c>
      <c r="CP25" s="3069" t="s">
        <v>1560</v>
      </c>
      <c r="CQ25" s="3069" t="s">
        <v>1560</v>
      </c>
      <c r="CR25" s="2049" t="s">
        <v>1560</v>
      </c>
      <c r="CS25" s="2064"/>
      <c r="CT25" s="2055"/>
      <c r="CU25" s="2050"/>
      <c r="CV25" s="2053"/>
      <c r="CW25" s="2064"/>
      <c r="CX25" s="2069"/>
      <c r="CY25" s="2069"/>
      <c r="CZ25" s="2064"/>
      <c r="DA25" s="2063"/>
      <c r="DB25" s="2063"/>
      <c r="DC25" s="3547" t="s">
        <v>1864</v>
      </c>
      <c r="DD25" s="3556"/>
      <c r="DE25" s="3548"/>
      <c r="DF25" s="3547" t="s">
        <v>2693</v>
      </c>
      <c r="DG25" s="3548"/>
      <c r="DH25" s="1984"/>
      <c r="DI25" s="1774"/>
      <c r="DJ25" s="908"/>
      <c r="DN25" s="908" t="s">
        <v>1902</v>
      </c>
      <c r="DO25" s="908" t="s">
        <v>1902</v>
      </c>
      <c r="DP25" s="908" t="s">
        <v>1902</v>
      </c>
      <c r="DQ25" s="908" t="s">
        <v>1902</v>
      </c>
      <c r="DR25" s="908" t="s">
        <v>1902</v>
      </c>
      <c r="DS25" s="908" t="s">
        <v>1902</v>
      </c>
      <c r="DT25" s="908" t="s">
        <v>1902</v>
      </c>
      <c r="DU25" s="908" t="s">
        <v>1902</v>
      </c>
      <c r="DV25" s="908" t="s">
        <v>1902</v>
      </c>
      <c r="DW25" s="908" t="s">
        <v>1902</v>
      </c>
    </row>
    <row r="26" spans="3:156" ht="29.25" customHeight="1" x14ac:dyDescent="0.25">
      <c r="C26" s="871"/>
      <c r="D26" s="3558" t="s">
        <v>3442</v>
      </c>
      <c r="E26" s="3559"/>
      <c r="F26" s="3559"/>
      <c r="G26" s="3560"/>
      <c r="H26" s="2054">
        <f>SUMPRODUCT(H29:H551,F29:F551)</f>
        <v>0</v>
      </c>
      <c r="I26" s="3070">
        <f>SUMPRODUCT(I29:I551,$F$29:$F$551)</f>
        <v>0</v>
      </c>
      <c r="J26" s="3070">
        <f t="shared" ref="J26:AC26" si="22">SUMPRODUCT(J29:J551,$F$29:$F$551)</f>
        <v>0</v>
      </c>
      <c r="K26" s="3070">
        <f t="shared" si="22"/>
        <v>0</v>
      </c>
      <c r="L26" s="3070">
        <f t="shared" si="22"/>
        <v>0</v>
      </c>
      <c r="M26" s="3070">
        <f t="shared" si="22"/>
        <v>0</v>
      </c>
      <c r="N26" s="3070">
        <f t="shared" si="22"/>
        <v>0</v>
      </c>
      <c r="O26" s="3070">
        <f t="shared" si="22"/>
        <v>0</v>
      </c>
      <c r="P26" s="3070">
        <f t="shared" si="22"/>
        <v>0</v>
      </c>
      <c r="Q26" s="3070">
        <f t="shared" si="22"/>
        <v>0</v>
      </c>
      <c r="R26" s="3070">
        <f t="shared" si="22"/>
        <v>0</v>
      </c>
      <c r="S26" s="3070">
        <f t="shared" si="22"/>
        <v>0</v>
      </c>
      <c r="T26" s="3070">
        <f t="shared" si="22"/>
        <v>0</v>
      </c>
      <c r="U26" s="3070">
        <f t="shared" si="22"/>
        <v>0</v>
      </c>
      <c r="V26" s="3070">
        <f t="shared" si="22"/>
        <v>0</v>
      </c>
      <c r="W26" s="3070">
        <f t="shared" si="22"/>
        <v>0</v>
      </c>
      <c r="X26" s="3070">
        <f t="shared" si="22"/>
        <v>0</v>
      </c>
      <c r="Y26" s="3070">
        <f t="shared" si="22"/>
        <v>0</v>
      </c>
      <c r="Z26" s="3070">
        <f t="shared" si="22"/>
        <v>0</v>
      </c>
      <c r="AA26" s="3070">
        <f t="shared" si="22"/>
        <v>0</v>
      </c>
      <c r="AB26" s="3070">
        <f t="shared" si="22"/>
        <v>0</v>
      </c>
      <c r="AC26" s="3070">
        <f t="shared" si="22"/>
        <v>0</v>
      </c>
      <c r="AD26" s="3070">
        <f t="shared" ref="AD26:AW26" si="23">SUMPRODUCT(AD29:AD551,$F$29:$F$551)</f>
        <v>0</v>
      </c>
      <c r="AE26" s="3070">
        <f t="shared" si="23"/>
        <v>0</v>
      </c>
      <c r="AF26" s="3070">
        <f t="shared" si="23"/>
        <v>0</v>
      </c>
      <c r="AG26" s="3070">
        <f t="shared" si="23"/>
        <v>0</v>
      </c>
      <c r="AH26" s="3070">
        <f t="shared" si="23"/>
        <v>0</v>
      </c>
      <c r="AI26" s="3070">
        <f t="shared" si="23"/>
        <v>0</v>
      </c>
      <c r="AJ26" s="3070">
        <f t="shared" si="23"/>
        <v>0</v>
      </c>
      <c r="AK26" s="3070">
        <f t="shared" si="23"/>
        <v>0</v>
      </c>
      <c r="AL26" s="3070">
        <f t="shared" si="23"/>
        <v>0</v>
      </c>
      <c r="AM26" s="3070">
        <f t="shared" si="23"/>
        <v>0</v>
      </c>
      <c r="AN26" s="3070">
        <f t="shared" si="23"/>
        <v>0</v>
      </c>
      <c r="AO26" s="3070">
        <f t="shared" si="23"/>
        <v>0</v>
      </c>
      <c r="AP26" s="3070">
        <f t="shared" si="23"/>
        <v>0</v>
      </c>
      <c r="AQ26" s="3070">
        <f t="shared" si="23"/>
        <v>0</v>
      </c>
      <c r="AR26" s="3070">
        <f t="shared" si="23"/>
        <v>0</v>
      </c>
      <c r="AS26" s="3070">
        <f t="shared" si="23"/>
        <v>0</v>
      </c>
      <c r="AT26" s="3070">
        <f t="shared" si="23"/>
        <v>0</v>
      </c>
      <c r="AU26" s="3070">
        <f t="shared" si="23"/>
        <v>0</v>
      </c>
      <c r="AV26" s="3070">
        <f t="shared" si="23"/>
        <v>0</v>
      </c>
      <c r="AW26" s="3070">
        <f t="shared" si="23"/>
        <v>0</v>
      </c>
      <c r="AX26" s="3070">
        <f t="shared" ref="AX26:CR26" si="24">SUMPRODUCT(AX29:AX551,$F$29:$F$551)</f>
        <v>0</v>
      </c>
      <c r="AY26" s="3070">
        <f t="shared" si="24"/>
        <v>0</v>
      </c>
      <c r="AZ26" s="3070">
        <f t="shared" si="24"/>
        <v>0</v>
      </c>
      <c r="BA26" s="3070">
        <f t="shared" si="24"/>
        <v>0</v>
      </c>
      <c r="BB26" s="3070">
        <f t="shared" si="24"/>
        <v>0</v>
      </c>
      <c r="BC26" s="3070">
        <f t="shared" si="24"/>
        <v>0</v>
      </c>
      <c r="BD26" s="3070">
        <f t="shared" si="24"/>
        <v>0</v>
      </c>
      <c r="BE26" s="3070">
        <f t="shared" si="24"/>
        <v>0</v>
      </c>
      <c r="BF26" s="3070">
        <f t="shared" si="24"/>
        <v>0</v>
      </c>
      <c r="BG26" s="3070">
        <f t="shared" si="24"/>
        <v>0</v>
      </c>
      <c r="BH26" s="3070">
        <f t="shared" si="24"/>
        <v>0</v>
      </c>
      <c r="BI26" s="3070">
        <f t="shared" si="24"/>
        <v>0</v>
      </c>
      <c r="BJ26" s="3070">
        <f t="shared" si="24"/>
        <v>0</v>
      </c>
      <c r="BK26" s="3070">
        <f t="shared" si="24"/>
        <v>0</v>
      </c>
      <c r="BL26" s="3070">
        <f t="shared" si="24"/>
        <v>0</v>
      </c>
      <c r="BM26" s="3070">
        <f t="shared" si="24"/>
        <v>0</v>
      </c>
      <c r="BN26" s="3070">
        <f t="shared" si="24"/>
        <v>0</v>
      </c>
      <c r="BO26" s="3070">
        <f t="shared" si="24"/>
        <v>0</v>
      </c>
      <c r="BP26" s="3070">
        <f t="shared" si="24"/>
        <v>0</v>
      </c>
      <c r="BQ26" s="3070">
        <f t="shared" si="24"/>
        <v>0</v>
      </c>
      <c r="BR26" s="3070">
        <f t="shared" ref="BR26:CK26" si="25">SUMPRODUCT(BR29:BR551,$F$29:$F$551)</f>
        <v>0</v>
      </c>
      <c r="BS26" s="3070">
        <f t="shared" si="25"/>
        <v>0</v>
      </c>
      <c r="BT26" s="3070">
        <f t="shared" si="25"/>
        <v>0</v>
      </c>
      <c r="BU26" s="3070">
        <f t="shared" si="25"/>
        <v>0</v>
      </c>
      <c r="BV26" s="3070">
        <f t="shared" si="25"/>
        <v>0</v>
      </c>
      <c r="BW26" s="3070">
        <f t="shared" si="25"/>
        <v>0</v>
      </c>
      <c r="BX26" s="3070">
        <f t="shared" si="25"/>
        <v>0</v>
      </c>
      <c r="BY26" s="3070">
        <f t="shared" si="25"/>
        <v>0</v>
      </c>
      <c r="BZ26" s="3070">
        <f t="shared" si="25"/>
        <v>0</v>
      </c>
      <c r="CA26" s="3070">
        <f t="shared" si="25"/>
        <v>0</v>
      </c>
      <c r="CB26" s="3070">
        <f t="shared" si="25"/>
        <v>0</v>
      </c>
      <c r="CC26" s="3070">
        <f t="shared" si="25"/>
        <v>0</v>
      </c>
      <c r="CD26" s="3070">
        <f t="shared" si="25"/>
        <v>0</v>
      </c>
      <c r="CE26" s="3070">
        <f t="shared" si="25"/>
        <v>0</v>
      </c>
      <c r="CF26" s="3070">
        <f t="shared" si="25"/>
        <v>0</v>
      </c>
      <c r="CG26" s="3070">
        <f t="shared" si="25"/>
        <v>0</v>
      </c>
      <c r="CH26" s="3070">
        <f t="shared" si="25"/>
        <v>0</v>
      </c>
      <c r="CI26" s="3070">
        <f t="shared" si="25"/>
        <v>0</v>
      </c>
      <c r="CJ26" s="3070">
        <f t="shared" si="25"/>
        <v>0</v>
      </c>
      <c r="CK26" s="3070">
        <f t="shared" si="25"/>
        <v>0</v>
      </c>
      <c r="CL26" s="3070">
        <f t="shared" si="24"/>
        <v>0</v>
      </c>
      <c r="CM26" s="3070">
        <f t="shared" si="24"/>
        <v>0</v>
      </c>
      <c r="CN26" s="3070">
        <f t="shared" si="24"/>
        <v>0</v>
      </c>
      <c r="CO26" s="3070">
        <f t="shared" si="24"/>
        <v>0</v>
      </c>
      <c r="CP26" s="3070">
        <f t="shared" si="24"/>
        <v>0</v>
      </c>
      <c r="CQ26" s="3070">
        <f t="shared" si="24"/>
        <v>0</v>
      </c>
      <c r="CR26" s="2054">
        <f t="shared" si="24"/>
        <v>0</v>
      </c>
      <c r="CS26" s="3071">
        <f>SUMPRODUCT(CS29:CS551,F29:F551)</f>
        <v>0</v>
      </c>
      <c r="CT26" s="3072"/>
      <c r="CU26" s="3073"/>
      <c r="CV26" s="3073"/>
      <c r="CW26" s="3071">
        <f>SUMPRODUCT(CW29:CW551,F29:F551)</f>
        <v>0</v>
      </c>
      <c r="CX26" s="3071">
        <f>SUM(CX29:CX551)</f>
        <v>0</v>
      </c>
      <c r="CY26" s="3074"/>
      <c r="CZ26" s="3075">
        <f>SUMPRODUCT(CZ29:CZ551,F29:F551)</f>
        <v>0</v>
      </c>
      <c r="DA26" s="3071">
        <f>SUMPRODUCT(DA29:DA551,F29:F551)</f>
        <v>0</v>
      </c>
      <c r="DB26" s="3071">
        <f>SUMPRODUCT(DB29:DB551,F29:F551)</f>
        <v>0</v>
      </c>
      <c r="DC26" s="3076">
        <f>IFERROR(CZ26/H26,0)</f>
        <v>0</v>
      </c>
      <c r="DD26" s="3077">
        <f>IFERROR(DA26/H26,0)</f>
        <v>0</v>
      </c>
      <c r="DE26" s="3077">
        <f>IFERROR(DB26/H26,0)</f>
        <v>0</v>
      </c>
      <c r="DF26" s="3076">
        <f>IFERROR(DG26/H26,0)</f>
        <v>0</v>
      </c>
      <c r="DG26" s="3071">
        <f>SUMPRODUCT(DG29:DG551,F29:F551)</f>
        <v>0</v>
      </c>
      <c r="DH26" s="1389"/>
      <c r="DI26" s="1775"/>
      <c r="DJ26" s="856"/>
      <c r="DN26" s="909"/>
      <c r="DO26" s="909"/>
      <c r="DP26" s="909"/>
      <c r="DQ26" s="909"/>
      <c r="DR26" s="909"/>
      <c r="DS26" s="909"/>
      <c r="DT26" s="909"/>
      <c r="DU26" s="909"/>
      <c r="DV26" s="909"/>
      <c r="DW26" s="909"/>
      <c r="EW26" s="855"/>
      <c r="EX26" s="855"/>
      <c r="EY26" s="855"/>
      <c r="EZ26" s="855"/>
    </row>
    <row r="27" spans="3:156" hidden="1" x14ac:dyDescent="0.25">
      <c r="C27" s="871"/>
      <c r="D27" s="1384"/>
      <c r="E27" s="1385"/>
      <c r="F27" s="1385"/>
      <c r="G27" s="1384"/>
      <c r="H27" s="2065"/>
      <c r="I27" s="1281">
        <f>MOD(COLUMN(I27),2)</f>
        <v>1</v>
      </c>
      <c r="J27" s="1281">
        <f t="shared" ref="J27:AC27" si="26">MOD(COLUMN(J27),2)</f>
        <v>0</v>
      </c>
      <c r="K27" s="1281">
        <f t="shared" si="26"/>
        <v>1</v>
      </c>
      <c r="L27" s="1281">
        <f t="shared" si="26"/>
        <v>0</v>
      </c>
      <c r="M27" s="1281">
        <f t="shared" si="26"/>
        <v>1</v>
      </c>
      <c r="N27" s="1281">
        <f t="shared" si="26"/>
        <v>0</v>
      </c>
      <c r="O27" s="1281">
        <f t="shared" si="26"/>
        <v>1</v>
      </c>
      <c r="P27" s="1281">
        <f t="shared" si="26"/>
        <v>0</v>
      </c>
      <c r="Q27" s="1281">
        <f t="shared" si="26"/>
        <v>1</v>
      </c>
      <c r="R27" s="1281">
        <f t="shared" si="26"/>
        <v>0</v>
      </c>
      <c r="S27" s="1281">
        <f t="shared" si="26"/>
        <v>1</v>
      </c>
      <c r="T27" s="1281">
        <f t="shared" si="26"/>
        <v>0</v>
      </c>
      <c r="U27" s="1281">
        <f t="shared" si="26"/>
        <v>1</v>
      </c>
      <c r="V27" s="1281">
        <f t="shared" si="26"/>
        <v>0</v>
      </c>
      <c r="W27" s="1281">
        <f t="shared" si="26"/>
        <v>1</v>
      </c>
      <c r="X27" s="1281">
        <f t="shared" si="26"/>
        <v>0</v>
      </c>
      <c r="Y27" s="1281">
        <f t="shared" si="26"/>
        <v>1</v>
      </c>
      <c r="Z27" s="1281">
        <f t="shared" si="26"/>
        <v>0</v>
      </c>
      <c r="AA27" s="1281">
        <f t="shared" si="26"/>
        <v>1</v>
      </c>
      <c r="AB27" s="1281">
        <f t="shared" si="26"/>
        <v>0</v>
      </c>
      <c r="AC27" s="1281">
        <f t="shared" si="26"/>
        <v>1</v>
      </c>
      <c r="AD27" s="1281">
        <f t="shared" ref="AD27:AW27" si="27">MOD(COLUMN(AD27),2)</f>
        <v>0</v>
      </c>
      <c r="AE27" s="1281">
        <f t="shared" si="27"/>
        <v>1</v>
      </c>
      <c r="AF27" s="1281">
        <f t="shared" si="27"/>
        <v>0</v>
      </c>
      <c r="AG27" s="1281">
        <f t="shared" si="27"/>
        <v>1</v>
      </c>
      <c r="AH27" s="1281">
        <f t="shared" si="27"/>
        <v>0</v>
      </c>
      <c r="AI27" s="1281">
        <f t="shared" si="27"/>
        <v>1</v>
      </c>
      <c r="AJ27" s="1281">
        <f t="shared" si="27"/>
        <v>0</v>
      </c>
      <c r="AK27" s="1281">
        <f t="shared" si="27"/>
        <v>1</v>
      </c>
      <c r="AL27" s="1281">
        <f t="shared" si="27"/>
        <v>0</v>
      </c>
      <c r="AM27" s="1281">
        <f t="shared" si="27"/>
        <v>1</v>
      </c>
      <c r="AN27" s="1281">
        <f t="shared" si="27"/>
        <v>0</v>
      </c>
      <c r="AO27" s="1281">
        <f t="shared" si="27"/>
        <v>1</v>
      </c>
      <c r="AP27" s="1281">
        <f t="shared" si="27"/>
        <v>0</v>
      </c>
      <c r="AQ27" s="1281">
        <f t="shared" si="27"/>
        <v>1</v>
      </c>
      <c r="AR27" s="1281">
        <f t="shared" si="27"/>
        <v>0</v>
      </c>
      <c r="AS27" s="1281">
        <f t="shared" si="27"/>
        <v>1</v>
      </c>
      <c r="AT27" s="1281">
        <f t="shared" si="27"/>
        <v>0</v>
      </c>
      <c r="AU27" s="1281">
        <f t="shared" si="27"/>
        <v>1</v>
      </c>
      <c r="AV27" s="1281">
        <f t="shared" si="27"/>
        <v>0</v>
      </c>
      <c r="AW27" s="1281">
        <f t="shared" si="27"/>
        <v>1</v>
      </c>
      <c r="AX27" s="1281">
        <f t="shared" ref="AX27:CR27" si="28">MOD(COLUMN(AX27),2)</f>
        <v>0</v>
      </c>
      <c r="AY27" s="1281">
        <f t="shared" si="28"/>
        <v>1</v>
      </c>
      <c r="AZ27" s="1281">
        <f t="shared" si="28"/>
        <v>0</v>
      </c>
      <c r="BA27" s="1281">
        <f t="shared" si="28"/>
        <v>1</v>
      </c>
      <c r="BB27" s="1281">
        <f t="shared" si="28"/>
        <v>0</v>
      </c>
      <c r="BC27" s="1281">
        <f t="shared" si="28"/>
        <v>1</v>
      </c>
      <c r="BD27" s="1281">
        <f t="shared" si="28"/>
        <v>0</v>
      </c>
      <c r="BE27" s="1281">
        <f t="shared" si="28"/>
        <v>1</v>
      </c>
      <c r="BF27" s="1281">
        <f t="shared" si="28"/>
        <v>0</v>
      </c>
      <c r="BG27" s="1281">
        <f t="shared" si="28"/>
        <v>1</v>
      </c>
      <c r="BH27" s="1281">
        <f t="shared" si="28"/>
        <v>0</v>
      </c>
      <c r="BI27" s="1281">
        <f t="shared" si="28"/>
        <v>1</v>
      </c>
      <c r="BJ27" s="1281">
        <f t="shared" si="28"/>
        <v>0</v>
      </c>
      <c r="BK27" s="1281">
        <f t="shared" si="28"/>
        <v>1</v>
      </c>
      <c r="BL27" s="1281">
        <f t="shared" si="28"/>
        <v>0</v>
      </c>
      <c r="BM27" s="1281">
        <f t="shared" si="28"/>
        <v>1</v>
      </c>
      <c r="BN27" s="1281">
        <f t="shared" si="28"/>
        <v>0</v>
      </c>
      <c r="BO27" s="1281">
        <f t="shared" si="28"/>
        <v>1</v>
      </c>
      <c r="BP27" s="1281">
        <f t="shared" si="28"/>
        <v>0</v>
      </c>
      <c r="BQ27" s="1281">
        <f t="shared" si="28"/>
        <v>1</v>
      </c>
      <c r="BR27" s="1281">
        <f t="shared" si="28"/>
        <v>0</v>
      </c>
      <c r="BS27" s="1281">
        <f t="shared" si="28"/>
        <v>1</v>
      </c>
      <c r="BT27" s="1281">
        <f t="shared" si="28"/>
        <v>0</v>
      </c>
      <c r="BU27" s="1281">
        <f t="shared" si="28"/>
        <v>1</v>
      </c>
      <c r="BV27" s="1281">
        <f t="shared" si="28"/>
        <v>0</v>
      </c>
      <c r="BW27" s="1281">
        <f t="shared" si="28"/>
        <v>1</v>
      </c>
      <c r="BX27" s="1281">
        <f t="shared" si="28"/>
        <v>0</v>
      </c>
      <c r="BY27" s="1281">
        <f t="shared" si="28"/>
        <v>1</v>
      </c>
      <c r="BZ27" s="1281">
        <f t="shared" si="28"/>
        <v>0</v>
      </c>
      <c r="CA27" s="1281">
        <f t="shared" si="28"/>
        <v>1</v>
      </c>
      <c r="CB27" s="1281">
        <f t="shared" si="28"/>
        <v>0</v>
      </c>
      <c r="CC27" s="1281">
        <f t="shared" si="28"/>
        <v>1</v>
      </c>
      <c r="CD27" s="1281">
        <f t="shared" si="28"/>
        <v>0</v>
      </c>
      <c r="CE27" s="1281">
        <f t="shared" si="28"/>
        <v>1</v>
      </c>
      <c r="CF27" s="1281">
        <f t="shared" si="28"/>
        <v>0</v>
      </c>
      <c r="CG27" s="1281">
        <f t="shared" si="28"/>
        <v>1</v>
      </c>
      <c r="CH27" s="1281">
        <f t="shared" si="28"/>
        <v>0</v>
      </c>
      <c r="CI27" s="1281">
        <f t="shared" si="28"/>
        <v>1</v>
      </c>
      <c r="CJ27" s="1281">
        <f t="shared" si="28"/>
        <v>0</v>
      </c>
      <c r="CK27" s="1281">
        <f t="shared" si="28"/>
        <v>1</v>
      </c>
      <c r="CL27" s="1281">
        <f t="shared" si="28"/>
        <v>0</v>
      </c>
      <c r="CM27" s="1281">
        <f t="shared" si="28"/>
        <v>1</v>
      </c>
      <c r="CN27" s="1281">
        <f t="shared" si="28"/>
        <v>0</v>
      </c>
      <c r="CO27" s="1281">
        <f t="shared" si="28"/>
        <v>1</v>
      </c>
      <c r="CP27" s="1281">
        <f t="shared" si="28"/>
        <v>0</v>
      </c>
      <c r="CQ27" s="1281">
        <f t="shared" si="28"/>
        <v>1</v>
      </c>
      <c r="CR27" s="1281">
        <f t="shared" si="28"/>
        <v>0</v>
      </c>
      <c r="CS27" s="2065"/>
      <c r="CT27" s="2059"/>
      <c r="CU27" s="1283"/>
      <c r="CV27" s="1282"/>
      <c r="CW27" s="2071"/>
      <c r="CX27" s="2071"/>
      <c r="CY27" s="2071"/>
      <c r="CZ27" s="2071"/>
      <c r="DA27" s="2074"/>
      <c r="DB27" s="2074"/>
      <c r="DC27" s="1284"/>
      <c r="DD27" s="911"/>
      <c r="DE27" s="856"/>
      <c r="DF27" s="1284"/>
      <c r="DG27" s="2075"/>
      <c r="DH27" s="856"/>
      <c r="DI27" s="1775"/>
      <c r="DJ27" s="856"/>
      <c r="DN27" s="910"/>
      <c r="DO27" s="910"/>
      <c r="DP27" s="910"/>
      <c r="DQ27" s="910"/>
      <c r="DR27" s="910"/>
      <c r="DS27" s="910"/>
      <c r="DT27" s="910"/>
      <c r="DU27" s="910"/>
      <c r="DV27" s="910"/>
      <c r="DW27" s="910"/>
      <c r="EW27" s="855"/>
      <c r="EX27" s="855"/>
      <c r="EY27" s="855"/>
      <c r="EZ27" s="855"/>
    </row>
    <row r="28" spans="3:156" s="2056" customFormat="1" ht="83.25" customHeight="1" x14ac:dyDescent="0.25">
      <c r="D28" s="1386" t="s">
        <v>1870</v>
      </c>
      <c r="E28" s="1386" t="s">
        <v>1865</v>
      </c>
      <c r="F28" s="1386" t="s">
        <v>1221</v>
      </c>
      <c r="G28" s="2041" t="s">
        <v>2448</v>
      </c>
      <c r="H28" s="2070" t="str">
        <f>CONCATENATE("Area",IF(SI_IP_Units="IP"," (sq ft)"," (sq m)"))</f>
        <v>Area (sq ft)</v>
      </c>
      <c r="I28" s="3557" t="s">
        <v>2449</v>
      </c>
      <c r="J28" s="3557"/>
      <c r="K28" s="3557"/>
      <c r="L28" s="3557"/>
      <c r="M28" s="3557"/>
      <c r="N28" s="3557"/>
      <c r="O28" s="3557"/>
      <c r="P28" s="3557"/>
      <c r="Q28" s="3557"/>
      <c r="R28" s="3557"/>
      <c r="S28" s="3557"/>
      <c r="T28" s="3557"/>
      <c r="U28" s="3557"/>
      <c r="V28" s="3557"/>
      <c r="W28" s="3557"/>
      <c r="X28" s="3557"/>
      <c r="Y28" s="3557"/>
      <c r="Z28" s="3557"/>
      <c r="AA28" s="3557"/>
      <c r="AB28" s="3557"/>
      <c r="AC28" s="3557"/>
      <c r="AD28" s="3557"/>
      <c r="AE28" s="3557"/>
      <c r="AF28" s="3557"/>
      <c r="AG28" s="3557"/>
      <c r="AH28" s="3557"/>
      <c r="AI28" s="3557"/>
      <c r="AJ28" s="3557"/>
      <c r="AK28" s="3557"/>
      <c r="AL28" s="3557"/>
      <c r="AM28" s="3557"/>
      <c r="AN28" s="3557"/>
      <c r="AO28" s="3557"/>
      <c r="AP28" s="3557"/>
      <c r="AQ28" s="3557"/>
      <c r="AR28" s="3557"/>
      <c r="AS28" s="3557"/>
      <c r="AT28" s="3557"/>
      <c r="AU28" s="3557"/>
      <c r="AV28" s="3557"/>
      <c r="AW28" s="3557"/>
      <c r="AX28" s="3557"/>
      <c r="AY28" s="3557"/>
      <c r="AZ28" s="3557"/>
      <c r="BA28" s="3557"/>
      <c r="BB28" s="3557"/>
      <c r="BC28" s="3557"/>
      <c r="BD28" s="3557"/>
      <c r="BE28" s="3557"/>
      <c r="BF28" s="3557"/>
      <c r="BG28" s="3557"/>
      <c r="BH28" s="3557"/>
      <c r="BI28" s="3557"/>
      <c r="BJ28" s="3557"/>
      <c r="BK28" s="3557"/>
      <c r="BL28" s="3557"/>
      <c r="BM28" s="3557"/>
      <c r="BN28" s="3557"/>
      <c r="BO28" s="3557"/>
      <c r="BP28" s="3557"/>
      <c r="BQ28" s="3557"/>
      <c r="BR28" s="3557"/>
      <c r="BS28" s="3557"/>
      <c r="BT28" s="3557"/>
      <c r="BU28" s="3557"/>
      <c r="BV28" s="3557"/>
      <c r="BW28" s="3557"/>
      <c r="BX28" s="3557"/>
      <c r="BY28" s="3557"/>
      <c r="BZ28" s="3557"/>
      <c r="CA28" s="3557"/>
      <c r="CB28" s="3557"/>
      <c r="CC28" s="3557"/>
      <c r="CD28" s="3557"/>
      <c r="CE28" s="3557"/>
      <c r="CF28" s="3557"/>
      <c r="CG28" s="3557"/>
      <c r="CH28" s="3557"/>
      <c r="CI28" s="3557"/>
      <c r="CJ28" s="3557"/>
      <c r="CK28" s="3557"/>
      <c r="CL28" s="3557"/>
      <c r="CM28" s="3557"/>
      <c r="CN28" s="3557"/>
      <c r="CO28" s="3557"/>
      <c r="CP28" s="3557"/>
      <c r="CQ28" s="3557"/>
      <c r="CR28" s="3557"/>
      <c r="CS28" s="2066" t="s">
        <v>1871</v>
      </c>
      <c r="CT28" s="2041" t="s">
        <v>1901</v>
      </c>
      <c r="CU28" s="1387" t="s">
        <v>2806</v>
      </c>
      <c r="CV28" s="1387" t="s">
        <v>2692</v>
      </c>
      <c r="CW28" s="2066" t="s">
        <v>1872</v>
      </c>
      <c r="CX28" s="2066" t="str">
        <f>CONCATENATE("Area where prop. lighting is not specified",IF(SI_IP_Units="IP"," (sq ft)"," (sq m)"))</f>
        <v>Area where prop. lighting is not specified (sq ft)</v>
      </c>
      <c r="CY28" s="2066" t="s">
        <v>3456</v>
      </c>
      <c r="CZ28" s="2070" t="s">
        <v>1873</v>
      </c>
      <c r="DA28" s="2070" t="s">
        <v>1875</v>
      </c>
      <c r="DB28" s="2070" t="s">
        <v>2879</v>
      </c>
      <c r="DC28" s="1388" t="str">
        <f>CONCATENATE("Prop. LPD",IF(SI_IP_Units="IP"," (W/sq ft)"," (W/sq m)"))</f>
        <v>Prop. LPD (W/sq ft)</v>
      </c>
      <c r="DD28" s="2041" t="str">
        <f>CONCATENATE("Baseline LPD",IF(SI_IP_Units="IP"," (W/sq ft)"," (W/sq m)"))</f>
        <v>Baseline LPD (W/sq ft)</v>
      </c>
      <c r="DE28" s="1386" t="str">
        <f>CONCATENATE("Unregulated Lighting LPD (Baseline and Proposed)",IF(SI_IP_Units="IP"," (W/sq ft)"," (W/sq m)"))</f>
        <v>Unregulated Lighting LPD (Baseline and Proposed) (W/sq ft)</v>
      </c>
      <c r="DF28" s="1386" t="str">
        <f>CONCATENATE("Prop. LPD x OS Credit",IF(SI_IP_Units="IP"," (W/sq ft)"," (W/sq m)"))</f>
        <v>Prop. LPD x OS Credit (W/sq ft)</v>
      </c>
      <c r="DG28" s="2070" t="s">
        <v>2805</v>
      </c>
      <c r="DH28" s="1388" t="s">
        <v>1874</v>
      </c>
      <c r="DI28" s="1386" t="s">
        <v>1876</v>
      </c>
      <c r="DJ28" s="1386" t="s">
        <v>1877</v>
      </c>
      <c r="DN28" s="912" t="s">
        <v>2211</v>
      </c>
      <c r="DO28" s="912" t="s">
        <v>1963</v>
      </c>
      <c r="DP28" s="912" t="s">
        <v>1964</v>
      </c>
      <c r="DQ28" s="912" t="s">
        <v>2094</v>
      </c>
      <c r="DR28" s="912" t="s">
        <v>1965</v>
      </c>
      <c r="DS28" s="912" t="s">
        <v>3453</v>
      </c>
      <c r="DT28" s="912" t="str">
        <f>CONCATENATE("Baseline LPD",IF(SI_IP_Units="IP"," (W/sq ft)"," (W/sq m)"))</f>
        <v>Baseline LPD (W/sq ft)</v>
      </c>
      <c r="DU28" s="912" t="str">
        <f>CONCATENATE("Baseline LPD Space by Space ",IF(SI_IP_Units="IP"," (W/sq ft)"," (W/sq m)"))</f>
        <v>Baseline LPD Space by Space  (W/sq ft)</v>
      </c>
      <c r="DV28" s="912" t="str">
        <f>CONCATENATE("Baseline LPD BAM - Unfinished ",IF(SI_IP_Units="IP"," (W/sq ft)"," (W/sq m)"))</f>
        <v>Baseline LPD BAM - Unfinished  (W/sq ft)</v>
      </c>
      <c r="DW28" s="912" t="str">
        <f>CONCATENATE("Proposed LPD BAM - Unfinished",IF(bpf_reference="ACP"," 2010"," 2016"),IF(SI_IP_Units="IP"," (W/sq ft)"," (W/sq m)"))</f>
        <v>Proposed LPD BAM - Unfinished 2016 (W/sq ft)</v>
      </c>
    </row>
    <row r="29" spans="3:156" x14ac:dyDescent="0.25">
      <c r="D29" s="3019"/>
      <c r="E29" s="3020"/>
      <c r="F29" s="3021">
        <f t="shared" ref="F29:F38" si="29">IF(ISBLANK(D29)=FALSE,1,0)</f>
        <v>0</v>
      </c>
      <c r="G29" s="3059"/>
      <c r="H29" s="3060"/>
      <c r="I29" s="3061"/>
      <c r="J29" s="3061"/>
      <c r="K29" s="3061"/>
      <c r="L29" s="3061"/>
      <c r="M29" s="3061"/>
      <c r="N29" s="3061"/>
      <c r="O29" s="3061"/>
      <c r="P29" s="3061"/>
      <c r="Q29" s="3061"/>
      <c r="R29" s="3061"/>
      <c r="S29" s="3061"/>
      <c r="T29" s="3061"/>
      <c r="U29" s="3061"/>
      <c r="V29" s="3061"/>
      <c r="W29" s="3061"/>
      <c r="X29" s="3061"/>
      <c r="Y29" s="3061"/>
      <c r="Z29" s="3061"/>
      <c r="AA29" s="3061"/>
      <c r="AB29" s="3061"/>
      <c r="AC29" s="3061"/>
      <c r="AD29" s="3061"/>
      <c r="AE29" s="3061"/>
      <c r="AF29" s="3061"/>
      <c r="AG29" s="3061"/>
      <c r="AH29" s="3061"/>
      <c r="AI29" s="3061"/>
      <c r="AJ29" s="3061"/>
      <c r="AK29" s="3061"/>
      <c r="AL29" s="3061"/>
      <c r="AM29" s="3061"/>
      <c r="AN29" s="3061"/>
      <c r="AO29" s="3061"/>
      <c r="AP29" s="3061"/>
      <c r="AQ29" s="3061"/>
      <c r="AR29" s="3061"/>
      <c r="AS29" s="3061"/>
      <c r="AT29" s="3061"/>
      <c r="AU29" s="3061"/>
      <c r="AV29" s="3061"/>
      <c r="AW29" s="3061"/>
      <c r="AX29" s="3061"/>
      <c r="AY29" s="3061"/>
      <c r="AZ29" s="3061"/>
      <c r="BA29" s="3061"/>
      <c r="BB29" s="3061"/>
      <c r="BC29" s="3061"/>
      <c r="BD29" s="3061"/>
      <c r="BE29" s="3061"/>
      <c r="BF29" s="3061"/>
      <c r="BG29" s="3061"/>
      <c r="BH29" s="3061"/>
      <c r="BI29" s="3061"/>
      <c r="BJ29" s="3061"/>
      <c r="BK29" s="3061"/>
      <c r="BL29" s="3061"/>
      <c r="BM29" s="3061"/>
      <c r="BN29" s="3061"/>
      <c r="BO29" s="3061"/>
      <c r="BP29" s="3061"/>
      <c r="BQ29" s="3061"/>
      <c r="BR29" s="3061"/>
      <c r="BS29" s="3061"/>
      <c r="BT29" s="3061"/>
      <c r="BU29" s="3061"/>
      <c r="BV29" s="3061"/>
      <c r="BW29" s="3061"/>
      <c r="BX29" s="3061"/>
      <c r="BY29" s="3061"/>
      <c r="BZ29" s="3061"/>
      <c r="CA29" s="3061"/>
      <c r="CB29" s="3061"/>
      <c r="CC29" s="3061"/>
      <c r="CD29" s="3061"/>
      <c r="CE29" s="3061"/>
      <c r="CF29" s="3061"/>
      <c r="CG29" s="3061"/>
      <c r="CH29" s="3061"/>
      <c r="CI29" s="3061"/>
      <c r="CJ29" s="3061"/>
      <c r="CK29" s="3061"/>
      <c r="CL29" s="3061"/>
      <c r="CM29" s="3061"/>
      <c r="CN29" s="3061"/>
      <c r="CO29" s="3061"/>
      <c r="CP29" s="3061"/>
      <c r="CQ29" s="3061"/>
      <c r="CR29" s="3061"/>
      <c r="CS29" s="3062"/>
      <c r="CT29" s="3063"/>
      <c r="CU29" s="3064">
        <f>IF(OR(CT29="Manual-On Individual Workstation",CT29="Partial-Auto-On Individual Workstation",CT29="Other Individual Workstation"),1.3,1)</f>
        <v>1</v>
      </c>
      <c r="CV29" s="3022" t="str">
        <f>IF(OR(CT29="",CT29="None"),"-",DO29*CU29*SUMIF('Lighting Assumptions'!$G$3:$G$112,'6a - Lighting Counts'!G29,'Lighting Assumptions'!$J$3:$J$112))</f>
        <v>-</v>
      </c>
      <c r="CW29" s="3021"/>
      <c r="CX29" s="3021"/>
      <c r="CY29" s="3046"/>
      <c r="CZ29" s="2098">
        <f>IFERROR(SUMPRODUCT(I29:CR29,$I$23:$CR$23),0)+IFERROR(DW29*CX29,0)</f>
        <v>0</v>
      </c>
      <c r="DA29" s="2098" t="str">
        <f t="shared" ref="DA29" si="30">IF(DD29="","-",IF(H29="",0,DD29*H29))</f>
        <v>-</v>
      </c>
      <c r="DB29" s="2098">
        <f>SUMPRODUCT(I29:CR29,$I$24:$CR$24)</f>
        <v>0</v>
      </c>
      <c r="DC29" s="3023" t="str">
        <f t="shared" ref="DC29" si="31">IF(ISBLANK(H29)=FALSE,CZ29/H29,"-")</f>
        <v>-</v>
      </c>
      <c r="DD29" s="3024" t="str">
        <f>IFERROR(DS29/H29,"")</f>
        <v/>
      </c>
      <c r="DE29" s="3025" t="str">
        <f>IF(ISBLANK(H29)=FALSE,DB29/H29,"-")</f>
        <v>-</v>
      </c>
      <c r="DF29" s="3024" t="str">
        <f t="shared" ref="DF29:DF92" si="32">IF(ISBLANK(H29)=FALSE,(CZ29-IF(ISNUMBER(CV29)=TRUE,CV29,0)*CS29)/H29,"-")</f>
        <v>-</v>
      </c>
      <c r="DG29" s="2098">
        <f>IFERROR(DF29*H29,0)</f>
        <v>0</v>
      </c>
      <c r="DH29" s="2098">
        <f t="array" ref="DH29">MIN(SUMPRODUCT(I29:CR29,IF($I$25:$CR$25="yes",1,0),$I$23:$CR$23),H29)</f>
        <v>0</v>
      </c>
      <c r="DI29" s="3026"/>
      <c r="DJ29" s="3021"/>
      <c r="DN29" s="3047" t="str">
        <f>IF(CS29="","-",SUMIF('Lighting Assumptions'!$G$3:$G$112,'6a - Lighting Counts'!G29,'Lighting Assumptions'!$J$3:$J$112))</f>
        <v>-</v>
      </c>
      <c r="DO29" s="3047" t="str">
        <f t="shared" ref="DO29:DO92" si="33">IF(CT29="","-",IF(CT29="Other",1,1.25))</f>
        <v>-</v>
      </c>
      <c r="DP29" s="3047" t="str">
        <f t="shared" ref="DP29:DP92" si="34">IF(DO29="-","-",DO29*CV29)</f>
        <v>-</v>
      </c>
      <c r="DQ29" s="3047" t="str">
        <f>IF(LEFT(CELLformula(DF29),3)&lt;&gt;"=IF",1,"")</f>
        <v/>
      </c>
      <c r="DR29" s="3047" t="str">
        <f>IF(LEFT(CELLformula(DD29),3)&lt;&gt;"=IF",1,"")</f>
        <v/>
      </c>
      <c r="DS29" s="3048">
        <f>IFERROR(DU29*MAX(H29-CX29,0),0)+(IFERROR(DV29*MAX(0,CX29),0))</f>
        <v>0</v>
      </c>
      <c r="DT29" s="3047" t="str">
        <f>IFERROR(DS29/H29,"")</f>
        <v/>
      </c>
      <c r="DU29" s="3047" t="str">
        <f>IFERROR(IF(G29="","",SUMIF('Lighting Assumptions'!$G$3:$G$112,'6a - Lighting Counts'!G29,'Lighting Assumptions'!$H$3:$H$112)*IF(SI_IP_Units="SI",10.76,1)),"")</f>
        <v/>
      </c>
      <c r="DV29" s="3047" t="str">
        <f>IFERROR(IF($CX29="","",IF(SI_IP_Units="SI",10.76,1)*SUMIF(BAMCategories,$CY29,'Lighting Assumptions'!$E$3:E$35)),"")</f>
        <v/>
      </c>
      <c r="DW29" s="3047" t="str">
        <f>IFERROR(IF($CX29="","",IF(SI_IP_Units="SI",10.76,1)*SUMIF(BAMCategories,$CY29,IF(bpf_reference="ACP",'Lighting Assumptions 90.1-2010'!$E$3:E$35,'Lighting Assumptions 90.1-2016'!$E$3:E$35))),"")</f>
        <v/>
      </c>
      <c r="EW29" s="855"/>
      <c r="EX29" s="855"/>
      <c r="EY29" s="855"/>
      <c r="EZ29" s="855"/>
    </row>
    <row r="30" spans="3:156" x14ac:dyDescent="0.25">
      <c r="D30" s="3019"/>
      <c r="E30" s="3020"/>
      <c r="F30" s="3021">
        <f t="shared" si="29"/>
        <v>0</v>
      </c>
      <c r="G30" s="3059"/>
      <c r="H30" s="3060"/>
      <c r="I30" s="3061"/>
      <c r="J30" s="3061"/>
      <c r="K30" s="3061"/>
      <c r="L30" s="3061"/>
      <c r="M30" s="3061"/>
      <c r="N30" s="3061"/>
      <c r="O30" s="3061"/>
      <c r="P30" s="3061"/>
      <c r="Q30" s="3061"/>
      <c r="R30" s="3061"/>
      <c r="S30" s="3061"/>
      <c r="T30" s="3061"/>
      <c r="U30" s="3061"/>
      <c r="V30" s="3061"/>
      <c r="W30" s="3061"/>
      <c r="X30" s="3061"/>
      <c r="Y30" s="3061"/>
      <c r="Z30" s="3061"/>
      <c r="AA30" s="3061"/>
      <c r="AB30" s="3061"/>
      <c r="AC30" s="3061"/>
      <c r="AD30" s="3061"/>
      <c r="AE30" s="3061"/>
      <c r="AF30" s="3061"/>
      <c r="AG30" s="3061"/>
      <c r="AH30" s="3061"/>
      <c r="AI30" s="3061"/>
      <c r="AJ30" s="3061"/>
      <c r="AK30" s="3061"/>
      <c r="AL30" s="3061"/>
      <c r="AM30" s="3061"/>
      <c r="AN30" s="3061"/>
      <c r="AO30" s="3061"/>
      <c r="AP30" s="3061"/>
      <c r="AQ30" s="3061"/>
      <c r="AR30" s="3061"/>
      <c r="AS30" s="3061"/>
      <c r="AT30" s="3061"/>
      <c r="AU30" s="3061"/>
      <c r="AV30" s="3061"/>
      <c r="AW30" s="3061"/>
      <c r="AX30" s="3061"/>
      <c r="AY30" s="3061"/>
      <c r="AZ30" s="3061"/>
      <c r="BA30" s="3061"/>
      <c r="BB30" s="3061"/>
      <c r="BC30" s="3061"/>
      <c r="BD30" s="3061"/>
      <c r="BE30" s="3061"/>
      <c r="BF30" s="3061"/>
      <c r="BG30" s="3061"/>
      <c r="BH30" s="3061"/>
      <c r="BI30" s="3061"/>
      <c r="BJ30" s="3061"/>
      <c r="BK30" s="3061"/>
      <c r="BL30" s="3061"/>
      <c r="BM30" s="3061"/>
      <c r="BN30" s="3061"/>
      <c r="BO30" s="3061"/>
      <c r="BP30" s="3061"/>
      <c r="BQ30" s="3061"/>
      <c r="BR30" s="3061"/>
      <c r="BS30" s="3061"/>
      <c r="BT30" s="3061"/>
      <c r="BU30" s="3061"/>
      <c r="BV30" s="3061"/>
      <c r="BW30" s="3061"/>
      <c r="BX30" s="3061"/>
      <c r="BY30" s="3061"/>
      <c r="BZ30" s="3061"/>
      <c r="CA30" s="3061"/>
      <c r="CB30" s="3061"/>
      <c r="CC30" s="3061"/>
      <c r="CD30" s="3061"/>
      <c r="CE30" s="3061"/>
      <c r="CF30" s="3061"/>
      <c r="CG30" s="3061"/>
      <c r="CH30" s="3061"/>
      <c r="CI30" s="3061"/>
      <c r="CJ30" s="3061"/>
      <c r="CK30" s="3061"/>
      <c r="CL30" s="3061"/>
      <c r="CM30" s="3061"/>
      <c r="CN30" s="3061"/>
      <c r="CO30" s="3061"/>
      <c r="CP30" s="3061"/>
      <c r="CQ30" s="3061"/>
      <c r="CR30" s="3061"/>
      <c r="CS30" s="3062"/>
      <c r="CT30" s="3063"/>
      <c r="CU30" s="3064">
        <f t="shared" ref="CU30:CU93" si="35">IF(OR(CT30="Manual-On Individual Workstation",CT30="Partial-Auto-On Individual Workstation",CT30="Other Individual Workstation"),1.3,1)</f>
        <v>1</v>
      </c>
      <c r="CV30" s="3022" t="str">
        <f>IF(OR(CT30="",CT30="None"),"-",DO30*CU30*SUMIF('Lighting Assumptions'!$G$3:$G$112,'6a - Lighting Counts'!G30,'Lighting Assumptions'!$J$3:$J$112))</f>
        <v>-</v>
      </c>
      <c r="CW30" s="3021"/>
      <c r="CX30" s="3021"/>
      <c r="CY30" s="3046"/>
      <c r="CZ30" s="2098">
        <f t="shared" ref="CZ30:CZ93" si="36">IFERROR(SUMPRODUCT(I30:CR30,$I$23:$CR$23),0)+IFERROR(DW30*CX30,0)</f>
        <v>0</v>
      </c>
      <c r="DA30" s="2098" t="str">
        <f t="shared" ref="DA30:DA93" si="37">IF(DD30="","-",IF(H30="",0,DD30*H30))</f>
        <v>-</v>
      </c>
      <c r="DB30" s="2098">
        <f t="shared" ref="DB30:DB93" si="38">SUMPRODUCT(I30:CR30,$I$24:$CR$24)</f>
        <v>0</v>
      </c>
      <c r="DC30" s="3023" t="str">
        <f t="shared" ref="DC30:DC93" si="39">IF(ISBLANK(H30)=FALSE,CZ30/H30,"-")</f>
        <v>-</v>
      </c>
      <c r="DD30" s="3024" t="str">
        <f t="shared" ref="DD30:DD93" si="40">IFERROR(DS30/H30,"")</f>
        <v/>
      </c>
      <c r="DE30" s="3025" t="str">
        <f t="shared" ref="DE30:DE93" si="41">IF(ISBLANK(H30)=FALSE,DB30/H30,"-")</f>
        <v>-</v>
      </c>
      <c r="DF30" s="3024" t="str">
        <f t="shared" si="32"/>
        <v>-</v>
      </c>
      <c r="DG30" s="2098">
        <f t="shared" ref="DG30:DG93" si="42">IFERROR(DF30*H30,0)</f>
        <v>0</v>
      </c>
      <c r="DH30" s="2098">
        <f t="array" ref="DH30">MIN(SUMPRODUCT(I30:CR30,IF($I$25:$CR$25="yes",1,0),$I$23:$CR$23),H30)</f>
        <v>0</v>
      </c>
      <c r="DI30" s="3026"/>
      <c r="DJ30" s="3021"/>
      <c r="DN30" s="3047" t="str">
        <f>IF(CS30="","-",SUMIF('Lighting Assumptions'!$G$3:$G$112,'6a - Lighting Counts'!G30,'Lighting Assumptions'!$J$3:$J$112))</f>
        <v>-</v>
      </c>
      <c r="DO30" s="3047" t="str">
        <f t="shared" si="33"/>
        <v>-</v>
      </c>
      <c r="DP30" s="3047" t="str">
        <f t="shared" si="34"/>
        <v>-</v>
      </c>
      <c r="DQ30" s="3047" t="str">
        <f>IF(LEFT(CELLformula(DF30),3)&lt;&gt;"=IF",1,"")</f>
        <v/>
      </c>
      <c r="DR30" s="3047" t="str">
        <f>IF(LEFT(CELLformula(DD30),3)&lt;&gt;"=IF",1,"")</f>
        <v/>
      </c>
      <c r="DS30" s="3048">
        <f t="shared" ref="DS30:DS93" si="43">IFERROR(DU30*MAX(H30-CX30,0),0)+(IFERROR(DV30*MAX(0,CX30),0))</f>
        <v>0</v>
      </c>
      <c r="DT30" s="3047" t="str">
        <f t="shared" ref="DT30:DT93" si="44">IFERROR(DS30/H30,"")</f>
        <v/>
      </c>
      <c r="DU30" s="3047" t="str">
        <f>IFERROR(IF(G30="","",SUMIF('Lighting Assumptions'!$G$3:$G$112,'6a - Lighting Counts'!G30,'Lighting Assumptions'!$H$3:$H$112)*IF(SI_IP_Units="SI",10.76,1)),"")</f>
        <v/>
      </c>
      <c r="DV30" s="3047" t="str">
        <f>IFERROR(IF($CX30="","",IF(SI_IP_Units="SI",10.76,1)*SUMIF(BAMCategories,$CY30,'Lighting Assumptions'!$E$3:E$35)),"")</f>
        <v/>
      </c>
      <c r="DW30" s="3047" t="str">
        <f>IFERROR(IF($CX30="","",IF(SI_IP_Units="SI",10.76,1)*SUMIF(BAMCategories,$CY30,IF(bpf_reference="ACP",'Lighting Assumptions 90.1-2010'!$E$3:E$35,'Lighting Assumptions 90.1-2016'!$E$3:E$35))),"")</f>
        <v/>
      </c>
      <c r="EW30" s="855"/>
      <c r="EX30" s="855"/>
      <c r="EY30" s="855"/>
      <c r="EZ30" s="855"/>
    </row>
    <row r="31" spans="3:156" x14ac:dyDescent="0.25">
      <c r="D31" s="3019"/>
      <c r="E31" s="3020"/>
      <c r="F31" s="3021">
        <f t="shared" si="29"/>
        <v>0</v>
      </c>
      <c r="G31" s="3059"/>
      <c r="H31" s="3060"/>
      <c r="I31" s="3061"/>
      <c r="J31" s="3061"/>
      <c r="K31" s="3061"/>
      <c r="L31" s="3061"/>
      <c r="M31" s="3061"/>
      <c r="N31" s="3061"/>
      <c r="O31" s="3061"/>
      <c r="P31" s="3061"/>
      <c r="Q31" s="3061"/>
      <c r="R31" s="3061"/>
      <c r="S31" s="3061"/>
      <c r="T31" s="3061"/>
      <c r="U31" s="3061"/>
      <c r="V31" s="3061"/>
      <c r="W31" s="3061"/>
      <c r="X31" s="3061"/>
      <c r="Y31" s="3061"/>
      <c r="Z31" s="3061"/>
      <c r="AA31" s="3061"/>
      <c r="AB31" s="3061"/>
      <c r="AC31" s="3061"/>
      <c r="AD31" s="3061"/>
      <c r="AE31" s="3061"/>
      <c r="AF31" s="3061"/>
      <c r="AG31" s="3061"/>
      <c r="AH31" s="3061"/>
      <c r="AI31" s="3061"/>
      <c r="AJ31" s="3061"/>
      <c r="AK31" s="3061"/>
      <c r="AL31" s="3061"/>
      <c r="AM31" s="3061"/>
      <c r="AN31" s="3061"/>
      <c r="AO31" s="3061"/>
      <c r="AP31" s="3061"/>
      <c r="AQ31" s="3061"/>
      <c r="AR31" s="3061"/>
      <c r="AS31" s="3061"/>
      <c r="AT31" s="3061"/>
      <c r="AU31" s="3061"/>
      <c r="AV31" s="3061"/>
      <c r="AW31" s="3061"/>
      <c r="AX31" s="3061"/>
      <c r="AY31" s="3061"/>
      <c r="AZ31" s="3061"/>
      <c r="BA31" s="3061"/>
      <c r="BB31" s="3061"/>
      <c r="BC31" s="3061"/>
      <c r="BD31" s="3061"/>
      <c r="BE31" s="3061"/>
      <c r="BF31" s="3061"/>
      <c r="BG31" s="3061"/>
      <c r="BH31" s="3061"/>
      <c r="BI31" s="3061"/>
      <c r="BJ31" s="3061"/>
      <c r="BK31" s="3061"/>
      <c r="BL31" s="3061"/>
      <c r="BM31" s="3061"/>
      <c r="BN31" s="3061"/>
      <c r="BO31" s="3061"/>
      <c r="BP31" s="3061"/>
      <c r="BQ31" s="3061"/>
      <c r="BR31" s="3061"/>
      <c r="BS31" s="3061"/>
      <c r="BT31" s="3061"/>
      <c r="BU31" s="3061"/>
      <c r="BV31" s="3061"/>
      <c r="BW31" s="3061"/>
      <c r="BX31" s="3061"/>
      <c r="BY31" s="3061"/>
      <c r="BZ31" s="3061"/>
      <c r="CA31" s="3061"/>
      <c r="CB31" s="3061"/>
      <c r="CC31" s="3061"/>
      <c r="CD31" s="3061"/>
      <c r="CE31" s="3061"/>
      <c r="CF31" s="3061"/>
      <c r="CG31" s="3061"/>
      <c r="CH31" s="3061"/>
      <c r="CI31" s="3061"/>
      <c r="CJ31" s="3061"/>
      <c r="CK31" s="3061"/>
      <c r="CL31" s="3061"/>
      <c r="CM31" s="3061"/>
      <c r="CN31" s="3061"/>
      <c r="CO31" s="3061"/>
      <c r="CP31" s="3061"/>
      <c r="CQ31" s="3061"/>
      <c r="CR31" s="3061"/>
      <c r="CS31" s="3062"/>
      <c r="CT31" s="3063"/>
      <c r="CU31" s="3064">
        <f t="shared" si="35"/>
        <v>1</v>
      </c>
      <c r="CV31" s="3022" t="str">
        <f>IF(OR(CT31="",CT31="None"),"-",DO31*CU31*SUMIF('Lighting Assumptions'!$G$3:$G$112,'6a - Lighting Counts'!G31,'Lighting Assumptions'!$J$3:$J$112))</f>
        <v>-</v>
      </c>
      <c r="CW31" s="3021"/>
      <c r="CX31" s="3021"/>
      <c r="CY31" s="3046"/>
      <c r="CZ31" s="2098">
        <f t="shared" si="36"/>
        <v>0</v>
      </c>
      <c r="DA31" s="2098" t="str">
        <f t="shared" si="37"/>
        <v>-</v>
      </c>
      <c r="DB31" s="2098">
        <f t="shared" si="38"/>
        <v>0</v>
      </c>
      <c r="DC31" s="3023" t="str">
        <f t="shared" si="39"/>
        <v>-</v>
      </c>
      <c r="DD31" s="3024" t="str">
        <f t="shared" si="40"/>
        <v/>
      </c>
      <c r="DE31" s="3025" t="str">
        <f t="shared" si="41"/>
        <v>-</v>
      </c>
      <c r="DF31" s="3024" t="str">
        <f t="shared" si="32"/>
        <v>-</v>
      </c>
      <c r="DG31" s="2098">
        <f t="shared" si="42"/>
        <v>0</v>
      </c>
      <c r="DH31" s="2098">
        <f t="array" ref="DH31">MIN(SUMPRODUCT(I31:CR31,IF($I$25:$CR$25="yes",1,0),$I$23:$CR$23),H31)</f>
        <v>0</v>
      </c>
      <c r="DI31" s="3026"/>
      <c r="DJ31" s="3021"/>
      <c r="DN31" s="917" t="str">
        <f>IF(CS31="","-",SUMIF('Lighting Assumptions'!$G$3:$G$112,'6a - Lighting Counts'!G31,'Lighting Assumptions'!$J$3:$J$112))</f>
        <v>-</v>
      </c>
      <c r="DO31" s="917" t="str">
        <f t="shared" si="33"/>
        <v>-</v>
      </c>
      <c r="DP31" s="917" t="str">
        <f t="shared" si="34"/>
        <v>-</v>
      </c>
      <c r="DQ31" s="917" t="str">
        <f>IF(LEFT(CELLformula(DF31),3)&lt;&gt;"=IF",1,"")</f>
        <v/>
      </c>
      <c r="DR31" s="917" t="str">
        <f>IF(LEFT(CELLformula(DD31),3)&lt;&gt;"=IF",1,"")</f>
        <v/>
      </c>
      <c r="DS31" s="3048">
        <f t="shared" si="43"/>
        <v>0</v>
      </c>
      <c r="DT31" s="3047" t="str">
        <f t="shared" si="44"/>
        <v/>
      </c>
      <c r="DU31" s="3047" t="str">
        <f>IFERROR(IF(G31="","",SUMIF('Lighting Assumptions'!$G$3:$G$112,'6a - Lighting Counts'!G31,'Lighting Assumptions'!$H$3:$H$112)*IF(SI_IP_Units="SI",10.76,1)),"")</f>
        <v/>
      </c>
      <c r="DV31" s="3047" t="str">
        <f>IFERROR(IF($CX31="","",IF(SI_IP_Units="SI",10.76,1)*SUMIF(BAMCategories,$CY31,'Lighting Assumptions'!$E$3:E$35)),"")</f>
        <v/>
      </c>
      <c r="DW31" s="3047" t="str">
        <f>IFERROR(IF($CX31="","",IF(SI_IP_Units="SI",10.76,1)*SUMIF(BAMCategories,$CY31,IF(bpf_reference="ACP",'Lighting Assumptions 90.1-2010'!$E$3:E$35,'Lighting Assumptions 90.1-2016'!$E$3:E$35))),"")</f>
        <v/>
      </c>
      <c r="EW31" s="855"/>
      <c r="EX31" s="855"/>
      <c r="EY31" s="855"/>
      <c r="EZ31" s="855"/>
    </row>
    <row r="32" spans="3:156" x14ac:dyDescent="0.25">
      <c r="D32" s="3019"/>
      <c r="E32" s="3020"/>
      <c r="F32" s="3021">
        <f t="shared" si="29"/>
        <v>0</v>
      </c>
      <c r="G32" s="3059"/>
      <c r="H32" s="3060"/>
      <c r="I32" s="3061"/>
      <c r="J32" s="3061"/>
      <c r="K32" s="3061"/>
      <c r="L32" s="3061"/>
      <c r="M32" s="3061"/>
      <c r="N32" s="3061"/>
      <c r="O32" s="3061"/>
      <c r="P32" s="3061"/>
      <c r="Q32" s="3061"/>
      <c r="R32" s="3061"/>
      <c r="S32" s="3061"/>
      <c r="T32" s="3061"/>
      <c r="U32" s="3061"/>
      <c r="V32" s="3061"/>
      <c r="W32" s="3061"/>
      <c r="X32" s="3061"/>
      <c r="Y32" s="3061"/>
      <c r="Z32" s="3061"/>
      <c r="AA32" s="3061"/>
      <c r="AB32" s="3061"/>
      <c r="AC32" s="3061"/>
      <c r="AD32" s="3061"/>
      <c r="AE32" s="3061"/>
      <c r="AF32" s="3061"/>
      <c r="AG32" s="3061"/>
      <c r="AH32" s="3061"/>
      <c r="AI32" s="3061"/>
      <c r="AJ32" s="3061"/>
      <c r="AK32" s="3061"/>
      <c r="AL32" s="3061"/>
      <c r="AM32" s="3061"/>
      <c r="AN32" s="3061"/>
      <c r="AO32" s="3061"/>
      <c r="AP32" s="3061"/>
      <c r="AQ32" s="3061"/>
      <c r="AR32" s="3061"/>
      <c r="AS32" s="3061"/>
      <c r="AT32" s="3061"/>
      <c r="AU32" s="3061"/>
      <c r="AV32" s="3061"/>
      <c r="AW32" s="3061"/>
      <c r="AX32" s="3061"/>
      <c r="AY32" s="3061"/>
      <c r="AZ32" s="3061"/>
      <c r="BA32" s="3061"/>
      <c r="BB32" s="3061"/>
      <c r="BC32" s="3061"/>
      <c r="BD32" s="3061"/>
      <c r="BE32" s="3061"/>
      <c r="BF32" s="3061"/>
      <c r="BG32" s="3061"/>
      <c r="BH32" s="3061"/>
      <c r="BI32" s="3061"/>
      <c r="BJ32" s="3061"/>
      <c r="BK32" s="3061"/>
      <c r="BL32" s="3061"/>
      <c r="BM32" s="3061"/>
      <c r="BN32" s="3061"/>
      <c r="BO32" s="3061"/>
      <c r="BP32" s="3061"/>
      <c r="BQ32" s="3061"/>
      <c r="BR32" s="3061"/>
      <c r="BS32" s="3061"/>
      <c r="BT32" s="3061"/>
      <c r="BU32" s="3061"/>
      <c r="BV32" s="3061"/>
      <c r="BW32" s="3061"/>
      <c r="BX32" s="3061"/>
      <c r="BY32" s="3061"/>
      <c r="BZ32" s="3061"/>
      <c r="CA32" s="3061"/>
      <c r="CB32" s="3061"/>
      <c r="CC32" s="3061"/>
      <c r="CD32" s="3061"/>
      <c r="CE32" s="3061"/>
      <c r="CF32" s="3061"/>
      <c r="CG32" s="3061"/>
      <c r="CH32" s="3061"/>
      <c r="CI32" s="3061"/>
      <c r="CJ32" s="3061"/>
      <c r="CK32" s="3061"/>
      <c r="CL32" s="3061"/>
      <c r="CM32" s="3061"/>
      <c r="CN32" s="3061"/>
      <c r="CO32" s="3061"/>
      <c r="CP32" s="3061"/>
      <c r="CQ32" s="3061"/>
      <c r="CR32" s="3061"/>
      <c r="CS32" s="3062"/>
      <c r="CT32" s="3063"/>
      <c r="CU32" s="3064">
        <f t="shared" si="35"/>
        <v>1</v>
      </c>
      <c r="CV32" s="3022" t="str">
        <f>IF(OR(CT32="",CT32="None"),"-",DO32*CU32*SUMIF('Lighting Assumptions'!$G$3:$G$112,'6a - Lighting Counts'!G32,'Lighting Assumptions'!$J$3:$J$112))</f>
        <v>-</v>
      </c>
      <c r="CW32" s="3021"/>
      <c r="CX32" s="3021"/>
      <c r="CY32" s="3046"/>
      <c r="CZ32" s="2098">
        <f t="shared" si="36"/>
        <v>0</v>
      </c>
      <c r="DA32" s="2098" t="str">
        <f t="shared" si="37"/>
        <v>-</v>
      </c>
      <c r="DB32" s="2098">
        <f t="shared" si="38"/>
        <v>0</v>
      </c>
      <c r="DC32" s="3023" t="str">
        <f t="shared" si="39"/>
        <v>-</v>
      </c>
      <c r="DD32" s="3024" t="str">
        <f t="shared" si="40"/>
        <v/>
      </c>
      <c r="DE32" s="3025" t="str">
        <f t="shared" si="41"/>
        <v>-</v>
      </c>
      <c r="DF32" s="3024" t="str">
        <f t="shared" si="32"/>
        <v>-</v>
      </c>
      <c r="DG32" s="2098">
        <f t="shared" si="42"/>
        <v>0</v>
      </c>
      <c r="DH32" s="2098">
        <f t="array" ref="DH32">MIN(SUMPRODUCT(I32:CR32,IF($I$25:$CR$25="yes",1,0),$I$23:$CR$23),H32)</f>
        <v>0</v>
      </c>
      <c r="DI32" s="3026"/>
      <c r="DJ32" s="3021"/>
      <c r="DN32" s="917" t="str">
        <f>IF(CS32="","-",SUMIF('Lighting Assumptions'!$G$3:$G$112,'6a - Lighting Counts'!G32,'Lighting Assumptions'!$J$3:$J$112))</f>
        <v>-</v>
      </c>
      <c r="DO32" s="917" t="str">
        <f t="shared" si="33"/>
        <v>-</v>
      </c>
      <c r="DP32" s="917" t="str">
        <f t="shared" si="34"/>
        <v>-</v>
      </c>
      <c r="DQ32" s="917" t="str">
        <f>IF(LEFT(CELLformula(DF32),3)&lt;&gt;"=IF",1,"")</f>
        <v/>
      </c>
      <c r="DR32" s="917" t="str">
        <f>IF(LEFT(CELLformula(DD32),3)&lt;&gt;"=IF",1,"")</f>
        <v/>
      </c>
      <c r="DS32" s="3048">
        <f t="shared" si="43"/>
        <v>0</v>
      </c>
      <c r="DT32" s="3047" t="str">
        <f t="shared" si="44"/>
        <v/>
      </c>
      <c r="DU32" s="3047" t="str">
        <f>IFERROR(IF(G32="","",SUMIF('Lighting Assumptions'!$G$3:$G$112,'6a - Lighting Counts'!G32,'Lighting Assumptions'!$H$3:$H$112)*IF(SI_IP_Units="SI",10.76,1)),"")</f>
        <v/>
      </c>
      <c r="DV32" s="3047" t="str">
        <f>IFERROR(IF($CX32="","",IF(SI_IP_Units="SI",10.76,1)*SUMIF(BAMCategories,$CY32,'Lighting Assumptions'!$E$3:E$35)),"")</f>
        <v/>
      </c>
      <c r="DW32" s="3047" t="str">
        <f>IFERROR(IF($CX32="","",IF(SI_IP_Units="SI",10.76,1)*SUMIF(BAMCategories,$CY32,IF(bpf_reference="ACP",'Lighting Assumptions 90.1-2010'!$E$3:E$35,'Lighting Assumptions 90.1-2016'!$E$3:E$35))),"")</f>
        <v/>
      </c>
      <c r="EW32" s="855"/>
      <c r="EX32" s="855"/>
      <c r="EY32" s="855"/>
      <c r="EZ32" s="855"/>
    </row>
    <row r="33" spans="4:156" x14ac:dyDescent="0.25">
      <c r="D33" s="3019"/>
      <c r="E33" s="3020"/>
      <c r="F33" s="3021">
        <f t="shared" si="29"/>
        <v>0</v>
      </c>
      <c r="G33" s="3059"/>
      <c r="H33" s="3060"/>
      <c r="I33" s="3061"/>
      <c r="J33" s="3061"/>
      <c r="K33" s="3061"/>
      <c r="L33" s="3061"/>
      <c r="M33" s="3061"/>
      <c r="N33" s="3061"/>
      <c r="O33" s="3061"/>
      <c r="P33" s="3061"/>
      <c r="Q33" s="3061"/>
      <c r="R33" s="3061"/>
      <c r="S33" s="3061"/>
      <c r="T33" s="3061"/>
      <c r="U33" s="3061"/>
      <c r="V33" s="3061"/>
      <c r="W33" s="3061"/>
      <c r="X33" s="3061"/>
      <c r="Y33" s="3061"/>
      <c r="Z33" s="3061"/>
      <c r="AA33" s="3061"/>
      <c r="AB33" s="3061"/>
      <c r="AC33" s="3061"/>
      <c r="AD33" s="3061"/>
      <c r="AE33" s="3061"/>
      <c r="AF33" s="3061"/>
      <c r="AG33" s="3061"/>
      <c r="AH33" s="3061"/>
      <c r="AI33" s="3061"/>
      <c r="AJ33" s="3061"/>
      <c r="AK33" s="3061"/>
      <c r="AL33" s="3061"/>
      <c r="AM33" s="3061"/>
      <c r="AN33" s="3061"/>
      <c r="AO33" s="3061"/>
      <c r="AP33" s="3061"/>
      <c r="AQ33" s="3061"/>
      <c r="AR33" s="3061"/>
      <c r="AS33" s="3061"/>
      <c r="AT33" s="3061"/>
      <c r="AU33" s="3061"/>
      <c r="AV33" s="3061"/>
      <c r="AW33" s="3061"/>
      <c r="AX33" s="3061"/>
      <c r="AY33" s="3061"/>
      <c r="AZ33" s="3061"/>
      <c r="BA33" s="3061"/>
      <c r="BB33" s="3061"/>
      <c r="BC33" s="3061"/>
      <c r="BD33" s="3061"/>
      <c r="BE33" s="3061"/>
      <c r="BF33" s="3061"/>
      <c r="BG33" s="3061"/>
      <c r="BH33" s="3061"/>
      <c r="BI33" s="3061"/>
      <c r="BJ33" s="3061"/>
      <c r="BK33" s="3061"/>
      <c r="BL33" s="3061"/>
      <c r="BM33" s="3061"/>
      <c r="BN33" s="3061"/>
      <c r="BO33" s="3061"/>
      <c r="BP33" s="3061"/>
      <c r="BQ33" s="3061"/>
      <c r="BR33" s="3061"/>
      <c r="BS33" s="3061"/>
      <c r="BT33" s="3061"/>
      <c r="BU33" s="3061"/>
      <c r="BV33" s="3061"/>
      <c r="BW33" s="3061"/>
      <c r="BX33" s="3061"/>
      <c r="BY33" s="3061"/>
      <c r="BZ33" s="3061"/>
      <c r="CA33" s="3061"/>
      <c r="CB33" s="3061"/>
      <c r="CC33" s="3061"/>
      <c r="CD33" s="3061"/>
      <c r="CE33" s="3061"/>
      <c r="CF33" s="3061"/>
      <c r="CG33" s="3061"/>
      <c r="CH33" s="3061"/>
      <c r="CI33" s="3061"/>
      <c r="CJ33" s="3061"/>
      <c r="CK33" s="3061"/>
      <c r="CL33" s="3061"/>
      <c r="CM33" s="3061"/>
      <c r="CN33" s="3061"/>
      <c r="CO33" s="3061"/>
      <c r="CP33" s="3061"/>
      <c r="CQ33" s="3061"/>
      <c r="CR33" s="3061"/>
      <c r="CS33" s="3062"/>
      <c r="CT33" s="3063"/>
      <c r="CU33" s="3064">
        <f t="shared" si="35"/>
        <v>1</v>
      </c>
      <c r="CV33" s="3022" t="str">
        <f>IF(OR(CT33="",CT33="None"),"-",DO33*CU33*SUMIF('Lighting Assumptions'!$G$3:$G$112,'6a - Lighting Counts'!G33,'Lighting Assumptions'!$J$3:$J$112))</f>
        <v>-</v>
      </c>
      <c r="CW33" s="3021"/>
      <c r="CX33" s="3021"/>
      <c r="CY33" s="3046"/>
      <c r="CZ33" s="2098">
        <f t="shared" si="36"/>
        <v>0</v>
      </c>
      <c r="DA33" s="2098" t="str">
        <f t="shared" si="37"/>
        <v>-</v>
      </c>
      <c r="DB33" s="2098">
        <f t="shared" si="38"/>
        <v>0</v>
      </c>
      <c r="DC33" s="3023" t="str">
        <f t="shared" si="39"/>
        <v>-</v>
      </c>
      <c r="DD33" s="3024" t="str">
        <f t="shared" si="40"/>
        <v/>
      </c>
      <c r="DE33" s="3025" t="str">
        <f t="shared" si="41"/>
        <v>-</v>
      </c>
      <c r="DF33" s="3024" t="str">
        <f t="shared" si="32"/>
        <v>-</v>
      </c>
      <c r="DG33" s="2098">
        <f t="shared" si="42"/>
        <v>0</v>
      </c>
      <c r="DH33" s="2098">
        <f t="array" ref="DH33">MIN(SUMPRODUCT(I33:CR33,IF($I$25:$CR$25="yes",1,0),$I$23:$CR$23),H33)</f>
        <v>0</v>
      </c>
      <c r="DI33" s="3026"/>
      <c r="DJ33" s="3021"/>
      <c r="DN33" s="917" t="str">
        <f>IF(CS33="","-",SUMIF('Lighting Assumptions'!$G$3:$G$112,'6a - Lighting Counts'!G33,'Lighting Assumptions'!$J$3:$J$112))</f>
        <v>-</v>
      </c>
      <c r="DO33" s="917" t="str">
        <f t="shared" si="33"/>
        <v>-</v>
      </c>
      <c r="DP33" s="917" t="str">
        <f t="shared" si="34"/>
        <v>-</v>
      </c>
      <c r="DQ33" s="917" t="str">
        <f>IF(LEFT(CELLformula(DF33),3)&lt;&gt;"=IF",1,"")</f>
        <v/>
      </c>
      <c r="DR33" s="917" t="str">
        <f>IF(LEFT(CELLformula(DD33),3)&lt;&gt;"=IF",1,"")</f>
        <v/>
      </c>
      <c r="DS33" s="3048">
        <f t="shared" si="43"/>
        <v>0</v>
      </c>
      <c r="DT33" s="3047" t="str">
        <f t="shared" si="44"/>
        <v/>
      </c>
      <c r="DU33" s="3047" t="str">
        <f>IFERROR(IF(G33="","",SUMIF('Lighting Assumptions'!$G$3:$G$112,'6a - Lighting Counts'!G33,'Lighting Assumptions'!$H$3:$H$112)*IF(SI_IP_Units="SI",10.76,1)),"")</f>
        <v/>
      </c>
      <c r="DV33" s="3047" t="str">
        <f>IFERROR(IF($CX33="","",IF(SI_IP_Units="SI",10.76,1)*SUMIF(BAMCategories,$CY33,'Lighting Assumptions'!$E$3:E$35)),"")</f>
        <v/>
      </c>
      <c r="DW33" s="3047" t="str">
        <f>IFERROR(IF($CX33="","",IF(SI_IP_Units="SI",10.76,1)*SUMIF(BAMCategories,$CY33,IF(bpf_reference="ACP",'Lighting Assumptions 90.1-2010'!$E$3:E$35,'Lighting Assumptions 90.1-2016'!$E$3:E$35))),"")</f>
        <v/>
      </c>
      <c r="EW33" s="855"/>
      <c r="EX33" s="855"/>
      <c r="EY33" s="855"/>
      <c r="EZ33" s="855"/>
    </row>
    <row r="34" spans="4:156" ht="15" customHeight="1" x14ac:dyDescent="0.25">
      <c r="D34" s="3019"/>
      <c r="E34" s="3020"/>
      <c r="F34" s="3021">
        <f t="shared" si="29"/>
        <v>0</v>
      </c>
      <c r="G34" s="3059"/>
      <c r="H34" s="3060"/>
      <c r="I34" s="3061"/>
      <c r="J34" s="3061"/>
      <c r="K34" s="3061"/>
      <c r="L34" s="3061"/>
      <c r="M34" s="3061"/>
      <c r="N34" s="3061"/>
      <c r="O34" s="3061"/>
      <c r="P34" s="3061"/>
      <c r="Q34" s="3061"/>
      <c r="R34" s="3061"/>
      <c r="S34" s="3061"/>
      <c r="T34" s="3061"/>
      <c r="U34" s="3061"/>
      <c r="V34" s="3061"/>
      <c r="W34" s="3061"/>
      <c r="X34" s="3061"/>
      <c r="Y34" s="3061"/>
      <c r="Z34" s="3061"/>
      <c r="AA34" s="3061"/>
      <c r="AB34" s="3061"/>
      <c r="AC34" s="3061"/>
      <c r="AD34" s="3061"/>
      <c r="AE34" s="3061"/>
      <c r="AF34" s="3061"/>
      <c r="AG34" s="3061"/>
      <c r="AH34" s="3061"/>
      <c r="AI34" s="3061"/>
      <c r="AJ34" s="3061"/>
      <c r="AK34" s="3061"/>
      <c r="AL34" s="3061"/>
      <c r="AM34" s="3061"/>
      <c r="AN34" s="3061"/>
      <c r="AO34" s="3061"/>
      <c r="AP34" s="3061"/>
      <c r="AQ34" s="3061"/>
      <c r="AR34" s="3061"/>
      <c r="AS34" s="3061"/>
      <c r="AT34" s="3061"/>
      <c r="AU34" s="3061"/>
      <c r="AV34" s="3061"/>
      <c r="AW34" s="3061"/>
      <c r="AX34" s="3061"/>
      <c r="AY34" s="3061"/>
      <c r="AZ34" s="3061"/>
      <c r="BA34" s="3061"/>
      <c r="BB34" s="3061"/>
      <c r="BC34" s="3061"/>
      <c r="BD34" s="3061"/>
      <c r="BE34" s="3061"/>
      <c r="BF34" s="3061"/>
      <c r="BG34" s="3061"/>
      <c r="BH34" s="3061"/>
      <c r="BI34" s="3061"/>
      <c r="BJ34" s="3061"/>
      <c r="BK34" s="3061"/>
      <c r="BL34" s="3061"/>
      <c r="BM34" s="3061"/>
      <c r="BN34" s="3061"/>
      <c r="BO34" s="3061"/>
      <c r="BP34" s="3061"/>
      <c r="BQ34" s="3061"/>
      <c r="BR34" s="3061"/>
      <c r="BS34" s="3061"/>
      <c r="BT34" s="3061"/>
      <c r="BU34" s="3061"/>
      <c r="BV34" s="3061"/>
      <c r="BW34" s="3061"/>
      <c r="BX34" s="3061"/>
      <c r="BY34" s="3061"/>
      <c r="BZ34" s="3061"/>
      <c r="CA34" s="3061"/>
      <c r="CB34" s="3061"/>
      <c r="CC34" s="3061"/>
      <c r="CD34" s="3061"/>
      <c r="CE34" s="3061"/>
      <c r="CF34" s="3061"/>
      <c r="CG34" s="3061"/>
      <c r="CH34" s="3061"/>
      <c r="CI34" s="3061"/>
      <c r="CJ34" s="3061"/>
      <c r="CK34" s="3061"/>
      <c r="CL34" s="3061"/>
      <c r="CM34" s="3061"/>
      <c r="CN34" s="3061"/>
      <c r="CO34" s="3061"/>
      <c r="CP34" s="3061"/>
      <c r="CQ34" s="3061"/>
      <c r="CR34" s="3061"/>
      <c r="CS34" s="3062"/>
      <c r="CT34" s="3063"/>
      <c r="CU34" s="3064">
        <f t="shared" si="35"/>
        <v>1</v>
      </c>
      <c r="CV34" s="3022" t="str">
        <f>IF(OR(CT34="",CT34="None"),"-",DO34*CU34*SUMIF('Lighting Assumptions'!$G$3:$G$112,'6a - Lighting Counts'!G34,'Lighting Assumptions'!$J$3:$J$112))</f>
        <v>-</v>
      </c>
      <c r="CW34" s="3021"/>
      <c r="CX34" s="3021"/>
      <c r="CY34" s="3046"/>
      <c r="CZ34" s="2098">
        <f t="shared" si="36"/>
        <v>0</v>
      </c>
      <c r="DA34" s="2098" t="str">
        <f t="shared" si="37"/>
        <v>-</v>
      </c>
      <c r="DB34" s="2098">
        <f t="shared" si="38"/>
        <v>0</v>
      </c>
      <c r="DC34" s="3023" t="str">
        <f t="shared" si="39"/>
        <v>-</v>
      </c>
      <c r="DD34" s="3024" t="str">
        <f t="shared" si="40"/>
        <v/>
      </c>
      <c r="DE34" s="3025" t="str">
        <f t="shared" si="41"/>
        <v>-</v>
      </c>
      <c r="DF34" s="3024" t="str">
        <f t="shared" si="32"/>
        <v>-</v>
      </c>
      <c r="DG34" s="2098">
        <f t="shared" si="42"/>
        <v>0</v>
      </c>
      <c r="DH34" s="2098">
        <f t="array" ref="DH34">MIN(SUMPRODUCT(I34:CR34,IF($I$25:$CR$25="yes",1,0),$I$23:$CR$23),H34)</f>
        <v>0</v>
      </c>
      <c r="DI34" s="3026"/>
      <c r="DJ34" s="3021"/>
      <c r="DN34" s="917" t="str">
        <f>IF(CS34="","-",SUMIF('Lighting Assumptions'!$G$3:$G$112,'6a - Lighting Counts'!G34,'Lighting Assumptions'!$J$3:$J$112))</f>
        <v>-</v>
      </c>
      <c r="DO34" s="917" t="str">
        <f t="shared" si="33"/>
        <v>-</v>
      </c>
      <c r="DP34" s="917" t="str">
        <f t="shared" si="34"/>
        <v>-</v>
      </c>
      <c r="DQ34" s="917" t="str">
        <f>IF(LEFT(CELLformula(DF34),3)&lt;&gt;"=IF",1,"")</f>
        <v/>
      </c>
      <c r="DR34" s="917" t="str">
        <f>IF(LEFT(CELLformula(DD34),3)&lt;&gt;"=IF",1,"")</f>
        <v/>
      </c>
      <c r="DS34" s="3048">
        <f t="shared" si="43"/>
        <v>0</v>
      </c>
      <c r="DT34" s="3047" t="str">
        <f t="shared" si="44"/>
        <v/>
      </c>
      <c r="DU34" s="3047" t="str">
        <f>IFERROR(IF(G34="","",SUMIF('Lighting Assumptions'!$G$3:$G$112,'6a - Lighting Counts'!G34,'Lighting Assumptions'!$H$3:$H$112)*IF(SI_IP_Units="SI",10.76,1)),"")</f>
        <v/>
      </c>
      <c r="DV34" s="3047" t="str">
        <f>IFERROR(IF($CX34="","",IF(SI_IP_Units="SI",10.76,1)*SUMIF(BAMCategories,$CY34,'Lighting Assumptions'!$E$3:E$35)),"")</f>
        <v/>
      </c>
      <c r="DW34" s="3047" t="str">
        <f>IFERROR(IF($CX34="","",IF(SI_IP_Units="SI",10.76,1)*SUMIF(BAMCategories,$CY34,IF(bpf_reference="ACP",'Lighting Assumptions 90.1-2010'!$E$3:E$35,'Lighting Assumptions 90.1-2016'!$E$3:E$35))),"")</f>
        <v/>
      </c>
      <c r="EW34" s="855"/>
      <c r="EX34" s="855"/>
      <c r="EY34" s="855"/>
      <c r="EZ34" s="855"/>
    </row>
    <row r="35" spans="4:156" ht="15" customHeight="1" x14ac:dyDescent="0.25">
      <c r="D35" s="3019"/>
      <c r="E35" s="3020"/>
      <c r="F35" s="3021">
        <f t="shared" si="29"/>
        <v>0</v>
      </c>
      <c r="G35" s="3059"/>
      <c r="H35" s="3060"/>
      <c r="I35" s="3061"/>
      <c r="J35" s="3061"/>
      <c r="K35" s="3061"/>
      <c r="L35" s="3061"/>
      <c r="M35" s="3061"/>
      <c r="N35" s="3061"/>
      <c r="O35" s="3061"/>
      <c r="P35" s="3061"/>
      <c r="Q35" s="3061"/>
      <c r="R35" s="3061"/>
      <c r="S35" s="3061"/>
      <c r="T35" s="3061"/>
      <c r="U35" s="3061"/>
      <c r="V35" s="3061"/>
      <c r="W35" s="3061"/>
      <c r="X35" s="3061"/>
      <c r="Y35" s="3061"/>
      <c r="Z35" s="3061"/>
      <c r="AA35" s="3061"/>
      <c r="AB35" s="3061"/>
      <c r="AC35" s="3061"/>
      <c r="AD35" s="3061"/>
      <c r="AE35" s="3061"/>
      <c r="AF35" s="3061"/>
      <c r="AG35" s="3061"/>
      <c r="AH35" s="3061"/>
      <c r="AI35" s="3061"/>
      <c r="AJ35" s="3061"/>
      <c r="AK35" s="3061"/>
      <c r="AL35" s="3061"/>
      <c r="AM35" s="3061"/>
      <c r="AN35" s="3061"/>
      <c r="AO35" s="3061"/>
      <c r="AP35" s="3061"/>
      <c r="AQ35" s="3061"/>
      <c r="AR35" s="3061"/>
      <c r="AS35" s="3061"/>
      <c r="AT35" s="3061"/>
      <c r="AU35" s="3061"/>
      <c r="AV35" s="3061"/>
      <c r="AW35" s="3061"/>
      <c r="AX35" s="3061"/>
      <c r="AY35" s="3061"/>
      <c r="AZ35" s="3061"/>
      <c r="BA35" s="3061"/>
      <c r="BB35" s="3061"/>
      <c r="BC35" s="3061"/>
      <c r="BD35" s="3061"/>
      <c r="BE35" s="3061"/>
      <c r="BF35" s="3061"/>
      <c r="BG35" s="3061"/>
      <c r="BH35" s="3061"/>
      <c r="BI35" s="3061"/>
      <c r="BJ35" s="3061"/>
      <c r="BK35" s="3061"/>
      <c r="BL35" s="3061"/>
      <c r="BM35" s="3061"/>
      <c r="BN35" s="3061"/>
      <c r="BO35" s="3061"/>
      <c r="BP35" s="3061"/>
      <c r="BQ35" s="3061"/>
      <c r="BR35" s="3061"/>
      <c r="BS35" s="3061"/>
      <c r="BT35" s="3061"/>
      <c r="BU35" s="3061"/>
      <c r="BV35" s="3061"/>
      <c r="BW35" s="3061"/>
      <c r="BX35" s="3061"/>
      <c r="BY35" s="3061"/>
      <c r="BZ35" s="3061"/>
      <c r="CA35" s="3061"/>
      <c r="CB35" s="3061"/>
      <c r="CC35" s="3061"/>
      <c r="CD35" s="3061"/>
      <c r="CE35" s="3061"/>
      <c r="CF35" s="3061"/>
      <c r="CG35" s="3061"/>
      <c r="CH35" s="3061"/>
      <c r="CI35" s="3061"/>
      <c r="CJ35" s="3061"/>
      <c r="CK35" s="3061"/>
      <c r="CL35" s="3061"/>
      <c r="CM35" s="3061"/>
      <c r="CN35" s="3061"/>
      <c r="CO35" s="3061"/>
      <c r="CP35" s="3061"/>
      <c r="CQ35" s="3061"/>
      <c r="CR35" s="3061"/>
      <c r="CS35" s="3062"/>
      <c r="CT35" s="3063"/>
      <c r="CU35" s="3064">
        <f t="shared" si="35"/>
        <v>1</v>
      </c>
      <c r="CV35" s="3022" t="str">
        <f>IF(OR(CT35="",CT35="None"),"-",DO35*CU35*SUMIF('Lighting Assumptions'!$G$3:$G$112,'6a - Lighting Counts'!G35,'Lighting Assumptions'!$J$3:$J$112))</f>
        <v>-</v>
      </c>
      <c r="CW35" s="3021"/>
      <c r="CX35" s="3021"/>
      <c r="CY35" s="3046"/>
      <c r="CZ35" s="2098">
        <f t="shared" si="36"/>
        <v>0</v>
      </c>
      <c r="DA35" s="2098" t="str">
        <f t="shared" si="37"/>
        <v>-</v>
      </c>
      <c r="DB35" s="2098">
        <f t="shared" si="38"/>
        <v>0</v>
      </c>
      <c r="DC35" s="3023" t="str">
        <f t="shared" si="39"/>
        <v>-</v>
      </c>
      <c r="DD35" s="3024" t="str">
        <f t="shared" si="40"/>
        <v/>
      </c>
      <c r="DE35" s="3025" t="str">
        <f t="shared" si="41"/>
        <v>-</v>
      </c>
      <c r="DF35" s="3024" t="str">
        <f t="shared" si="32"/>
        <v>-</v>
      </c>
      <c r="DG35" s="2098">
        <f t="shared" si="42"/>
        <v>0</v>
      </c>
      <c r="DH35" s="2098">
        <f t="array" ref="DH35">MIN(SUMPRODUCT(I35:CR35,IF($I$25:$CR$25="yes",1,0),$I$23:$CR$23),H35)</f>
        <v>0</v>
      </c>
      <c r="DI35" s="3026"/>
      <c r="DJ35" s="3021"/>
      <c r="DN35" s="917" t="str">
        <f>IF(CS35="","-",SUMIF('Lighting Assumptions'!$G$3:$G$112,'6a - Lighting Counts'!G35,'Lighting Assumptions'!$J$3:$J$112))</f>
        <v>-</v>
      </c>
      <c r="DO35" s="917" t="str">
        <f t="shared" si="33"/>
        <v>-</v>
      </c>
      <c r="DP35" s="917" t="str">
        <f t="shared" si="34"/>
        <v>-</v>
      </c>
      <c r="DQ35" s="917" t="str">
        <f>IF(LEFT(CELLformula(DF35),3)&lt;&gt;"=IF",1,"")</f>
        <v/>
      </c>
      <c r="DR35" s="917" t="str">
        <f>IF(LEFT(CELLformula(DD35),3)&lt;&gt;"=IF",1,"")</f>
        <v/>
      </c>
      <c r="DS35" s="3048">
        <f t="shared" si="43"/>
        <v>0</v>
      </c>
      <c r="DT35" s="3047" t="str">
        <f t="shared" si="44"/>
        <v/>
      </c>
      <c r="DU35" s="3047" t="str">
        <f>IFERROR(IF(G35="","",SUMIF('Lighting Assumptions'!$G$3:$G$112,'6a - Lighting Counts'!G35,'Lighting Assumptions'!$H$3:$H$112)*IF(SI_IP_Units="SI",10.76,1)),"")</f>
        <v/>
      </c>
      <c r="DV35" s="3047" t="str">
        <f>IFERROR(IF($CX35="","",IF(SI_IP_Units="SI",10.76,1)*SUMIF(BAMCategories,$CY35,'Lighting Assumptions'!$E$3:E$35)),"")</f>
        <v/>
      </c>
      <c r="DW35" s="3047" t="str">
        <f>IFERROR(IF($CX35="","",IF(SI_IP_Units="SI",10.76,1)*SUMIF(BAMCategories,$CY35,IF(bpf_reference="ACP",'Lighting Assumptions 90.1-2010'!$E$3:E$35,'Lighting Assumptions 90.1-2016'!$E$3:E$35))),"")</f>
        <v/>
      </c>
      <c r="EW35" s="855"/>
      <c r="EX35" s="855"/>
      <c r="EY35" s="855"/>
      <c r="EZ35" s="855"/>
    </row>
    <row r="36" spans="4:156" ht="15" customHeight="1" x14ac:dyDescent="0.25">
      <c r="D36" s="3019"/>
      <c r="E36" s="3020"/>
      <c r="F36" s="3021">
        <f t="shared" si="29"/>
        <v>0</v>
      </c>
      <c r="G36" s="3059"/>
      <c r="H36" s="3060"/>
      <c r="I36" s="3061"/>
      <c r="J36" s="3061"/>
      <c r="K36" s="3061"/>
      <c r="L36" s="3061"/>
      <c r="M36" s="3061"/>
      <c r="N36" s="3061"/>
      <c r="O36" s="3061"/>
      <c r="P36" s="3061"/>
      <c r="Q36" s="3061"/>
      <c r="R36" s="3061"/>
      <c r="S36" s="3061"/>
      <c r="T36" s="3061"/>
      <c r="U36" s="3061"/>
      <c r="V36" s="3061"/>
      <c r="W36" s="3061"/>
      <c r="X36" s="3061"/>
      <c r="Y36" s="3061"/>
      <c r="Z36" s="3061"/>
      <c r="AA36" s="3061"/>
      <c r="AB36" s="3061"/>
      <c r="AC36" s="3061"/>
      <c r="AD36" s="3061"/>
      <c r="AE36" s="3061"/>
      <c r="AF36" s="3061"/>
      <c r="AG36" s="3061"/>
      <c r="AH36" s="3061"/>
      <c r="AI36" s="3061"/>
      <c r="AJ36" s="3061"/>
      <c r="AK36" s="3061"/>
      <c r="AL36" s="3061"/>
      <c r="AM36" s="3061"/>
      <c r="AN36" s="3061"/>
      <c r="AO36" s="3061"/>
      <c r="AP36" s="3061"/>
      <c r="AQ36" s="3061"/>
      <c r="AR36" s="3061"/>
      <c r="AS36" s="3061"/>
      <c r="AT36" s="3061"/>
      <c r="AU36" s="3061"/>
      <c r="AV36" s="3061"/>
      <c r="AW36" s="3061"/>
      <c r="AX36" s="3061"/>
      <c r="AY36" s="3061"/>
      <c r="AZ36" s="3061"/>
      <c r="BA36" s="3061"/>
      <c r="BB36" s="3061"/>
      <c r="BC36" s="3061"/>
      <c r="BD36" s="3061"/>
      <c r="BE36" s="3061"/>
      <c r="BF36" s="3061"/>
      <c r="BG36" s="3061"/>
      <c r="BH36" s="3061"/>
      <c r="BI36" s="3061"/>
      <c r="BJ36" s="3061"/>
      <c r="BK36" s="3061"/>
      <c r="BL36" s="3061"/>
      <c r="BM36" s="3061"/>
      <c r="BN36" s="3061"/>
      <c r="BO36" s="3061"/>
      <c r="BP36" s="3061"/>
      <c r="BQ36" s="3061"/>
      <c r="BR36" s="3061"/>
      <c r="BS36" s="3061"/>
      <c r="BT36" s="3061"/>
      <c r="BU36" s="3061"/>
      <c r="BV36" s="3061"/>
      <c r="BW36" s="3061"/>
      <c r="BX36" s="3061"/>
      <c r="BY36" s="3061"/>
      <c r="BZ36" s="3061"/>
      <c r="CA36" s="3061"/>
      <c r="CB36" s="3061"/>
      <c r="CC36" s="3061"/>
      <c r="CD36" s="3061"/>
      <c r="CE36" s="3061"/>
      <c r="CF36" s="3061"/>
      <c r="CG36" s="3061"/>
      <c r="CH36" s="3061"/>
      <c r="CI36" s="3061"/>
      <c r="CJ36" s="3061"/>
      <c r="CK36" s="3061"/>
      <c r="CL36" s="3061"/>
      <c r="CM36" s="3061"/>
      <c r="CN36" s="3061"/>
      <c r="CO36" s="3061"/>
      <c r="CP36" s="3061"/>
      <c r="CQ36" s="3061"/>
      <c r="CR36" s="3061"/>
      <c r="CS36" s="3062"/>
      <c r="CT36" s="3063"/>
      <c r="CU36" s="3064">
        <f t="shared" si="35"/>
        <v>1</v>
      </c>
      <c r="CV36" s="3022" t="str">
        <f>IF(OR(CT36="",CT36="None"),"-",DO36*CU36*SUMIF('Lighting Assumptions'!$G$3:$G$112,'6a - Lighting Counts'!G36,'Lighting Assumptions'!$J$3:$J$112))</f>
        <v>-</v>
      </c>
      <c r="CW36" s="3021"/>
      <c r="CX36" s="3021"/>
      <c r="CY36" s="3046"/>
      <c r="CZ36" s="2098">
        <f t="shared" si="36"/>
        <v>0</v>
      </c>
      <c r="DA36" s="2098" t="str">
        <f t="shared" si="37"/>
        <v>-</v>
      </c>
      <c r="DB36" s="2098">
        <f t="shared" si="38"/>
        <v>0</v>
      </c>
      <c r="DC36" s="3023" t="str">
        <f t="shared" si="39"/>
        <v>-</v>
      </c>
      <c r="DD36" s="3024" t="str">
        <f t="shared" si="40"/>
        <v/>
      </c>
      <c r="DE36" s="3025" t="str">
        <f t="shared" si="41"/>
        <v>-</v>
      </c>
      <c r="DF36" s="3024" t="str">
        <f t="shared" si="32"/>
        <v>-</v>
      </c>
      <c r="DG36" s="2098">
        <f t="shared" si="42"/>
        <v>0</v>
      </c>
      <c r="DH36" s="2098">
        <f t="array" ref="DH36">MIN(SUMPRODUCT(I36:CR36,IF($I$25:$CR$25="yes",1,0),$I$23:$CR$23),H36)</f>
        <v>0</v>
      </c>
      <c r="DI36" s="3026"/>
      <c r="DJ36" s="3021"/>
      <c r="DN36" s="917" t="str">
        <f>IF(CS36="","-",SUMIF('Lighting Assumptions'!$G$3:$G$112,'6a - Lighting Counts'!G36,'Lighting Assumptions'!$J$3:$J$112))</f>
        <v>-</v>
      </c>
      <c r="DO36" s="917" t="str">
        <f t="shared" si="33"/>
        <v>-</v>
      </c>
      <c r="DP36" s="917" t="str">
        <f t="shared" si="34"/>
        <v>-</v>
      </c>
      <c r="DQ36" s="917" t="str">
        <f>IF(LEFT(CELLformula(DF36),3)&lt;&gt;"=IF",1,"")</f>
        <v/>
      </c>
      <c r="DR36" s="917" t="str">
        <f>IF(LEFT(CELLformula(DD36),3)&lt;&gt;"=IF",1,"")</f>
        <v/>
      </c>
      <c r="DS36" s="3048">
        <f t="shared" si="43"/>
        <v>0</v>
      </c>
      <c r="DT36" s="3047" t="str">
        <f t="shared" si="44"/>
        <v/>
      </c>
      <c r="DU36" s="3047" t="str">
        <f>IFERROR(IF(G36="","",SUMIF('Lighting Assumptions'!$G$3:$G$112,'6a - Lighting Counts'!G36,'Lighting Assumptions'!$H$3:$H$112)*IF(SI_IP_Units="SI",10.76,1)),"")</f>
        <v/>
      </c>
      <c r="DV36" s="3047" t="str">
        <f>IFERROR(IF($CX36="","",IF(SI_IP_Units="SI",10.76,1)*SUMIF(BAMCategories,$CY36,'Lighting Assumptions'!$E$3:E$35)),"")</f>
        <v/>
      </c>
      <c r="DW36" s="3047" t="str">
        <f>IFERROR(IF($CX36="","",IF(SI_IP_Units="SI",10.76,1)*SUMIF(BAMCategories,$CY36,IF(bpf_reference="ACP",'Lighting Assumptions 90.1-2010'!$E$3:E$35,'Lighting Assumptions 90.1-2016'!$E$3:E$35))),"")</f>
        <v/>
      </c>
      <c r="EW36" s="855"/>
      <c r="EX36" s="855"/>
      <c r="EY36" s="855"/>
      <c r="EZ36" s="855"/>
    </row>
    <row r="37" spans="4:156" ht="15" customHeight="1" x14ac:dyDescent="0.25">
      <c r="D37" s="3019"/>
      <c r="E37" s="3020"/>
      <c r="F37" s="3021">
        <f t="shared" si="29"/>
        <v>0</v>
      </c>
      <c r="G37" s="3059"/>
      <c r="H37" s="3060"/>
      <c r="I37" s="3061"/>
      <c r="J37" s="3061"/>
      <c r="K37" s="3061"/>
      <c r="L37" s="3061"/>
      <c r="M37" s="3061"/>
      <c r="N37" s="3061"/>
      <c r="O37" s="3061"/>
      <c r="P37" s="3061"/>
      <c r="Q37" s="3061"/>
      <c r="R37" s="3061"/>
      <c r="S37" s="3061"/>
      <c r="T37" s="3061"/>
      <c r="U37" s="3061"/>
      <c r="V37" s="3061"/>
      <c r="W37" s="3061"/>
      <c r="X37" s="3061"/>
      <c r="Y37" s="3061"/>
      <c r="Z37" s="3061"/>
      <c r="AA37" s="3061"/>
      <c r="AB37" s="3061"/>
      <c r="AC37" s="3061"/>
      <c r="AD37" s="3061"/>
      <c r="AE37" s="3061"/>
      <c r="AF37" s="3061"/>
      <c r="AG37" s="3061"/>
      <c r="AH37" s="3061"/>
      <c r="AI37" s="3061"/>
      <c r="AJ37" s="3061"/>
      <c r="AK37" s="3061"/>
      <c r="AL37" s="3061"/>
      <c r="AM37" s="3061"/>
      <c r="AN37" s="3061"/>
      <c r="AO37" s="3061"/>
      <c r="AP37" s="3061"/>
      <c r="AQ37" s="3061"/>
      <c r="AR37" s="3061"/>
      <c r="AS37" s="3061"/>
      <c r="AT37" s="3061"/>
      <c r="AU37" s="3061"/>
      <c r="AV37" s="3061"/>
      <c r="AW37" s="3061"/>
      <c r="AX37" s="3061"/>
      <c r="AY37" s="3061"/>
      <c r="AZ37" s="3061"/>
      <c r="BA37" s="3061"/>
      <c r="BB37" s="3061"/>
      <c r="BC37" s="3061"/>
      <c r="BD37" s="3061"/>
      <c r="BE37" s="3061"/>
      <c r="BF37" s="3061"/>
      <c r="BG37" s="3061"/>
      <c r="BH37" s="3061"/>
      <c r="BI37" s="3061"/>
      <c r="BJ37" s="3061"/>
      <c r="BK37" s="3061"/>
      <c r="BL37" s="3061"/>
      <c r="BM37" s="3061"/>
      <c r="BN37" s="3061"/>
      <c r="BO37" s="3061"/>
      <c r="BP37" s="3061"/>
      <c r="BQ37" s="3061"/>
      <c r="BR37" s="3061"/>
      <c r="BS37" s="3061"/>
      <c r="BT37" s="3061"/>
      <c r="BU37" s="3061"/>
      <c r="BV37" s="3061"/>
      <c r="BW37" s="3061"/>
      <c r="BX37" s="3061"/>
      <c r="BY37" s="3061"/>
      <c r="BZ37" s="3061"/>
      <c r="CA37" s="3061"/>
      <c r="CB37" s="3061"/>
      <c r="CC37" s="3061"/>
      <c r="CD37" s="3061"/>
      <c r="CE37" s="3061"/>
      <c r="CF37" s="3061"/>
      <c r="CG37" s="3061"/>
      <c r="CH37" s="3061"/>
      <c r="CI37" s="3061"/>
      <c r="CJ37" s="3061"/>
      <c r="CK37" s="3061"/>
      <c r="CL37" s="3061"/>
      <c r="CM37" s="3061"/>
      <c r="CN37" s="3061"/>
      <c r="CO37" s="3061"/>
      <c r="CP37" s="3061"/>
      <c r="CQ37" s="3061"/>
      <c r="CR37" s="3061"/>
      <c r="CS37" s="3062"/>
      <c r="CT37" s="3063"/>
      <c r="CU37" s="3064">
        <f t="shared" si="35"/>
        <v>1</v>
      </c>
      <c r="CV37" s="3022" t="str">
        <f>IF(OR(CT37="",CT37="None"),"-",DO37*CU37*SUMIF('Lighting Assumptions'!$G$3:$G$112,'6a - Lighting Counts'!G37,'Lighting Assumptions'!$J$3:$J$112))</f>
        <v>-</v>
      </c>
      <c r="CW37" s="3021"/>
      <c r="CX37" s="3021"/>
      <c r="CY37" s="3046"/>
      <c r="CZ37" s="2098">
        <f t="shared" si="36"/>
        <v>0</v>
      </c>
      <c r="DA37" s="2098" t="str">
        <f t="shared" si="37"/>
        <v>-</v>
      </c>
      <c r="DB37" s="2098">
        <f t="shared" si="38"/>
        <v>0</v>
      </c>
      <c r="DC37" s="3023" t="str">
        <f t="shared" si="39"/>
        <v>-</v>
      </c>
      <c r="DD37" s="3024" t="str">
        <f t="shared" si="40"/>
        <v/>
      </c>
      <c r="DE37" s="3025" t="str">
        <f t="shared" si="41"/>
        <v>-</v>
      </c>
      <c r="DF37" s="3024" t="str">
        <f t="shared" si="32"/>
        <v>-</v>
      </c>
      <c r="DG37" s="2098">
        <f t="shared" si="42"/>
        <v>0</v>
      </c>
      <c r="DH37" s="2098">
        <f t="array" ref="DH37">MIN(SUMPRODUCT(I37:CR37,IF($I$25:$CR$25="yes",1,0),$I$23:$CR$23),H37)</f>
        <v>0</v>
      </c>
      <c r="DI37" s="3026"/>
      <c r="DJ37" s="3021"/>
      <c r="DN37" s="917" t="str">
        <f>IF(CS37="","-",SUMIF('Lighting Assumptions'!$G$3:$G$112,'6a - Lighting Counts'!G37,'Lighting Assumptions'!$J$3:$J$112))</f>
        <v>-</v>
      </c>
      <c r="DO37" s="917" t="str">
        <f t="shared" si="33"/>
        <v>-</v>
      </c>
      <c r="DP37" s="917" t="str">
        <f t="shared" si="34"/>
        <v>-</v>
      </c>
      <c r="DQ37" s="917" t="str">
        <f>IF(LEFT(CELLformula(DF37),3)&lt;&gt;"=IF",1,"")</f>
        <v/>
      </c>
      <c r="DR37" s="917" t="str">
        <f>IF(LEFT(CELLformula(DD37),3)&lt;&gt;"=IF",1,"")</f>
        <v/>
      </c>
      <c r="DS37" s="3048">
        <f t="shared" si="43"/>
        <v>0</v>
      </c>
      <c r="DT37" s="3047" t="str">
        <f t="shared" si="44"/>
        <v/>
      </c>
      <c r="DU37" s="3047" t="str">
        <f>IFERROR(IF(G37="","",SUMIF('Lighting Assumptions'!$G$3:$G$112,'6a - Lighting Counts'!G37,'Lighting Assumptions'!$H$3:$H$112)*IF(SI_IP_Units="SI",10.76,1)),"")</f>
        <v/>
      </c>
      <c r="DV37" s="3047" t="str">
        <f>IFERROR(IF($CX37="","",IF(SI_IP_Units="SI",10.76,1)*SUMIF(BAMCategories,$CY37,'Lighting Assumptions'!$E$3:E$35)),"")</f>
        <v/>
      </c>
      <c r="DW37" s="3047" t="str">
        <f>IFERROR(IF($CX37="","",IF(SI_IP_Units="SI",10.76,1)*SUMIF(BAMCategories,$CY37,IF(bpf_reference="ACP",'Lighting Assumptions 90.1-2010'!$E$3:E$35,'Lighting Assumptions 90.1-2016'!$E$3:E$35))),"")</f>
        <v/>
      </c>
      <c r="EW37" s="855"/>
      <c r="EX37" s="855"/>
      <c r="EY37" s="855"/>
      <c r="EZ37" s="855"/>
    </row>
    <row r="38" spans="4:156" ht="15" customHeight="1" x14ac:dyDescent="0.25">
      <c r="D38" s="3019"/>
      <c r="E38" s="3020"/>
      <c r="F38" s="3021">
        <f t="shared" si="29"/>
        <v>0</v>
      </c>
      <c r="G38" s="3059"/>
      <c r="H38" s="3060"/>
      <c r="I38" s="3061"/>
      <c r="J38" s="3061"/>
      <c r="K38" s="3061"/>
      <c r="L38" s="3061"/>
      <c r="M38" s="3061"/>
      <c r="N38" s="3061"/>
      <c r="O38" s="3061"/>
      <c r="P38" s="3061"/>
      <c r="Q38" s="3061"/>
      <c r="R38" s="3061"/>
      <c r="S38" s="3061"/>
      <c r="T38" s="3061"/>
      <c r="U38" s="3061"/>
      <c r="V38" s="3061"/>
      <c r="W38" s="3061"/>
      <c r="X38" s="3061"/>
      <c r="Y38" s="3061"/>
      <c r="Z38" s="3061"/>
      <c r="AA38" s="3061"/>
      <c r="AB38" s="3061"/>
      <c r="AC38" s="3061"/>
      <c r="AD38" s="3061"/>
      <c r="AE38" s="3061"/>
      <c r="AF38" s="3061"/>
      <c r="AG38" s="3061"/>
      <c r="AH38" s="3061"/>
      <c r="AI38" s="3061"/>
      <c r="AJ38" s="3061"/>
      <c r="AK38" s="3061"/>
      <c r="AL38" s="3061"/>
      <c r="AM38" s="3061"/>
      <c r="AN38" s="3061"/>
      <c r="AO38" s="3061"/>
      <c r="AP38" s="3061"/>
      <c r="AQ38" s="3061"/>
      <c r="AR38" s="3061"/>
      <c r="AS38" s="3061"/>
      <c r="AT38" s="3061"/>
      <c r="AU38" s="3061"/>
      <c r="AV38" s="3061"/>
      <c r="AW38" s="3061"/>
      <c r="AX38" s="3061"/>
      <c r="AY38" s="3061"/>
      <c r="AZ38" s="3061"/>
      <c r="BA38" s="3061"/>
      <c r="BB38" s="3061"/>
      <c r="BC38" s="3061"/>
      <c r="BD38" s="3061"/>
      <c r="BE38" s="3061"/>
      <c r="BF38" s="3061"/>
      <c r="BG38" s="3061"/>
      <c r="BH38" s="3061"/>
      <c r="BI38" s="3061"/>
      <c r="BJ38" s="3061"/>
      <c r="BK38" s="3061"/>
      <c r="BL38" s="3061"/>
      <c r="BM38" s="3061"/>
      <c r="BN38" s="3061"/>
      <c r="BO38" s="3061"/>
      <c r="BP38" s="3061"/>
      <c r="BQ38" s="3061"/>
      <c r="BR38" s="3061"/>
      <c r="BS38" s="3061"/>
      <c r="BT38" s="3061"/>
      <c r="BU38" s="3061"/>
      <c r="BV38" s="3061"/>
      <c r="BW38" s="3061"/>
      <c r="BX38" s="3061"/>
      <c r="BY38" s="3061"/>
      <c r="BZ38" s="3061"/>
      <c r="CA38" s="3061"/>
      <c r="CB38" s="3061"/>
      <c r="CC38" s="3061"/>
      <c r="CD38" s="3061"/>
      <c r="CE38" s="3061"/>
      <c r="CF38" s="3061"/>
      <c r="CG38" s="3061"/>
      <c r="CH38" s="3061"/>
      <c r="CI38" s="3061"/>
      <c r="CJ38" s="3061"/>
      <c r="CK38" s="3061"/>
      <c r="CL38" s="3061"/>
      <c r="CM38" s="3061"/>
      <c r="CN38" s="3061"/>
      <c r="CO38" s="3061"/>
      <c r="CP38" s="3061"/>
      <c r="CQ38" s="3061"/>
      <c r="CR38" s="3061"/>
      <c r="CS38" s="3062"/>
      <c r="CT38" s="3063"/>
      <c r="CU38" s="3064">
        <f t="shared" si="35"/>
        <v>1</v>
      </c>
      <c r="CV38" s="3022" t="str">
        <f>IF(OR(CT38="",CT38="None"),"-",DO38*CU38*SUMIF('Lighting Assumptions'!$G$3:$G$112,'6a - Lighting Counts'!G38,'Lighting Assumptions'!$J$3:$J$112))</f>
        <v>-</v>
      </c>
      <c r="CW38" s="3021"/>
      <c r="CX38" s="3021"/>
      <c r="CY38" s="3046"/>
      <c r="CZ38" s="2098">
        <f t="shared" si="36"/>
        <v>0</v>
      </c>
      <c r="DA38" s="2098" t="str">
        <f t="shared" si="37"/>
        <v>-</v>
      </c>
      <c r="DB38" s="2098">
        <f t="shared" si="38"/>
        <v>0</v>
      </c>
      <c r="DC38" s="3023" t="str">
        <f t="shared" si="39"/>
        <v>-</v>
      </c>
      <c r="DD38" s="3024" t="str">
        <f t="shared" si="40"/>
        <v/>
      </c>
      <c r="DE38" s="3025" t="str">
        <f t="shared" si="41"/>
        <v>-</v>
      </c>
      <c r="DF38" s="3024" t="str">
        <f t="shared" si="32"/>
        <v>-</v>
      </c>
      <c r="DG38" s="2098">
        <f t="shared" si="42"/>
        <v>0</v>
      </c>
      <c r="DH38" s="2098">
        <f t="array" ref="DH38">MIN(SUMPRODUCT(I38:CR38,IF($I$25:$CR$25="yes",1,0),$I$23:$CR$23),H38)</f>
        <v>0</v>
      </c>
      <c r="DI38" s="3026"/>
      <c r="DJ38" s="3021"/>
      <c r="DN38" s="917" t="str">
        <f>IF(CS38="","-",SUMIF('Lighting Assumptions'!$G$3:$G$112,'6a - Lighting Counts'!G38,'Lighting Assumptions'!$J$3:$J$112))</f>
        <v>-</v>
      </c>
      <c r="DO38" s="917" t="str">
        <f t="shared" si="33"/>
        <v>-</v>
      </c>
      <c r="DP38" s="917" t="str">
        <f t="shared" si="34"/>
        <v>-</v>
      </c>
      <c r="DQ38" s="917" t="str">
        <f>IF(LEFT(CELLformula(DF38),3)&lt;&gt;"=IF",1,"")</f>
        <v/>
      </c>
      <c r="DR38" s="917" t="str">
        <f>IF(LEFT(CELLformula(DD38),3)&lt;&gt;"=IF",1,"")</f>
        <v/>
      </c>
      <c r="DS38" s="3048">
        <f t="shared" si="43"/>
        <v>0</v>
      </c>
      <c r="DT38" s="3047" t="str">
        <f t="shared" si="44"/>
        <v/>
      </c>
      <c r="DU38" s="3047" t="str">
        <f>IFERROR(IF(G38="","",SUMIF('Lighting Assumptions'!$G$3:$G$112,'6a - Lighting Counts'!G38,'Lighting Assumptions'!$H$3:$H$112)*IF(SI_IP_Units="SI",10.76,1)),"")</f>
        <v/>
      </c>
      <c r="DV38" s="3047" t="str">
        <f>IFERROR(IF($CX38="","",IF(SI_IP_Units="SI",10.76,1)*SUMIF(BAMCategories,$CY38,'Lighting Assumptions'!$E$3:E$35)),"")</f>
        <v/>
      </c>
      <c r="DW38" s="3047" t="str">
        <f>IFERROR(IF($CX38="","",IF(SI_IP_Units="SI",10.76,1)*SUMIF(BAMCategories,$CY38,IF(bpf_reference="ACP",'Lighting Assumptions 90.1-2010'!$E$3:E$35,'Lighting Assumptions 90.1-2016'!$E$3:E$35))),"")</f>
        <v/>
      </c>
      <c r="EW38" s="855"/>
      <c r="EX38" s="855"/>
      <c r="EY38" s="855"/>
      <c r="EZ38" s="855"/>
    </row>
    <row r="39" spans="4:156" x14ac:dyDescent="0.25">
      <c r="D39" s="3019"/>
      <c r="E39" s="3020"/>
      <c r="F39" s="3021">
        <f t="shared" ref="F39:F92" si="45">IF(ISBLANK(D39)=FALSE,1,0)</f>
        <v>0</v>
      </c>
      <c r="G39" s="3059"/>
      <c r="H39" s="3060"/>
      <c r="I39" s="3061"/>
      <c r="J39" s="3061"/>
      <c r="K39" s="3061"/>
      <c r="L39" s="3061"/>
      <c r="M39" s="3061"/>
      <c r="N39" s="3061"/>
      <c r="O39" s="3061"/>
      <c r="P39" s="3061"/>
      <c r="Q39" s="3061"/>
      <c r="R39" s="3061"/>
      <c r="S39" s="3061"/>
      <c r="T39" s="3061"/>
      <c r="U39" s="3061"/>
      <c r="V39" s="3061"/>
      <c r="W39" s="3061"/>
      <c r="X39" s="3061"/>
      <c r="Y39" s="3061"/>
      <c r="Z39" s="3061"/>
      <c r="AA39" s="3061"/>
      <c r="AB39" s="3061"/>
      <c r="AC39" s="3061"/>
      <c r="AD39" s="3061"/>
      <c r="AE39" s="3061"/>
      <c r="AF39" s="3061"/>
      <c r="AG39" s="3061"/>
      <c r="AH39" s="3061"/>
      <c r="AI39" s="3061"/>
      <c r="AJ39" s="3061"/>
      <c r="AK39" s="3061"/>
      <c r="AL39" s="3061"/>
      <c r="AM39" s="3061"/>
      <c r="AN39" s="3061"/>
      <c r="AO39" s="3061"/>
      <c r="AP39" s="3061"/>
      <c r="AQ39" s="3061"/>
      <c r="AR39" s="3061"/>
      <c r="AS39" s="3061"/>
      <c r="AT39" s="3061"/>
      <c r="AU39" s="3061"/>
      <c r="AV39" s="3061"/>
      <c r="AW39" s="3061"/>
      <c r="AX39" s="3061"/>
      <c r="AY39" s="3061"/>
      <c r="AZ39" s="3061"/>
      <c r="BA39" s="3061"/>
      <c r="BB39" s="3061"/>
      <c r="BC39" s="3061"/>
      <c r="BD39" s="3061"/>
      <c r="BE39" s="3061"/>
      <c r="BF39" s="3061"/>
      <c r="BG39" s="3061"/>
      <c r="BH39" s="3061"/>
      <c r="BI39" s="3061"/>
      <c r="BJ39" s="3061"/>
      <c r="BK39" s="3061"/>
      <c r="BL39" s="3061"/>
      <c r="BM39" s="3061"/>
      <c r="BN39" s="3061"/>
      <c r="BO39" s="3061"/>
      <c r="BP39" s="3061"/>
      <c r="BQ39" s="3061"/>
      <c r="BR39" s="3061"/>
      <c r="BS39" s="3061"/>
      <c r="BT39" s="3061"/>
      <c r="BU39" s="3061"/>
      <c r="BV39" s="3061"/>
      <c r="BW39" s="3061"/>
      <c r="BX39" s="3061"/>
      <c r="BY39" s="3061"/>
      <c r="BZ39" s="3061"/>
      <c r="CA39" s="3061"/>
      <c r="CB39" s="3061"/>
      <c r="CC39" s="3061"/>
      <c r="CD39" s="3061"/>
      <c r="CE39" s="3061"/>
      <c r="CF39" s="3061"/>
      <c r="CG39" s="3061"/>
      <c r="CH39" s="3061"/>
      <c r="CI39" s="3061"/>
      <c r="CJ39" s="3061"/>
      <c r="CK39" s="3061"/>
      <c r="CL39" s="3061"/>
      <c r="CM39" s="3061"/>
      <c r="CN39" s="3061"/>
      <c r="CO39" s="3061"/>
      <c r="CP39" s="3061"/>
      <c r="CQ39" s="3061"/>
      <c r="CR39" s="3061"/>
      <c r="CS39" s="3062"/>
      <c r="CT39" s="3063"/>
      <c r="CU39" s="3064">
        <f t="shared" si="35"/>
        <v>1</v>
      </c>
      <c r="CV39" s="3022" t="str">
        <f>IF(OR(CT39="",CT39="None"),"-",DO39*CU39*SUMIF('Lighting Assumptions'!$G$3:$G$112,'6a - Lighting Counts'!G39,'Lighting Assumptions'!$J$3:$J$112))</f>
        <v>-</v>
      </c>
      <c r="CW39" s="3021"/>
      <c r="CX39" s="3021"/>
      <c r="CY39" s="3046"/>
      <c r="CZ39" s="2098">
        <f t="shared" si="36"/>
        <v>0</v>
      </c>
      <c r="DA39" s="2098" t="str">
        <f t="shared" si="37"/>
        <v>-</v>
      </c>
      <c r="DB39" s="2098">
        <f t="shared" si="38"/>
        <v>0</v>
      </c>
      <c r="DC39" s="3023" t="str">
        <f t="shared" si="39"/>
        <v>-</v>
      </c>
      <c r="DD39" s="3024" t="str">
        <f t="shared" si="40"/>
        <v/>
      </c>
      <c r="DE39" s="3025" t="str">
        <f t="shared" si="41"/>
        <v>-</v>
      </c>
      <c r="DF39" s="3024" t="str">
        <f t="shared" si="32"/>
        <v>-</v>
      </c>
      <c r="DG39" s="2098">
        <f t="shared" si="42"/>
        <v>0</v>
      </c>
      <c r="DH39" s="2098">
        <f t="array" ref="DH39">MIN(SUMPRODUCT(I39:CR39,IF($I$25:$CR$25="yes",1,0),$I$23:$CR$23),H39)</f>
        <v>0</v>
      </c>
      <c r="DI39" s="3026"/>
      <c r="DJ39" s="3021"/>
      <c r="DN39" s="917" t="str">
        <f>IF(CS39="","-",SUMIF('Lighting Assumptions'!$G$3:$G$112,'6a - Lighting Counts'!G39,'Lighting Assumptions'!$J$3:$J$112))</f>
        <v>-</v>
      </c>
      <c r="DO39" s="917" t="str">
        <f t="shared" si="33"/>
        <v>-</v>
      </c>
      <c r="DP39" s="917" t="str">
        <f t="shared" si="34"/>
        <v>-</v>
      </c>
      <c r="DQ39" s="917" t="str">
        <f>IF(LEFT(CELLformula(DF39),3)&lt;&gt;"=IF",1,"")</f>
        <v/>
      </c>
      <c r="DR39" s="917" t="str">
        <f>IF(LEFT(CELLformula(DD39),3)&lt;&gt;"=IF",1,"")</f>
        <v/>
      </c>
      <c r="DS39" s="3048">
        <f t="shared" si="43"/>
        <v>0</v>
      </c>
      <c r="DT39" s="3047" t="str">
        <f t="shared" si="44"/>
        <v/>
      </c>
      <c r="DU39" s="3047" t="str">
        <f>IFERROR(IF(G39="","",SUMIF('Lighting Assumptions'!$G$3:$G$112,'6a - Lighting Counts'!G39,'Lighting Assumptions'!$H$3:$H$112)*IF(SI_IP_Units="SI",10.76,1)),"")</f>
        <v/>
      </c>
      <c r="DV39" s="3047" t="str">
        <f>IFERROR(IF($CX39="","",IF(SI_IP_Units="SI",10.76,1)*SUMIF(BAMCategories,$CY39,'Lighting Assumptions'!$E$3:E$35)),"")</f>
        <v/>
      </c>
      <c r="DW39" s="3047" t="str">
        <f>IFERROR(IF($CX39="","",IF(SI_IP_Units="SI",10.76,1)*SUMIF(BAMCategories,$CY39,IF(bpf_reference="ACP",'Lighting Assumptions 90.1-2010'!$E$3:E$35,'Lighting Assumptions 90.1-2016'!$E$3:E$35))),"")</f>
        <v/>
      </c>
      <c r="EW39" s="855"/>
      <c r="EX39" s="855"/>
      <c r="EY39" s="855"/>
      <c r="EZ39" s="855"/>
    </row>
    <row r="40" spans="4:156" x14ac:dyDescent="0.25">
      <c r="D40" s="3019"/>
      <c r="E40" s="3020"/>
      <c r="F40" s="3021">
        <f t="shared" si="45"/>
        <v>0</v>
      </c>
      <c r="G40" s="3059"/>
      <c r="H40" s="3060"/>
      <c r="I40" s="3061"/>
      <c r="J40" s="3061"/>
      <c r="K40" s="3061"/>
      <c r="L40" s="3061"/>
      <c r="M40" s="3061"/>
      <c r="N40" s="3061"/>
      <c r="O40" s="3061"/>
      <c r="P40" s="3061"/>
      <c r="Q40" s="3061"/>
      <c r="R40" s="3061"/>
      <c r="S40" s="3061"/>
      <c r="T40" s="3061"/>
      <c r="U40" s="3061"/>
      <c r="V40" s="3061"/>
      <c r="W40" s="3061"/>
      <c r="X40" s="3061"/>
      <c r="Y40" s="3061"/>
      <c r="Z40" s="3061"/>
      <c r="AA40" s="3061"/>
      <c r="AB40" s="3061"/>
      <c r="AC40" s="3061"/>
      <c r="AD40" s="3061"/>
      <c r="AE40" s="3061"/>
      <c r="AF40" s="3061"/>
      <c r="AG40" s="3061"/>
      <c r="AH40" s="3061"/>
      <c r="AI40" s="3061"/>
      <c r="AJ40" s="3061"/>
      <c r="AK40" s="3061"/>
      <c r="AL40" s="3061"/>
      <c r="AM40" s="3061"/>
      <c r="AN40" s="3061"/>
      <c r="AO40" s="3061"/>
      <c r="AP40" s="3061"/>
      <c r="AQ40" s="3061"/>
      <c r="AR40" s="3061"/>
      <c r="AS40" s="3061"/>
      <c r="AT40" s="3061"/>
      <c r="AU40" s="3061"/>
      <c r="AV40" s="3061"/>
      <c r="AW40" s="3061"/>
      <c r="AX40" s="3061"/>
      <c r="AY40" s="3061"/>
      <c r="AZ40" s="3061"/>
      <c r="BA40" s="3061"/>
      <c r="BB40" s="3061"/>
      <c r="BC40" s="3061"/>
      <c r="BD40" s="3061"/>
      <c r="BE40" s="3061"/>
      <c r="BF40" s="3061"/>
      <c r="BG40" s="3061"/>
      <c r="BH40" s="3061"/>
      <c r="BI40" s="3061"/>
      <c r="BJ40" s="3061"/>
      <c r="BK40" s="3061"/>
      <c r="BL40" s="3061"/>
      <c r="BM40" s="3061"/>
      <c r="BN40" s="3061"/>
      <c r="BO40" s="3061"/>
      <c r="BP40" s="3061"/>
      <c r="BQ40" s="3061"/>
      <c r="BR40" s="3061"/>
      <c r="BS40" s="3061"/>
      <c r="BT40" s="3061"/>
      <c r="BU40" s="3061"/>
      <c r="BV40" s="3061"/>
      <c r="BW40" s="3061"/>
      <c r="BX40" s="3061"/>
      <c r="BY40" s="3061"/>
      <c r="BZ40" s="3061"/>
      <c r="CA40" s="3061"/>
      <c r="CB40" s="3061"/>
      <c r="CC40" s="3061"/>
      <c r="CD40" s="3061"/>
      <c r="CE40" s="3061"/>
      <c r="CF40" s="3061"/>
      <c r="CG40" s="3061"/>
      <c r="CH40" s="3061"/>
      <c r="CI40" s="3061"/>
      <c r="CJ40" s="3061"/>
      <c r="CK40" s="3061"/>
      <c r="CL40" s="3061"/>
      <c r="CM40" s="3061"/>
      <c r="CN40" s="3061"/>
      <c r="CO40" s="3061"/>
      <c r="CP40" s="3061"/>
      <c r="CQ40" s="3061"/>
      <c r="CR40" s="3061"/>
      <c r="CS40" s="3062"/>
      <c r="CT40" s="3063"/>
      <c r="CU40" s="3064">
        <f t="shared" si="35"/>
        <v>1</v>
      </c>
      <c r="CV40" s="3022" t="str">
        <f>IF(OR(CT40="",CT40="None"),"-",DO40*CU40*SUMIF('Lighting Assumptions'!$G$3:$G$112,'6a - Lighting Counts'!G40,'Lighting Assumptions'!$J$3:$J$112))</f>
        <v>-</v>
      </c>
      <c r="CW40" s="3021"/>
      <c r="CX40" s="3021"/>
      <c r="CY40" s="3046"/>
      <c r="CZ40" s="2098">
        <f t="shared" si="36"/>
        <v>0</v>
      </c>
      <c r="DA40" s="2098" t="str">
        <f t="shared" si="37"/>
        <v>-</v>
      </c>
      <c r="DB40" s="2098">
        <f t="shared" si="38"/>
        <v>0</v>
      </c>
      <c r="DC40" s="3023" t="str">
        <f t="shared" si="39"/>
        <v>-</v>
      </c>
      <c r="DD40" s="3024" t="str">
        <f t="shared" si="40"/>
        <v/>
      </c>
      <c r="DE40" s="3025" t="str">
        <f t="shared" si="41"/>
        <v>-</v>
      </c>
      <c r="DF40" s="3024" t="str">
        <f t="shared" si="32"/>
        <v>-</v>
      </c>
      <c r="DG40" s="2098">
        <f t="shared" si="42"/>
        <v>0</v>
      </c>
      <c r="DH40" s="2098">
        <f t="array" ref="DH40">MIN(SUMPRODUCT(I40:CR40,IF($I$25:$CR$25="yes",1,0),$I$23:$CR$23),H40)</f>
        <v>0</v>
      </c>
      <c r="DI40" s="3026"/>
      <c r="DJ40" s="3021"/>
      <c r="DN40" s="917" t="str">
        <f>IF(CS40="","-",SUMIF('Lighting Assumptions'!$G$3:$G$112,'6a - Lighting Counts'!G40,'Lighting Assumptions'!$J$3:$J$112))</f>
        <v>-</v>
      </c>
      <c r="DO40" s="917" t="str">
        <f t="shared" si="33"/>
        <v>-</v>
      </c>
      <c r="DP40" s="917" t="str">
        <f t="shared" si="34"/>
        <v>-</v>
      </c>
      <c r="DQ40" s="917" t="str">
        <f>IF(LEFT(CELLformula(DF40),3)&lt;&gt;"=IF",1,"")</f>
        <v/>
      </c>
      <c r="DR40" s="917" t="str">
        <f>IF(LEFT(CELLformula(DD40),3)&lt;&gt;"=IF",1,"")</f>
        <v/>
      </c>
      <c r="DS40" s="3048">
        <f t="shared" si="43"/>
        <v>0</v>
      </c>
      <c r="DT40" s="3047" t="str">
        <f t="shared" si="44"/>
        <v/>
      </c>
      <c r="DU40" s="3047" t="str">
        <f>IFERROR(IF(G40="","",SUMIF('Lighting Assumptions'!$G$3:$G$112,'6a - Lighting Counts'!G40,'Lighting Assumptions'!$H$3:$H$112)*IF(SI_IP_Units="SI",10.76,1)),"")</f>
        <v/>
      </c>
      <c r="DV40" s="3047" t="str">
        <f>IFERROR(IF($CX40="","",IF(SI_IP_Units="SI",10.76,1)*SUMIF(BAMCategories,$CY40,'Lighting Assumptions'!$E$3:E$35)),"")</f>
        <v/>
      </c>
      <c r="DW40" s="3047" t="str">
        <f>IFERROR(IF($CX40="","",IF(SI_IP_Units="SI",10.76,1)*SUMIF(BAMCategories,$CY40,IF(bpf_reference="ACP",'Lighting Assumptions 90.1-2010'!$E$3:E$35,'Lighting Assumptions 90.1-2016'!$E$3:E$35))),"")</f>
        <v/>
      </c>
      <c r="EW40" s="855"/>
      <c r="EX40" s="855"/>
      <c r="EY40" s="855"/>
      <c r="EZ40" s="855"/>
    </row>
    <row r="41" spans="4:156" x14ac:dyDescent="0.25">
      <c r="D41" s="3019"/>
      <c r="E41" s="3020"/>
      <c r="F41" s="3021">
        <f t="shared" si="45"/>
        <v>0</v>
      </c>
      <c r="G41" s="3059"/>
      <c r="H41" s="3060"/>
      <c r="I41" s="3061"/>
      <c r="J41" s="3061"/>
      <c r="K41" s="3061"/>
      <c r="L41" s="3061"/>
      <c r="M41" s="3061"/>
      <c r="N41" s="3061"/>
      <c r="O41" s="3061"/>
      <c r="P41" s="3061"/>
      <c r="Q41" s="3061"/>
      <c r="R41" s="3061"/>
      <c r="S41" s="3061"/>
      <c r="T41" s="3061"/>
      <c r="U41" s="3061"/>
      <c r="V41" s="3061"/>
      <c r="W41" s="3061"/>
      <c r="X41" s="3061"/>
      <c r="Y41" s="3061"/>
      <c r="Z41" s="3061"/>
      <c r="AA41" s="3061"/>
      <c r="AB41" s="3061"/>
      <c r="AC41" s="3061"/>
      <c r="AD41" s="3061"/>
      <c r="AE41" s="3061"/>
      <c r="AF41" s="3061"/>
      <c r="AG41" s="3061"/>
      <c r="AH41" s="3061"/>
      <c r="AI41" s="3061"/>
      <c r="AJ41" s="3061"/>
      <c r="AK41" s="3061"/>
      <c r="AL41" s="3061"/>
      <c r="AM41" s="3061"/>
      <c r="AN41" s="3061"/>
      <c r="AO41" s="3061"/>
      <c r="AP41" s="3061"/>
      <c r="AQ41" s="3061"/>
      <c r="AR41" s="3061"/>
      <c r="AS41" s="3061"/>
      <c r="AT41" s="3061"/>
      <c r="AU41" s="3061"/>
      <c r="AV41" s="3061"/>
      <c r="AW41" s="3061"/>
      <c r="AX41" s="3061"/>
      <c r="AY41" s="3061"/>
      <c r="AZ41" s="3061"/>
      <c r="BA41" s="3061"/>
      <c r="BB41" s="3061"/>
      <c r="BC41" s="3061"/>
      <c r="BD41" s="3061"/>
      <c r="BE41" s="3061"/>
      <c r="BF41" s="3061"/>
      <c r="BG41" s="3061"/>
      <c r="BH41" s="3061"/>
      <c r="BI41" s="3061"/>
      <c r="BJ41" s="3061"/>
      <c r="BK41" s="3061"/>
      <c r="BL41" s="3061"/>
      <c r="BM41" s="3061"/>
      <c r="BN41" s="3061"/>
      <c r="BO41" s="3061"/>
      <c r="BP41" s="3061"/>
      <c r="BQ41" s="3061"/>
      <c r="BR41" s="3061"/>
      <c r="BS41" s="3061"/>
      <c r="BT41" s="3061"/>
      <c r="BU41" s="3061"/>
      <c r="BV41" s="3061"/>
      <c r="BW41" s="3061"/>
      <c r="BX41" s="3061"/>
      <c r="BY41" s="3061"/>
      <c r="BZ41" s="3061"/>
      <c r="CA41" s="3061"/>
      <c r="CB41" s="3061"/>
      <c r="CC41" s="3061"/>
      <c r="CD41" s="3061"/>
      <c r="CE41" s="3061"/>
      <c r="CF41" s="3061"/>
      <c r="CG41" s="3061"/>
      <c r="CH41" s="3061"/>
      <c r="CI41" s="3061"/>
      <c r="CJ41" s="3061"/>
      <c r="CK41" s="3061"/>
      <c r="CL41" s="3061"/>
      <c r="CM41" s="3061"/>
      <c r="CN41" s="3061"/>
      <c r="CO41" s="3061"/>
      <c r="CP41" s="3061"/>
      <c r="CQ41" s="3061"/>
      <c r="CR41" s="3061"/>
      <c r="CS41" s="3062"/>
      <c r="CT41" s="3063"/>
      <c r="CU41" s="3064">
        <f t="shared" si="35"/>
        <v>1</v>
      </c>
      <c r="CV41" s="3022" t="str">
        <f>IF(OR(CT41="",CT41="None"),"-",DO41*CU41*SUMIF('Lighting Assumptions'!$G$3:$G$112,'6a - Lighting Counts'!G41,'Lighting Assumptions'!$J$3:$J$112))</f>
        <v>-</v>
      </c>
      <c r="CW41" s="3021"/>
      <c r="CX41" s="3021"/>
      <c r="CY41" s="3046"/>
      <c r="CZ41" s="2098">
        <f t="shared" si="36"/>
        <v>0</v>
      </c>
      <c r="DA41" s="2098" t="str">
        <f t="shared" si="37"/>
        <v>-</v>
      </c>
      <c r="DB41" s="2098">
        <f t="shared" si="38"/>
        <v>0</v>
      </c>
      <c r="DC41" s="3023" t="str">
        <f t="shared" si="39"/>
        <v>-</v>
      </c>
      <c r="DD41" s="3024" t="str">
        <f t="shared" si="40"/>
        <v/>
      </c>
      <c r="DE41" s="3025" t="str">
        <f t="shared" si="41"/>
        <v>-</v>
      </c>
      <c r="DF41" s="3024" t="str">
        <f t="shared" si="32"/>
        <v>-</v>
      </c>
      <c r="DG41" s="2098">
        <f t="shared" si="42"/>
        <v>0</v>
      </c>
      <c r="DH41" s="2098">
        <f t="array" ref="DH41">MIN(SUMPRODUCT(I41:CR41,IF($I$25:$CR$25="yes",1,0),$I$23:$CR$23),H41)</f>
        <v>0</v>
      </c>
      <c r="DI41" s="3026"/>
      <c r="DJ41" s="3021"/>
      <c r="DN41" s="917" t="str">
        <f>IF(CS41="","-",SUMIF('Lighting Assumptions'!$G$3:$G$112,'6a - Lighting Counts'!G41,'Lighting Assumptions'!$J$3:$J$112))</f>
        <v>-</v>
      </c>
      <c r="DO41" s="917" t="str">
        <f t="shared" si="33"/>
        <v>-</v>
      </c>
      <c r="DP41" s="917" t="str">
        <f t="shared" si="34"/>
        <v>-</v>
      </c>
      <c r="DQ41" s="917" t="str">
        <f>IF(LEFT(CELLformula(DF41),3)&lt;&gt;"=IF",1,"")</f>
        <v/>
      </c>
      <c r="DR41" s="917" t="str">
        <f>IF(LEFT(CELLformula(DD41),3)&lt;&gt;"=IF",1,"")</f>
        <v/>
      </c>
      <c r="DS41" s="3048">
        <f t="shared" si="43"/>
        <v>0</v>
      </c>
      <c r="DT41" s="3047" t="str">
        <f t="shared" si="44"/>
        <v/>
      </c>
      <c r="DU41" s="3047" t="str">
        <f>IFERROR(IF(G41="","",SUMIF('Lighting Assumptions'!$G$3:$G$112,'6a - Lighting Counts'!G41,'Lighting Assumptions'!$H$3:$H$112)*IF(SI_IP_Units="SI",10.76,1)),"")</f>
        <v/>
      </c>
      <c r="DV41" s="3047" t="str">
        <f>IFERROR(IF($CX41="","",IF(SI_IP_Units="SI",10.76,1)*SUMIF(BAMCategories,$CY41,'Lighting Assumptions'!$E$3:E$35)),"")</f>
        <v/>
      </c>
      <c r="DW41" s="3047" t="str">
        <f>IFERROR(IF($CX41="","",IF(SI_IP_Units="SI",10.76,1)*SUMIF(BAMCategories,$CY41,IF(bpf_reference="ACP",'Lighting Assumptions 90.1-2010'!$E$3:E$35,'Lighting Assumptions 90.1-2016'!$E$3:E$35))),"")</f>
        <v/>
      </c>
      <c r="EW41" s="855"/>
      <c r="EX41" s="855"/>
      <c r="EY41" s="855"/>
      <c r="EZ41" s="855"/>
    </row>
    <row r="42" spans="4:156" x14ac:dyDescent="0.25">
      <c r="D42" s="3019"/>
      <c r="E42" s="3020"/>
      <c r="F42" s="3021">
        <f t="shared" si="45"/>
        <v>0</v>
      </c>
      <c r="G42" s="3059"/>
      <c r="H42" s="3060"/>
      <c r="I42" s="3061"/>
      <c r="J42" s="3061"/>
      <c r="K42" s="3061"/>
      <c r="L42" s="3061"/>
      <c r="M42" s="3061"/>
      <c r="N42" s="3061"/>
      <c r="O42" s="3061"/>
      <c r="P42" s="3061"/>
      <c r="Q42" s="3061"/>
      <c r="R42" s="3061"/>
      <c r="S42" s="3061"/>
      <c r="T42" s="3061"/>
      <c r="U42" s="3061"/>
      <c r="V42" s="3061"/>
      <c r="W42" s="3061"/>
      <c r="X42" s="3061"/>
      <c r="Y42" s="3061"/>
      <c r="Z42" s="3061"/>
      <c r="AA42" s="3061"/>
      <c r="AB42" s="3061"/>
      <c r="AC42" s="3061"/>
      <c r="AD42" s="3061"/>
      <c r="AE42" s="3061"/>
      <c r="AF42" s="3061"/>
      <c r="AG42" s="3061"/>
      <c r="AH42" s="3061"/>
      <c r="AI42" s="3061"/>
      <c r="AJ42" s="3061"/>
      <c r="AK42" s="3061"/>
      <c r="AL42" s="3061"/>
      <c r="AM42" s="3061"/>
      <c r="AN42" s="3061"/>
      <c r="AO42" s="3061"/>
      <c r="AP42" s="3061"/>
      <c r="AQ42" s="3061"/>
      <c r="AR42" s="3061"/>
      <c r="AS42" s="3061"/>
      <c r="AT42" s="3061"/>
      <c r="AU42" s="3061"/>
      <c r="AV42" s="3061"/>
      <c r="AW42" s="3061"/>
      <c r="AX42" s="3061"/>
      <c r="AY42" s="3061"/>
      <c r="AZ42" s="3061"/>
      <c r="BA42" s="3061"/>
      <c r="BB42" s="3061"/>
      <c r="BC42" s="3061"/>
      <c r="BD42" s="3061"/>
      <c r="BE42" s="3061"/>
      <c r="BF42" s="3061"/>
      <c r="BG42" s="3061"/>
      <c r="BH42" s="3061"/>
      <c r="BI42" s="3061"/>
      <c r="BJ42" s="3061"/>
      <c r="BK42" s="3061"/>
      <c r="BL42" s="3061"/>
      <c r="BM42" s="3061"/>
      <c r="BN42" s="3061"/>
      <c r="BO42" s="3061"/>
      <c r="BP42" s="3061"/>
      <c r="BQ42" s="3061"/>
      <c r="BR42" s="3061"/>
      <c r="BS42" s="3061"/>
      <c r="BT42" s="3061"/>
      <c r="BU42" s="3061"/>
      <c r="BV42" s="3061"/>
      <c r="BW42" s="3061"/>
      <c r="BX42" s="3061"/>
      <c r="BY42" s="3061"/>
      <c r="BZ42" s="3061"/>
      <c r="CA42" s="3061"/>
      <c r="CB42" s="3061"/>
      <c r="CC42" s="3061"/>
      <c r="CD42" s="3061"/>
      <c r="CE42" s="3061"/>
      <c r="CF42" s="3061"/>
      <c r="CG42" s="3061"/>
      <c r="CH42" s="3061"/>
      <c r="CI42" s="3061"/>
      <c r="CJ42" s="3061"/>
      <c r="CK42" s="3061"/>
      <c r="CL42" s="3061"/>
      <c r="CM42" s="3061"/>
      <c r="CN42" s="3061"/>
      <c r="CO42" s="3061"/>
      <c r="CP42" s="3061"/>
      <c r="CQ42" s="3061"/>
      <c r="CR42" s="3061"/>
      <c r="CS42" s="3062"/>
      <c r="CT42" s="3063"/>
      <c r="CU42" s="3064">
        <f t="shared" si="35"/>
        <v>1</v>
      </c>
      <c r="CV42" s="3022" t="str">
        <f>IF(OR(CT42="",CT42="None"),"-",DO42*CU42*SUMIF('Lighting Assumptions'!$G$3:$G$112,'6a - Lighting Counts'!G42,'Lighting Assumptions'!$J$3:$J$112))</f>
        <v>-</v>
      </c>
      <c r="CW42" s="3021"/>
      <c r="CX42" s="3021"/>
      <c r="CY42" s="3046"/>
      <c r="CZ42" s="2098">
        <f t="shared" si="36"/>
        <v>0</v>
      </c>
      <c r="DA42" s="2098" t="str">
        <f t="shared" si="37"/>
        <v>-</v>
      </c>
      <c r="DB42" s="2098">
        <f t="shared" si="38"/>
        <v>0</v>
      </c>
      <c r="DC42" s="3023" t="str">
        <f t="shared" si="39"/>
        <v>-</v>
      </c>
      <c r="DD42" s="3024" t="str">
        <f t="shared" si="40"/>
        <v/>
      </c>
      <c r="DE42" s="3025" t="str">
        <f t="shared" si="41"/>
        <v>-</v>
      </c>
      <c r="DF42" s="3024" t="str">
        <f t="shared" si="32"/>
        <v>-</v>
      </c>
      <c r="DG42" s="2098">
        <f t="shared" si="42"/>
        <v>0</v>
      </c>
      <c r="DH42" s="2098">
        <f t="array" ref="DH42">MIN(SUMPRODUCT(I42:CR42,IF($I$25:$CR$25="yes",1,0),$I$23:$CR$23),H42)</f>
        <v>0</v>
      </c>
      <c r="DI42" s="3026"/>
      <c r="DJ42" s="3021"/>
      <c r="DN42" s="917" t="str">
        <f>IF(CS42="","-",SUMIF('Lighting Assumptions'!$G$3:$G$112,'6a - Lighting Counts'!G42,'Lighting Assumptions'!$J$3:$J$112))</f>
        <v>-</v>
      </c>
      <c r="DO42" s="917" t="str">
        <f t="shared" si="33"/>
        <v>-</v>
      </c>
      <c r="DP42" s="917" t="str">
        <f t="shared" si="34"/>
        <v>-</v>
      </c>
      <c r="DQ42" s="917" t="str">
        <f>IF(LEFT(CELLformula(DF42),3)&lt;&gt;"=IF",1,"")</f>
        <v/>
      </c>
      <c r="DR42" s="917" t="str">
        <f>IF(LEFT(CELLformula(DD42),3)&lt;&gt;"=IF",1,"")</f>
        <v/>
      </c>
      <c r="DS42" s="3048">
        <f t="shared" si="43"/>
        <v>0</v>
      </c>
      <c r="DT42" s="3047" t="str">
        <f t="shared" si="44"/>
        <v/>
      </c>
      <c r="DU42" s="3047" t="str">
        <f>IFERROR(IF(G42="","",SUMIF('Lighting Assumptions'!$G$3:$G$112,'6a - Lighting Counts'!G42,'Lighting Assumptions'!$H$3:$H$112)*IF(SI_IP_Units="SI",10.76,1)),"")</f>
        <v/>
      </c>
      <c r="DV42" s="3047" t="str">
        <f>IFERROR(IF($CX42="","",IF(SI_IP_Units="SI",10.76,1)*SUMIF(BAMCategories,$CY42,'Lighting Assumptions'!$E$3:E$35)),"")</f>
        <v/>
      </c>
      <c r="DW42" s="3047" t="str">
        <f>IFERROR(IF($CX42="","",IF(SI_IP_Units="SI",10.76,1)*SUMIF(BAMCategories,$CY42,IF(bpf_reference="ACP",'Lighting Assumptions 90.1-2010'!$E$3:E$35,'Lighting Assumptions 90.1-2016'!$E$3:E$35))),"")</f>
        <v/>
      </c>
      <c r="EW42" s="855"/>
      <c r="EX42" s="855"/>
      <c r="EY42" s="855"/>
      <c r="EZ42" s="855"/>
    </row>
    <row r="43" spans="4:156" x14ac:dyDescent="0.25">
      <c r="D43" s="3019"/>
      <c r="E43" s="3020"/>
      <c r="F43" s="3021">
        <f t="shared" si="45"/>
        <v>0</v>
      </c>
      <c r="G43" s="3059"/>
      <c r="H43" s="3060"/>
      <c r="I43" s="3061"/>
      <c r="J43" s="3061"/>
      <c r="K43" s="3061"/>
      <c r="L43" s="3061"/>
      <c r="M43" s="3061"/>
      <c r="N43" s="3061"/>
      <c r="O43" s="3061"/>
      <c r="P43" s="3061"/>
      <c r="Q43" s="3061"/>
      <c r="R43" s="3061"/>
      <c r="S43" s="3061"/>
      <c r="T43" s="3061"/>
      <c r="U43" s="3061"/>
      <c r="V43" s="3061"/>
      <c r="W43" s="3061"/>
      <c r="X43" s="3061"/>
      <c r="Y43" s="3061"/>
      <c r="Z43" s="3061"/>
      <c r="AA43" s="3061"/>
      <c r="AB43" s="3061"/>
      <c r="AC43" s="3061"/>
      <c r="AD43" s="3061"/>
      <c r="AE43" s="3061"/>
      <c r="AF43" s="3061"/>
      <c r="AG43" s="3061"/>
      <c r="AH43" s="3061"/>
      <c r="AI43" s="3061"/>
      <c r="AJ43" s="3061"/>
      <c r="AK43" s="3061"/>
      <c r="AL43" s="3061"/>
      <c r="AM43" s="3061"/>
      <c r="AN43" s="3061"/>
      <c r="AO43" s="3061"/>
      <c r="AP43" s="3061"/>
      <c r="AQ43" s="3061"/>
      <c r="AR43" s="3061"/>
      <c r="AS43" s="3061"/>
      <c r="AT43" s="3061"/>
      <c r="AU43" s="3061"/>
      <c r="AV43" s="3061"/>
      <c r="AW43" s="3061"/>
      <c r="AX43" s="3061"/>
      <c r="AY43" s="3061"/>
      <c r="AZ43" s="3061"/>
      <c r="BA43" s="3061"/>
      <c r="BB43" s="3061"/>
      <c r="BC43" s="3061"/>
      <c r="BD43" s="3061"/>
      <c r="BE43" s="3061"/>
      <c r="BF43" s="3061"/>
      <c r="BG43" s="3061"/>
      <c r="BH43" s="3061"/>
      <c r="BI43" s="3061"/>
      <c r="BJ43" s="3061"/>
      <c r="BK43" s="3061"/>
      <c r="BL43" s="3061"/>
      <c r="BM43" s="3061"/>
      <c r="BN43" s="3061"/>
      <c r="BO43" s="3061"/>
      <c r="BP43" s="3061"/>
      <c r="BQ43" s="3061"/>
      <c r="BR43" s="3061"/>
      <c r="BS43" s="3061"/>
      <c r="BT43" s="3061"/>
      <c r="BU43" s="3061"/>
      <c r="BV43" s="3061"/>
      <c r="BW43" s="3061"/>
      <c r="BX43" s="3061"/>
      <c r="BY43" s="3061"/>
      <c r="BZ43" s="3061"/>
      <c r="CA43" s="3061"/>
      <c r="CB43" s="3061"/>
      <c r="CC43" s="3061"/>
      <c r="CD43" s="3061"/>
      <c r="CE43" s="3061"/>
      <c r="CF43" s="3061"/>
      <c r="CG43" s="3061"/>
      <c r="CH43" s="3061"/>
      <c r="CI43" s="3061"/>
      <c r="CJ43" s="3061"/>
      <c r="CK43" s="3061"/>
      <c r="CL43" s="3061"/>
      <c r="CM43" s="3061"/>
      <c r="CN43" s="3061"/>
      <c r="CO43" s="3061"/>
      <c r="CP43" s="3061"/>
      <c r="CQ43" s="3061"/>
      <c r="CR43" s="3061"/>
      <c r="CS43" s="3062"/>
      <c r="CT43" s="3063"/>
      <c r="CU43" s="3064">
        <f t="shared" si="35"/>
        <v>1</v>
      </c>
      <c r="CV43" s="3022" t="str">
        <f>IF(OR(CT43="",CT43="None"),"-",DO43*CU43*SUMIF('Lighting Assumptions'!$G$3:$G$112,'6a - Lighting Counts'!G43,'Lighting Assumptions'!$J$3:$J$112))</f>
        <v>-</v>
      </c>
      <c r="CW43" s="3021"/>
      <c r="CX43" s="3021"/>
      <c r="CY43" s="3046"/>
      <c r="CZ43" s="2098">
        <f t="shared" si="36"/>
        <v>0</v>
      </c>
      <c r="DA43" s="2098" t="str">
        <f t="shared" si="37"/>
        <v>-</v>
      </c>
      <c r="DB43" s="2098">
        <f t="shared" si="38"/>
        <v>0</v>
      </c>
      <c r="DC43" s="3023" t="str">
        <f t="shared" si="39"/>
        <v>-</v>
      </c>
      <c r="DD43" s="3024" t="str">
        <f t="shared" si="40"/>
        <v/>
      </c>
      <c r="DE43" s="3025" t="str">
        <f t="shared" si="41"/>
        <v>-</v>
      </c>
      <c r="DF43" s="3024" t="str">
        <f t="shared" si="32"/>
        <v>-</v>
      </c>
      <c r="DG43" s="2098">
        <f t="shared" si="42"/>
        <v>0</v>
      </c>
      <c r="DH43" s="2098">
        <f t="array" ref="DH43">MIN(SUMPRODUCT(I43:CR43,IF($I$25:$CR$25="yes",1,0),$I$23:$CR$23),H43)</f>
        <v>0</v>
      </c>
      <c r="DI43" s="3026"/>
      <c r="DJ43" s="3021"/>
      <c r="DN43" s="917" t="str">
        <f>IF(CS43="","-",SUMIF('Lighting Assumptions'!$G$3:$G$112,'6a - Lighting Counts'!G43,'Lighting Assumptions'!$J$3:$J$112))</f>
        <v>-</v>
      </c>
      <c r="DO43" s="917" t="str">
        <f t="shared" si="33"/>
        <v>-</v>
      </c>
      <c r="DP43" s="917" t="str">
        <f t="shared" si="34"/>
        <v>-</v>
      </c>
      <c r="DQ43" s="917" t="str">
        <f>IF(LEFT(CELLformula(DF43),3)&lt;&gt;"=IF",1,"")</f>
        <v/>
      </c>
      <c r="DR43" s="917" t="str">
        <f>IF(LEFT(CELLformula(DD43),3)&lt;&gt;"=IF",1,"")</f>
        <v/>
      </c>
      <c r="DS43" s="3048">
        <f t="shared" si="43"/>
        <v>0</v>
      </c>
      <c r="DT43" s="3047" t="str">
        <f t="shared" si="44"/>
        <v/>
      </c>
      <c r="DU43" s="3047" t="str">
        <f>IFERROR(IF(G43="","",SUMIF('Lighting Assumptions'!$G$3:$G$112,'6a - Lighting Counts'!G43,'Lighting Assumptions'!$H$3:$H$112)*IF(SI_IP_Units="SI",10.76,1)),"")</f>
        <v/>
      </c>
      <c r="DV43" s="3047" t="str">
        <f>IFERROR(IF($CX43="","",IF(SI_IP_Units="SI",10.76,1)*SUMIF(BAMCategories,$CY43,'Lighting Assumptions'!$E$3:E$35)),"")</f>
        <v/>
      </c>
      <c r="DW43" s="3047" t="str">
        <f>IFERROR(IF($CX43="","",IF(SI_IP_Units="SI",10.76,1)*SUMIF(BAMCategories,$CY43,IF(bpf_reference="ACP",'Lighting Assumptions 90.1-2010'!$E$3:E$35,'Lighting Assumptions 90.1-2016'!$E$3:E$35))),"")</f>
        <v/>
      </c>
      <c r="EW43" s="855"/>
      <c r="EX43" s="855"/>
      <c r="EY43" s="855"/>
      <c r="EZ43" s="855"/>
    </row>
    <row r="44" spans="4:156" x14ac:dyDescent="0.25">
      <c r="D44" s="3019"/>
      <c r="E44" s="3020"/>
      <c r="F44" s="3021">
        <f t="shared" si="45"/>
        <v>0</v>
      </c>
      <c r="G44" s="3059"/>
      <c r="H44" s="3060"/>
      <c r="I44" s="3061"/>
      <c r="J44" s="3061"/>
      <c r="K44" s="3061"/>
      <c r="L44" s="3061"/>
      <c r="M44" s="3061"/>
      <c r="N44" s="3061"/>
      <c r="O44" s="3061"/>
      <c r="P44" s="3061"/>
      <c r="Q44" s="3061"/>
      <c r="R44" s="3061"/>
      <c r="S44" s="3061"/>
      <c r="T44" s="3061"/>
      <c r="U44" s="3061"/>
      <c r="V44" s="3061"/>
      <c r="W44" s="3061"/>
      <c r="X44" s="3061"/>
      <c r="Y44" s="3061"/>
      <c r="Z44" s="3061"/>
      <c r="AA44" s="3061"/>
      <c r="AB44" s="3061"/>
      <c r="AC44" s="3061"/>
      <c r="AD44" s="3061"/>
      <c r="AE44" s="3061"/>
      <c r="AF44" s="3061"/>
      <c r="AG44" s="3061"/>
      <c r="AH44" s="3061"/>
      <c r="AI44" s="3061"/>
      <c r="AJ44" s="3061"/>
      <c r="AK44" s="3061"/>
      <c r="AL44" s="3061"/>
      <c r="AM44" s="3061"/>
      <c r="AN44" s="3061"/>
      <c r="AO44" s="3061"/>
      <c r="AP44" s="3061"/>
      <c r="AQ44" s="3061"/>
      <c r="AR44" s="3061"/>
      <c r="AS44" s="3061"/>
      <c r="AT44" s="3061"/>
      <c r="AU44" s="3061"/>
      <c r="AV44" s="3061"/>
      <c r="AW44" s="3061"/>
      <c r="AX44" s="3061"/>
      <c r="AY44" s="3061"/>
      <c r="AZ44" s="3061"/>
      <c r="BA44" s="3061"/>
      <c r="BB44" s="3061"/>
      <c r="BC44" s="3061"/>
      <c r="BD44" s="3061"/>
      <c r="BE44" s="3061"/>
      <c r="BF44" s="3061"/>
      <c r="BG44" s="3061"/>
      <c r="BH44" s="3061"/>
      <c r="BI44" s="3061"/>
      <c r="BJ44" s="3061"/>
      <c r="BK44" s="3061"/>
      <c r="BL44" s="3061"/>
      <c r="BM44" s="3061"/>
      <c r="BN44" s="3061"/>
      <c r="BO44" s="3061"/>
      <c r="BP44" s="3061"/>
      <c r="BQ44" s="3061"/>
      <c r="BR44" s="3061"/>
      <c r="BS44" s="3061"/>
      <c r="BT44" s="3061"/>
      <c r="BU44" s="3061"/>
      <c r="BV44" s="3061"/>
      <c r="BW44" s="3061"/>
      <c r="BX44" s="3061"/>
      <c r="BY44" s="3061"/>
      <c r="BZ44" s="3061"/>
      <c r="CA44" s="3061"/>
      <c r="CB44" s="3061"/>
      <c r="CC44" s="3061"/>
      <c r="CD44" s="3061"/>
      <c r="CE44" s="3061"/>
      <c r="CF44" s="3061"/>
      <c r="CG44" s="3061"/>
      <c r="CH44" s="3061"/>
      <c r="CI44" s="3061"/>
      <c r="CJ44" s="3061"/>
      <c r="CK44" s="3061"/>
      <c r="CL44" s="3061"/>
      <c r="CM44" s="3061"/>
      <c r="CN44" s="3061"/>
      <c r="CO44" s="3061"/>
      <c r="CP44" s="3061"/>
      <c r="CQ44" s="3061"/>
      <c r="CR44" s="3061"/>
      <c r="CS44" s="3062"/>
      <c r="CT44" s="3063"/>
      <c r="CU44" s="3064">
        <f t="shared" si="35"/>
        <v>1</v>
      </c>
      <c r="CV44" s="3022" t="str">
        <f>IF(OR(CT44="",CT44="None"),"-",DO44*CU44*SUMIF('Lighting Assumptions'!$G$3:$G$112,'6a - Lighting Counts'!G44,'Lighting Assumptions'!$J$3:$J$112))</f>
        <v>-</v>
      </c>
      <c r="CW44" s="3021"/>
      <c r="CX44" s="3021"/>
      <c r="CY44" s="3046"/>
      <c r="CZ44" s="2098">
        <f t="shared" si="36"/>
        <v>0</v>
      </c>
      <c r="DA44" s="2098" t="str">
        <f t="shared" si="37"/>
        <v>-</v>
      </c>
      <c r="DB44" s="2098">
        <f t="shared" si="38"/>
        <v>0</v>
      </c>
      <c r="DC44" s="3023" t="str">
        <f t="shared" si="39"/>
        <v>-</v>
      </c>
      <c r="DD44" s="3024" t="str">
        <f t="shared" si="40"/>
        <v/>
      </c>
      <c r="DE44" s="3025" t="str">
        <f t="shared" si="41"/>
        <v>-</v>
      </c>
      <c r="DF44" s="3024" t="str">
        <f t="shared" si="32"/>
        <v>-</v>
      </c>
      <c r="DG44" s="2098">
        <f t="shared" si="42"/>
        <v>0</v>
      </c>
      <c r="DH44" s="2098">
        <f t="array" ref="DH44">MIN(SUMPRODUCT(I44:CR44,IF($I$25:$CR$25="yes",1,0),$I$23:$CR$23),H44)</f>
        <v>0</v>
      </c>
      <c r="DI44" s="3026"/>
      <c r="DJ44" s="3021"/>
      <c r="DN44" s="917" t="str">
        <f>IF(CS44="","-",SUMIF('Lighting Assumptions'!$G$3:$G$112,'6a - Lighting Counts'!G44,'Lighting Assumptions'!$J$3:$J$112))</f>
        <v>-</v>
      </c>
      <c r="DO44" s="917" t="str">
        <f t="shared" si="33"/>
        <v>-</v>
      </c>
      <c r="DP44" s="917" t="str">
        <f t="shared" si="34"/>
        <v>-</v>
      </c>
      <c r="DQ44" s="917" t="str">
        <f>IF(LEFT(CELLformula(DF44),3)&lt;&gt;"=IF",1,"")</f>
        <v/>
      </c>
      <c r="DR44" s="917" t="str">
        <f>IF(LEFT(CELLformula(DD44),3)&lt;&gt;"=IF",1,"")</f>
        <v/>
      </c>
      <c r="DS44" s="3048">
        <f t="shared" si="43"/>
        <v>0</v>
      </c>
      <c r="DT44" s="3047" t="str">
        <f t="shared" si="44"/>
        <v/>
      </c>
      <c r="DU44" s="3047" t="str">
        <f>IFERROR(IF(G44="","",SUMIF('Lighting Assumptions'!$G$3:$G$112,'6a - Lighting Counts'!G44,'Lighting Assumptions'!$H$3:$H$112)*IF(SI_IP_Units="SI",10.76,1)),"")</f>
        <v/>
      </c>
      <c r="DV44" s="3047" t="str">
        <f>IFERROR(IF($CX44="","",IF(SI_IP_Units="SI",10.76,1)*SUMIF(BAMCategories,$CY44,'Lighting Assumptions'!$E$3:E$35)),"")</f>
        <v/>
      </c>
      <c r="DW44" s="3047" t="str">
        <f>IFERROR(IF($CX44="","",IF(SI_IP_Units="SI",10.76,1)*SUMIF(BAMCategories,$CY44,IF(bpf_reference="ACP",'Lighting Assumptions 90.1-2010'!$E$3:E$35,'Lighting Assumptions 90.1-2016'!$E$3:E$35))),"")</f>
        <v/>
      </c>
      <c r="EW44" s="855"/>
      <c r="EX44" s="855"/>
      <c r="EY44" s="855"/>
      <c r="EZ44" s="855"/>
    </row>
    <row r="45" spans="4:156" x14ac:dyDescent="0.25">
      <c r="D45" s="3019"/>
      <c r="E45" s="3020"/>
      <c r="F45" s="3021">
        <f t="shared" si="45"/>
        <v>0</v>
      </c>
      <c r="G45" s="3059"/>
      <c r="H45" s="3060"/>
      <c r="I45" s="3061"/>
      <c r="J45" s="3061"/>
      <c r="K45" s="3061"/>
      <c r="L45" s="3061"/>
      <c r="M45" s="3061"/>
      <c r="N45" s="3061"/>
      <c r="O45" s="3061"/>
      <c r="P45" s="3061"/>
      <c r="Q45" s="3061"/>
      <c r="R45" s="3061"/>
      <c r="S45" s="3061"/>
      <c r="T45" s="3061"/>
      <c r="U45" s="3061"/>
      <c r="V45" s="3061"/>
      <c r="W45" s="3061"/>
      <c r="X45" s="3061"/>
      <c r="Y45" s="3061"/>
      <c r="Z45" s="3061"/>
      <c r="AA45" s="3061"/>
      <c r="AB45" s="3061"/>
      <c r="AC45" s="3061"/>
      <c r="AD45" s="3061"/>
      <c r="AE45" s="3061"/>
      <c r="AF45" s="3061"/>
      <c r="AG45" s="3061"/>
      <c r="AH45" s="3061"/>
      <c r="AI45" s="3061"/>
      <c r="AJ45" s="3061"/>
      <c r="AK45" s="3061"/>
      <c r="AL45" s="3061"/>
      <c r="AM45" s="3061"/>
      <c r="AN45" s="3061"/>
      <c r="AO45" s="3061"/>
      <c r="AP45" s="3061"/>
      <c r="AQ45" s="3061"/>
      <c r="AR45" s="3061"/>
      <c r="AS45" s="3061"/>
      <c r="AT45" s="3061"/>
      <c r="AU45" s="3061"/>
      <c r="AV45" s="3061"/>
      <c r="AW45" s="3061"/>
      <c r="AX45" s="3061"/>
      <c r="AY45" s="3061"/>
      <c r="AZ45" s="3061"/>
      <c r="BA45" s="3061"/>
      <c r="BB45" s="3061"/>
      <c r="BC45" s="3061"/>
      <c r="BD45" s="3061"/>
      <c r="BE45" s="3061"/>
      <c r="BF45" s="3061"/>
      <c r="BG45" s="3061"/>
      <c r="BH45" s="3061"/>
      <c r="BI45" s="3061"/>
      <c r="BJ45" s="3061"/>
      <c r="BK45" s="3061"/>
      <c r="BL45" s="3061"/>
      <c r="BM45" s="3061"/>
      <c r="BN45" s="3061"/>
      <c r="BO45" s="3061"/>
      <c r="BP45" s="3061"/>
      <c r="BQ45" s="3061"/>
      <c r="BR45" s="3061"/>
      <c r="BS45" s="3061"/>
      <c r="BT45" s="3061"/>
      <c r="BU45" s="3061"/>
      <c r="BV45" s="3061"/>
      <c r="BW45" s="3061"/>
      <c r="BX45" s="3061"/>
      <c r="BY45" s="3061"/>
      <c r="BZ45" s="3061"/>
      <c r="CA45" s="3061"/>
      <c r="CB45" s="3061"/>
      <c r="CC45" s="3061"/>
      <c r="CD45" s="3061"/>
      <c r="CE45" s="3061"/>
      <c r="CF45" s="3061"/>
      <c r="CG45" s="3061"/>
      <c r="CH45" s="3061"/>
      <c r="CI45" s="3061"/>
      <c r="CJ45" s="3061"/>
      <c r="CK45" s="3061"/>
      <c r="CL45" s="3061"/>
      <c r="CM45" s="3061"/>
      <c r="CN45" s="3061"/>
      <c r="CO45" s="3061"/>
      <c r="CP45" s="3061"/>
      <c r="CQ45" s="3061"/>
      <c r="CR45" s="3061"/>
      <c r="CS45" s="3062"/>
      <c r="CT45" s="3063"/>
      <c r="CU45" s="3064">
        <f t="shared" si="35"/>
        <v>1</v>
      </c>
      <c r="CV45" s="3022" t="str">
        <f>IF(OR(CT45="",CT45="None"),"-",DO45*CU45*SUMIF('Lighting Assumptions'!$G$3:$G$112,'6a - Lighting Counts'!G45,'Lighting Assumptions'!$J$3:$J$112))</f>
        <v>-</v>
      </c>
      <c r="CW45" s="3021"/>
      <c r="CX45" s="3021"/>
      <c r="CY45" s="3046"/>
      <c r="CZ45" s="2098">
        <f t="shared" si="36"/>
        <v>0</v>
      </c>
      <c r="DA45" s="2098" t="str">
        <f t="shared" si="37"/>
        <v>-</v>
      </c>
      <c r="DB45" s="2098">
        <f t="shared" si="38"/>
        <v>0</v>
      </c>
      <c r="DC45" s="3023" t="str">
        <f t="shared" si="39"/>
        <v>-</v>
      </c>
      <c r="DD45" s="3024" t="str">
        <f t="shared" si="40"/>
        <v/>
      </c>
      <c r="DE45" s="3025" t="str">
        <f t="shared" si="41"/>
        <v>-</v>
      </c>
      <c r="DF45" s="3024" t="str">
        <f t="shared" si="32"/>
        <v>-</v>
      </c>
      <c r="DG45" s="2098">
        <f t="shared" si="42"/>
        <v>0</v>
      </c>
      <c r="DH45" s="2098">
        <f t="array" ref="DH45">MIN(SUMPRODUCT(I45:CR45,IF($I$25:$CR$25="yes",1,0),$I$23:$CR$23),H45)</f>
        <v>0</v>
      </c>
      <c r="DI45" s="3026"/>
      <c r="DJ45" s="3021"/>
      <c r="DN45" s="917" t="str">
        <f>IF(CS45="","-",SUMIF('Lighting Assumptions'!$G$3:$G$112,'6a - Lighting Counts'!G45,'Lighting Assumptions'!$J$3:$J$112))</f>
        <v>-</v>
      </c>
      <c r="DO45" s="917" t="str">
        <f t="shared" si="33"/>
        <v>-</v>
      </c>
      <c r="DP45" s="917" t="str">
        <f t="shared" si="34"/>
        <v>-</v>
      </c>
      <c r="DQ45" s="917" t="str">
        <f>IF(LEFT(CELLformula(DF45),3)&lt;&gt;"=IF",1,"")</f>
        <v/>
      </c>
      <c r="DR45" s="917" t="str">
        <f>IF(LEFT(CELLformula(DD45),3)&lt;&gt;"=IF",1,"")</f>
        <v/>
      </c>
      <c r="DS45" s="3048">
        <f t="shared" si="43"/>
        <v>0</v>
      </c>
      <c r="DT45" s="3047" t="str">
        <f t="shared" si="44"/>
        <v/>
      </c>
      <c r="DU45" s="3047" t="str">
        <f>IFERROR(IF(G45="","",SUMIF('Lighting Assumptions'!$G$3:$G$112,'6a - Lighting Counts'!G45,'Lighting Assumptions'!$H$3:$H$112)*IF(SI_IP_Units="SI",10.76,1)),"")</f>
        <v/>
      </c>
      <c r="DV45" s="3047" t="str">
        <f>IFERROR(IF($CX45="","",IF(SI_IP_Units="SI",10.76,1)*SUMIF(BAMCategories,$CY45,'Lighting Assumptions'!$E$3:E$35)),"")</f>
        <v/>
      </c>
      <c r="DW45" s="3047" t="str">
        <f>IFERROR(IF($CX45="","",IF(SI_IP_Units="SI",10.76,1)*SUMIF(BAMCategories,$CY45,IF(bpf_reference="ACP",'Lighting Assumptions 90.1-2010'!$E$3:E$35,'Lighting Assumptions 90.1-2016'!$E$3:E$35))),"")</f>
        <v/>
      </c>
      <c r="EW45" s="855"/>
      <c r="EX45" s="855"/>
      <c r="EY45" s="855"/>
      <c r="EZ45" s="855"/>
    </row>
    <row r="46" spans="4:156" x14ac:dyDescent="0.25">
      <c r="D46" s="3019"/>
      <c r="E46" s="3020"/>
      <c r="F46" s="3021">
        <f t="shared" si="45"/>
        <v>0</v>
      </c>
      <c r="G46" s="3059"/>
      <c r="H46" s="3060"/>
      <c r="I46" s="3061"/>
      <c r="J46" s="3061"/>
      <c r="K46" s="3061"/>
      <c r="L46" s="3061"/>
      <c r="M46" s="3061"/>
      <c r="N46" s="3061"/>
      <c r="O46" s="3061"/>
      <c r="P46" s="3061"/>
      <c r="Q46" s="3061"/>
      <c r="R46" s="3061"/>
      <c r="S46" s="3061"/>
      <c r="T46" s="3061"/>
      <c r="U46" s="3061"/>
      <c r="V46" s="3061"/>
      <c r="W46" s="3061"/>
      <c r="X46" s="3061"/>
      <c r="Y46" s="3061"/>
      <c r="Z46" s="3061"/>
      <c r="AA46" s="3061"/>
      <c r="AB46" s="3061"/>
      <c r="AC46" s="3061"/>
      <c r="AD46" s="3061"/>
      <c r="AE46" s="3061"/>
      <c r="AF46" s="3061"/>
      <c r="AG46" s="3061"/>
      <c r="AH46" s="3061"/>
      <c r="AI46" s="3061"/>
      <c r="AJ46" s="3061"/>
      <c r="AK46" s="3061"/>
      <c r="AL46" s="3061"/>
      <c r="AM46" s="3061"/>
      <c r="AN46" s="3061"/>
      <c r="AO46" s="3061"/>
      <c r="AP46" s="3061"/>
      <c r="AQ46" s="3061"/>
      <c r="AR46" s="3061"/>
      <c r="AS46" s="3061"/>
      <c r="AT46" s="3061"/>
      <c r="AU46" s="3061"/>
      <c r="AV46" s="3061"/>
      <c r="AW46" s="3061"/>
      <c r="AX46" s="3061"/>
      <c r="AY46" s="3061"/>
      <c r="AZ46" s="3061"/>
      <c r="BA46" s="3061"/>
      <c r="BB46" s="3061"/>
      <c r="BC46" s="3061"/>
      <c r="BD46" s="3061"/>
      <c r="BE46" s="3061"/>
      <c r="BF46" s="3061"/>
      <c r="BG46" s="3061"/>
      <c r="BH46" s="3061"/>
      <c r="BI46" s="3061"/>
      <c r="BJ46" s="3061"/>
      <c r="BK46" s="3061"/>
      <c r="BL46" s="3061"/>
      <c r="BM46" s="3061"/>
      <c r="BN46" s="3061"/>
      <c r="BO46" s="3061"/>
      <c r="BP46" s="3061"/>
      <c r="BQ46" s="3061"/>
      <c r="BR46" s="3061"/>
      <c r="BS46" s="3061"/>
      <c r="BT46" s="3061"/>
      <c r="BU46" s="3061"/>
      <c r="BV46" s="3061"/>
      <c r="BW46" s="3061"/>
      <c r="BX46" s="3061"/>
      <c r="BY46" s="3061"/>
      <c r="BZ46" s="3061"/>
      <c r="CA46" s="3061"/>
      <c r="CB46" s="3061"/>
      <c r="CC46" s="3061"/>
      <c r="CD46" s="3061"/>
      <c r="CE46" s="3061"/>
      <c r="CF46" s="3061"/>
      <c r="CG46" s="3061"/>
      <c r="CH46" s="3061"/>
      <c r="CI46" s="3061"/>
      <c r="CJ46" s="3061"/>
      <c r="CK46" s="3061"/>
      <c r="CL46" s="3061"/>
      <c r="CM46" s="3061"/>
      <c r="CN46" s="3061"/>
      <c r="CO46" s="3061"/>
      <c r="CP46" s="3061"/>
      <c r="CQ46" s="3061"/>
      <c r="CR46" s="3061"/>
      <c r="CS46" s="3062"/>
      <c r="CT46" s="3063"/>
      <c r="CU46" s="3064">
        <f t="shared" si="35"/>
        <v>1</v>
      </c>
      <c r="CV46" s="3022" t="str">
        <f>IF(OR(CT46="",CT46="None"),"-",DO46*CU46*SUMIF('Lighting Assumptions'!$G$3:$G$112,'6a - Lighting Counts'!G46,'Lighting Assumptions'!$J$3:$J$112))</f>
        <v>-</v>
      </c>
      <c r="CW46" s="3021"/>
      <c r="CX46" s="3021"/>
      <c r="CY46" s="3046"/>
      <c r="CZ46" s="2098">
        <f t="shared" si="36"/>
        <v>0</v>
      </c>
      <c r="DA46" s="2098" t="str">
        <f t="shared" si="37"/>
        <v>-</v>
      </c>
      <c r="DB46" s="2098">
        <f t="shared" si="38"/>
        <v>0</v>
      </c>
      <c r="DC46" s="3023" t="str">
        <f t="shared" si="39"/>
        <v>-</v>
      </c>
      <c r="DD46" s="3024" t="str">
        <f t="shared" si="40"/>
        <v/>
      </c>
      <c r="DE46" s="3025" t="str">
        <f t="shared" si="41"/>
        <v>-</v>
      </c>
      <c r="DF46" s="3024" t="str">
        <f t="shared" si="32"/>
        <v>-</v>
      </c>
      <c r="DG46" s="2098">
        <f t="shared" si="42"/>
        <v>0</v>
      </c>
      <c r="DH46" s="2098">
        <f t="array" ref="DH46">MIN(SUMPRODUCT(I46:CR46,IF($I$25:$CR$25="yes",1,0),$I$23:$CR$23),H46)</f>
        <v>0</v>
      </c>
      <c r="DI46" s="3026"/>
      <c r="DJ46" s="3021"/>
      <c r="DN46" s="917" t="str">
        <f>IF(CS46="","-",SUMIF('Lighting Assumptions'!$G$3:$G$112,'6a - Lighting Counts'!G46,'Lighting Assumptions'!$J$3:$J$112))</f>
        <v>-</v>
      </c>
      <c r="DO46" s="917" t="str">
        <f t="shared" si="33"/>
        <v>-</v>
      </c>
      <c r="DP46" s="917" t="str">
        <f t="shared" si="34"/>
        <v>-</v>
      </c>
      <c r="DQ46" s="917" t="str">
        <f>IF(LEFT(CELLformula(DF46),3)&lt;&gt;"=IF",1,"")</f>
        <v/>
      </c>
      <c r="DR46" s="917" t="str">
        <f>IF(LEFT(CELLformula(DD46),3)&lt;&gt;"=IF",1,"")</f>
        <v/>
      </c>
      <c r="DS46" s="3048">
        <f t="shared" si="43"/>
        <v>0</v>
      </c>
      <c r="DT46" s="3047" t="str">
        <f t="shared" si="44"/>
        <v/>
      </c>
      <c r="DU46" s="3047" t="str">
        <f>IFERROR(IF(G46="","",SUMIF('Lighting Assumptions'!$G$3:$G$112,'6a - Lighting Counts'!G46,'Lighting Assumptions'!$H$3:$H$112)*IF(SI_IP_Units="SI",10.76,1)),"")</f>
        <v/>
      </c>
      <c r="DV46" s="3047" t="str">
        <f>IFERROR(IF($CX46="","",IF(SI_IP_Units="SI",10.76,1)*SUMIF(BAMCategories,$CY46,'Lighting Assumptions'!$E$3:E$35)),"")</f>
        <v/>
      </c>
      <c r="DW46" s="3047" t="str">
        <f>IFERROR(IF($CX46="","",IF(SI_IP_Units="SI",10.76,1)*SUMIF(BAMCategories,$CY46,IF(bpf_reference="ACP",'Lighting Assumptions 90.1-2010'!$E$3:E$35,'Lighting Assumptions 90.1-2016'!$E$3:E$35))),"")</f>
        <v/>
      </c>
      <c r="EW46" s="855"/>
      <c r="EX46" s="855"/>
      <c r="EY46" s="855"/>
      <c r="EZ46" s="855"/>
    </row>
    <row r="47" spans="4:156" x14ac:dyDescent="0.25">
      <c r="D47" s="3019"/>
      <c r="E47" s="3020"/>
      <c r="F47" s="3021">
        <f t="shared" si="45"/>
        <v>0</v>
      </c>
      <c r="G47" s="3059"/>
      <c r="H47" s="3060"/>
      <c r="I47" s="3061"/>
      <c r="J47" s="3061"/>
      <c r="K47" s="3061"/>
      <c r="L47" s="3061"/>
      <c r="M47" s="3061"/>
      <c r="N47" s="3061"/>
      <c r="O47" s="3061"/>
      <c r="P47" s="3061"/>
      <c r="Q47" s="3061"/>
      <c r="R47" s="3061"/>
      <c r="S47" s="3061"/>
      <c r="T47" s="3061"/>
      <c r="U47" s="3061"/>
      <c r="V47" s="3061"/>
      <c r="W47" s="3061"/>
      <c r="X47" s="3061"/>
      <c r="Y47" s="3061"/>
      <c r="Z47" s="3061"/>
      <c r="AA47" s="3061"/>
      <c r="AB47" s="3061"/>
      <c r="AC47" s="3061"/>
      <c r="AD47" s="3061"/>
      <c r="AE47" s="3061"/>
      <c r="AF47" s="3061"/>
      <c r="AG47" s="3061"/>
      <c r="AH47" s="3061"/>
      <c r="AI47" s="3061"/>
      <c r="AJ47" s="3061"/>
      <c r="AK47" s="3061"/>
      <c r="AL47" s="3061"/>
      <c r="AM47" s="3061"/>
      <c r="AN47" s="3061"/>
      <c r="AO47" s="3061"/>
      <c r="AP47" s="3061"/>
      <c r="AQ47" s="3061"/>
      <c r="AR47" s="3061"/>
      <c r="AS47" s="3061"/>
      <c r="AT47" s="3061"/>
      <c r="AU47" s="3061"/>
      <c r="AV47" s="3061"/>
      <c r="AW47" s="3061"/>
      <c r="AX47" s="3061"/>
      <c r="AY47" s="3061"/>
      <c r="AZ47" s="3061"/>
      <c r="BA47" s="3061"/>
      <c r="BB47" s="3061"/>
      <c r="BC47" s="3061"/>
      <c r="BD47" s="3061"/>
      <c r="BE47" s="3061"/>
      <c r="BF47" s="3061"/>
      <c r="BG47" s="3061"/>
      <c r="BH47" s="3061"/>
      <c r="BI47" s="3061"/>
      <c r="BJ47" s="3061"/>
      <c r="BK47" s="3061"/>
      <c r="BL47" s="3061"/>
      <c r="BM47" s="3061"/>
      <c r="BN47" s="3061"/>
      <c r="BO47" s="3061"/>
      <c r="BP47" s="3061"/>
      <c r="BQ47" s="3061"/>
      <c r="BR47" s="3061"/>
      <c r="BS47" s="3061"/>
      <c r="BT47" s="3061"/>
      <c r="BU47" s="3061"/>
      <c r="BV47" s="3061"/>
      <c r="BW47" s="3061"/>
      <c r="BX47" s="3061"/>
      <c r="BY47" s="3061"/>
      <c r="BZ47" s="3061"/>
      <c r="CA47" s="3061"/>
      <c r="CB47" s="3061"/>
      <c r="CC47" s="3061"/>
      <c r="CD47" s="3061"/>
      <c r="CE47" s="3061"/>
      <c r="CF47" s="3061"/>
      <c r="CG47" s="3061"/>
      <c r="CH47" s="3061"/>
      <c r="CI47" s="3061"/>
      <c r="CJ47" s="3061"/>
      <c r="CK47" s="3061"/>
      <c r="CL47" s="3061"/>
      <c r="CM47" s="3061"/>
      <c r="CN47" s="3061"/>
      <c r="CO47" s="3061"/>
      <c r="CP47" s="3061"/>
      <c r="CQ47" s="3061"/>
      <c r="CR47" s="3061"/>
      <c r="CS47" s="3062"/>
      <c r="CT47" s="3063"/>
      <c r="CU47" s="3064">
        <f t="shared" si="35"/>
        <v>1</v>
      </c>
      <c r="CV47" s="3022" t="str">
        <f>IF(OR(CT47="",CT47="None"),"-",DO47*CU47*SUMIF('Lighting Assumptions'!$G$3:$G$112,'6a - Lighting Counts'!G47,'Lighting Assumptions'!$J$3:$J$112))</f>
        <v>-</v>
      </c>
      <c r="CW47" s="3021"/>
      <c r="CX47" s="3021"/>
      <c r="CY47" s="3046"/>
      <c r="CZ47" s="2098">
        <f t="shared" si="36"/>
        <v>0</v>
      </c>
      <c r="DA47" s="2098" t="str">
        <f t="shared" si="37"/>
        <v>-</v>
      </c>
      <c r="DB47" s="2098">
        <f t="shared" si="38"/>
        <v>0</v>
      </c>
      <c r="DC47" s="3023" t="str">
        <f t="shared" si="39"/>
        <v>-</v>
      </c>
      <c r="DD47" s="3024" t="str">
        <f t="shared" si="40"/>
        <v/>
      </c>
      <c r="DE47" s="3025" t="str">
        <f t="shared" si="41"/>
        <v>-</v>
      </c>
      <c r="DF47" s="3024" t="str">
        <f t="shared" si="32"/>
        <v>-</v>
      </c>
      <c r="DG47" s="2098">
        <f t="shared" si="42"/>
        <v>0</v>
      </c>
      <c r="DH47" s="2098">
        <f t="array" ref="DH47">MIN(SUMPRODUCT(I47:CR47,IF($I$25:$CR$25="yes",1,0),$I$23:$CR$23),H47)</f>
        <v>0</v>
      </c>
      <c r="DI47" s="3026"/>
      <c r="DJ47" s="3021"/>
      <c r="DN47" s="917" t="str">
        <f>IF(CS47="","-",SUMIF('Lighting Assumptions'!$G$3:$G$112,'6a - Lighting Counts'!G47,'Lighting Assumptions'!$J$3:$J$112))</f>
        <v>-</v>
      </c>
      <c r="DO47" s="917" t="str">
        <f t="shared" si="33"/>
        <v>-</v>
      </c>
      <c r="DP47" s="917" t="str">
        <f t="shared" si="34"/>
        <v>-</v>
      </c>
      <c r="DQ47" s="917" t="str">
        <f>IF(LEFT(CELLformula(DF47),3)&lt;&gt;"=IF",1,"")</f>
        <v/>
      </c>
      <c r="DR47" s="917" t="str">
        <f>IF(LEFT(CELLformula(DD47),3)&lt;&gt;"=IF",1,"")</f>
        <v/>
      </c>
      <c r="DS47" s="3048">
        <f t="shared" si="43"/>
        <v>0</v>
      </c>
      <c r="DT47" s="3047" t="str">
        <f t="shared" si="44"/>
        <v/>
      </c>
      <c r="DU47" s="3047" t="str">
        <f>IFERROR(IF(G47="","",SUMIF('Lighting Assumptions'!$G$3:$G$112,'6a - Lighting Counts'!G47,'Lighting Assumptions'!$H$3:$H$112)*IF(SI_IP_Units="SI",10.76,1)),"")</f>
        <v/>
      </c>
      <c r="DV47" s="3047" t="str">
        <f>IFERROR(IF($CX47="","",IF(SI_IP_Units="SI",10.76,1)*SUMIF(BAMCategories,$CY47,'Lighting Assumptions'!$E$3:E$35)),"")</f>
        <v/>
      </c>
      <c r="DW47" s="3047" t="str">
        <f>IFERROR(IF($CX47="","",IF(SI_IP_Units="SI",10.76,1)*SUMIF(BAMCategories,$CY47,IF(bpf_reference="ACP",'Lighting Assumptions 90.1-2010'!$E$3:E$35,'Lighting Assumptions 90.1-2016'!$E$3:E$35))),"")</f>
        <v/>
      </c>
      <c r="EW47" s="855"/>
      <c r="EX47" s="855"/>
      <c r="EY47" s="855"/>
      <c r="EZ47" s="855"/>
    </row>
    <row r="48" spans="4:156" x14ac:dyDescent="0.25">
      <c r="D48" s="3019"/>
      <c r="E48" s="3020"/>
      <c r="F48" s="3021">
        <f t="shared" si="45"/>
        <v>0</v>
      </c>
      <c r="G48" s="3059"/>
      <c r="H48" s="3060"/>
      <c r="I48" s="3061"/>
      <c r="J48" s="3061"/>
      <c r="K48" s="3061"/>
      <c r="L48" s="3061"/>
      <c r="M48" s="3061"/>
      <c r="N48" s="3061"/>
      <c r="O48" s="3061"/>
      <c r="P48" s="3061"/>
      <c r="Q48" s="3061"/>
      <c r="R48" s="3061"/>
      <c r="S48" s="3061"/>
      <c r="T48" s="3061"/>
      <c r="U48" s="3061"/>
      <c r="V48" s="3061"/>
      <c r="W48" s="3061"/>
      <c r="X48" s="3061"/>
      <c r="Y48" s="3061"/>
      <c r="Z48" s="3061"/>
      <c r="AA48" s="3061"/>
      <c r="AB48" s="3061"/>
      <c r="AC48" s="3061"/>
      <c r="AD48" s="3061"/>
      <c r="AE48" s="3061"/>
      <c r="AF48" s="3061"/>
      <c r="AG48" s="3061"/>
      <c r="AH48" s="3061"/>
      <c r="AI48" s="3061"/>
      <c r="AJ48" s="3061"/>
      <c r="AK48" s="3061"/>
      <c r="AL48" s="3061"/>
      <c r="AM48" s="3061"/>
      <c r="AN48" s="3061"/>
      <c r="AO48" s="3061"/>
      <c r="AP48" s="3061"/>
      <c r="AQ48" s="3061"/>
      <c r="AR48" s="3061"/>
      <c r="AS48" s="3061"/>
      <c r="AT48" s="3061"/>
      <c r="AU48" s="3061"/>
      <c r="AV48" s="3061"/>
      <c r="AW48" s="3061"/>
      <c r="AX48" s="3061"/>
      <c r="AY48" s="3061"/>
      <c r="AZ48" s="3061"/>
      <c r="BA48" s="3061"/>
      <c r="BB48" s="3061"/>
      <c r="BC48" s="3061"/>
      <c r="BD48" s="3061"/>
      <c r="BE48" s="3061"/>
      <c r="BF48" s="3061"/>
      <c r="BG48" s="3061"/>
      <c r="BH48" s="3061"/>
      <c r="BI48" s="3061"/>
      <c r="BJ48" s="3061"/>
      <c r="BK48" s="3061"/>
      <c r="BL48" s="3061"/>
      <c r="BM48" s="3061"/>
      <c r="BN48" s="3061"/>
      <c r="BO48" s="3061"/>
      <c r="BP48" s="3061"/>
      <c r="BQ48" s="3061"/>
      <c r="BR48" s="3061"/>
      <c r="BS48" s="3061"/>
      <c r="BT48" s="3061"/>
      <c r="BU48" s="3061"/>
      <c r="BV48" s="3061"/>
      <c r="BW48" s="3061"/>
      <c r="BX48" s="3061"/>
      <c r="BY48" s="3061"/>
      <c r="BZ48" s="3061"/>
      <c r="CA48" s="3061"/>
      <c r="CB48" s="3061"/>
      <c r="CC48" s="3061"/>
      <c r="CD48" s="3061"/>
      <c r="CE48" s="3061"/>
      <c r="CF48" s="3061"/>
      <c r="CG48" s="3061"/>
      <c r="CH48" s="3061"/>
      <c r="CI48" s="3061"/>
      <c r="CJ48" s="3061"/>
      <c r="CK48" s="3061"/>
      <c r="CL48" s="3061"/>
      <c r="CM48" s="3061"/>
      <c r="CN48" s="3061"/>
      <c r="CO48" s="3061"/>
      <c r="CP48" s="3061"/>
      <c r="CQ48" s="3061"/>
      <c r="CR48" s="3061"/>
      <c r="CS48" s="3062"/>
      <c r="CT48" s="3063"/>
      <c r="CU48" s="3064">
        <f t="shared" si="35"/>
        <v>1</v>
      </c>
      <c r="CV48" s="3022" t="str">
        <f>IF(OR(CT48="",CT48="None"),"-",DO48*CU48*SUMIF('Lighting Assumptions'!$G$3:$G$112,'6a - Lighting Counts'!G48,'Lighting Assumptions'!$J$3:$J$112))</f>
        <v>-</v>
      </c>
      <c r="CW48" s="3021"/>
      <c r="CX48" s="3021"/>
      <c r="CY48" s="3046"/>
      <c r="CZ48" s="2098">
        <f t="shared" si="36"/>
        <v>0</v>
      </c>
      <c r="DA48" s="2098" t="str">
        <f t="shared" si="37"/>
        <v>-</v>
      </c>
      <c r="DB48" s="2098">
        <f t="shared" si="38"/>
        <v>0</v>
      </c>
      <c r="DC48" s="3023" t="str">
        <f t="shared" si="39"/>
        <v>-</v>
      </c>
      <c r="DD48" s="3024" t="str">
        <f t="shared" si="40"/>
        <v/>
      </c>
      <c r="DE48" s="3025" t="str">
        <f t="shared" si="41"/>
        <v>-</v>
      </c>
      <c r="DF48" s="3024" t="str">
        <f t="shared" si="32"/>
        <v>-</v>
      </c>
      <c r="DG48" s="2098">
        <f t="shared" si="42"/>
        <v>0</v>
      </c>
      <c r="DH48" s="2098">
        <f t="array" ref="DH48">MIN(SUMPRODUCT(I48:CR48,IF($I$25:$CR$25="yes",1,0),$I$23:$CR$23),H48)</f>
        <v>0</v>
      </c>
      <c r="DI48" s="3026"/>
      <c r="DJ48" s="3021"/>
      <c r="DN48" s="917" t="str">
        <f>IF(CS48="","-",SUMIF('Lighting Assumptions'!$G$3:$G$112,'6a - Lighting Counts'!G48,'Lighting Assumptions'!$J$3:$J$112))</f>
        <v>-</v>
      </c>
      <c r="DO48" s="917" t="str">
        <f t="shared" si="33"/>
        <v>-</v>
      </c>
      <c r="DP48" s="917" t="str">
        <f t="shared" si="34"/>
        <v>-</v>
      </c>
      <c r="DQ48" s="917" t="str">
        <f>IF(LEFT(CELLformula(DF48),3)&lt;&gt;"=IF",1,"")</f>
        <v/>
      </c>
      <c r="DR48" s="917" t="str">
        <f>IF(LEFT(CELLformula(DD48),3)&lt;&gt;"=IF",1,"")</f>
        <v/>
      </c>
      <c r="DS48" s="3048">
        <f t="shared" si="43"/>
        <v>0</v>
      </c>
      <c r="DT48" s="3047" t="str">
        <f t="shared" si="44"/>
        <v/>
      </c>
      <c r="DU48" s="3047" t="str">
        <f>IFERROR(IF(G48="","",SUMIF('Lighting Assumptions'!$G$3:$G$112,'6a - Lighting Counts'!G48,'Lighting Assumptions'!$H$3:$H$112)*IF(SI_IP_Units="SI",10.76,1)),"")</f>
        <v/>
      </c>
      <c r="DV48" s="3047" t="str">
        <f>IFERROR(IF($CX48="","",IF(SI_IP_Units="SI",10.76,1)*SUMIF(BAMCategories,$CY48,'Lighting Assumptions'!$E$3:E$35)),"")</f>
        <v/>
      </c>
      <c r="DW48" s="3047" t="str">
        <f>IFERROR(IF($CX48="","",IF(SI_IP_Units="SI",10.76,1)*SUMIF(BAMCategories,$CY48,IF(bpf_reference="ACP",'Lighting Assumptions 90.1-2010'!$E$3:E$35,'Lighting Assumptions 90.1-2016'!$E$3:E$35))),"")</f>
        <v/>
      </c>
      <c r="EW48" s="855"/>
      <c r="EX48" s="855"/>
      <c r="EY48" s="855"/>
      <c r="EZ48" s="855"/>
    </row>
    <row r="49" spans="4:156" x14ac:dyDescent="0.25">
      <c r="D49" s="3019"/>
      <c r="E49" s="3020"/>
      <c r="F49" s="3021">
        <f t="shared" si="45"/>
        <v>0</v>
      </c>
      <c r="G49" s="3059"/>
      <c r="H49" s="3060"/>
      <c r="I49" s="3061"/>
      <c r="J49" s="3061"/>
      <c r="K49" s="3061"/>
      <c r="L49" s="3061"/>
      <c r="M49" s="3061"/>
      <c r="N49" s="3061"/>
      <c r="O49" s="3061"/>
      <c r="P49" s="3061"/>
      <c r="Q49" s="3061"/>
      <c r="R49" s="3061"/>
      <c r="S49" s="3061"/>
      <c r="T49" s="3061"/>
      <c r="U49" s="3061"/>
      <c r="V49" s="3061"/>
      <c r="W49" s="3061"/>
      <c r="X49" s="3061"/>
      <c r="Y49" s="3061"/>
      <c r="Z49" s="3061"/>
      <c r="AA49" s="3061"/>
      <c r="AB49" s="3061"/>
      <c r="AC49" s="3061"/>
      <c r="AD49" s="3061"/>
      <c r="AE49" s="3061"/>
      <c r="AF49" s="3061"/>
      <c r="AG49" s="3061"/>
      <c r="AH49" s="3061"/>
      <c r="AI49" s="3061"/>
      <c r="AJ49" s="3061"/>
      <c r="AK49" s="3061"/>
      <c r="AL49" s="3061"/>
      <c r="AM49" s="3061"/>
      <c r="AN49" s="3061"/>
      <c r="AO49" s="3061"/>
      <c r="AP49" s="3061"/>
      <c r="AQ49" s="3061"/>
      <c r="AR49" s="3061"/>
      <c r="AS49" s="3061"/>
      <c r="AT49" s="3061"/>
      <c r="AU49" s="3061"/>
      <c r="AV49" s="3061"/>
      <c r="AW49" s="3061"/>
      <c r="AX49" s="3061"/>
      <c r="AY49" s="3061"/>
      <c r="AZ49" s="3061"/>
      <c r="BA49" s="3061"/>
      <c r="BB49" s="3061"/>
      <c r="BC49" s="3061"/>
      <c r="BD49" s="3061"/>
      <c r="BE49" s="3061"/>
      <c r="BF49" s="3061"/>
      <c r="BG49" s="3061"/>
      <c r="BH49" s="3061"/>
      <c r="BI49" s="3061"/>
      <c r="BJ49" s="3061"/>
      <c r="BK49" s="3061"/>
      <c r="BL49" s="3061"/>
      <c r="BM49" s="3061"/>
      <c r="BN49" s="3061"/>
      <c r="BO49" s="3061"/>
      <c r="BP49" s="3061"/>
      <c r="BQ49" s="3061"/>
      <c r="BR49" s="3061"/>
      <c r="BS49" s="3061"/>
      <c r="BT49" s="3061"/>
      <c r="BU49" s="3061"/>
      <c r="BV49" s="3061"/>
      <c r="BW49" s="3061"/>
      <c r="BX49" s="3061"/>
      <c r="BY49" s="3061"/>
      <c r="BZ49" s="3061"/>
      <c r="CA49" s="3061"/>
      <c r="CB49" s="3061"/>
      <c r="CC49" s="3061"/>
      <c r="CD49" s="3061"/>
      <c r="CE49" s="3061"/>
      <c r="CF49" s="3061"/>
      <c r="CG49" s="3061"/>
      <c r="CH49" s="3061"/>
      <c r="CI49" s="3061"/>
      <c r="CJ49" s="3061"/>
      <c r="CK49" s="3061"/>
      <c r="CL49" s="3061"/>
      <c r="CM49" s="3061"/>
      <c r="CN49" s="3061"/>
      <c r="CO49" s="3061"/>
      <c r="CP49" s="3061"/>
      <c r="CQ49" s="3061"/>
      <c r="CR49" s="3061"/>
      <c r="CS49" s="3062"/>
      <c r="CT49" s="3063"/>
      <c r="CU49" s="3064">
        <f t="shared" si="35"/>
        <v>1</v>
      </c>
      <c r="CV49" s="3022" t="str">
        <f>IF(OR(CT49="",CT49="None"),"-",DO49*CU49*SUMIF('Lighting Assumptions'!$G$3:$G$112,'6a - Lighting Counts'!G49,'Lighting Assumptions'!$J$3:$J$112))</f>
        <v>-</v>
      </c>
      <c r="CW49" s="3021"/>
      <c r="CX49" s="3021"/>
      <c r="CY49" s="3046"/>
      <c r="CZ49" s="2098">
        <f t="shared" si="36"/>
        <v>0</v>
      </c>
      <c r="DA49" s="2098" t="str">
        <f t="shared" si="37"/>
        <v>-</v>
      </c>
      <c r="DB49" s="2098">
        <f t="shared" si="38"/>
        <v>0</v>
      </c>
      <c r="DC49" s="3023" t="str">
        <f t="shared" si="39"/>
        <v>-</v>
      </c>
      <c r="DD49" s="3024" t="str">
        <f t="shared" si="40"/>
        <v/>
      </c>
      <c r="DE49" s="3025" t="str">
        <f t="shared" si="41"/>
        <v>-</v>
      </c>
      <c r="DF49" s="3024" t="str">
        <f t="shared" si="32"/>
        <v>-</v>
      </c>
      <c r="DG49" s="2098">
        <f t="shared" si="42"/>
        <v>0</v>
      </c>
      <c r="DH49" s="2098">
        <f t="array" ref="DH49">MIN(SUMPRODUCT(I49:CR49,IF($I$25:$CR$25="yes",1,0),$I$23:$CR$23),H49)</f>
        <v>0</v>
      </c>
      <c r="DI49" s="3026"/>
      <c r="DJ49" s="3021"/>
      <c r="DN49" s="917" t="str">
        <f>IF(CS49="","-",SUMIF('Lighting Assumptions'!$G$3:$G$112,'6a - Lighting Counts'!G49,'Lighting Assumptions'!$J$3:$J$112))</f>
        <v>-</v>
      </c>
      <c r="DO49" s="917" t="str">
        <f t="shared" si="33"/>
        <v>-</v>
      </c>
      <c r="DP49" s="917" t="str">
        <f t="shared" si="34"/>
        <v>-</v>
      </c>
      <c r="DQ49" s="917" t="str">
        <f>IF(LEFT(CELLformula(DF49),3)&lt;&gt;"=IF",1,"")</f>
        <v/>
      </c>
      <c r="DR49" s="917" t="str">
        <f>IF(LEFT(CELLformula(DD49),3)&lt;&gt;"=IF",1,"")</f>
        <v/>
      </c>
      <c r="DS49" s="3048">
        <f t="shared" si="43"/>
        <v>0</v>
      </c>
      <c r="DT49" s="3047" t="str">
        <f t="shared" si="44"/>
        <v/>
      </c>
      <c r="DU49" s="3047" t="str">
        <f>IFERROR(IF(G49="","",SUMIF('Lighting Assumptions'!$G$3:$G$112,'6a - Lighting Counts'!G49,'Lighting Assumptions'!$H$3:$H$112)*IF(SI_IP_Units="SI",10.76,1)),"")</f>
        <v/>
      </c>
      <c r="DV49" s="3047" t="str">
        <f>IFERROR(IF($CX49="","",IF(SI_IP_Units="SI",10.76,1)*SUMIF(BAMCategories,$CY49,'Lighting Assumptions'!$E$3:E$35)),"")</f>
        <v/>
      </c>
      <c r="DW49" s="3047" t="str">
        <f>IFERROR(IF($CX49="","",IF(SI_IP_Units="SI",10.76,1)*SUMIF(BAMCategories,$CY49,IF(bpf_reference="ACP",'Lighting Assumptions 90.1-2010'!$E$3:E$35,'Lighting Assumptions 90.1-2016'!$E$3:E$35))),"")</f>
        <v/>
      </c>
      <c r="EW49" s="855"/>
      <c r="EX49" s="855"/>
      <c r="EY49" s="855"/>
      <c r="EZ49" s="855"/>
    </row>
    <row r="50" spans="4:156" x14ac:dyDescent="0.25">
      <c r="D50" s="3019"/>
      <c r="E50" s="3020"/>
      <c r="F50" s="3021">
        <f t="shared" si="45"/>
        <v>0</v>
      </c>
      <c r="G50" s="3059"/>
      <c r="H50" s="3060"/>
      <c r="I50" s="3061"/>
      <c r="J50" s="3061"/>
      <c r="K50" s="3061"/>
      <c r="L50" s="3061"/>
      <c r="M50" s="3061"/>
      <c r="N50" s="3061"/>
      <c r="O50" s="3061"/>
      <c r="P50" s="3061"/>
      <c r="Q50" s="3061"/>
      <c r="R50" s="3061"/>
      <c r="S50" s="3061"/>
      <c r="T50" s="3061"/>
      <c r="U50" s="3061"/>
      <c r="V50" s="3061"/>
      <c r="W50" s="3061"/>
      <c r="X50" s="3061"/>
      <c r="Y50" s="3061"/>
      <c r="Z50" s="3061"/>
      <c r="AA50" s="3061"/>
      <c r="AB50" s="3061"/>
      <c r="AC50" s="3061"/>
      <c r="AD50" s="3061"/>
      <c r="AE50" s="3061"/>
      <c r="AF50" s="3061"/>
      <c r="AG50" s="3061"/>
      <c r="AH50" s="3061"/>
      <c r="AI50" s="3061"/>
      <c r="AJ50" s="3061"/>
      <c r="AK50" s="3061"/>
      <c r="AL50" s="3061"/>
      <c r="AM50" s="3061"/>
      <c r="AN50" s="3061"/>
      <c r="AO50" s="3061"/>
      <c r="AP50" s="3061"/>
      <c r="AQ50" s="3061"/>
      <c r="AR50" s="3061"/>
      <c r="AS50" s="3061"/>
      <c r="AT50" s="3061"/>
      <c r="AU50" s="3061"/>
      <c r="AV50" s="3061"/>
      <c r="AW50" s="3061"/>
      <c r="AX50" s="3061"/>
      <c r="AY50" s="3061"/>
      <c r="AZ50" s="3061"/>
      <c r="BA50" s="3061"/>
      <c r="BB50" s="3061"/>
      <c r="BC50" s="3061"/>
      <c r="BD50" s="3061"/>
      <c r="BE50" s="3061"/>
      <c r="BF50" s="3061"/>
      <c r="BG50" s="3061"/>
      <c r="BH50" s="3061"/>
      <c r="BI50" s="3061"/>
      <c r="BJ50" s="3061"/>
      <c r="BK50" s="3061"/>
      <c r="BL50" s="3061"/>
      <c r="BM50" s="3061"/>
      <c r="BN50" s="3061"/>
      <c r="BO50" s="3061"/>
      <c r="BP50" s="3061"/>
      <c r="BQ50" s="3061"/>
      <c r="BR50" s="3061"/>
      <c r="BS50" s="3061"/>
      <c r="BT50" s="3061"/>
      <c r="BU50" s="3061"/>
      <c r="BV50" s="3061"/>
      <c r="BW50" s="3061"/>
      <c r="BX50" s="3061"/>
      <c r="BY50" s="3061"/>
      <c r="BZ50" s="3061"/>
      <c r="CA50" s="3061"/>
      <c r="CB50" s="3061"/>
      <c r="CC50" s="3061"/>
      <c r="CD50" s="3061"/>
      <c r="CE50" s="3061"/>
      <c r="CF50" s="3061"/>
      <c r="CG50" s="3061"/>
      <c r="CH50" s="3061"/>
      <c r="CI50" s="3061"/>
      <c r="CJ50" s="3061"/>
      <c r="CK50" s="3061"/>
      <c r="CL50" s="3061"/>
      <c r="CM50" s="3061"/>
      <c r="CN50" s="3061"/>
      <c r="CO50" s="3061"/>
      <c r="CP50" s="3061"/>
      <c r="CQ50" s="3061"/>
      <c r="CR50" s="3061"/>
      <c r="CS50" s="3062"/>
      <c r="CT50" s="3063"/>
      <c r="CU50" s="3064">
        <f t="shared" si="35"/>
        <v>1</v>
      </c>
      <c r="CV50" s="3022" t="str">
        <f>IF(OR(CT50="",CT50="None"),"-",DO50*CU50*SUMIF('Lighting Assumptions'!$G$3:$G$112,'6a - Lighting Counts'!G50,'Lighting Assumptions'!$J$3:$J$112))</f>
        <v>-</v>
      </c>
      <c r="CW50" s="3021"/>
      <c r="CX50" s="3021"/>
      <c r="CY50" s="3046"/>
      <c r="CZ50" s="2098">
        <f t="shared" si="36"/>
        <v>0</v>
      </c>
      <c r="DA50" s="2098" t="str">
        <f t="shared" si="37"/>
        <v>-</v>
      </c>
      <c r="DB50" s="2098">
        <f t="shared" si="38"/>
        <v>0</v>
      </c>
      <c r="DC50" s="3023" t="str">
        <f t="shared" si="39"/>
        <v>-</v>
      </c>
      <c r="DD50" s="3024" t="str">
        <f t="shared" si="40"/>
        <v/>
      </c>
      <c r="DE50" s="3025" t="str">
        <f t="shared" si="41"/>
        <v>-</v>
      </c>
      <c r="DF50" s="3024" t="str">
        <f t="shared" si="32"/>
        <v>-</v>
      </c>
      <c r="DG50" s="2098">
        <f t="shared" si="42"/>
        <v>0</v>
      </c>
      <c r="DH50" s="2098">
        <f t="array" ref="DH50">MIN(SUMPRODUCT(I50:CR50,IF($I$25:$CR$25="yes",1,0),$I$23:$CR$23),H50)</f>
        <v>0</v>
      </c>
      <c r="DI50" s="3026"/>
      <c r="DJ50" s="3021"/>
      <c r="DN50" s="917" t="str">
        <f>IF(CS50="","-",SUMIF('Lighting Assumptions'!$G$3:$G$112,'6a - Lighting Counts'!G50,'Lighting Assumptions'!$J$3:$J$112))</f>
        <v>-</v>
      </c>
      <c r="DO50" s="917" t="str">
        <f t="shared" si="33"/>
        <v>-</v>
      </c>
      <c r="DP50" s="917" t="str">
        <f t="shared" si="34"/>
        <v>-</v>
      </c>
      <c r="DQ50" s="917" t="str">
        <f>IF(LEFT(CELLformula(DF50),3)&lt;&gt;"=IF",1,"")</f>
        <v/>
      </c>
      <c r="DR50" s="917" t="str">
        <f>IF(LEFT(CELLformula(DD50),3)&lt;&gt;"=IF",1,"")</f>
        <v/>
      </c>
      <c r="DS50" s="3048">
        <f t="shared" si="43"/>
        <v>0</v>
      </c>
      <c r="DT50" s="3047" t="str">
        <f t="shared" si="44"/>
        <v/>
      </c>
      <c r="DU50" s="3047" t="str">
        <f>IFERROR(IF(G50="","",SUMIF('Lighting Assumptions'!$G$3:$G$112,'6a - Lighting Counts'!G50,'Lighting Assumptions'!$H$3:$H$112)*IF(SI_IP_Units="SI",10.76,1)),"")</f>
        <v/>
      </c>
      <c r="DV50" s="3047" t="str">
        <f>IFERROR(IF($CX50="","",IF(SI_IP_Units="SI",10.76,1)*SUMIF(BAMCategories,$CY50,'Lighting Assumptions'!$E$3:E$35)),"")</f>
        <v/>
      </c>
      <c r="DW50" s="3047" t="str">
        <f>IFERROR(IF($CX50="","",IF(SI_IP_Units="SI",10.76,1)*SUMIF(BAMCategories,$CY50,IF(bpf_reference="ACP",'Lighting Assumptions 90.1-2010'!$E$3:E$35,'Lighting Assumptions 90.1-2016'!$E$3:E$35))),"")</f>
        <v/>
      </c>
      <c r="EW50" s="855"/>
      <c r="EX50" s="855"/>
      <c r="EY50" s="855"/>
      <c r="EZ50" s="855"/>
    </row>
    <row r="51" spans="4:156" x14ac:dyDescent="0.25">
      <c r="D51" s="3019"/>
      <c r="E51" s="3020"/>
      <c r="F51" s="3021">
        <f t="shared" si="45"/>
        <v>0</v>
      </c>
      <c r="G51" s="3059"/>
      <c r="H51" s="3060"/>
      <c r="I51" s="3061"/>
      <c r="J51" s="3061"/>
      <c r="K51" s="3061"/>
      <c r="L51" s="3061"/>
      <c r="M51" s="3061"/>
      <c r="N51" s="3061"/>
      <c r="O51" s="3061"/>
      <c r="P51" s="3061"/>
      <c r="Q51" s="3061"/>
      <c r="R51" s="3061"/>
      <c r="S51" s="3061"/>
      <c r="T51" s="3061"/>
      <c r="U51" s="3061"/>
      <c r="V51" s="3061"/>
      <c r="W51" s="3061"/>
      <c r="X51" s="3061"/>
      <c r="Y51" s="3061"/>
      <c r="Z51" s="3061"/>
      <c r="AA51" s="3061"/>
      <c r="AB51" s="3061"/>
      <c r="AC51" s="3061"/>
      <c r="AD51" s="3061"/>
      <c r="AE51" s="3061"/>
      <c r="AF51" s="3061"/>
      <c r="AG51" s="3061"/>
      <c r="AH51" s="3061"/>
      <c r="AI51" s="3061"/>
      <c r="AJ51" s="3061"/>
      <c r="AK51" s="3061"/>
      <c r="AL51" s="3061"/>
      <c r="AM51" s="3061"/>
      <c r="AN51" s="3061"/>
      <c r="AO51" s="3061"/>
      <c r="AP51" s="3061"/>
      <c r="AQ51" s="3061"/>
      <c r="AR51" s="3061"/>
      <c r="AS51" s="3061"/>
      <c r="AT51" s="3061"/>
      <c r="AU51" s="3061"/>
      <c r="AV51" s="3061"/>
      <c r="AW51" s="3061"/>
      <c r="AX51" s="3061"/>
      <c r="AY51" s="3061"/>
      <c r="AZ51" s="3061"/>
      <c r="BA51" s="3061"/>
      <c r="BB51" s="3061"/>
      <c r="BC51" s="3061"/>
      <c r="BD51" s="3061"/>
      <c r="BE51" s="3061"/>
      <c r="BF51" s="3061"/>
      <c r="BG51" s="3061"/>
      <c r="BH51" s="3061"/>
      <c r="BI51" s="3061"/>
      <c r="BJ51" s="3061"/>
      <c r="BK51" s="3061"/>
      <c r="BL51" s="3061"/>
      <c r="BM51" s="3061"/>
      <c r="BN51" s="3061"/>
      <c r="BO51" s="3061"/>
      <c r="BP51" s="3061"/>
      <c r="BQ51" s="3061"/>
      <c r="BR51" s="3061"/>
      <c r="BS51" s="3061"/>
      <c r="BT51" s="3061"/>
      <c r="BU51" s="3061"/>
      <c r="BV51" s="3061"/>
      <c r="BW51" s="3061"/>
      <c r="BX51" s="3061"/>
      <c r="BY51" s="3061"/>
      <c r="BZ51" s="3061"/>
      <c r="CA51" s="3061"/>
      <c r="CB51" s="3061"/>
      <c r="CC51" s="3061"/>
      <c r="CD51" s="3061"/>
      <c r="CE51" s="3061"/>
      <c r="CF51" s="3061"/>
      <c r="CG51" s="3061"/>
      <c r="CH51" s="3061"/>
      <c r="CI51" s="3061"/>
      <c r="CJ51" s="3061"/>
      <c r="CK51" s="3061"/>
      <c r="CL51" s="3061"/>
      <c r="CM51" s="3061"/>
      <c r="CN51" s="3061"/>
      <c r="CO51" s="3061"/>
      <c r="CP51" s="3061"/>
      <c r="CQ51" s="3061"/>
      <c r="CR51" s="3061"/>
      <c r="CS51" s="3062"/>
      <c r="CT51" s="3063"/>
      <c r="CU51" s="3064">
        <f t="shared" si="35"/>
        <v>1</v>
      </c>
      <c r="CV51" s="3022" t="str">
        <f>IF(OR(CT51="",CT51="None"),"-",DO51*CU51*SUMIF('Lighting Assumptions'!$G$3:$G$112,'6a - Lighting Counts'!G51,'Lighting Assumptions'!$J$3:$J$112))</f>
        <v>-</v>
      </c>
      <c r="CW51" s="3021"/>
      <c r="CX51" s="3021"/>
      <c r="CY51" s="3046"/>
      <c r="CZ51" s="2098">
        <f t="shared" si="36"/>
        <v>0</v>
      </c>
      <c r="DA51" s="2098" t="str">
        <f t="shared" si="37"/>
        <v>-</v>
      </c>
      <c r="DB51" s="2098">
        <f t="shared" si="38"/>
        <v>0</v>
      </c>
      <c r="DC51" s="3023" t="str">
        <f t="shared" si="39"/>
        <v>-</v>
      </c>
      <c r="DD51" s="3024" t="str">
        <f t="shared" si="40"/>
        <v/>
      </c>
      <c r="DE51" s="3025" t="str">
        <f t="shared" si="41"/>
        <v>-</v>
      </c>
      <c r="DF51" s="3024" t="str">
        <f t="shared" si="32"/>
        <v>-</v>
      </c>
      <c r="DG51" s="2098">
        <f t="shared" si="42"/>
        <v>0</v>
      </c>
      <c r="DH51" s="2098">
        <f t="array" ref="DH51">MIN(SUMPRODUCT(I51:CR51,IF($I$25:$CR$25="yes",1,0),$I$23:$CR$23),H51)</f>
        <v>0</v>
      </c>
      <c r="DI51" s="3026"/>
      <c r="DJ51" s="3021"/>
      <c r="DN51" s="917" t="str">
        <f>IF(CS51="","-",SUMIF('Lighting Assumptions'!$G$3:$G$112,'6a - Lighting Counts'!G51,'Lighting Assumptions'!$J$3:$J$112))</f>
        <v>-</v>
      </c>
      <c r="DO51" s="917" t="str">
        <f t="shared" si="33"/>
        <v>-</v>
      </c>
      <c r="DP51" s="917" t="str">
        <f t="shared" si="34"/>
        <v>-</v>
      </c>
      <c r="DQ51" s="917" t="str">
        <f>IF(LEFT(CELLformula(DF51),3)&lt;&gt;"=IF",1,"")</f>
        <v/>
      </c>
      <c r="DR51" s="917" t="str">
        <f>IF(LEFT(CELLformula(DD51),3)&lt;&gt;"=IF",1,"")</f>
        <v/>
      </c>
      <c r="DS51" s="3048">
        <f t="shared" si="43"/>
        <v>0</v>
      </c>
      <c r="DT51" s="3047" t="str">
        <f t="shared" si="44"/>
        <v/>
      </c>
      <c r="DU51" s="3047" t="str">
        <f>IFERROR(IF(G51="","",SUMIF('Lighting Assumptions'!$G$3:$G$112,'6a - Lighting Counts'!G51,'Lighting Assumptions'!$H$3:$H$112)*IF(SI_IP_Units="SI",10.76,1)),"")</f>
        <v/>
      </c>
      <c r="DV51" s="3047" t="str">
        <f>IFERROR(IF($CX51="","",IF(SI_IP_Units="SI",10.76,1)*SUMIF(BAMCategories,$CY51,'Lighting Assumptions'!$E$3:E$35)),"")</f>
        <v/>
      </c>
      <c r="DW51" s="3047" t="str">
        <f>IFERROR(IF($CX51="","",IF(SI_IP_Units="SI",10.76,1)*SUMIF(BAMCategories,$CY51,IF(bpf_reference="ACP",'Lighting Assumptions 90.1-2010'!$E$3:E$35,'Lighting Assumptions 90.1-2016'!$E$3:E$35))),"")</f>
        <v/>
      </c>
      <c r="EW51" s="855"/>
      <c r="EX51" s="855"/>
      <c r="EY51" s="855"/>
      <c r="EZ51" s="855"/>
    </row>
    <row r="52" spans="4:156" x14ac:dyDescent="0.25">
      <c r="D52" s="3019"/>
      <c r="E52" s="3020"/>
      <c r="F52" s="3021">
        <f t="shared" si="45"/>
        <v>0</v>
      </c>
      <c r="G52" s="3059"/>
      <c r="H52" s="3060"/>
      <c r="I52" s="3061"/>
      <c r="J52" s="3061"/>
      <c r="K52" s="3061"/>
      <c r="L52" s="3061"/>
      <c r="M52" s="3061"/>
      <c r="N52" s="3061"/>
      <c r="O52" s="3061"/>
      <c r="P52" s="3061"/>
      <c r="Q52" s="3061"/>
      <c r="R52" s="3061"/>
      <c r="S52" s="3061"/>
      <c r="T52" s="3061"/>
      <c r="U52" s="3061"/>
      <c r="V52" s="3061"/>
      <c r="W52" s="3061"/>
      <c r="X52" s="3061"/>
      <c r="Y52" s="3061"/>
      <c r="Z52" s="3061"/>
      <c r="AA52" s="3061"/>
      <c r="AB52" s="3061"/>
      <c r="AC52" s="3061"/>
      <c r="AD52" s="3061"/>
      <c r="AE52" s="3061"/>
      <c r="AF52" s="3061"/>
      <c r="AG52" s="3061"/>
      <c r="AH52" s="3061"/>
      <c r="AI52" s="3061"/>
      <c r="AJ52" s="3061"/>
      <c r="AK52" s="3061"/>
      <c r="AL52" s="3061"/>
      <c r="AM52" s="3061"/>
      <c r="AN52" s="3061"/>
      <c r="AO52" s="3061"/>
      <c r="AP52" s="3061"/>
      <c r="AQ52" s="3061"/>
      <c r="AR52" s="3061"/>
      <c r="AS52" s="3061"/>
      <c r="AT52" s="3061"/>
      <c r="AU52" s="3061"/>
      <c r="AV52" s="3061"/>
      <c r="AW52" s="3061"/>
      <c r="AX52" s="3061"/>
      <c r="AY52" s="3061"/>
      <c r="AZ52" s="3061"/>
      <c r="BA52" s="3061"/>
      <c r="BB52" s="3061"/>
      <c r="BC52" s="3061"/>
      <c r="BD52" s="3061"/>
      <c r="BE52" s="3061"/>
      <c r="BF52" s="3061"/>
      <c r="BG52" s="3061"/>
      <c r="BH52" s="3061"/>
      <c r="BI52" s="3061"/>
      <c r="BJ52" s="3061"/>
      <c r="BK52" s="3061"/>
      <c r="BL52" s="3061"/>
      <c r="BM52" s="3061"/>
      <c r="BN52" s="3061"/>
      <c r="BO52" s="3061"/>
      <c r="BP52" s="3061"/>
      <c r="BQ52" s="3061"/>
      <c r="BR52" s="3061"/>
      <c r="BS52" s="3061"/>
      <c r="BT52" s="3061"/>
      <c r="BU52" s="3061"/>
      <c r="BV52" s="3061"/>
      <c r="BW52" s="3061"/>
      <c r="BX52" s="3061"/>
      <c r="BY52" s="3061"/>
      <c r="BZ52" s="3061"/>
      <c r="CA52" s="3061"/>
      <c r="CB52" s="3061"/>
      <c r="CC52" s="3061"/>
      <c r="CD52" s="3061"/>
      <c r="CE52" s="3061"/>
      <c r="CF52" s="3061"/>
      <c r="CG52" s="3061"/>
      <c r="CH52" s="3061"/>
      <c r="CI52" s="3061"/>
      <c r="CJ52" s="3061"/>
      <c r="CK52" s="3061"/>
      <c r="CL52" s="3061"/>
      <c r="CM52" s="3061"/>
      <c r="CN52" s="3061"/>
      <c r="CO52" s="3061"/>
      <c r="CP52" s="3061"/>
      <c r="CQ52" s="3061"/>
      <c r="CR52" s="3061"/>
      <c r="CS52" s="3062"/>
      <c r="CT52" s="3063"/>
      <c r="CU52" s="3064">
        <f t="shared" si="35"/>
        <v>1</v>
      </c>
      <c r="CV52" s="3022" t="str">
        <f>IF(OR(CT52="",CT52="None"),"-",DO52*CU52*SUMIF('Lighting Assumptions'!$G$3:$G$112,'6a - Lighting Counts'!G52,'Lighting Assumptions'!$J$3:$J$112))</f>
        <v>-</v>
      </c>
      <c r="CW52" s="3021"/>
      <c r="CX52" s="3021"/>
      <c r="CY52" s="3046"/>
      <c r="CZ52" s="2098">
        <f t="shared" si="36"/>
        <v>0</v>
      </c>
      <c r="DA52" s="2098" t="str">
        <f t="shared" si="37"/>
        <v>-</v>
      </c>
      <c r="DB52" s="2098">
        <f t="shared" si="38"/>
        <v>0</v>
      </c>
      <c r="DC52" s="3023" t="str">
        <f t="shared" si="39"/>
        <v>-</v>
      </c>
      <c r="DD52" s="3024" t="str">
        <f t="shared" si="40"/>
        <v/>
      </c>
      <c r="DE52" s="3025" t="str">
        <f t="shared" si="41"/>
        <v>-</v>
      </c>
      <c r="DF52" s="3024" t="str">
        <f t="shared" si="32"/>
        <v>-</v>
      </c>
      <c r="DG52" s="2098">
        <f t="shared" si="42"/>
        <v>0</v>
      </c>
      <c r="DH52" s="2098">
        <f t="array" ref="DH52">MIN(SUMPRODUCT(I52:CR52,IF($I$25:$CR$25="yes",1,0),$I$23:$CR$23),H52)</f>
        <v>0</v>
      </c>
      <c r="DI52" s="3026"/>
      <c r="DJ52" s="3021"/>
      <c r="DN52" s="917" t="str">
        <f>IF(CS52="","-",SUMIF('Lighting Assumptions'!$G$3:$G$112,'6a - Lighting Counts'!G52,'Lighting Assumptions'!$J$3:$J$112))</f>
        <v>-</v>
      </c>
      <c r="DO52" s="917" t="str">
        <f t="shared" si="33"/>
        <v>-</v>
      </c>
      <c r="DP52" s="917" t="str">
        <f t="shared" si="34"/>
        <v>-</v>
      </c>
      <c r="DQ52" s="917" t="str">
        <f>IF(LEFT(CELLformula(DF52),3)&lt;&gt;"=IF",1,"")</f>
        <v/>
      </c>
      <c r="DR52" s="917" t="str">
        <f>IF(LEFT(CELLformula(DD52),3)&lt;&gt;"=IF",1,"")</f>
        <v/>
      </c>
      <c r="DS52" s="3048">
        <f t="shared" si="43"/>
        <v>0</v>
      </c>
      <c r="DT52" s="3047" t="str">
        <f t="shared" si="44"/>
        <v/>
      </c>
      <c r="DU52" s="3047" t="str">
        <f>IFERROR(IF(G52="","",SUMIF('Lighting Assumptions'!$G$3:$G$112,'6a - Lighting Counts'!G52,'Lighting Assumptions'!$H$3:$H$112)*IF(SI_IP_Units="SI",10.76,1)),"")</f>
        <v/>
      </c>
      <c r="DV52" s="3047" t="str">
        <f>IFERROR(IF($CX52="","",IF(SI_IP_Units="SI",10.76,1)*SUMIF(BAMCategories,$CY52,'Lighting Assumptions'!$E$3:E$35)),"")</f>
        <v/>
      </c>
      <c r="DW52" s="3047" t="str">
        <f>IFERROR(IF($CX52="","",IF(SI_IP_Units="SI",10.76,1)*SUMIF(BAMCategories,$CY52,IF(bpf_reference="ACP",'Lighting Assumptions 90.1-2010'!$E$3:E$35,'Lighting Assumptions 90.1-2016'!$E$3:E$35))),"")</f>
        <v/>
      </c>
      <c r="EW52" s="855"/>
      <c r="EX52" s="855"/>
      <c r="EY52" s="855"/>
      <c r="EZ52" s="855"/>
    </row>
    <row r="53" spans="4:156" x14ac:dyDescent="0.25">
      <c r="D53" s="3019"/>
      <c r="E53" s="3020"/>
      <c r="F53" s="3021">
        <f t="shared" si="45"/>
        <v>0</v>
      </c>
      <c r="G53" s="3059"/>
      <c r="H53" s="3060"/>
      <c r="I53" s="3061"/>
      <c r="J53" s="3061"/>
      <c r="K53" s="3061"/>
      <c r="L53" s="3061"/>
      <c r="M53" s="3061"/>
      <c r="N53" s="3061"/>
      <c r="O53" s="3061"/>
      <c r="P53" s="3061"/>
      <c r="Q53" s="3061"/>
      <c r="R53" s="3061"/>
      <c r="S53" s="3061"/>
      <c r="T53" s="3061"/>
      <c r="U53" s="3061"/>
      <c r="V53" s="3061"/>
      <c r="W53" s="3061"/>
      <c r="X53" s="3061"/>
      <c r="Y53" s="3061"/>
      <c r="Z53" s="3061"/>
      <c r="AA53" s="3061"/>
      <c r="AB53" s="3061"/>
      <c r="AC53" s="3061"/>
      <c r="AD53" s="3061"/>
      <c r="AE53" s="3061"/>
      <c r="AF53" s="3061"/>
      <c r="AG53" s="3061"/>
      <c r="AH53" s="3061"/>
      <c r="AI53" s="3061"/>
      <c r="AJ53" s="3061"/>
      <c r="AK53" s="3061"/>
      <c r="AL53" s="3061"/>
      <c r="AM53" s="3061"/>
      <c r="AN53" s="3061"/>
      <c r="AO53" s="3061"/>
      <c r="AP53" s="3061"/>
      <c r="AQ53" s="3061"/>
      <c r="AR53" s="3061"/>
      <c r="AS53" s="3061"/>
      <c r="AT53" s="3061"/>
      <c r="AU53" s="3061"/>
      <c r="AV53" s="3061"/>
      <c r="AW53" s="3061"/>
      <c r="AX53" s="3061"/>
      <c r="AY53" s="3061"/>
      <c r="AZ53" s="3061"/>
      <c r="BA53" s="3061"/>
      <c r="BB53" s="3061"/>
      <c r="BC53" s="3061"/>
      <c r="BD53" s="3061"/>
      <c r="BE53" s="3061"/>
      <c r="BF53" s="3061"/>
      <c r="BG53" s="3061"/>
      <c r="BH53" s="3061"/>
      <c r="BI53" s="3061"/>
      <c r="BJ53" s="3061"/>
      <c r="BK53" s="3061"/>
      <c r="BL53" s="3061"/>
      <c r="BM53" s="3061"/>
      <c r="BN53" s="3061"/>
      <c r="BO53" s="3061"/>
      <c r="BP53" s="3061"/>
      <c r="BQ53" s="3061"/>
      <c r="BR53" s="3061"/>
      <c r="BS53" s="3061"/>
      <c r="BT53" s="3061"/>
      <c r="BU53" s="3061"/>
      <c r="BV53" s="3061"/>
      <c r="BW53" s="3061"/>
      <c r="BX53" s="3061"/>
      <c r="BY53" s="3061"/>
      <c r="BZ53" s="3061"/>
      <c r="CA53" s="3061"/>
      <c r="CB53" s="3061"/>
      <c r="CC53" s="3061"/>
      <c r="CD53" s="3061"/>
      <c r="CE53" s="3061"/>
      <c r="CF53" s="3061"/>
      <c r="CG53" s="3061"/>
      <c r="CH53" s="3061"/>
      <c r="CI53" s="3061"/>
      <c r="CJ53" s="3061"/>
      <c r="CK53" s="3061"/>
      <c r="CL53" s="3061"/>
      <c r="CM53" s="3061"/>
      <c r="CN53" s="3061"/>
      <c r="CO53" s="3061"/>
      <c r="CP53" s="3061"/>
      <c r="CQ53" s="3061"/>
      <c r="CR53" s="3061"/>
      <c r="CS53" s="3062"/>
      <c r="CT53" s="3063"/>
      <c r="CU53" s="3064">
        <f t="shared" si="35"/>
        <v>1</v>
      </c>
      <c r="CV53" s="3022" t="str">
        <f>IF(OR(CT53="",CT53="None"),"-",DO53*CU53*SUMIF('Lighting Assumptions'!$G$3:$G$112,'6a - Lighting Counts'!G53,'Lighting Assumptions'!$J$3:$J$112))</f>
        <v>-</v>
      </c>
      <c r="CW53" s="3021"/>
      <c r="CX53" s="3021"/>
      <c r="CY53" s="3046"/>
      <c r="CZ53" s="2098">
        <f t="shared" si="36"/>
        <v>0</v>
      </c>
      <c r="DA53" s="2098" t="str">
        <f t="shared" si="37"/>
        <v>-</v>
      </c>
      <c r="DB53" s="2098">
        <f t="shared" si="38"/>
        <v>0</v>
      </c>
      <c r="DC53" s="3023" t="str">
        <f t="shared" si="39"/>
        <v>-</v>
      </c>
      <c r="DD53" s="3024" t="str">
        <f t="shared" si="40"/>
        <v/>
      </c>
      <c r="DE53" s="3025" t="str">
        <f t="shared" si="41"/>
        <v>-</v>
      </c>
      <c r="DF53" s="3024" t="str">
        <f t="shared" si="32"/>
        <v>-</v>
      </c>
      <c r="DG53" s="2098">
        <f t="shared" si="42"/>
        <v>0</v>
      </c>
      <c r="DH53" s="2098">
        <f t="array" ref="DH53">MIN(SUMPRODUCT(I53:CR53,IF($I$25:$CR$25="yes",1,0),$I$23:$CR$23),H53)</f>
        <v>0</v>
      </c>
      <c r="DI53" s="3026"/>
      <c r="DJ53" s="3021"/>
      <c r="DN53" s="917" t="str">
        <f>IF(CS53="","-",SUMIF('Lighting Assumptions'!$G$3:$G$112,'6a - Lighting Counts'!G53,'Lighting Assumptions'!$J$3:$J$112))</f>
        <v>-</v>
      </c>
      <c r="DO53" s="917" t="str">
        <f t="shared" si="33"/>
        <v>-</v>
      </c>
      <c r="DP53" s="917" t="str">
        <f t="shared" si="34"/>
        <v>-</v>
      </c>
      <c r="DQ53" s="917" t="str">
        <f>IF(LEFT(CELLformula(DF53),3)&lt;&gt;"=IF",1,"")</f>
        <v/>
      </c>
      <c r="DR53" s="917" t="str">
        <f>IF(LEFT(CELLformula(DD53),3)&lt;&gt;"=IF",1,"")</f>
        <v/>
      </c>
      <c r="DS53" s="3048">
        <f t="shared" si="43"/>
        <v>0</v>
      </c>
      <c r="DT53" s="3047" t="str">
        <f t="shared" si="44"/>
        <v/>
      </c>
      <c r="DU53" s="3047" t="str">
        <f>IFERROR(IF(G53="","",SUMIF('Lighting Assumptions'!$G$3:$G$112,'6a - Lighting Counts'!G53,'Lighting Assumptions'!$H$3:$H$112)*IF(SI_IP_Units="SI",10.76,1)),"")</f>
        <v/>
      </c>
      <c r="DV53" s="3047" t="str">
        <f>IFERROR(IF($CX53="","",IF(SI_IP_Units="SI",10.76,1)*SUMIF(BAMCategories,$CY53,'Lighting Assumptions'!$E$3:E$35)),"")</f>
        <v/>
      </c>
      <c r="DW53" s="3047" t="str">
        <f>IFERROR(IF($CX53="","",IF(SI_IP_Units="SI",10.76,1)*SUMIF(BAMCategories,$CY53,IF(bpf_reference="ACP",'Lighting Assumptions 90.1-2010'!$E$3:E$35,'Lighting Assumptions 90.1-2016'!$E$3:E$35))),"")</f>
        <v/>
      </c>
      <c r="EW53" s="855"/>
      <c r="EX53" s="855"/>
      <c r="EY53" s="855"/>
      <c r="EZ53" s="855"/>
    </row>
    <row r="54" spans="4:156" x14ac:dyDescent="0.25">
      <c r="D54" s="3019"/>
      <c r="E54" s="3020"/>
      <c r="F54" s="3021">
        <f t="shared" si="45"/>
        <v>0</v>
      </c>
      <c r="G54" s="3059"/>
      <c r="H54" s="3060"/>
      <c r="I54" s="3061"/>
      <c r="J54" s="3061"/>
      <c r="K54" s="3061"/>
      <c r="L54" s="3061"/>
      <c r="M54" s="3061"/>
      <c r="N54" s="3061"/>
      <c r="O54" s="3061"/>
      <c r="P54" s="3061"/>
      <c r="Q54" s="3061"/>
      <c r="R54" s="3061"/>
      <c r="S54" s="3061"/>
      <c r="T54" s="3061"/>
      <c r="U54" s="3061"/>
      <c r="V54" s="3061"/>
      <c r="W54" s="3061"/>
      <c r="X54" s="3061"/>
      <c r="Y54" s="3061"/>
      <c r="Z54" s="3061"/>
      <c r="AA54" s="3061"/>
      <c r="AB54" s="3061"/>
      <c r="AC54" s="3061"/>
      <c r="AD54" s="3061"/>
      <c r="AE54" s="3061"/>
      <c r="AF54" s="3061"/>
      <c r="AG54" s="3061"/>
      <c r="AH54" s="3061"/>
      <c r="AI54" s="3061"/>
      <c r="AJ54" s="3061"/>
      <c r="AK54" s="3061"/>
      <c r="AL54" s="3061"/>
      <c r="AM54" s="3061"/>
      <c r="AN54" s="3061"/>
      <c r="AO54" s="3061"/>
      <c r="AP54" s="3061"/>
      <c r="AQ54" s="3061"/>
      <c r="AR54" s="3061"/>
      <c r="AS54" s="3061"/>
      <c r="AT54" s="3061"/>
      <c r="AU54" s="3061"/>
      <c r="AV54" s="3061"/>
      <c r="AW54" s="3061"/>
      <c r="AX54" s="3061"/>
      <c r="AY54" s="3061"/>
      <c r="AZ54" s="3061"/>
      <c r="BA54" s="3061"/>
      <c r="BB54" s="3061"/>
      <c r="BC54" s="3061"/>
      <c r="BD54" s="3061"/>
      <c r="BE54" s="3061"/>
      <c r="BF54" s="3061"/>
      <c r="BG54" s="3061"/>
      <c r="BH54" s="3061"/>
      <c r="BI54" s="3061"/>
      <c r="BJ54" s="3061"/>
      <c r="BK54" s="3061"/>
      <c r="BL54" s="3061"/>
      <c r="BM54" s="3061"/>
      <c r="BN54" s="3061"/>
      <c r="BO54" s="3061"/>
      <c r="BP54" s="3061"/>
      <c r="BQ54" s="3061"/>
      <c r="BR54" s="3061"/>
      <c r="BS54" s="3061"/>
      <c r="BT54" s="3061"/>
      <c r="BU54" s="3061"/>
      <c r="BV54" s="3061"/>
      <c r="BW54" s="3061"/>
      <c r="BX54" s="3061"/>
      <c r="BY54" s="3061"/>
      <c r="BZ54" s="3061"/>
      <c r="CA54" s="3061"/>
      <c r="CB54" s="3061"/>
      <c r="CC54" s="3061"/>
      <c r="CD54" s="3061"/>
      <c r="CE54" s="3061"/>
      <c r="CF54" s="3061"/>
      <c r="CG54" s="3061"/>
      <c r="CH54" s="3061"/>
      <c r="CI54" s="3061"/>
      <c r="CJ54" s="3061"/>
      <c r="CK54" s="3061"/>
      <c r="CL54" s="3061"/>
      <c r="CM54" s="3061"/>
      <c r="CN54" s="3061"/>
      <c r="CO54" s="3061"/>
      <c r="CP54" s="3061"/>
      <c r="CQ54" s="3061"/>
      <c r="CR54" s="3061"/>
      <c r="CS54" s="3062"/>
      <c r="CT54" s="3063"/>
      <c r="CU54" s="3064">
        <f t="shared" si="35"/>
        <v>1</v>
      </c>
      <c r="CV54" s="3022" t="str">
        <f>IF(OR(CT54="",CT54="None"),"-",DO54*CU54*SUMIF('Lighting Assumptions'!$G$3:$G$112,'6a - Lighting Counts'!G54,'Lighting Assumptions'!$J$3:$J$112))</f>
        <v>-</v>
      </c>
      <c r="CW54" s="3021"/>
      <c r="CX54" s="3021"/>
      <c r="CY54" s="3046"/>
      <c r="CZ54" s="2098">
        <f t="shared" si="36"/>
        <v>0</v>
      </c>
      <c r="DA54" s="2098" t="str">
        <f t="shared" si="37"/>
        <v>-</v>
      </c>
      <c r="DB54" s="2098">
        <f t="shared" si="38"/>
        <v>0</v>
      </c>
      <c r="DC54" s="3023" t="str">
        <f t="shared" si="39"/>
        <v>-</v>
      </c>
      <c r="DD54" s="3024" t="str">
        <f t="shared" si="40"/>
        <v/>
      </c>
      <c r="DE54" s="3025" t="str">
        <f t="shared" si="41"/>
        <v>-</v>
      </c>
      <c r="DF54" s="3024" t="str">
        <f t="shared" si="32"/>
        <v>-</v>
      </c>
      <c r="DG54" s="2098">
        <f t="shared" si="42"/>
        <v>0</v>
      </c>
      <c r="DH54" s="2098">
        <f t="array" ref="DH54">MIN(SUMPRODUCT(I54:CR54,IF($I$25:$CR$25="yes",1,0),$I$23:$CR$23),H54)</f>
        <v>0</v>
      </c>
      <c r="DI54" s="3026"/>
      <c r="DJ54" s="3021"/>
      <c r="DN54" s="917" t="str">
        <f>IF(CS54="","-",SUMIF('Lighting Assumptions'!$G$3:$G$112,'6a - Lighting Counts'!G54,'Lighting Assumptions'!$J$3:$J$112))</f>
        <v>-</v>
      </c>
      <c r="DO54" s="917" t="str">
        <f t="shared" si="33"/>
        <v>-</v>
      </c>
      <c r="DP54" s="917" t="str">
        <f t="shared" si="34"/>
        <v>-</v>
      </c>
      <c r="DQ54" s="917" t="str">
        <f>IF(LEFT(CELLformula(DF54),3)&lt;&gt;"=IF",1,"")</f>
        <v/>
      </c>
      <c r="DR54" s="917" t="str">
        <f>IF(LEFT(CELLformula(DD54),3)&lt;&gt;"=IF",1,"")</f>
        <v/>
      </c>
      <c r="DS54" s="3048">
        <f t="shared" si="43"/>
        <v>0</v>
      </c>
      <c r="DT54" s="3047" t="str">
        <f t="shared" si="44"/>
        <v/>
      </c>
      <c r="DU54" s="3047" t="str">
        <f>IFERROR(IF(G54="","",SUMIF('Lighting Assumptions'!$G$3:$G$112,'6a - Lighting Counts'!G54,'Lighting Assumptions'!$H$3:$H$112)*IF(SI_IP_Units="SI",10.76,1)),"")</f>
        <v/>
      </c>
      <c r="DV54" s="3047" t="str">
        <f>IFERROR(IF($CX54="","",IF(SI_IP_Units="SI",10.76,1)*SUMIF(BAMCategories,$CY54,'Lighting Assumptions'!$E$3:E$35)),"")</f>
        <v/>
      </c>
      <c r="DW54" s="3047" t="str">
        <f>IFERROR(IF($CX54="","",IF(SI_IP_Units="SI",10.76,1)*SUMIF(BAMCategories,$CY54,IF(bpf_reference="ACP",'Lighting Assumptions 90.1-2010'!$E$3:E$35,'Lighting Assumptions 90.1-2016'!$E$3:E$35))),"")</f>
        <v/>
      </c>
      <c r="EW54" s="855"/>
      <c r="EX54" s="855"/>
      <c r="EY54" s="855"/>
      <c r="EZ54" s="855"/>
    </row>
    <row r="55" spans="4:156" x14ac:dyDescent="0.25">
      <c r="D55" s="3019"/>
      <c r="E55" s="3020"/>
      <c r="F55" s="3021">
        <f t="shared" si="45"/>
        <v>0</v>
      </c>
      <c r="G55" s="3059"/>
      <c r="H55" s="3060"/>
      <c r="I55" s="3061"/>
      <c r="J55" s="3061"/>
      <c r="K55" s="3061"/>
      <c r="L55" s="3061"/>
      <c r="M55" s="3061"/>
      <c r="N55" s="3061"/>
      <c r="O55" s="3061"/>
      <c r="P55" s="3061"/>
      <c r="Q55" s="3061"/>
      <c r="R55" s="3061"/>
      <c r="S55" s="3061"/>
      <c r="T55" s="3061"/>
      <c r="U55" s="3061"/>
      <c r="V55" s="3061"/>
      <c r="W55" s="3061"/>
      <c r="X55" s="3061"/>
      <c r="Y55" s="3061"/>
      <c r="Z55" s="3061"/>
      <c r="AA55" s="3061"/>
      <c r="AB55" s="3061"/>
      <c r="AC55" s="3061"/>
      <c r="AD55" s="3061"/>
      <c r="AE55" s="3061"/>
      <c r="AF55" s="3061"/>
      <c r="AG55" s="3061"/>
      <c r="AH55" s="3061"/>
      <c r="AI55" s="3061"/>
      <c r="AJ55" s="3061"/>
      <c r="AK55" s="3061"/>
      <c r="AL55" s="3061"/>
      <c r="AM55" s="3061"/>
      <c r="AN55" s="3061"/>
      <c r="AO55" s="3061"/>
      <c r="AP55" s="3061"/>
      <c r="AQ55" s="3061"/>
      <c r="AR55" s="3061"/>
      <c r="AS55" s="3061"/>
      <c r="AT55" s="3061"/>
      <c r="AU55" s="3061"/>
      <c r="AV55" s="3061"/>
      <c r="AW55" s="3061"/>
      <c r="AX55" s="3061"/>
      <c r="AY55" s="3061"/>
      <c r="AZ55" s="3061"/>
      <c r="BA55" s="3061"/>
      <c r="BB55" s="3061"/>
      <c r="BC55" s="3061"/>
      <c r="BD55" s="3061"/>
      <c r="BE55" s="3061"/>
      <c r="BF55" s="3061"/>
      <c r="BG55" s="3061"/>
      <c r="BH55" s="3061"/>
      <c r="BI55" s="3061"/>
      <c r="BJ55" s="3061"/>
      <c r="BK55" s="3061"/>
      <c r="BL55" s="3061"/>
      <c r="BM55" s="3061"/>
      <c r="BN55" s="3061"/>
      <c r="BO55" s="3061"/>
      <c r="BP55" s="3061"/>
      <c r="BQ55" s="3061"/>
      <c r="BR55" s="3061"/>
      <c r="BS55" s="3061"/>
      <c r="BT55" s="3061"/>
      <c r="BU55" s="3061"/>
      <c r="BV55" s="3061"/>
      <c r="BW55" s="3061"/>
      <c r="BX55" s="3061"/>
      <c r="BY55" s="3061"/>
      <c r="BZ55" s="3061"/>
      <c r="CA55" s="3061"/>
      <c r="CB55" s="3061"/>
      <c r="CC55" s="3061"/>
      <c r="CD55" s="3061"/>
      <c r="CE55" s="3061"/>
      <c r="CF55" s="3061"/>
      <c r="CG55" s="3061"/>
      <c r="CH55" s="3061"/>
      <c r="CI55" s="3061"/>
      <c r="CJ55" s="3061"/>
      <c r="CK55" s="3061"/>
      <c r="CL55" s="3061"/>
      <c r="CM55" s="3061"/>
      <c r="CN55" s="3061"/>
      <c r="CO55" s="3061"/>
      <c r="CP55" s="3061"/>
      <c r="CQ55" s="3061"/>
      <c r="CR55" s="3061"/>
      <c r="CS55" s="3062"/>
      <c r="CT55" s="3063"/>
      <c r="CU55" s="3064">
        <f t="shared" si="35"/>
        <v>1</v>
      </c>
      <c r="CV55" s="3022" t="str">
        <f>IF(OR(CT55="",CT55="None"),"-",DO55*CU55*SUMIF('Lighting Assumptions'!$G$3:$G$112,'6a - Lighting Counts'!G55,'Lighting Assumptions'!$J$3:$J$112))</f>
        <v>-</v>
      </c>
      <c r="CW55" s="3021"/>
      <c r="CX55" s="3021"/>
      <c r="CY55" s="3046"/>
      <c r="CZ55" s="2098">
        <f t="shared" si="36"/>
        <v>0</v>
      </c>
      <c r="DA55" s="2098" t="str">
        <f t="shared" si="37"/>
        <v>-</v>
      </c>
      <c r="DB55" s="2098">
        <f t="shared" si="38"/>
        <v>0</v>
      </c>
      <c r="DC55" s="3023" t="str">
        <f t="shared" si="39"/>
        <v>-</v>
      </c>
      <c r="DD55" s="3024" t="str">
        <f t="shared" si="40"/>
        <v/>
      </c>
      <c r="DE55" s="3025" t="str">
        <f t="shared" si="41"/>
        <v>-</v>
      </c>
      <c r="DF55" s="3024" t="str">
        <f t="shared" si="32"/>
        <v>-</v>
      </c>
      <c r="DG55" s="2098">
        <f t="shared" si="42"/>
        <v>0</v>
      </c>
      <c r="DH55" s="2098">
        <f t="array" ref="DH55">MIN(SUMPRODUCT(I55:CR55,IF($I$25:$CR$25="yes",1,0),$I$23:$CR$23),H55)</f>
        <v>0</v>
      </c>
      <c r="DI55" s="3026"/>
      <c r="DJ55" s="3021"/>
      <c r="DN55" s="917" t="str">
        <f>IF(CS55="","-",SUMIF('Lighting Assumptions'!$G$3:$G$112,'6a - Lighting Counts'!G55,'Lighting Assumptions'!$J$3:$J$112))</f>
        <v>-</v>
      </c>
      <c r="DO55" s="917" t="str">
        <f t="shared" si="33"/>
        <v>-</v>
      </c>
      <c r="DP55" s="917" t="str">
        <f t="shared" si="34"/>
        <v>-</v>
      </c>
      <c r="DQ55" s="917" t="str">
        <f>IF(LEFT(CELLformula(DF55),3)&lt;&gt;"=IF",1,"")</f>
        <v/>
      </c>
      <c r="DR55" s="917" t="str">
        <f>IF(LEFT(CELLformula(DD55),3)&lt;&gt;"=IF",1,"")</f>
        <v/>
      </c>
      <c r="DS55" s="3048">
        <f t="shared" si="43"/>
        <v>0</v>
      </c>
      <c r="DT55" s="3047" t="str">
        <f t="shared" si="44"/>
        <v/>
      </c>
      <c r="DU55" s="3047" t="str">
        <f>IFERROR(IF(G55="","",SUMIF('Lighting Assumptions'!$G$3:$G$112,'6a - Lighting Counts'!G55,'Lighting Assumptions'!$H$3:$H$112)*IF(SI_IP_Units="SI",10.76,1)),"")</f>
        <v/>
      </c>
      <c r="DV55" s="3047" t="str">
        <f>IFERROR(IF($CX55="","",IF(SI_IP_Units="SI",10.76,1)*SUMIF(BAMCategories,$CY55,'Lighting Assumptions'!$E$3:E$35)),"")</f>
        <v/>
      </c>
      <c r="DW55" s="3047" t="str">
        <f>IFERROR(IF($CX55="","",IF(SI_IP_Units="SI",10.76,1)*SUMIF(BAMCategories,$CY55,IF(bpf_reference="ACP",'Lighting Assumptions 90.1-2010'!$E$3:E$35,'Lighting Assumptions 90.1-2016'!$E$3:E$35))),"")</f>
        <v/>
      </c>
      <c r="EW55" s="855"/>
      <c r="EX55" s="855"/>
      <c r="EY55" s="855"/>
      <c r="EZ55" s="855"/>
    </row>
    <row r="56" spans="4:156" x14ac:dyDescent="0.25">
      <c r="D56" s="3019"/>
      <c r="E56" s="3020"/>
      <c r="F56" s="3021">
        <f t="shared" si="45"/>
        <v>0</v>
      </c>
      <c r="G56" s="3059"/>
      <c r="H56" s="3060"/>
      <c r="I56" s="3061"/>
      <c r="J56" s="3061"/>
      <c r="K56" s="3061"/>
      <c r="L56" s="3061"/>
      <c r="M56" s="3061"/>
      <c r="N56" s="3061"/>
      <c r="O56" s="3061"/>
      <c r="P56" s="3061"/>
      <c r="Q56" s="3061"/>
      <c r="R56" s="3061"/>
      <c r="S56" s="3061"/>
      <c r="T56" s="3061"/>
      <c r="U56" s="3061"/>
      <c r="V56" s="3061"/>
      <c r="W56" s="3061"/>
      <c r="X56" s="3061"/>
      <c r="Y56" s="3061"/>
      <c r="Z56" s="3061"/>
      <c r="AA56" s="3061"/>
      <c r="AB56" s="3061"/>
      <c r="AC56" s="3061"/>
      <c r="AD56" s="3061"/>
      <c r="AE56" s="3061"/>
      <c r="AF56" s="3061"/>
      <c r="AG56" s="3061"/>
      <c r="AH56" s="3061"/>
      <c r="AI56" s="3061"/>
      <c r="AJ56" s="3061"/>
      <c r="AK56" s="3061"/>
      <c r="AL56" s="3061"/>
      <c r="AM56" s="3061"/>
      <c r="AN56" s="3061"/>
      <c r="AO56" s="3061"/>
      <c r="AP56" s="3061"/>
      <c r="AQ56" s="3061"/>
      <c r="AR56" s="3061"/>
      <c r="AS56" s="3061"/>
      <c r="AT56" s="3061"/>
      <c r="AU56" s="3061"/>
      <c r="AV56" s="3061"/>
      <c r="AW56" s="3061"/>
      <c r="AX56" s="3061"/>
      <c r="AY56" s="3061"/>
      <c r="AZ56" s="3061"/>
      <c r="BA56" s="3061"/>
      <c r="BB56" s="3061"/>
      <c r="BC56" s="3061"/>
      <c r="BD56" s="3061"/>
      <c r="BE56" s="3061"/>
      <c r="BF56" s="3061"/>
      <c r="BG56" s="3061"/>
      <c r="BH56" s="3061"/>
      <c r="BI56" s="3061"/>
      <c r="BJ56" s="3061"/>
      <c r="BK56" s="3061"/>
      <c r="BL56" s="3061"/>
      <c r="BM56" s="3061"/>
      <c r="BN56" s="3061"/>
      <c r="BO56" s="3061"/>
      <c r="BP56" s="3061"/>
      <c r="BQ56" s="3061"/>
      <c r="BR56" s="3061"/>
      <c r="BS56" s="3061"/>
      <c r="BT56" s="3061"/>
      <c r="BU56" s="3061"/>
      <c r="BV56" s="3061"/>
      <c r="BW56" s="3061"/>
      <c r="BX56" s="3061"/>
      <c r="BY56" s="3061"/>
      <c r="BZ56" s="3061"/>
      <c r="CA56" s="3061"/>
      <c r="CB56" s="3061"/>
      <c r="CC56" s="3061"/>
      <c r="CD56" s="3061"/>
      <c r="CE56" s="3061"/>
      <c r="CF56" s="3061"/>
      <c r="CG56" s="3061"/>
      <c r="CH56" s="3061"/>
      <c r="CI56" s="3061"/>
      <c r="CJ56" s="3061"/>
      <c r="CK56" s="3061"/>
      <c r="CL56" s="3061"/>
      <c r="CM56" s="3061"/>
      <c r="CN56" s="3061"/>
      <c r="CO56" s="3061"/>
      <c r="CP56" s="3061"/>
      <c r="CQ56" s="3061"/>
      <c r="CR56" s="3061"/>
      <c r="CS56" s="3062"/>
      <c r="CT56" s="3063"/>
      <c r="CU56" s="3064">
        <f t="shared" si="35"/>
        <v>1</v>
      </c>
      <c r="CV56" s="3022" t="str">
        <f>IF(OR(CT56="",CT56="None"),"-",DO56*CU56*SUMIF('Lighting Assumptions'!$G$3:$G$112,'6a - Lighting Counts'!G56,'Lighting Assumptions'!$J$3:$J$112))</f>
        <v>-</v>
      </c>
      <c r="CW56" s="3021"/>
      <c r="CX56" s="3021"/>
      <c r="CY56" s="3046"/>
      <c r="CZ56" s="2098">
        <f t="shared" si="36"/>
        <v>0</v>
      </c>
      <c r="DA56" s="2098" t="str">
        <f t="shared" si="37"/>
        <v>-</v>
      </c>
      <c r="DB56" s="2098">
        <f t="shared" si="38"/>
        <v>0</v>
      </c>
      <c r="DC56" s="3023" t="str">
        <f t="shared" si="39"/>
        <v>-</v>
      </c>
      <c r="DD56" s="3024" t="str">
        <f t="shared" si="40"/>
        <v/>
      </c>
      <c r="DE56" s="3025" t="str">
        <f t="shared" si="41"/>
        <v>-</v>
      </c>
      <c r="DF56" s="3024" t="str">
        <f t="shared" si="32"/>
        <v>-</v>
      </c>
      <c r="DG56" s="2098">
        <f t="shared" si="42"/>
        <v>0</v>
      </c>
      <c r="DH56" s="2098">
        <f t="array" ref="DH56">MIN(SUMPRODUCT(I56:CR56,IF($I$25:$CR$25="yes",1,0),$I$23:$CR$23),H56)</f>
        <v>0</v>
      </c>
      <c r="DI56" s="3026"/>
      <c r="DJ56" s="3021"/>
      <c r="DN56" s="917" t="str">
        <f>IF(CS56="","-",SUMIF('Lighting Assumptions'!$G$3:$G$112,'6a - Lighting Counts'!G56,'Lighting Assumptions'!$J$3:$J$112))</f>
        <v>-</v>
      </c>
      <c r="DO56" s="917" t="str">
        <f t="shared" si="33"/>
        <v>-</v>
      </c>
      <c r="DP56" s="917" t="str">
        <f t="shared" si="34"/>
        <v>-</v>
      </c>
      <c r="DQ56" s="917" t="str">
        <f>IF(LEFT(CELLformula(DF56),3)&lt;&gt;"=IF",1,"")</f>
        <v/>
      </c>
      <c r="DR56" s="917" t="str">
        <f>IF(LEFT(CELLformula(DD56),3)&lt;&gt;"=IF",1,"")</f>
        <v/>
      </c>
      <c r="DS56" s="3048">
        <f t="shared" si="43"/>
        <v>0</v>
      </c>
      <c r="DT56" s="3047" t="str">
        <f t="shared" si="44"/>
        <v/>
      </c>
      <c r="DU56" s="3047" t="str">
        <f>IFERROR(IF(G56="","",SUMIF('Lighting Assumptions'!$G$3:$G$112,'6a - Lighting Counts'!G56,'Lighting Assumptions'!$H$3:$H$112)*IF(SI_IP_Units="SI",10.76,1)),"")</f>
        <v/>
      </c>
      <c r="DV56" s="3047" t="str">
        <f>IFERROR(IF($CX56="","",IF(SI_IP_Units="SI",10.76,1)*SUMIF(BAMCategories,$CY56,'Lighting Assumptions'!$E$3:E$35)),"")</f>
        <v/>
      </c>
      <c r="DW56" s="3047" t="str">
        <f>IFERROR(IF($CX56="","",IF(SI_IP_Units="SI",10.76,1)*SUMIF(BAMCategories,$CY56,IF(bpf_reference="ACP",'Lighting Assumptions 90.1-2010'!$E$3:E$35,'Lighting Assumptions 90.1-2016'!$E$3:E$35))),"")</f>
        <v/>
      </c>
      <c r="EW56" s="855"/>
      <c r="EX56" s="855"/>
      <c r="EY56" s="855"/>
      <c r="EZ56" s="855"/>
    </row>
    <row r="57" spans="4:156" x14ac:dyDescent="0.25">
      <c r="D57" s="3019"/>
      <c r="E57" s="3020"/>
      <c r="F57" s="3021">
        <f t="shared" si="45"/>
        <v>0</v>
      </c>
      <c r="G57" s="3059"/>
      <c r="H57" s="3060"/>
      <c r="I57" s="3061"/>
      <c r="J57" s="3061"/>
      <c r="K57" s="3061"/>
      <c r="L57" s="3061"/>
      <c r="M57" s="3061"/>
      <c r="N57" s="3061"/>
      <c r="O57" s="3061"/>
      <c r="P57" s="3061"/>
      <c r="Q57" s="3061"/>
      <c r="R57" s="3061"/>
      <c r="S57" s="3061"/>
      <c r="T57" s="3061"/>
      <c r="U57" s="3061"/>
      <c r="V57" s="3061"/>
      <c r="W57" s="3061"/>
      <c r="X57" s="3061"/>
      <c r="Y57" s="3061"/>
      <c r="Z57" s="3061"/>
      <c r="AA57" s="3061"/>
      <c r="AB57" s="3061"/>
      <c r="AC57" s="3061"/>
      <c r="AD57" s="3061"/>
      <c r="AE57" s="3061"/>
      <c r="AF57" s="3061"/>
      <c r="AG57" s="3061"/>
      <c r="AH57" s="3061"/>
      <c r="AI57" s="3061"/>
      <c r="AJ57" s="3061"/>
      <c r="AK57" s="3061"/>
      <c r="AL57" s="3061"/>
      <c r="AM57" s="3061"/>
      <c r="AN57" s="3061"/>
      <c r="AO57" s="3061"/>
      <c r="AP57" s="3061"/>
      <c r="AQ57" s="3061"/>
      <c r="AR57" s="3061"/>
      <c r="AS57" s="3061"/>
      <c r="AT57" s="3061"/>
      <c r="AU57" s="3061"/>
      <c r="AV57" s="3061"/>
      <c r="AW57" s="3061"/>
      <c r="AX57" s="3061"/>
      <c r="AY57" s="3061"/>
      <c r="AZ57" s="3061"/>
      <c r="BA57" s="3061"/>
      <c r="BB57" s="3061"/>
      <c r="BC57" s="3061"/>
      <c r="BD57" s="3061"/>
      <c r="BE57" s="3061"/>
      <c r="BF57" s="3061"/>
      <c r="BG57" s="3061"/>
      <c r="BH57" s="3061"/>
      <c r="BI57" s="3061"/>
      <c r="BJ57" s="3061"/>
      <c r="BK57" s="3061"/>
      <c r="BL57" s="3061"/>
      <c r="BM57" s="3061"/>
      <c r="BN57" s="3061"/>
      <c r="BO57" s="3061"/>
      <c r="BP57" s="3061"/>
      <c r="BQ57" s="3061"/>
      <c r="BR57" s="3061"/>
      <c r="BS57" s="3061"/>
      <c r="BT57" s="3061"/>
      <c r="BU57" s="3061"/>
      <c r="BV57" s="3061"/>
      <c r="BW57" s="3061"/>
      <c r="BX57" s="3061"/>
      <c r="BY57" s="3061"/>
      <c r="BZ57" s="3061"/>
      <c r="CA57" s="3061"/>
      <c r="CB57" s="3061"/>
      <c r="CC57" s="3061"/>
      <c r="CD57" s="3061"/>
      <c r="CE57" s="3061"/>
      <c r="CF57" s="3061"/>
      <c r="CG57" s="3061"/>
      <c r="CH57" s="3061"/>
      <c r="CI57" s="3061"/>
      <c r="CJ57" s="3061"/>
      <c r="CK57" s="3061"/>
      <c r="CL57" s="3061"/>
      <c r="CM57" s="3061"/>
      <c r="CN57" s="3061"/>
      <c r="CO57" s="3061"/>
      <c r="CP57" s="3061"/>
      <c r="CQ57" s="3061"/>
      <c r="CR57" s="3061"/>
      <c r="CS57" s="3062"/>
      <c r="CT57" s="3063"/>
      <c r="CU57" s="3064">
        <f t="shared" si="35"/>
        <v>1</v>
      </c>
      <c r="CV57" s="3022" t="str">
        <f>IF(OR(CT57="",CT57="None"),"-",DO57*CU57*SUMIF('Lighting Assumptions'!$G$3:$G$112,'6a - Lighting Counts'!G57,'Lighting Assumptions'!$J$3:$J$112))</f>
        <v>-</v>
      </c>
      <c r="CW57" s="3021"/>
      <c r="CX57" s="3021"/>
      <c r="CY57" s="3046"/>
      <c r="CZ57" s="2098">
        <f t="shared" si="36"/>
        <v>0</v>
      </c>
      <c r="DA57" s="2098" t="str">
        <f t="shared" si="37"/>
        <v>-</v>
      </c>
      <c r="DB57" s="2098">
        <f t="shared" si="38"/>
        <v>0</v>
      </c>
      <c r="DC57" s="3023" t="str">
        <f t="shared" si="39"/>
        <v>-</v>
      </c>
      <c r="DD57" s="3024" t="str">
        <f t="shared" si="40"/>
        <v/>
      </c>
      <c r="DE57" s="3025" t="str">
        <f t="shared" si="41"/>
        <v>-</v>
      </c>
      <c r="DF57" s="3024" t="str">
        <f t="shared" si="32"/>
        <v>-</v>
      </c>
      <c r="DG57" s="2098">
        <f t="shared" si="42"/>
        <v>0</v>
      </c>
      <c r="DH57" s="2098">
        <f t="array" ref="DH57">MIN(SUMPRODUCT(I57:CR57,IF($I$25:$CR$25="yes",1,0),$I$23:$CR$23),H57)</f>
        <v>0</v>
      </c>
      <c r="DI57" s="3026"/>
      <c r="DJ57" s="3021"/>
      <c r="DN57" s="917" t="str">
        <f>IF(CS57="","-",SUMIF('Lighting Assumptions'!$G$3:$G$112,'6a - Lighting Counts'!G57,'Lighting Assumptions'!$J$3:$J$112))</f>
        <v>-</v>
      </c>
      <c r="DO57" s="917" t="str">
        <f t="shared" si="33"/>
        <v>-</v>
      </c>
      <c r="DP57" s="917" t="str">
        <f t="shared" si="34"/>
        <v>-</v>
      </c>
      <c r="DQ57" s="917" t="str">
        <f>IF(LEFT(CELLformula(DF57),3)&lt;&gt;"=IF",1,"")</f>
        <v/>
      </c>
      <c r="DR57" s="917" t="str">
        <f>IF(LEFT(CELLformula(DD57),3)&lt;&gt;"=IF",1,"")</f>
        <v/>
      </c>
      <c r="DS57" s="3048">
        <f t="shared" si="43"/>
        <v>0</v>
      </c>
      <c r="DT57" s="3047" t="str">
        <f t="shared" si="44"/>
        <v/>
      </c>
      <c r="DU57" s="3047" t="str">
        <f>IFERROR(IF(G57="","",SUMIF('Lighting Assumptions'!$G$3:$G$112,'6a - Lighting Counts'!G57,'Lighting Assumptions'!$H$3:$H$112)*IF(SI_IP_Units="SI",10.76,1)),"")</f>
        <v/>
      </c>
      <c r="DV57" s="3047" t="str">
        <f>IFERROR(IF($CX57="","",IF(SI_IP_Units="SI",10.76,1)*SUMIF(BAMCategories,$CY57,'Lighting Assumptions'!$E$3:E$35)),"")</f>
        <v/>
      </c>
      <c r="DW57" s="3047" t="str">
        <f>IFERROR(IF($CX57="","",IF(SI_IP_Units="SI",10.76,1)*SUMIF(BAMCategories,$CY57,IF(bpf_reference="ACP",'Lighting Assumptions 90.1-2010'!$E$3:E$35,'Lighting Assumptions 90.1-2016'!$E$3:E$35))),"")</f>
        <v/>
      </c>
      <c r="EW57" s="855"/>
      <c r="EX57" s="855"/>
      <c r="EY57" s="855"/>
      <c r="EZ57" s="855"/>
    </row>
    <row r="58" spans="4:156" x14ac:dyDescent="0.25">
      <c r="D58" s="3019"/>
      <c r="E58" s="3020"/>
      <c r="F58" s="3021">
        <f t="shared" si="45"/>
        <v>0</v>
      </c>
      <c r="G58" s="3059"/>
      <c r="H58" s="3060"/>
      <c r="I58" s="3061"/>
      <c r="J58" s="3061"/>
      <c r="K58" s="3061"/>
      <c r="L58" s="3061"/>
      <c r="M58" s="3061"/>
      <c r="N58" s="3061"/>
      <c r="O58" s="3061"/>
      <c r="P58" s="3061"/>
      <c r="Q58" s="3061"/>
      <c r="R58" s="3061"/>
      <c r="S58" s="3061"/>
      <c r="T58" s="3061"/>
      <c r="U58" s="3061"/>
      <c r="V58" s="3061"/>
      <c r="W58" s="3061"/>
      <c r="X58" s="3061"/>
      <c r="Y58" s="3061"/>
      <c r="Z58" s="3061"/>
      <c r="AA58" s="3061"/>
      <c r="AB58" s="3061"/>
      <c r="AC58" s="3061"/>
      <c r="AD58" s="3061"/>
      <c r="AE58" s="3061"/>
      <c r="AF58" s="3061"/>
      <c r="AG58" s="3061"/>
      <c r="AH58" s="3061"/>
      <c r="AI58" s="3061"/>
      <c r="AJ58" s="3061"/>
      <c r="AK58" s="3061"/>
      <c r="AL58" s="3061"/>
      <c r="AM58" s="3061"/>
      <c r="AN58" s="3061"/>
      <c r="AO58" s="3061"/>
      <c r="AP58" s="3061"/>
      <c r="AQ58" s="3061"/>
      <c r="AR58" s="3061"/>
      <c r="AS58" s="3061"/>
      <c r="AT58" s="3061"/>
      <c r="AU58" s="3061"/>
      <c r="AV58" s="3061"/>
      <c r="AW58" s="3061"/>
      <c r="AX58" s="3061"/>
      <c r="AY58" s="3061"/>
      <c r="AZ58" s="3061"/>
      <c r="BA58" s="3061"/>
      <c r="BB58" s="3061"/>
      <c r="BC58" s="3061"/>
      <c r="BD58" s="3061"/>
      <c r="BE58" s="3061"/>
      <c r="BF58" s="3061"/>
      <c r="BG58" s="3061"/>
      <c r="BH58" s="3061"/>
      <c r="BI58" s="3061"/>
      <c r="BJ58" s="3061"/>
      <c r="BK58" s="3061"/>
      <c r="BL58" s="3061"/>
      <c r="BM58" s="3061"/>
      <c r="BN58" s="3061"/>
      <c r="BO58" s="3061"/>
      <c r="BP58" s="3061"/>
      <c r="BQ58" s="3061"/>
      <c r="BR58" s="3061"/>
      <c r="BS58" s="3061"/>
      <c r="BT58" s="3061"/>
      <c r="BU58" s="3061"/>
      <c r="BV58" s="3061"/>
      <c r="BW58" s="3061"/>
      <c r="BX58" s="3061"/>
      <c r="BY58" s="3061"/>
      <c r="BZ58" s="3061"/>
      <c r="CA58" s="3061"/>
      <c r="CB58" s="3061"/>
      <c r="CC58" s="3061"/>
      <c r="CD58" s="3061"/>
      <c r="CE58" s="3061"/>
      <c r="CF58" s="3061"/>
      <c r="CG58" s="3061"/>
      <c r="CH58" s="3061"/>
      <c r="CI58" s="3061"/>
      <c r="CJ58" s="3061"/>
      <c r="CK58" s="3061"/>
      <c r="CL58" s="3061"/>
      <c r="CM58" s="3061"/>
      <c r="CN58" s="3061"/>
      <c r="CO58" s="3061"/>
      <c r="CP58" s="3061"/>
      <c r="CQ58" s="3061"/>
      <c r="CR58" s="3061"/>
      <c r="CS58" s="3062"/>
      <c r="CT58" s="3063"/>
      <c r="CU58" s="3064">
        <f t="shared" si="35"/>
        <v>1</v>
      </c>
      <c r="CV58" s="3022" t="str">
        <f>IF(OR(CT58="",CT58="None"),"-",DO58*CU58*SUMIF('Lighting Assumptions'!$G$3:$G$112,'6a - Lighting Counts'!G58,'Lighting Assumptions'!$J$3:$J$112))</f>
        <v>-</v>
      </c>
      <c r="CW58" s="3021"/>
      <c r="CX58" s="3021"/>
      <c r="CY58" s="3046"/>
      <c r="CZ58" s="2098">
        <f t="shared" si="36"/>
        <v>0</v>
      </c>
      <c r="DA58" s="2098" t="str">
        <f t="shared" si="37"/>
        <v>-</v>
      </c>
      <c r="DB58" s="2098">
        <f t="shared" si="38"/>
        <v>0</v>
      </c>
      <c r="DC58" s="3023" t="str">
        <f t="shared" si="39"/>
        <v>-</v>
      </c>
      <c r="DD58" s="3024" t="str">
        <f t="shared" si="40"/>
        <v/>
      </c>
      <c r="DE58" s="3025" t="str">
        <f t="shared" si="41"/>
        <v>-</v>
      </c>
      <c r="DF58" s="3024" t="str">
        <f t="shared" si="32"/>
        <v>-</v>
      </c>
      <c r="DG58" s="2098">
        <f t="shared" si="42"/>
        <v>0</v>
      </c>
      <c r="DH58" s="2098">
        <f t="array" ref="DH58">MIN(SUMPRODUCT(I58:CR58,IF($I$25:$CR$25="yes",1,0),$I$23:$CR$23),H58)</f>
        <v>0</v>
      </c>
      <c r="DI58" s="3026"/>
      <c r="DJ58" s="3021"/>
      <c r="DN58" s="917" t="str">
        <f>IF(CS58="","-",SUMIF('Lighting Assumptions'!$G$3:$G$112,'6a - Lighting Counts'!G58,'Lighting Assumptions'!$J$3:$J$112))</f>
        <v>-</v>
      </c>
      <c r="DO58" s="917" t="str">
        <f t="shared" si="33"/>
        <v>-</v>
      </c>
      <c r="DP58" s="917" t="str">
        <f t="shared" si="34"/>
        <v>-</v>
      </c>
      <c r="DQ58" s="917" t="str">
        <f>IF(LEFT(CELLformula(DF58),3)&lt;&gt;"=IF",1,"")</f>
        <v/>
      </c>
      <c r="DR58" s="917" t="str">
        <f>IF(LEFT(CELLformula(DD58),3)&lt;&gt;"=IF",1,"")</f>
        <v/>
      </c>
      <c r="DS58" s="3048">
        <f t="shared" si="43"/>
        <v>0</v>
      </c>
      <c r="DT58" s="3047" t="str">
        <f t="shared" si="44"/>
        <v/>
      </c>
      <c r="DU58" s="3047" t="str">
        <f>IFERROR(IF(G58="","",SUMIF('Lighting Assumptions'!$G$3:$G$112,'6a - Lighting Counts'!G58,'Lighting Assumptions'!$H$3:$H$112)*IF(SI_IP_Units="SI",10.76,1)),"")</f>
        <v/>
      </c>
      <c r="DV58" s="3047" t="str">
        <f>IFERROR(IF($CX58="","",IF(SI_IP_Units="SI",10.76,1)*SUMIF(BAMCategories,$CY58,'Lighting Assumptions'!$E$3:E$35)),"")</f>
        <v/>
      </c>
      <c r="DW58" s="3047" t="str">
        <f>IFERROR(IF($CX58="","",IF(SI_IP_Units="SI",10.76,1)*SUMIF(BAMCategories,$CY58,IF(bpf_reference="ACP",'Lighting Assumptions 90.1-2010'!$E$3:E$35,'Lighting Assumptions 90.1-2016'!$E$3:E$35))),"")</f>
        <v/>
      </c>
      <c r="EW58" s="855"/>
      <c r="EX58" s="855"/>
      <c r="EY58" s="855"/>
      <c r="EZ58" s="855"/>
    </row>
    <row r="59" spans="4:156" x14ac:dyDescent="0.25">
      <c r="D59" s="3019"/>
      <c r="E59" s="3020"/>
      <c r="F59" s="3021">
        <f t="shared" si="45"/>
        <v>0</v>
      </c>
      <c r="G59" s="3059"/>
      <c r="H59" s="3060"/>
      <c r="I59" s="3061"/>
      <c r="J59" s="3061"/>
      <c r="K59" s="3061"/>
      <c r="L59" s="3061"/>
      <c r="M59" s="3061"/>
      <c r="N59" s="3061"/>
      <c r="O59" s="3061"/>
      <c r="P59" s="3061"/>
      <c r="Q59" s="3061"/>
      <c r="R59" s="3061"/>
      <c r="S59" s="3061"/>
      <c r="T59" s="3061"/>
      <c r="U59" s="3061"/>
      <c r="V59" s="3061"/>
      <c r="W59" s="3061"/>
      <c r="X59" s="3061"/>
      <c r="Y59" s="3061"/>
      <c r="Z59" s="3061"/>
      <c r="AA59" s="3061"/>
      <c r="AB59" s="3061"/>
      <c r="AC59" s="3061"/>
      <c r="AD59" s="3061"/>
      <c r="AE59" s="3061"/>
      <c r="AF59" s="3061"/>
      <c r="AG59" s="3061"/>
      <c r="AH59" s="3061"/>
      <c r="AI59" s="3061"/>
      <c r="AJ59" s="3061"/>
      <c r="AK59" s="3061"/>
      <c r="AL59" s="3061"/>
      <c r="AM59" s="3061"/>
      <c r="AN59" s="3061"/>
      <c r="AO59" s="3061"/>
      <c r="AP59" s="3061"/>
      <c r="AQ59" s="3061"/>
      <c r="AR59" s="3061"/>
      <c r="AS59" s="3061"/>
      <c r="AT59" s="3061"/>
      <c r="AU59" s="3061"/>
      <c r="AV59" s="3061"/>
      <c r="AW59" s="3061"/>
      <c r="AX59" s="3061"/>
      <c r="AY59" s="3061"/>
      <c r="AZ59" s="3061"/>
      <c r="BA59" s="3061"/>
      <c r="BB59" s="3061"/>
      <c r="BC59" s="3061"/>
      <c r="BD59" s="3061"/>
      <c r="BE59" s="3061"/>
      <c r="BF59" s="3061"/>
      <c r="BG59" s="3061"/>
      <c r="BH59" s="3061"/>
      <c r="BI59" s="3061"/>
      <c r="BJ59" s="3061"/>
      <c r="BK59" s="3061"/>
      <c r="BL59" s="3061"/>
      <c r="BM59" s="3061"/>
      <c r="BN59" s="3061"/>
      <c r="BO59" s="3061"/>
      <c r="BP59" s="3061"/>
      <c r="BQ59" s="3061"/>
      <c r="BR59" s="3061"/>
      <c r="BS59" s="3061"/>
      <c r="BT59" s="3061"/>
      <c r="BU59" s="3061"/>
      <c r="BV59" s="3061"/>
      <c r="BW59" s="3061"/>
      <c r="BX59" s="3061"/>
      <c r="BY59" s="3061"/>
      <c r="BZ59" s="3061"/>
      <c r="CA59" s="3061"/>
      <c r="CB59" s="3061"/>
      <c r="CC59" s="3061"/>
      <c r="CD59" s="3061"/>
      <c r="CE59" s="3061"/>
      <c r="CF59" s="3061"/>
      <c r="CG59" s="3061"/>
      <c r="CH59" s="3061"/>
      <c r="CI59" s="3061"/>
      <c r="CJ59" s="3061"/>
      <c r="CK59" s="3061"/>
      <c r="CL59" s="3061"/>
      <c r="CM59" s="3061"/>
      <c r="CN59" s="3061"/>
      <c r="CO59" s="3061"/>
      <c r="CP59" s="3061"/>
      <c r="CQ59" s="3061"/>
      <c r="CR59" s="3061"/>
      <c r="CS59" s="3062"/>
      <c r="CT59" s="3063"/>
      <c r="CU59" s="3064">
        <f t="shared" si="35"/>
        <v>1</v>
      </c>
      <c r="CV59" s="3022" t="str">
        <f>IF(OR(CT59="",CT59="None"),"-",DO59*CU59*SUMIF('Lighting Assumptions'!$G$3:$G$112,'6a - Lighting Counts'!G59,'Lighting Assumptions'!$J$3:$J$112))</f>
        <v>-</v>
      </c>
      <c r="CW59" s="3021"/>
      <c r="CX59" s="3021"/>
      <c r="CY59" s="3046"/>
      <c r="CZ59" s="2098">
        <f t="shared" si="36"/>
        <v>0</v>
      </c>
      <c r="DA59" s="2098" t="str">
        <f t="shared" si="37"/>
        <v>-</v>
      </c>
      <c r="DB59" s="2098">
        <f t="shared" si="38"/>
        <v>0</v>
      </c>
      <c r="DC59" s="3023" t="str">
        <f t="shared" si="39"/>
        <v>-</v>
      </c>
      <c r="DD59" s="3024" t="str">
        <f t="shared" si="40"/>
        <v/>
      </c>
      <c r="DE59" s="3025" t="str">
        <f t="shared" si="41"/>
        <v>-</v>
      </c>
      <c r="DF59" s="3024" t="str">
        <f t="shared" si="32"/>
        <v>-</v>
      </c>
      <c r="DG59" s="2098">
        <f t="shared" si="42"/>
        <v>0</v>
      </c>
      <c r="DH59" s="2098">
        <f t="array" ref="DH59">MIN(SUMPRODUCT(I59:CR59,IF($I$25:$CR$25="yes",1,0),$I$23:$CR$23),H59)</f>
        <v>0</v>
      </c>
      <c r="DI59" s="3026"/>
      <c r="DJ59" s="3021"/>
      <c r="DN59" s="917" t="str">
        <f>IF(CS59="","-",SUMIF('Lighting Assumptions'!$G$3:$G$112,'6a - Lighting Counts'!G59,'Lighting Assumptions'!$J$3:$J$112))</f>
        <v>-</v>
      </c>
      <c r="DO59" s="917" t="str">
        <f t="shared" si="33"/>
        <v>-</v>
      </c>
      <c r="DP59" s="917" t="str">
        <f t="shared" si="34"/>
        <v>-</v>
      </c>
      <c r="DQ59" s="917" t="str">
        <f>IF(LEFT(CELLformula(DF59),3)&lt;&gt;"=IF",1,"")</f>
        <v/>
      </c>
      <c r="DR59" s="917" t="str">
        <f>IF(LEFT(CELLformula(DD59),3)&lt;&gt;"=IF",1,"")</f>
        <v/>
      </c>
      <c r="DS59" s="3048">
        <f t="shared" si="43"/>
        <v>0</v>
      </c>
      <c r="DT59" s="3047" t="str">
        <f t="shared" si="44"/>
        <v/>
      </c>
      <c r="DU59" s="3047" t="str">
        <f>IFERROR(IF(G59="","",SUMIF('Lighting Assumptions'!$G$3:$G$112,'6a - Lighting Counts'!G59,'Lighting Assumptions'!$H$3:$H$112)*IF(SI_IP_Units="SI",10.76,1)),"")</f>
        <v/>
      </c>
      <c r="DV59" s="3047" t="str">
        <f>IFERROR(IF($CX59="","",IF(SI_IP_Units="SI",10.76,1)*SUMIF(BAMCategories,$CY59,'Lighting Assumptions'!$E$3:E$35)),"")</f>
        <v/>
      </c>
      <c r="DW59" s="3047" t="str">
        <f>IFERROR(IF($CX59="","",IF(SI_IP_Units="SI",10.76,1)*SUMIF(BAMCategories,$CY59,IF(bpf_reference="ACP",'Lighting Assumptions 90.1-2010'!$E$3:E$35,'Lighting Assumptions 90.1-2016'!$E$3:E$35))),"")</f>
        <v/>
      </c>
      <c r="EW59" s="855"/>
      <c r="EX59" s="855"/>
      <c r="EY59" s="855"/>
      <c r="EZ59" s="855"/>
    </row>
    <row r="60" spans="4:156" x14ac:dyDescent="0.25">
      <c r="D60" s="3019"/>
      <c r="E60" s="3020"/>
      <c r="F60" s="3021">
        <f t="shared" si="45"/>
        <v>0</v>
      </c>
      <c r="G60" s="3059"/>
      <c r="H60" s="3060"/>
      <c r="I60" s="3061"/>
      <c r="J60" s="3061"/>
      <c r="K60" s="3061"/>
      <c r="L60" s="3061"/>
      <c r="M60" s="3061"/>
      <c r="N60" s="3061"/>
      <c r="O60" s="3061"/>
      <c r="P60" s="3061"/>
      <c r="Q60" s="3061"/>
      <c r="R60" s="3061"/>
      <c r="S60" s="3061"/>
      <c r="T60" s="3061"/>
      <c r="U60" s="3061"/>
      <c r="V60" s="3061"/>
      <c r="W60" s="3061"/>
      <c r="X60" s="3061"/>
      <c r="Y60" s="3061"/>
      <c r="Z60" s="3061"/>
      <c r="AA60" s="3061"/>
      <c r="AB60" s="3061"/>
      <c r="AC60" s="3061"/>
      <c r="AD60" s="3061"/>
      <c r="AE60" s="3061"/>
      <c r="AF60" s="3061"/>
      <c r="AG60" s="3061"/>
      <c r="AH60" s="3061"/>
      <c r="AI60" s="3061"/>
      <c r="AJ60" s="3061"/>
      <c r="AK60" s="3061"/>
      <c r="AL60" s="3061"/>
      <c r="AM60" s="3061"/>
      <c r="AN60" s="3061"/>
      <c r="AO60" s="3061"/>
      <c r="AP60" s="3061"/>
      <c r="AQ60" s="3061"/>
      <c r="AR60" s="3061"/>
      <c r="AS60" s="3061"/>
      <c r="AT60" s="3061"/>
      <c r="AU60" s="3061"/>
      <c r="AV60" s="3061"/>
      <c r="AW60" s="3061"/>
      <c r="AX60" s="3061"/>
      <c r="AY60" s="3061"/>
      <c r="AZ60" s="3061"/>
      <c r="BA60" s="3061"/>
      <c r="BB60" s="3061"/>
      <c r="BC60" s="3061"/>
      <c r="BD60" s="3061"/>
      <c r="BE60" s="3061"/>
      <c r="BF60" s="3061"/>
      <c r="BG60" s="3061"/>
      <c r="BH60" s="3061"/>
      <c r="BI60" s="3061"/>
      <c r="BJ60" s="3061"/>
      <c r="BK60" s="3061"/>
      <c r="BL60" s="3061"/>
      <c r="BM60" s="3061"/>
      <c r="BN60" s="3061"/>
      <c r="BO60" s="3061"/>
      <c r="BP60" s="3061"/>
      <c r="BQ60" s="3061"/>
      <c r="BR60" s="3061"/>
      <c r="BS60" s="3061"/>
      <c r="BT60" s="3061"/>
      <c r="BU60" s="3061"/>
      <c r="BV60" s="3061"/>
      <c r="BW60" s="3061"/>
      <c r="BX60" s="3061"/>
      <c r="BY60" s="3061"/>
      <c r="BZ60" s="3061"/>
      <c r="CA60" s="3061"/>
      <c r="CB60" s="3061"/>
      <c r="CC60" s="3061"/>
      <c r="CD60" s="3061"/>
      <c r="CE60" s="3061"/>
      <c r="CF60" s="3061"/>
      <c r="CG60" s="3061"/>
      <c r="CH60" s="3061"/>
      <c r="CI60" s="3061"/>
      <c r="CJ60" s="3061"/>
      <c r="CK60" s="3061"/>
      <c r="CL60" s="3061"/>
      <c r="CM60" s="3061"/>
      <c r="CN60" s="3061"/>
      <c r="CO60" s="3061"/>
      <c r="CP60" s="3061"/>
      <c r="CQ60" s="3061"/>
      <c r="CR60" s="3061"/>
      <c r="CS60" s="3062"/>
      <c r="CT60" s="3063"/>
      <c r="CU60" s="3064">
        <f t="shared" si="35"/>
        <v>1</v>
      </c>
      <c r="CV60" s="3022" t="str">
        <f>IF(OR(CT60="",CT60="None"),"-",DO60*CU60*SUMIF('Lighting Assumptions'!$G$3:$G$112,'6a - Lighting Counts'!G60,'Lighting Assumptions'!$J$3:$J$112))</f>
        <v>-</v>
      </c>
      <c r="CW60" s="3021"/>
      <c r="CX60" s="3021"/>
      <c r="CY60" s="3046"/>
      <c r="CZ60" s="2098">
        <f t="shared" si="36"/>
        <v>0</v>
      </c>
      <c r="DA60" s="2098" t="str">
        <f t="shared" si="37"/>
        <v>-</v>
      </c>
      <c r="DB60" s="2098">
        <f t="shared" si="38"/>
        <v>0</v>
      </c>
      <c r="DC60" s="3023" t="str">
        <f t="shared" si="39"/>
        <v>-</v>
      </c>
      <c r="DD60" s="3024" t="str">
        <f t="shared" si="40"/>
        <v/>
      </c>
      <c r="DE60" s="3025" t="str">
        <f t="shared" si="41"/>
        <v>-</v>
      </c>
      <c r="DF60" s="3024" t="str">
        <f t="shared" si="32"/>
        <v>-</v>
      </c>
      <c r="DG60" s="2098">
        <f t="shared" si="42"/>
        <v>0</v>
      </c>
      <c r="DH60" s="2098">
        <f t="array" ref="DH60">MIN(SUMPRODUCT(I60:CR60,IF($I$25:$CR$25="yes",1,0),$I$23:$CR$23),H60)</f>
        <v>0</v>
      </c>
      <c r="DI60" s="3026"/>
      <c r="DJ60" s="3021"/>
      <c r="DN60" s="917" t="str">
        <f>IF(CS60="","-",SUMIF('Lighting Assumptions'!$G$3:$G$112,'6a - Lighting Counts'!G60,'Lighting Assumptions'!$J$3:$J$112))</f>
        <v>-</v>
      </c>
      <c r="DO60" s="917" t="str">
        <f t="shared" si="33"/>
        <v>-</v>
      </c>
      <c r="DP60" s="917" t="str">
        <f t="shared" si="34"/>
        <v>-</v>
      </c>
      <c r="DQ60" s="917" t="str">
        <f>IF(LEFT(CELLformula(DF60),3)&lt;&gt;"=IF",1,"")</f>
        <v/>
      </c>
      <c r="DR60" s="917" t="str">
        <f>IF(LEFT(CELLformula(DD60),3)&lt;&gt;"=IF",1,"")</f>
        <v/>
      </c>
      <c r="DS60" s="3048">
        <f t="shared" si="43"/>
        <v>0</v>
      </c>
      <c r="DT60" s="3047" t="str">
        <f t="shared" si="44"/>
        <v/>
      </c>
      <c r="DU60" s="3047" t="str">
        <f>IFERROR(IF(G60="","",SUMIF('Lighting Assumptions'!$G$3:$G$112,'6a - Lighting Counts'!G60,'Lighting Assumptions'!$H$3:$H$112)*IF(SI_IP_Units="SI",10.76,1)),"")</f>
        <v/>
      </c>
      <c r="DV60" s="3047" t="str">
        <f>IFERROR(IF($CX60="","",IF(SI_IP_Units="SI",10.76,1)*SUMIF(BAMCategories,$CY60,'Lighting Assumptions'!$E$3:E$35)),"")</f>
        <v/>
      </c>
      <c r="DW60" s="3047" t="str">
        <f>IFERROR(IF($CX60="","",IF(SI_IP_Units="SI",10.76,1)*SUMIF(BAMCategories,$CY60,IF(bpf_reference="ACP",'Lighting Assumptions 90.1-2010'!$E$3:E$35,'Lighting Assumptions 90.1-2016'!$E$3:E$35))),"")</f>
        <v/>
      </c>
      <c r="EW60" s="855"/>
      <c r="EX60" s="855"/>
      <c r="EY60" s="855"/>
      <c r="EZ60" s="855"/>
    </row>
    <row r="61" spans="4:156" x14ac:dyDescent="0.25">
      <c r="D61" s="3019"/>
      <c r="E61" s="3020"/>
      <c r="F61" s="3021">
        <f t="shared" si="45"/>
        <v>0</v>
      </c>
      <c r="G61" s="3059"/>
      <c r="H61" s="3060"/>
      <c r="I61" s="3061"/>
      <c r="J61" s="3061"/>
      <c r="K61" s="3061"/>
      <c r="L61" s="3061"/>
      <c r="M61" s="3061"/>
      <c r="N61" s="3061"/>
      <c r="O61" s="3061"/>
      <c r="P61" s="3061"/>
      <c r="Q61" s="3061"/>
      <c r="R61" s="3061"/>
      <c r="S61" s="3061"/>
      <c r="T61" s="3061"/>
      <c r="U61" s="3061"/>
      <c r="V61" s="3061"/>
      <c r="W61" s="3061"/>
      <c r="X61" s="3061"/>
      <c r="Y61" s="3061"/>
      <c r="Z61" s="3061"/>
      <c r="AA61" s="3061"/>
      <c r="AB61" s="3061"/>
      <c r="AC61" s="3061"/>
      <c r="AD61" s="3061"/>
      <c r="AE61" s="3061"/>
      <c r="AF61" s="3061"/>
      <c r="AG61" s="3061"/>
      <c r="AH61" s="3061"/>
      <c r="AI61" s="3061"/>
      <c r="AJ61" s="3061"/>
      <c r="AK61" s="3061"/>
      <c r="AL61" s="3061"/>
      <c r="AM61" s="3061"/>
      <c r="AN61" s="3061"/>
      <c r="AO61" s="3061"/>
      <c r="AP61" s="3061"/>
      <c r="AQ61" s="3061"/>
      <c r="AR61" s="3061"/>
      <c r="AS61" s="3061"/>
      <c r="AT61" s="3061"/>
      <c r="AU61" s="3061"/>
      <c r="AV61" s="3061"/>
      <c r="AW61" s="3061"/>
      <c r="AX61" s="3061"/>
      <c r="AY61" s="3061"/>
      <c r="AZ61" s="3061"/>
      <c r="BA61" s="3061"/>
      <c r="BB61" s="3061"/>
      <c r="BC61" s="3061"/>
      <c r="BD61" s="3061"/>
      <c r="BE61" s="3061"/>
      <c r="BF61" s="3061"/>
      <c r="BG61" s="3061"/>
      <c r="BH61" s="3061"/>
      <c r="BI61" s="3061"/>
      <c r="BJ61" s="3061"/>
      <c r="BK61" s="3061"/>
      <c r="BL61" s="3061"/>
      <c r="BM61" s="3061"/>
      <c r="BN61" s="3061"/>
      <c r="BO61" s="3061"/>
      <c r="BP61" s="3061"/>
      <c r="BQ61" s="3061"/>
      <c r="BR61" s="3061"/>
      <c r="BS61" s="3061"/>
      <c r="BT61" s="3061"/>
      <c r="BU61" s="3061"/>
      <c r="BV61" s="3061"/>
      <c r="BW61" s="3061"/>
      <c r="BX61" s="3061"/>
      <c r="BY61" s="3061"/>
      <c r="BZ61" s="3061"/>
      <c r="CA61" s="3061"/>
      <c r="CB61" s="3061"/>
      <c r="CC61" s="3061"/>
      <c r="CD61" s="3061"/>
      <c r="CE61" s="3061"/>
      <c r="CF61" s="3061"/>
      <c r="CG61" s="3061"/>
      <c r="CH61" s="3061"/>
      <c r="CI61" s="3061"/>
      <c r="CJ61" s="3061"/>
      <c r="CK61" s="3061"/>
      <c r="CL61" s="3061"/>
      <c r="CM61" s="3061"/>
      <c r="CN61" s="3061"/>
      <c r="CO61" s="3061"/>
      <c r="CP61" s="3061"/>
      <c r="CQ61" s="3061"/>
      <c r="CR61" s="3061"/>
      <c r="CS61" s="3062"/>
      <c r="CT61" s="3063"/>
      <c r="CU61" s="3064">
        <f t="shared" si="35"/>
        <v>1</v>
      </c>
      <c r="CV61" s="3022" t="str">
        <f>IF(OR(CT61="",CT61="None"),"-",DO61*CU61*SUMIF('Lighting Assumptions'!$G$3:$G$112,'6a - Lighting Counts'!G61,'Lighting Assumptions'!$J$3:$J$112))</f>
        <v>-</v>
      </c>
      <c r="CW61" s="3021"/>
      <c r="CX61" s="3021"/>
      <c r="CY61" s="3046"/>
      <c r="CZ61" s="2098">
        <f t="shared" si="36"/>
        <v>0</v>
      </c>
      <c r="DA61" s="2098" t="str">
        <f t="shared" si="37"/>
        <v>-</v>
      </c>
      <c r="DB61" s="2098">
        <f t="shared" si="38"/>
        <v>0</v>
      </c>
      <c r="DC61" s="3023" t="str">
        <f t="shared" si="39"/>
        <v>-</v>
      </c>
      <c r="DD61" s="3024" t="str">
        <f t="shared" si="40"/>
        <v/>
      </c>
      <c r="DE61" s="3025" t="str">
        <f t="shared" si="41"/>
        <v>-</v>
      </c>
      <c r="DF61" s="3024" t="str">
        <f t="shared" si="32"/>
        <v>-</v>
      </c>
      <c r="DG61" s="2098">
        <f t="shared" si="42"/>
        <v>0</v>
      </c>
      <c r="DH61" s="2098">
        <f t="array" ref="DH61">MIN(SUMPRODUCT(I61:CR61,IF($I$25:$CR$25="yes",1,0),$I$23:$CR$23),H61)</f>
        <v>0</v>
      </c>
      <c r="DI61" s="3026"/>
      <c r="DJ61" s="3021"/>
      <c r="DN61" s="917" t="str">
        <f>IF(CS61="","-",SUMIF('Lighting Assumptions'!$G$3:$G$112,'6a - Lighting Counts'!G61,'Lighting Assumptions'!$J$3:$J$112))</f>
        <v>-</v>
      </c>
      <c r="DO61" s="917" t="str">
        <f t="shared" si="33"/>
        <v>-</v>
      </c>
      <c r="DP61" s="917" t="str">
        <f t="shared" si="34"/>
        <v>-</v>
      </c>
      <c r="DQ61" s="917" t="str">
        <f>IF(LEFT(CELLformula(DF61),3)&lt;&gt;"=IF",1,"")</f>
        <v/>
      </c>
      <c r="DR61" s="917" t="str">
        <f>IF(LEFT(CELLformula(DD61),3)&lt;&gt;"=IF",1,"")</f>
        <v/>
      </c>
      <c r="DS61" s="3048">
        <f t="shared" si="43"/>
        <v>0</v>
      </c>
      <c r="DT61" s="3047" t="str">
        <f t="shared" si="44"/>
        <v/>
      </c>
      <c r="DU61" s="3047" t="str">
        <f>IFERROR(IF(G61="","",SUMIF('Lighting Assumptions'!$G$3:$G$112,'6a - Lighting Counts'!G61,'Lighting Assumptions'!$H$3:$H$112)*IF(SI_IP_Units="SI",10.76,1)),"")</f>
        <v/>
      </c>
      <c r="DV61" s="3047" t="str">
        <f>IFERROR(IF($CX61="","",IF(SI_IP_Units="SI",10.76,1)*SUMIF(BAMCategories,$CY61,'Lighting Assumptions'!$E$3:E$35)),"")</f>
        <v/>
      </c>
      <c r="DW61" s="3047" t="str">
        <f>IFERROR(IF($CX61="","",IF(SI_IP_Units="SI",10.76,1)*SUMIF(BAMCategories,$CY61,IF(bpf_reference="ACP",'Lighting Assumptions 90.1-2010'!$E$3:E$35,'Lighting Assumptions 90.1-2016'!$E$3:E$35))),"")</f>
        <v/>
      </c>
      <c r="EW61" s="855"/>
      <c r="EX61" s="855"/>
      <c r="EY61" s="855"/>
      <c r="EZ61" s="855"/>
    </row>
    <row r="62" spans="4:156" x14ac:dyDescent="0.25">
      <c r="D62" s="3019"/>
      <c r="E62" s="3020"/>
      <c r="F62" s="3021">
        <f t="shared" si="45"/>
        <v>0</v>
      </c>
      <c r="G62" s="3059"/>
      <c r="H62" s="3060"/>
      <c r="I62" s="3061"/>
      <c r="J62" s="3061"/>
      <c r="K62" s="3061"/>
      <c r="L62" s="3061"/>
      <c r="M62" s="3061"/>
      <c r="N62" s="3061"/>
      <c r="O62" s="3061"/>
      <c r="P62" s="3061"/>
      <c r="Q62" s="3061"/>
      <c r="R62" s="3061"/>
      <c r="S62" s="3061"/>
      <c r="T62" s="3061"/>
      <c r="U62" s="3061"/>
      <c r="V62" s="3061"/>
      <c r="W62" s="3061"/>
      <c r="X62" s="3061"/>
      <c r="Y62" s="3061"/>
      <c r="Z62" s="3061"/>
      <c r="AA62" s="3061"/>
      <c r="AB62" s="3061"/>
      <c r="AC62" s="3061"/>
      <c r="AD62" s="3061"/>
      <c r="AE62" s="3061"/>
      <c r="AF62" s="3061"/>
      <c r="AG62" s="3061"/>
      <c r="AH62" s="3061"/>
      <c r="AI62" s="3061"/>
      <c r="AJ62" s="3061"/>
      <c r="AK62" s="3061"/>
      <c r="AL62" s="3061"/>
      <c r="AM62" s="3061"/>
      <c r="AN62" s="3061"/>
      <c r="AO62" s="3061"/>
      <c r="AP62" s="3061"/>
      <c r="AQ62" s="3061"/>
      <c r="AR62" s="3061"/>
      <c r="AS62" s="3061"/>
      <c r="AT62" s="3061"/>
      <c r="AU62" s="3061"/>
      <c r="AV62" s="3061"/>
      <c r="AW62" s="3061"/>
      <c r="AX62" s="3061"/>
      <c r="AY62" s="3061"/>
      <c r="AZ62" s="3061"/>
      <c r="BA62" s="3061"/>
      <c r="BB62" s="3061"/>
      <c r="BC62" s="3061"/>
      <c r="BD62" s="3061"/>
      <c r="BE62" s="3061"/>
      <c r="BF62" s="3061"/>
      <c r="BG62" s="3061"/>
      <c r="BH62" s="3061"/>
      <c r="BI62" s="3061"/>
      <c r="BJ62" s="3061"/>
      <c r="BK62" s="3061"/>
      <c r="BL62" s="3061"/>
      <c r="BM62" s="3061"/>
      <c r="BN62" s="3061"/>
      <c r="BO62" s="3061"/>
      <c r="BP62" s="3061"/>
      <c r="BQ62" s="3061"/>
      <c r="BR62" s="3061"/>
      <c r="BS62" s="3061"/>
      <c r="BT62" s="3061"/>
      <c r="BU62" s="3061"/>
      <c r="BV62" s="3061"/>
      <c r="BW62" s="3061"/>
      <c r="BX62" s="3061"/>
      <c r="BY62" s="3061"/>
      <c r="BZ62" s="3061"/>
      <c r="CA62" s="3061"/>
      <c r="CB62" s="3061"/>
      <c r="CC62" s="3061"/>
      <c r="CD62" s="3061"/>
      <c r="CE62" s="3061"/>
      <c r="CF62" s="3061"/>
      <c r="CG62" s="3061"/>
      <c r="CH62" s="3061"/>
      <c r="CI62" s="3061"/>
      <c r="CJ62" s="3061"/>
      <c r="CK62" s="3061"/>
      <c r="CL62" s="3061"/>
      <c r="CM62" s="3061"/>
      <c r="CN62" s="3061"/>
      <c r="CO62" s="3061"/>
      <c r="CP62" s="3061"/>
      <c r="CQ62" s="3061"/>
      <c r="CR62" s="3061"/>
      <c r="CS62" s="3062"/>
      <c r="CT62" s="3063"/>
      <c r="CU62" s="3064">
        <f t="shared" si="35"/>
        <v>1</v>
      </c>
      <c r="CV62" s="3022" t="str">
        <f>IF(OR(CT62="",CT62="None"),"-",DO62*CU62*SUMIF('Lighting Assumptions'!$G$3:$G$112,'6a - Lighting Counts'!G62,'Lighting Assumptions'!$J$3:$J$112))</f>
        <v>-</v>
      </c>
      <c r="CW62" s="3021"/>
      <c r="CX62" s="3021"/>
      <c r="CY62" s="3046"/>
      <c r="CZ62" s="2098">
        <f t="shared" si="36"/>
        <v>0</v>
      </c>
      <c r="DA62" s="2098" t="str">
        <f t="shared" si="37"/>
        <v>-</v>
      </c>
      <c r="DB62" s="2098">
        <f t="shared" si="38"/>
        <v>0</v>
      </c>
      <c r="DC62" s="3023" t="str">
        <f t="shared" si="39"/>
        <v>-</v>
      </c>
      <c r="DD62" s="3024" t="str">
        <f t="shared" si="40"/>
        <v/>
      </c>
      <c r="DE62" s="3025" t="str">
        <f t="shared" si="41"/>
        <v>-</v>
      </c>
      <c r="DF62" s="3024" t="str">
        <f t="shared" si="32"/>
        <v>-</v>
      </c>
      <c r="DG62" s="2098">
        <f t="shared" si="42"/>
        <v>0</v>
      </c>
      <c r="DH62" s="2098">
        <f t="array" ref="DH62">MIN(SUMPRODUCT(I62:CR62,IF($I$25:$CR$25="yes",1,0),$I$23:$CR$23),H62)</f>
        <v>0</v>
      </c>
      <c r="DI62" s="3026"/>
      <c r="DJ62" s="3021"/>
      <c r="DN62" s="917" t="str">
        <f>IF(CS62="","-",SUMIF('Lighting Assumptions'!$G$3:$G$112,'6a - Lighting Counts'!G62,'Lighting Assumptions'!$J$3:$J$112))</f>
        <v>-</v>
      </c>
      <c r="DO62" s="917" t="str">
        <f t="shared" si="33"/>
        <v>-</v>
      </c>
      <c r="DP62" s="917" t="str">
        <f t="shared" si="34"/>
        <v>-</v>
      </c>
      <c r="DQ62" s="917" t="str">
        <f>IF(LEFT(CELLformula(DF62),3)&lt;&gt;"=IF",1,"")</f>
        <v/>
      </c>
      <c r="DR62" s="917" t="str">
        <f>IF(LEFT(CELLformula(DD62),3)&lt;&gt;"=IF",1,"")</f>
        <v/>
      </c>
      <c r="DS62" s="3048">
        <f t="shared" si="43"/>
        <v>0</v>
      </c>
      <c r="DT62" s="3047" t="str">
        <f t="shared" si="44"/>
        <v/>
      </c>
      <c r="DU62" s="3047" t="str">
        <f>IFERROR(IF(G62="","",SUMIF('Lighting Assumptions'!$G$3:$G$112,'6a - Lighting Counts'!G62,'Lighting Assumptions'!$H$3:$H$112)*IF(SI_IP_Units="SI",10.76,1)),"")</f>
        <v/>
      </c>
      <c r="DV62" s="3047" t="str">
        <f>IFERROR(IF($CX62="","",IF(SI_IP_Units="SI",10.76,1)*SUMIF(BAMCategories,$CY62,'Lighting Assumptions'!$E$3:E$35)),"")</f>
        <v/>
      </c>
      <c r="DW62" s="3047" t="str">
        <f>IFERROR(IF($CX62="","",IF(SI_IP_Units="SI",10.76,1)*SUMIF(BAMCategories,$CY62,IF(bpf_reference="ACP",'Lighting Assumptions 90.1-2010'!$E$3:E$35,'Lighting Assumptions 90.1-2016'!$E$3:E$35))),"")</f>
        <v/>
      </c>
      <c r="EW62" s="855"/>
      <c r="EX62" s="855"/>
      <c r="EY62" s="855"/>
      <c r="EZ62" s="855"/>
    </row>
    <row r="63" spans="4:156" x14ac:dyDescent="0.25">
      <c r="D63" s="3019"/>
      <c r="E63" s="3020"/>
      <c r="F63" s="3021">
        <f t="shared" si="45"/>
        <v>0</v>
      </c>
      <c r="G63" s="3059"/>
      <c r="H63" s="3060"/>
      <c r="I63" s="3061"/>
      <c r="J63" s="3061"/>
      <c r="K63" s="3061"/>
      <c r="L63" s="3061"/>
      <c r="M63" s="3061"/>
      <c r="N63" s="3061"/>
      <c r="O63" s="3061"/>
      <c r="P63" s="3061"/>
      <c r="Q63" s="3061"/>
      <c r="R63" s="3061"/>
      <c r="S63" s="3061"/>
      <c r="T63" s="3061"/>
      <c r="U63" s="3061"/>
      <c r="V63" s="3061"/>
      <c r="W63" s="3061"/>
      <c r="X63" s="3061"/>
      <c r="Y63" s="3061"/>
      <c r="Z63" s="3061"/>
      <c r="AA63" s="3061"/>
      <c r="AB63" s="3061"/>
      <c r="AC63" s="3061"/>
      <c r="AD63" s="3061"/>
      <c r="AE63" s="3061"/>
      <c r="AF63" s="3061"/>
      <c r="AG63" s="3061"/>
      <c r="AH63" s="3061"/>
      <c r="AI63" s="3061"/>
      <c r="AJ63" s="3061"/>
      <c r="AK63" s="3061"/>
      <c r="AL63" s="3061"/>
      <c r="AM63" s="3061"/>
      <c r="AN63" s="3061"/>
      <c r="AO63" s="3061"/>
      <c r="AP63" s="3061"/>
      <c r="AQ63" s="3061"/>
      <c r="AR63" s="3061"/>
      <c r="AS63" s="3061"/>
      <c r="AT63" s="3061"/>
      <c r="AU63" s="3061"/>
      <c r="AV63" s="3061"/>
      <c r="AW63" s="3061"/>
      <c r="AX63" s="3061"/>
      <c r="AY63" s="3061"/>
      <c r="AZ63" s="3061"/>
      <c r="BA63" s="3061"/>
      <c r="BB63" s="3061"/>
      <c r="BC63" s="3061"/>
      <c r="BD63" s="3061"/>
      <c r="BE63" s="3061"/>
      <c r="BF63" s="3061"/>
      <c r="BG63" s="3061"/>
      <c r="BH63" s="3061"/>
      <c r="BI63" s="3061"/>
      <c r="BJ63" s="3061"/>
      <c r="BK63" s="3061"/>
      <c r="BL63" s="3061"/>
      <c r="BM63" s="3061"/>
      <c r="BN63" s="3061"/>
      <c r="BO63" s="3061"/>
      <c r="BP63" s="3061"/>
      <c r="BQ63" s="3061"/>
      <c r="BR63" s="3061"/>
      <c r="BS63" s="3061"/>
      <c r="BT63" s="3061"/>
      <c r="BU63" s="3061"/>
      <c r="BV63" s="3061"/>
      <c r="BW63" s="3061"/>
      <c r="BX63" s="3061"/>
      <c r="BY63" s="3061"/>
      <c r="BZ63" s="3061"/>
      <c r="CA63" s="3061"/>
      <c r="CB63" s="3061"/>
      <c r="CC63" s="3061"/>
      <c r="CD63" s="3061"/>
      <c r="CE63" s="3061"/>
      <c r="CF63" s="3061"/>
      <c r="CG63" s="3061"/>
      <c r="CH63" s="3061"/>
      <c r="CI63" s="3061"/>
      <c r="CJ63" s="3061"/>
      <c r="CK63" s="3061"/>
      <c r="CL63" s="3061"/>
      <c r="CM63" s="3061"/>
      <c r="CN63" s="3061"/>
      <c r="CO63" s="3061"/>
      <c r="CP63" s="3061"/>
      <c r="CQ63" s="3061"/>
      <c r="CR63" s="3061"/>
      <c r="CS63" s="3062"/>
      <c r="CT63" s="3063"/>
      <c r="CU63" s="3064">
        <f t="shared" si="35"/>
        <v>1</v>
      </c>
      <c r="CV63" s="3022" t="str">
        <f>IF(OR(CT63="",CT63="None"),"-",DO63*CU63*SUMIF('Lighting Assumptions'!$G$3:$G$112,'6a - Lighting Counts'!G63,'Lighting Assumptions'!$J$3:$J$112))</f>
        <v>-</v>
      </c>
      <c r="CW63" s="3021"/>
      <c r="CX63" s="3021"/>
      <c r="CY63" s="3046"/>
      <c r="CZ63" s="2098">
        <f t="shared" si="36"/>
        <v>0</v>
      </c>
      <c r="DA63" s="2098" t="str">
        <f t="shared" si="37"/>
        <v>-</v>
      </c>
      <c r="DB63" s="2098">
        <f t="shared" si="38"/>
        <v>0</v>
      </c>
      <c r="DC63" s="3023" t="str">
        <f t="shared" si="39"/>
        <v>-</v>
      </c>
      <c r="DD63" s="3024" t="str">
        <f t="shared" si="40"/>
        <v/>
      </c>
      <c r="DE63" s="3025" t="str">
        <f t="shared" si="41"/>
        <v>-</v>
      </c>
      <c r="DF63" s="3024" t="str">
        <f t="shared" si="32"/>
        <v>-</v>
      </c>
      <c r="DG63" s="2098">
        <f t="shared" si="42"/>
        <v>0</v>
      </c>
      <c r="DH63" s="2098">
        <f t="array" ref="DH63">MIN(SUMPRODUCT(I63:CR63,IF($I$25:$CR$25="yes",1,0),$I$23:$CR$23),H63)</f>
        <v>0</v>
      </c>
      <c r="DI63" s="3026"/>
      <c r="DJ63" s="3021"/>
      <c r="DN63" s="917" t="str">
        <f>IF(CS63="","-",SUMIF('Lighting Assumptions'!$G$3:$G$112,'6a - Lighting Counts'!G63,'Lighting Assumptions'!$J$3:$J$112))</f>
        <v>-</v>
      </c>
      <c r="DO63" s="917" t="str">
        <f t="shared" si="33"/>
        <v>-</v>
      </c>
      <c r="DP63" s="917" t="str">
        <f t="shared" si="34"/>
        <v>-</v>
      </c>
      <c r="DQ63" s="917" t="str">
        <f>IF(LEFT(CELLformula(DF63),3)&lt;&gt;"=IF",1,"")</f>
        <v/>
      </c>
      <c r="DR63" s="917" t="str">
        <f>IF(LEFT(CELLformula(DD63),3)&lt;&gt;"=IF",1,"")</f>
        <v/>
      </c>
      <c r="DS63" s="3048">
        <f t="shared" si="43"/>
        <v>0</v>
      </c>
      <c r="DT63" s="3047" t="str">
        <f t="shared" si="44"/>
        <v/>
      </c>
      <c r="DU63" s="3047" t="str">
        <f>IFERROR(IF(G63="","",SUMIF('Lighting Assumptions'!$G$3:$G$112,'6a - Lighting Counts'!G63,'Lighting Assumptions'!$H$3:$H$112)*IF(SI_IP_Units="SI",10.76,1)),"")</f>
        <v/>
      </c>
      <c r="DV63" s="3047" t="str">
        <f>IFERROR(IF($CX63="","",IF(SI_IP_Units="SI",10.76,1)*SUMIF(BAMCategories,$CY63,'Lighting Assumptions'!$E$3:E$35)),"")</f>
        <v/>
      </c>
      <c r="DW63" s="3047" t="str">
        <f>IFERROR(IF($CX63="","",IF(SI_IP_Units="SI",10.76,1)*SUMIF(BAMCategories,$CY63,IF(bpf_reference="ACP",'Lighting Assumptions 90.1-2010'!$E$3:E$35,'Lighting Assumptions 90.1-2016'!$E$3:E$35))),"")</f>
        <v/>
      </c>
      <c r="EW63" s="855"/>
      <c r="EX63" s="855"/>
      <c r="EY63" s="855"/>
      <c r="EZ63" s="855"/>
    </row>
    <row r="64" spans="4:156" x14ac:dyDescent="0.25">
      <c r="D64" s="3019"/>
      <c r="E64" s="3020"/>
      <c r="F64" s="3021">
        <f t="shared" si="45"/>
        <v>0</v>
      </c>
      <c r="G64" s="3059"/>
      <c r="H64" s="3060"/>
      <c r="I64" s="3061"/>
      <c r="J64" s="3061"/>
      <c r="K64" s="3061"/>
      <c r="L64" s="3061"/>
      <c r="M64" s="3061"/>
      <c r="N64" s="3061"/>
      <c r="O64" s="3061"/>
      <c r="P64" s="3061"/>
      <c r="Q64" s="3061"/>
      <c r="R64" s="3061"/>
      <c r="S64" s="3061"/>
      <c r="T64" s="3061"/>
      <c r="U64" s="3061"/>
      <c r="V64" s="3061"/>
      <c r="W64" s="3061"/>
      <c r="X64" s="3061"/>
      <c r="Y64" s="3061"/>
      <c r="Z64" s="3061"/>
      <c r="AA64" s="3061"/>
      <c r="AB64" s="3061"/>
      <c r="AC64" s="3061"/>
      <c r="AD64" s="3061"/>
      <c r="AE64" s="3061"/>
      <c r="AF64" s="3061"/>
      <c r="AG64" s="3061"/>
      <c r="AH64" s="3061"/>
      <c r="AI64" s="3061"/>
      <c r="AJ64" s="3061"/>
      <c r="AK64" s="3061"/>
      <c r="AL64" s="3061"/>
      <c r="AM64" s="3061"/>
      <c r="AN64" s="3061"/>
      <c r="AO64" s="3061"/>
      <c r="AP64" s="3061"/>
      <c r="AQ64" s="3061"/>
      <c r="AR64" s="3061"/>
      <c r="AS64" s="3061"/>
      <c r="AT64" s="3061"/>
      <c r="AU64" s="3061"/>
      <c r="AV64" s="3061"/>
      <c r="AW64" s="3061"/>
      <c r="AX64" s="3061"/>
      <c r="AY64" s="3061"/>
      <c r="AZ64" s="3061"/>
      <c r="BA64" s="3061"/>
      <c r="BB64" s="3061"/>
      <c r="BC64" s="3061"/>
      <c r="BD64" s="3061"/>
      <c r="BE64" s="3061"/>
      <c r="BF64" s="3061"/>
      <c r="BG64" s="3061"/>
      <c r="BH64" s="3061"/>
      <c r="BI64" s="3061"/>
      <c r="BJ64" s="3061"/>
      <c r="BK64" s="3061"/>
      <c r="BL64" s="3061"/>
      <c r="BM64" s="3061"/>
      <c r="BN64" s="3061"/>
      <c r="BO64" s="3061"/>
      <c r="BP64" s="3061"/>
      <c r="BQ64" s="3061"/>
      <c r="BR64" s="3061"/>
      <c r="BS64" s="3061"/>
      <c r="BT64" s="3061"/>
      <c r="BU64" s="3061"/>
      <c r="BV64" s="3061"/>
      <c r="BW64" s="3061"/>
      <c r="BX64" s="3061"/>
      <c r="BY64" s="3061"/>
      <c r="BZ64" s="3061"/>
      <c r="CA64" s="3061"/>
      <c r="CB64" s="3061"/>
      <c r="CC64" s="3061"/>
      <c r="CD64" s="3061"/>
      <c r="CE64" s="3061"/>
      <c r="CF64" s="3061"/>
      <c r="CG64" s="3061"/>
      <c r="CH64" s="3061"/>
      <c r="CI64" s="3061"/>
      <c r="CJ64" s="3061"/>
      <c r="CK64" s="3061"/>
      <c r="CL64" s="3061"/>
      <c r="CM64" s="3061"/>
      <c r="CN64" s="3061"/>
      <c r="CO64" s="3061"/>
      <c r="CP64" s="3061"/>
      <c r="CQ64" s="3061"/>
      <c r="CR64" s="3061"/>
      <c r="CS64" s="3062"/>
      <c r="CT64" s="3063"/>
      <c r="CU64" s="3064">
        <f t="shared" si="35"/>
        <v>1</v>
      </c>
      <c r="CV64" s="3022" t="str">
        <f>IF(OR(CT64="",CT64="None"),"-",DO64*CU64*SUMIF('Lighting Assumptions'!$G$3:$G$112,'6a - Lighting Counts'!G64,'Lighting Assumptions'!$J$3:$J$112))</f>
        <v>-</v>
      </c>
      <c r="CW64" s="3021"/>
      <c r="CX64" s="3021"/>
      <c r="CY64" s="3046"/>
      <c r="CZ64" s="2098">
        <f t="shared" si="36"/>
        <v>0</v>
      </c>
      <c r="DA64" s="2098" t="str">
        <f t="shared" si="37"/>
        <v>-</v>
      </c>
      <c r="DB64" s="2098">
        <f t="shared" si="38"/>
        <v>0</v>
      </c>
      <c r="DC64" s="3023" t="str">
        <f t="shared" si="39"/>
        <v>-</v>
      </c>
      <c r="DD64" s="3024" t="str">
        <f t="shared" si="40"/>
        <v/>
      </c>
      <c r="DE64" s="3025" t="str">
        <f t="shared" si="41"/>
        <v>-</v>
      </c>
      <c r="DF64" s="3024" t="str">
        <f t="shared" si="32"/>
        <v>-</v>
      </c>
      <c r="DG64" s="2098">
        <f t="shared" si="42"/>
        <v>0</v>
      </c>
      <c r="DH64" s="2098">
        <f t="array" ref="DH64">MIN(SUMPRODUCT(I64:CR64,IF($I$25:$CR$25="yes",1,0),$I$23:$CR$23),H64)</f>
        <v>0</v>
      </c>
      <c r="DI64" s="3026"/>
      <c r="DJ64" s="3021"/>
      <c r="DN64" s="917" t="str">
        <f>IF(CS64="","-",SUMIF('Lighting Assumptions'!$G$3:$G$112,'6a - Lighting Counts'!G64,'Lighting Assumptions'!$J$3:$J$112))</f>
        <v>-</v>
      </c>
      <c r="DO64" s="917" t="str">
        <f t="shared" si="33"/>
        <v>-</v>
      </c>
      <c r="DP64" s="917" t="str">
        <f t="shared" si="34"/>
        <v>-</v>
      </c>
      <c r="DQ64" s="917" t="str">
        <f>IF(LEFT(CELLformula(DF64),3)&lt;&gt;"=IF",1,"")</f>
        <v/>
      </c>
      <c r="DR64" s="917" t="str">
        <f>IF(LEFT(CELLformula(DD64),3)&lt;&gt;"=IF",1,"")</f>
        <v/>
      </c>
      <c r="DS64" s="3048">
        <f t="shared" si="43"/>
        <v>0</v>
      </c>
      <c r="DT64" s="3047" t="str">
        <f t="shared" si="44"/>
        <v/>
      </c>
      <c r="DU64" s="3047" t="str">
        <f>IFERROR(IF(G64="","",SUMIF('Lighting Assumptions'!$G$3:$G$112,'6a - Lighting Counts'!G64,'Lighting Assumptions'!$H$3:$H$112)*IF(SI_IP_Units="SI",10.76,1)),"")</f>
        <v/>
      </c>
      <c r="DV64" s="3047" t="str">
        <f>IFERROR(IF($CX64="","",IF(SI_IP_Units="SI",10.76,1)*SUMIF(BAMCategories,$CY64,'Lighting Assumptions'!$E$3:E$35)),"")</f>
        <v/>
      </c>
      <c r="DW64" s="3047" t="str">
        <f>IFERROR(IF($CX64="","",IF(SI_IP_Units="SI",10.76,1)*SUMIF(BAMCategories,$CY64,IF(bpf_reference="ACP",'Lighting Assumptions 90.1-2010'!$E$3:E$35,'Lighting Assumptions 90.1-2016'!$E$3:E$35))),"")</f>
        <v/>
      </c>
      <c r="EW64" s="855"/>
      <c r="EX64" s="855"/>
      <c r="EY64" s="855"/>
      <c r="EZ64" s="855"/>
    </row>
    <row r="65" spans="4:156" x14ac:dyDescent="0.25">
      <c r="D65" s="3019"/>
      <c r="E65" s="3020"/>
      <c r="F65" s="3021">
        <f t="shared" si="45"/>
        <v>0</v>
      </c>
      <c r="G65" s="3059"/>
      <c r="H65" s="3060"/>
      <c r="I65" s="3061"/>
      <c r="J65" s="3061"/>
      <c r="K65" s="3061"/>
      <c r="L65" s="3061"/>
      <c r="M65" s="3061"/>
      <c r="N65" s="3061"/>
      <c r="O65" s="3061"/>
      <c r="P65" s="3061"/>
      <c r="Q65" s="3061"/>
      <c r="R65" s="3061"/>
      <c r="S65" s="3061"/>
      <c r="T65" s="3061"/>
      <c r="U65" s="3061"/>
      <c r="V65" s="3061"/>
      <c r="W65" s="3061"/>
      <c r="X65" s="3061"/>
      <c r="Y65" s="3061"/>
      <c r="Z65" s="3061"/>
      <c r="AA65" s="3061"/>
      <c r="AB65" s="3061"/>
      <c r="AC65" s="3061"/>
      <c r="AD65" s="3061"/>
      <c r="AE65" s="3061"/>
      <c r="AF65" s="3061"/>
      <c r="AG65" s="3061"/>
      <c r="AH65" s="3061"/>
      <c r="AI65" s="3061"/>
      <c r="AJ65" s="3061"/>
      <c r="AK65" s="3061"/>
      <c r="AL65" s="3061"/>
      <c r="AM65" s="3061"/>
      <c r="AN65" s="3061"/>
      <c r="AO65" s="3061"/>
      <c r="AP65" s="3061"/>
      <c r="AQ65" s="3061"/>
      <c r="AR65" s="3061"/>
      <c r="AS65" s="3061"/>
      <c r="AT65" s="3061"/>
      <c r="AU65" s="3061"/>
      <c r="AV65" s="3061"/>
      <c r="AW65" s="3061"/>
      <c r="AX65" s="3061"/>
      <c r="AY65" s="3061"/>
      <c r="AZ65" s="3061"/>
      <c r="BA65" s="3061"/>
      <c r="BB65" s="3061"/>
      <c r="BC65" s="3061"/>
      <c r="BD65" s="3061"/>
      <c r="BE65" s="3061"/>
      <c r="BF65" s="3061"/>
      <c r="BG65" s="3061"/>
      <c r="BH65" s="3061"/>
      <c r="BI65" s="3061"/>
      <c r="BJ65" s="3061"/>
      <c r="BK65" s="3061"/>
      <c r="BL65" s="3061"/>
      <c r="BM65" s="3061"/>
      <c r="BN65" s="3061"/>
      <c r="BO65" s="3061"/>
      <c r="BP65" s="3061"/>
      <c r="BQ65" s="3061"/>
      <c r="BR65" s="3061"/>
      <c r="BS65" s="3061"/>
      <c r="BT65" s="3061"/>
      <c r="BU65" s="3061"/>
      <c r="BV65" s="3061"/>
      <c r="BW65" s="3061"/>
      <c r="BX65" s="3061"/>
      <c r="BY65" s="3061"/>
      <c r="BZ65" s="3061"/>
      <c r="CA65" s="3061"/>
      <c r="CB65" s="3061"/>
      <c r="CC65" s="3061"/>
      <c r="CD65" s="3061"/>
      <c r="CE65" s="3061"/>
      <c r="CF65" s="3061"/>
      <c r="CG65" s="3061"/>
      <c r="CH65" s="3061"/>
      <c r="CI65" s="3061"/>
      <c r="CJ65" s="3061"/>
      <c r="CK65" s="3061"/>
      <c r="CL65" s="3061"/>
      <c r="CM65" s="3061"/>
      <c r="CN65" s="3061"/>
      <c r="CO65" s="3061"/>
      <c r="CP65" s="3061"/>
      <c r="CQ65" s="3061"/>
      <c r="CR65" s="3061"/>
      <c r="CS65" s="3062"/>
      <c r="CT65" s="3063"/>
      <c r="CU65" s="3064">
        <f t="shared" si="35"/>
        <v>1</v>
      </c>
      <c r="CV65" s="3022" t="str">
        <f>IF(OR(CT65="",CT65="None"),"-",DO65*CU65*SUMIF('Lighting Assumptions'!$G$3:$G$112,'6a - Lighting Counts'!G65,'Lighting Assumptions'!$J$3:$J$112))</f>
        <v>-</v>
      </c>
      <c r="CW65" s="3021"/>
      <c r="CX65" s="3021"/>
      <c r="CY65" s="3046"/>
      <c r="CZ65" s="2098">
        <f t="shared" si="36"/>
        <v>0</v>
      </c>
      <c r="DA65" s="2098" t="str">
        <f t="shared" si="37"/>
        <v>-</v>
      </c>
      <c r="DB65" s="2098">
        <f t="shared" si="38"/>
        <v>0</v>
      </c>
      <c r="DC65" s="3023" t="str">
        <f t="shared" si="39"/>
        <v>-</v>
      </c>
      <c r="DD65" s="3024" t="str">
        <f t="shared" si="40"/>
        <v/>
      </c>
      <c r="DE65" s="3025" t="str">
        <f t="shared" si="41"/>
        <v>-</v>
      </c>
      <c r="DF65" s="3024" t="str">
        <f t="shared" si="32"/>
        <v>-</v>
      </c>
      <c r="DG65" s="2098">
        <f t="shared" si="42"/>
        <v>0</v>
      </c>
      <c r="DH65" s="2098">
        <f t="array" ref="DH65">MIN(SUMPRODUCT(I65:CR65,IF($I$25:$CR$25="yes",1,0),$I$23:$CR$23),H65)</f>
        <v>0</v>
      </c>
      <c r="DI65" s="3026"/>
      <c r="DJ65" s="3021"/>
      <c r="DN65" s="917" t="str">
        <f>IF(CS65="","-",SUMIF('Lighting Assumptions'!$G$3:$G$112,'6a - Lighting Counts'!G65,'Lighting Assumptions'!$J$3:$J$112))</f>
        <v>-</v>
      </c>
      <c r="DO65" s="917" t="str">
        <f t="shared" si="33"/>
        <v>-</v>
      </c>
      <c r="DP65" s="917" t="str">
        <f t="shared" si="34"/>
        <v>-</v>
      </c>
      <c r="DQ65" s="917" t="str">
        <f>IF(LEFT(CELLformula(DF65),3)&lt;&gt;"=IF",1,"")</f>
        <v/>
      </c>
      <c r="DR65" s="917" t="str">
        <f>IF(LEFT(CELLformula(DD65),3)&lt;&gt;"=IF",1,"")</f>
        <v/>
      </c>
      <c r="DS65" s="3048">
        <f t="shared" si="43"/>
        <v>0</v>
      </c>
      <c r="DT65" s="3047" t="str">
        <f t="shared" si="44"/>
        <v/>
      </c>
      <c r="DU65" s="3047" t="str">
        <f>IFERROR(IF(G65="","",SUMIF('Lighting Assumptions'!$G$3:$G$112,'6a - Lighting Counts'!G65,'Lighting Assumptions'!$H$3:$H$112)*IF(SI_IP_Units="SI",10.76,1)),"")</f>
        <v/>
      </c>
      <c r="DV65" s="3047" t="str">
        <f>IFERROR(IF($CX65="","",IF(SI_IP_Units="SI",10.76,1)*SUMIF(BAMCategories,$CY65,'Lighting Assumptions'!$E$3:E$35)),"")</f>
        <v/>
      </c>
      <c r="DW65" s="3047" t="str">
        <f>IFERROR(IF($CX65="","",IF(SI_IP_Units="SI",10.76,1)*SUMIF(BAMCategories,$CY65,IF(bpf_reference="ACP",'Lighting Assumptions 90.1-2010'!$E$3:E$35,'Lighting Assumptions 90.1-2016'!$E$3:E$35))),"")</f>
        <v/>
      </c>
      <c r="EW65" s="855"/>
      <c r="EX65" s="855"/>
      <c r="EY65" s="855"/>
      <c r="EZ65" s="855"/>
    </row>
    <row r="66" spans="4:156" x14ac:dyDescent="0.25">
      <c r="D66" s="3019"/>
      <c r="E66" s="3020"/>
      <c r="F66" s="3021">
        <f t="shared" si="45"/>
        <v>0</v>
      </c>
      <c r="G66" s="3059"/>
      <c r="H66" s="3060"/>
      <c r="I66" s="3061"/>
      <c r="J66" s="3061"/>
      <c r="K66" s="3061"/>
      <c r="L66" s="3061"/>
      <c r="M66" s="3061"/>
      <c r="N66" s="3061"/>
      <c r="O66" s="3061"/>
      <c r="P66" s="3061"/>
      <c r="Q66" s="3061"/>
      <c r="R66" s="3061"/>
      <c r="S66" s="3061"/>
      <c r="T66" s="3061"/>
      <c r="U66" s="3061"/>
      <c r="V66" s="3061"/>
      <c r="W66" s="3061"/>
      <c r="X66" s="3061"/>
      <c r="Y66" s="3061"/>
      <c r="Z66" s="3061"/>
      <c r="AA66" s="3061"/>
      <c r="AB66" s="3061"/>
      <c r="AC66" s="3061"/>
      <c r="AD66" s="3061"/>
      <c r="AE66" s="3061"/>
      <c r="AF66" s="3061"/>
      <c r="AG66" s="3061"/>
      <c r="AH66" s="3061"/>
      <c r="AI66" s="3061"/>
      <c r="AJ66" s="3061"/>
      <c r="AK66" s="3061"/>
      <c r="AL66" s="3061"/>
      <c r="AM66" s="3061"/>
      <c r="AN66" s="3061"/>
      <c r="AO66" s="3061"/>
      <c r="AP66" s="3061"/>
      <c r="AQ66" s="3061"/>
      <c r="AR66" s="3061"/>
      <c r="AS66" s="3061"/>
      <c r="AT66" s="3061"/>
      <c r="AU66" s="3061"/>
      <c r="AV66" s="3061"/>
      <c r="AW66" s="3061"/>
      <c r="AX66" s="3061"/>
      <c r="AY66" s="3061"/>
      <c r="AZ66" s="3061"/>
      <c r="BA66" s="3061"/>
      <c r="BB66" s="3061"/>
      <c r="BC66" s="3061"/>
      <c r="BD66" s="3061"/>
      <c r="BE66" s="3061"/>
      <c r="BF66" s="3061"/>
      <c r="BG66" s="3061"/>
      <c r="BH66" s="3061"/>
      <c r="BI66" s="3061"/>
      <c r="BJ66" s="3061"/>
      <c r="BK66" s="3061"/>
      <c r="BL66" s="3061"/>
      <c r="BM66" s="3061"/>
      <c r="BN66" s="3061"/>
      <c r="BO66" s="3061"/>
      <c r="BP66" s="3061"/>
      <c r="BQ66" s="3061"/>
      <c r="BR66" s="3061"/>
      <c r="BS66" s="3061"/>
      <c r="BT66" s="3061"/>
      <c r="BU66" s="3061"/>
      <c r="BV66" s="3061"/>
      <c r="BW66" s="3061"/>
      <c r="BX66" s="3061"/>
      <c r="BY66" s="3061"/>
      <c r="BZ66" s="3061"/>
      <c r="CA66" s="3061"/>
      <c r="CB66" s="3061"/>
      <c r="CC66" s="3061"/>
      <c r="CD66" s="3061"/>
      <c r="CE66" s="3061"/>
      <c r="CF66" s="3061"/>
      <c r="CG66" s="3061"/>
      <c r="CH66" s="3061"/>
      <c r="CI66" s="3061"/>
      <c r="CJ66" s="3061"/>
      <c r="CK66" s="3061"/>
      <c r="CL66" s="3061"/>
      <c r="CM66" s="3061"/>
      <c r="CN66" s="3061"/>
      <c r="CO66" s="3061"/>
      <c r="CP66" s="3061"/>
      <c r="CQ66" s="3061"/>
      <c r="CR66" s="3061"/>
      <c r="CS66" s="3062"/>
      <c r="CT66" s="3063"/>
      <c r="CU66" s="3064">
        <f t="shared" si="35"/>
        <v>1</v>
      </c>
      <c r="CV66" s="3022" t="str">
        <f>IF(OR(CT66="",CT66="None"),"-",DO66*CU66*SUMIF('Lighting Assumptions'!$G$3:$G$112,'6a - Lighting Counts'!G66,'Lighting Assumptions'!$J$3:$J$112))</f>
        <v>-</v>
      </c>
      <c r="CW66" s="3021"/>
      <c r="CX66" s="3021"/>
      <c r="CY66" s="3046"/>
      <c r="CZ66" s="2098">
        <f t="shared" si="36"/>
        <v>0</v>
      </c>
      <c r="DA66" s="2098" t="str">
        <f t="shared" si="37"/>
        <v>-</v>
      </c>
      <c r="DB66" s="2098">
        <f t="shared" si="38"/>
        <v>0</v>
      </c>
      <c r="DC66" s="3023" t="str">
        <f t="shared" si="39"/>
        <v>-</v>
      </c>
      <c r="DD66" s="3024" t="str">
        <f t="shared" si="40"/>
        <v/>
      </c>
      <c r="DE66" s="3025" t="str">
        <f t="shared" si="41"/>
        <v>-</v>
      </c>
      <c r="DF66" s="3024" t="str">
        <f t="shared" si="32"/>
        <v>-</v>
      </c>
      <c r="DG66" s="2098">
        <f t="shared" si="42"/>
        <v>0</v>
      </c>
      <c r="DH66" s="2098">
        <f t="array" ref="DH66">MIN(SUMPRODUCT(I66:CR66,IF($I$25:$CR$25="yes",1,0),$I$23:$CR$23),H66)</f>
        <v>0</v>
      </c>
      <c r="DI66" s="3026"/>
      <c r="DJ66" s="3021"/>
      <c r="DN66" s="917" t="str">
        <f>IF(CS66="","-",SUMIF('Lighting Assumptions'!$G$3:$G$112,'6a - Lighting Counts'!G66,'Lighting Assumptions'!$J$3:$J$112))</f>
        <v>-</v>
      </c>
      <c r="DO66" s="917" t="str">
        <f t="shared" si="33"/>
        <v>-</v>
      </c>
      <c r="DP66" s="917" t="str">
        <f t="shared" si="34"/>
        <v>-</v>
      </c>
      <c r="DQ66" s="917" t="str">
        <f>IF(LEFT(CELLformula(DF66),3)&lt;&gt;"=IF",1,"")</f>
        <v/>
      </c>
      <c r="DR66" s="917" t="str">
        <f>IF(LEFT(CELLformula(DD66),3)&lt;&gt;"=IF",1,"")</f>
        <v/>
      </c>
      <c r="DS66" s="3048">
        <f t="shared" si="43"/>
        <v>0</v>
      </c>
      <c r="DT66" s="3047" t="str">
        <f t="shared" si="44"/>
        <v/>
      </c>
      <c r="DU66" s="3047" t="str">
        <f>IFERROR(IF(G66="","",SUMIF('Lighting Assumptions'!$G$3:$G$112,'6a - Lighting Counts'!G66,'Lighting Assumptions'!$H$3:$H$112)*IF(SI_IP_Units="SI",10.76,1)),"")</f>
        <v/>
      </c>
      <c r="DV66" s="3047" t="str">
        <f>IFERROR(IF($CX66="","",IF(SI_IP_Units="SI",10.76,1)*SUMIF(BAMCategories,$CY66,'Lighting Assumptions'!$E$3:E$35)),"")</f>
        <v/>
      </c>
      <c r="DW66" s="3047" t="str">
        <f>IFERROR(IF($CX66="","",IF(SI_IP_Units="SI",10.76,1)*SUMIF(BAMCategories,$CY66,IF(bpf_reference="ACP",'Lighting Assumptions 90.1-2010'!$E$3:E$35,'Lighting Assumptions 90.1-2016'!$E$3:E$35))),"")</f>
        <v/>
      </c>
      <c r="EW66" s="855"/>
      <c r="EX66" s="855"/>
      <c r="EY66" s="855"/>
      <c r="EZ66" s="855"/>
    </row>
    <row r="67" spans="4:156" x14ac:dyDescent="0.25">
      <c r="D67" s="3019"/>
      <c r="E67" s="3020"/>
      <c r="F67" s="3021">
        <f t="shared" si="45"/>
        <v>0</v>
      </c>
      <c r="G67" s="3059"/>
      <c r="H67" s="3060"/>
      <c r="I67" s="3061"/>
      <c r="J67" s="3061"/>
      <c r="K67" s="3061"/>
      <c r="L67" s="3061"/>
      <c r="M67" s="3061"/>
      <c r="N67" s="3061"/>
      <c r="O67" s="3061"/>
      <c r="P67" s="3061"/>
      <c r="Q67" s="3061"/>
      <c r="R67" s="3061"/>
      <c r="S67" s="3061"/>
      <c r="T67" s="3061"/>
      <c r="U67" s="3061"/>
      <c r="V67" s="3061"/>
      <c r="W67" s="3061"/>
      <c r="X67" s="3061"/>
      <c r="Y67" s="3061"/>
      <c r="Z67" s="3061"/>
      <c r="AA67" s="3061"/>
      <c r="AB67" s="3061"/>
      <c r="AC67" s="3061"/>
      <c r="AD67" s="3061"/>
      <c r="AE67" s="3061"/>
      <c r="AF67" s="3061"/>
      <c r="AG67" s="3061"/>
      <c r="AH67" s="3061"/>
      <c r="AI67" s="3061"/>
      <c r="AJ67" s="3061"/>
      <c r="AK67" s="3061"/>
      <c r="AL67" s="3061"/>
      <c r="AM67" s="3061"/>
      <c r="AN67" s="3061"/>
      <c r="AO67" s="3061"/>
      <c r="AP67" s="3061"/>
      <c r="AQ67" s="3061"/>
      <c r="AR67" s="3061"/>
      <c r="AS67" s="3061"/>
      <c r="AT67" s="3061"/>
      <c r="AU67" s="3061"/>
      <c r="AV67" s="3061"/>
      <c r="AW67" s="3061"/>
      <c r="AX67" s="3061"/>
      <c r="AY67" s="3061"/>
      <c r="AZ67" s="3061"/>
      <c r="BA67" s="3061"/>
      <c r="BB67" s="3061"/>
      <c r="BC67" s="3061"/>
      <c r="BD67" s="3061"/>
      <c r="BE67" s="3061"/>
      <c r="BF67" s="3061"/>
      <c r="BG67" s="3061"/>
      <c r="BH67" s="3061"/>
      <c r="BI67" s="3061"/>
      <c r="BJ67" s="3061"/>
      <c r="BK67" s="3061"/>
      <c r="BL67" s="3061"/>
      <c r="BM67" s="3061"/>
      <c r="BN67" s="3061"/>
      <c r="BO67" s="3061"/>
      <c r="BP67" s="3061"/>
      <c r="BQ67" s="3061"/>
      <c r="BR67" s="3061"/>
      <c r="BS67" s="3061"/>
      <c r="BT67" s="3061"/>
      <c r="BU67" s="3061"/>
      <c r="BV67" s="3061"/>
      <c r="BW67" s="3061"/>
      <c r="BX67" s="3061"/>
      <c r="BY67" s="3061"/>
      <c r="BZ67" s="3061"/>
      <c r="CA67" s="3061"/>
      <c r="CB67" s="3061"/>
      <c r="CC67" s="3061"/>
      <c r="CD67" s="3061"/>
      <c r="CE67" s="3061"/>
      <c r="CF67" s="3061"/>
      <c r="CG67" s="3061"/>
      <c r="CH67" s="3061"/>
      <c r="CI67" s="3061"/>
      <c r="CJ67" s="3061"/>
      <c r="CK67" s="3061"/>
      <c r="CL67" s="3061"/>
      <c r="CM67" s="3061"/>
      <c r="CN67" s="3061"/>
      <c r="CO67" s="3061"/>
      <c r="CP67" s="3061"/>
      <c r="CQ67" s="3061"/>
      <c r="CR67" s="3061"/>
      <c r="CS67" s="3062"/>
      <c r="CT67" s="3063"/>
      <c r="CU67" s="3064">
        <f t="shared" si="35"/>
        <v>1</v>
      </c>
      <c r="CV67" s="3022" t="str">
        <f>IF(OR(CT67="",CT67="None"),"-",DO67*CU67*SUMIF('Lighting Assumptions'!$G$3:$G$112,'6a - Lighting Counts'!G67,'Lighting Assumptions'!$J$3:$J$112))</f>
        <v>-</v>
      </c>
      <c r="CW67" s="3021"/>
      <c r="CX67" s="3021"/>
      <c r="CY67" s="3046"/>
      <c r="CZ67" s="2098">
        <f t="shared" si="36"/>
        <v>0</v>
      </c>
      <c r="DA67" s="2098" t="str">
        <f t="shared" si="37"/>
        <v>-</v>
      </c>
      <c r="DB67" s="2098">
        <f t="shared" si="38"/>
        <v>0</v>
      </c>
      <c r="DC67" s="3023" t="str">
        <f t="shared" si="39"/>
        <v>-</v>
      </c>
      <c r="DD67" s="3024" t="str">
        <f t="shared" si="40"/>
        <v/>
      </c>
      <c r="DE67" s="3025" t="str">
        <f t="shared" si="41"/>
        <v>-</v>
      </c>
      <c r="DF67" s="3024" t="str">
        <f t="shared" si="32"/>
        <v>-</v>
      </c>
      <c r="DG67" s="2098">
        <f t="shared" si="42"/>
        <v>0</v>
      </c>
      <c r="DH67" s="2098">
        <f t="array" ref="DH67">MIN(SUMPRODUCT(I67:CR67,IF($I$25:$CR$25="yes",1,0),$I$23:$CR$23),H67)</f>
        <v>0</v>
      </c>
      <c r="DI67" s="3026"/>
      <c r="DJ67" s="3021"/>
      <c r="DN67" s="917" t="str">
        <f>IF(CS67="","-",SUMIF('Lighting Assumptions'!$G$3:$G$112,'6a - Lighting Counts'!G67,'Lighting Assumptions'!$J$3:$J$112))</f>
        <v>-</v>
      </c>
      <c r="DO67" s="917" t="str">
        <f t="shared" si="33"/>
        <v>-</v>
      </c>
      <c r="DP67" s="917" t="str">
        <f t="shared" si="34"/>
        <v>-</v>
      </c>
      <c r="DQ67" s="917" t="str">
        <f>IF(LEFT(CELLformula(DF67),3)&lt;&gt;"=IF",1,"")</f>
        <v/>
      </c>
      <c r="DR67" s="917" t="str">
        <f>IF(LEFT(CELLformula(DD67),3)&lt;&gt;"=IF",1,"")</f>
        <v/>
      </c>
      <c r="DS67" s="3048">
        <f t="shared" si="43"/>
        <v>0</v>
      </c>
      <c r="DT67" s="3047" t="str">
        <f t="shared" si="44"/>
        <v/>
      </c>
      <c r="DU67" s="3047" t="str">
        <f>IFERROR(IF(G67="","",SUMIF('Lighting Assumptions'!$G$3:$G$112,'6a - Lighting Counts'!G67,'Lighting Assumptions'!$H$3:$H$112)*IF(SI_IP_Units="SI",10.76,1)),"")</f>
        <v/>
      </c>
      <c r="DV67" s="3047" t="str">
        <f>IFERROR(IF($CX67="","",IF(SI_IP_Units="SI",10.76,1)*SUMIF(BAMCategories,$CY67,'Lighting Assumptions'!$E$3:E$35)),"")</f>
        <v/>
      </c>
      <c r="DW67" s="3047" t="str">
        <f>IFERROR(IF($CX67="","",IF(SI_IP_Units="SI",10.76,1)*SUMIF(BAMCategories,$CY67,IF(bpf_reference="ACP",'Lighting Assumptions 90.1-2010'!$E$3:E$35,'Lighting Assumptions 90.1-2016'!$E$3:E$35))),"")</f>
        <v/>
      </c>
      <c r="EW67" s="855"/>
      <c r="EX67" s="855"/>
      <c r="EY67" s="855"/>
      <c r="EZ67" s="855"/>
    </row>
    <row r="68" spans="4:156" x14ac:dyDescent="0.25">
      <c r="D68" s="3019"/>
      <c r="E68" s="3020"/>
      <c r="F68" s="3021">
        <f t="shared" si="45"/>
        <v>0</v>
      </c>
      <c r="G68" s="3059"/>
      <c r="H68" s="3060"/>
      <c r="I68" s="3061"/>
      <c r="J68" s="3061"/>
      <c r="K68" s="3061"/>
      <c r="L68" s="3061"/>
      <c r="M68" s="3061"/>
      <c r="N68" s="3061"/>
      <c r="O68" s="3061"/>
      <c r="P68" s="3061"/>
      <c r="Q68" s="3061"/>
      <c r="R68" s="3061"/>
      <c r="S68" s="3061"/>
      <c r="T68" s="3061"/>
      <c r="U68" s="3061"/>
      <c r="V68" s="3061"/>
      <c r="W68" s="3061"/>
      <c r="X68" s="3061"/>
      <c r="Y68" s="3061"/>
      <c r="Z68" s="3061"/>
      <c r="AA68" s="3061"/>
      <c r="AB68" s="3061"/>
      <c r="AC68" s="3061"/>
      <c r="AD68" s="3061"/>
      <c r="AE68" s="3061"/>
      <c r="AF68" s="3061"/>
      <c r="AG68" s="3061"/>
      <c r="AH68" s="3061"/>
      <c r="AI68" s="3061"/>
      <c r="AJ68" s="3061"/>
      <c r="AK68" s="3061"/>
      <c r="AL68" s="3061"/>
      <c r="AM68" s="3061"/>
      <c r="AN68" s="3061"/>
      <c r="AO68" s="3061"/>
      <c r="AP68" s="3061"/>
      <c r="AQ68" s="3061"/>
      <c r="AR68" s="3061"/>
      <c r="AS68" s="3061"/>
      <c r="AT68" s="3061"/>
      <c r="AU68" s="3061"/>
      <c r="AV68" s="3061"/>
      <c r="AW68" s="3061"/>
      <c r="AX68" s="3061"/>
      <c r="AY68" s="3061"/>
      <c r="AZ68" s="3061"/>
      <c r="BA68" s="3061"/>
      <c r="BB68" s="3061"/>
      <c r="BC68" s="3061"/>
      <c r="BD68" s="3061"/>
      <c r="BE68" s="3061"/>
      <c r="BF68" s="3061"/>
      <c r="BG68" s="3061"/>
      <c r="BH68" s="3061"/>
      <c r="BI68" s="3061"/>
      <c r="BJ68" s="3061"/>
      <c r="BK68" s="3061"/>
      <c r="BL68" s="3061"/>
      <c r="BM68" s="3061"/>
      <c r="BN68" s="3061"/>
      <c r="BO68" s="3061"/>
      <c r="BP68" s="3061"/>
      <c r="BQ68" s="3061"/>
      <c r="BR68" s="3061"/>
      <c r="BS68" s="3061"/>
      <c r="BT68" s="3061"/>
      <c r="BU68" s="3061"/>
      <c r="BV68" s="3061"/>
      <c r="BW68" s="3061"/>
      <c r="BX68" s="3061"/>
      <c r="BY68" s="3061"/>
      <c r="BZ68" s="3061"/>
      <c r="CA68" s="3061"/>
      <c r="CB68" s="3061"/>
      <c r="CC68" s="3061"/>
      <c r="CD68" s="3061"/>
      <c r="CE68" s="3061"/>
      <c r="CF68" s="3061"/>
      <c r="CG68" s="3061"/>
      <c r="CH68" s="3061"/>
      <c r="CI68" s="3061"/>
      <c r="CJ68" s="3061"/>
      <c r="CK68" s="3061"/>
      <c r="CL68" s="3061"/>
      <c r="CM68" s="3061"/>
      <c r="CN68" s="3061"/>
      <c r="CO68" s="3061"/>
      <c r="CP68" s="3061"/>
      <c r="CQ68" s="3061"/>
      <c r="CR68" s="3061"/>
      <c r="CS68" s="3062"/>
      <c r="CT68" s="3063"/>
      <c r="CU68" s="3064">
        <f t="shared" si="35"/>
        <v>1</v>
      </c>
      <c r="CV68" s="3022" t="str">
        <f>IF(OR(CT68="",CT68="None"),"-",DO68*CU68*SUMIF('Lighting Assumptions'!$G$3:$G$112,'6a - Lighting Counts'!G68,'Lighting Assumptions'!$J$3:$J$112))</f>
        <v>-</v>
      </c>
      <c r="CW68" s="3021"/>
      <c r="CX68" s="3021"/>
      <c r="CY68" s="3046"/>
      <c r="CZ68" s="2098">
        <f t="shared" si="36"/>
        <v>0</v>
      </c>
      <c r="DA68" s="2098" t="str">
        <f t="shared" si="37"/>
        <v>-</v>
      </c>
      <c r="DB68" s="2098">
        <f t="shared" si="38"/>
        <v>0</v>
      </c>
      <c r="DC68" s="3023" t="str">
        <f t="shared" si="39"/>
        <v>-</v>
      </c>
      <c r="DD68" s="3024" t="str">
        <f t="shared" si="40"/>
        <v/>
      </c>
      <c r="DE68" s="3025" t="str">
        <f t="shared" si="41"/>
        <v>-</v>
      </c>
      <c r="DF68" s="3024" t="str">
        <f t="shared" si="32"/>
        <v>-</v>
      </c>
      <c r="DG68" s="2098">
        <f t="shared" si="42"/>
        <v>0</v>
      </c>
      <c r="DH68" s="2098">
        <f t="array" ref="DH68">MIN(SUMPRODUCT(I68:CR68,IF($I$25:$CR$25="yes",1,0),$I$23:$CR$23),H68)</f>
        <v>0</v>
      </c>
      <c r="DI68" s="3026"/>
      <c r="DJ68" s="3021"/>
      <c r="DN68" s="917" t="str">
        <f>IF(CS68="","-",SUMIF('Lighting Assumptions'!$G$3:$G$112,'6a - Lighting Counts'!G68,'Lighting Assumptions'!$J$3:$J$112))</f>
        <v>-</v>
      </c>
      <c r="DO68" s="917" t="str">
        <f t="shared" si="33"/>
        <v>-</v>
      </c>
      <c r="DP68" s="917" t="str">
        <f t="shared" si="34"/>
        <v>-</v>
      </c>
      <c r="DQ68" s="917" t="str">
        <f>IF(LEFT(CELLformula(DF68),3)&lt;&gt;"=IF",1,"")</f>
        <v/>
      </c>
      <c r="DR68" s="917" t="str">
        <f>IF(LEFT(CELLformula(DD68),3)&lt;&gt;"=IF",1,"")</f>
        <v/>
      </c>
      <c r="DS68" s="3048">
        <f t="shared" si="43"/>
        <v>0</v>
      </c>
      <c r="DT68" s="3047" t="str">
        <f t="shared" si="44"/>
        <v/>
      </c>
      <c r="DU68" s="3047" t="str">
        <f>IFERROR(IF(G68="","",SUMIF('Lighting Assumptions'!$G$3:$G$112,'6a - Lighting Counts'!G68,'Lighting Assumptions'!$H$3:$H$112)*IF(SI_IP_Units="SI",10.76,1)),"")</f>
        <v/>
      </c>
      <c r="DV68" s="3047" t="str">
        <f>IFERROR(IF($CX68="","",IF(SI_IP_Units="SI",10.76,1)*SUMIF(BAMCategories,$CY68,'Lighting Assumptions'!$E$3:E$35)),"")</f>
        <v/>
      </c>
      <c r="DW68" s="3047" t="str">
        <f>IFERROR(IF($CX68="","",IF(SI_IP_Units="SI",10.76,1)*SUMIF(BAMCategories,$CY68,IF(bpf_reference="ACP",'Lighting Assumptions 90.1-2010'!$E$3:E$35,'Lighting Assumptions 90.1-2016'!$E$3:E$35))),"")</f>
        <v/>
      </c>
      <c r="EW68" s="855"/>
      <c r="EX68" s="855"/>
      <c r="EY68" s="855"/>
      <c r="EZ68" s="855"/>
    </row>
    <row r="69" spans="4:156" x14ac:dyDescent="0.25">
      <c r="D69" s="3019"/>
      <c r="E69" s="3020"/>
      <c r="F69" s="3021">
        <f t="shared" si="45"/>
        <v>0</v>
      </c>
      <c r="G69" s="3059"/>
      <c r="H69" s="3060"/>
      <c r="I69" s="3061"/>
      <c r="J69" s="3061"/>
      <c r="K69" s="3061"/>
      <c r="L69" s="3061"/>
      <c r="M69" s="3061"/>
      <c r="N69" s="3061"/>
      <c r="O69" s="3061"/>
      <c r="P69" s="3061"/>
      <c r="Q69" s="3061"/>
      <c r="R69" s="3061"/>
      <c r="S69" s="3061"/>
      <c r="T69" s="3061"/>
      <c r="U69" s="3061"/>
      <c r="V69" s="3061"/>
      <c r="W69" s="3061"/>
      <c r="X69" s="3061"/>
      <c r="Y69" s="3061"/>
      <c r="Z69" s="3061"/>
      <c r="AA69" s="3061"/>
      <c r="AB69" s="3061"/>
      <c r="AC69" s="3061"/>
      <c r="AD69" s="3061"/>
      <c r="AE69" s="3061"/>
      <c r="AF69" s="3061"/>
      <c r="AG69" s="3061"/>
      <c r="AH69" s="3061"/>
      <c r="AI69" s="3061"/>
      <c r="AJ69" s="3061"/>
      <c r="AK69" s="3061"/>
      <c r="AL69" s="3061"/>
      <c r="AM69" s="3061"/>
      <c r="AN69" s="3061"/>
      <c r="AO69" s="3061"/>
      <c r="AP69" s="3061"/>
      <c r="AQ69" s="3061"/>
      <c r="AR69" s="3061"/>
      <c r="AS69" s="3061"/>
      <c r="AT69" s="3061"/>
      <c r="AU69" s="3061"/>
      <c r="AV69" s="3061"/>
      <c r="AW69" s="3061"/>
      <c r="AX69" s="3061"/>
      <c r="AY69" s="3061"/>
      <c r="AZ69" s="3061"/>
      <c r="BA69" s="3061"/>
      <c r="BB69" s="3061"/>
      <c r="BC69" s="3061"/>
      <c r="BD69" s="3061"/>
      <c r="BE69" s="3061"/>
      <c r="BF69" s="3061"/>
      <c r="BG69" s="3061"/>
      <c r="BH69" s="3061"/>
      <c r="BI69" s="3061"/>
      <c r="BJ69" s="3061"/>
      <c r="BK69" s="3061"/>
      <c r="BL69" s="3061"/>
      <c r="BM69" s="3061"/>
      <c r="BN69" s="3061"/>
      <c r="BO69" s="3061"/>
      <c r="BP69" s="3061"/>
      <c r="BQ69" s="3061"/>
      <c r="BR69" s="3061"/>
      <c r="BS69" s="3061"/>
      <c r="BT69" s="3061"/>
      <c r="BU69" s="3061"/>
      <c r="BV69" s="3061"/>
      <c r="BW69" s="3061"/>
      <c r="BX69" s="3061"/>
      <c r="BY69" s="3061"/>
      <c r="BZ69" s="3061"/>
      <c r="CA69" s="3061"/>
      <c r="CB69" s="3061"/>
      <c r="CC69" s="3061"/>
      <c r="CD69" s="3061"/>
      <c r="CE69" s="3061"/>
      <c r="CF69" s="3061"/>
      <c r="CG69" s="3061"/>
      <c r="CH69" s="3061"/>
      <c r="CI69" s="3061"/>
      <c r="CJ69" s="3061"/>
      <c r="CK69" s="3061"/>
      <c r="CL69" s="3061"/>
      <c r="CM69" s="3061"/>
      <c r="CN69" s="3061"/>
      <c r="CO69" s="3061"/>
      <c r="CP69" s="3061"/>
      <c r="CQ69" s="3061"/>
      <c r="CR69" s="3061"/>
      <c r="CS69" s="3062"/>
      <c r="CT69" s="3063"/>
      <c r="CU69" s="3064">
        <f t="shared" si="35"/>
        <v>1</v>
      </c>
      <c r="CV69" s="3022" t="str">
        <f>IF(OR(CT69="",CT69="None"),"-",DO69*CU69*SUMIF('Lighting Assumptions'!$G$3:$G$112,'6a - Lighting Counts'!G69,'Lighting Assumptions'!$J$3:$J$112))</f>
        <v>-</v>
      </c>
      <c r="CW69" s="3021"/>
      <c r="CX69" s="3021"/>
      <c r="CY69" s="3046"/>
      <c r="CZ69" s="2098">
        <f t="shared" si="36"/>
        <v>0</v>
      </c>
      <c r="DA69" s="2098" t="str">
        <f t="shared" si="37"/>
        <v>-</v>
      </c>
      <c r="DB69" s="2098">
        <f t="shared" si="38"/>
        <v>0</v>
      </c>
      <c r="DC69" s="3023" t="str">
        <f t="shared" si="39"/>
        <v>-</v>
      </c>
      <c r="DD69" s="3024" t="str">
        <f t="shared" si="40"/>
        <v/>
      </c>
      <c r="DE69" s="3025" t="str">
        <f t="shared" si="41"/>
        <v>-</v>
      </c>
      <c r="DF69" s="3024" t="str">
        <f t="shared" si="32"/>
        <v>-</v>
      </c>
      <c r="DG69" s="2098">
        <f t="shared" si="42"/>
        <v>0</v>
      </c>
      <c r="DH69" s="2098">
        <f t="array" ref="DH69">MIN(SUMPRODUCT(I69:CR69,IF($I$25:$CR$25="yes",1,0),$I$23:$CR$23),H69)</f>
        <v>0</v>
      </c>
      <c r="DI69" s="3026"/>
      <c r="DJ69" s="3021"/>
      <c r="DN69" s="917" t="str">
        <f>IF(CS69="","-",SUMIF('Lighting Assumptions'!$G$3:$G$112,'6a - Lighting Counts'!G69,'Lighting Assumptions'!$J$3:$J$112))</f>
        <v>-</v>
      </c>
      <c r="DO69" s="917" t="str">
        <f t="shared" si="33"/>
        <v>-</v>
      </c>
      <c r="DP69" s="917" t="str">
        <f t="shared" si="34"/>
        <v>-</v>
      </c>
      <c r="DQ69" s="917" t="str">
        <f>IF(LEFT(CELLformula(DF69),3)&lt;&gt;"=IF",1,"")</f>
        <v/>
      </c>
      <c r="DR69" s="917" t="str">
        <f>IF(LEFT(CELLformula(DD69),3)&lt;&gt;"=IF",1,"")</f>
        <v/>
      </c>
      <c r="DS69" s="3048">
        <f t="shared" si="43"/>
        <v>0</v>
      </c>
      <c r="DT69" s="3047" t="str">
        <f t="shared" si="44"/>
        <v/>
      </c>
      <c r="DU69" s="3047" t="str">
        <f>IFERROR(IF(G69="","",SUMIF('Lighting Assumptions'!$G$3:$G$112,'6a - Lighting Counts'!G69,'Lighting Assumptions'!$H$3:$H$112)*IF(SI_IP_Units="SI",10.76,1)),"")</f>
        <v/>
      </c>
      <c r="DV69" s="3047" t="str">
        <f>IFERROR(IF($CX69="","",IF(SI_IP_Units="SI",10.76,1)*SUMIF(BAMCategories,$CY69,'Lighting Assumptions'!$E$3:E$35)),"")</f>
        <v/>
      </c>
      <c r="DW69" s="3047" t="str">
        <f>IFERROR(IF($CX69="","",IF(SI_IP_Units="SI",10.76,1)*SUMIF(BAMCategories,$CY69,IF(bpf_reference="ACP",'Lighting Assumptions 90.1-2010'!$E$3:E$35,'Lighting Assumptions 90.1-2016'!$E$3:E$35))),"")</f>
        <v/>
      </c>
      <c r="EW69" s="855"/>
      <c r="EX69" s="855"/>
      <c r="EY69" s="855"/>
      <c r="EZ69" s="855"/>
    </row>
    <row r="70" spans="4:156" x14ac:dyDescent="0.25">
      <c r="D70" s="3019"/>
      <c r="E70" s="3020"/>
      <c r="F70" s="3021">
        <f t="shared" si="45"/>
        <v>0</v>
      </c>
      <c r="G70" s="3059"/>
      <c r="H70" s="3060"/>
      <c r="I70" s="3061"/>
      <c r="J70" s="3061"/>
      <c r="K70" s="3061"/>
      <c r="L70" s="3061"/>
      <c r="M70" s="3061"/>
      <c r="N70" s="3061"/>
      <c r="O70" s="3061"/>
      <c r="P70" s="3061"/>
      <c r="Q70" s="3061"/>
      <c r="R70" s="3061"/>
      <c r="S70" s="3061"/>
      <c r="T70" s="3061"/>
      <c r="U70" s="3061"/>
      <c r="V70" s="3061"/>
      <c r="W70" s="3061"/>
      <c r="X70" s="3061"/>
      <c r="Y70" s="3061"/>
      <c r="Z70" s="3061"/>
      <c r="AA70" s="3061"/>
      <c r="AB70" s="3061"/>
      <c r="AC70" s="3061"/>
      <c r="AD70" s="3061"/>
      <c r="AE70" s="3061"/>
      <c r="AF70" s="3061"/>
      <c r="AG70" s="3061"/>
      <c r="AH70" s="3061"/>
      <c r="AI70" s="3061"/>
      <c r="AJ70" s="3061"/>
      <c r="AK70" s="3061"/>
      <c r="AL70" s="3061"/>
      <c r="AM70" s="3061"/>
      <c r="AN70" s="3061"/>
      <c r="AO70" s="3061"/>
      <c r="AP70" s="3061"/>
      <c r="AQ70" s="3061"/>
      <c r="AR70" s="3061"/>
      <c r="AS70" s="3061"/>
      <c r="AT70" s="3061"/>
      <c r="AU70" s="3061"/>
      <c r="AV70" s="3061"/>
      <c r="AW70" s="3061"/>
      <c r="AX70" s="3061"/>
      <c r="AY70" s="3061"/>
      <c r="AZ70" s="3061"/>
      <c r="BA70" s="3061"/>
      <c r="BB70" s="3061"/>
      <c r="BC70" s="3061"/>
      <c r="BD70" s="3061"/>
      <c r="BE70" s="3061"/>
      <c r="BF70" s="3061"/>
      <c r="BG70" s="3061"/>
      <c r="BH70" s="3061"/>
      <c r="BI70" s="3061"/>
      <c r="BJ70" s="3061"/>
      <c r="BK70" s="3061"/>
      <c r="BL70" s="3061"/>
      <c r="BM70" s="3061"/>
      <c r="BN70" s="3061"/>
      <c r="BO70" s="3061"/>
      <c r="BP70" s="3061"/>
      <c r="BQ70" s="3061"/>
      <c r="BR70" s="3061"/>
      <c r="BS70" s="3061"/>
      <c r="BT70" s="3061"/>
      <c r="BU70" s="3061"/>
      <c r="BV70" s="3061"/>
      <c r="BW70" s="3061"/>
      <c r="BX70" s="3061"/>
      <c r="BY70" s="3061"/>
      <c r="BZ70" s="3061"/>
      <c r="CA70" s="3061"/>
      <c r="CB70" s="3061"/>
      <c r="CC70" s="3061"/>
      <c r="CD70" s="3061"/>
      <c r="CE70" s="3061"/>
      <c r="CF70" s="3061"/>
      <c r="CG70" s="3061"/>
      <c r="CH70" s="3061"/>
      <c r="CI70" s="3061"/>
      <c r="CJ70" s="3061"/>
      <c r="CK70" s="3061"/>
      <c r="CL70" s="3061"/>
      <c r="CM70" s="3061"/>
      <c r="CN70" s="3061"/>
      <c r="CO70" s="3061"/>
      <c r="CP70" s="3061"/>
      <c r="CQ70" s="3061"/>
      <c r="CR70" s="3061"/>
      <c r="CS70" s="3062"/>
      <c r="CT70" s="3063"/>
      <c r="CU70" s="3064">
        <f t="shared" si="35"/>
        <v>1</v>
      </c>
      <c r="CV70" s="3022" t="str">
        <f>IF(OR(CT70="",CT70="None"),"-",DO70*CU70*SUMIF('Lighting Assumptions'!$G$3:$G$112,'6a - Lighting Counts'!G70,'Lighting Assumptions'!$J$3:$J$112))</f>
        <v>-</v>
      </c>
      <c r="CW70" s="3021"/>
      <c r="CX70" s="3021"/>
      <c r="CY70" s="3046"/>
      <c r="CZ70" s="2098">
        <f t="shared" si="36"/>
        <v>0</v>
      </c>
      <c r="DA70" s="2098" t="str">
        <f t="shared" si="37"/>
        <v>-</v>
      </c>
      <c r="DB70" s="2098">
        <f t="shared" si="38"/>
        <v>0</v>
      </c>
      <c r="DC70" s="3023" t="str">
        <f t="shared" si="39"/>
        <v>-</v>
      </c>
      <c r="DD70" s="3024" t="str">
        <f t="shared" si="40"/>
        <v/>
      </c>
      <c r="DE70" s="3025" t="str">
        <f t="shared" si="41"/>
        <v>-</v>
      </c>
      <c r="DF70" s="3024" t="str">
        <f t="shared" si="32"/>
        <v>-</v>
      </c>
      <c r="DG70" s="2098">
        <f t="shared" si="42"/>
        <v>0</v>
      </c>
      <c r="DH70" s="2098">
        <f t="array" ref="DH70">MIN(SUMPRODUCT(I70:CR70,IF($I$25:$CR$25="yes",1,0),$I$23:$CR$23),H70)</f>
        <v>0</v>
      </c>
      <c r="DI70" s="3026"/>
      <c r="DJ70" s="3021"/>
      <c r="DN70" s="917" t="str">
        <f>IF(CS70="","-",SUMIF('Lighting Assumptions'!$G$3:$G$112,'6a - Lighting Counts'!G70,'Lighting Assumptions'!$J$3:$J$112))</f>
        <v>-</v>
      </c>
      <c r="DO70" s="917" t="str">
        <f t="shared" si="33"/>
        <v>-</v>
      </c>
      <c r="DP70" s="917" t="str">
        <f t="shared" si="34"/>
        <v>-</v>
      </c>
      <c r="DQ70" s="917" t="str">
        <f>IF(LEFT(CELLformula(DF70),3)&lt;&gt;"=IF",1,"")</f>
        <v/>
      </c>
      <c r="DR70" s="917" t="str">
        <f>IF(LEFT(CELLformula(DD70),3)&lt;&gt;"=IF",1,"")</f>
        <v/>
      </c>
      <c r="DS70" s="3048">
        <f t="shared" si="43"/>
        <v>0</v>
      </c>
      <c r="DT70" s="3047" t="str">
        <f t="shared" si="44"/>
        <v/>
      </c>
      <c r="DU70" s="3047" t="str">
        <f>IFERROR(IF(G70="","",SUMIF('Lighting Assumptions'!$G$3:$G$112,'6a - Lighting Counts'!G70,'Lighting Assumptions'!$H$3:$H$112)*IF(SI_IP_Units="SI",10.76,1)),"")</f>
        <v/>
      </c>
      <c r="DV70" s="3047" t="str">
        <f>IFERROR(IF($CX70="","",IF(SI_IP_Units="SI",10.76,1)*SUMIF(BAMCategories,$CY70,'Lighting Assumptions'!$E$3:E$35)),"")</f>
        <v/>
      </c>
      <c r="DW70" s="3047" t="str">
        <f>IFERROR(IF($CX70="","",IF(SI_IP_Units="SI",10.76,1)*SUMIF(BAMCategories,$CY70,IF(bpf_reference="ACP",'Lighting Assumptions 90.1-2010'!$E$3:E$35,'Lighting Assumptions 90.1-2016'!$E$3:E$35))),"")</f>
        <v/>
      </c>
      <c r="EW70" s="855"/>
      <c r="EX70" s="855"/>
      <c r="EY70" s="855"/>
      <c r="EZ70" s="855"/>
    </row>
    <row r="71" spans="4:156" x14ac:dyDescent="0.25">
      <c r="D71" s="3019"/>
      <c r="E71" s="3020"/>
      <c r="F71" s="3021">
        <f t="shared" si="45"/>
        <v>0</v>
      </c>
      <c r="G71" s="3059"/>
      <c r="H71" s="3060"/>
      <c r="I71" s="3061"/>
      <c r="J71" s="3061"/>
      <c r="K71" s="3061"/>
      <c r="L71" s="3061"/>
      <c r="M71" s="3061"/>
      <c r="N71" s="3061"/>
      <c r="O71" s="3061"/>
      <c r="P71" s="3061"/>
      <c r="Q71" s="3061"/>
      <c r="R71" s="3061"/>
      <c r="S71" s="3061"/>
      <c r="T71" s="3061"/>
      <c r="U71" s="3061"/>
      <c r="V71" s="3061"/>
      <c r="W71" s="3061"/>
      <c r="X71" s="3061"/>
      <c r="Y71" s="3061"/>
      <c r="Z71" s="3061"/>
      <c r="AA71" s="3061"/>
      <c r="AB71" s="3061"/>
      <c r="AC71" s="3061"/>
      <c r="AD71" s="3061"/>
      <c r="AE71" s="3061"/>
      <c r="AF71" s="3061"/>
      <c r="AG71" s="3061"/>
      <c r="AH71" s="3061"/>
      <c r="AI71" s="3061"/>
      <c r="AJ71" s="3061"/>
      <c r="AK71" s="3061"/>
      <c r="AL71" s="3061"/>
      <c r="AM71" s="3061"/>
      <c r="AN71" s="3061"/>
      <c r="AO71" s="3061"/>
      <c r="AP71" s="3061"/>
      <c r="AQ71" s="3061"/>
      <c r="AR71" s="3061"/>
      <c r="AS71" s="3061"/>
      <c r="AT71" s="3061"/>
      <c r="AU71" s="3061"/>
      <c r="AV71" s="3061"/>
      <c r="AW71" s="3061"/>
      <c r="AX71" s="3061"/>
      <c r="AY71" s="3061"/>
      <c r="AZ71" s="3061"/>
      <c r="BA71" s="3061"/>
      <c r="BB71" s="3061"/>
      <c r="BC71" s="3061"/>
      <c r="BD71" s="3061"/>
      <c r="BE71" s="3061"/>
      <c r="BF71" s="3061"/>
      <c r="BG71" s="3061"/>
      <c r="BH71" s="3061"/>
      <c r="BI71" s="3061"/>
      <c r="BJ71" s="3061"/>
      <c r="BK71" s="3061"/>
      <c r="BL71" s="3061"/>
      <c r="BM71" s="3061"/>
      <c r="BN71" s="3061"/>
      <c r="BO71" s="3061"/>
      <c r="BP71" s="3061"/>
      <c r="BQ71" s="3061"/>
      <c r="BR71" s="3061"/>
      <c r="BS71" s="3061"/>
      <c r="BT71" s="3061"/>
      <c r="BU71" s="3061"/>
      <c r="BV71" s="3061"/>
      <c r="BW71" s="3061"/>
      <c r="BX71" s="3061"/>
      <c r="BY71" s="3061"/>
      <c r="BZ71" s="3061"/>
      <c r="CA71" s="3061"/>
      <c r="CB71" s="3061"/>
      <c r="CC71" s="3061"/>
      <c r="CD71" s="3061"/>
      <c r="CE71" s="3061"/>
      <c r="CF71" s="3061"/>
      <c r="CG71" s="3061"/>
      <c r="CH71" s="3061"/>
      <c r="CI71" s="3061"/>
      <c r="CJ71" s="3061"/>
      <c r="CK71" s="3061"/>
      <c r="CL71" s="3061"/>
      <c r="CM71" s="3061"/>
      <c r="CN71" s="3061"/>
      <c r="CO71" s="3061"/>
      <c r="CP71" s="3061"/>
      <c r="CQ71" s="3061"/>
      <c r="CR71" s="3061"/>
      <c r="CS71" s="3062"/>
      <c r="CT71" s="3063"/>
      <c r="CU71" s="3064">
        <f t="shared" si="35"/>
        <v>1</v>
      </c>
      <c r="CV71" s="3022" t="str">
        <f>IF(OR(CT71="",CT71="None"),"-",DO71*CU71*SUMIF('Lighting Assumptions'!$G$3:$G$112,'6a - Lighting Counts'!G71,'Lighting Assumptions'!$J$3:$J$112))</f>
        <v>-</v>
      </c>
      <c r="CW71" s="3021"/>
      <c r="CX71" s="3021"/>
      <c r="CY71" s="3046"/>
      <c r="CZ71" s="2098">
        <f t="shared" si="36"/>
        <v>0</v>
      </c>
      <c r="DA71" s="2098" t="str">
        <f t="shared" si="37"/>
        <v>-</v>
      </c>
      <c r="DB71" s="2098">
        <f t="shared" si="38"/>
        <v>0</v>
      </c>
      <c r="DC71" s="3023" t="str">
        <f t="shared" si="39"/>
        <v>-</v>
      </c>
      <c r="DD71" s="3024" t="str">
        <f t="shared" si="40"/>
        <v/>
      </c>
      <c r="DE71" s="3025" t="str">
        <f t="shared" si="41"/>
        <v>-</v>
      </c>
      <c r="DF71" s="3024" t="str">
        <f t="shared" si="32"/>
        <v>-</v>
      </c>
      <c r="DG71" s="2098">
        <f t="shared" si="42"/>
        <v>0</v>
      </c>
      <c r="DH71" s="2098">
        <f t="array" ref="DH71">MIN(SUMPRODUCT(I71:CR71,IF($I$25:$CR$25="yes",1,0),$I$23:$CR$23),H71)</f>
        <v>0</v>
      </c>
      <c r="DI71" s="3026"/>
      <c r="DJ71" s="3021"/>
      <c r="DN71" s="917" t="str">
        <f>IF(CS71="","-",SUMIF('Lighting Assumptions'!$G$3:$G$112,'6a - Lighting Counts'!G71,'Lighting Assumptions'!$J$3:$J$112))</f>
        <v>-</v>
      </c>
      <c r="DO71" s="917" t="str">
        <f t="shared" si="33"/>
        <v>-</v>
      </c>
      <c r="DP71" s="917" t="str">
        <f t="shared" si="34"/>
        <v>-</v>
      </c>
      <c r="DQ71" s="917" t="str">
        <f>IF(LEFT(CELLformula(DF71),3)&lt;&gt;"=IF",1,"")</f>
        <v/>
      </c>
      <c r="DR71" s="917" t="str">
        <f>IF(LEFT(CELLformula(DD71),3)&lt;&gt;"=IF",1,"")</f>
        <v/>
      </c>
      <c r="DS71" s="3048">
        <f t="shared" si="43"/>
        <v>0</v>
      </c>
      <c r="DT71" s="3047" t="str">
        <f t="shared" si="44"/>
        <v/>
      </c>
      <c r="DU71" s="3047" t="str">
        <f>IFERROR(IF(G71="","",SUMIF('Lighting Assumptions'!$G$3:$G$112,'6a - Lighting Counts'!G71,'Lighting Assumptions'!$H$3:$H$112)*IF(SI_IP_Units="SI",10.76,1)),"")</f>
        <v/>
      </c>
      <c r="DV71" s="3047" t="str">
        <f>IFERROR(IF($CX71="","",IF(SI_IP_Units="SI",10.76,1)*SUMIF(BAMCategories,$CY71,'Lighting Assumptions'!$E$3:E$35)),"")</f>
        <v/>
      </c>
      <c r="DW71" s="3047" t="str">
        <f>IFERROR(IF($CX71="","",IF(SI_IP_Units="SI",10.76,1)*SUMIF(BAMCategories,$CY71,IF(bpf_reference="ACP",'Lighting Assumptions 90.1-2010'!$E$3:E$35,'Lighting Assumptions 90.1-2016'!$E$3:E$35))),"")</f>
        <v/>
      </c>
      <c r="EW71" s="855"/>
      <c r="EX71" s="855"/>
      <c r="EY71" s="855"/>
      <c r="EZ71" s="855"/>
    </row>
    <row r="72" spans="4:156" x14ac:dyDescent="0.25">
      <c r="D72" s="3019"/>
      <c r="E72" s="3020"/>
      <c r="F72" s="3021">
        <f t="shared" si="45"/>
        <v>0</v>
      </c>
      <c r="G72" s="3059"/>
      <c r="H72" s="3060"/>
      <c r="I72" s="3061"/>
      <c r="J72" s="3061"/>
      <c r="K72" s="3061"/>
      <c r="L72" s="3061"/>
      <c r="M72" s="3061"/>
      <c r="N72" s="3061"/>
      <c r="O72" s="3061"/>
      <c r="P72" s="3061"/>
      <c r="Q72" s="3061"/>
      <c r="R72" s="3061"/>
      <c r="S72" s="3061"/>
      <c r="T72" s="3061"/>
      <c r="U72" s="3061"/>
      <c r="V72" s="3061"/>
      <c r="W72" s="3061"/>
      <c r="X72" s="3061"/>
      <c r="Y72" s="3061"/>
      <c r="Z72" s="3061"/>
      <c r="AA72" s="3061"/>
      <c r="AB72" s="3061"/>
      <c r="AC72" s="3061"/>
      <c r="AD72" s="3061"/>
      <c r="AE72" s="3061"/>
      <c r="AF72" s="3061"/>
      <c r="AG72" s="3061"/>
      <c r="AH72" s="3061"/>
      <c r="AI72" s="3061"/>
      <c r="AJ72" s="3061"/>
      <c r="AK72" s="3061"/>
      <c r="AL72" s="3061"/>
      <c r="AM72" s="3061"/>
      <c r="AN72" s="3061"/>
      <c r="AO72" s="3061"/>
      <c r="AP72" s="3061"/>
      <c r="AQ72" s="3061"/>
      <c r="AR72" s="3061"/>
      <c r="AS72" s="3061"/>
      <c r="AT72" s="3061"/>
      <c r="AU72" s="3061"/>
      <c r="AV72" s="3061"/>
      <c r="AW72" s="3061"/>
      <c r="AX72" s="3061"/>
      <c r="AY72" s="3061"/>
      <c r="AZ72" s="3061"/>
      <c r="BA72" s="3061"/>
      <c r="BB72" s="3061"/>
      <c r="BC72" s="3061"/>
      <c r="BD72" s="3061"/>
      <c r="BE72" s="3061"/>
      <c r="BF72" s="3061"/>
      <c r="BG72" s="3061"/>
      <c r="BH72" s="3061"/>
      <c r="BI72" s="3061"/>
      <c r="BJ72" s="3061"/>
      <c r="BK72" s="3061"/>
      <c r="BL72" s="3061"/>
      <c r="BM72" s="3061"/>
      <c r="BN72" s="3061"/>
      <c r="BO72" s="3061"/>
      <c r="BP72" s="3061"/>
      <c r="BQ72" s="3061"/>
      <c r="BR72" s="3061"/>
      <c r="BS72" s="3061"/>
      <c r="BT72" s="3061"/>
      <c r="BU72" s="3061"/>
      <c r="BV72" s="3061"/>
      <c r="BW72" s="3061"/>
      <c r="BX72" s="3061"/>
      <c r="BY72" s="3061"/>
      <c r="BZ72" s="3061"/>
      <c r="CA72" s="3061"/>
      <c r="CB72" s="3061"/>
      <c r="CC72" s="3061"/>
      <c r="CD72" s="3061"/>
      <c r="CE72" s="3061"/>
      <c r="CF72" s="3061"/>
      <c r="CG72" s="3061"/>
      <c r="CH72" s="3061"/>
      <c r="CI72" s="3061"/>
      <c r="CJ72" s="3061"/>
      <c r="CK72" s="3061"/>
      <c r="CL72" s="3061"/>
      <c r="CM72" s="3061"/>
      <c r="CN72" s="3061"/>
      <c r="CO72" s="3061"/>
      <c r="CP72" s="3061"/>
      <c r="CQ72" s="3061"/>
      <c r="CR72" s="3061"/>
      <c r="CS72" s="3062"/>
      <c r="CT72" s="3063"/>
      <c r="CU72" s="3064">
        <f t="shared" si="35"/>
        <v>1</v>
      </c>
      <c r="CV72" s="3022" t="str">
        <f>IF(OR(CT72="",CT72="None"),"-",DO72*CU72*SUMIF('Lighting Assumptions'!$G$3:$G$112,'6a - Lighting Counts'!G72,'Lighting Assumptions'!$J$3:$J$112))</f>
        <v>-</v>
      </c>
      <c r="CW72" s="3021"/>
      <c r="CX72" s="3021"/>
      <c r="CY72" s="3046"/>
      <c r="CZ72" s="2098">
        <f t="shared" si="36"/>
        <v>0</v>
      </c>
      <c r="DA72" s="2098" t="str">
        <f t="shared" si="37"/>
        <v>-</v>
      </c>
      <c r="DB72" s="2098">
        <f t="shared" si="38"/>
        <v>0</v>
      </c>
      <c r="DC72" s="3023" t="str">
        <f t="shared" si="39"/>
        <v>-</v>
      </c>
      <c r="DD72" s="3024" t="str">
        <f t="shared" si="40"/>
        <v/>
      </c>
      <c r="DE72" s="3025" t="str">
        <f t="shared" si="41"/>
        <v>-</v>
      </c>
      <c r="DF72" s="3024" t="str">
        <f t="shared" si="32"/>
        <v>-</v>
      </c>
      <c r="DG72" s="2098">
        <f t="shared" si="42"/>
        <v>0</v>
      </c>
      <c r="DH72" s="2098">
        <f t="array" ref="DH72">MIN(SUMPRODUCT(I72:CR72,IF($I$25:$CR$25="yes",1,0),$I$23:$CR$23),H72)</f>
        <v>0</v>
      </c>
      <c r="DI72" s="3026"/>
      <c r="DJ72" s="3021"/>
      <c r="DN72" s="917" t="str">
        <f>IF(CS72="","-",SUMIF('Lighting Assumptions'!$G$3:$G$112,'6a - Lighting Counts'!G72,'Lighting Assumptions'!$J$3:$J$112))</f>
        <v>-</v>
      </c>
      <c r="DO72" s="917" t="str">
        <f t="shared" si="33"/>
        <v>-</v>
      </c>
      <c r="DP72" s="917" t="str">
        <f t="shared" si="34"/>
        <v>-</v>
      </c>
      <c r="DQ72" s="917" t="str">
        <f>IF(LEFT(CELLformula(DF72),3)&lt;&gt;"=IF",1,"")</f>
        <v/>
      </c>
      <c r="DR72" s="917" t="str">
        <f>IF(LEFT(CELLformula(DD72),3)&lt;&gt;"=IF",1,"")</f>
        <v/>
      </c>
      <c r="DS72" s="3048">
        <f t="shared" si="43"/>
        <v>0</v>
      </c>
      <c r="DT72" s="3047" t="str">
        <f t="shared" si="44"/>
        <v/>
      </c>
      <c r="DU72" s="3047" t="str">
        <f>IFERROR(IF(G72="","",SUMIF('Lighting Assumptions'!$G$3:$G$112,'6a - Lighting Counts'!G72,'Lighting Assumptions'!$H$3:$H$112)*IF(SI_IP_Units="SI",10.76,1)),"")</f>
        <v/>
      </c>
      <c r="DV72" s="3047" t="str">
        <f>IFERROR(IF($CX72="","",IF(SI_IP_Units="SI",10.76,1)*SUMIF(BAMCategories,$CY72,'Lighting Assumptions'!$E$3:E$35)),"")</f>
        <v/>
      </c>
      <c r="DW72" s="3047" t="str">
        <f>IFERROR(IF($CX72="","",IF(SI_IP_Units="SI",10.76,1)*SUMIF(BAMCategories,$CY72,IF(bpf_reference="ACP",'Lighting Assumptions 90.1-2010'!$E$3:E$35,'Lighting Assumptions 90.1-2016'!$E$3:E$35))),"")</f>
        <v/>
      </c>
      <c r="EW72" s="855"/>
      <c r="EX72" s="855"/>
      <c r="EY72" s="855"/>
      <c r="EZ72" s="855"/>
    </row>
    <row r="73" spans="4:156" x14ac:dyDescent="0.25">
      <c r="D73" s="3019"/>
      <c r="E73" s="3020"/>
      <c r="F73" s="3021">
        <f t="shared" si="45"/>
        <v>0</v>
      </c>
      <c r="G73" s="3059"/>
      <c r="H73" s="3060"/>
      <c r="I73" s="3061"/>
      <c r="J73" s="3061"/>
      <c r="K73" s="3061"/>
      <c r="L73" s="3061"/>
      <c r="M73" s="3061"/>
      <c r="N73" s="3061"/>
      <c r="O73" s="3061"/>
      <c r="P73" s="3061"/>
      <c r="Q73" s="3061"/>
      <c r="R73" s="3061"/>
      <c r="S73" s="3061"/>
      <c r="T73" s="3061"/>
      <c r="U73" s="3061"/>
      <c r="V73" s="3061"/>
      <c r="W73" s="3061"/>
      <c r="X73" s="3061"/>
      <c r="Y73" s="3061"/>
      <c r="Z73" s="3061"/>
      <c r="AA73" s="3061"/>
      <c r="AB73" s="3061"/>
      <c r="AC73" s="3061"/>
      <c r="AD73" s="3061"/>
      <c r="AE73" s="3061"/>
      <c r="AF73" s="3061"/>
      <c r="AG73" s="3061"/>
      <c r="AH73" s="3061"/>
      <c r="AI73" s="3061"/>
      <c r="AJ73" s="3061"/>
      <c r="AK73" s="3061"/>
      <c r="AL73" s="3061"/>
      <c r="AM73" s="3061"/>
      <c r="AN73" s="3061"/>
      <c r="AO73" s="3061"/>
      <c r="AP73" s="3061"/>
      <c r="AQ73" s="3061"/>
      <c r="AR73" s="3061"/>
      <c r="AS73" s="3061"/>
      <c r="AT73" s="3061"/>
      <c r="AU73" s="3061"/>
      <c r="AV73" s="3061"/>
      <c r="AW73" s="3061"/>
      <c r="AX73" s="3061"/>
      <c r="AY73" s="3061"/>
      <c r="AZ73" s="3061"/>
      <c r="BA73" s="3061"/>
      <c r="BB73" s="3061"/>
      <c r="BC73" s="3061"/>
      <c r="BD73" s="3061"/>
      <c r="BE73" s="3061"/>
      <c r="BF73" s="3061"/>
      <c r="BG73" s="3061"/>
      <c r="BH73" s="3061"/>
      <c r="BI73" s="3061"/>
      <c r="BJ73" s="3061"/>
      <c r="BK73" s="3061"/>
      <c r="BL73" s="3061"/>
      <c r="BM73" s="3061"/>
      <c r="BN73" s="3061"/>
      <c r="BO73" s="3061"/>
      <c r="BP73" s="3061"/>
      <c r="BQ73" s="3061"/>
      <c r="BR73" s="3061"/>
      <c r="BS73" s="3061"/>
      <c r="BT73" s="3061"/>
      <c r="BU73" s="3061"/>
      <c r="BV73" s="3061"/>
      <c r="BW73" s="3061"/>
      <c r="BX73" s="3061"/>
      <c r="BY73" s="3061"/>
      <c r="BZ73" s="3061"/>
      <c r="CA73" s="3061"/>
      <c r="CB73" s="3061"/>
      <c r="CC73" s="3061"/>
      <c r="CD73" s="3061"/>
      <c r="CE73" s="3061"/>
      <c r="CF73" s="3061"/>
      <c r="CG73" s="3061"/>
      <c r="CH73" s="3061"/>
      <c r="CI73" s="3061"/>
      <c r="CJ73" s="3061"/>
      <c r="CK73" s="3061"/>
      <c r="CL73" s="3061"/>
      <c r="CM73" s="3061"/>
      <c r="CN73" s="3061"/>
      <c r="CO73" s="3061"/>
      <c r="CP73" s="3061"/>
      <c r="CQ73" s="3061"/>
      <c r="CR73" s="3061"/>
      <c r="CS73" s="3062"/>
      <c r="CT73" s="3063"/>
      <c r="CU73" s="3064">
        <f t="shared" si="35"/>
        <v>1</v>
      </c>
      <c r="CV73" s="3022" t="str">
        <f>IF(OR(CT73="",CT73="None"),"-",DO73*CU73*SUMIF('Lighting Assumptions'!$G$3:$G$112,'6a - Lighting Counts'!G73,'Lighting Assumptions'!$J$3:$J$112))</f>
        <v>-</v>
      </c>
      <c r="CW73" s="3021"/>
      <c r="CX73" s="3021"/>
      <c r="CY73" s="3046"/>
      <c r="CZ73" s="2098">
        <f t="shared" si="36"/>
        <v>0</v>
      </c>
      <c r="DA73" s="2098" t="str">
        <f t="shared" si="37"/>
        <v>-</v>
      </c>
      <c r="DB73" s="2098">
        <f t="shared" si="38"/>
        <v>0</v>
      </c>
      <c r="DC73" s="3023" t="str">
        <f t="shared" si="39"/>
        <v>-</v>
      </c>
      <c r="DD73" s="3024" t="str">
        <f t="shared" si="40"/>
        <v/>
      </c>
      <c r="DE73" s="3025" t="str">
        <f t="shared" si="41"/>
        <v>-</v>
      </c>
      <c r="DF73" s="3024" t="str">
        <f t="shared" si="32"/>
        <v>-</v>
      </c>
      <c r="DG73" s="2098">
        <f t="shared" si="42"/>
        <v>0</v>
      </c>
      <c r="DH73" s="2098">
        <f t="array" ref="DH73">MIN(SUMPRODUCT(I73:CR73,IF($I$25:$CR$25="yes",1,0),$I$23:$CR$23),H73)</f>
        <v>0</v>
      </c>
      <c r="DI73" s="3026"/>
      <c r="DJ73" s="3021"/>
      <c r="DN73" s="917" t="str">
        <f>IF(CS73="","-",SUMIF('Lighting Assumptions'!$G$3:$G$112,'6a - Lighting Counts'!G73,'Lighting Assumptions'!$J$3:$J$112))</f>
        <v>-</v>
      </c>
      <c r="DO73" s="917" t="str">
        <f t="shared" si="33"/>
        <v>-</v>
      </c>
      <c r="DP73" s="917" t="str">
        <f t="shared" si="34"/>
        <v>-</v>
      </c>
      <c r="DQ73" s="917" t="str">
        <f>IF(LEFT(CELLformula(DF73),3)&lt;&gt;"=IF",1,"")</f>
        <v/>
      </c>
      <c r="DR73" s="917" t="str">
        <f>IF(LEFT(CELLformula(DD73),3)&lt;&gt;"=IF",1,"")</f>
        <v/>
      </c>
      <c r="DS73" s="3048">
        <f t="shared" si="43"/>
        <v>0</v>
      </c>
      <c r="DT73" s="3047" t="str">
        <f t="shared" si="44"/>
        <v/>
      </c>
      <c r="DU73" s="3047" t="str">
        <f>IFERROR(IF(G73="","",SUMIF('Lighting Assumptions'!$G$3:$G$112,'6a - Lighting Counts'!G73,'Lighting Assumptions'!$H$3:$H$112)*IF(SI_IP_Units="SI",10.76,1)),"")</f>
        <v/>
      </c>
      <c r="DV73" s="3047" t="str">
        <f>IFERROR(IF($CX73="","",IF(SI_IP_Units="SI",10.76,1)*SUMIF(BAMCategories,$CY73,'Lighting Assumptions'!$E$3:E$35)),"")</f>
        <v/>
      </c>
      <c r="DW73" s="3047" t="str">
        <f>IFERROR(IF($CX73="","",IF(SI_IP_Units="SI",10.76,1)*SUMIF(BAMCategories,$CY73,IF(bpf_reference="ACP",'Lighting Assumptions 90.1-2010'!$E$3:E$35,'Lighting Assumptions 90.1-2016'!$E$3:E$35))),"")</f>
        <v/>
      </c>
      <c r="EW73" s="855"/>
      <c r="EX73" s="855"/>
      <c r="EY73" s="855"/>
      <c r="EZ73" s="855"/>
    </row>
    <row r="74" spans="4:156" x14ac:dyDescent="0.25">
      <c r="D74" s="3019"/>
      <c r="E74" s="3020"/>
      <c r="F74" s="3021">
        <f t="shared" si="45"/>
        <v>0</v>
      </c>
      <c r="G74" s="3059"/>
      <c r="H74" s="3060"/>
      <c r="I74" s="3061"/>
      <c r="J74" s="3061"/>
      <c r="K74" s="3061"/>
      <c r="L74" s="3061"/>
      <c r="M74" s="3061"/>
      <c r="N74" s="3061"/>
      <c r="O74" s="3061"/>
      <c r="P74" s="3061"/>
      <c r="Q74" s="3061"/>
      <c r="R74" s="3061"/>
      <c r="S74" s="3061"/>
      <c r="T74" s="3061"/>
      <c r="U74" s="3061"/>
      <c r="V74" s="3061"/>
      <c r="W74" s="3061"/>
      <c r="X74" s="3061"/>
      <c r="Y74" s="3061"/>
      <c r="Z74" s="3061"/>
      <c r="AA74" s="3061"/>
      <c r="AB74" s="3061"/>
      <c r="AC74" s="3061"/>
      <c r="AD74" s="3061"/>
      <c r="AE74" s="3061"/>
      <c r="AF74" s="3061"/>
      <c r="AG74" s="3061"/>
      <c r="AH74" s="3061"/>
      <c r="AI74" s="3061"/>
      <c r="AJ74" s="3061"/>
      <c r="AK74" s="3061"/>
      <c r="AL74" s="3061"/>
      <c r="AM74" s="3061"/>
      <c r="AN74" s="3061"/>
      <c r="AO74" s="3061"/>
      <c r="AP74" s="3061"/>
      <c r="AQ74" s="3061"/>
      <c r="AR74" s="3061"/>
      <c r="AS74" s="3061"/>
      <c r="AT74" s="3061"/>
      <c r="AU74" s="3061"/>
      <c r="AV74" s="3061"/>
      <c r="AW74" s="3061"/>
      <c r="AX74" s="3061"/>
      <c r="AY74" s="3061"/>
      <c r="AZ74" s="3061"/>
      <c r="BA74" s="3061"/>
      <c r="BB74" s="3061"/>
      <c r="BC74" s="3061"/>
      <c r="BD74" s="3061"/>
      <c r="BE74" s="3061"/>
      <c r="BF74" s="3061"/>
      <c r="BG74" s="3061"/>
      <c r="BH74" s="3061"/>
      <c r="BI74" s="3061"/>
      <c r="BJ74" s="3061"/>
      <c r="BK74" s="3061"/>
      <c r="BL74" s="3061"/>
      <c r="BM74" s="3061"/>
      <c r="BN74" s="3061"/>
      <c r="BO74" s="3061"/>
      <c r="BP74" s="3061"/>
      <c r="BQ74" s="3061"/>
      <c r="BR74" s="3061"/>
      <c r="BS74" s="3061"/>
      <c r="BT74" s="3061"/>
      <c r="BU74" s="3061"/>
      <c r="BV74" s="3061"/>
      <c r="BW74" s="3061"/>
      <c r="BX74" s="3061"/>
      <c r="BY74" s="3061"/>
      <c r="BZ74" s="3061"/>
      <c r="CA74" s="3061"/>
      <c r="CB74" s="3061"/>
      <c r="CC74" s="3061"/>
      <c r="CD74" s="3061"/>
      <c r="CE74" s="3061"/>
      <c r="CF74" s="3061"/>
      <c r="CG74" s="3061"/>
      <c r="CH74" s="3061"/>
      <c r="CI74" s="3061"/>
      <c r="CJ74" s="3061"/>
      <c r="CK74" s="3061"/>
      <c r="CL74" s="3061"/>
      <c r="CM74" s="3061"/>
      <c r="CN74" s="3061"/>
      <c r="CO74" s="3061"/>
      <c r="CP74" s="3061"/>
      <c r="CQ74" s="3061"/>
      <c r="CR74" s="3061"/>
      <c r="CS74" s="3062"/>
      <c r="CT74" s="3063"/>
      <c r="CU74" s="3064">
        <f t="shared" si="35"/>
        <v>1</v>
      </c>
      <c r="CV74" s="3022" t="str">
        <f>IF(OR(CT74="",CT74="None"),"-",DO74*CU74*SUMIF('Lighting Assumptions'!$G$3:$G$112,'6a - Lighting Counts'!G74,'Lighting Assumptions'!$J$3:$J$112))</f>
        <v>-</v>
      </c>
      <c r="CW74" s="3021"/>
      <c r="CX74" s="3021"/>
      <c r="CY74" s="3046"/>
      <c r="CZ74" s="2098">
        <f t="shared" si="36"/>
        <v>0</v>
      </c>
      <c r="DA74" s="2098" t="str">
        <f t="shared" si="37"/>
        <v>-</v>
      </c>
      <c r="DB74" s="2098">
        <f t="shared" si="38"/>
        <v>0</v>
      </c>
      <c r="DC74" s="3023" t="str">
        <f t="shared" si="39"/>
        <v>-</v>
      </c>
      <c r="DD74" s="3024" t="str">
        <f t="shared" si="40"/>
        <v/>
      </c>
      <c r="DE74" s="3025" t="str">
        <f t="shared" si="41"/>
        <v>-</v>
      </c>
      <c r="DF74" s="3024" t="str">
        <f t="shared" si="32"/>
        <v>-</v>
      </c>
      <c r="DG74" s="2098">
        <f t="shared" si="42"/>
        <v>0</v>
      </c>
      <c r="DH74" s="2098">
        <f t="array" ref="DH74">MIN(SUMPRODUCT(I74:CR74,IF($I$25:$CR$25="yes",1,0),$I$23:$CR$23),H74)</f>
        <v>0</v>
      </c>
      <c r="DI74" s="3026"/>
      <c r="DJ74" s="3021"/>
      <c r="DN74" s="917" t="str">
        <f>IF(CS74="","-",SUMIF('Lighting Assumptions'!$G$3:$G$112,'6a - Lighting Counts'!G74,'Lighting Assumptions'!$J$3:$J$112))</f>
        <v>-</v>
      </c>
      <c r="DO74" s="917" t="str">
        <f t="shared" si="33"/>
        <v>-</v>
      </c>
      <c r="DP74" s="917" t="str">
        <f t="shared" si="34"/>
        <v>-</v>
      </c>
      <c r="DQ74" s="917" t="str">
        <f>IF(LEFT(CELLformula(DF74),3)&lt;&gt;"=IF",1,"")</f>
        <v/>
      </c>
      <c r="DR74" s="917" t="str">
        <f>IF(LEFT(CELLformula(DD74),3)&lt;&gt;"=IF",1,"")</f>
        <v/>
      </c>
      <c r="DS74" s="3048">
        <f t="shared" si="43"/>
        <v>0</v>
      </c>
      <c r="DT74" s="3047" t="str">
        <f t="shared" si="44"/>
        <v/>
      </c>
      <c r="DU74" s="3047" t="str">
        <f>IFERROR(IF(G74="","",SUMIF('Lighting Assumptions'!$G$3:$G$112,'6a - Lighting Counts'!G74,'Lighting Assumptions'!$H$3:$H$112)*IF(SI_IP_Units="SI",10.76,1)),"")</f>
        <v/>
      </c>
      <c r="DV74" s="3047" t="str">
        <f>IFERROR(IF($CX74="","",IF(SI_IP_Units="SI",10.76,1)*SUMIF(BAMCategories,$CY74,'Lighting Assumptions'!$E$3:E$35)),"")</f>
        <v/>
      </c>
      <c r="DW74" s="3047" t="str">
        <f>IFERROR(IF($CX74="","",IF(SI_IP_Units="SI",10.76,1)*SUMIF(BAMCategories,$CY74,IF(bpf_reference="ACP",'Lighting Assumptions 90.1-2010'!$E$3:E$35,'Lighting Assumptions 90.1-2016'!$E$3:E$35))),"")</f>
        <v/>
      </c>
      <c r="EW74" s="855"/>
      <c r="EX74" s="855"/>
      <c r="EY74" s="855"/>
      <c r="EZ74" s="855"/>
    </row>
    <row r="75" spans="4:156" x14ac:dyDescent="0.25">
      <c r="D75" s="3019"/>
      <c r="E75" s="3020"/>
      <c r="F75" s="3021">
        <f t="shared" si="45"/>
        <v>0</v>
      </c>
      <c r="G75" s="3059"/>
      <c r="H75" s="3060"/>
      <c r="I75" s="3061"/>
      <c r="J75" s="3061"/>
      <c r="K75" s="3061"/>
      <c r="L75" s="3061"/>
      <c r="M75" s="3061"/>
      <c r="N75" s="3061"/>
      <c r="O75" s="3061"/>
      <c r="P75" s="3061"/>
      <c r="Q75" s="3061"/>
      <c r="R75" s="3061"/>
      <c r="S75" s="3061"/>
      <c r="T75" s="3061"/>
      <c r="U75" s="3061"/>
      <c r="V75" s="3061"/>
      <c r="W75" s="3061"/>
      <c r="X75" s="3061"/>
      <c r="Y75" s="3061"/>
      <c r="Z75" s="3061"/>
      <c r="AA75" s="3061"/>
      <c r="AB75" s="3061"/>
      <c r="AC75" s="3061"/>
      <c r="AD75" s="3061"/>
      <c r="AE75" s="3061"/>
      <c r="AF75" s="3061"/>
      <c r="AG75" s="3061"/>
      <c r="AH75" s="3061"/>
      <c r="AI75" s="3061"/>
      <c r="AJ75" s="3061"/>
      <c r="AK75" s="3061"/>
      <c r="AL75" s="3061"/>
      <c r="AM75" s="3061"/>
      <c r="AN75" s="3061"/>
      <c r="AO75" s="3061"/>
      <c r="AP75" s="3061"/>
      <c r="AQ75" s="3061"/>
      <c r="AR75" s="3061"/>
      <c r="AS75" s="3061"/>
      <c r="AT75" s="3061"/>
      <c r="AU75" s="3061"/>
      <c r="AV75" s="3061"/>
      <c r="AW75" s="3061"/>
      <c r="AX75" s="3061"/>
      <c r="AY75" s="3061"/>
      <c r="AZ75" s="3061"/>
      <c r="BA75" s="3061"/>
      <c r="BB75" s="3061"/>
      <c r="BC75" s="3061"/>
      <c r="BD75" s="3061"/>
      <c r="BE75" s="3061"/>
      <c r="BF75" s="3061"/>
      <c r="BG75" s="3061"/>
      <c r="BH75" s="3061"/>
      <c r="BI75" s="3061"/>
      <c r="BJ75" s="3061"/>
      <c r="BK75" s="3061"/>
      <c r="BL75" s="3061"/>
      <c r="BM75" s="3061"/>
      <c r="BN75" s="3061"/>
      <c r="BO75" s="3061"/>
      <c r="BP75" s="3061"/>
      <c r="BQ75" s="3061"/>
      <c r="BR75" s="3061"/>
      <c r="BS75" s="3061"/>
      <c r="BT75" s="3061"/>
      <c r="BU75" s="3061"/>
      <c r="BV75" s="3061"/>
      <c r="BW75" s="3061"/>
      <c r="BX75" s="3061"/>
      <c r="BY75" s="3061"/>
      <c r="BZ75" s="3061"/>
      <c r="CA75" s="3061"/>
      <c r="CB75" s="3061"/>
      <c r="CC75" s="3061"/>
      <c r="CD75" s="3061"/>
      <c r="CE75" s="3061"/>
      <c r="CF75" s="3061"/>
      <c r="CG75" s="3061"/>
      <c r="CH75" s="3061"/>
      <c r="CI75" s="3061"/>
      <c r="CJ75" s="3061"/>
      <c r="CK75" s="3061"/>
      <c r="CL75" s="3061"/>
      <c r="CM75" s="3061"/>
      <c r="CN75" s="3061"/>
      <c r="CO75" s="3061"/>
      <c r="CP75" s="3061"/>
      <c r="CQ75" s="3061"/>
      <c r="CR75" s="3061"/>
      <c r="CS75" s="3062"/>
      <c r="CT75" s="3063"/>
      <c r="CU75" s="3064">
        <f t="shared" si="35"/>
        <v>1</v>
      </c>
      <c r="CV75" s="3022" t="str">
        <f>IF(OR(CT75="",CT75="None"),"-",DO75*CU75*SUMIF('Lighting Assumptions'!$G$3:$G$112,'6a - Lighting Counts'!G75,'Lighting Assumptions'!$J$3:$J$112))</f>
        <v>-</v>
      </c>
      <c r="CW75" s="3021"/>
      <c r="CX75" s="3021"/>
      <c r="CY75" s="3046"/>
      <c r="CZ75" s="2098">
        <f t="shared" si="36"/>
        <v>0</v>
      </c>
      <c r="DA75" s="2098" t="str">
        <f t="shared" si="37"/>
        <v>-</v>
      </c>
      <c r="DB75" s="2098">
        <f t="shared" si="38"/>
        <v>0</v>
      </c>
      <c r="DC75" s="3023" t="str">
        <f t="shared" si="39"/>
        <v>-</v>
      </c>
      <c r="DD75" s="3024" t="str">
        <f t="shared" si="40"/>
        <v/>
      </c>
      <c r="DE75" s="3025" t="str">
        <f t="shared" si="41"/>
        <v>-</v>
      </c>
      <c r="DF75" s="3024" t="str">
        <f t="shared" si="32"/>
        <v>-</v>
      </c>
      <c r="DG75" s="2098">
        <f t="shared" si="42"/>
        <v>0</v>
      </c>
      <c r="DH75" s="2098">
        <f t="array" ref="DH75">MIN(SUMPRODUCT(I75:CR75,IF($I$25:$CR$25="yes",1,0),$I$23:$CR$23),H75)</f>
        <v>0</v>
      </c>
      <c r="DI75" s="3026"/>
      <c r="DJ75" s="3021"/>
      <c r="DN75" s="917" t="str">
        <f>IF(CS75="","-",SUMIF('Lighting Assumptions'!$G$3:$G$112,'6a - Lighting Counts'!G75,'Lighting Assumptions'!$J$3:$J$112))</f>
        <v>-</v>
      </c>
      <c r="DO75" s="917" t="str">
        <f t="shared" si="33"/>
        <v>-</v>
      </c>
      <c r="DP75" s="917" t="str">
        <f t="shared" si="34"/>
        <v>-</v>
      </c>
      <c r="DQ75" s="917" t="str">
        <f>IF(LEFT(CELLformula(DF75),3)&lt;&gt;"=IF",1,"")</f>
        <v/>
      </c>
      <c r="DR75" s="917" t="str">
        <f>IF(LEFT(CELLformula(DD75),3)&lt;&gt;"=IF",1,"")</f>
        <v/>
      </c>
      <c r="DS75" s="3048">
        <f t="shared" si="43"/>
        <v>0</v>
      </c>
      <c r="DT75" s="3047" t="str">
        <f t="shared" si="44"/>
        <v/>
      </c>
      <c r="DU75" s="3047" t="str">
        <f>IFERROR(IF(G75="","",SUMIF('Lighting Assumptions'!$G$3:$G$112,'6a - Lighting Counts'!G75,'Lighting Assumptions'!$H$3:$H$112)*IF(SI_IP_Units="SI",10.76,1)),"")</f>
        <v/>
      </c>
      <c r="DV75" s="3047" t="str">
        <f>IFERROR(IF($CX75="","",IF(SI_IP_Units="SI",10.76,1)*SUMIF(BAMCategories,$CY75,'Lighting Assumptions'!$E$3:E$35)),"")</f>
        <v/>
      </c>
      <c r="DW75" s="3047" t="str">
        <f>IFERROR(IF($CX75="","",IF(SI_IP_Units="SI",10.76,1)*SUMIF(BAMCategories,$CY75,IF(bpf_reference="ACP",'Lighting Assumptions 90.1-2010'!$E$3:E$35,'Lighting Assumptions 90.1-2016'!$E$3:E$35))),"")</f>
        <v/>
      </c>
      <c r="EW75" s="855"/>
      <c r="EX75" s="855"/>
      <c r="EY75" s="855"/>
      <c r="EZ75" s="855"/>
    </row>
    <row r="76" spans="4:156" x14ac:dyDescent="0.25">
      <c r="D76" s="3019"/>
      <c r="E76" s="3020"/>
      <c r="F76" s="3021">
        <f t="shared" si="45"/>
        <v>0</v>
      </c>
      <c r="G76" s="3059"/>
      <c r="H76" s="3060"/>
      <c r="I76" s="3061"/>
      <c r="J76" s="3061"/>
      <c r="K76" s="3061"/>
      <c r="L76" s="3061"/>
      <c r="M76" s="3061"/>
      <c r="N76" s="3061"/>
      <c r="O76" s="3061"/>
      <c r="P76" s="3061"/>
      <c r="Q76" s="3061"/>
      <c r="R76" s="3061"/>
      <c r="S76" s="3061"/>
      <c r="T76" s="3061"/>
      <c r="U76" s="3061"/>
      <c r="V76" s="3061"/>
      <c r="W76" s="3061"/>
      <c r="X76" s="3061"/>
      <c r="Y76" s="3061"/>
      <c r="Z76" s="3061"/>
      <c r="AA76" s="3061"/>
      <c r="AB76" s="3061"/>
      <c r="AC76" s="3061"/>
      <c r="AD76" s="3061"/>
      <c r="AE76" s="3061"/>
      <c r="AF76" s="3061"/>
      <c r="AG76" s="3061"/>
      <c r="AH76" s="3061"/>
      <c r="AI76" s="3061"/>
      <c r="AJ76" s="3061"/>
      <c r="AK76" s="3061"/>
      <c r="AL76" s="3061"/>
      <c r="AM76" s="3061"/>
      <c r="AN76" s="3061"/>
      <c r="AO76" s="3061"/>
      <c r="AP76" s="3061"/>
      <c r="AQ76" s="3061"/>
      <c r="AR76" s="3061"/>
      <c r="AS76" s="3061"/>
      <c r="AT76" s="3061"/>
      <c r="AU76" s="3061"/>
      <c r="AV76" s="3061"/>
      <c r="AW76" s="3061"/>
      <c r="AX76" s="3061"/>
      <c r="AY76" s="3061"/>
      <c r="AZ76" s="3061"/>
      <c r="BA76" s="3061"/>
      <c r="BB76" s="3061"/>
      <c r="BC76" s="3061"/>
      <c r="BD76" s="3061"/>
      <c r="BE76" s="3061"/>
      <c r="BF76" s="3061"/>
      <c r="BG76" s="3061"/>
      <c r="BH76" s="3061"/>
      <c r="BI76" s="3061"/>
      <c r="BJ76" s="3061"/>
      <c r="BK76" s="3061"/>
      <c r="BL76" s="3061"/>
      <c r="BM76" s="3061"/>
      <c r="BN76" s="3061"/>
      <c r="BO76" s="3061"/>
      <c r="BP76" s="3061"/>
      <c r="BQ76" s="3061"/>
      <c r="BR76" s="3061"/>
      <c r="BS76" s="3061"/>
      <c r="BT76" s="3061"/>
      <c r="BU76" s="3061"/>
      <c r="BV76" s="3061"/>
      <c r="BW76" s="3061"/>
      <c r="BX76" s="3061"/>
      <c r="BY76" s="3061"/>
      <c r="BZ76" s="3061"/>
      <c r="CA76" s="3061"/>
      <c r="CB76" s="3061"/>
      <c r="CC76" s="3061"/>
      <c r="CD76" s="3061"/>
      <c r="CE76" s="3061"/>
      <c r="CF76" s="3061"/>
      <c r="CG76" s="3061"/>
      <c r="CH76" s="3061"/>
      <c r="CI76" s="3061"/>
      <c r="CJ76" s="3061"/>
      <c r="CK76" s="3061"/>
      <c r="CL76" s="3061"/>
      <c r="CM76" s="3061"/>
      <c r="CN76" s="3061"/>
      <c r="CO76" s="3061"/>
      <c r="CP76" s="3061"/>
      <c r="CQ76" s="3061"/>
      <c r="CR76" s="3061"/>
      <c r="CS76" s="3062"/>
      <c r="CT76" s="3063"/>
      <c r="CU76" s="3064">
        <f t="shared" si="35"/>
        <v>1</v>
      </c>
      <c r="CV76" s="3022" t="str">
        <f>IF(OR(CT76="",CT76="None"),"-",DO76*CU76*SUMIF('Lighting Assumptions'!$G$3:$G$112,'6a - Lighting Counts'!G76,'Lighting Assumptions'!$J$3:$J$112))</f>
        <v>-</v>
      </c>
      <c r="CW76" s="3021"/>
      <c r="CX76" s="3021"/>
      <c r="CY76" s="3046"/>
      <c r="CZ76" s="2098">
        <f t="shared" si="36"/>
        <v>0</v>
      </c>
      <c r="DA76" s="2098" t="str">
        <f t="shared" si="37"/>
        <v>-</v>
      </c>
      <c r="DB76" s="2098">
        <f t="shared" si="38"/>
        <v>0</v>
      </c>
      <c r="DC76" s="3023" t="str">
        <f t="shared" si="39"/>
        <v>-</v>
      </c>
      <c r="DD76" s="3024" t="str">
        <f t="shared" si="40"/>
        <v/>
      </c>
      <c r="DE76" s="3025" t="str">
        <f t="shared" si="41"/>
        <v>-</v>
      </c>
      <c r="DF76" s="3024" t="str">
        <f t="shared" si="32"/>
        <v>-</v>
      </c>
      <c r="DG76" s="2098">
        <f t="shared" si="42"/>
        <v>0</v>
      </c>
      <c r="DH76" s="2098">
        <f t="array" ref="DH76">MIN(SUMPRODUCT(I76:CR76,IF($I$25:$CR$25="yes",1,0),$I$23:$CR$23),H76)</f>
        <v>0</v>
      </c>
      <c r="DI76" s="3026"/>
      <c r="DJ76" s="3021"/>
      <c r="DN76" s="917" t="str">
        <f>IF(CS76="","-",SUMIF('Lighting Assumptions'!$G$3:$G$112,'6a - Lighting Counts'!G76,'Lighting Assumptions'!$J$3:$J$112))</f>
        <v>-</v>
      </c>
      <c r="DO76" s="917" t="str">
        <f t="shared" si="33"/>
        <v>-</v>
      </c>
      <c r="DP76" s="917" t="str">
        <f t="shared" si="34"/>
        <v>-</v>
      </c>
      <c r="DQ76" s="917" t="str">
        <f>IF(LEFT(CELLformula(DF76),3)&lt;&gt;"=IF",1,"")</f>
        <v/>
      </c>
      <c r="DR76" s="917" t="str">
        <f>IF(LEFT(CELLformula(DD76),3)&lt;&gt;"=IF",1,"")</f>
        <v/>
      </c>
      <c r="DS76" s="3048">
        <f t="shared" si="43"/>
        <v>0</v>
      </c>
      <c r="DT76" s="3047" t="str">
        <f t="shared" si="44"/>
        <v/>
      </c>
      <c r="DU76" s="3047" t="str">
        <f>IFERROR(IF(G76="","",SUMIF('Lighting Assumptions'!$G$3:$G$112,'6a - Lighting Counts'!G76,'Lighting Assumptions'!$H$3:$H$112)*IF(SI_IP_Units="SI",10.76,1)),"")</f>
        <v/>
      </c>
      <c r="DV76" s="3047" t="str">
        <f>IFERROR(IF($CX76="","",IF(SI_IP_Units="SI",10.76,1)*SUMIF(BAMCategories,$CY76,'Lighting Assumptions'!$E$3:E$35)),"")</f>
        <v/>
      </c>
      <c r="DW76" s="3047" t="str">
        <f>IFERROR(IF($CX76="","",IF(SI_IP_Units="SI",10.76,1)*SUMIF(BAMCategories,$CY76,IF(bpf_reference="ACP",'Lighting Assumptions 90.1-2010'!$E$3:E$35,'Lighting Assumptions 90.1-2016'!$E$3:E$35))),"")</f>
        <v/>
      </c>
      <c r="EW76" s="855"/>
      <c r="EX76" s="855"/>
      <c r="EY76" s="855"/>
      <c r="EZ76" s="855"/>
    </row>
    <row r="77" spans="4:156" x14ac:dyDescent="0.25">
      <c r="D77" s="3019"/>
      <c r="E77" s="3020"/>
      <c r="F77" s="3021">
        <f t="shared" si="45"/>
        <v>0</v>
      </c>
      <c r="G77" s="3059"/>
      <c r="H77" s="3060"/>
      <c r="I77" s="3061"/>
      <c r="J77" s="3061"/>
      <c r="K77" s="3061"/>
      <c r="L77" s="3061"/>
      <c r="M77" s="3061"/>
      <c r="N77" s="3061"/>
      <c r="O77" s="3061"/>
      <c r="P77" s="3061"/>
      <c r="Q77" s="3061"/>
      <c r="R77" s="3061"/>
      <c r="S77" s="3061"/>
      <c r="T77" s="3061"/>
      <c r="U77" s="3061"/>
      <c r="V77" s="3061"/>
      <c r="W77" s="3061"/>
      <c r="X77" s="3061"/>
      <c r="Y77" s="3061"/>
      <c r="Z77" s="3061"/>
      <c r="AA77" s="3061"/>
      <c r="AB77" s="3061"/>
      <c r="AC77" s="3061"/>
      <c r="AD77" s="3061"/>
      <c r="AE77" s="3061"/>
      <c r="AF77" s="3061"/>
      <c r="AG77" s="3061"/>
      <c r="AH77" s="3061"/>
      <c r="AI77" s="3061"/>
      <c r="AJ77" s="3061"/>
      <c r="AK77" s="3061"/>
      <c r="AL77" s="3061"/>
      <c r="AM77" s="3061"/>
      <c r="AN77" s="3061"/>
      <c r="AO77" s="3061"/>
      <c r="AP77" s="3061"/>
      <c r="AQ77" s="3061"/>
      <c r="AR77" s="3061"/>
      <c r="AS77" s="3061"/>
      <c r="AT77" s="3061"/>
      <c r="AU77" s="3061"/>
      <c r="AV77" s="3061"/>
      <c r="AW77" s="3061"/>
      <c r="AX77" s="3061"/>
      <c r="AY77" s="3061"/>
      <c r="AZ77" s="3061"/>
      <c r="BA77" s="3061"/>
      <c r="BB77" s="3061"/>
      <c r="BC77" s="3061"/>
      <c r="BD77" s="3061"/>
      <c r="BE77" s="3061"/>
      <c r="BF77" s="3061"/>
      <c r="BG77" s="3061"/>
      <c r="BH77" s="3061"/>
      <c r="BI77" s="3061"/>
      <c r="BJ77" s="3061"/>
      <c r="BK77" s="3061"/>
      <c r="BL77" s="3061"/>
      <c r="BM77" s="3061"/>
      <c r="BN77" s="3061"/>
      <c r="BO77" s="3061"/>
      <c r="BP77" s="3061"/>
      <c r="BQ77" s="3061"/>
      <c r="BR77" s="3061"/>
      <c r="BS77" s="3061"/>
      <c r="BT77" s="3061"/>
      <c r="BU77" s="3061"/>
      <c r="BV77" s="3061"/>
      <c r="BW77" s="3061"/>
      <c r="BX77" s="3061"/>
      <c r="BY77" s="3061"/>
      <c r="BZ77" s="3061"/>
      <c r="CA77" s="3061"/>
      <c r="CB77" s="3061"/>
      <c r="CC77" s="3061"/>
      <c r="CD77" s="3061"/>
      <c r="CE77" s="3061"/>
      <c r="CF77" s="3061"/>
      <c r="CG77" s="3061"/>
      <c r="CH77" s="3061"/>
      <c r="CI77" s="3061"/>
      <c r="CJ77" s="3061"/>
      <c r="CK77" s="3061"/>
      <c r="CL77" s="3061"/>
      <c r="CM77" s="3061"/>
      <c r="CN77" s="3061"/>
      <c r="CO77" s="3061"/>
      <c r="CP77" s="3061"/>
      <c r="CQ77" s="3061"/>
      <c r="CR77" s="3061"/>
      <c r="CS77" s="3062"/>
      <c r="CT77" s="3063"/>
      <c r="CU77" s="3064">
        <f t="shared" si="35"/>
        <v>1</v>
      </c>
      <c r="CV77" s="3022" t="str">
        <f>IF(OR(CT77="",CT77="None"),"-",DO77*CU77*SUMIF('Lighting Assumptions'!$G$3:$G$112,'6a - Lighting Counts'!G77,'Lighting Assumptions'!$J$3:$J$112))</f>
        <v>-</v>
      </c>
      <c r="CW77" s="3021"/>
      <c r="CX77" s="3021"/>
      <c r="CY77" s="3046"/>
      <c r="CZ77" s="2098">
        <f t="shared" si="36"/>
        <v>0</v>
      </c>
      <c r="DA77" s="2098" t="str">
        <f t="shared" si="37"/>
        <v>-</v>
      </c>
      <c r="DB77" s="2098">
        <f t="shared" si="38"/>
        <v>0</v>
      </c>
      <c r="DC77" s="3023" t="str">
        <f t="shared" si="39"/>
        <v>-</v>
      </c>
      <c r="DD77" s="3024" t="str">
        <f t="shared" si="40"/>
        <v/>
      </c>
      <c r="DE77" s="3025" t="str">
        <f t="shared" si="41"/>
        <v>-</v>
      </c>
      <c r="DF77" s="3024" t="str">
        <f t="shared" si="32"/>
        <v>-</v>
      </c>
      <c r="DG77" s="2098">
        <f t="shared" si="42"/>
        <v>0</v>
      </c>
      <c r="DH77" s="2098">
        <f t="array" ref="DH77">MIN(SUMPRODUCT(I77:CR77,IF($I$25:$CR$25="yes",1,0),$I$23:$CR$23),H77)</f>
        <v>0</v>
      </c>
      <c r="DI77" s="3026"/>
      <c r="DJ77" s="3021"/>
      <c r="DN77" s="917" t="str">
        <f>IF(CS77="","-",SUMIF('Lighting Assumptions'!$G$3:$G$112,'6a - Lighting Counts'!G77,'Lighting Assumptions'!$J$3:$J$112))</f>
        <v>-</v>
      </c>
      <c r="DO77" s="917" t="str">
        <f t="shared" si="33"/>
        <v>-</v>
      </c>
      <c r="DP77" s="917" t="str">
        <f t="shared" si="34"/>
        <v>-</v>
      </c>
      <c r="DQ77" s="917" t="str">
        <f>IF(LEFT(CELLformula(DF77),3)&lt;&gt;"=IF",1,"")</f>
        <v/>
      </c>
      <c r="DR77" s="917" t="str">
        <f>IF(LEFT(CELLformula(DD77),3)&lt;&gt;"=IF",1,"")</f>
        <v/>
      </c>
      <c r="DS77" s="3048">
        <f t="shared" si="43"/>
        <v>0</v>
      </c>
      <c r="DT77" s="3047" t="str">
        <f t="shared" si="44"/>
        <v/>
      </c>
      <c r="DU77" s="3047" t="str">
        <f>IFERROR(IF(G77="","",SUMIF('Lighting Assumptions'!$G$3:$G$112,'6a - Lighting Counts'!G77,'Lighting Assumptions'!$H$3:$H$112)*IF(SI_IP_Units="SI",10.76,1)),"")</f>
        <v/>
      </c>
      <c r="DV77" s="3047" t="str">
        <f>IFERROR(IF($CX77="","",IF(SI_IP_Units="SI",10.76,1)*SUMIF(BAMCategories,$CY77,'Lighting Assumptions'!$E$3:E$35)),"")</f>
        <v/>
      </c>
      <c r="DW77" s="3047" t="str">
        <f>IFERROR(IF($CX77="","",IF(SI_IP_Units="SI",10.76,1)*SUMIF(BAMCategories,$CY77,IF(bpf_reference="ACP",'Lighting Assumptions 90.1-2010'!$E$3:E$35,'Lighting Assumptions 90.1-2016'!$E$3:E$35))),"")</f>
        <v/>
      </c>
      <c r="EW77" s="855"/>
      <c r="EX77" s="855"/>
      <c r="EY77" s="855"/>
      <c r="EZ77" s="855"/>
    </row>
    <row r="78" spans="4:156" x14ac:dyDescent="0.25">
      <c r="D78" s="3019"/>
      <c r="E78" s="3020"/>
      <c r="F78" s="3021">
        <f t="shared" si="45"/>
        <v>0</v>
      </c>
      <c r="G78" s="3059"/>
      <c r="H78" s="3060"/>
      <c r="I78" s="3061"/>
      <c r="J78" s="3061"/>
      <c r="K78" s="3061"/>
      <c r="L78" s="3061"/>
      <c r="M78" s="3061"/>
      <c r="N78" s="3061"/>
      <c r="O78" s="3061"/>
      <c r="P78" s="3061"/>
      <c r="Q78" s="3061"/>
      <c r="R78" s="3061"/>
      <c r="S78" s="3061"/>
      <c r="T78" s="3061"/>
      <c r="U78" s="3061"/>
      <c r="V78" s="3061"/>
      <c r="W78" s="3061"/>
      <c r="X78" s="3061"/>
      <c r="Y78" s="3061"/>
      <c r="Z78" s="3061"/>
      <c r="AA78" s="3061"/>
      <c r="AB78" s="3061"/>
      <c r="AC78" s="3061"/>
      <c r="AD78" s="3061"/>
      <c r="AE78" s="3061"/>
      <c r="AF78" s="3061"/>
      <c r="AG78" s="3061"/>
      <c r="AH78" s="3061"/>
      <c r="AI78" s="3061"/>
      <c r="AJ78" s="3061"/>
      <c r="AK78" s="3061"/>
      <c r="AL78" s="3061"/>
      <c r="AM78" s="3061"/>
      <c r="AN78" s="3061"/>
      <c r="AO78" s="3061"/>
      <c r="AP78" s="3061"/>
      <c r="AQ78" s="3061"/>
      <c r="AR78" s="3061"/>
      <c r="AS78" s="3061"/>
      <c r="AT78" s="3061"/>
      <c r="AU78" s="3061"/>
      <c r="AV78" s="3061"/>
      <c r="AW78" s="3061"/>
      <c r="AX78" s="3061"/>
      <c r="AY78" s="3061"/>
      <c r="AZ78" s="3061"/>
      <c r="BA78" s="3061"/>
      <c r="BB78" s="3061"/>
      <c r="BC78" s="3061"/>
      <c r="BD78" s="3061"/>
      <c r="BE78" s="3061"/>
      <c r="BF78" s="3061"/>
      <c r="BG78" s="3061"/>
      <c r="BH78" s="3061"/>
      <c r="BI78" s="3061"/>
      <c r="BJ78" s="3061"/>
      <c r="BK78" s="3061"/>
      <c r="BL78" s="3061"/>
      <c r="BM78" s="3061"/>
      <c r="BN78" s="3061"/>
      <c r="BO78" s="3061"/>
      <c r="BP78" s="3061"/>
      <c r="BQ78" s="3061"/>
      <c r="BR78" s="3061"/>
      <c r="BS78" s="3061"/>
      <c r="BT78" s="3061"/>
      <c r="BU78" s="3061"/>
      <c r="BV78" s="3061"/>
      <c r="BW78" s="3061"/>
      <c r="BX78" s="3061"/>
      <c r="BY78" s="3061"/>
      <c r="BZ78" s="3061"/>
      <c r="CA78" s="3061"/>
      <c r="CB78" s="3061"/>
      <c r="CC78" s="3061"/>
      <c r="CD78" s="3061"/>
      <c r="CE78" s="3061"/>
      <c r="CF78" s="3061"/>
      <c r="CG78" s="3061"/>
      <c r="CH78" s="3061"/>
      <c r="CI78" s="3061"/>
      <c r="CJ78" s="3061"/>
      <c r="CK78" s="3061"/>
      <c r="CL78" s="3061"/>
      <c r="CM78" s="3061"/>
      <c r="CN78" s="3061"/>
      <c r="CO78" s="3061"/>
      <c r="CP78" s="3061"/>
      <c r="CQ78" s="3061"/>
      <c r="CR78" s="3061"/>
      <c r="CS78" s="3062"/>
      <c r="CT78" s="3063"/>
      <c r="CU78" s="3064">
        <f t="shared" si="35"/>
        <v>1</v>
      </c>
      <c r="CV78" s="3022" t="str">
        <f>IF(OR(CT78="",CT78="None"),"-",DO78*CU78*SUMIF('Lighting Assumptions'!$G$3:$G$112,'6a - Lighting Counts'!G78,'Lighting Assumptions'!$J$3:$J$112))</f>
        <v>-</v>
      </c>
      <c r="CW78" s="3021"/>
      <c r="CX78" s="3021"/>
      <c r="CY78" s="3046"/>
      <c r="CZ78" s="2098">
        <f t="shared" si="36"/>
        <v>0</v>
      </c>
      <c r="DA78" s="2098" t="str">
        <f t="shared" si="37"/>
        <v>-</v>
      </c>
      <c r="DB78" s="2098">
        <f t="shared" si="38"/>
        <v>0</v>
      </c>
      <c r="DC78" s="3023" t="str">
        <f t="shared" si="39"/>
        <v>-</v>
      </c>
      <c r="DD78" s="3024" t="str">
        <f t="shared" si="40"/>
        <v/>
      </c>
      <c r="DE78" s="3025" t="str">
        <f t="shared" si="41"/>
        <v>-</v>
      </c>
      <c r="DF78" s="3024" t="str">
        <f t="shared" si="32"/>
        <v>-</v>
      </c>
      <c r="DG78" s="2098">
        <f t="shared" si="42"/>
        <v>0</v>
      </c>
      <c r="DH78" s="2098">
        <f t="array" ref="DH78">MIN(SUMPRODUCT(I78:CR78,IF($I$25:$CR$25="yes",1,0),$I$23:$CR$23),H78)</f>
        <v>0</v>
      </c>
      <c r="DI78" s="3026"/>
      <c r="DJ78" s="3021"/>
      <c r="DN78" s="917" t="str">
        <f>IF(CS78="","-",SUMIF('Lighting Assumptions'!$G$3:$G$112,'6a - Lighting Counts'!G78,'Lighting Assumptions'!$J$3:$J$112))</f>
        <v>-</v>
      </c>
      <c r="DO78" s="917" t="str">
        <f t="shared" si="33"/>
        <v>-</v>
      </c>
      <c r="DP78" s="917" t="str">
        <f t="shared" si="34"/>
        <v>-</v>
      </c>
      <c r="DQ78" s="917" t="str">
        <f>IF(LEFT(CELLformula(DF78),3)&lt;&gt;"=IF",1,"")</f>
        <v/>
      </c>
      <c r="DR78" s="917" t="str">
        <f>IF(LEFT(CELLformula(DD78),3)&lt;&gt;"=IF",1,"")</f>
        <v/>
      </c>
      <c r="DS78" s="3048">
        <f t="shared" si="43"/>
        <v>0</v>
      </c>
      <c r="DT78" s="3047" t="str">
        <f t="shared" si="44"/>
        <v/>
      </c>
      <c r="DU78" s="3047" t="str">
        <f>IFERROR(IF(G78="","",SUMIF('Lighting Assumptions'!$G$3:$G$112,'6a - Lighting Counts'!G78,'Lighting Assumptions'!$H$3:$H$112)*IF(SI_IP_Units="SI",10.76,1)),"")</f>
        <v/>
      </c>
      <c r="DV78" s="3047" t="str">
        <f>IFERROR(IF($CX78="","",IF(SI_IP_Units="SI",10.76,1)*SUMIF(BAMCategories,$CY78,'Lighting Assumptions'!$E$3:E$35)),"")</f>
        <v/>
      </c>
      <c r="DW78" s="3047" t="str">
        <f>IFERROR(IF($CX78="","",IF(SI_IP_Units="SI",10.76,1)*SUMIF(BAMCategories,$CY78,IF(bpf_reference="ACP",'Lighting Assumptions 90.1-2010'!$E$3:E$35,'Lighting Assumptions 90.1-2016'!$E$3:E$35))),"")</f>
        <v/>
      </c>
      <c r="EW78" s="855"/>
      <c r="EX78" s="855"/>
      <c r="EY78" s="855"/>
      <c r="EZ78" s="855"/>
    </row>
    <row r="79" spans="4:156" x14ac:dyDescent="0.25">
      <c r="D79" s="3019"/>
      <c r="E79" s="3020"/>
      <c r="F79" s="3021">
        <f t="shared" si="45"/>
        <v>0</v>
      </c>
      <c r="G79" s="3059"/>
      <c r="H79" s="3060"/>
      <c r="I79" s="3061"/>
      <c r="J79" s="3061"/>
      <c r="K79" s="3061"/>
      <c r="L79" s="3061"/>
      <c r="M79" s="3061"/>
      <c r="N79" s="3061"/>
      <c r="O79" s="3061"/>
      <c r="P79" s="3061"/>
      <c r="Q79" s="3061"/>
      <c r="R79" s="3061"/>
      <c r="S79" s="3061"/>
      <c r="T79" s="3061"/>
      <c r="U79" s="3061"/>
      <c r="V79" s="3061"/>
      <c r="W79" s="3061"/>
      <c r="X79" s="3061"/>
      <c r="Y79" s="3061"/>
      <c r="Z79" s="3061"/>
      <c r="AA79" s="3061"/>
      <c r="AB79" s="3061"/>
      <c r="AC79" s="3061"/>
      <c r="AD79" s="3061"/>
      <c r="AE79" s="3061"/>
      <c r="AF79" s="3061"/>
      <c r="AG79" s="3061"/>
      <c r="AH79" s="3061"/>
      <c r="AI79" s="3061"/>
      <c r="AJ79" s="3061"/>
      <c r="AK79" s="3061"/>
      <c r="AL79" s="3061"/>
      <c r="AM79" s="3061"/>
      <c r="AN79" s="3061"/>
      <c r="AO79" s="3061"/>
      <c r="AP79" s="3061"/>
      <c r="AQ79" s="3061"/>
      <c r="AR79" s="3061"/>
      <c r="AS79" s="3061"/>
      <c r="AT79" s="3061"/>
      <c r="AU79" s="3061"/>
      <c r="AV79" s="3061"/>
      <c r="AW79" s="3061"/>
      <c r="AX79" s="3061"/>
      <c r="AY79" s="3061"/>
      <c r="AZ79" s="3061"/>
      <c r="BA79" s="3061"/>
      <c r="BB79" s="3061"/>
      <c r="BC79" s="3061"/>
      <c r="BD79" s="3061"/>
      <c r="BE79" s="3061"/>
      <c r="BF79" s="3061"/>
      <c r="BG79" s="3061"/>
      <c r="BH79" s="3061"/>
      <c r="BI79" s="3061"/>
      <c r="BJ79" s="3061"/>
      <c r="BK79" s="3061"/>
      <c r="BL79" s="3061"/>
      <c r="BM79" s="3061"/>
      <c r="BN79" s="3061"/>
      <c r="BO79" s="3061"/>
      <c r="BP79" s="3061"/>
      <c r="BQ79" s="3061"/>
      <c r="BR79" s="3061"/>
      <c r="BS79" s="3061"/>
      <c r="BT79" s="3061"/>
      <c r="BU79" s="3061"/>
      <c r="BV79" s="3061"/>
      <c r="BW79" s="3061"/>
      <c r="BX79" s="3061"/>
      <c r="BY79" s="3061"/>
      <c r="BZ79" s="3061"/>
      <c r="CA79" s="3061"/>
      <c r="CB79" s="3061"/>
      <c r="CC79" s="3061"/>
      <c r="CD79" s="3061"/>
      <c r="CE79" s="3061"/>
      <c r="CF79" s="3061"/>
      <c r="CG79" s="3061"/>
      <c r="CH79" s="3061"/>
      <c r="CI79" s="3061"/>
      <c r="CJ79" s="3061"/>
      <c r="CK79" s="3061"/>
      <c r="CL79" s="3061"/>
      <c r="CM79" s="3061"/>
      <c r="CN79" s="3061"/>
      <c r="CO79" s="3061"/>
      <c r="CP79" s="3061"/>
      <c r="CQ79" s="3061"/>
      <c r="CR79" s="3061"/>
      <c r="CS79" s="3062"/>
      <c r="CT79" s="3063"/>
      <c r="CU79" s="3064">
        <f t="shared" si="35"/>
        <v>1</v>
      </c>
      <c r="CV79" s="3022" t="str">
        <f>IF(OR(CT79="",CT79="None"),"-",DO79*CU79*SUMIF('Lighting Assumptions'!$G$3:$G$112,'6a - Lighting Counts'!G79,'Lighting Assumptions'!$J$3:$J$112))</f>
        <v>-</v>
      </c>
      <c r="CW79" s="3021"/>
      <c r="CX79" s="3021"/>
      <c r="CY79" s="3046"/>
      <c r="CZ79" s="2098">
        <f t="shared" si="36"/>
        <v>0</v>
      </c>
      <c r="DA79" s="2098" t="str">
        <f t="shared" si="37"/>
        <v>-</v>
      </c>
      <c r="DB79" s="2098">
        <f t="shared" si="38"/>
        <v>0</v>
      </c>
      <c r="DC79" s="3023" t="str">
        <f t="shared" si="39"/>
        <v>-</v>
      </c>
      <c r="DD79" s="3024" t="str">
        <f t="shared" si="40"/>
        <v/>
      </c>
      <c r="DE79" s="3025" t="str">
        <f t="shared" si="41"/>
        <v>-</v>
      </c>
      <c r="DF79" s="3024" t="str">
        <f t="shared" si="32"/>
        <v>-</v>
      </c>
      <c r="DG79" s="2098">
        <f t="shared" si="42"/>
        <v>0</v>
      </c>
      <c r="DH79" s="2098">
        <f t="array" ref="DH79">MIN(SUMPRODUCT(I79:CR79,IF($I$25:$CR$25="yes",1,0),$I$23:$CR$23),H79)</f>
        <v>0</v>
      </c>
      <c r="DI79" s="3026"/>
      <c r="DJ79" s="3021"/>
      <c r="DN79" s="917" t="str">
        <f>IF(CS79="","-",SUMIF('Lighting Assumptions'!$G$3:$G$112,'6a - Lighting Counts'!G79,'Lighting Assumptions'!$J$3:$J$112))</f>
        <v>-</v>
      </c>
      <c r="DO79" s="917" t="str">
        <f t="shared" si="33"/>
        <v>-</v>
      </c>
      <c r="DP79" s="917" t="str">
        <f t="shared" si="34"/>
        <v>-</v>
      </c>
      <c r="DQ79" s="917" t="str">
        <f>IF(LEFT(CELLformula(DF79),3)&lt;&gt;"=IF",1,"")</f>
        <v/>
      </c>
      <c r="DR79" s="917" t="str">
        <f>IF(LEFT(CELLformula(DD79),3)&lt;&gt;"=IF",1,"")</f>
        <v/>
      </c>
      <c r="DS79" s="3048">
        <f t="shared" si="43"/>
        <v>0</v>
      </c>
      <c r="DT79" s="3047" t="str">
        <f t="shared" si="44"/>
        <v/>
      </c>
      <c r="DU79" s="3047" t="str">
        <f>IFERROR(IF(G79="","",SUMIF('Lighting Assumptions'!$G$3:$G$112,'6a - Lighting Counts'!G79,'Lighting Assumptions'!$H$3:$H$112)*IF(SI_IP_Units="SI",10.76,1)),"")</f>
        <v/>
      </c>
      <c r="DV79" s="3047" t="str">
        <f>IFERROR(IF($CX79="","",IF(SI_IP_Units="SI",10.76,1)*SUMIF(BAMCategories,$CY79,'Lighting Assumptions'!$E$3:E$35)),"")</f>
        <v/>
      </c>
      <c r="DW79" s="3047" t="str">
        <f>IFERROR(IF($CX79="","",IF(SI_IP_Units="SI",10.76,1)*SUMIF(BAMCategories,$CY79,IF(bpf_reference="ACP",'Lighting Assumptions 90.1-2010'!$E$3:E$35,'Lighting Assumptions 90.1-2016'!$E$3:E$35))),"")</f>
        <v/>
      </c>
      <c r="EW79" s="855"/>
      <c r="EX79" s="855"/>
      <c r="EY79" s="855"/>
      <c r="EZ79" s="855"/>
    </row>
    <row r="80" spans="4:156" x14ac:dyDescent="0.25">
      <c r="D80" s="3019"/>
      <c r="E80" s="3020"/>
      <c r="F80" s="3021">
        <f t="shared" si="45"/>
        <v>0</v>
      </c>
      <c r="G80" s="3059"/>
      <c r="H80" s="3060"/>
      <c r="I80" s="3061"/>
      <c r="J80" s="3061"/>
      <c r="K80" s="3061"/>
      <c r="L80" s="3061"/>
      <c r="M80" s="3061"/>
      <c r="N80" s="3061"/>
      <c r="O80" s="3061"/>
      <c r="P80" s="3061"/>
      <c r="Q80" s="3061"/>
      <c r="R80" s="3061"/>
      <c r="S80" s="3061"/>
      <c r="T80" s="3061"/>
      <c r="U80" s="3061"/>
      <c r="V80" s="3061"/>
      <c r="W80" s="3061"/>
      <c r="X80" s="3061"/>
      <c r="Y80" s="3061"/>
      <c r="Z80" s="3061"/>
      <c r="AA80" s="3061"/>
      <c r="AB80" s="3061"/>
      <c r="AC80" s="3061"/>
      <c r="AD80" s="3061"/>
      <c r="AE80" s="3061"/>
      <c r="AF80" s="3061"/>
      <c r="AG80" s="3061"/>
      <c r="AH80" s="3061"/>
      <c r="AI80" s="3061"/>
      <c r="AJ80" s="3061"/>
      <c r="AK80" s="3061"/>
      <c r="AL80" s="3061"/>
      <c r="AM80" s="3061"/>
      <c r="AN80" s="3061"/>
      <c r="AO80" s="3061"/>
      <c r="AP80" s="3061"/>
      <c r="AQ80" s="3061"/>
      <c r="AR80" s="3061"/>
      <c r="AS80" s="3061"/>
      <c r="AT80" s="3061"/>
      <c r="AU80" s="3061"/>
      <c r="AV80" s="3061"/>
      <c r="AW80" s="3061"/>
      <c r="AX80" s="3061"/>
      <c r="AY80" s="3061"/>
      <c r="AZ80" s="3061"/>
      <c r="BA80" s="3061"/>
      <c r="BB80" s="3061"/>
      <c r="BC80" s="3061"/>
      <c r="BD80" s="3061"/>
      <c r="BE80" s="3061"/>
      <c r="BF80" s="3061"/>
      <c r="BG80" s="3061"/>
      <c r="BH80" s="3061"/>
      <c r="BI80" s="3061"/>
      <c r="BJ80" s="3061"/>
      <c r="BK80" s="3061"/>
      <c r="BL80" s="3061"/>
      <c r="BM80" s="3061"/>
      <c r="BN80" s="3061"/>
      <c r="BO80" s="3061"/>
      <c r="BP80" s="3061"/>
      <c r="BQ80" s="3061"/>
      <c r="BR80" s="3061"/>
      <c r="BS80" s="3061"/>
      <c r="BT80" s="3061"/>
      <c r="BU80" s="3061"/>
      <c r="BV80" s="3061"/>
      <c r="BW80" s="3061"/>
      <c r="BX80" s="3061"/>
      <c r="BY80" s="3061"/>
      <c r="BZ80" s="3061"/>
      <c r="CA80" s="3061"/>
      <c r="CB80" s="3061"/>
      <c r="CC80" s="3061"/>
      <c r="CD80" s="3061"/>
      <c r="CE80" s="3061"/>
      <c r="CF80" s="3061"/>
      <c r="CG80" s="3061"/>
      <c r="CH80" s="3061"/>
      <c r="CI80" s="3061"/>
      <c r="CJ80" s="3061"/>
      <c r="CK80" s="3061"/>
      <c r="CL80" s="3061"/>
      <c r="CM80" s="3061"/>
      <c r="CN80" s="3061"/>
      <c r="CO80" s="3061"/>
      <c r="CP80" s="3061"/>
      <c r="CQ80" s="3061"/>
      <c r="CR80" s="3061"/>
      <c r="CS80" s="3062"/>
      <c r="CT80" s="3063"/>
      <c r="CU80" s="3064">
        <f t="shared" si="35"/>
        <v>1</v>
      </c>
      <c r="CV80" s="3022" t="str">
        <f>IF(OR(CT80="",CT80="None"),"-",DO80*CU80*SUMIF('Lighting Assumptions'!$G$3:$G$112,'6a - Lighting Counts'!G80,'Lighting Assumptions'!$J$3:$J$112))</f>
        <v>-</v>
      </c>
      <c r="CW80" s="3021"/>
      <c r="CX80" s="3021"/>
      <c r="CY80" s="3046"/>
      <c r="CZ80" s="2098">
        <f t="shared" si="36"/>
        <v>0</v>
      </c>
      <c r="DA80" s="2098" t="str">
        <f t="shared" si="37"/>
        <v>-</v>
      </c>
      <c r="DB80" s="2098">
        <f t="shared" si="38"/>
        <v>0</v>
      </c>
      <c r="DC80" s="3023" t="str">
        <f t="shared" si="39"/>
        <v>-</v>
      </c>
      <c r="DD80" s="3024" t="str">
        <f t="shared" si="40"/>
        <v/>
      </c>
      <c r="DE80" s="3025" t="str">
        <f t="shared" si="41"/>
        <v>-</v>
      </c>
      <c r="DF80" s="3024" t="str">
        <f t="shared" si="32"/>
        <v>-</v>
      </c>
      <c r="DG80" s="2098">
        <f t="shared" si="42"/>
        <v>0</v>
      </c>
      <c r="DH80" s="2098">
        <f t="array" ref="DH80">MIN(SUMPRODUCT(I80:CR80,IF($I$25:$CR$25="yes",1,0),$I$23:$CR$23),H80)</f>
        <v>0</v>
      </c>
      <c r="DI80" s="3026"/>
      <c r="DJ80" s="3021"/>
      <c r="DN80" s="917" t="str">
        <f>IF(CS80="","-",SUMIF('Lighting Assumptions'!$G$3:$G$112,'6a - Lighting Counts'!G80,'Lighting Assumptions'!$J$3:$J$112))</f>
        <v>-</v>
      </c>
      <c r="DO80" s="917" t="str">
        <f t="shared" si="33"/>
        <v>-</v>
      </c>
      <c r="DP80" s="917" t="str">
        <f t="shared" si="34"/>
        <v>-</v>
      </c>
      <c r="DQ80" s="917" t="str">
        <f>IF(LEFT(CELLformula(DF80),3)&lt;&gt;"=IF",1,"")</f>
        <v/>
      </c>
      <c r="DR80" s="917" t="str">
        <f>IF(LEFT(CELLformula(DD80),3)&lt;&gt;"=IF",1,"")</f>
        <v/>
      </c>
      <c r="DS80" s="3048">
        <f t="shared" si="43"/>
        <v>0</v>
      </c>
      <c r="DT80" s="3047" t="str">
        <f t="shared" si="44"/>
        <v/>
      </c>
      <c r="DU80" s="3047" t="str">
        <f>IFERROR(IF(G80="","",SUMIF('Lighting Assumptions'!$G$3:$G$112,'6a - Lighting Counts'!G80,'Lighting Assumptions'!$H$3:$H$112)*IF(SI_IP_Units="SI",10.76,1)),"")</f>
        <v/>
      </c>
      <c r="DV80" s="3047" t="str">
        <f>IFERROR(IF($CX80="","",IF(SI_IP_Units="SI",10.76,1)*SUMIF(BAMCategories,$CY80,'Lighting Assumptions'!$E$3:E$35)),"")</f>
        <v/>
      </c>
      <c r="DW80" s="3047" t="str">
        <f>IFERROR(IF($CX80="","",IF(SI_IP_Units="SI",10.76,1)*SUMIF(BAMCategories,$CY80,IF(bpf_reference="ACP",'Lighting Assumptions 90.1-2010'!$E$3:E$35,'Lighting Assumptions 90.1-2016'!$E$3:E$35))),"")</f>
        <v/>
      </c>
      <c r="EW80" s="855"/>
      <c r="EX80" s="855"/>
      <c r="EY80" s="855"/>
      <c r="EZ80" s="855"/>
    </row>
    <row r="81" spans="4:156" x14ac:dyDescent="0.25">
      <c r="D81" s="3019"/>
      <c r="E81" s="3020"/>
      <c r="F81" s="3021">
        <f t="shared" si="45"/>
        <v>0</v>
      </c>
      <c r="G81" s="3059"/>
      <c r="H81" s="3060"/>
      <c r="I81" s="3061"/>
      <c r="J81" s="3061"/>
      <c r="K81" s="3061"/>
      <c r="L81" s="3061"/>
      <c r="M81" s="3061"/>
      <c r="N81" s="3061"/>
      <c r="O81" s="3061"/>
      <c r="P81" s="3061"/>
      <c r="Q81" s="3061"/>
      <c r="R81" s="3061"/>
      <c r="S81" s="3061"/>
      <c r="T81" s="3061"/>
      <c r="U81" s="3061"/>
      <c r="V81" s="3061"/>
      <c r="W81" s="3061"/>
      <c r="X81" s="3061"/>
      <c r="Y81" s="3061"/>
      <c r="Z81" s="3061"/>
      <c r="AA81" s="3061"/>
      <c r="AB81" s="3061"/>
      <c r="AC81" s="3061"/>
      <c r="AD81" s="3061"/>
      <c r="AE81" s="3061"/>
      <c r="AF81" s="3061"/>
      <c r="AG81" s="3061"/>
      <c r="AH81" s="3061"/>
      <c r="AI81" s="3061"/>
      <c r="AJ81" s="3061"/>
      <c r="AK81" s="3061"/>
      <c r="AL81" s="3061"/>
      <c r="AM81" s="3061"/>
      <c r="AN81" s="3061"/>
      <c r="AO81" s="3061"/>
      <c r="AP81" s="3061"/>
      <c r="AQ81" s="3061"/>
      <c r="AR81" s="3061"/>
      <c r="AS81" s="3061"/>
      <c r="AT81" s="3061"/>
      <c r="AU81" s="3061"/>
      <c r="AV81" s="3061"/>
      <c r="AW81" s="3061"/>
      <c r="AX81" s="3061"/>
      <c r="AY81" s="3061"/>
      <c r="AZ81" s="3061"/>
      <c r="BA81" s="3061"/>
      <c r="BB81" s="3061"/>
      <c r="BC81" s="3061"/>
      <c r="BD81" s="3061"/>
      <c r="BE81" s="3061"/>
      <c r="BF81" s="3061"/>
      <c r="BG81" s="3061"/>
      <c r="BH81" s="3061"/>
      <c r="BI81" s="3061"/>
      <c r="BJ81" s="3061"/>
      <c r="BK81" s="3061"/>
      <c r="BL81" s="3061"/>
      <c r="BM81" s="3061"/>
      <c r="BN81" s="3061"/>
      <c r="BO81" s="3061"/>
      <c r="BP81" s="3061"/>
      <c r="BQ81" s="3061"/>
      <c r="BR81" s="3061"/>
      <c r="BS81" s="3061"/>
      <c r="BT81" s="3061"/>
      <c r="BU81" s="3061"/>
      <c r="BV81" s="3061"/>
      <c r="BW81" s="3061"/>
      <c r="BX81" s="3061"/>
      <c r="BY81" s="3061"/>
      <c r="BZ81" s="3061"/>
      <c r="CA81" s="3061"/>
      <c r="CB81" s="3061"/>
      <c r="CC81" s="3061"/>
      <c r="CD81" s="3061"/>
      <c r="CE81" s="3061"/>
      <c r="CF81" s="3061"/>
      <c r="CG81" s="3061"/>
      <c r="CH81" s="3061"/>
      <c r="CI81" s="3061"/>
      <c r="CJ81" s="3061"/>
      <c r="CK81" s="3061"/>
      <c r="CL81" s="3061"/>
      <c r="CM81" s="3061"/>
      <c r="CN81" s="3061"/>
      <c r="CO81" s="3061"/>
      <c r="CP81" s="3061"/>
      <c r="CQ81" s="3061"/>
      <c r="CR81" s="3061"/>
      <c r="CS81" s="3062"/>
      <c r="CT81" s="3063"/>
      <c r="CU81" s="3064">
        <f t="shared" si="35"/>
        <v>1</v>
      </c>
      <c r="CV81" s="3022" t="str">
        <f>IF(OR(CT81="",CT81="None"),"-",DO81*CU81*SUMIF('Lighting Assumptions'!$G$3:$G$112,'6a - Lighting Counts'!G81,'Lighting Assumptions'!$J$3:$J$112))</f>
        <v>-</v>
      </c>
      <c r="CW81" s="3021"/>
      <c r="CX81" s="3021"/>
      <c r="CY81" s="3046"/>
      <c r="CZ81" s="2098">
        <f t="shared" si="36"/>
        <v>0</v>
      </c>
      <c r="DA81" s="2098" t="str">
        <f t="shared" si="37"/>
        <v>-</v>
      </c>
      <c r="DB81" s="2098">
        <f t="shared" si="38"/>
        <v>0</v>
      </c>
      <c r="DC81" s="3023" t="str">
        <f t="shared" si="39"/>
        <v>-</v>
      </c>
      <c r="DD81" s="3024" t="str">
        <f t="shared" si="40"/>
        <v/>
      </c>
      <c r="DE81" s="3025" t="str">
        <f t="shared" si="41"/>
        <v>-</v>
      </c>
      <c r="DF81" s="3024" t="str">
        <f t="shared" si="32"/>
        <v>-</v>
      </c>
      <c r="DG81" s="2098">
        <f t="shared" si="42"/>
        <v>0</v>
      </c>
      <c r="DH81" s="2098">
        <f t="array" ref="DH81">MIN(SUMPRODUCT(I81:CR81,IF($I$25:$CR$25="yes",1,0),$I$23:$CR$23),H81)</f>
        <v>0</v>
      </c>
      <c r="DI81" s="3026"/>
      <c r="DJ81" s="3021"/>
      <c r="DN81" s="917" t="str">
        <f>IF(CS81="","-",SUMIF('Lighting Assumptions'!$G$3:$G$112,'6a - Lighting Counts'!G81,'Lighting Assumptions'!$J$3:$J$112))</f>
        <v>-</v>
      </c>
      <c r="DO81" s="917" t="str">
        <f t="shared" si="33"/>
        <v>-</v>
      </c>
      <c r="DP81" s="917" t="str">
        <f t="shared" si="34"/>
        <v>-</v>
      </c>
      <c r="DQ81" s="917" t="str">
        <f>IF(LEFT(CELLformula(DF81),3)&lt;&gt;"=IF",1,"")</f>
        <v/>
      </c>
      <c r="DR81" s="917" t="str">
        <f>IF(LEFT(CELLformula(DD81),3)&lt;&gt;"=IF",1,"")</f>
        <v/>
      </c>
      <c r="DS81" s="3048">
        <f t="shared" si="43"/>
        <v>0</v>
      </c>
      <c r="DT81" s="3047" t="str">
        <f t="shared" si="44"/>
        <v/>
      </c>
      <c r="DU81" s="3047" t="str">
        <f>IFERROR(IF(G81="","",SUMIF('Lighting Assumptions'!$G$3:$G$112,'6a - Lighting Counts'!G81,'Lighting Assumptions'!$H$3:$H$112)*IF(SI_IP_Units="SI",10.76,1)),"")</f>
        <v/>
      </c>
      <c r="DV81" s="3047" t="str">
        <f>IFERROR(IF($CX81="","",IF(SI_IP_Units="SI",10.76,1)*SUMIF(BAMCategories,$CY81,'Lighting Assumptions'!$E$3:E$35)),"")</f>
        <v/>
      </c>
      <c r="DW81" s="3047" t="str">
        <f>IFERROR(IF($CX81="","",IF(SI_IP_Units="SI",10.76,1)*SUMIF(BAMCategories,$CY81,IF(bpf_reference="ACP",'Lighting Assumptions 90.1-2010'!$E$3:E$35,'Lighting Assumptions 90.1-2016'!$E$3:E$35))),"")</f>
        <v/>
      </c>
      <c r="EW81" s="855"/>
      <c r="EX81" s="855"/>
      <c r="EY81" s="855"/>
      <c r="EZ81" s="855"/>
    </row>
    <row r="82" spans="4:156" x14ac:dyDescent="0.25">
      <c r="D82" s="3019"/>
      <c r="E82" s="3020"/>
      <c r="F82" s="3021">
        <f t="shared" si="45"/>
        <v>0</v>
      </c>
      <c r="G82" s="3059"/>
      <c r="H82" s="3060"/>
      <c r="I82" s="3061"/>
      <c r="J82" s="3061"/>
      <c r="K82" s="3061"/>
      <c r="L82" s="3061"/>
      <c r="M82" s="3061"/>
      <c r="N82" s="3061"/>
      <c r="O82" s="3061"/>
      <c r="P82" s="3061"/>
      <c r="Q82" s="3061"/>
      <c r="R82" s="3061"/>
      <c r="S82" s="3061"/>
      <c r="T82" s="3061"/>
      <c r="U82" s="3061"/>
      <c r="V82" s="3061"/>
      <c r="W82" s="3061"/>
      <c r="X82" s="3061"/>
      <c r="Y82" s="3061"/>
      <c r="Z82" s="3061"/>
      <c r="AA82" s="3061"/>
      <c r="AB82" s="3061"/>
      <c r="AC82" s="3061"/>
      <c r="AD82" s="3061"/>
      <c r="AE82" s="3061"/>
      <c r="AF82" s="3061"/>
      <c r="AG82" s="3061"/>
      <c r="AH82" s="3061"/>
      <c r="AI82" s="3061"/>
      <c r="AJ82" s="3061"/>
      <c r="AK82" s="3061"/>
      <c r="AL82" s="3061"/>
      <c r="AM82" s="3061"/>
      <c r="AN82" s="3061"/>
      <c r="AO82" s="3061"/>
      <c r="AP82" s="3061"/>
      <c r="AQ82" s="3061"/>
      <c r="AR82" s="3061"/>
      <c r="AS82" s="3061"/>
      <c r="AT82" s="3061"/>
      <c r="AU82" s="3061"/>
      <c r="AV82" s="3061"/>
      <c r="AW82" s="3061"/>
      <c r="AX82" s="3061"/>
      <c r="AY82" s="3061"/>
      <c r="AZ82" s="3061"/>
      <c r="BA82" s="3061"/>
      <c r="BB82" s="3061"/>
      <c r="BC82" s="3061"/>
      <c r="BD82" s="3061"/>
      <c r="BE82" s="3061"/>
      <c r="BF82" s="3061"/>
      <c r="BG82" s="3061"/>
      <c r="BH82" s="3061"/>
      <c r="BI82" s="3061"/>
      <c r="BJ82" s="3061"/>
      <c r="BK82" s="3061"/>
      <c r="BL82" s="3061"/>
      <c r="BM82" s="3061"/>
      <c r="BN82" s="3061"/>
      <c r="BO82" s="3061"/>
      <c r="BP82" s="3061"/>
      <c r="BQ82" s="3061"/>
      <c r="BR82" s="3061"/>
      <c r="BS82" s="3061"/>
      <c r="BT82" s="3061"/>
      <c r="BU82" s="3061"/>
      <c r="BV82" s="3061"/>
      <c r="BW82" s="3061"/>
      <c r="BX82" s="3061"/>
      <c r="BY82" s="3061"/>
      <c r="BZ82" s="3061"/>
      <c r="CA82" s="3061"/>
      <c r="CB82" s="3061"/>
      <c r="CC82" s="3061"/>
      <c r="CD82" s="3061"/>
      <c r="CE82" s="3061"/>
      <c r="CF82" s="3061"/>
      <c r="CG82" s="3061"/>
      <c r="CH82" s="3061"/>
      <c r="CI82" s="3061"/>
      <c r="CJ82" s="3061"/>
      <c r="CK82" s="3061"/>
      <c r="CL82" s="3061"/>
      <c r="CM82" s="3061"/>
      <c r="CN82" s="3061"/>
      <c r="CO82" s="3061"/>
      <c r="CP82" s="3061"/>
      <c r="CQ82" s="3061"/>
      <c r="CR82" s="3061"/>
      <c r="CS82" s="3062"/>
      <c r="CT82" s="3063"/>
      <c r="CU82" s="3064">
        <f t="shared" si="35"/>
        <v>1</v>
      </c>
      <c r="CV82" s="3022" t="str">
        <f>IF(OR(CT82="",CT82="None"),"-",DO82*CU82*SUMIF('Lighting Assumptions'!$G$3:$G$112,'6a - Lighting Counts'!G82,'Lighting Assumptions'!$J$3:$J$112))</f>
        <v>-</v>
      </c>
      <c r="CW82" s="3021"/>
      <c r="CX82" s="3021"/>
      <c r="CY82" s="3046"/>
      <c r="CZ82" s="2098">
        <f t="shared" si="36"/>
        <v>0</v>
      </c>
      <c r="DA82" s="2098" t="str">
        <f t="shared" si="37"/>
        <v>-</v>
      </c>
      <c r="DB82" s="2098">
        <f t="shared" si="38"/>
        <v>0</v>
      </c>
      <c r="DC82" s="3023" t="str">
        <f t="shared" si="39"/>
        <v>-</v>
      </c>
      <c r="DD82" s="3024" t="str">
        <f t="shared" si="40"/>
        <v/>
      </c>
      <c r="DE82" s="3025" t="str">
        <f t="shared" si="41"/>
        <v>-</v>
      </c>
      <c r="DF82" s="3024" t="str">
        <f t="shared" si="32"/>
        <v>-</v>
      </c>
      <c r="DG82" s="2098">
        <f t="shared" si="42"/>
        <v>0</v>
      </c>
      <c r="DH82" s="2098">
        <f t="array" ref="DH82">MIN(SUMPRODUCT(I82:CR82,IF($I$25:$CR$25="yes",1,0),$I$23:$CR$23),H82)</f>
        <v>0</v>
      </c>
      <c r="DI82" s="3026"/>
      <c r="DJ82" s="3021"/>
      <c r="DN82" s="917" t="str">
        <f>IF(CS82="","-",SUMIF('Lighting Assumptions'!$G$3:$G$112,'6a - Lighting Counts'!G82,'Lighting Assumptions'!$J$3:$J$112))</f>
        <v>-</v>
      </c>
      <c r="DO82" s="917" t="str">
        <f t="shared" si="33"/>
        <v>-</v>
      </c>
      <c r="DP82" s="917" t="str">
        <f t="shared" si="34"/>
        <v>-</v>
      </c>
      <c r="DQ82" s="917" t="str">
        <f>IF(LEFT(CELLformula(DF82),3)&lt;&gt;"=IF",1,"")</f>
        <v/>
      </c>
      <c r="DR82" s="917" t="str">
        <f>IF(LEFT(CELLformula(DD82),3)&lt;&gt;"=IF",1,"")</f>
        <v/>
      </c>
      <c r="DS82" s="3048">
        <f t="shared" si="43"/>
        <v>0</v>
      </c>
      <c r="DT82" s="3047" t="str">
        <f t="shared" si="44"/>
        <v/>
      </c>
      <c r="DU82" s="3047" t="str">
        <f>IFERROR(IF(G82="","",SUMIF('Lighting Assumptions'!$G$3:$G$112,'6a - Lighting Counts'!G82,'Lighting Assumptions'!$H$3:$H$112)*IF(SI_IP_Units="SI",10.76,1)),"")</f>
        <v/>
      </c>
      <c r="DV82" s="3047" t="str">
        <f>IFERROR(IF($CX82="","",IF(SI_IP_Units="SI",10.76,1)*SUMIF(BAMCategories,$CY82,'Lighting Assumptions'!$E$3:E$35)),"")</f>
        <v/>
      </c>
      <c r="DW82" s="3047" t="str">
        <f>IFERROR(IF($CX82="","",IF(SI_IP_Units="SI",10.76,1)*SUMIF(BAMCategories,$CY82,IF(bpf_reference="ACP",'Lighting Assumptions 90.1-2010'!$E$3:E$35,'Lighting Assumptions 90.1-2016'!$E$3:E$35))),"")</f>
        <v/>
      </c>
      <c r="EW82" s="855"/>
      <c r="EX82" s="855"/>
      <c r="EY82" s="855"/>
      <c r="EZ82" s="855"/>
    </row>
    <row r="83" spans="4:156" x14ac:dyDescent="0.25">
      <c r="D83" s="3019"/>
      <c r="E83" s="3020"/>
      <c r="F83" s="3021">
        <f t="shared" si="45"/>
        <v>0</v>
      </c>
      <c r="G83" s="3059"/>
      <c r="H83" s="3060"/>
      <c r="I83" s="3061"/>
      <c r="J83" s="3061"/>
      <c r="K83" s="3061"/>
      <c r="L83" s="3061"/>
      <c r="M83" s="3061"/>
      <c r="N83" s="3061"/>
      <c r="O83" s="3061"/>
      <c r="P83" s="3061"/>
      <c r="Q83" s="3061"/>
      <c r="R83" s="3061"/>
      <c r="S83" s="3061"/>
      <c r="T83" s="3061"/>
      <c r="U83" s="3061"/>
      <c r="V83" s="3061"/>
      <c r="W83" s="3061"/>
      <c r="X83" s="3061"/>
      <c r="Y83" s="3061"/>
      <c r="Z83" s="3061"/>
      <c r="AA83" s="3061"/>
      <c r="AB83" s="3061"/>
      <c r="AC83" s="3061"/>
      <c r="AD83" s="3061"/>
      <c r="AE83" s="3061"/>
      <c r="AF83" s="3061"/>
      <c r="AG83" s="3061"/>
      <c r="AH83" s="3061"/>
      <c r="AI83" s="3061"/>
      <c r="AJ83" s="3061"/>
      <c r="AK83" s="3061"/>
      <c r="AL83" s="3061"/>
      <c r="AM83" s="3061"/>
      <c r="AN83" s="3061"/>
      <c r="AO83" s="3061"/>
      <c r="AP83" s="3061"/>
      <c r="AQ83" s="3061"/>
      <c r="AR83" s="3061"/>
      <c r="AS83" s="3061"/>
      <c r="AT83" s="3061"/>
      <c r="AU83" s="3061"/>
      <c r="AV83" s="3061"/>
      <c r="AW83" s="3061"/>
      <c r="AX83" s="3061"/>
      <c r="AY83" s="3061"/>
      <c r="AZ83" s="3061"/>
      <c r="BA83" s="3061"/>
      <c r="BB83" s="3061"/>
      <c r="BC83" s="3061"/>
      <c r="BD83" s="3061"/>
      <c r="BE83" s="3061"/>
      <c r="BF83" s="3061"/>
      <c r="BG83" s="3061"/>
      <c r="BH83" s="3061"/>
      <c r="BI83" s="3061"/>
      <c r="BJ83" s="3061"/>
      <c r="BK83" s="3061"/>
      <c r="BL83" s="3061"/>
      <c r="BM83" s="3061"/>
      <c r="BN83" s="3061"/>
      <c r="BO83" s="3061"/>
      <c r="BP83" s="3061"/>
      <c r="BQ83" s="3061"/>
      <c r="BR83" s="3061"/>
      <c r="BS83" s="3061"/>
      <c r="BT83" s="3061"/>
      <c r="BU83" s="3061"/>
      <c r="BV83" s="3061"/>
      <c r="BW83" s="3061"/>
      <c r="BX83" s="3061"/>
      <c r="BY83" s="3061"/>
      <c r="BZ83" s="3061"/>
      <c r="CA83" s="3061"/>
      <c r="CB83" s="3061"/>
      <c r="CC83" s="3061"/>
      <c r="CD83" s="3061"/>
      <c r="CE83" s="3061"/>
      <c r="CF83" s="3061"/>
      <c r="CG83" s="3061"/>
      <c r="CH83" s="3061"/>
      <c r="CI83" s="3061"/>
      <c r="CJ83" s="3061"/>
      <c r="CK83" s="3061"/>
      <c r="CL83" s="3061"/>
      <c r="CM83" s="3061"/>
      <c r="CN83" s="3061"/>
      <c r="CO83" s="3061"/>
      <c r="CP83" s="3061"/>
      <c r="CQ83" s="3061"/>
      <c r="CR83" s="3061"/>
      <c r="CS83" s="3062"/>
      <c r="CT83" s="3063"/>
      <c r="CU83" s="3064">
        <f t="shared" si="35"/>
        <v>1</v>
      </c>
      <c r="CV83" s="3022" t="str">
        <f>IF(OR(CT83="",CT83="None"),"-",DO83*CU83*SUMIF('Lighting Assumptions'!$G$3:$G$112,'6a - Lighting Counts'!G83,'Lighting Assumptions'!$J$3:$J$112))</f>
        <v>-</v>
      </c>
      <c r="CW83" s="3021"/>
      <c r="CX83" s="3021"/>
      <c r="CY83" s="3046"/>
      <c r="CZ83" s="2098">
        <f t="shared" si="36"/>
        <v>0</v>
      </c>
      <c r="DA83" s="2098" t="str">
        <f t="shared" si="37"/>
        <v>-</v>
      </c>
      <c r="DB83" s="2098">
        <f t="shared" si="38"/>
        <v>0</v>
      </c>
      <c r="DC83" s="3023" t="str">
        <f t="shared" si="39"/>
        <v>-</v>
      </c>
      <c r="DD83" s="3024" t="str">
        <f t="shared" si="40"/>
        <v/>
      </c>
      <c r="DE83" s="3025" t="str">
        <f t="shared" si="41"/>
        <v>-</v>
      </c>
      <c r="DF83" s="3024" t="str">
        <f t="shared" si="32"/>
        <v>-</v>
      </c>
      <c r="DG83" s="2098">
        <f t="shared" si="42"/>
        <v>0</v>
      </c>
      <c r="DH83" s="2098">
        <f t="array" ref="DH83">MIN(SUMPRODUCT(I83:CR83,IF($I$25:$CR$25="yes",1,0),$I$23:$CR$23),H83)</f>
        <v>0</v>
      </c>
      <c r="DI83" s="3026"/>
      <c r="DJ83" s="3021"/>
      <c r="DN83" s="917" t="str">
        <f>IF(CS83="","-",SUMIF('Lighting Assumptions'!$G$3:$G$112,'6a - Lighting Counts'!G83,'Lighting Assumptions'!$J$3:$J$112))</f>
        <v>-</v>
      </c>
      <c r="DO83" s="917" t="str">
        <f t="shared" si="33"/>
        <v>-</v>
      </c>
      <c r="DP83" s="917" t="str">
        <f t="shared" si="34"/>
        <v>-</v>
      </c>
      <c r="DQ83" s="917" t="str">
        <f>IF(LEFT(CELLformula(DF83),3)&lt;&gt;"=IF",1,"")</f>
        <v/>
      </c>
      <c r="DR83" s="917" t="str">
        <f>IF(LEFT(CELLformula(DD83),3)&lt;&gt;"=IF",1,"")</f>
        <v/>
      </c>
      <c r="DS83" s="3048">
        <f t="shared" si="43"/>
        <v>0</v>
      </c>
      <c r="DT83" s="3047" t="str">
        <f t="shared" si="44"/>
        <v/>
      </c>
      <c r="DU83" s="3047" t="str">
        <f>IFERROR(IF(G83="","",SUMIF('Lighting Assumptions'!$G$3:$G$112,'6a - Lighting Counts'!G83,'Lighting Assumptions'!$H$3:$H$112)*IF(SI_IP_Units="SI",10.76,1)),"")</f>
        <v/>
      </c>
      <c r="DV83" s="3047" t="str">
        <f>IFERROR(IF($CX83="","",IF(SI_IP_Units="SI",10.76,1)*SUMIF(BAMCategories,$CY83,'Lighting Assumptions'!$E$3:E$35)),"")</f>
        <v/>
      </c>
      <c r="DW83" s="3047" t="str">
        <f>IFERROR(IF($CX83="","",IF(SI_IP_Units="SI",10.76,1)*SUMIF(BAMCategories,$CY83,IF(bpf_reference="ACP",'Lighting Assumptions 90.1-2010'!$E$3:E$35,'Lighting Assumptions 90.1-2016'!$E$3:E$35))),"")</f>
        <v/>
      </c>
      <c r="EW83" s="855"/>
      <c r="EX83" s="855"/>
      <c r="EY83" s="855"/>
      <c r="EZ83" s="855"/>
    </row>
    <row r="84" spans="4:156" x14ac:dyDescent="0.25">
      <c r="D84" s="3019"/>
      <c r="E84" s="3020"/>
      <c r="F84" s="3021">
        <f t="shared" si="45"/>
        <v>0</v>
      </c>
      <c r="G84" s="3059"/>
      <c r="H84" s="3060"/>
      <c r="I84" s="3061"/>
      <c r="J84" s="3061"/>
      <c r="K84" s="3061"/>
      <c r="L84" s="3061"/>
      <c r="M84" s="3061"/>
      <c r="N84" s="3061"/>
      <c r="O84" s="3061"/>
      <c r="P84" s="3061"/>
      <c r="Q84" s="3061"/>
      <c r="R84" s="3061"/>
      <c r="S84" s="3061"/>
      <c r="T84" s="3061"/>
      <c r="U84" s="3061"/>
      <c r="V84" s="3061"/>
      <c r="W84" s="3061"/>
      <c r="X84" s="3061"/>
      <c r="Y84" s="3061"/>
      <c r="Z84" s="3061"/>
      <c r="AA84" s="3061"/>
      <c r="AB84" s="3061"/>
      <c r="AC84" s="3061"/>
      <c r="AD84" s="3061"/>
      <c r="AE84" s="3061"/>
      <c r="AF84" s="3061"/>
      <c r="AG84" s="3061"/>
      <c r="AH84" s="3061"/>
      <c r="AI84" s="3061"/>
      <c r="AJ84" s="3061"/>
      <c r="AK84" s="3061"/>
      <c r="AL84" s="3061"/>
      <c r="AM84" s="3061"/>
      <c r="AN84" s="3061"/>
      <c r="AO84" s="3061"/>
      <c r="AP84" s="3061"/>
      <c r="AQ84" s="3061"/>
      <c r="AR84" s="3061"/>
      <c r="AS84" s="3061"/>
      <c r="AT84" s="3061"/>
      <c r="AU84" s="3061"/>
      <c r="AV84" s="3061"/>
      <c r="AW84" s="3061"/>
      <c r="AX84" s="3061"/>
      <c r="AY84" s="3061"/>
      <c r="AZ84" s="3061"/>
      <c r="BA84" s="3061"/>
      <c r="BB84" s="3061"/>
      <c r="BC84" s="3061"/>
      <c r="BD84" s="3061"/>
      <c r="BE84" s="3061"/>
      <c r="BF84" s="3061"/>
      <c r="BG84" s="3061"/>
      <c r="BH84" s="3061"/>
      <c r="BI84" s="3061"/>
      <c r="BJ84" s="3061"/>
      <c r="BK84" s="3061"/>
      <c r="BL84" s="3061"/>
      <c r="BM84" s="3061"/>
      <c r="BN84" s="3061"/>
      <c r="BO84" s="3061"/>
      <c r="BP84" s="3061"/>
      <c r="BQ84" s="3061"/>
      <c r="BR84" s="3061"/>
      <c r="BS84" s="3061"/>
      <c r="BT84" s="3061"/>
      <c r="BU84" s="3061"/>
      <c r="BV84" s="3061"/>
      <c r="BW84" s="3061"/>
      <c r="BX84" s="3061"/>
      <c r="BY84" s="3061"/>
      <c r="BZ84" s="3061"/>
      <c r="CA84" s="3061"/>
      <c r="CB84" s="3061"/>
      <c r="CC84" s="3061"/>
      <c r="CD84" s="3061"/>
      <c r="CE84" s="3061"/>
      <c r="CF84" s="3061"/>
      <c r="CG84" s="3061"/>
      <c r="CH84" s="3061"/>
      <c r="CI84" s="3061"/>
      <c r="CJ84" s="3061"/>
      <c r="CK84" s="3061"/>
      <c r="CL84" s="3061"/>
      <c r="CM84" s="3061"/>
      <c r="CN84" s="3061"/>
      <c r="CO84" s="3061"/>
      <c r="CP84" s="3061"/>
      <c r="CQ84" s="3061"/>
      <c r="CR84" s="3061"/>
      <c r="CS84" s="3062"/>
      <c r="CT84" s="3063"/>
      <c r="CU84" s="3064">
        <f t="shared" si="35"/>
        <v>1</v>
      </c>
      <c r="CV84" s="3022" t="str">
        <f>IF(OR(CT84="",CT84="None"),"-",DO84*CU84*SUMIF('Lighting Assumptions'!$G$3:$G$112,'6a - Lighting Counts'!G84,'Lighting Assumptions'!$J$3:$J$112))</f>
        <v>-</v>
      </c>
      <c r="CW84" s="3021"/>
      <c r="CX84" s="3021"/>
      <c r="CY84" s="3046"/>
      <c r="CZ84" s="2098">
        <f t="shared" si="36"/>
        <v>0</v>
      </c>
      <c r="DA84" s="2098" t="str">
        <f t="shared" si="37"/>
        <v>-</v>
      </c>
      <c r="DB84" s="2098">
        <f t="shared" si="38"/>
        <v>0</v>
      </c>
      <c r="DC84" s="3023" t="str">
        <f t="shared" si="39"/>
        <v>-</v>
      </c>
      <c r="DD84" s="3024" t="str">
        <f t="shared" si="40"/>
        <v/>
      </c>
      <c r="DE84" s="3025" t="str">
        <f t="shared" si="41"/>
        <v>-</v>
      </c>
      <c r="DF84" s="3024" t="str">
        <f t="shared" si="32"/>
        <v>-</v>
      </c>
      <c r="DG84" s="2098">
        <f t="shared" si="42"/>
        <v>0</v>
      </c>
      <c r="DH84" s="2098">
        <f t="array" ref="DH84">MIN(SUMPRODUCT(I84:CR84,IF($I$25:$CR$25="yes",1,0),$I$23:$CR$23),H84)</f>
        <v>0</v>
      </c>
      <c r="DI84" s="3026"/>
      <c r="DJ84" s="3021"/>
      <c r="DN84" s="917" t="str">
        <f>IF(CS84="","-",SUMIF('Lighting Assumptions'!$G$3:$G$112,'6a - Lighting Counts'!G84,'Lighting Assumptions'!$J$3:$J$112))</f>
        <v>-</v>
      </c>
      <c r="DO84" s="917" t="str">
        <f t="shared" si="33"/>
        <v>-</v>
      </c>
      <c r="DP84" s="917" t="str">
        <f t="shared" si="34"/>
        <v>-</v>
      </c>
      <c r="DQ84" s="917" t="str">
        <f>IF(LEFT(CELLformula(DF84),3)&lt;&gt;"=IF",1,"")</f>
        <v/>
      </c>
      <c r="DR84" s="917" t="str">
        <f>IF(LEFT(CELLformula(DD84),3)&lt;&gt;"=IF",1,"")</f>
        <v/>
      </c>
      <c r="DS84" s="3048">
        <f t="shared" si="43"/>
        <v>0</v>
      </c>
      <c r="DT84" s="3047" t="str">
        <f t="shared" si="44"/>
        <v/>
      </c>
      <c r="DU84" s="3047" t="str">
        <f>IFERROR(IF(G84="","",SUMIF('Lighting Assumptions'!$G$3:$G$112,'6a - Lighting Counts'!G84,'Lighting Assumptions'!$H$3:$H$112)*IF(SI_IP_Units="SI",10.76,1)),"")</f>
        <v/>
      </c>
      <c r="DV84" s="3047" t="str">
        <f>IFERROR(IF($CX84="","",IF(SI_IP_Units="SI",10.76,1)*SUMIF(BAMCategories,$CY84,'Lighting Assumptions'!$E$3:E$35)),"")</f>
        <v/>
      </c>
      <c r="DW84" s="3047" t="str">
        <f>IFERROR(IF($CX84="","",IF(SI_IP_Units="SI",10.76,1)*SUMIF(BAMCategories,$CY84,IF(bpf_reference="ACP",'Lighting Assumptions 90.1-2010'!$E$3:E$35,'Lighting Assumptions 90.1-2016'!$E$3:E$35))),"")</f>
        <v/>
      </c>
      <c r="EW84" s="855"/>
      <c r="EX84" s="855"/>
      <c r="EY84" s="855"/>
      <c r="EZ84" s="855"/>
    </row>
    <row r="85" spans="4:156" x14ac:dyDescent="0.25">
      <c r="D85" s="3019"/>
      <c r="E85" s="3020"/>
      <c r="F85" s="3021">
        <f t="shared" si="45"/>
        <v>0</v>
      </c>
      <c r="G85" s="3059"/>
      <c r="H85" s="3060"/>
      <c r="I85" s="3061"/>
      <c r="J85" s="3061"/>
      <c r="K85" s="3061"/>
      <c r="L85" s="3061"/>
      <c r="M85" s="3061"/>
      <c r="N85" s="3061"/>
      <c r="O85" s="3061"/>
      <c r="P85" s="3061"/>
      <c r="Q85" s="3061"/>
      <c r="R85" s="3061"/>
      <c r="S85" s="3061"/>
      <c r="T85" s="3061"/>
      <c r="U85" s="3061"/>
      <c r="V85" s="3061"/>
      <c r="W85" s="3061"/>
      <c r="X85" s="3061"/>
      <c r="Y85" s="3061"/>
      <c r="Z85" s="3061"/>
      <c r="AA85" s="3061"/>
      <c r="AB85" s="3061"/>
      <c r="AC85" s="3061"/>
      <c r="AD85" s="3061"/>
      <c r="AE85" s="3061"/>
      <c r="AF85" s="3061"/>
      <c r="AG85" s="3061"/>
      <c r="AH85" s="3061"/>
      <c r="AI85" s="3061"/>
      <c r="AJ85" s="3061"/>
      <c r="AK85" s="3061"/>
      <c r="AL85" s="3061"/>
      <c r="AM85" s="3061"/>
      <c r="AN85" s="3061"/>
      <c r="AO85" s="3061"/>
      <c r="AP85" s="3061"/>
      <c r="AQ85" s="3061"/>
      <c r="AR85" s="3061"/>
      <c r="AS85" s="3061"/>
      <c r="AT85" s="3061"/>
      <c r="AU85" s="3061"/>
      <c r="AV85" s="3061"/>
      <c r="AW85" s="3061"/>
      <c r="AX85" s="3061"/>
      <c r="AY85" s="3061"/>
      <c r="AZ85" s="3061"/>
      <c r="BA85" s="3061"/>
      <c r="BB85" s="3061"/>
      <c r="BC85" s="3061"/>
      <c r="BD85" s="3061"/>
      <c r="BE85" s="3061"/>
      <c r="BF85" s="3061"/>
      <c r="BG85" s="3061"/>
      <c r="BH85" s="3061"/>
      <c r="BI85" s="3061"/>
      <c r="BJ85" s="3061"/>
      <c r="BK85" s="3061"/>
      <c r="BL85" s="3061"/>
      <c r="BM85" s="3061"/>
      <c r="BN85" s="3061"/>
      <c r="BO85" s="3061"/>
      <c r="BP85" s="3061"/>
      <c r="BQ85" s="3061"/>
      <c r="BR85" s="3061"/>
      <c r="BS85" s="3061"/>
      <c r="BT85" s="3061"/>
      <c r="BU85" s="3061"/>
      <c r="BV85" s="3061"/>
      <c r="BW85" s="3061"/>
      <c r="BX85" s="3061"/>
      <c r="BY85" s="3061"/>
      <c r="BZ85" s="3061"/>
      <c r="CA85" s="3061"/>
      <c r="CB85" s="3061"/>
      <c r="CC85" s="3061"/>
      <c r="CD85" s="3061"/>
      <c r="CE85" s="3061"/>
      <c r="CF85" s="3061"/>
      <c r="CG85" s="3061"/>
      <c r="CH85" s="3061"/>
      <c r="CI85" s="3061"/>
      <c r="CJ85" s="3061"/>
      <c r="CK85" s="3061"/>
      <c r="CL85" s="3061"/>
      <c r="CM85" s="3061"/>
      <c r="CN85" s="3061"/>
      <c r="CO85" s="3061"/>
      <c r="CP85" s="3061"/>
      <c r="CQ85" s="3061"/>
      <c r="CR85" s="3061"/>
      <c r="CS85" s="3062"/>
      <c r="CT85" s="3063"/>
      <c r="CU85" s="3064">
        <f t="shared" si="35"/>
        <v>1</v>
      </c>
      <c r="CV85" s="3022" t="str">
        <f>IF(OR(CT85="",CT85="None"),"-",DO85*CU85*SUMIF('Lighting Assumptions'!$G$3:$G$112,'6a - Lighting Counts'!G85,'Lighting Assumptions'!$J$3:$J$112))</f>
        <v>-</v>
      </c>
      <c r="CW85" s="3021"/>
      <c r="CX85" s="3021"/>
      <c r="CY85" s="3046"/>
      <c r="CZ85" s="2098">
        <f t="shared" si="36"/>
        <v>0</v>
      </c>
      <c r="DA85" s="2098" t="str">
        <f t="shared" si="37"/>
        <v>-</v>
      </c>
      <c r="DB85" s="2098">
        <f t="shared" si="38"/>
        <v>0</v>
      </c>
      <c r="DC85" s="3023" t="str">
        <f t="shared" si="39"/>
        <v>-</v>
      </c>
      <c r="DD85" s="3024" t="str">
        <f t="shared" si="40"/>
        <v/>
      </c>
      <c r="DE85" s="3025" t="str">
        <f t="shared" si="41"/>
        <v>-</v>
      </c>
      <c r="DF85" s="3024" t="str">
        <f t="shared" si="32"/>
        <v>-</v>
      </c>
      <c r="DG85" s="2098">
        <f t="shared" si="42"/>
        <v>0</v>
      </c>
      <c r="DH85" s="2098">
        <f t="array" ref="DH85">MIN(SUMPRODUCT(I85:CR85,IF($I$25:$CR$25="yes",1,0),$I$23:$CR$23),H85)</f>
        <v>0</v>
      </c>
      <c r="DI85" s="3026"/>
      <c r="DJ85" s="3021"/>
      <c r="DN85" s="917" t="str">
        <f>IF(CS85="","-",SUMIF('Lighting Assumptions'!$G$3:$G$112,'6a - Lighting Counts'!G85,'Lighting Assumptions'!$J$3:$J$112))</f>
        <v>-</v>
      </c>
      <c r="DO85" s="917" t="str">
        <f t="shared" si="33"/>
        <v>-</v>
      </c>
      <c r="DP85" s="917" t="str">
        <f t="shared" si="34"/>
        <v>-</v>
      </c>
      <c r="DQ85" s="917" t="str">
        <f>IF(LEFT(CELLformula(DF85),3)&lt;&gt;"=IF",1,"")</f>
        <v/>
      </c>
      <c r="DR85" s="917" t="str">
        <f>IF(LEFT(CELLformula(DD85),3)&lt;&gt;"=IF",1,"")</f>
        <v/>
      </c>
      <c r="DS85" s="3048">
        <f t="shared" si="43"/>
        <v>0</v>
      </c>
      <c r="DT85" s="3047" t="str">
        <f t="shared" si="44"/>
        <v/>
      </c>
      <c r="DU85" s="3047" t="str">
        <f>IFERROR(IF(G85="","",SUMIF('Lighting Assumptions'!$G$3:$G$112,'6a - Lighting Counts'!G85,'Lighting Assumptions'!$H$3:$H$112)*IF(SI_IP_Units="SI",10.76,1)),"")</f>
        <v/>
      </c>
      <c r="DV85" s="3047" t="str">
        <f>IFERROR(IF($CX85="","",IF(SI_IP_Units="SI",10.76,1)*SUMIF(BAMCategories,$CY85,'Lighting Assumptions'!$E$3:E$35)),"")</f>
        <v/>
      </c>
      <c r="DW85" s="3047" t="str">
        <f>IFERROR(IF($CX85="","",IF(SI_IP_Units="SI",10.76,1)*SUMIF(BAMCategories,$CY85,IF(bpf_reference="ACP",'Lighting Assumptions 90.1-2010'!$E$3:E$35,'Lighting Assumptions 90.1-2016'!$E$3:E$35))),"")</f>
        <v/>
      </c>
      <c r="EW85" s="855"/>
      <c r="EX85" s="855"/>
      <c r="EY85" s="855"/>
      <c r="EZ85" s="855"/>
    </row>
    <row r="86" spans="4:156" x14ac:dyDescent="0.25">
      <c r="D86" s="3019"/>
      <c r="E86" s="3020"/>
      <c r="F86" s="3021">
        <f t="shared" si="45"/>
        <v>0</v>
      </c>
      <c r="G86" s="3059"/>
      <c r="H86" s="3060"/>
      <c r="I86" s="3061"/>
      <c r="J86" s="3061"/>
      <c r="K86" s="3061"/>
      <c r="L86" s="3061"/>
      <c r="M86" s="3061"/>
      <c r="N86" s="3061"/>
      <c r="O86" s="3061"/>
      <c r="P86" s="3061"/>
      <c r="Q86" s="3061"/>
      <c r="R86" s="3061"/>
      <c r="S86" s="3061"/>
      <c r="T86" s="3061"/>
      <c r="U86" s="3061"/>
      <c r="V86" s="3061"/>
      <c r="W86" s="3061"/>
      <c r="X86" s="3061"/>
      <c r="Y86" s="3061"/>
      <c r="Z86" s="3061"/>
      <c r="AA86" s="3061"/>
      <c r="AB86" s="3061"/>
      <c r="AC86" s="3061"/>
      <c r="AD86" s="3061"/>
      <c r="AE86" s="3061"/>
      <c r="AF86" s="3061"/>
      <c r="AG86" s="3061"/>
      <c r="AH86" s="3061"/>
      <c r="AI86" s="3061"/>
      <c r="AJ86" s="3061"/>
      <c r="AK86" s="3061"/>
      <c r="AL86" s="3061"/>
      <c r="AM86" s="3061"/>
      <c r="AN86" s="3061"/>
      <c r="AO86" s="3061"/>
      <c r="AP86" s="3061"/>
      <c r="AQ86" s="3061"/>
      <c r="AR86" s="3061"/>
      <c r="AS86" s="3061"/>
      <c r="AT86" s="3061"/>
      <c r="AU86" s="3061"/>
      <c r="AV86" s="3061"/>
      <c r="AW86" s="3061"/>
      <c r="AX86" s="3061"/>
      <c r="AY86" s="3061"/>
      <c r="AZ86" s="3061"/>
      <c r="BA86" s="3061"/>
      <c r="BB86" s="3061"/>
      <c r="BC86" s="3061"/>
      <c r="BD86" s="3061"/>
      <c r="BE86" s="3061"/>
      <c r="BF86" s="3061"/>
      <c r="BG86" s="3061"/>
      <c r="BH86" s="3061"/>
      <c r="BI86" s="3061"/>
      <c r="BJ86" s="3061"/>
      <c r="BK86" s="3061"/>
      <c r="BL86" s="3061"/>
      <c r="BM86" s="3061"/>
      <c r="BN86" s="3061"/>
      <c r="BO86" s="3061"/>
      <c r="BP86" s="3061"/>
      <c r="BQ86" s="3061"/>
      <c r="BR86" s="3061"/>
      <c r="BS86" s="3061"/>
      <c r="BT86" s="3061"/>
      <c r="BU86" s="3061"/>
      <c r="BV86" s="3061"/>
      <c r="BW86" s="3061"/>
      <c r="BX86" s="3061"/>
      <c r="BY86" s="3061"/>
      <c r="BZ86" s="3061"/>
      <c r="CA86" s="3061"/>
      <c r="CB86" s="3061"/>
      <c r="CC86" s="3061"/>
      <c r="CD86" s="3061"/>
      <c r="CE86" s="3061"/>
      <c r="CF86" s="3061"/>
      <c r="CG86" s="3061"/>
      <c r="CH86" s="3061"/>
      <c r="CI86" s="3061"/>
      <c r="CJ86" s="3061"/>
      <c r="CK86" s="3061"/>
      <c r="CL86" s="3061"/>
      <c r="CM86" s="3061"/>
      <c r="CN86" s="3061"/>
      <c r="CO86" s="3061"/>
      <c r="CP86" s="3061"/>
      <c r="CQ86" s="3061"/>
      <c r="CR86" s="3061"/>
      <c r="CS86" s="3062"/>
      <c r="CT86" s="3063"/>
      <c r="CU86" s="3064">
        <f t="shared" si="35"/>
        <v>1</v>
      </c>
      <c r="CV86" s="3022" t="str">
        <f>IF(OR(CT86="",CT86="None"),"-",DO86*CU86*SUMIF('Lighting Assumptions'!$G$3:$G$112,'6a - Lighting Counts'!G86,'Lighting Assumptions'!$J$3:$J$112))</f>
        <v>-</v>
      </c>
      <c r="CW86" s="3021"/>
      <c r="CX86" s="3021"/>
      <c r="CY86" s="3046"/>
      <c r="CZ86" s="2098">
        <f t="shared" si="36"/>
        <v>0</v>
      </c>
      <c r="DA86" s="2098" t="str">
        <f t="shared" si="37"/>
        <v>-</v>
      </c>
      <c r="DB86" s="2098">
        <f t="shared" si="38"/>
        <v>0</v>
      </c>
      <c r="DC86" s="3023" t="str">
        <f t="shared" si="39"/>
        <v>-</v>
      </c>
      <c r="DD86" s="3024" t="str">
        <f t="shared" si="40"/>
        <v/>
      </c>
      <c r="DE86" s="3025" t="str">
        <f t="shared" si="41"/>
        <v>-</v>
      </c>
      <c r="DF86" s="3024" t="str">
        <f t="shared" si="32"/>
        <v>-</v>
      </c>
      <c r="DG86" s="2098">
        <f t="shared" si="42"/>
        <v>0</v>
      </c>
      <c r="DH86" s="2098">
        <f t="array" ref="DH86">MIN(SUMPRODUCT(I86:CR86,IF($I$25:$CR$25="yes",1,0),$I$23:$CR$23),H86)</f>
        <v>0</v>
      </c>
      <c r="DI86" s="3026"/>
      <c r="DJ86" s="3021"/>
      <c r="DN86" s="917" t="str">
        <f>IF(CS86="","-",SUMIF('Lighting Assumptions'!$G$3:$G$112,'6a - Lighting Counts'!G86,'Lighting Assumptions'!$J$3:$J$112))</f>
        <v>-</v>
      </c>
      <c r="DO86" s="917" t="str">
        <f t="shared" si="33"/>
        <v>-</v>
      </c>
      <c r="DP86" s="917" t="str">
        <f t="shared" si="34"/>
        <v>-</v>
      </c>
      <c r="DQ86" s="917" t="str">
        <f>IF(LEFT(CELLformula(DF86),3)&lt;&gt;"=IF",1,"")</f>
        <v/>
      </c>
      <c r="DR86" s="917" t="str">
        <f>IF(LEFT(CELLformula(DD86),3)&lt;&gt;"=IF",1,"")</f>
        <v/>
      </c>
      <c r="DS86" s="3048">
        <f t="shared" si="43"/>
        <v>0</v>
      </c>
      <c r="DT86" s="3047" t="str">
        <f t="shared" si="44"/>
        <v/>
      </c>
      <c r="DU86" s="3047" t="str">
        <f>IFERROR(IF(G86="","",SUMIF('Lighting Assumptions'!$G$3:$G$112,'6a - Lighting Counts'!G86,'Lighting Assumptions'!$H$3:$H$112)*IF(SI_IP_Units="SI",10.76,1)),"")</f>
        <v/>
      </c>
      <c r="DV86" s="3047" t="str">
        <f>IFERROR(IF($CX86="","",IF(SI_IP_Units="SI",10.76,1)*SUMIF(BAMCategories,$CY86,'Lighting Assumptions'!$E$3:E$35)),"")</f>
        <v/>
      </c>
      <c r="DW86" s="3047" t="str">
        <f>IFERROR(IF($CX86="","",IF(SI_IP_Units="SI",10.76,1)*SUMIF(BAMCategories,$CY86,IF(bpf_reference="ACP",'Lighting Assumptions 90.1-2010'!$E$3:E$35,'Lighting Assumptions 90.1-2016'!$E$3:E$35))),"")</f>
        <v/>
      </c>
      <c r="EW86" s="855"/>
      <c r="EX86" s="855"/>
      <c r="EY86" s="855"/>
      <c r="EZ86" s="855"/>
    </row>
    <row r="87" spans="4:156" x14ac:dyDescent="0.25">
      <c r="D87" s="3019"/>
      <c r="E87" s="3020"/>
      <c r="F87" s="3021">
        <f t="shared" si="45"/>
        <v>0</v>
      </c>
      <c r="G87" s="3059"/>
      <c r="H87" s="3060"/>
      <c r="I87" s="3061"/>
      <c r="J87" s="3061"/>
      <c r="K87" s="3061"/>
      <c r="L87" s="3061"/>
      <c r="M87" s="3061"/>
      <c r="N87" s="3061"/>
      <c r="O87" s="3061"/>
      <c r="P87" s="3061"/>
      <c r="Q87" s="3061"/>
      <c r="R87" s="3061"/>
      <c r="S87" s="3061"/>
      <c r="T87" s="3061"/>
      <c r="U87" s="3061"/>
      <c r="V87" s="3061"/>
      <c r="W87" s="3061"/>
      <c r="X87" s="3061"/>
      <c r="Y87" s="3061"/>
      <c r="Z87" s="3061"/>
      <c r="AA87" s="3061"/>
      <c r="AB87" s="3061"/>
      <c r="AC87" s="3061"/>
      <c r="AD87" s="3061"/>
      <c r="AE87" s="3061"/>
      <c r="AF87" s="3061"/>
      <c r="AG87" s="3061"/>
      <c r="AH87" s="3061"/>
      <c r="AI87" s="3061"/>
      <c r="AJ87" s="3061"/>
      <c r="AK87" s="3061"/>
      <c r="AL87" s="3061"/>
      <c r="AM87" s="3061"/>
      <c r="AN87" s="3061"/>
      <c r="AO87" s="3061"/>
      <c r="AP87" s="3061"/>
      <c r="AQ87" s="3061"/>
      <c r="AR87" s="3061"/>
      <c r="AS87" s="3061"/>
      <c r="AT87" s="3061"/>
      <c r="AU87" s="3061"/>
      <c r="AV87" s="3061"/>
      <c r="AW87" s="3061"/>
      <c r="AX87" s="3061"/>
      <c r="AY87" s="3061"/>
      <c r="AZ87" s="3061"/>
      <c r="BA87" s="3061"/>
      <c r="BB87" s="3061"/>
      <c r="BC87" s="3061"/>
      <c r="BD87" s="3061"/>
      <c r="BE87" s="3061"/>
      <c r="BF87" s="3061"/>
      <c r="BG87" s="3061"/>
      <c r="BH87" s="3061"/>
      <c r="BI87" s="3061"/>
      <c r="BJ87" s="3061"/>
      <c r="BK87" s="3061"/>
      <c r="BL87" s="3061"/>
      <c r="BM87" s="3061"/>
      <c r="BN87" s="3061"/>
      <c r="BO87" s="3061"/>
      <c r="BP87" s="3061"/>
      <c r="BQ87" s="3061"/>
      <c r="BR87" s="3061"/>
      <c r="BS87" s="3061"/>
      <c r="BT87" s="3061"/>
      <c r="BU87" s="3061"/>
      <c r="BV87" s="3061"/>
      <c r="BW87" s="3061"/>
      <c r="BX87" s="3061"/>
      <c r="BY87" s="3061"/>
      <c r="BZ87" s="3061"/>
      <c r="CA87" s="3061"/>
      <c r="CB87" s="3061"/>
      <c r="CC87" s="3061"/>
      <c r="CD87" s="3061"/>
      <c r="CE87" s="3061"/>
      <c r="CF87" s="3061"/>
      <c r="CG87" s="3061"/>
      <c r="CH87" s="3061"/>
      <c r="CI87" s="3061"/>
      <c r="CJ87" s="3061"/>
      <c r="CK87" s="3061"/>
      <c r="CL87" s="3061"/>
      <c r="CM87" s="3061"/>
      <c r="CN87" s="3061"/>
      <c r="CO87" s="3061"/>
      <c r="CP87" s="3061"/>
      <c r="CQ87" s="3061"/>
      <c r="CR87" s="3061"/>
      <c r="CS87" s="3062"/>
      <c r="CT87" s="3063"/>
      <c r="CU87" s="3064">
        <f t="shared" si="35"/>
        <v>1</v>
      </c>
      <c r="CV87" s="3022" t="str">
        <f>IF(OR(CT87="",CT87="None"),"-",DO87*CU87*SUMIF('Lighting Assumptions'!$G$3:$G$112,'6a - Lighting Counts'!G87,'Lighting Assumptions'!$J$3:$J$112))</f>
        <v>-</v>
      </c>
      <c r="CW87" s="3021"/>
      <c r="CX87" s="3021"/>
      <c r="CY87" s="3046"/>
      <c r="CZ87" s="2098">
        <f t="shared" si="36"/>
        <v>0</v>
      </c>
      <c r="DA87" s="2098" t="str">
        <f t="shared" si="37"/>
        <v>-</v>
      </c>
      <c r="DB87" s="2098">
        <f t="shared" si="38"/>
        <v>0</v>
      </c>
      <c r="DC87" s="3023" t="str">
        <f t="shared" si="39"/>
        <v>-</v>
      </c>
      <c r="DD87" s="3024" t="str">
        <f t="shared" si="40"/>
        <v/>
      </c>
      <c r="DE87" s="3025" t="str">
        <f t="shared" si="41"/>
        <v>-</v>
      </c>
      <c r="DF87" s="3024" t="str">
        <f t="shared" si="32"/>
        <v>-</v>
      </c>
      <c r="DG87" s="2098">
        <f t="shared" si="42"/>
        <v>0</v>
      </c>
      <c r="DH87" s="2098">
        <f t="array" ref="DH87">MIN(SUMPRODUCT(I87:CR87,IF($I$25:$CR$25="yes",1,0),$I$23:$CR$23),H87)</f>
        <v>0</v>
      </c>
      <c r="DI87" s="3026"/>
      <c r="DJ87" s="3021"/>
      <c r="DN87" s="917" t="str">
        <f>IF(CS87="","-",SUMIF('Lighting Assumptions'!$G$3:$G$112,'6a - Lighting Counts'!G87,'Lighting Assumptions'!$J$3:$J$112))</f>
        <v>-</v>
      </c>
      <c r="DO87" s="917" t="str">
        <f t="shared" si="33"/>
        <v>-</v>
      </c>
      <c r="DP87" s="917" t="str">
        <f t="shared" si="34"/>
        <v>-</v>
      </c>
      <c r="DQ87" s="917" t="str">
        <f>IF(LEFT(CELLformula(DF87),3)&lt;&gt;"=IF",1,"")</f>
        <v/>
      </c>
      <c r="DR87" s="917" t="str">
        <f>IF(LEFT(CELLformula(DD87),3)&lt;&gt;"=IF",1,"")</f>
        <v/>
      </c>
      <c r="DS87" s="3048">
        <f t="shared" si="43"/>
        <v>0</v>
      </c>
      <c r="DT87" s="3047" t="str">
        <f t="shared" si="44"/>
        <v/>
      </c>
      <c r="DU87" s="3047" t="str">
        <f>IFERROR(IF(G87="","",SUMIF('Lighting Assumptions'!$G$3:$G$112,'6a - Lighting Counts'!G87,'Lighting Assumptions'!$H$3:$H$112)*IF(SI_IP_Units="SI",10.76,1)),"")</f>
        <v/>
      </c>
      <c r="DV87" s="3047" t="str">
        <f>IFERROR(IF($CX87="","",IF(SI_IP_Units="SI",10.76,1)*SUMIF(BAMCategories,$CY87,'Lighting Assumptions'!$E$3:E$35)),"")</f>
        <v/>
      </c>
      <c r="DW87" s="3047" t="str">
        <f>IFERROR(IF($CX87="","",IF(SI_IP_Units="SI",10.76,1)*SUMIF(BAMCategories,$CY87,IF(bpf_reference="ACP",'Lighting Assumptions 90.1-2010'!$E$3:E$35,'Lighting Assumptions 90.1-2016'!$E$3:E$35))),"")</f>
        <v/>
      </c>
      <c r="EW87" s="855"/>
      <c r="EX87" s="855"/>
      <c r="EY87" s="855"/>
      <c r="EZ87" s="855"/>
    </row>
    <row r="88" spans="4:156" x14ac:dyDescent="0.25">
      <c r="D88" s="3019"/>
      <c r="E88" s="3020"/>
      <c r="F88" s="3021">
        <f t="shared" si="45"/>
        <v>0</v>
      </c>
      <c r="G88" s="3059"/>
      <c r="H88" s="3060"/>
      <c r="I88" s="3061"/>
      <c r="J88" s="3061"/>
      <c r="K88" s="3061"/>
      <c r="L88" s="3061"/>
      <c r="M88" s="3061"/>
      <c r="N88" s="3061"/>
      <c r="O88" s="3061"/>
      <c r="P88" s="3061"/>
      <c r="Q88" s="3061"/>
      <c r="R88" s="3061"/>
      <c r="S88" s="3061"/>
      <c r="T88" s="3061"/>
      <c r="U88" s="3061"/>
      <c r="V88" s="3061"/>
      <c r="W88" s="3061"/>
      <c r="X88" s="3061"/>
      <c r="Y88" s="3061"/>
      <c r="Z88" s="3061"/>
      <c r="AA88" s="3061"/>
      <c r="AB88" s="3061"/>
      <c r="AC88" s="3061"/>
      <c r="AD88" s="3061"/>
      <c r="AE88" s="3061"/>
      <c r="AF88" s="3061"/>
      <c r="AG88" s="3061"/>
      <c r="AH88" s="3061"/>
      <c r="AI88" s="3061"/>
      <c r="AJ88" s="3061"/>
      <c r="AK88" s="3061"/>
      <c r="AL88" s="3061"/>
      <c r="AM88" s="3061"/>
      <c r="AN88" s="3061"/>
      <c r="AO88" s="3061"/>
      <c r="AP88" s="3061"/>
      <c r="AQ88" s="3061"/>
      <c r="AR88" s="3061"/>
      <c r="AS88" s="3061"/>
      <c r="AT88" s="3061"/>
      <c r="AU88" s="3061"/>
      <c r="AV88" s="3061"/>
      <c r="AW88" s="3061"/>
      <c r="AX88" s="3061"/>
      <c r="AY88" s="3061"/>
      <c r="AZ88" s="3061"/>
      <c r="BA88" s="3061"/>
      <c r="BB88" s="3061"/>
      <c r="BC88" s="3061"/>
      <c r="BD88" s="3061"/>
      <c r="BE88" s="3061"/>
      <c r="BF88" s="3061"/>
      <c r="BG88" s="3061"/>
      <c r="BH88" s="3061"/>
      <c r="BI88" s="3061"/>
      <c r="BJ88" s="3061"/>
      <c r="BK88" s="3061"/>
      <c r="BL88" s="3061"/>
      <c r="BM88" s="3061"/>
      <c r="BN88" s="3061"/>
      <c r="BO88" s="3061"/>
      <c r="BP88" s="3061"/>
      <c r="BQ88" s="3061"/>
      <c r="BR88" s="3061"/>
      <c r="BS88" s="3061"/>
      <c r="BT88" s="3061"/>
      <c r="BU88" s="3061"/>
      <c r="BV88" s="3061"/>
      <c r="BW88" s="3061"/>
      <c r="BX88" s="3061"/>
      <c r="BY88" s="3061"/>
      <c r="BZ88" s="3061"/>
      <c r="CA88" s="3061"/>
      <c r="CB88" s="3061"/>
      <c r="CC88" s="3061"/>
      <c r="CD88" s="3061"/>
      <c r="CE88" s="3061"/>
      <c r="CF88" s="3061"/>
      <c r="CG88" s="3061"/>
      <c r="CH88" s="3061"/>
      <c r="CI88" s="3061"/>
      <c r="CJ88" s="3061"/>
      <c r="CK88" s="3061"/>
      <c r="CL88" s="3061"/>
      <c r="CM88" s="3061"/>
      <c r="CN88" s="3061"/>
      <c r="CO88" s="3061"/>
      <c r="CP88" s="3061"/>
      <c r="CQ88" s="3061"/>
      <c r="CR88" s="3061"/>
      <c r="CS88" s="3062"/>
      <c r="CT88" s="3063"/>
      <c r="CU88" s="3064">
        <f t="shared" si="35"/>
        <v>1</v>
      </c>
      <c r="CV88" s="3022" t="str">
        <f>IF(OR(CT88="",CT88="None"),"-",DO88*CU88*SUMIF('Lighting Assumptions'!$G$3:$G$112,'6a - Lighting Counts'!G88,'Lighting Assumptions'!$J$3:$J$112))</f>
        <v>-</v>
      </c>
      <c r="CW88" s="3021"/>
      <c r="CX88" s="3021"/>
      <c r="CY88" s="3046"/>
      <c r="CZ88" s="2098">
        <f t="shared" si="36"/>
        <v>0</v>
      </c>
      <c r="DA88" s="2098" t="str">
        <f t="shared" si="37"/>
        <v>-</v>
      </c>
      <c r="DB88" s="2098">
        <f t="shared" si="38"/>
        <v>0</v>
      </c>
      <c r="DC88" s="3023" t="str">
        <f t="shared" si="39"/>
        <v>-</v>
      </c>
      <c r="DD88" s="3024" t="str">
        <f t="shared" si="40"/>
        <v/>
      </c>
      <c r="DE88" s="3025" t="str">
        <f t="shared" si="41"/>
        <v>-</v>
      </c>
      <c r="DF88" s="3024" t="str">
        <f t="shared" si="32"/>
        <v>-</v>
      </c>
      <c r="DG88" s="2098">
        <f t="shared" si="42"/>
        <v>0</v>
      </c>
      <c r="DH88" s="2098">
        <f t="array" ref="DH88">MIN(SUMPRODUCT(I88:CR88,IF($I$25:$CR$25="yes",1,0),$I$23:$CR$23),H88)</f>
        <v>0</v>
      </c>
      <c r="DI88" s="3026"/>
      <c r="DJ88" s="3021"/>
      <c r="DN88" s="917" t="str">
        <f>IF(CS88="","-",SUMIF('Lighting Assumptions'!$G$3:$G$112,'6a - Lighting Counts'!G88,'Lighting Assumptions'!$J$3:$J$112))</f>
        <v>-</v>
      </c>
      <c r="DO88" s="917" t="str">
        <f t="shared" si="33"/>
        <v>-</v>
      </c>
      <c r="DP88" s="917" t="str">
        <f t="shared" si="34"/>
        <v>-</v>
      </c>
      <c r="DQ88" s="917" t="str">
        <f>IF(LEFT(CELLformula(DF88),3)&lt;&gt;"=IF",1,"")</f>
        <v/>
      </c>
      <c r="DR88" s="917" t="str">
        <f>IF(LEFT(CELLformula(DD88),3)&lt;&gt;"=IF",1,"")</f>
        <v/>
      </c>
      <c r="DS88" s="3048">
        <f t="shared" si="43"/>
        <v>0</v>
      </c>
      <c r="DT88" s="3047" t="str">
        <f t="shared" si="44"/>
        <v/>
      </c>
      <c r="DU88" s="3047" t="str">
        <f>IFERROR(IF(G88="","",SUMIF('Lighting Assumptions'!$G$3:$G$112,'6a - Lighting Counts'!G88,'Lighting Assumptions'!$H$3:$H$112)*IF(SI_IP_Units="SI",10.76,1)),"")</f>
        <v/>
      </c>
      <c r="DV88" s="3047" t="str">
        <f>IFERROR(IF($CX88="","",IF(SI_IP_Units="SI",10.76,1)*SUMIF(BAMCategories,$CY88,'Lighting Assumptions'!$E$3:E$35)),"")</f>
        <v/>
      </c>
      <c r="DW88" s="3047" t="str">
        <f>IFERROR(IF($CX88="","",IF(SI_IP_Units="SI",10.76,1)*SUMIF(BAMCategories,$CY88,IF(bpf_reference="ACP",'Lighting Assumptions 90.1-2010'!$E$3:E$35,'Lighting Assumptions 90.1-2016'!$E$3:E$35))),"")</f>
        <v/>
      </c>
      <c r="EW88" s="855"/>
      <c r="EX88" s="855"/>
      <c r="EY88" s="855"/>
      <c r="EZ88" s="855"/>
    </row>
    <row r="89" spans="4:156" x14ac:dyDescent="0.25">
      <c r="D89" s="3019"/>
      <c r="E89" s="3020"/>
      <c r="F89" s="3021">
        <f t="shared" si="45"/>
        <v>0</v>
      </c>
      <c r="G89" s="3059"/>
      <c r="H89" s="3060"/>
      <c r="I89" s="3061"/>
      <c r="J89" s="3061"/>
      <c r="K89" s="3061"/>
      <c r="L89" s="3061"/>
      <c r="M89" s="3061"/>
      <c r="N89" s="3061"/>
      <c r="O89" s="3061"/>
      <c r="P89" s="3061"/>
      <c r="Q89" s="3061"/>
      <c r="R89" s="3061"/>
      <c r="S89" s="3061"/>
      <c r="T89" s="3061"/>
      <c r="U89" s="3061"/>
      <c r="V89" s="3061"/>
      <c r="W89" s="3061"/>
      <c r="X89" s="3061"/>
      <c r="Y89" s="3061"/>
      <c r="Z89" s="3061"/>
      <c r="AA89" s="3061"/>
      <c r="AB89" s="3061"/>
      <c r="AC89" s="3061"/>
      <c r="AD89" s="3061"/>
      <c r="AE89" s="3061"/>
      <c r="AF89" s="3061"/>
      <c r="AG89" s="3061"/>
      <c r="AH89" s="3061"/>
      <c r="AI89" s="3061"/>
      <c r="AJ89" s="3061"/>
      <c r="AK89" s="3061"/>
      <c r="AL89" s="3061"/>
      <c r="AM89" s="3061"/>
      <c r="AN89" s="3061"/>
      <c r="AO89" s="3061"/>
      <c r="AP89" s="3061"/>
      <c r="AQ89" s="3061"/>
      <c r="AR89" s="3061"/>
      <c r="AS89" s="3061"/>
      <c r="AT89" s="3061"/>
      <c r="AU89" s="3061"/>
      <c r="AV89" s="3061"/>
      <c r="AW89" s="3061"/>
      <c r="AX89" s="3061"/>
      <c r="AY89" s="3061"/>
      <c r="AZ89" s="3061"/>
      <c r="BA89" s="3061"/>
      <c r="BB89" s="3061"/>
      <c r="BC89" s="3061"/>
      <c r="BD89" s="3061"/>
      <c r="BE89" s="3061"/>
      <c r="BF89" s="3061"/>
      <c r="BG89" s="3061"/>
      <c r="BH89" s="3061"/>
      <c r="BI89" s="3061"/>
      <c r="BJ89" s="3061"/>
      <c r="BK89" s="3061"/>
      <c r="BL89" s="3061"/>
      <c r="BM89" s="3061"/>
      <c r="BN89" s="3061"/>
      <c r="BO89" s="3061"/>
      <c r="BP89" s="3061"/>
      <c r="BQ89" s="3061"/>
      <c r="BR89" s="3061"/>
      <c r="BS89" s="3061"/>
      <c r="BT89" s="3061"/>
      <c r="BU89" s="3061"/>
      <c r="BV89" s="3061"/>
      <c r="BW89" s="3061"/>
      <c r="BX89" s="3061"/>
      <c r="BY89" s="3061"/>
      <c r="BZ89" s="3061"/>
      <c r="CA89" s="3061"/>
      <c r="CB89" s="3061"/>
      <c r="CC89" s="3061"/>
      <c r="CD89" s="3061"/>
      <c r="CE89" s="3061"/>
      <c r="CF89" s="3061"/>
      <c r="CG89" s="3061"/>
      <c r="CH89" s="3061"/>
      <c r="CI89" s="3061"/>
      <c r="CJ89" s="3061"/>
      <c r="CK89" s="3061"/>
      <c r="CL89" s="3061"/>
      <c r="CM89" s="3061"/>
      <c r="CN89" s="3061"/>
      <c r="CO89" s="3061"/>
      <c r="CP89" s="3061"/>
      <c r="CQ89" s="3061"/>
      <c r="CR89" s="3061"/>
      <c r="CS89" s="3062"/>
      <c r="CT89" s="3063"/>
      <c r="CU89" s="3064">
        <f t="shared" si="35"/>
        <v>1</v>
      </c>
      <c r="CV89" s="3022" t="str">
        <f>IF(OR(CT89="",CT89="None"),"-",DO89*CU89*SUMIF('Lighting Assumptions'!$G$3:$G$112,'6a - Lighting Counts'!G89,'Lighting Assumptions'!$J$3:$J$112))</f>
        <v>-</v>
      </c>
      <c r="CW89" s="3021"/>
      <c r="CX89" s="3021"/>
      <c r="CY89" s="3046"/>
      <c r="CZ89" s="2098">
        <f t="shared" si="36"/>
        <v>0</v>
      </c>
      <c r="DA89" s="2098" t="str">
        <f t="shared" si="37"/>
        <v>-</v>
      </c>
      <c r="DB89" s="2098">
        <f t="shared" si="38"/>
        <v>0</v>
      </c>
      <c r="DC89" s="3023" t="str">
        <f t="shared" si="39"/>
        <v>-</v>
      </c>
      <c r="DD89" s="3024" t="str">
        <f t="shared" si="40"/>
        <v/>
      </c>
      <c r="DE89" s="3025" t="str">
        <f t="shared" si="41"/>
        <v>-</v>
      </c>
      <c r="DF89" s="3024" t="str">
        <f t="shared" si="32"/>
        <v>-</v>
      </c>
      <c r="DG89" s="2098">
        <f t="shared" si="42"/>
        <v>0</v>
      </c>
      <c r="DH89" s="2098">
        <f t="array" ref="DH89">MIN(SUMPRODUCT(I89:CR89,IF($I$25:$CR$25="yes",1,0),$I$23:$CR$23),H89)</f>
        <v>0</v>
      </c>
      <c r="DI89" s="3026"/>
      <c r="DJ89" s="3021"/>
      <c r="DN89" s="917" t="str">
        <f>IF(CS89="","-",SUMIF('Lighting Assumptions'!$G$3:$G$112,'6a - Lighting Counts'!G89,'Lighting Assumptions'!$J$3:$J$112))</f>
        <v>-</v>
      </c>
      <c r="DO89" s="917" t="str">
        <f t="shared" si="33"/>
        <v>-</v>
      </c>
      <c r="DP89" s="917" t="str">
        <f t="shared" si="34"/>
        <v>-</v>
      </c>
      <c r="DQ89" s="917" t="str">
        <f>IF(LEFT(CELLformula(DF89),3)&lt;&gt;"=IF",1,"")</f>
        <v/>
      </c>
      <c r="DR89" s="917" t="str">
        <f>IF(LEFT(CELLformula(DD89),3)&lt;&gt;"=IF",1,"")</f>
        <v/>
      </c>
      <c r="DS89" s="3048">
        <f t="shared" si="43"/>
        <v>0</v>
      </c>
      <c r="DT89" s="3047" t="str">
        <f t="shared" si="44"/>
        <v/>
      </c>
      <c r="DU89" s="3047" t="str">
        <f>IFERROR(IF(G89="","",SUMIF('Lighting Assumptions'!$G$3:$G$112,'6a - Lighting Counts'!G89,'Lighting Assumptions'!$H$3:$H$112)*IF(SI_IP_Units="SI",10.76,1)),"")</f>
        <v/>
      </c>
      <c r="DV89" s="3047" t="str">
        <f>IFERROR(IF($CX89="","",IF(SI_IP_Units="SI",10.76,1)*SUMIF(BAMCategories,$CY89,'Lighting Assumptions'!$E$3:E$35)),"")</f>
        <v/>
      </c>
      <c r="DW89" s="3047" t="str">
        <f>IFERROR(IF($CX89="","",IF(SI_IP_Units="SI",10.76,1)*SUMIF(BAMCategories,$CY89,IF(bpf_reference="ACP",'Lighting Assumptions 90.1-2010'!$E$3:E$35,'Lighting Assumptions 90.1-2016'!$E$3:E$35))),"")</f>
        <v/>
      </c>
      <c r="EW89" s="855"/>
      <c r="EX89" s="855"/>
      <c r="EY89" s="855"/>
      <c r="EZ89" s="855"/>
    </row>
    <row r="90" spans="4:156" x14ac:dyDescent="0.25">
      <c r="D90" s="3019"/>
      <c r="E90" s="3020"/>
      <c r="F90" s="3021">
        <f t="shared" si="45"/>
        <v>0</v>
      </c>
      <c r="G90" s="3059"/>
      <c r="H90" s="3060"/>
      <c r="I90" s="3061"/>
      <c r="J90" s="3061"/>
      <c r="K90" s="3061"/>
      <c r="L90" s="3061"/>
      <c r="M90" s="3061"/>
      <c r="N90" s="3061"/>
      <c r="O90" s="3061"/>
      <c r="P90" s="3061"/>
      <c r="Q90" s="3061"/>
      <c r="R90" s="3061"/>
      <c r="S90" s="3061"/>
      <c r="T90" s="3061"/>
      <c r="U90" s="3061"/>
      <c r="V90" s="3061"/>
      <c r="W90" s="3061"/>
      <c r="X90" s="3061"/>
      <c r="Y90" s="3061"/>
      <c r="Z90" s="3061"/>
      <c r="AA90" s="3061"/>
      <c r="AB90" s="3061"/>
      <c r="AC90" s="3061"/>
      <c r="AD90" s="3061"/>
      <c r="AE90" s="3061"/>
      <c r="AF90" s="3061"/>
      <c r="AG90" s="3061"/>
      <c r="AH90" s="3061"/>
      <c r="AI90" s="3061"/>
      <c r="AJ90" s="3061"/>
      <c r="AK90" s="3061"/>
      <c r="AL90" s="3061"/>
      <c r="AM90" s="3061"/>
      <c r="AN90" s="3061"/>
      <c r="AO90" s="3061"/>
      <c r="AP90" s="3061"/>
      <c r="AQ90" s="3061"/>
      <c r="AR90" s="3061"/>
      <c r="AS90" s="3061"/>
      <c r="AT90" s="3061"/>
      <c r="AU90" s="3061"/>
      <c r="AV90" s="3061"/>
      <c r="AW90" s="3061"/>
      <c r="AX90" s="3061"/>
      <c r="AY90" s="3061"/>
      <c r="AZ90" s="3061"/>
      <c r="BA90" s="3061"/>
      <c r="BB90" s="3061"/>
      <c r="BC90" s="3061"/>
      <c r="BD90" s="3061"/>
      <c r="BE90" s="3061"/>
      <c r="BF90" s="3061"/>
      <c r="BG90" s="3061"/>
      <c r="BH90" s="3061"/>
      <c r="BI90" s="3061"/>
      <c r="BJ90" s="3061"/>
      <c r="BK90" s="3061"/>
      <c r="BL90" s="3061"/>
      <c r="BM90" s="3061"/>
      <c r="BN90" s="3061"/>
      <c r="BO90" s="3061"/>
      <c r="BP90" s="3061"/>
      <c r="BQ90" s="3061"/>
      <c r="BR90" s="3061"/>
      <c r="BS90" s="3061"/>
      <c r="BT90" s="3061"/>
      <c r="BU90" s="3061"/>
      <c r="BV90" s="3061"/>
      <c r="BW90" s="3061"/>
      <c r="BX90" s="3061"/>
      <c r="BY90" s="3061"/>
      <c r="BZ90" s="3061"/>
      <c r="CA90" s="3061"/>
      <c r="CB90" s="3061"/>
      <c r="CC90" s="3061"/>
      <c r="CD90" s="3061"/>
      <c r="CE90" s="3061"/>
      <c r="CF90" s="3061"/>
      <c r="CG90" s="3061"/>
      <c r="CH90" s="3061"/>
      <c r="CI90" s="3061"/>
      <c r="CJ90" s="3061"/>
      <c r="CK90" s="3061"/>
      <c r="CL90" s="3061"/>
      <c r="CM90" s="3061"/>
      <c r="CN90" s="3061"/>
      <c r="CO90" s="3061"/>
      <c r="CP90" s="3061"/>
      <c r="CQ90" s="3061"/>
      <c r="CR90" s="3061"/>
      <c r="CS90" s="3062"/>
      <c r="CT90" s="3063"/>
      <c r="CU90" s="3064">
        <f t="shared" si="35"/>
        <v>1</v>
      </c>
      <c r="CV90" s="3022" t="str">
        <f>IF(OR(CT90="",CT90="None"),"-",DO90*CU90*SUMIF('Lighting Assumptions'!$G$3:$G$112,'6a - Lighting Counts'!G90,'Lighting Assumptions'!$J$3:$J$112))</f>
        <v>-</v>
      </c>
      <c r="CW90" s="3021"/>
      <c r="CX90" s="3021"/>
      <c r="CY90" s="3046"/>
      <c r="CZ90" s="2098">
        <f t="shared" si="36"/>
        <v>0</v>
      </c>
      <c r="DA90" s="2098" t="str">
        <f t="shared" si="37"/>
        <v>-</v>
      </c>
      <c r="DB90" s="2098">
        <f t="shared" si="38"/>
        <v>0</v>
      </c>
      <c r="DC90" s="3023" t="str">
        <f t="shared" si="39"/>
        <v>-</v>
      </c>
      <c r="DD90" s="3024" t="str">
        <f t="shared" si="40"/>
        <v/>
      </c>
      <c r="DE90" s="3025" t="str">
        <f t="shared" si="41"/>
        <v>-</v>
      </c>
      <c r="DF90" s="3024" t="str">
        <f t="shared" si="32"/>
        <v>-</v>
      </c>
      <c r="DG90" s="2098">
        <f t="shared" si="42"/>
        <v>0</v>
      </c>
      <c r="DH90" s="2098">
        <f t="array" ref="DH90">MIN(SUMPRODUCT(I90:CR90,IF($I$25:$CR$25="yes",1,0),$I$23:$CR$23),H90)</f>
        <v>0</v>
      </c>
      <c r="DI90" s="3026"/>
      <c r="DJ90" s="3021"/>
      <c r="DN90" s="917" t="str">
        <f>IF(CS90="","-",SUMIF('Lighting Assumptions'!$G$3:$G$112,'6a - Lighting Counts'!G90,'Lighting Assumptions'!$J$3:$J$112))</f>
        <v>-</v>
      </c>
      <c r="DO90" s="917" t="str">
        <f t="shared" si="33"/>
        <v>-</v>
      </c>
      <c r="DP90" s="917" t="str">
        <f t="shared" si="34"/>
        <v>-</v>
      </c>
      <c r="DQ90" s="917" t="str">
        <f>IF(LEFT(CELLformula(DF90),3)&lt;&gt;"=IF",1,"")</f>
        <v/>
      </c>
      <c r="DR90" s="917" t="str">
        <f>IF(LEFT(CELLformula(DD90),3)&lt;&gt;"=IF",1,"")</f>
        <v/>
      </c>
      <c r="DS90" s="3048">
        <f t="shared" si="43"/>
        <v>0</v>
      </c>
      <c r="DT90" s="3047" t="str">
        <f t="shared" si="44"/>
        <v/>
      </c>
      <c r="DU90" s="3047" t="str">
        <f>IFERROR(IF(G90="","",SUMIF('Lighting Assumptions'!$G$3:$G$112,'6a - Lighting Counts'!G90,'Lighting Assumptions'!$H$3:$H$112)*IF(SI_IP_Units="SI",10.76,1)),"")</f>
        <v/>
      </c>
      <c r="DV90" s="3047" t="str">
        <f>IFERROR(IF($CX90="","",IF(SI_IP_Units="SI",10.76,1)*SUMIF(BAMCategories,$CY90,'Lighting Assumptions'!$E$3:E$35)),"")</f>
        <v/>
      </c>
      <c r="DW90" s="3047" t="str">
        <f>IFERROR(IF($CX90="","",IF(SI_IP_Units="SI",10.76,1)*SUMIF(BAMCategories,$CY90,IF(bpf_reference="ACP",'Lighting Assumptions 90.1-2010'!$E$3:E$35,'Lighting Assumptions 90.1-2016'!$E$3:E$35))),"")</f>
        <v/>
      </c>
      <c r="EW90" s="855"/>
      <c r="EX90" s="855"/>
      <c r="EY90" s="855"/>
      <c r="EZ90" s="855"/>
    </row>
    <row r="91" spans="4:156" x14ac:dyDescent="0.25">
      <c r="D91" s="3019"/>
      <c r="E91" s="3020"/>
      <c r="F91" s="3021">
        <f t="shared" si="45"/>
        <v>0</v>
      </c>
      <c r="G91" s="3059"/>
      <c r="H91" s="3060"/>
      <c r="I91" s="3061"/>
      <c r="J91" s="3061"/>
      <c r="K91" s="3061"/>
      <c r="L91" s="3061"/>
      <c r="M91" s="3061"/>
      <c r="N91" s="3061"/>
      <c r="O91" s="3061"/>
      <c r="P91" s="3061"/>
      <c r="Q91" s="3061"/>
      <c r="R91" s="3061"/>
      <c r="S91" s="3061"/>
      <c r="T91" s="3061"/>
      <c r="U91" s="3061"/>
      <c r="V91" s="3061"/>
      <c r="W91" s="3061"/>
      <c r="X91" s="3061"/>
      <c r="Y91" s="3061"/>
      <c r="Z91" s="3061"/>
      <c r="AA91" s="3061"/>
      <c r="AB91" s="3061"/>
      <c r="AC91" s="3061"/>
      <c r="AD91" s="3061"/>
      <c r="AE91" s="3061"/>
      <c r="AF91" s="3061"/>
      <c r="AG91" s="3061"/>
      <c r="AH91" s="3061"/>
      <c r="AI91" s="3061"/>
      <c r="AJ91" s="3061"/>
      <c r="AK91" s="3061"/>
      <c r="AL91" s="3061"/>
      <c r="AM91" s="3061"/>
      <c r="AN91" s="3061"/>
      <c r="AO91" s="3061"/>
      <c r="AP91" s="3061"/>
      <c r="AQ91" s="3061"/>
      <c r="AR91" s="3061"/>
      <c r="AS91" s="3061"/>
      <c r="AT91" s="3061"/>
      <c r="AU91" s="3061"/>
      <c r="AV91" s="3061"/>
      <c r="AW91" s="3061"/>
      <c r="AX91" s="3061"/>
      <c r="AY91" s="3061"/>
      <c r="AZ91" s="3061"/>
      <c r="BA91" s="3061"/>
      <c r="BB91" s="3061"/>
      <c r="BC91" s="3061"/>
      <c r="BD91" s="3061"/>
      <c r="BE91" s="3061"/>
      <c r="BF91" s="3061"/>
      <c r="BG91" s="3061"/>
      <c r="BH91" s="3061"/>
      <c r="BI91" s="3061"/>
      <c r="BJ91" s="3061"/>
      <c r="BK91" s="3061"/>
      <c r="BL91" s="3061"/>
      <c r="BM91" s="3061"/>
      <c r="BN91" s="3061"/>
      <c r="BO91" s="3061"/>
      <c r="BP91" s="3061"/>
      <c r="BQ91" s="3061"/>
      <c r="BR91" s="3061"/>
      <c r="BS91" s="3061"/>
      <c r="BT91" s="3061"/>
      <c r="BU91" s="3061"/>
      <c r="BV91" s="3061"/>
      <c r="BW91" s="3061"/>
      <c r="BX91" s="3061"/>
      <c r="BY91" s="3061"/>
      <c r="BZ91" s="3061"/>
      <c r="CA91" s="3061"/>
      <c r="CB91" s="3061"/>
      <c r="CC91" s="3061"/>
      <c r="CD91" s="3061"/>
      <c r="CE91" s="3061"/>
      <c r="CF91" s="3061"/>
      <c r="CG91" s="3061"/>
      <c r="CH91" s="3061"/>
      <c r="CI91" s="3061"/>
      <c r="CJ91" s="3061"/>
      <c r="CK91" s="3061"/>
      <c r="CL91" s="3061"/>
      <c r="CM91" s="3061"/>
      <c r="CN91" s="3061"/>
      <c r="CO91" s="3061"/>
      <c r="CP91" s="3061"/>
      <c r="CQ91" s="3061"/>
      <c r="CR91" s="3061"/>
      <c r="CS91" s="3062"/>
      <c r="CT91" s="3063"/>
      <c r="CU91" s="3064">
        <f t="shared" si="35"/>
        <v>1</v>
      </c>
      <c r="CV91" s="3022" t="str">
        <f>IF(OR(CT91="",CT91="None"),"-",DO91*CU91*SUMIF('Lighting Assumptions'!$G$3:$G$112,'6a - Lighting Counts'!G91,'Lighting Assumptions'!$J$3:$J$112))</f>
        <v>-</v>
      </c>
      <c r="CW91" s="3021"/>
      <c r="CX91" s="3021"/>
      <c r="CY91" s="3046"/>
      <c r="CZ91" s="2098">
        <f t="shared" si="36"/>
        <v>0</v>
      </c>
      <c r="DA91" s="2098" t="str">
        <f t="shared" si="37"/>
        <v>-</v>
      </c>
      <c r="DB91" s="2098">
        <f t="shared" si="38"/>
        <v>0</v>
      </c>
      <c r="DC91" s="3023" t="str">
        <f t="shared" si="39"/>
        <v>-</v>
      </c>
      <c r="DD91" s="3024" t="str">
        <f t="shared" si="40"/>
        <v/>
      </c>
      <c r="DE91" s="3025" t="str">
        <f t="shared" si="41"/>
        <v>-</v>
      </c>
      <c r="DF91" s="3024" t="str">
        <f t="shared" si="32"/>
        <v>-</v>
      </c>
      <c r="DG91" s="2098">
        <f t="shared" si="42"/>
        <v>0</v>
      </c>
      <c r="DH91" s="2098">
        <f t="array" ref="DH91">MIN(SUMPRODUCT(I91:CR91,IF($I$25:$CR$25="yes",1,0),$I$23:$CR$23),H91)</f>
        <v>0</v>
      </c>
      <c r="DI91" s="3026"/>
      <c r="DJ91" s="3021"/>
      <c r="DN91" s="917" t="str">
        <f>IF(CS91="","-",SUMIF('Lighting Assumptions'!$G$3:$G$112,'6a - Lighting Counts'!G91,'Lighting Assumptions'!$J$3:$J$112))</f>
        <v>-</v>
      </c>
      <c r="DO91" s="917" t="str">
        <f t="shared" si="33"/>
        <v>-</v>
      </c>
      <c r="DP91" s="917" t="str">
        <f t="shared" si="34"/>
        <v>-</v>
      </c>
      <c r="DQ91" s="917" t="str">
        <f>IF(LEFT(CELLformula(DF91),3)&lt;&gt;"=IF",1,"")</f>
        <v/>
      </c>
      <c r="DR91" s="917" t="str">
        <f>IF(LEFT(CELLformula(DD91),3)&lt;&gt;"=IF",1,"")</f>
        <v/>
      </c>
      <c r="DS91" s="3048">
        <f t="shared" si="43"/>
        <v>0</v>
      </c>
      <c r="DT91" s="3047" t="str">
        <f t="shared" si="44"/>
        <v/>
      </c>
      <c r="DU91" s="3047" t="str">
        <f>IFERROR(IF(G91="","",SUMIF('Lighting Assumptions'!$G$3:$G$112,'6a - Lighting Counts'!G91,'Lighting Assumptions'!$H$3:$H$112)*IF(SI_IP_Units="SI",10.76,1)),"")</f>
        <v/>
      </c>
      <c r="DV91" s="3047" t="str">
        <f>IFERROR(IF($CX91="","",IF(SI_IP_Units="SI",10.76,1)*SUMIF(BAMCategories,$CY91,'Lighting Assumptions'!$E$3:E$35)),"")</f>
        <v/>
      </c>
      <c r="DW91" s="3047" t="str">
        <f>IFERROR(IF($CX91="","",IF(SI_IP_Units="SI",10.76,1)*SUMIF(BAMCategories,$CY91,IF(bpf_reference="ACP",'Lighting Assumptions 90.1-2010'!$E$3:E$35,'Lighting Assumptions 90.1-2016'!$E$3:E$35))),"")</f>
        <v/>
      </c>
      <c r="EW91" s="855"/>
      <c r="EX91" s="855"/>
      <c r="EY91" s="855"/>
      <c r="EZ91" s="855"/>
    </row>
    <row r="92" spans="4:156" x14ac:dyDescent="0.25">
      <c r="D92" s="3019"/>
      <c r="E92" s="3020"/>
      <c r="F92" s="3021">
        <f t="shared" si="45"/>
        <v>0</v>
      </c>
      <c r="G92" s="3059"/>
      <c r="H92" s="3060"/>
      <c r="I92" s="3061"/>
      <c r="J92" s="3061"/>
      <c r="K92" s="3061"/>
      <c r="L92" s="3061"/>
      <c r="M92" s="3061"/>
      <c r="N92" s="3061"/>
      <c r="O92" s="3061"/>
      <c r="P92" s="3061"/>
      <c r="Q92" s="3061"/>
      <c r="R92" s="3061"/>
      <c r="S92" s="3061"/>
      <c r="T92" s="3061"/>
      <c r="U92" s="3061"/>
      <c r="V92" s="3061"/>
      <c r="W92" s="3061"/>
      <c r="X92" s="3061"/>
      <c r="Y92" s="3061"/>
      <c r="Z92" s="3061"/>
      <c r="AA92" s="3061"/>
      <c r="AB92" s="3061"/>
      <c r="AC92" s="3061"/>
      <c r="AD92" s="3061"/>
      <c r="AE92" s="3061"/>
      <c r="AF92" s="3061"/>
      <c r="AG92" s="3061"/>
      <c r="AH92" s="3061"/>
      <c r="AI92" s="3061"/>
      <c r="AJ92" s="3061"/>
      <c r="AK92" s="3061"/>
      <c r="AL92" s="3061"/>
      <c r="AM92" s="3061"/>
      <c r="AN92" s="3061"/>
      <c r="AO92" s="3061"/>
      <c r="AP92" s="3061"/>
      <c r="AQ92" s="3061"/>
      <c r="AR92" s="3061"/>
      <c r="AS92" s="3061"/>
      <c r="AT92" s="3061"/>
      <c r="AU92" s="3061"/>
      <c r="AV92" s="3061"/>
      <c r="AW92" s="3061"/>
      <c r="AX92" s="3061"/>
      <c r="AY92" s="3061"/>
      <c r="AZ92" s="3061"/>
      <c r="BA92" s="3061"/>
      <c r="BB92" s="3061"/>
      <c r="BC92" s="3061"/>
      <c r="BD92" s="3061"/>
      <c r="BE92" s="3061"/>
      <c r="BF92" s="3061"/>
      <c r="BG92" s="3061"/>
      <c r="BH92" s="3061"/>
      <c r="BI92" s="3061"/>
      <c r="BJ92" s="3061"/>
      <c r="BK92" s="3061"/>
      <c r="BL92" s="3061"/>
      <c r="BM92" s="3061"/>
      <c r="BN92" s="3061"/>
      <c r="BO92" s="3061"/>
      <c r="BP92" s="3061"/>
      <c r="BQ92" s="3061"/>
      <c r="BR92" s="3061"/>
      <c r="BS92" s="3061"/>
      <c r="BT92" s="3061"/>
      <c r="BU92" s="3061"/>
      <c r="BV92" s="3061"/>
      <c r="BW92" s="3061"/>
      <c r="BX92" s="3061"/>
      <c r="BY92" s="3061"/>
      <c r="BZ92" s="3061"/>
      <c r="CA92" s="3061"/>
      <c r="CB92" s="3061"/>
      <c r="CC92" s="3061"/>
      <c r="CD92" s="3061"/>
      <c r="CE92" s="3061"/>
      <c r="CF92" s="3061"/>
      <c r="CG92" s="3061"/>
      <c r="CH92" s="3061"/>
      <c r="CI92" s="3061"/>
      <c r="CJ92" s="3061"/>
      <c r="CK92" s="3061"/>
      <c r="CL92" s="3061"/>
      <c r="CM92" s="3061"/>
      <c r="CN92" s="3061"/>
      <c r="CO92" s="3061"/>
      <c r="CP92" s="3061"/>
      <c r="CQ92" s="3061"/>
      <c r="CR92" s="3061"/>
      <c r="CS92" s="3062"/>
      <c r="CT92" s="3063"/>
      <c r="CU92" s="3064">
        <f t="shared" si="35"/>
        <v>1</v>
      </c>
      <c r="CV92" s="3022" t="str">
        <f>IF(OR(CT92="",CT92="None"),"-",DO92*CU92*SUMIF('Lighting Assumptions'!$G$3:$G$112,'6a - Lighting Counts'!G92,'Lighting Assumptions'!$J$3:$J$112))</f>
        <v>-</v>
      </c>
      <c r="CW92" s="3021"/>
      <c r="CX92" s="3021"/>
      <c r="CY92" s="3046"/>
      <c r="CZ92" s="2098">
        <f t="shared" si="36"/>
        <v>0</v>
      </c>
      <c r="DA92" s="2098" t="str">
        <f t="shared" si="37"/>
        <v>-</v>
      </c>
      <c r="DB92" s="2098">
        <f t="shared" si="38"/>
        <v>0</v>
      </c>
      <c r="DC92" s="3023" t="str">
        <f t="shared" si="39"/>
        <v>-</v>
      </c>
      <c r="DD92" s="3024" t="str">
        <f t="shared" si="40"/>
        <v/>
      </c>
      <c r="DE92" s="3025" t="str">
        <f t="shared" si="41"/>
        <v>-</v>
      </c>
      <c r="DF92" s="3024" t="str">
        <f t="shared" si="32"/>
        <v>-</v>
      </c>
      <c r="DG92" s="2098">
        <f t="shared" si="42"/>
        <v>0</v>
      </c>
      <c r="DH92" s="2098">
        <f t="array" ref="DH92">MIN(SUMPRODUCT(I92:CR92,IF($I$25:$CR$25="yes",1,0),$I$23:$CR$23),H92)</f>
        <v>0</v>
      </c>
      <c r="DI92" s="3026"/>
      <c r="DJ92" s="3021"/>
      <c r="DN92" s="917" t="str">
        <f>IF(CS92="","-",SUMIF('Lighting Assumptions'!$G$3:$G$112,'6a - Lighting Counts'!G92,'Lighting Assumptions'!$J$3:$J$112))</f>
        <v>-</v>
      </c>
      <c r="DO92" s="917" t="str">
        <f t="shared" si="33"/>
        <v>-</v>
      </c>
      <c r="DP92" s="917" t="str">
        <f t="shared" si="34"/>
        <v>-</v>
      </c>
      <c r="DQ92" s="917" t="str">
        <f>IF(LEFT(CELLformula(DF92),3)&lt;&gt;"=IF",1,"")</f>
        <v/>
      </c>
      <c r="DR92" s="917" t="str">
        <f>IF(LEFT(CELLformula(DD92),3)&lt;&gt;"=IF",1,"")</f>
        <v/>
      </c>
      <c r="DS92" s="3048">
        <f t="shared" si="43"/>
        <v>0</v>
      </c>
      <c r="DT92" s="3047" t="str">
        <f t="shared" si="44"/>
        <v/>
      </c>
      <c r="DU92" s="3047" t="str">
        <f>IFERROR(IF(G92="","",SUMIF('Lighting Assumptions'!$G$3:$G$112,'6a - Lighting Counts'!G92,'Lighting Assumptions'!$H$3:$H$112)*IF(SI_IP_Units="SI",10.76,1)),"")</f>
        <v/>
      </c>
      <c r="DV92" s="3047" t="str">
        <f>IFERROR(IF($CX92="","",IF(SI_IP_Units="SI",10.76,1)*SUMIF(BAMCategories,$CY92,'Lighting Assumptions'!$E$3:E$35)),"")</f>
        <v/>
      </c>
      <c r="DW92" s="3047" t="str">
        <f>IFERROR(IF($CX92="","",IF(SI_IP_Units="SI",10.76,1)*SUMIF(BAMCategories,$CY92,IF(bpf_reference="ACP",'Lighting Assumptions 90.1-2010'!$E$3:E$35,'Lighting Assumptions 90.1-2016'!$E$3:E$35))),"")</f>
        <v/>
      </c>
      <c r="EW92" s="855"/>
      <c r="EX92" s="855"/>
      <c r="EY92" s="855"/>
      <c r="EZ92" s="855"/>
    </row>
    <row r="93" spans="4:156" x14ac:dyDescent="0.25">
      <c r="D93" s="3019"/>
      <c r="E93" s="3020"/>
      <c r="F93" s="3021">
        <f t="shared" ref="F93:F156" si="46">IF(ISBLANK(D93)=FALSE,1,0)</f>
        <v>0</v>
      </c>
      <c r="G93" s="3059"/>
      <c r="H93" s="3060"/>
      <c r="I93" s="3061"/>
      <c r="J93" s="3061"/>
      <c r="K93" s="3061"/>
      <c r="L93" s="3061"/>
      <c r="M93" s="3061"/>
      <c r="N93" s="3061"/>
      <c r="O93" s="3061"/>
      <c r="P93" s="3061"/>
      <c r="Q93" s="3061"/>
      <c r="R93" s="3061"/>
      <c r="S93" s="3061"/>
      <c r="T93" s="3061"/>
      <c r="U93" s="3061"/>
      <c r="V93" s="3061"/>
      <c r="W93" s="3061"/>
      <c r="X93" s="3061"/>
      <c r="Y93" s="3061"/>
      <c r="Z93" s="3061"/>
      <c r="AA93" s="3061"/>
      <c r="AB93" s="3061"/>
      <c r="AC93" s="3061"/>
      <c r="AD93" s="3061"/>
      <c r="AE93" s="3061"/>
      <c r="AF93" s="3061"/>
      <c r="AG93" s="3061"/>
      <c r="AH93" s="3061"/>
      <c r="AI93" s="3061"/>
      <c r="AJ93" s="3061"/>
      <c r="AK93" s="3061"/>
      <c r="AL93" s="3061"/>
      <c r="AM93" s="3061"/>
      <c r="AN93" s="3061"/>
      <c r="AO93" s="3061"/>
      <c r="AP93" s="3061"/>
      <c r="AQ93" s="3061"/>
      <c r="AR93" s="3061"/>
      <c r="AS93" s="3061"/>
      <c r="AT93" s="3061"/>
      <c r="AU93" s="3061"/>
      <c r="AV93" s="3061"/>
      <c r="AW93" s="3061"/>
      <c r="AX93" s="3061"/>
      <c r="AY93" s="3061"/>
      <c r="AZ93" s="3061"/>
      <c r="BA93" s="3061"/>
      <c r="BB93" s="3061"/>
      <c r="BC93" s="3061"/>
      <c r="BD93" s="3061"/>
      <c r="BE93" s="3061"/>
      <c r="BF93" s="3061"/>
      <c r="BG93" s="3061"/>
      <c r="BH93" s="3061"/>
      <c r="BI93" s="3061"/>
      <c r="BJ93" s="3061"/>
      <c r="BK93" s="3061"/>
      <c r="BL93" s="3061"/>
      <c r="BM93" s="3061"/>
      <c r="BN93" s="3061"/>
      <c r="BO93" s="3061"/>
      <c r="BP93" s="3061"/>
      <c r="BQ93" s="3061"/>
      <c r="BR93" s="3061"/>
      <c r="BS93" s="3061"/>
      <c r="BT93" s="3061"/>
      <c r="BU93" s="3061"/>
      <c r="BV93" s="3061"/>
      <c r="BW93" s="3061"/>
      <c r="BX93" s="3061"/>
      <c r="BY93" s="3061"/>
      <c r="BZ93" s="3061"/>
      <c r="CA93" s="3061"/>
      <c r="CB93" s="3061"/>
      <c r="CC93" s="3061"/>
      <c r="CD93" s="3061"/>
      <c r="CE93" s="3061"/>
      <c r="CF93" s="3061"/>
      <c r="CG93" s="3061"/>
      <c r="CH93" s="3061"/>
      <c r="CI93" s="3061"/>
      <c r="CJ93" s="3061"/>
      <c r="CK93" s="3061"/>
      <c r="CL93" s="3061"/>
      <c r="CM93" s="3061"/>
      <c r="CN93" s="3061"/>
      <c r="CO93" s="3061"/>
      <c r="CP93" s="3061"/>
      <c r="CQ93" s="3061"/>
      <c r="CR93" s="3061"/>
      <c r="CS93" s="3062"/>
      <c r="CT93" s="3063"/>
      <c r="CU93" s="3064">
        <f t="shared" si="35"/>
        <v>1</v>
      </c>
      <c r="CV93" s="3022" t="str">
        <f>IF(OR(CT93="",CT93="None"),"-",DO93*CU93*SUMIF('Lighting Assumptions'!$G$3:$G$112,'6a - Lighting Counts'!G93,'Lighting Assumptions'!$J$3:$J$112))</f>
        <v>-</v>
      </c>
      <c r="CW93" s="3021"/>
      <c r="CX93" s="3021"/>
      <c r="CY93" s="3046"/>
      <c r="CZ93" s="2098">
        <f t="shared" si="36"/>
        <v>0</v>
      </c>
      <c r="DA93" s="2098" t="str">
        <f t="shared" si="37"/>
        <v>-</v>
      </c>
      <c r="DB93" s="2098">
        <f t="shared" si="38"/>
        <v>0</v>
      </c>
      <c r="DC93" s="3023" t="str">
        <f t="shared" si="39"/>
        <v>-</v>
      </c>
      <c r="DD93" s="3024" t="str">
        <f t="shared" si="40"/>
        <v/>
      </c>
      <c r="DE93" s="3025" t="str">
        <f t="shared" si="41"/>
        <v>-</v>
      </c>
      <c r="DF93" s="3024" t="str">
        <f t="shared" ref="DF93:DF156" si="47">IF(ISBLANK(H93)=FALSE,(CZ93-IF(ISNUMBER(CV93)=TRUE,CV93,0)*CS93)/H93,"-")</f>
        <v>-</v>
      </c>
      <c r="DG93" s="2098">
        <f t="shared" si="42"/>
        <v>0</v>
      </c>
      <c r="DH93" s="2098">
        <f t="array" ref="DH93">MIN(SUMPRODUCT(I93:CR93,IF($I$25:$CR$25="yes",1,0),$I$23:$CR$23),H93)</f>
        <v>0</v>
      </c>
      <c r="DI93" s="3026"/>
      <c r="DJ93" s="3021"/>
      <c r="DN93" s="917" t="str">
        <f>IF(CS93="","-",SUMIF('Lighting Assumptions'!$G$3:$G$112,'6a - Lighting Counts'!G93,'Lighting Assumptions'!$J$3:$J$112))</f>
        <v>-</v>
      </c>
      <c r="DO93" s="917" t="str">
        <f t="shared" ref="DO93:DO156" si="48">IF(CT93="","-",IF(CT93="Other",1,1.25))</f>
        <v>-</v>
      </c>
      <c r="DP93" s="917" t="str">
        <f t="shared" ref="DP93:DP156" si="49">IF(DO93="-","-",DO93*CV93)</f>
        <v>-</v>
      </c>
      <c r="DQ93" s="917" t="str">
        <f>IF(LEFT(CELLformula(DF93),3)&lt;&gt;"=IF",1,"")</f>
        <v/>
      </c>
      <c r="DR93" s="917" t="str">
        <f>IF(LEFT(CELLformula(DD93),3)&lt;&gt;"=IF",1,"")</f>
        <v/>
      </c>
      <c r="DS93" s="3048">
        <f t="shared" si="43"/>
        <v>0</v>
      </c>
      <c r="DT93" s="3047" t="str">
        <f t="shared" si="44"/>
        <v/>
      </c>
      <c r="DU93" s="3047" t="str">
        <f>IFERROR(IF(G93="","",SUMIF('Lighting Assumptions'!$G$3:$G$112,'6a - Lighting Counts'!G93,'Lighting Assumptions'!$H$3:$H$112)*IF(SI_IP_Units="SI",10.76,1)),"")</f>
        <v/>
      </c>
      <c r="DV93" s="3047" t="str">
        <f>IFERROR(IF($CX93="","",IF(SI_IP_Units="SI",10.76,1)*SUMIF(BAMCategories,$CY93,'Lighting Assumptions'!$E$3:E$35)),"")</f>
        <v/>
      </c>
      <c r="DW93" s="3047" t="str">
        <f>IFERROR(IF($CX93="","",IF(SI_IP_Units="SI",10.76,1)*SUMIF(BAMCategories,$CY93,IF(bpf_reference="ACP",'Lighting Assumptions 90.1-2010'!$E$3:E$35,'Lighting Assumptions 90.1-2016'!$E$3:E$35))),"")</f>
        <v/>
      </c>
      <c r="EW93" s="855"/>
      <c r="EX93" s="855"/>
      <c r="EY93" s="855"/>
      <c r="EZ93" s="855"/>
    </row>
    <row r="94" spans="4:156" x14ac:dyDescent="0.25">
      <c r="D94" s="3019"/>
      <c r="E94" s="3020"/>
      <c r="F94" s="3021">
        <f t="shared" si="46"/>
        <v>0</v>
      </c>
      <c r="G94" s="3059"/>
      <c r="H94" s="3060"/>
      <c r="I94" s="3061"/>
      <c r="J94" s="3061"/>
      <c r="K94" s="3061"/>
      <c r="L94" s="3061"/>
      <c r="M94" s="3061"/>
      <c r="N94" s="3061"/>
      <c r="O94" s="3061"/>
      <c r="P94" s="3061"/>
      <c r="Q94" s="3061"/>
      <c r="R94" s="3061"/>
      <c r="S94" s="3061"/>
      <c r="T94" s="3061"/>
      <c r="U94" s="3061"/>
      <c r="V94" s="3061"/>
      <c r="W94" s="3061"/>
      <c r="X94" s="3061"/>
      <c r="Y94" s="3061"/>
      <c r="Z94" s="3061"/>
      <c r="AA94" s="3061"/>
      <c r="AB94" s="3061"/>
      <c r="AC94" s="3061"/>
      <c r="AD94" s="3061"/>
      <c r="AE94" s="3061"/>
      <c r="AF94" s="3061"/>
      <c r="AG94" s="3061"/>
      <c r="AH94" s="3061"/>
      <c r="AI94" s="3061"/>
      <c r="AJ94" s="3061"/>
      <c r="AK94" s="3061"/>
      <c r="AL94" s="3061"/>
      <c r="AM94" s="3061"/>
      <c r="AN94" s="3061"/>
      <c r="AO94" s="3061"/>
      <c r="AP94" s="3061"/>
      <c r="AQ94" s="3061"/>
      <c r="AR94" s="3061"/>
      <c r="AS94" s="3061"/>
      <c r="AT94" s="3061"/>
      <c r="AU94" s="3061"/>
      <c r="AV94" s="3061"/>
      <c r="AW94" s="3061"/>
      <c r="AX94" s="3061"/>
      <c r="AY94" s="3061"/>
      <c r="AZ94" s="3061"/>
      <c r="BA94" s="3061"/>
      <c r="BB94" s="3061"/>
      <c r="BC94" s="3061"/>
      <c r="BD94" s="3061"/>
      <c r="BE94" s="3061"/>
      <c r="BF94" s="3061"/>
      <c r="BG94" s="3061"/>
      <c r="BH94" s="3061"/>
      <c r="BI94" s="3061"/>
      <c r="BJ94" s="3061"/>
      <c r="BK94" s="3061"/>
      <c r="BL94" s="3061"/>
      <c r="BM94" s="3061"/>
      <c r="BN94" s="3061"/>
      <c r="BO94" s="3061"/>
      <c r="BP94" s="3061"/>
      <c r="BQ94" s="3061"/>
      <c r="BR94" s="3061"/>
      <c r="BS94" s="3061"/>
      <c r="BT94" s="3061"/>
      <c r="BU94" s="3061"/>
      <c r="BV94" s="3061"/>
      <c r="BW94" s="3061"/>
      <c r="BX94" s="3061"/>
      <c r="BY94" s="3061"/>
      <c r="BZ94" s="3061"/>
      <c r="CA94" s="3061"/>
      <c r="CB94" s="3061"/>
      <c r="CC94" s="3061"/>
      <c r="CD94" s="3061"/>
      <c r="CE94" s="3061"/>
      <c r="CF94" s="3061"/>
      <c r="CG94" s="3061"/>
      <c r="CH94" s="3061"/>
      <c r="CI94" s="3061"/>
      <c r="CJ94" s="3061"/>
      <c r="CK94" s="3061"/>
      <c r="CL94" s="3061"/>
      <c r="CM94" s="3061"/>
      <c r="CN94" s="3061"/>
      <c r="CO94" s="3061"/>
      <c r="CP94" s="3061"/>
      <c r="CQ94" s="3061"/>
      <c r="CR94" s="3061"/>
      <c r="CS94" s="3062"/>
      <c r="CT94" s="3063"/>
      <c r="CU94" s="3064">
        <f t="shared" ref="CU94:CU157" si="50">IF(OR(CT94="Manual-On Individual Workstation",CT94="Partial-Auto-On Individual Workstation",CT94="Other Individual Workstation"),1.3,1)</f>
        <v>1</v>
      </c>
      <c r="CV94" s="3022" t="str">
        <f>IF(OR(CT94="",CT94="None"),"-",DO94*CU94*SUMIF('Lighting Assumptions'!$G$3:$G$112,'6a - Lighting Counts'!G94,'Lighting Assumptions'!$J$3:$J$112))</f>
        <v>-</v>
      </c>
      <c r="CW94" s="3021"/>
      <c r="CX94" s="3021"/>
      <c r="CY94" s="3046"/>
      <c r="CZ94" s="2098">
        <f t="shared" ref="CZ94:CZ157" si="51">IFERROR(SUMPRODUCT(I94:CR94,$I$23:$CR$23),0)+IFERROR(DW94*CX94,0)</f>
        <v>0</v>
      </c>
      <c r="DA94" s="2098" t="str">
        <f t="shared" ref="DA94:DA157" si="52">IF(DD94="","-",IF(H94="",0,DD94*H94))</f>
        <v>-</v>
      </c>
      <c r="DB94" s="2098">
        <f t="shared" ref="DB94:DB157" si="53">SUMPRODUCT(I94:CR94,$I$24:$CR$24)</f>
        <v>0</v>
      </c>
      <c r="DC94" s="3023" t="str">
        <f t="shared" ref="DC94:DC157" si="54">IF(ISBLANK(H94)=FALSE,CZ94/H94,"-")</f>
        <v>-</v>
      </c>
      <c r="DD94" s="3024" t="str">
        <f t="shared" ref="DD94:DD157" si="55">IFERROR(DS94/H94,"")</f>
        <v/>
      </c>
      <c r="DE94" s="3025" t="str">
        <f t="shared" ref="DE94:DE157" si="56">IF(ISBLANK(H94)=FALSE,DB94/H94,"-")</f>
        <v>-</v>
      </c>
      <c r="DF94" s="3024" t="str">
        <f t="shared" si="47"/>
        <v>-</v>
      </c>
      <c r="DG94" s="2098">
        <f t="shared" ref="DG94:DG157" si="57">IFERROR(DF94*H94,0)</f>
        <v>0</v>
      </c>
      <c r="DH94" s="2098">
        <f t="array" ref="DH94">MIN(SUMPRODUCT(I94:CR94,IF($I$25:$CR$25="yes",1,0),$I$23:$CR$23),H94)</f>
        <v>0</v>
      </c>
      <c r="DI94" s="3026"/>
      <c r="DJ94" s="3021"/>
      <c r="DN94" s="917" t="str">
        <f>IF(CS94="","-",SUMIF('Lighting Assumptions'!$G$3:$G$112,'6a - Lighting Counts'!G94,'Lighting Assumptions'!$J$3:$J$112))</f>
        <v>-</v>
      </c>
      <c r="DO94" s="917" t="str">
        <f t="shared" si="48"/>
        <v>-</v>
      </c>
      <c r="DP94" s="917" t="str">
        <f t="shared" si="49"/>
        <v>-</v>
      </c>
      <c r="DQ94" s="917" t="str">
        <f>IF(LEFT(CELLformula(DF94),3)&lt;&gt;"=IF",1,"")</f>
        <v/>
      </c>
      <c r="DR94" s="917" t="str">
        <f>IF(LEFT(CELLformula(DD94),3)&lt;&gt;"=IF",1,"")</f>
        <v/>
      </c>
      <c r="DS94" s="3048">
        <f t="shared" ref="DS94:DS157" si="58">IFERROR(DU94*MAX(H94-CX94,0),0)+(IFERROR(DV94*MAX(0,CX94),0))</f>
        <v>0</v>
      </c>
      <c r="DT94" s="3047" t="str">
        <f t="shared" ref="DT94:DT157" si="59">IFERROR(DS94/H94,"")</f>
        <v/>
      </c>
      <c r="DU94" s="3047" t="str">
        <f>IFERROR(IF(G94="","",SUMIF('Lighting Assumptions'!$G$3:$G$112,'6a - Lighting Counts'!G94,'Lighting Assumptions'!$H$3:$H$112)*IF(SI_IP_Units="SI",10.76,1)),"")</f>
        <v/>
      </c>
      <c r="DV94" s="3047" t="str">
        <f>IFERROR(IF($CX94="","",IF(SI_IP_Units="SI",10.76,1)*SUMIF(BAMCategories,$CY94,'Lighting Assumptions'!$E$3:E$35)),"")</f>
        <v/>
      </c>
      <c r="DW94" s="3047" t="str">
        <f>IFERROR(IF($CX94="","",IF(SI_IP_Units="SI",10.76,1)*SUMIF(BAMCategories,$CY94,IF(bpf_reference="ACP",'Lighting Assumptions 90.1-2010'!$E$3:E$35,'Lighting Assumptions 90.1-2016'!$E$3:E$35))),"")</f>
        <v/>
      </c>
      <c r="EW94" s="855"/>
      <c r="EX94" s="855"/>
      <c r="EY94" s="855"/>
      <c r="EZ94" s="855"/>
    </row>
    <row r="95" spans="4:156" x14ac:dyDescent="0.25">
      <c r="D95" s="3019"/>
      <c r="E95" s="3020"/>
      <c r="F95" s="3021">
        <f t="shared" si="46"/>
        <v>0</v>
      </c>
      <c r="G95" s="3059"/>
      <c r="H95" s="3060"/>
      <c r="I95" s="3061"/>
      <c r="J95" s="3061"/>
      <c r="K95" s="3061"/>
      <c r="L95" s="3061"/>
      <c r="M95" s="3061"/>
      <c r="N95" s="3061"/>
      <c r="O95" s="3061"/>
      <c r="P95" s="3061"/>
      <c r="Q95" s="3061"/>
      <c r="R95" s="3061"/>
      <c r="S95" s="3061"/>
      <c r="T95" s="3061"/>
      <c r="U95" s="3061"/>
      <c r="V95" s="3061"/>
      <c r="W95" s="3061"/>
      <c r="X95" s="3061"/>
      <c r="Y95" s="3061"/>
      <c r="Z95" s="3061"/>
      <c r="AA95" s="3061"/>
      <c r="AB95" s="3061"/>
      <c r="AC95" s="3061"/>
      <c r="AD95" s="3061"/>
      <c r="AE95" s="3061"/>
      <c r="AF95" s="3061"/>
      <c r="AG95" s="3061"/>
      <c r="AH95" s="3061"/>
      <c r="AI95" s="3061"/>
      <c r="AJ95" s="3061"/>
      <c r="AK95" s="3061"/>
      <c r="AL95" s="3061"/>
      <c r="AM95" s="3061"/>
      <c r="AN95" s="3061"/>
      <c r="AO95" s="3061"/>
      <c r="AP95" s="3061"/>
      <c r="AQ95" s="3061"/>
      <c r="AR95" s="3061"/>
      <c r="AS95" s="3061"/>
      <c r="AT95" s="3061"/>
      <c r="AU95" s="3061"/>
      <c r="AV95" s="3061"/>
      <c r="AW95" s="3061"/>
      <c r="AX95" s="3061"/>
      <c r="AY95" s="3061"/>
      <c r="AZ95" s="3061"/>
      <c r="BA95" s="3061"/>
      <c r="BB95" s="3061"/>
      <c r="BC95" s="3061"/>
      <c r="BD95" s="3061"/>
      <c r="BE95" s="3061"/>
      <c r="BF95" s="3061"/>
      <c r="BG95" s="3061"/>
      <c r="BH95" s="3061"/>
      <c r="BI95" s="3061"/>
      <c r="BJ95" s="3061"/>
      <c r="BK95" s="3061"/>
      <c r="BL95" s="3061"/>
      <c r="BM95" s="3061"/>
      <c r="BN95" s="3061"/>
      <c r="BO95" s="3061"/>
      <c r="BP95" s="3061"/>
      <c r="BQ95" s="3061"/>
      <c r="BR95" s="3061"/>
      <c r="BS95" s="3061"/>
      <c r="BT95" s="3061"/>
      <c r="BU95" s="3061"/>
      <c r="BV95" s="3061"/>
      <c r="BW95" s="3061"/>
      <c r="BX95" s="3061"/>
      <c r="BY95" s="3061"/>
      <c r="BZ95" s="3061"/>
      <c r="CA95" s="3061"/>
      <c r="CB95" s="3061"/>
      <c r="CC95" s="3061"/>
      <c r="CD95" s="3061"/>
      <c r="CE95" s="3061"/>
      <c r="CF95" s="3061"/>
      <c r="CG95" s="3061"/>
      <c r="CH95" s="3061"/>
      <c r="CI95" s="3061"/>
      <c r="CJ95" s="3061"/>
      <c r="CK95" s="3061"/>
      <c r="CL95" s="3061"/>
      <c r="CM95" s="3061"/>
      <c r="CN95" s="3061"/>
      <c r="CO95" s="3061"/>
      <c r="CP95" s="3061"/>
      <c r="CQ95" s="3061"/>
      <c r="CR95" s="3061"/>
      <c r="CS95" s="3062"/>
      <c r="CT95" s="3063"/>
      <c r="CU95" s="3064">
        <f t="shared" si="50"/>
        <v>1</v>
      </c>
      <c r="CV95" s="3022" t="str">
        <f>IF(OR(CT95="",CT95="None"),"-",DO95*CU95*SUMIF('Lighting Assumptions'!$G$3:$G$112,'6a - Lighting Counts'!G95,'Lighting Assumptions'!$J$3:$J$112))</f>
        <v>-</v>
      </c>
      <c r="CW95" s="3021"/>
      <c r="CX95" s="3021"/>
      <c r="CY95" s="3046"/>
      <c r="CZ95" s="2098">
        <f t="shared" si="51"/>
        <v>0</v>
      </c>
      <c r="DA95" s="2098" t="str">
        <f t="shared" si="52"/>
        <v>-</v>
      </c>
      <c r="DB95" s="2098">
        <f t="shared" si="53"/>
        <v>0</v>
      </c>
      <c r="DC95" s="3023" t="str">
        <f t="shared" si="54"/>
        <v>-</v>
      </c>
      <c r="DD95" s="3024" t="str">
        <f t="shared" si="55"/>
        <v/>
      </c>
      <c r="DE95" s="3025" t="str">
        <f t="shared" si="56"/>
        <v>-</v>
      </c>
      <c r="DF95" s="3024" t="str">
        <f t="shared" si="47"/>
        <v>-</v>
      </c>
      <c r="DG95" s="2098">
        <f t="shared" si="57"/>
        <v>0</v>
      </c>
      <c r="DH95" s="2098">
        <f t="array" ref="DH95">MIN(SUMPRODUCT(I95:CR95,IF($I$25:$CR$25="yes",1,0),$I$23:$CR$23),H95)</f>
        <v>0</v>
      </c>
      <c r="DI95" s="3026"/>
      <c r="DJ95" s="3021"/>
      <c r="DN95" s="917" t="str">
        <f>IF(CS95="","-",SUMIF('Lighting Assumptions'!$G$3:$G$112,'6a - Lighting Counts'!G95,'Lighting Assumptions'!$J$3:$J$112))</f>
        <v>-</v>
      </c>
      <c r="DO95" s="917" t="str">
        <f t="shared" si="48"/>
        <v>-</v>
      </c>
      <c r="DP95" s="917" t="str">
        <f t="shared" si="49"/>
        <v>-</v>
      </c>
      <c r="DQ95" s="917" t="str">
        <f>IF(LEFT(CELLformula(DF95),3)&lt;&gt;"=IF",1,"")</f>
        <v/>
      </c>
      <c r="DR95" s="917" t="str">
        <f>IF(LEFT(CELLformula(DD95),3)&lt;&gt;"=IF",1,"")</f>
        <v/>
      </c>
      <c r="DS95" s="3048">
        <f t="shared" si="58"/>
        <v>0</v>
      </c>
      <c r="DT95" s="3047" t="str">
        <f t="shared" si="59"/>
        <v/>
      </c>
      <c r="DU95" s="3047" t="str">
        <f>IFERROR(IF(G95="","",SUMIF('Lighting Assumptions'!$G$3:$G$112,'6a - Lighting Counts'!G95,'Lighting Assumptions'!$H$3:$H$112)*IF(SI_IP_Units="SI",10.76,1)),"")</f>
        <v/>
      </c>
      <c r="DV95" s="3047" t="str">
        <f>IFERROR(IF($CX95="","",IF(SI_IP_Units="SI",10.76,1)*SUMIF(BAMCategories,$CY95,'Lighting Assumptions'!$E$3:E$35)),"")</f>
        <v/>
      </c>
      <c r="DW95" s="3047" t="str">
        <f>IFERROR(IF($CX95="","",IF(SI_IP_Units="SI",10.76,1)*SUMIF(BAMCategories,$CY95,IF(bpf_reference="ACP",'Lighting Assumptions 90.1-2010'!$E$3:E$35,'Lighting Assumptions 90.1-2016'!$E$3:E$35))),"")</f>
        <v/>
      </c>
      <c r="EW95" s="855"/>
      <c r="EX95" s="855"/>
      <c r="EY95" s="855"/>
      <c r="EZ95" s="855"/>
    </row>
    <row r="96" spans="4:156" x14ac:dyDescent="0.25">
      <c r="D96" s="3019"/>
      <c r="E96" s="3020"/>
      <c r="F96" s="3021">
        <f t="shared" si="46"/>
        <v>0</v>
      </c>
      <c r="G96" s="3059"/>
      <c r="H96" s="3060"/>
      <c r="I96" s="3061"/>
      <c r="J96" s="3061"/>
      <c r="K96" s="3061"/>
      <c r="L96" s="3061"/>
      <c r="M96" s="3061"/>
      <c r="N96" s="3061"/>
      <c r="O96" s="3061"/>
      <c r="P96" s="3061"/>
      <c r="Q96" s="3061"/>
      <c r="R96" s="3061"/>
      <c r="S96" s="3061"/>
      <c r="T96" s="3061"/>
      <c r="U96" s="3061"/>
      <c r="V96" s="3061"/>
      <c r="W96" s="3061"/>
      <c r="X96" s="3061"/>
      <c r="Y96" s="3061"/>
      <c r="Z96" s="3061"/>
      <c r="AA96" s="3061"/>
      <c r="AB96" s="3061"/>
      <c r="AC96" s="3061"/>
      <c r="AD96" s="3061"/>
      <c r="AE96" s="3061"/>
      <c r="AF96" s="3061"/>
      <c r="AG96" s="3061"/>
      <c r="AH96" s="3061"/>
      <c r="AI96" s="3061"/>
      <c r="AJ96" s="3061"/>
      <c r="AK96" s="3061"/>
      <c r="AL96" s="3061"/>
      <c r="AM96" s="3061"/>
      <c r="AN96" s="3061"/>
      <c r="AO96" s="3061"/>
      <c r="AP96" s="3061"/>
      <c r="AQ96" s="3061"/>
      <c r="AR96" s="3061"/>
      <c r="AS96" s="3061"/>
      <c r="AT96" s="3061"/>
      <c r="AU96" s="3061"/>
      <c r="AV96" s="3061"/>
      <c r="AW96" s="3061"/>
      <c r="AX96" s="3061"/>
      <c r="AY96" s="3061"/>
      <c r="AZ96" s="3061"/>
      <c r="BA96" s="3061"/>
      <c r="BB96" s="3061"/>
      <c r="BC96" s="3061"/>
      <c r="BD96" s="3061"/>
      <c r="BE96" s="3061"/>
      <c r="BF96" s="3061"/>
      <c r="BG96" s="3061"/>
      <c r="BH96" s="3061"/>
      <c r="BI96" s="3061"/>
      <c r="BJ96" s="3061"/>
      <c r="BK96" s="3061"/>
      <c r="BL96" s="3061"/>
      <c r="BM96" s="3061"/>
      <c r="BN96" s="3061"/>
      <c r="BO96" s="3061"/>
      <c r="BP96" s="3061"/>
      <c r="BQ96" s="3061"/>
      <c r="BR96" s="3061"/>
      <c r="BS96" s="3061"/>
      <c r="BT96" s="3061"/>
      <c r="BU96" s="3061"/>
      <c r="BV96" s="3061"/>
      <c r="BW96" s="3061"/>
      <c r="BX96" s="3061"/>
      <c r="BY96" s="3061"/>
      <c r="BZ96" s="3061"/>
      <c r="CA96" s="3061"/>
      <c r="CB96" s="3061"/>
      <c r="CC96" s="3061"/>
      <c r="CD96" s="3061"/>
      <c r="CE96" s="3061"/>
      <c r="CF96" s="3061"/>
      <c r="CG96" s="3061"/>
      <c r="CH96" s="3061"/>
      <c r="CI96" s="3061"/>
      <c r="CJ96" s="3061"/>
      <c r="CK96" s="3061"/>
      <c r="CL96" s="3061"/>
      <c r="CM96" s="3061"/>
      <c r="CN96" s="3061"/>
      <c r="CO96" s="3061"/>
      <c r="CP96" s="3061"/>
      <c r="CQ96" s="3061"/>
      <c r="CR96" s="3061"/>
      <c r="CS96" s="3062"/>
      <c r="CT96" s="3063"/>
      <c r="CU96" s="3064">
        <f t="shared" si="50"/>
        <v>1</v>
      </c>
      <c r="CV96" s="3022" t="str">
        <f>IF(OR(CT96="",CT96="None"),"-",DO96*CU96*SUMIF('Lighting Assumptions'!$G$3:$G$112,'6a - Lighting Counts'!G96,'Lighting Assumptions'!$J$3:$J$112))</f>
        <v>-</v>
      </c>
      <c r="CW96" s="3021"/>
      <c r="CX96" s="3021"/>
      <c r="CY96" s="3046"/>
      <c r="CZ96" s="2098">
        <f t="shared" si="51"/>
        <v>0</v>
      </c>
      <c r="DA96" s="2098" t="str">
        <f t="shared" si="52"/>
        <v>-</v>
      </c>
      <c r="DB96" s="2098">
        <f t="shared" si="53"/>
        <v>0</v>
      </c>
      <c r="DC96" s="3023" t="str">
        <f t="shared" si="54"/>
        <v>-</v>
      </c>
      <c r="DD96" s="3024" t="str">
        <f t="shared" si="55"/>
        <v/>
      </c>
      <c r="DE96" s="3025" t="str">
        <f t="shared" si="56"/>
        <v>-</v>
      </c>
      <c r="DF96" s="3024" t="str">
        <f t="shared" si="47"/>
        <v>-</v>
      </c>
      <c r="DG96" s="2098">
        <f t="shared" si="57"/>
        <v>0</v>
      </c>
      <c r="DH96" s="2098">
        <f t="array" ref="DH96">MIN(SUMPRODUCT(I96:CR96,IF($I$25:$CR$25="yes",1,0),$I$23:$CR$23),H96)</f>
        <v>0</v>
      </c>
      <c r="DI96" s="3026"/>
      <c r="DJ96" s="3021"/>
      <c r="DN96" s="917" t="str">
        <f>IF(CS96="","-",SUMIF('Lighting Assumptions'!$G$3:$G$112,'6a - Lighting Counts'!G96,'Lighting Assumptions'!$J$3:$J$112))</f>
        <v>-</v>
      </c>
      <c r="DO96" s="917" t="str">
        <f t="shared" si="48"/>
        <v>-</v>
      </c>
      <c r="DP96" s="917" t="str">
        <f t="shared" si="49"/>
        <v>-</v>
      </c>
      <c r="DQ96" s="917" t="str">
        <f>IF(LEFT(CELLformula(DF96),3)&lt;&gt;"=IF",1,"")</f>
        <v/>
      </c>
      <c r="DR96" s="917" t="str">
        <f>IF(LEFT(CELLformula(DD96),3)&lt;&gt;"=IF",1,"")</f>
        <v/>
      </c>
      <c r="DS96" s="3048">
        <f t="shared" si="58"/>
        <v>0</v>
      </c>
      <c r="DT96" s="3047" t="str">
        <f t="shared" si="59"/>
        <v/>
      </c>
      <c r="DU96" s="3047" t="str">
        <f>IFERROR(IF(G96="","",SUMIF('Lighting Assumptions'!$G$3:$G$112,'6a - Lighting Counts'!G96,'Lighting Assumptions'!$H$3:$H$112)*IF(SI_IP_Units="SI",10.76,1)),"")</f>
        <v/>
      </c>
      <c r="DV96" s="3047" t="str">
        <f>IFERROR(IF($CX96="","",IF(SI_IP_Units="SI",10.76,1)*SUMIF(BAMCategories,$CY96,'Lighting Assumptions'!$E$3:E$35)),"")</f>
        <v/>
      </c>
      <c r="DW96" s="3047" t="str">
        <f>IFERROR(IF($CX96="","",IF(SI_IP_Units="SI",10.76,1)*SUMIF(BAMCategories,$CY96,IF(bpf_reference="ACP",'Lighting Assumptions 90.1-2010'!$E$3:E$35,'Lighting Assumptions 90.1-2016'!$E$3:E$35))),"")</f>
        <v/>
      </c>
      <c r="EW96" s="855"/>
      <c r="EX96" s="855"/>
      <c r="EY96" s="855"/>
      <c r="EZ96" s="855"/>
    </row>
    <row r="97" spans="4:156" x14ac:dyDescent="0.25">
      <c r="D97" s="3019"/>
      <c r="E97" s="3020"/>
      <c r="F97" s="3021">
        <f t="shared" si="46"/>
        <v>0</v>
      </c>
      <c r="G97" s="3059"/>
      <c r="H97" s="3060"/>
      <c r="I97" s="3061"/>
      <c r="J97" s="3061"/>
      <c r="K97" s="3061"/>
      <c r="L97" s="3061"/>
      <c r="M97" s="3061"/>
      <c r="N97" s="3061"/>
      <c r="O97" s="3061"/>
      <c r="P97" s="3061"/>
      <c r="Q97" s="3061"/>
      <c r="R97" s="3061"/>
      <c r="S97" s="3061"/>
      <c r="T97" s="3061"/>
      <c r="U97" s="3061"/>
      <c r="V97" s="3061"/>
      <c r="W97" s="3061"/>
      <c r="X97" s="3061"/>
      <c r="Y97" s="3061"/>
      <c r="Z97" s="3061"/>
      <c r="AA97" s="3061"/>
      <c r="AB97" s="3061"/>
      <c r="AC97" s="3061"/>
      <c r="AD97" s="3061"/>
      <c r="AE97" s="3061"/>
      <c r="AF97" s="3061"/>
      <c r="AG97" s="3061"/>
      <c r="AH97" s="3061"/>
      <c r="AI97" s="3061"/>
      <c r="AJ97" s="3061"/>
      <c r="AK97" s="3061"/>
      <c r="AL97" s="3061"/>
      <c r="AM97" s="3061"/>
      <c r="AN97" s="3061"/>
      <c r="AO97" s="3061"/>
      <c r="AP97" s="3061"/>
      <c r="AQ97" s="3061"/>
      <c r="AR97" s="3061"/>
      <c r="AS97" s="3061"/>
      <c r="AT97" s="3061"/>
      <c r="AU97" s="3061"/>
      <c r="AV97" s="3061"/>
      <c r="AW97" s="3061"/>
      <c r="AX97" s="3061"/>
      <c r="AY97" s="3061"/>
      <c r="AZ97" s="3061"/>
      <c r="BA97" s="3061"/>
      <c r="BB97" s="3061"/>
      <c r="BC97" s="3061"/>
      <c r="BD97" s="3061"/>
      <c r="BE97" s="3061"/>
      <c r="BF97" s="3061"/>
      <c r="BG97" s="3061"/>
      <c r="BH97" s="3061"/>
      <c r="BI97" s="3061"/>
      <c r="BJ97" s="3061"/>
      <c r="BK97" s="3061"/>
      <c r="BL97" s="3061"/>
      <c r="BM97" s="3061"/>
      <c r="BN97" s="3061"/>
      <c r="BO97" s="3061"/>
      <c r="BP97" s="3061"/>
      <c r="BQ97" s="3061"/>
      <c r="BR97" s="3061"/>
      <c r="BS97" s="3061"/>
      <c r="BT97" s="3061"/>
      <c r="BU97" s="3061"/>
      <c r="BV97" s="3061"/>
      <c r="BW97" s="3061"/>
      <c r="BX97" s="3061"/>
      <c r="BY97" s="3061"/>
      <c r="BZ97" s="3061"/>
      <c r="CA97" s="3061"/>
      <c r="CB97" s="3061"/>
      <c r="CC97" s="3061"/>
      <c r="CD97" s="3061"/>
      <c r="CE97" s="3061"/>
      <c r="CF97" s="3061"/>
      <c r="CG97" s="3061"/>
      <c r="CH97" s="3061"/>
      <c r="CI97" s="3061"/>
      <c r="CJ97" s="3061"/>
      <c r="CK97" s="3061"/>
      <c r="CL97" s="3061"/>
      <c r="CM97" s="3061"/>
      <c r="CN97" s="3061"/>
      <c r="CO97" s="3061"/>
      <c r="CP97" s="3061"/>
      <c r="CQ97" s="3061"/>
      <c r="CR97" s="3061"/>
      <c r="CS97" s="3062"/>
      <c r="CT97" s="3063"/>
      <c r="CU97" s="3064">
        <f t="shared" si="50"/>
        <v>1</v>
      </c>
      <c r="CV97" s="3022" t="str">
        <f>IF(OR(CT97="",CT97="None"),"-",DO97*CU97*SUMIF('Lighting Assumptions'!$G$3:$G$112,'6a - Lighting Counts'!G97,'Lighting Assumptions'!$J$3:$J$112))</f>
        <v>-</v>
      </c>
      <c r="CW97" s="3021"/>
      <c r="CX97" s="3021"/>
      <c r="CY97" s="3046"/>
      <c r="CZ97" s="2098">
        <f t="shared" si="51"/>
        <v>0</v>
      </c>
      <c r="DA97" s="2098" t="str">
        <f t="shared" si="52"/>
        <v>-</v>
      </c>
      <c r="DB97" s="2098">
        <f t="shared" si="53"/>
        <v>0</v>
      </c>
      <c r="DC97" s="3023" t="str">
        <f t="shared" si="54"/>
        <v>-</v>
      </c>
      <c r="DD97" s="3024" t="str">
        <f t="shared" si="55"/>
        <v/>
      </c>
      <c r="DE97" s="3025" t="str">
        <f t="shared" si="56"/>
        <v>-</v>
      </c>
      <c r="DF97" s="3024" t="str">
        <f t="shared" si="47"/>
        <v>-</v>
      </c>
      <c r="DG97" s="2098">
        <f t="shared" si="57"/>
        <v>0</v>
      </c>
      <c r="DH97" s="2098">
        <f t="array" ref="DH97">MIN(SUMPRODUCT(I97:CR97,IF($I$25:$CR$25="yes",1,0),$I$23:$CR$23),H97)</f>
        <v>0</v>
      </c>
      <c r="DI97" s="3026"/>
      <c r="DJ97" s="3021"/>
      <c r="DN97" s="917" t="str">
        <f>IF(CS97="","-",SUMIF('Lighting Assumptions'!$G$3:$G$112,'6a - Lighting Counts'!G97,'Lighting Assumptions'!$J$3:$J$112))</f>
        <v>-</v>
      </c>
      <c r="DO97" s="917" t="str">
        <f t="shared" si="48"/>
        <v>-</v>
      </c>
      <c r="DP97" s="917" t="str">
        <f t="shared" si="49"/>
        <v>-</v>
      </c>
      <c r="DQ97" s="917" t="str">
        <f>IF(LEFT(CELLformula(DF97),3)&lt;&gt;"=IF",1,"")</f>
        <v/>
      </c>
      <c r="DR97" s="917" t="str">
        <f>IF(LEFT(CELLformula(DD97),3)&lt;&gt;"=IF",1,"")</f>
        <v/>
      </c>
      <c r="DS97" s="3048">
        <f t="shared" si="58"/>
        <v>0</v>
      </c>
      <c r="DT97" s="3047" t="str">
        <f t="shared" si="59"/>
        <v/>
      </c>
      <c r="DU97" s="3047" t="str">
        <f>IFERROR(IF(G97="","",SUMIF('Lighting Assumptions'!$G$3:$G$112,'6a - Lighting Counts'!G97,'Lighting Assumptions'!$H$3:$H$112)*IF(SI_IP_Units="SI",10.76,1)),"")</f>
        <v/>
      </c>
      <c r="DV97" s="3047" t="str">
        <f>IFERROR(IF($CX97="","",IF(SI_IP_Units="SI",10.76,1)*SUMIF(BAMCategories,$CY97,'Lighting Assumptions'!$E$3:E$35)),"")</f>
        <v/>
      </c>
      <c r="DW97" s="3047" t="str">
        <f>IFERROR(IF($CX97="","",IF(SI_IP_Units="SI",10.76,1)*SUMIF(BAMCategories,$CY97,IF(bpf_reference="ACP",'Lighting Assumptions 90.1-2010'!$E$3:E$35,'Lighting Assumptions 90.1-2016'!$E$3:E$35))),"")</f>
        <v/>
      </c>
      <c r="EW97" s="855"/>
      <c r="EX97" s="855"/>
      <c r="EY97" s="855"/>
      <c r="EZ97" s="855"/>
    </row>
    <row r="98" spans="4:156" x14ac:dyDescent="0.25">
      <c r="D98" s="3019"/>
      <c r="E98" s="3020"/>
      <c r="F98" s="3021">
        <f t="shared" si="46"/>
        <v>0</v>
      </c>
      <c r="G98" s="3059"/>
      <c r="H98" s="3060"/>
      <c r="I98" s="3061"/>
      <c r="J98" s="3061"/>
      <c r="K98" s="3061"/>
      <c r="L98" s="3061"/>
      <c r="M98" s="3061"/>
      <c r="N98" s="3061"/>
      <c r="O98" s="3061"/>
      <c r="P98" s="3061"/>
      <c r="Q98" s="3061"/>
      <c r="R98" s="3061"/>
      <c r="S98" s="3061"/>
      <c r="T98" s="3061"/>
      <c r="U98" s="3061"/>
      <c r="V98" s="3061"/>
      <c r="W98" s="3061"/>
      <c r="X98" s="3061"/>
      <c r="Y98" s="3061"/>
      <c r="Z98" s="3061"/>
      <c r="AA98" s="3061"/>
      <c r="AB98" s="3061"/>
      <c r="AC98" s="3061"/>
      <c r="AD98" s="3061"/>
      <c r="AE98" s="3061"/>
      <c r="AF98" s="3061"/>
      <c r="AG98" s="3061"/>
      <c r="AH98" s="3061"/>
      <c r="AI98" s="3061"/>
      <c r="AJ98" s="3061"/>
      <c r="AK98" s="3061"/>
      <c r="AL98" s="3061"/>
      <c r="AM98" s="3061"/>
      <c r="AN98" s="3061"/>
      <c r="AO98" s="3061"/>
      <c r="AP98" s="3061"/>
      <c r="AQ98" s="3061"/>
      <c r="AR98" s="3061"/>
      <c r="AS98" s="3061"/>
      <c r="AT98" s="3061"/>
      <c r="AU98" s="3061"/>
      <c r="AV98" s="3061"/>
      <c r="AW98" s="3061"/>
      <c r="AX98" s="3061"/>
      <c r="AY98" s="3061"/>
      <c r="AZ98" s="3061"/>
      <c r="BA98" s="3061"/>
      <c r="BB98" s="3061"/>
      <c r="BC98" s="3061"/>
      <c r="BD98" s="3061"/>
      <c r="BE98" s="3061"/>
      <c r="BF98" s="3061"/>
      <c r="BG98" s="3061"/>
      <c r="BH98" s="3061"/>
      <c r="BI98" s="3061"/>
      <c r="BJ98" s="3061"/>
      <c r="BK98" s="3061"/>
      <c r="BL98" s="3061"/>
      <c r="BM98" s="3061"/>
      <c r="BN98" s="3061"/>
      <c r="BO98" s="3061"/>
      <c r="BP98" s="3061"/>
      <c r="BQ98" s="3061"/>
      <c r="BR98" s="3061"/>
      <c r="BS98" s="3061"/>
      <c r="BT98" s="3061"/>
      <c r="BU98" s="3061"/>
      <c r="BV98" s="3061"/>
      <c r="BW98" s="3061"/>
      <c r="BX98" s="3061"/>
      <c r="BY98" s="3061"/>
      <c r="BZ98" s="3061"/>
      <c r="CA98" s="3061"/>
      <c r="CB98" s="3061"/>
      <c r="CC98" s="3061"/>
      <c r="CD98" s="3061"/>
      <c r="CE98" s="3061"/>
      <c r="CF98" s="3061"/>
      <c r="CG98" s="3061"/>
      <c r="CH98" s="3061"/>
      <c r="CI98" s="3061"/>
      <c r="CJ98" s="3061"/>
      <c r="CK98" s="3061"/>
      <c r="CL98" s="3061"/>
      <c r="CM98" s="3061"/>
      <c r="CN98" s="3061"/>
      <c r="CO98" s="3061"/>
      <c r="CP98" s="3061"/>
      <c r="CQ98" s="3061"/>
      <c r="CR98" s="3061"/>
      <c r="CS98" s="3062"/>
      <c r="CT98" s="3063"/>
      <c r="CU98" s="3064">
        <f t="shared" si="50"/>
        <v>1</v>
      </c>
      <c r="CV98" s="3022" t="str">
        <f>IF(OR(CT98="",CT98="None"),"-",DO98*CU98*SUMIF('Lighting Assumptions'!$G$3:$G$112,'6a - Lighting Counts'!G98,'Lighting Assumptions'!$J$3:$J$112))</f>
        <v>-</v>
      </c>
      <c r="CW98" s="3021"/>
      <c r="CX98" s="3021"/>
      <c r="CY98" s="3046"/>
      <c r="CZ98" s="2098">
        <f t="shared" si="51"/>
        <v>0</v>
      </c>
      <c r="DA98" s="2098" t="str">
        <f t="shared" si="52"/>
        <v>-</v>
      </c>
      <c r="DB98" s="2098">
        <f t="shared" si="53"/>
        <v>0</v>
      </c>
      <c r="DC98" s="3023" t="str">
        <f t="shared" si="54"/>
        <v>-</v>
      </c>
      <c r="DD98" s="3024" t="str">
        <f t="shared" si="55"/>
        <v/>
      </c>
      <c r="DE98" s="3025" t="str">
        <f t="shared" si="56"/>
        <v>-</v>
      </c>
      <c r="DF98" s="3024" t="str">
        <f t="shared" si="47"/>
        <v>-</v>
      </c>
      <c r="DG98" s="2098">
        <f t="shared" si="57"/>
        <v>0</v>
      </c>
      <c r="DH98" s="2098">
        <f t="array" ref="DH98">MIN(SUMPRODUCT(I98:CR98,IF($I$25:$CR$25="yes",1,0),$I$23:$CR$23),H98)</f>
        <v>0</v>
      </c>
      <c r="DI98" s="3026"/>
      <c r="DJ98" s="3021"/>
      <c r="DN98" s="917" t="str">
        <f>IF(CS98="","-",SUMIF('Lighting Assumptions'!$G$3:$G$112,'6a - Lighting Counts'!G98,'Lighting Assumptions'!$J$3:$J$112))</f>
        <v>-</v>
      </c>
      <c r="DO98" s="917" t="str">
        <f t="shared" si="48"/>
        <v>-</v>
      </c>
      <c r="DP98" s="917" t="str">
        <f t="shared" si="49"/>
        <v>-</v>
      </c>
      <c r="DQ98" s="917" t="str">
        <f>IF(LEFT(CELLformula(DF98),3)&lt;&gt;"=IF",1,"")</f>
        <v/>
      </c>
      <c r="DR98" s="917" t="str">
        <f>IF(LEFT(CELLformula(DD98),3)&lt;&gt;"=IF",1,"")</f>
        <v/>
      </c>
      <c r="DS98" s="3048">
        <f t="shared" si="58"/>
        <v>0</v>
      </c>
      <c r="DT98" s="3047" t="str">
        <f t="shared" si="59"/>
        <v/>
      </c>
      <c r="DU98" s="3047" t="str">
        <f>IFERROR(IF(G98="","",SUMIF('Lighting Assumptions'!$G$3:$G$112,'6a - Lighting Counts'!G98,'Lighting Assumptions'!$H$3:$H$112)*IF(SI_IP_Units="SI",10.76,1)),"")</f>
        <v/>
      </c>
      <c r="DV98" s="3047" t="str">
        <f>IFERROR(IF($CX98="","",IF(SI_IP_Units="SI",10.76,1)*SUMIF(BAMCategories,$CY98,'Lighting Assumptions'!$E$3:E$35)),"")</f>
        <v/>
      </c>
      <c r="DW98" s="3047" t="str">
        <f>IFERROR(IF($CX98="","",IF(SI_IP_Units="SI",10.76,1)*SUMIF(BAMCategories,$CY98,IF(bpf_reference="ACP",'Lighting Assumptions 90.1-2010'!$E$3:E$35,'Lighting Assumptions 90.1-2016'!$E$3:E$35))),"")</f>
        <v/>
      </c>
      <c r="EW98" s="855"/>
      <c r="EX98" s="855"/>
      <c r="EY98" s="855"/>
      <c r="EZ98" s="855"/>
    </row>
    <row r="99" spans="4:156" x14ac:dyDescent="0.25">
      <c r="D99" s="3019"/>
      <c r="E99" s="3020"/>
      <c r="F99" s="3021">
        <f t="shared" si="46"/>
        <v>0</v>
      </c>
      <c r="G99" s="3059"/>
      <c r="H99" s="3060"/>
      <c r="I99" s="3061"/>
      <c r="J99" s="3061"/>
      <c r="K99" s="3061"/>
      <c r="L99" s="3061"/>
      <c r="M99" s="3061"/>
      <c r="N99" s="3061"/>
      <c r="O99" s="3061"/>
      <c r="P99" s="3061"/>
      <c r="Q99" s="3061"/>
      <c r="R99" s="3061"/>
      <c r="S99" s="3061"/>
      <c r="T99" s="3061"/>
      <c r="U99" s="3061"/>
      <c r="V99" s="3061"/>
      <c r="W99" s="3061"/>
      <c r="X99" s="3061"/>
      <c r="Y99" s="3061"/>
      <c r="Z99" s="3061"/>
      <c r="AA99" s="3061"/>
      <c r="AB99" s="3061"/>
      <c r="AC99" s="3061"/>
      <c r="AD99" s="3061"/>
      <c r="AE99" s="3061"/>
      <c r="AF99" s="3061"/>
      <c r="AG99" s="3061"/>
      <c r="AH99" s="3061"/>
      <c r="AI99" s="3061"/>
      <c r="AJ99" s="3061"/>
      <c r="AK99" s="3061"/>
      <c r="AL99" s="3061"/>
      <c r="AM99" s="3061"/>
      <c r="AN99" s="3061"/>
      <c r="AO99" s="3061"/>
      <c r="AP99" s="3061"/>
      <c r="AQ99" s="3061"/>
      <c r="AR99" s="3061"/>
      <c r="AS99" s="3061"/>
      <c r="AT99" s="3061"/>
      <c r="AU99" s="3061"/>
      <c r="AV99" s="3061"/>
      <c r="AW99" s="3061"/>
      <c r="AX99" s="3061"/>
      <c r="AY99" s="3061"/>
      <c r="AZ99" s="3061"/>
      <c r="BA99" s="3061"/>
      <c r="BB99" s="3061"/>
      <c r="BC99" s="3061"/>
      <c r="BD99" s="3061"/>
      <c r="BE99" s="3061"/>
      <c r="BF99" s="3061"/>
      <c r="BG99" s="3061"/>
      <c r="BH99" s="3061"/>
      <c r="BI99" s="3061"/>
      <c r="BJ99" s="3061"/>
      <c r="BK99" s="3061"/>
      <c r="BL99" s="3061"/>
      <c r="BM99" s="3061"/>
      <c r="BN99" s="3061"/>
      <c r="BO99" s="3061"/>
      <c r="BP99" s="3061"/>
      <c r="BQ99" s="3061"/>
      <c r="BR99" s="3061"/>
      <c r="BS99" s="3061"/>
      <c r="BT99" s="3061"/>
      <c r="BU99" s="3061"/>
      <c r="BV99" s="3061"/>
      <c r="BW99" s="3061"/>
      <c r="BX99" s="3061"/>
      <c r="BY99" s="3061"/>
      <c r="BZ99" s="3061"/>
      <c r="CA99" s="3061"/>
      <c r="CB99" s="3061"/>
      <c r="CC99" s="3061"/>
      <c r="CD99" s="3061"/>
      <c r="CE99" s="3061"/>
      <c r="CF99" s="3061"/>
      <c r="CG99" s="3061"/>
      <c r="CH99" s="3061"/>
      <c r="CI99" s="3061"/>
      <c r="CJ99" s="3061"/>
      <c r="CK99" s="3061"/>
      <c r="CL99" s="3061"/>
      <c r="CM99" s="3061"/>
      <c r="CN99" s="3061"/>
      <c r="CO99" s="3061"/>
      <c r="CP99" s="3061"/>
      <c r="CQ99" s="3061"/>
      <c r="CR99" s="3061"/>
      <c r="CS99" s="3062"/>
      <c r="CT99" s="3063"/>
      <c r="CU99" s="3064">
        <f t="shared" si="50"/>
        <v>1</v>
      </c>
      <c r="CV99" s="3022" t="str">
        <f>IF(OR(CT99="",CT99="None"),"-",DO99*CU99*SUMIF('Lighting Assumptions'!$G$3:$G$112,'6a - Lighting Counts'!G99,'Lighting Assumptions'!$J$3:$J$112))</f>
        <v>-</v>
      </c>
      <c r="CW99" s="3021"/>
      <c r="CX99" s="3021"/>
      <c r="CY99" s="3046"/>
      <c r="CZ99" s="2098">
        <f t="shared" si="51"/>
        <v>0</v>
      </c>
      <c r="DA99" s="2098" t="str">
        <f t="shared" si="52"/>
        <v>-</v>
      </c>
      <c r="DB99" s="2098">
        <f t="shared" si="53"/>
        <v>0</v>
      </c>
      <c r="DC99" s="3023" t="str">
        <f t="shared" si="54"/>
        <v>-</v>
      </c>
      <c r="DD99" s="3024" t="str">
        <f t="shared" si="55"/>
        <v/>
      </c>
      <c r="DE99" s="3025" t="str">
        <f t="shared" si="56"/>
        <v>-</v>
      </c>
      <c r="DF99" s="3024" t="str">
        <f t="shared" si="47"/>
        <v>-</v>
      </c>
      <c r="DG99" s="2098">
        <f t="shared" si="57"/>
        <v>0</v>
      </c>
      <c r="DH99" s="2098">
        <f t="array" ref="DH99">MIN(SUMPRODUCT(I99:CR99,IF($I$25:$CR$25="yes",1,0),$I$23:$CR$23),H99)</f>
        <v>0</v>
      </c>
      <c r="DI99" s="3026"/>
      <c r="DJ99" s="3021"/>
      <c r="DN99" s="917" t="str">
        <f>IF(CS99="","-",SUMIF('Lighting Assumptions'!$G$3:$G$112,'6a - Lighting Counts'!G99,'Lighting Assumptions'!$J$3:$J$112))</f>
        <v>-</v>
      </c>
      <c r="DO99" s="917" t="str">
        <f t="shared" si="48"/>
        <v>-</v>
      </c>
      <c r="DP99" s="917" t="str">
        <f t="shared" si="49"/>
        <v>-</v>
      </c>
      <c r="DQ99" s="917" t="str">
        <f>IF(LEFT(CELLformula(DF99),3)&lt;&gt;"=IF",1,"")</f>
        <v/>
      </c>
      <c r="DR99" s="917" t="str">
        <f>IF(LEFT(CELLformula(DD99),3)&lt;&gt;"=IF",1,"")</f>
        <v/>
      </c>
      <c r="DS99" s="3048">
        <f t="shared" si="58"/>
        <v>0</v>
      </c>
      <c r="DT99" s="3047" t="str">
        <f t="shared" si="59"/>
        <v/>
      </c>
      <c r="DU99" s="3047" t="str">
        <f>IFERROR(IF(G99="","",SUMIF('Lighting Assumptions'!$G$3:$G$112,'6a - Lighting Counts'!G99,'Lighting Assumptions'!$H$3:$H$112)*IF(SI_IP_Units="SI",10.76,1)),"")</f>
        <v/>
      </c>
      <c r="DV99" s="3047" t="str">
        <f>IFERROR(IF($CX99="","",IF(SI_IP_Units="SI",10.76,1)*SUMIF(BAMCategories,$CY99,'Lighting Assumptions'!$E$3:E$35)),"")</f>
        <v/>
      </c>
      <c r="DW99" s="3047" t="str">
        <f>IFERROR(IF($CX99="","",IF(SI_IP_Units="SI",10.76,1)*SUMIF(BAMCategories,$CY99,IF(bpf_reference="ACP",'Lighting Assumptions 90.1-2010'!$E$3:E$35,'Lighting Assumptions 90.1-2016'!$E$3:E$35))),"")</f>
        <v/>
      </c>
      <c r="EW99" s="855"/>
      <c r="EX99" s="855"/>
      <c r="EY99" s="855"/>
      <c r="EZ99" s="855"/>
    </row>
    <row r="100" spans="4:156" x14ac:dyDescent="0.25">
      <c r="D100" s="3019"/>
      <c r="E100" s="3020"/>
      <c r="F100" s="3021">
        <f t="shared" si="46"/>
        <v>0</v>
      </c>
      <c r="G100" s="3059"/>
      <c r="H100" s="3060"/>
      <c r="I100" s="3061"/>
      <c r="J100" s="3061"/>
      <c r="K100" s="3061"/>
      <c r="L100" s="3061"/>
      <c r="M100" s="3061"/>
      <c r="N100" s="3061"/>
      <c r="O100" s="3061"/>
      <c r="P100" s="3061"/>
      <c r="Q100" s="3061"/>
      <c r="R100" s="3061"/>
      <c r="S100" s="3061"/>
      <c r="T100" s="3061"/>
      <c r="U100" s="3061"/>
      <c r="V100" s="3061"/>
      <c r="W100" s="3061"/>
      <c r="X100" s="3061"/>
      <c r="Y100" s="3061"/>
      <c r="Z100" s="3061"/>
      <c r="AA100" s="3061"/>
      <c r="AB100" s="3061"/>
      <c r="AC100" s="3061"/>
      <c r="AD100" s="3061"/>
      <c r="AE100" s="3061"/>
      <c r="AF100" s="3061"/>
      <c r="AG100" s="3061"/>
      <c r="AH100" s="3061"/>
      <c r="AI100" s="3061"/>
      <c r="AJ100" s="3061"/>
      <c r="AK100" s="3061"/>
      <c r="AL100" s="3061"/>
      <c r="AM100" s="3061"/>
      <c r="AN100" s="3061"/>
      <c r="AO100" s="3061"/>
      <c r="AP100" s="3061"/>
      <c r="AQ100" s="3061"/>
      <c r="AR100" s="3061"/>
      <c r="AS100" s="3061"/>
      <c r="AT100" s="3061"/>
      <c r="AU100" s="3061"/>
      <c r="AV100" s="3061"/>
      <c r="AW100" s="3061"/>
      <c r="AX100" s="3061"/>
      <c r="AY100" s="3061"/>
      <c r="AZ100" s="3061"/>
      <c r="BA100" s="3061"/>
      <c r="BB100" s="3061"/>
      <c r="BC100" s="3061"/>
      <c r="BD100" s="3061"/>
      <c r="BE100" s="3061"/>
      <c r="BF100" s="3061"/>
      <c r="BG100" s="3061"/>
      <c r="BH100" s="3061"/>
      <c r="BI100" s="3061"/>
      <c r="BJ100" s="3061"/>
      <c r="BK100" s="3061"/>
      <c r="BL100" s="3061"/>
      <c r="BM100" s="3061"/>
      <c r="BN100" s="3061"/>
      <c r="BO100" s="3061"/>
      <c r="BP100" s="3061"/>
      <c r="BQ100" s="3061"/>
      <c r="BR100" s="3061"/>
      <c r="BS100" s="3061"/>
      <c r="BT100" s="3061"/>
      <c r="BU100" s="3061"/>
      <c r="BV100" s="3061"/>
      <c r="BW100" s="3061"/>
      <c r="BX100" s="3061"/>
      <c r="BY100" s="3061"/>
      <c r="BZ100" s="3061"/>
      <c r="CA100" s="3061"/>
      <c r="CB100" s="3061"/>
      <c r="CC100" s="3061"/>
      <c r="CD100" s="3061"/>
      <c r="CE100" s="3061"/>
      <c r="CF100" s="3061"/>
      <c r="CG100" s="3061"/>
      <c r="CH100" s="3061"/>
      <c r="CI100" s="3061"/>
      <c r="CJ100" s="3061"/>
      <c r="CK100" s="3061"/>
      <c r="CL100" s="3061"/>
      <c r="CM100" s="3061"/>
      <c r="CN100" s="3061"/>
      <c r="CO100" s="3061"/>
      <c r="CP100" s="3061"/>
      <c r="CQ100" s="3061"/>
      <c r="CR100" s="3061"/>
      <c r="CS100" s="3062"/>
      <c r="CT100" s="3063"/>
      <c r="CU100" s="3064">
        <f t="shared" si="50"/>
        <v>1</v>
      </c>
      <c r="CV100" s="3022" t="str">
        <f>IF(OR(CT100="",CT100="None"),"-",DO100*CU100*SUMIF('Lighting Assumptions'!$G$3:$G$112,'6a - Lighting Counts'!G100,'Lighting Assumptions'!$J$3:$J$112))</f>
        <v>-</v>
      </c>
      <c r="CW100" s="3021"/>
      <c r="CX100" s="3021"/>
      <c r="CY100" s="3046"/>
      <c r="CZ100" s="2098">
        <f t="shared" si="51"/>
        <v>0</v>
      </c>
      <c r="DA100" s="2098" t="str">
        <f t="shared" si="52"/>
        <v>-</v>
      </c>
      <c r="DB100" s="2098">
        <f t="shared" si="53"/>
        <v>0</v>
      </c>
      <c r="DC100" s="3023" t="str">
        <f t="shared" si="54"/>
        <v>-</v>
      </c>
      <c r="DD100" s="3024" t="str">
        <f t="shared" si="55"/>
        <v/>
      </c>
      <c r="DE100" s="3025" t="str">
        <f t="shared" si="56"/>
        <v>-</v>
      </c>
      <c r="DF100" s="3024" t="str">
        <f t="shared" si="47"/>
        <v>-</v>
      </c>
      <c r="DG100" s="2098">
        <f t="shared" si="57"/>
        <v>0</v>
      </c>
      <c r="DH100" s="2098">
        <f t="array" ref="DH100">MIN(SUMPRODUCT(I100:CR100,IF($I$25:$CR$25="yes",1,0),$I$23:$CR$23),H100)</f>
        <v>0</v>
      </c>
      <c r="DI100" s="3026"/>
      <c r="DJ100" s="3021"/>
      <c r="DN100" s="917" t="str">
        <f>IF(CS100="","-",SUMIF('Lighting Assumptions'!$G$3:$G$112,'6a - Lighting Counts'!G100,'Lighting Assumptions'!$J$3:$J$112))</f>
        <v>-</v>
      </c>
      <c r="DO100" s="917" t="str">
        <f t="shared" si="48"/>
        <v>-</v>
      </c>
      <c r="DP100" s="917" t="str">
        <f t="shared" si="49"/>
        <v>-</v>
      </c>
      <c r="DQ100" s="917" t="str">
        <f>IF(LEFT(CELLformula(DF100),3)&lt;&gt;"=IF",1,"")</f>
        <v/>
      </c>
      <c r="DR100" s="917" t="str">
        <f>IF(LEFT(CELLformula(DD100),3)&lt;&gt;"=IF",1,"")</f>
        <v/>
      </c>
      <c r="DS100" s="3048">
        <f t="shared" si="58"/>
        <v>0</v>
      </c>
      <c r="DT100" s="3047" t="str">
        <f t="shared" si="59"/>
        <v/>
      </c>
      <c r="DU100" s="3047" t="str">
        <f>IFERROR(IF(G100="","",SUMIF('Lighting Assumptions'!$G$3:$G$112,'6a - Lighting Counts'!G100,'Lighting Assumptions'!$H$3:$H$112)*IF(SI_IP_Units="SI",10.76,1)),"")</f>
        <v/>
      </c>
      <c r="DV100" s="3047" t="str">
        <f>IFERROR(IF($CX100="","",IF(SI_IP_Units="SI",10.76,1)*SUMIF(BAMCategories,$CY100,'Lighting Assumptions'!$E$3:E$35)),"")</f>
        <v/>
      </c>
      <c r="DW100" s="3047" t="str">
        <f>IFERROR(IF($CX100="","",IF(SI_IP_Units="SI",10.76,1)*SUMIF(BAMCategories,$CY100,IF(bpf_reference="ACP",'Lighting Assumptions 90.1-2010'!$E$3:E$35,'Lighting Assumptions 90.1-2016'!$E$3:E$35))),"")</f>
        <v/>
      </c>
      <c r="EW100" s="855"/>
      <c r="EX100" s="855"/>
      <c r="EY100" s="855"/>
      <c r="EZ100" s="855"/>
    </row>
    <row r="101" spans="4:156" x14ac:dyDescent="0.25">
      <c r="D101" s="3019"/>
      <c r="E101" s="3020"/>
      <c r="F101" s="3021">
        <f t="shared" si="46"/>
        <v>0</v>
      </c>
      <c r="G101" s="3059"/>
      <c r="H101" s="3060"/>
      <c r="I101" s="3061"/>
      <c r="J101" s="3061"/>
      <c r="K101" s="3061"/>
      <c r="L101" s="3061"/>
      <c r="M101" s="3061"/>
      <c r="N101" s="3061"/>
      <c r="O101" s="3061"/>
      <c r="P101" s="3061"/>
      <c r="Q101" s="3061"/>
      <c r="R101" s="3061"/>
      <c r="S101" s="3061"/>
      <c r="T101" s="3061"/>
      <c r="U101" s="3061"/>
      <c r="V101" s="3061"/>
      <c r="W101" s="3061"/>
      <c r="X101" s="3061"/>
      <c r="Y101" s="3061"/>
      <c r="Z101" s="3061"/>
      <c r="AA101" s="3061"/>
      <c r="AB101" s="3061"/>
      <c r="AC101" s="3061"/>
      <c r="AD101" s="3061"/>
      <c r="AE101" s="3061"/>
      <c r="AF101" s="3061"/>
      <c r="AG101" s="3061"/>
      <c r="AH101" s="3061"/>
      <c r="AI101" s="3061"/>
      <c r="AJ101" s="3061"/>
      <c r="AK101" s="3061"/>
      <c r="AL101" s="3061"/>
      <c r="AM101" s="3061"/>
      <c r="AN101" s="3061"/>
      <c r="AO101" s="3061"/>
      <c r="AP101" s="3061"/>
      <c r="AQ101" s="3061"/>
      <c r="AR101" s="3061"/>
      <c r="AS101" s="3061"/>
      <c r="AT101" s="3061"/>
      <c r="AU101" s="3061"/>
      <c r="AV101" s="3061"/>
      <c r="AW101" s="3061"/>
      <c r="AX101" s="3061"/>
      <c r="AY101" s="3061"/>
      <c r="AZ101" s="3061"/>
      <c r="BA101" s="3061"/>
      <c r="BB101" s="3061"/>
      <c r="BC101" s="3061"/>
      <c r="BD101" s="3061"/>
      <c r="BE101" s="3061"/>
      <c r="BF101" s="3061"/>
      <c r="BG101" s="3061"/>
      <c r="BH101" s="3061"/>
      <c r="BI101" s="3061"/>
      <c r="BJ101" s="3061"/>
      <c r="BK101" s="3061"/>
      <c r="BL101" s="3061"/>
      <c r="BM101" s="3061"/>
      <c r="BN101" s="3061"/>
      <c r="BO101" s="3061"/>
      <c r="BP101" s="3061"/>
      <c r="BQ101" s="3061"/>
      <c r="BR101" s="3061"/>
      <c r="BS101" s="3061"/>
      <c r="BT101" s="3061"/>
      <c r="BU101" s="3061"/>
      <c r="BV101" s="3061"/>
      <c r="BW101" s="3061"/>
      <c r="BX101" s="3061"/>
      <c r="BY101" s="3061"/>
      <c r="BZ101" s="3061"/>
      <c r="CA101" s="3061"/>
      <c r="CB101" s="3061"/>
      <c r="CC101" s="3061"/>
      <c r="CD101" s="3061"/>
      <c r="CE101" s="3061"/>
      <c r="CF101" s="3061"/>
      <c r="CG101" s="3061"/>
      <c r="CH101" s="3061"/>
      <c r="CI101" s="3061"/>
      <c r="CJ101" s="3061"/>
      <c r="CK101" s="3061"/>
      <c r="CL101" s="3061"/>
      <c r="CM101" s="3061"/>
      <c r="CN101" s="3061"/>
      <c r="CO101" s="3061"/>
      <c r="CP101" s="3061"/>
      <c r="CQ101" s="3061"/>
      <c r="CR101" s="3061"/>
      <c r="CS101" s="3062"/>
      <c r="CT101" s="3063"/>
      <c r="CU101" s="3064">
        <f t="shared" si="50"/>
        <v>1</v>
      </c>
      <c r="CV101" s="3022" t="str">
        <f>IF(OR(CT101="",CT101="None"),"-",DO101*CU101*SUMIF('Lighting Assumptions'!$G$3:$G$112,'6a - Lighting Counts'!G101,'Lighting Assumptions'!$J$3:$J$112))</f>
        <v>-</v>
      </c>
      <c r="CW101" s="3021"/>
      <c r="CX101" s="3021"/>
      <c r="CY101" s="3046"/>
      <c r="CZ101" s="2098">
        <f t="shared" si="51"/>
        <v>0</v>
      </c>
      <c r="DA101" s="2098" t="str">
        <f t="shared" si="52"/>
        <v>-</v>
      </c>
      <c r="DB101" s="2098">
        <f t="shared" si="53"/>
        <v>0</v>
      </c>
      <c r="DC101" s="3023" t="str">
        <f t="shared" si="54"/>
        <v>-</v>
      </c>
      <c r="DD101" s="3024" t="str">
        <f t="shared" si="55"/>
        <v/>
      </c>
      <c r="DE101" s="3025" t="str">
        <f t="shared" si="56"/>
        <v>-</v>
      </c>
      <c r="DF101" s="3024" t="str">
        <f t="shared" si="47"/>
        <v>-</v>
      </c>
      <c r="DG101" s="2098">
        <f t="shared" si="57"/>
        <v>0</v>
      </c>
      <c r="DH101" s="2098">
        <f t="array" ref="DH101">MIN(SUMPRODUCT(I101:CR101,IF($I$25:$CR$25="yes",1,0),$I$23:$CR$23),H101)</f>
        <v>0</v>
      </c>
      <c r="DI101" s="3026"/>
      <c r="DJ101" s="3021"/>
      <c r="DN101" s="917" t="str">
        <f>IF(CS101="","-",SUMIF('Lighting Assumptions'!$G$3:$G$112,'6a - Lighting Counts'!G101,'Lighting Assumptions'!$J$3:$J$112))</f>
        <v>-</v>
      </c>
      <c r="DO101" s="917" t="str">
        <f t="shared" si="48"/>
        <v>-</v>
      </c>
      <c r="DP101" s="917" t="str">
        <f t="shared" si="49"/>
        <v>-</v>
      </c>
      <c r="DQ101" s="917" t="str">
        <f>IF(LEFT(CELLformula(DF101),3)&lt;&gt;"=IF",1,"")</f>
        <v/>
      </c>
      <c r="DR101" s="917" t="str">
        <f>IF(LEFT(CELLformula(DD101),3)&lt;&gt;"=IF",1,"")</f>
        <v/>
      </c>
      <c r="DS101" s="3048">
        <f t="shared" si="58"/>
        <v>0</v>
      </c>
      <c r="DT101" s="3047" t="str">
        <f t="shared" si="59"/>
        <v/>
      </c>
      <c r="DU101" s="3047" t="str">
        <f>IFERROR(IF(G101="","",SUMIF('Lighting Assumptions'!$G$3:$G$112,'6a - Lighting Counts'!G101,'Lighting Assumptions'!$H$3:$H$112)*IF(SI_IP_Units="SI",10.76,1)),"")</f>
        <v/>
      </c>
      <c r="DV101" s="3047" t="str">
        <f>IFERROR(IF($CX101="","",IF(SI_IP_Units="SI",10.76,1)*SUMIF(BAMCategories,$CY101,'Lighting Assumptions'!$E$3:E$35)),"")</f>
        <v/>
      </c>
      <c r="DW101" s="3047" t="str">
        <f>IFERROR(IF($CX101="","",IF(SI_IP_Units="SI",10.76,1)*SUMIF(BAMCategories,$CY101,IF(bpf_reference="ACP",'Lighting Assumptions 90.1-2010'!$E$3:E$35,'Lighting Assumptions 90.1-2016'!$E$3:E$35))),"")</f>
        <v/>
      </c>
      <c r="EW101" s="855"/>
      <c r="EX101" s="855"/>
      <c r="EY101" s="855"/>
      <c r="EZ101" s="855"/>
    </row>
    <row r="102" spans="4:156" x14ac:dyDescent="0.25">
      <c r="D102" s="3019"/>
      <c r="E102" s="3020"/>
      <c r="F102" s="3021">
        <f t="shared" si="46"/>
        <v>0</v>
      </c>
      <c r="G102" s="3059"/>
      <c r="H102" s="3060"/>
      <c r="I102" s="3061"/>
      <c r="J102" s="3061"/>
      <c r="K102" s="3061"/>
      <c r="L102" s="3061"/>
      <c r="M102" s="3061"/>
      <c r="N102" s="3061"/>
      <c r="O102" s="3061"/>
      <c r="P102" s="3061"/>
      <c r="Q102" s="3061"/>
      <c r="R102" s="3061"/>
      <c r="S102" s="3061"/>
      <c r="T102" s="3061"/>
      <c r="U102" s="3061"/>
      <c r="V102" s="3061"/>
      <c r="W102" s="3061"/>
      <c r="X102" s="3061"/>
      <c r="Y102" s="3061"/>
      <c r="Z102" s="3061"/>
      <c r="AA102" s="3061"/>
      <c r="AB102" s="3061"/>
      <c r="AC102" s="3061"/>
      <c r="AD102" s="3061"/>
      <c r="AE102" s="3061"/>
      <c r="AF102" s="3061"/>
      <c r="AG102" s="3061"/>
      <c r="AH102" s="3061"/>
      <c r="AI102" s="3061"/>
      <c r="AJ102" s="3061"/>
      <c r="AK102" s="3061"/>
      <c r="AL102" s="3061"/>
      <c r="AM102" s="3061"/>
      <c r="AN102" s="3061"/>
      <c r="AO102" s="3061"/>
      <c r="AP102" s="3061"/>
      <c r="AQ102" s="3061"/>
      <c r="AR102" s="3061"/>
      <c r="AS102" s="3061"/>
      <c r="AT102" s="3061"/>
      <c r="AU102" s="3061"/>
      <c r="AV102" s="3061"/>
      <c r="AW102" s="3061"/>
      <c r="AX102" s="3061"/>
      <c r="AY102" s="3061"/>
      <c r="AZ102" s="3061"/>
      <c r="BA102" s="3061"/>
      <c r="BB102" s="3061"/>
      <c r="BC102" s="3061"/>
      <c r="BD102" s="3061"/>
      <c r="BE102" s="3061"/>
      <c r="BF102" s="3061"/>
      <c r="BG102" s="3061"/>
      <c r="BH102" s="3061"/>
      <c r="BI102" s="3061"/>
      <c r="BJ102" s="3061"/>
      <c r="BK102" s="3061"/>
      <c r="BL102" s="3061"/>
      <c r="BM102" s="3061"/>
      <c r="BN102" s="3061"/>
      <c r="BO102" s="3061"/>
      <c r="BP102" s="3061"/>
      <c r="BQ102" s="3061"/>
      <c r="BR102" s="3061"/>
      <c r="BS102" s="3061"/>
      <c r="BT102" s="3061"/>
      <c r="BU102" s="3061"/>
      <c r="BV102" s="3061"/>
      <c r="BW102" s="3061"/>
      <c r="BX102" s="3061"/>
      <c r="BY102" s="3061"/>
      <c r="BZ102" s="3061"/>
      <c r="CA102" s="3061"/>
      <c r="CB102" s="3061"/>
      <c r="CC102" s="3061"/>
      <c r="CD102" s="3061"/>
      <c r="CE102" s="3061"/>
      <c r="CF102" s="3061"/>
      <c r="CG102" s="3061"/>
      <c r="CH102" s="3061"/>
      <c r="CI102" s="3061"/>
      <c r="CJ102" s="3061"/>
      <c r="CK102" s="3061"/>
      <c r="CL102" s="3061"/>
      <c r="CM102" s="3061"/>
      <c r="CN102" s="3061"/>
      <c r="CO102" s="3061"/>
      <c r="CP102" s="3061"/>
      <c r="CQ102" s="3061"/>
      <c r="CR102" s="3061"/>
      <c r="CS102" s="3062"/>
      <c r="CT102" s="3063"/>
      <c r="CU102" s="3064">
        <f t="shared" si="50"/>
        <v>1</v>
      </c>
      <c r="CV102" s="3022" t="str">
        <f>IF(OR(CT102="",CT102="None"),"-",DO102*CU102*SUMIF('Lighting Assumptions'!$G$3:$G$112,'6a - Lighting Counts'!G102,'Lighting Assumptions'!$J$3:$J$112))</f>
        <v>-</v>
      </c>
      <c r="CW102" s="3021"/>
      <c r="CX102" s="3021"/>
      <c r="CY102" s="3046"/>
      <c r="CZ102" s="2098">
        <f t="shared" si="51"/>
        <v>0</v>
      </c>
      <c r="DA102" s="2098" t="str">
        <f t="shared" si="52"/>
        <v>-</v>
      </c>
      <c r="DB102" s="2098">
        <f t="shared" si="53"/>
        <v>0</v>
      </c>
      <c r="DC102" s="3023" t="str">
        <f t="shared" si="54"/>
        <v>-</v>
      </c>
      <c r="DD102" s="3024" t="str">
        <f t="shared" si="55"/>
        <v/>
      </c>
      <c r="DE102" s="3025" t="str">
        <f t="shared" si="56"/>
        <v>-</v>
      </c>
      <c r="DF102" s="3024" t="str">
        <f t="shared" si="47"/>
        <v>-</v>
      </c>
      <c r="DG102" s="2098">
        <f t="shared" si="57"/>
        <v>0</v>
      </c>
      <c r="DH102" s="2098">
        <f t="array" ref="DH102">MIN(SUMPRODUCT(I102:CR102,IF($I$25:$CR$25="yes",1,0),$I$23:$CR$23),H102)</f>
        <v>0</v>
      </c>
      <c r="DI102" s="3026"/>
      <c r="DJ102" s="3021"/>
      <c r="DN102" s="917" t="str">
        <f>IF(CS102="","-",SUMIF('Lighting Assumptions'!$G$3:$G$112,'6a - Lighting Counts'!G102,'Lighting Assumptions'!$J$3:$J$112))</f>
        <v>-</v>
      </c>
      <c r="DO102" s="917" t="str">
        <f t="shared" si="48"/>
        <v>-</v>
      </c>
      <c r="DP102" s="917" t="str">
        <f t="shared" si="49"/>
        <v>-</v>
      </c>
      <c r="DQ102" s="917" t="str">
        <f>IF(LEFT(CELLformula(DF102),3)&lt;&gt;"=IF",1,"")</f>
        <v/>
      </c>
      <c r="DR102" s="917" t="str">
        <f>IF(LEFT(CELLformula(DD102),3)&lt;&gt;"=IF",1,"")</f>
        <v/>
      </c>
      <c r="DS102" s="3048">
        <f t="shared" si="58"/>
        <v>0</v>
      </c>
      <c r="DT102" s="3047" t="str">
        <f t="shared" si="59"/>
        <v/>
      </c>
      <c r="DU102" s="3047" t="str">
        <f>IFERROR(IF(G102="","",SUMIF('Lighting Assumptions'!$G$3:$G$112,'6a - Lighting Counts'!G102,'Lighting Assumptions'!$H$3:$H$112)*IF(SI_IP_Units="SI",10.76,1)),"")</f>
        <v/>
      </c>
      <c r="DV102" s="3047" t="str">
        <f>IFERROR(IF($CX102="","",IF(SI_IP_Units="SI",10.76,1)*SUMIF(BAMCategories,$CY102,'Lighting Assumptions'!$E$3:E$35)),"")</f>
        <v/>
      </c>
      <c r="DW102" s="3047" t="str">
        <f>IFERROR(IF($CX102="","",IF(SI_IP_Units="SI",10.76,1)*SUMIF(BAMCategories,$CY102,IF(bpf_reference="ACP",'Lighting Assumptions 90.1-2010'!$E$3:E$35,'Lighting Assumptions 90.1-2016'!$E$3:E$35))),"")</f>
        <v/>
      </c>
      <c r="EW102" s="855"/>
      <c r="EX102" s="855"/>
      <c r="EY102" s="855"/>
      <c r="EZ102" s="855"/>
    </row>
    <row r="103" spans="4:156" x14ac:dyDescent="0.25">
      <c r="D103" s="3019"/>
      <c r="E103" s="3020"/>
      <c r="F103" s="3021">
        <f t="shared" si="46"/>
        <v>0</v>
      </c>
      <c r="G103" s="3059"/>
      <c r="H103" s="3060"/>
      <c r="I103" s="3061"/>
      <c r="J103" s="3061"/>
      <c r="K103" s="3061"/>
      <c r="L103" s="3061"/>
      <c r="M103" s="3061"/>
      <c r="N103" s="3061"/>
      <c r="O103" s="3061"/>
      <c r="P103" s="3061"/>
      <c r="Q103" s="3061"/>
      <c r="R103" s="3061"/>
      <c r="S103" s="3061"/>
      <c r="T103" s="3061"/>
      <c r="U103" s="3061"/>
      <c r="V103" s="3061"/>
      <c r="W103" s="3061"/>
      <c r="X103" s="3061"/>
      <c r="Y103" s="3061"/>
      <c r="Z103" s="3061"/>
      <c r="AA103" s="3061"/>
      <c r="AB103" s="3061"/>
      <c r="AC103" s="3061"/>
      <c r="AD103" s="3061"/>
      <c r="AE103" s="3061"/>
      <c r="AF103" s="3061"/>
      <c r="AG103" s="3061"/>
      <c r="AH103" s="3061"/>
      <c r="AI103" s="3061"/>
      <c r="AJ103" s="3061"/>
      <c r="AK103" s="3061"/>
      <c r="AL103" s="3061"/>
      <c r="AM103" s="3061"/>
      <c r="AN103" s="3061"/>
      <c r="AO103" s="3061"/>
      <c r="AP103" s="3061"/>
      <c r="AQ103" s="3061"/>
      <c r="AR103" s="3061"/>
      <c r="AS103" s="3061"/>
      <c r="AT103" s="3061"/>
      <c r="AU103" s="3061"/>
      <c r="AV103" s="3061"/>
      <c r="AW103" s="3061"/>
      <c r="AX103" s="3061"/>
      <c r="AY103" s="3061"/>
      <c r="AZ103" s="3061"/>
      <c r="BA103" s="3061"/>
      <c r="BB103" s="3061"/>
      <c r="BC103" s="3061"/>
      <c r="BD103" s="3061"/>
      <c r="BE103" s="3061"/>
      <c r="BF103" s="3061"/>
      <c r="BG103" s="3061"/>
      <c r="BH103" s="3061"/>
      <c r="BI103" s="3061"/>
      <c r="BJ103" s="3061"/>
      <c r="BK103" s="3061"/>
      <c r="BL103" s="3061"/>
      <c r="BM103" s="3061"/>
      <c r="BN103" s="3061"/>
      <c r="BO103" s="3061"/>
      <c r="BP103" s="3061"/>
      <c r="BQ103" s="3061"/>
      <c r="BR103" s="3061"/>
      <c r="BS103" s="3061"/>
      <c r="BT103" s="3061"/>
      <c r="BU103" s="3061"/>
      <c r="BV103" s="3061"/>
      <c r="BW103" s="3061"/>
      <c r="BX103" s="3061"/>
      <c r="BY103" s="3061"/>
      <c r="BZ103" s="3061"/>
      <c r="CA103" s="3061"/>
      <c r="CB103" s="3061"/>
      <c r="CC103" s="3061"/>
      <c r="CD103" s="3061"/>
      <c r="CE103" s="3061"/>
      <c r="CF103" s="3061"/>
      <c r="CG103" s="3061"/>
      <c r="CH103" s="3061"/>
      <c r="CI103" s="3061"/>
      <c r="CJ103" s="3061"/>
      <c r="CK103" s="3061"/>
      <c r="CL103" s="3061"/>
      <c r="CM103" s="3061"/>
      <c r="CN103" s="3061"/>
      <c r="CO103" s="3061"/>
      <c r="CP103" s="3061"/>
      <c r="CQ103" s="3061"/>
      <c r="CR103" s="3061"/>
      <c r="CS103" s="3062"/>
      <c r="CT103" s="3063"/>
      <c r="CU103" s="3064">
        <f t="shared" si="50"/>
        <v>1</v>
      </c>
      <c r="CV103" s="3022" t="str">
        <f>IF(OR(CT103="",CT103="None"),"-",DO103*CU103*SUMIF('Lighting Assumptions'!$G$3:$G$112,'6a - Lighting Counts'!G103,'Lighting Assumptions'!$J$3:$J$112))</f>
        <v>-</v>
      </c>
      <c r="CW103" s="3021"/>
      <c r="CX103" s="3021"/>
      <c r="CY103" s="3046"/>
      <c r="CZ103" s="2098">
        <f t="shared" si="51"/>
        <v>0</v>
      </c>
      <c r="DA103" s="2098" t="str">
        <f t="shared" si="52"/>
        <v>-</v>
      </c>
      <c r="DB103" s="2098">
        <f t="shared" si="53"/>
        <v>0</v>
      </c>
      <c r="DC103" s="3023" t="str">
        <f t="shared" si="54"/>
        <v>-</v>
      </c>
      <c r="DD103" s="3024" t="str">
        <f t="shared" si="55"/>
        <v/>
      </c>
      <c r="DE103" s="3025" t="str">
        <f t="shared" si="56"/>
        <v>-</v>
      </c>
      <c r="DF103" s="3024" t="str">
        <f t="shared" si="47"/>
        <v>-</v>
      </c>
      <c r="DG103" s="2098">
        <f t="shared" si="57"/>
        <v>0</v>
      </c>
      <c r="DH103" s="2098">
        <f t="array" ref="DH103">MIN(SUMPRODUCT(I103:CR103,IF($I$25:$CR$25="yes",1,0),$I$23:$CR$23),H103)</f>
        <v>0</v>
      </c>
      <c r="DI103" s="3026"/>
      <c r="DJ103" s="3021"/>
      <c r="DN103" s="917" t="str">
        <f>IF(CS103="","-",SUMIF('Lighting Assumptions'!$G$3:$G$112,'6a - Lighting Counts'!G103,'Lighting Assumptions'!$J$3:$J$112))</f>
        <v>-</v>
      </c>
      <c r="DO103" s="917" t="str">
        <f t="shared" si="48"/>
        <v>-</v>
      </c>
      <c r="DP103" s="917" t="str">
        <f t="shared" si="49"/>
        <v>-</v>
      </c>
      <c r="DQ103" s="917" t="str">
        <f>IF(LEFT(CELLformula(DF103),3)&lt;&gt;"=IF",1,"")</f>
        <v/>
      </c>
      <c r="DR103" s="917" t="str">
        <f>IF(LEFT(CELLformula(DD103),3)&lt;&gt;"=IF",1,"")</f>
        <v/>
      </c>
      <c r="DS103" s="3048">
        <f t="shared" si="58"/>
        <v>0</v>
      </c>
      <c r="DT103" s="3047" t="str">
        <f t="shared" si="59"/>
        <v/>
      </c>
      <c r="DU103" s="3047" t="str">
        <f>IFERROR(IF(G103="","",SUMIF('Lighting Assumptions'!$G$3:$G$112,'6a - Lighting Counts'!G103,'Lighting Assumptions'!$H$3:$H$112)*IF(SI_IP_Units="SI",10.76,1)),"")</f>
        <v/>
      </c>
      <c r="DV103" s="3047" t="str">
        <f>IFERROR(IF($CX103="","",IF(SI_IP_Units="SI",10.76,1)*SUMIF(BAMCategories,$CY103,'Lighting Assumptions'!$E$3:E$35)),"")</f>
        <v/>
      </c>
      <c r="DW103" s="3047" t="str">
        <f>IFERROR(IF($CX103="","",IF(SI_IP_Units="SI",10.76,1)*SUMIF(BAMCategories,$CY103,IF(bpf_reference="ACP",'Lighting Assumptions 90.1-2010'!$E$3:E$35,'Lighting Assumptions 90.1-2016'!$E$3:E$35))),"")</f>
        <v/>
      </c>
      <c r="EW103" s="855"/>
      <c r="EX103" s="855"/>
      <c r="EY103" s="855"/>
      <c r="EZ103" s="855"/>
    </row>
    <row r="104" spans="4:156" x14ac:dyDescent="0.25">
      <c r="D104" s="3019"/>
      <c r="E104" s="3020"/>
      <c r="F104" s="3021">
        <f t="shared" si="46"/>
        <v>0</v>
      </c>
      <c r="G104" s="3059"/>
      <c r="H104" s="3060"/>
      <c r="I104" s="3061"/>
      <c r="J104" s="3061"/>
      <c r="K104" s="3061"/>
      <c r="L104" s="3061"/>
      <c r="M104" s="3061"/>
      <c r="N104" s="3061"/>
      <c r="O104" s="3061"/>
      <c r="P104" s="3061"/>
      <c r="Q104" s="3061"/>
      <c r="R104" s="3061"/>
      <c r="S104" s="3061"/>
      <c r="T104" s="3061"/>
      <c r="U104" s="3061"/>
      <c r="V104" s="3061"/>
      <c r="W104" s="3061"/>
      <c r="X104" s="3061"/>
      <c r="Y104" s="3061"/>
      <c r="Z104" s="3061"/>
      <c r="AA104" s="3061"/>
      <c r="AB104" s="3061"/>
      <c r="AC104" s="3061"/>
      <c r="AD104" s="3061"/>
      <c r="AE104" s="3061"/>
      <c r="AF104" s="3061"/>
      <c r="AG104" s="3061"/>
      <c r="AH104" s="3061"/>
      <c r="AI104" s="3061"/>
      <c r="AJ104" s="3061"/>
      <c r="AK104" s="3061"/>
      <c r="AL104" s="3061"/>
      <c r="AM104" s="3061"/>
      <c r="AN104" s="3061"/>
      <c r="AO104" s="3061"/>
      <c r="AP104" s="3061"/>
      <c r="AQ104" s="3061"/>
      <c r="AR104" s="3061"/>
      <c r="AS104" s="3061"/>
      <c r="AT104" s="3061"/>
      <c r="AU104" s="3061"/>
      <c r="AV104" s="3061"/>
      <c r="AW104" s="3061"/>
      <c r="AX104" s="3061"/>
      <c r="AY104" s="3061"/>
      <c r="AZ104" s="3061"/>
      <c r="BA104" s="3061"/>
      <c r="BB104" s="3061"/>
      <c r="BC104" s="3061"/>
      <c r="BD104" s="3061"/>
      <c r="BE104" s="3061"/>
      <c r="BF104" s="3061"/>
      <c r="BG104" s="3061"/>
      <c r="BH104" s="3061"/>
      <c r="BI104" s="3061"/>
      <c r="BJ104" s="3061"/>
      <c r="BK104" s="3061"/>
      <c r="BL104" s="3061"/>
      <c r="BM104" s="3061"/>
      <c r="BN104" s="3061"/>
      <c r="BO104" s="3061"/>
      <c r="BP104" s="3061"/>
      <c r="BQ104" s="3061"/>
      <c r="BR104" s="3061"/>
      <c r="BS104" s="3061"/>
      <c r="BT104" s="3061"/>
      <c r="BU104" s="3061"/>
      <c r="BV104" s="3061"/>
      <c r="BW104" s="3061"/>
      <c r="BX104" s="3061"/>
      <c r="BY104" s="3061"/>
      <c r="BZ104" s="3061"/>
      <c r="CA104" s="3061"/>
      <c r="CB104" s="3061"/>
      <c r="CC104" s="3061"/>
      <c r="CD104" s="3061"/>
      <c r="CE104" s="3061"/>
      <c r="CF104" s="3061"/>
      <c r="CG104" s="3061"/>
      <c r="CH104" s="3061"/>
      <c r="CI104" s="3061"/>
      <c r="CJ104" s="3061"/>
      <c r="CK104" s="3061"/>
      <c r="CL104" s="3061"/>
      <c r="CM104" s="3061"/>
      <c r="CN104" s="3061"/>
      <c r="CO104" s="3061"/>
      <c r="CP104" s="3061"/>
      <c r="CQ104" s="3061"/>
      <c r="CR104" s="3061"/>
      <c r="CS104" s="3062"/>
      <c r="CT104" s="3063"/>
      <c r="CU104" s="3064">
        <f t="shared" si="50"/>
        <v>1</v>
      </c>
      <c r="CV104" s="3022" t="str">
        <f>IF(OR(CT104="",CT104="None"),"-",DO104*CU104*SUMIF('Lighting Assumptions'!$G$3:$G$112,'6a - Lighting Counts'!G104,'Lighting Assumptions'!$J$3:$J$112))</f>
        <v>-</v>
      </c>
      <c r="CW104" s="3021"/>
      <c r="CX104" s="3021"/>
      <c r="CY104" s="3046"/>
      <c r="CZ104" s="2098">
        <f t="shared" si="51"/>
        <v>0</v>
      </c>
      <c r="DA104" s="2098" t="str">
        <f t="shared" si="52"/>
        <v>-</v>
      </c>
      <c r="DB104" s="2098">
        <f t="shared" si="53"/>
        <v>0</v>
      </c>
      <c r="DC104" s="3023" t="str">
        <f t="shared" si="54"/>
        <v>-</v>
      </c>
      <c r="DD104" s="3024" t="str">
        <f t="shared" si="55"/>
        <v/>
      </c>
      <c r="DE104" s="3025" t="str">
        <f t="shared" si="56"/>
        <v>-</v>
      </c>
      <c r="DF104" s="3024" t="str">
        <f t="shared" si="47"/>
        <v>-</v>
      </c>
      <c r="DG104" s="2098">
        <f t="shared" si="57"/>
        <v>0</v>
      </c>
      <c r="DH104" s="2098">
        <f t="array" ref="DH104">MIN(SUMPRODUCT(I104:CR104,IF($I$25:$CR$25="yes",1,0),$I$23:$CR$23),H104)</f>
        <v>0</v>
      </c>
      <c r="DI104" s="3026"/>
      <c r="DJ104" s="3021"/>
      <c r="DN104" s="917" t="str">
        <f>IF(CS104="","-",SUMIF('Lighting Assumptions'!$G$3:$G$112,'6a - Lighting Counts'!G104,'Lighting Assumptions'!$J$3:$J$112))</f>
        <v>-</v>
      </c>
      <c r="DO104" s="917" t="str">
        <f t="shared" si="48"/>
        <v>-</v>
      </c>
      <c r="DP104" s="917" t="str">
        <f t="shared" si="49"/>
        <v>-</v>
      </c>
      <c r="DQ104" s="917" t="str">
        <f>IF(LEFT(CELLformula(DF104),3)&lt;&gt;"=IF",1,"")</f>
        <v/>
      </c>
      <c r="DR104" s="917" t="str">
        <f>IF(LEFT(CELLformula(DD104),3)&lt;&gt;"=IF",1,"")</f>
        <v/>
      </c>
      <c r="DS104" s="3048">
        <f t="shared" si="58"/>
        <v>0</v>
      </c>
      <c r="DT104" s="3047" t="str">
        <f t="shared" si="59"/>
        <v/>
      </c>
      <c r="DU104" s="3047" t="str">
        <f>IFERROR(IF(G104="","",SUMIF('Lighting Assumptions'!$G$3:$G$112,'6a - Lighting Counts'!G104,'Lighting Assumptions'!$H$3:$H$112)*IF(SI_IP_Units="SI",10.76,1)),"")</f>
        <v/>
      </c>
      <c r="DV104" s="3047" t="str">
        <f>IFERROR(IF($CX104="","",IF(SI_IP_Units="SI",10.76,1)*SUMIF(BAMCategories,$CY104,'Lighting Assumptions'!$E$3:E$35)),"")</f>
        <v/>
      </c>
      <c r="DW104" s="3047" t="str">
        <f>IFERROR(IF($CX104="","",IF(SI_IP_Units="SI",10.76,1)*SUMIF(BAMCategories,$CY104,IF(bpf_reference="ACP",'Lighting Assumptions 90.1-2010'!$E$3:E$35,'Lighting Assumptions 90.1-2016'!$E$3:E$35))),"")</f>
        <v/>
      </c>
      <c r="EW104" s="855"/>
      <c r="EX104" s="855"/>
      <c r="EY104" s="855"/>
      <c r="EZ104" s="855"/>
    </row>
    <row r="105" spans="4:156" x14ac:dyDescent="0.25">
      <c r="D105" s="3019"/>
      <c r="E105" s="3020"/>
      <c r="F105" s="3021">
        <f t="shared" si="46"/>
        <v>0</v>
      </c>
      <c r="G105" s="3059"/>
      <c r="H105" s="3060"/>
      <c r="I105" s="3061"/>
      <c r="J105" s="3061"/>
      <c r="K105" s="3061"/>
      <c r="L105" s="3061"/>
      <c r="M105" s="3061"/>
      <c r="N105" s="3061"/>
      <c r="O105" s="3061"/>
      <c r="P105" s="3061"/>
      <c r="Q105" s="3061"/>
      <c r="R105" s="3061"/>
      <c r="S105" s="3061"/>
      <c r="T105" s="3061"/>
      <c r="U105" s="3061"/>
      <c r="V105" s="3061"/>
      <c r="W105" s="3061"/>
      <c r="X105" s="3061"/>
      <c r="Y105" s="3061"/>
      <c r="Z105" s="3061"/>
      <c r="AA105" s="3061"/>
      <c r="AB105" s="3061"/>
      <c r="AC105" s="3061"/>
      <c r="AD105" s="3061"/>
      <c r="AE105" s="3061"/>
      <c r="AF105" s="3061"/>
      <c r="AG105" s="3061"/>
      <c r="AH105" s="3061"/>
      <c r="AI105" s="3061"/>
      <c r="AJ105" s="3061"/>
      <c r="AK105" s="3061"/>
      <c r="AL105" s="3061"/>
      <c r="AM105" s="3061"/>
      <c r="AN105" s="3061"/>
      <c r="AO105" s="3061"/>
      <c r="AP105" s="3061"/>
      <c r="AQ105" s="3061"/>
      <c r="AR105" s="3061"/>
      <c r="AS105" s="3061"/>
      <c r="AT105" s="3061"/>
      <c r="AU105" s="3061"/>
      <c r="AV105" s="3061"/>
      <c r="AW105" s="3061"/>
      <c r="AX105" s="3061"/>
      <c r="AY105" s="3061"/>
      <c r="AZ105" s="3061"/>
      <c r="BA105" s="3061"/>
      <c r="BB105" s="3061"/>
      <c r="BC105" s="3061"/>
      <c r="BD105" s="3061"/>
      <c r="BE105" s="3061"/>
      <c r="BF105" s="3061"/>
      <c r="BG105" s="3061"/>
      <c r="BH105" s="3061"/>
      <c r="BI105" s="3061"/>
      <c r="BJ105" s="3061"/>
      <c r="BK105" s="3061"/>
      <c r="BL105" s="3061"/>
      <c r="BM105" s="3061"/>
      <c r="BN105" s="3061"/>
      <c r="BO105" s="3061"/>
      <c r="BP105" s="3061"/>
      <c r="BQ105" s="3061"/>
      <c r="BR105" s="3061"/>
      <c r="BS105" s="3061"/>
      <c r="BT105" s="3061"/>
      <c r="BU105" s="3061"/>
      <c r="BV105" s="3061"/>
      <c r="BW105" s="3061"/>
      <c r="BX105" s="3061"/>
      <c r="BY105" s="3061"/>
      <c r="BZ105" s="3061"/>
      <c r="CA105" s="3061"/>
      <c r="CB105" s="3061"/>
      <c r="CC105" s="3061"/>
      <c r="CD105" s="3061"/>
      <c r="CE105" s="3061"/>
      <c r="CF105" s="3061"/>
      <c r="CG105" s="3061"/>
      <c r="CH105" s="3061"/>
      <c r="CI105" s="3061"/>
      <c r="CJ105" s="3061"/>
      <c r="CK105" s="3061"/>
      <c r="CL105" s="3061"/>
      <c r="CM105" s="3061"/>
      <c r="CN105" s="3061"/>
      <c r="CO105" s="3061"/>
      <c r="CP105" s="3061"/>
      <c r="CQ105" s="3061"/>
      <c r="CR105" s="3061"/>
      <c r="CS105" s="3062"/>
      <c r="CT105" s="3063"/>
      <c r="CU105" s="3064">
        <f t="shared" si="50"/>
        <v>1</v>
      </c>
      <c r="CV105" s="3022" t="str">
        <f>IF(OR(CT105="",CT105="None"),"-",DO105*CU105*SUMIF('Lighting Assumptions'!$G$3:$G$112,'6a - Lighting Counts'!G105,'Lighting Assumptions'!$J$3:$J$112))</f>
        <v>-</v>
      </c>
      <c r="CW105" s="3021"/>
      <c r="CX105" s="3021"/>
      <c r="CY105" s="3046"/>
      <c r="CZ105" s="2098">
        <f t="shared" si="51"/>
        <v>0</v>
      </c>
      <c r="DA105" s="2098" t="str">
        <f t="shared" si="52"/>
        <v>-</v>
      </c>
      <c r="DB105" s="2098">
        <f t="shared" si="53"/>
        <v>0</v>
      </c>
      <c r="DC105" s="3023" t="str">
        <f t="shared" si="54"/>
        <v>-</v>
      </c>
      <c r="DD105" s="3024" t="str">
        <f t="shared" si="55"/>
        <v/>
      </c>
      <c r="DE105" s="3025" t="str">
        <f t="shared" si="56"/>
        <v>-</v>
      </c>
      <c r="DF105" s="3024" t="str">
        <f t="shared" si="47"/>
        <v>-</v>
      </c>
      <c r="DG105" s="2098">
        <f t="shared" si="57"/>
        <v>0</v>
      </c>
      <c r="DH105" s="2098">
        <f t="array" ref="DH105">MIN(SUMPRODUCT(I105:CR105,IF($I$25:$CR$25="yes",1,0),$I$23:$CR$23),H105)</f>
        <v>0</v>
      </c>
      <c r="DI105" s="3026"/>
      <c r="DJ105" s="3021"/>
      <c r="DN105" s="917" t="str">
        <f>IF(CS105="","-",SUMIF('Lighting Assumptions'!$G$3:$G$112,'6a - Lighting Counts'!G105,'Lighting Assumptions'!$J$3:$J$112))</f>
        <v>-</v>
      </c>
      <c r="DO105" s="917" t="str">
        <f t="shared" si="48"/>
        <v>-</v>
      </c>
      <c r="DP105" s="917" t="str">
        <f t="shared" si="49"/>
        <v>-</v>
      </c>
      <c r="DQ105" s="917" t="str">
        <f>IF(LEFT(CELLformula(DF105),3)&lt;&gt;"=IF",1,"")</f>
        <v/>
      </c>
      <c r="DR105" s="917" t="str">
        <f>IF(LEFT(CELLformula(DD105),3)&lt;&gt;"=IF",1,"")</f>
        <v/>
      </c>
      <c r="DS105" s="3048">
        <f t="shared" si="58"/>
        <v>0</v>
      </c>
      <c r="DT105" s="3047" t="str">
        <f t="shared" si="59"/>
        <v/>
      </c>
      <c r="DU105" s="3047" t="str">
        <f>IFERROR(IF(G105="","",SUMIF('Lighting Assumptions'!$G$3:$G$112,'6a - Lighting Counts'!G105,'Lighting Assumptions'!$H$3:$H$112)*IF(SI_IP_Units="SI",10.76,1)),"")</f>
        <v/>
      </c>
      <c r="DV105" s="3047" t="str">
        <f>IFERROR(IF($CX105="","",IF(SI_IP_Units="SI",10.76,1)*SUMIF(BAMCategories,$CY105,'Lighting Assumptions'!$E$3:E$35)),"")</f>
        <v/>
      </c>
      <c r="DW105" s="3047" t="str">
        <f>IFERROR(IF($CX105="","",IF(SI_IP_Units="SI",10.76,1)*SUMIF(BAMCategories,$CY105,IF(bpf_reference="ACP",'Lighting Assumptions 90.1-2010'!$E$3:E$35,'Lighting Assumptions 90.1-2016'!$E$3:E$35))),"")</f>
        <v/>
      </c>
      <c r="EW105" s="855"/>
      <c r="EX105" s="855"/>
      <c r="EY105" s="855"/>
      <c r="EZ105" s="855"/>
    </row>
    <row r="106" spans="4:156" x14ac:dyDescent="0.25">
      <c r="D106" s="3019"/>
      <c r="E106" s="3020"/>
      <c r="F106" s="3021">
        <f t="shared" si="46"/>
        <v>0</v>
      </c>
      <c r="G106" s="3059"/>
      <c r="H106" s="3060"/>
      <c r="I106" s="3061"/>
      <c r="J106" s="3061"/>
      <c r="K106" s="3061"/>
      <c r="L106" s="3061"/>
      <c r="M106" s="3061"/>
      <c r="N106" s="3061"/>
      <c r="O106" s="3061"/>
      <c r="P106" s="3061"/>
      <c r="Q106" s="3061"/>
      <c r="R106" s="3061"/>
      <c r="S106" s="3061"/>
      <c r="T106" s="3061"/>
      <c r="U106" s="3061"/>
      <c r="V106" s="3061"/>
      <c r="W106" s="3061"/>
      <c r="X106" s="3061"/>
      <c r="Y106" s="3061"/>
      <c r="Z106" s="3061"/>
      <c r="AA106" s="3061"/>
      <c r="AB106" s="3061"/>
      <c r="AC106" s="3061"/>
      <c r="AD106" s="3061"/>
      <c r="AE106" s="3061"/>
      <c r="AF106" s="3061"/>
      <c r="AG106" s="3061"/>
      <c r="AH106" s="3061"/>
      <c r="AI106" s="3061"/>
      <c r="AJ106" s="3061"/>
      <c r="AK106" s="3061"/>
      <c r="AL106" s="3061"/>
      <c r="AM106" s="3061"/>
      <c r="AN106" s="3061"/>
      <c r="AO106" s="3061"/>
      <c r="AP106" s="3061"/>
      <c r="AQ106" s="3061"/>
      <c r="AR106" s="3061"/>
      <c r="AS106" s="3061"/>
      <c r="AT106" s="3061"/>
      <c r="AU106" s="3061"/>
      <c r="AV106" s="3061"/>
      <c r="AW106" s="3061"/>
      <c r="AX106" s="3061"/>
      <c r="AY106" s="3061"/>
      <c r="AZ106" s="3061"/>
      <c r="BA106" s="3061"/>
      <c r="BB106" s="3061"/>
      <c r="BC106" s="3061"/>
      <c r="BD106" s="3061"/>
      <c r="BE106" s="3061"/>
      <c r="BF106" s="3061"/>
      <c r="BG106" s="3061"/>
      <c r="BH106" s="3061"/>
      <c r="BI106" s="3061"/>
      <c r="BJ106" s="3061"/>
      <c r="BK106" s="3061"/>
      <c r="BL106" s="3061"/>
      <c r="BM106" s="3061"/>
      <c r="BN106" s="3061"/>
      <c r="BO106" s="3061"/>
      <c r="BP106" s="3061"/>
      <c r="BQ106" s="3061"/>
      <c r="BR106" s="3061"/>
      <c r="BS106" s="3061"/>
      <c r="BT106" s="3061"/>
      <c r="BU106" s="3061"/>
      <c r="BV106" s="3061"/>
      <c r="BW106" s="3061"/>
      <c r="BX106" s="3061"/>
      <c r="BY106" s="3061"/>
      <c r="BZ106" s="3061"/>
      <c r="CA106" s="3061"/>
      <c r="CB106" s="3061"/>
      <c r="CC106" s="3061"/>
      <c r="CD106" s="3061"/>
      <c r="CE106" s="3061"/>
      <c r="CF106" s="3061"/>
      <c r="CG106" s="3061"/>
      <c r="CH106" s="3061"/>
      <c r="CI106" s="3061"/>
      <c r="CJ106" s="3061"/>
      <c r="CK106" s="3061"/>
      <c r="CL106" s="3061"/>
      <c r="CM106" s="3061"/>
      <c r="CN106" s="3061"/>
      <c r="CO106" s="3061"/>
      <c r="CP106" s="3061"/>
      <c r="CQ106" s="3061"/>
      <c r="CR106" s="3061"/>
      <c r="CS106" s="3062"/>
      <c r="CT106" s="3063"/>
      <c r="CU106" s="3064">
        <f t="shared" si="50"/>
        <v>1</v>
      </c>
      <c r="CV106" s="3022" t="str">
        <f>IF(OR(CT106="",CT106="None"),"-",DO106*CU106*SUMIF('Lighting Assumptions'!$G$3:$G$112,'6a - Lighting Counts'!G106,'Lighting Assumptions'!$J$3:$J$112))</f>
        <v>-</v>
      </c>
      <c r="CW106" s="3021"/>
      <c r="CX106" s="3021"/>
      <c r="CY106" s="3046"/>
      <c r="CZ106" s="2098">
        <f t="shared" si="51"/>
        <v>0</v>
      </c>
      <c r="DA106" s="2098" t="str">
        <f t="shared" si="52"/>
        <v>-</v>
      </c>
      <c r="DB106" s="2098">
        <f t="shared" si="53"/>
        <v>0</v>
      </c>
      <c r="DC106" s="3023" t="str">
        <f t="shared" si="54"/>
        <v>-</v>
      </c>
      <c r="DD106" s="3024" t="str">
        <f t="shared" si="55"/>
        <v/>
      </c>
      <c r="DE106" s="3025" t="str">
        <f t="shared" si="56"/>
        <v>-</v>
      </c>
      <c r="DF106" s="3024" t="str">
        <f t="shared" si="47"/>
        <v>-</v>
      </c>
      <c r="DG106" s="2098">
        <f t="shared" si="57"/>
        <v>0</v>
      </c>
      <c r="DH106" s="2098">
        <f t="array" ref="DH106">MIN(SUMPRODUCT(I106:CR106,IF($I$25:$CR$25="yes",1,0),$I$23:$CR$23),H106)</f>
        <v>0</v>
      </c>
      <c r="DI106" s="3026"/>
      <c r="DJ106" s="3021"/>
      <c r="DN106" s="917" t="str">
        <f>IF(CS106="","-",SUMIF('Lighting Assumptions'!$G$3:$G$112,'6a - Lighting Counts'!G106,'Lighting Assumptions'!$J$3:$J$112))</f>
        <v>-</v>
      </c>
      <c r="DO106" s="917" t="str">
        <f t="shared" si="48"/>
        <v>-</v>
      </c>
      <c r="DP106" s="917" t="str">
        <f t="shared" si="49"/>
        <v>-</v>
      </c>
      <c r="DQ106" s="917" t="str">
        <f>IF(LEFT(CELLformula(DF106),3)&lt;&gt;"=IF",1,"")</f>
        <v/>
      </c>
      <c r="DR106" s="917" t="str">
        <f>IF(LEFT(CELLformula(DD106),3)&lt;&gt;"=IF",1,"")</f>
        <v/>
      </c>
      <c r="DS106" s="3048">
        <f t="shared" si="58"/>
        <v>0</v>
      </c>
      <c r="DT106" s="3047" t="str">
        <f t="shared" si="59"/>
        <v/>
      </c>
      <c r="DU106" s="3047" t="str">
        <f>IFERROR(IF(G106="","",SUMIF('Lighting Assumptions'!$G$3:$G$112,'6a - Lighting Counts'!G106,'Lighting Assumptions'!$H$3:$H$112)*IF(SI_IP_Units="SI",10.76,1)),"")</f>
        <v/>
      </c>
      <c r="DV106" s="3047" t="str">
        <f>IFERROR(IF($CX106="","",IF(SI_IP_Units="SI",10.76,1)*SUMIF(BAMCategories,$CY106,'Lighting Assumptions'!$E$3:E$35)),"")</f>
        <v/>
      </c>
      <c r="DW106" s="3047" t="str">
        <f>IFERROR(IF($CX106="","",IF(SI_IP_Units="SI",10.76,1)*SUMIF(BAMCategories,$CY106,IF(bpf_reference="ACP",'Lighting Assumptions 90.1-2010'!$E$3:E$35,'Lighting Assumptions 90.1-2016'!$E$3:E$35))),"")</f>
        <v/>
      </c>
      <c r="EW106" s="855"/>
      <c r="EX106" s="855"/>
      <c r="EY106" s="855"/>
      <c r="EZ106" s="855"/>
    </row>
    <row r="107" spans="4:156" x14ac:dyDescent="0.25">
      <c r="D107" s="3019"/>
      <c r="E107" s="3020"/>
      <c r="F107" s="3021">
        <f t="shared" si="46"/>
        <v>0</v>
      </c>
      <c r="G107" s="3059"/>
      <c r="H107" s="3060"/>
      <c r="I107" s="3061"/>
      <c r="J107" s="3061"/>
      <c r="K107" s="3061"/>
      <c r="L107" s="3061"/>
      <c r="M107" s="3061"/>
      <c r="N107" s="3061"/>
      <c r="O107" s="3061"/>
      <c r="P107" s="3061"/>
      <c r="Q107" s="3061"/>
      <c r="R107" s="3061"/>
      <c r="S107" s="3061"/>
      <c r="T107" s="3061"/>
      <c r="U107" s="3061"/>
      <c r="V107" s="3061"/>
      <c r="W107" s="3061"/>
      <c r="X107" s="3061"/>
      <c r="Y107" s="3061"/>
      <c r="Z107" s="3061"/>
      <c r="AA107" s="3061"/>
      <c r="AB107" s="3061"/>
      <c r="AC107" s="3061"/>
      <c r="AD107" s="3061"/>
      <c r="AE107" s="3061"/>
      <c r="AF107" s="3061"/>
      <c r="AG107" s="3061"/>
      <c r="AH107" s="3061"/>
      <c r="AI107" s="3061"/>
      <c r="AJ107" s="3061"/>
      <c r="AK107" s="3061"/>
      <c r="AL107" s="3061"/>
      <c r="AM107" s="3061"/>
      <c r="AN107" s="3061"/>
      <c r="AO107" s="3061"/>
      <c r="AP107" s="3061"/>
      <c r="AQ107" s="3061"/>
      <c r="AR107" s="3061"/>
      <c r="AS107" s="3061"/>
      <c r="AT107" s="3061"/>
      <c r="AU107" s="3061"/>
      <c r="AV107" s="3061"/>
      <c r="AW107" s="3061"/>
      <c r="AX107" s="3061"/>
      <c r="AY107" s="3061"/>
      <c r="AZ107" s="3061"/>
      <c r="BA107" s="3061"/>
      <c r="BB107" s="3061"/>
      <c r="BC107" s="3061"/>
      <c r="BD107" s="3061"/>
      <c r="BE107" s="3061"/>
      <c r="BF107" s="3061"/>
      <c r="BG107" s="3061"/>
      <c r="BH107" s="3061"/>
      <c r="BI107" s="3061"/>
      <c r="BJ107" s="3061"/>
      <c r="BK107" s="3061"/>
      <c r="BL107" s="3061"/>
      <c r="BM107" s="3061"/>
      <c r="BN107" s="3061"/>
      <c r="BO107" s="3061"/>
      <c r="BP107" s="3061"/>
      <c r="BQ107" s="3061"/>
      <c r="BR107" s="3061"/>
      <c r="BS107" s="3061"/>
      <c r="BT107" s="3061"/>
      <c r="BU107" s="3061"/>
      <c r="BV107" s="3061"/>
      <c r="BW107" s="3061"/>
      <c r="BX107" s="3061"/>
      <c r="BY107" s="3061"/>
      <c r="BZ107" s="3061"/>
      <c r="CA107" s="3061"/>
      <c r="CB107" s="3061"/>
      <c r="CC107" s="3061"/>
      <c r="CD107" s="3061"/>
      <c r="CE107" s="3061"/>
      <c r="CF107" s="3061"/>
      <c r="CG107" s="3061"/>
      <c r="CH107" s="3061"/>
      <c r="CI107" s="3061"/>
      <c r="CJ107" s="3061"/>
      <c r="CK107" s="3061"/>
      <c r="CL107" s="3061"/>
      <c r="CM107" s="3061"/>
      <c r="CN107" s="3061"/>
      <c r="CO107" s="3061"/>
      <c r="CP107" s="3061"/>
      <c r="CQ107" s="3061"/>
      <c r="CR107" s="3061"/>
      <c r="CS107" s="3062"/>
      <c r="CT107" s="3063"/>
      <c r="CU107" s="3064">
        <f t="shared" si="50"/>
        <v>1</v>
      </c>
      <c r="CV107" s="3022" t="str">
        <f>IF(OR(CT107="",CT107="None"),"-",DO107*CU107*SUMIF('Lighting Assumptions'!$G$3:$G$112,'6a - Lighting Counts'!G107,'Lighting Assumptions'!$J$3:$J$112))</f>
        <v>-</v>
      </c>
      <c r="CW107" s="3021"/>
      <c r="CX107" s="3021"/>
      <c r="CY107" s="3046"/>
      <c r="CZ107" s="2098">
        <f t="shared" si="51"/>
        <v>0</v>
      </c>
      <c r="DA107" s="2098" t="str">
        <f t="shared" si="52"/>
        <v>-</v>
      </c>
      <c r="DB107" s="2098">
        <f t="shared" si="53"/>
        <v>0</v>
      </c>
      <c r="DC107" s="3023" t="str">
        <f t="shared" si="54"/>
        <v>-</v>
      </c>
      <c r="DD107" s="3024" t="str">
        <f t="shared" si="55"/>
        <v/>
      </c>
      <c r="DE107" s="3025" t="str">
        <f t="shared" si="56"/>
        <v>-</v>
      </c>
      <c r="DF107" s="3024" t="str">
        <f t="shared" si="47"/>
        <v>-</v>
      </c>
      <c r="DG107" s="2098">
        <f t="shared" si="57"/>
        <v>0</v>
      </c>
      <c r="DH107" s="2098">
        <f t="array" ref="DH107">MIN(SUMPRODUCT(I107:CR107,IF($I$25:$CR$25="yes",1,0),$I$23:$CR$23),H107)</f>
        <v>0</v>
      </c>
      <c r="DI107" s="3026"/>
      <c r="DJ107" s="3021"/>
      <c r="DN107" s="917" t="str">
        <f>IF(CS107="","-",SUMIF('Lighting Assumptions'!$G$3:$G$112,'6a - Lighting Counts'!G107,'Lighting Assumptions'!$J$3:$J$112))</f>
        <v>-</v>
      </c>
      <c r="DO107" s="917" t="str">
        <f t="shared" si="48"/>
        <v>-</v>
      </c>
      <c r="DP107" s="917" t="str">
        <f t="shared" si="49"/>
        <v>-</v>
      </c>
      <c r="DQ107" s="917" t="str">
        <f>IF(LEFT(CELLformula(DF107),3)&lt;&gt;"=IF",1,"")</f>
        <v/>
      </c>
      <c r="DR107" s="917" t="str">
        <f>IF(LEFT(CELLformula(DD107),3)&lt;&gt;"=IF",1,"")</f>
        <v/>
      </c>
      <c r="DS107" s="3048">
        <f t="shared" si="58"/>
        <v>0</v>
      </c>
      <c r="DT107" s="3047" t="str">
        <f t="shared" si="59"/>
        <v/>
      </c>
      <c r="DU107" s="3047" t="str">
        <f>IFERROR(IF(G107="","",SUMIF('Lighting Assumptions'!$G$3:$G$112,'6a - Lighting Counts'!G107,'Lighting Assumptions'!$H$3:$H$112)*IF(SI_IP_Units="SI",10.76,1)),"")</f>
        <v/>
      </c>
      <c r="DV107" s="3047" t="str">
        <f>IFERROR(IF($CX107="","",IF(SI_IP_Units="SI",10.76,1)*SUMIF(BAMCategories,$CY107,'Lighting Assumptions'!$E$3:E$35)),"")</f>
        <v/>
      </c>
      <c r="DW107" s="3047" t="str">
        <f>IFERROR(IF($CX107="","",IF(SI_IP_Units="SI",10.76,1)*SUMIF(BAMCategories,$CY107,IF(bpf_reference="ACP",'Lighting Assumptions 90.1-2010'!$E$3:E$35,'Lighting Assumptions 90.1-2016'!$E$3:E$35))),"")</f>
        <v/>
      </c>
      <c r="EW107" s="855"/>
      <c r="EX107" s="855"/>
      <c r="EY107" s="855"/>
      <c r="EZ107" s="855"/>
    </row>
    <row r="108" spans="4:156" x14ac:dyDescent="0.25">
      <c r="D108" s="3019"/>
      <c r="E108" s="3020"/>
      <c r="F108" s="3021">
        <f t="shared" si="46"/>
        <v>0</v>
      </c>
      <c r="G108" s="3059"/>
      <c r="H108" s="3060"/>
      <c r="I108" s="3061"/>
      <c r="J108" s="3061"/>
      <c r="K108" s="3061"/>
      <c r="L108" s="3061"/>
      <c r="M108" s="3061"/>
      <c r="N108" s="3061"/>
      <c r="O108" s="3061"/>
      <c r="P108" s="3061"/>
      <c r="Q108" s="3061"/>
      <c r="R108" s="3061"/>
      <c r="S108" s="3061"/>
      <c r="T108" s="3061"/>
      <c r="U108" s="3061"/>
      <c r="V108" s="3061"/>
      <c r="W108" s="3061"/>
      <c r="X108" s="3061"/>
      <c r="Y108" s="3061"/>
      <c r="Z108" s="3061"/>
      <c r="AA108" s="3061"/>
      <c r="AB108" s="3061"/>
      <c r="AC108" s="3061"/>
      <c r="AD108" s="3061"/>
      <c r="AE108" s="3061"/>
      <c r="AF108" s="3061"/>
      <c r="AG108" s="3061"/>
      <c r="AH108" s="3061"/>
      <c r="AI108" s="3061"/>
      <c r="AJ108" s="3061"/>
      <c r="AK108" s="3061"/>
      <c r="AL108" s="3061"/>
      <c r="AM108" s="3061"/>
      <c r="AN108" s="3061"/>
      <c r="AO108" s="3061"/>
      <c r="AP108" s="3061"/>
      <c r="AQ108" s="3061"/>
      <c r="AR108" s="3061"/>
      <c r="AS108" s="3061"/>
      <c r="AT108" s="3061"/>
      <c r="AU108" s="3061"/>
      <c r="AV108" s="3061"/>
      <c r="AW108" s="3061"/>
      <c r="AX108" s="3061"/>
      <c r="AY108" s="3061"/>
      <c r="AZ108" s="3061"/>
      <c r="BA108" s="3061"/>
      <c r="BB108" s="3061"/>
      <c r="BC108" s="3061"/>
      <c r="BD108" s="3061"/>
      <c r="BE108" s="3061"/>
      <c r="BF108" s="3061"/>
      <c r="BG108" s="3061"/>
      <c r="BH108" s="3061"/>
      <c r="BI108" s="3061"/>
      <c r="BJ108" s="3061"/>
      <c r="BK108" s="3061"/>
      <c r="BL108" s="3061"/>
      <c r="BM108" s="3061"/>
      <c r="BN108" s="3061"/>
      <c r="BO108" s="3061"/>
      <c r="BP108" s="3061"/>
      <c r="BQ108" s="3061"/>
      <c r="BR108" s="3061"/>
      <c r="BS108" s="3061"/>
      <c r="BT108" s="3061"/>
      <c r="BU108" s="3061"/>
      <c r="BV108" s="3061"/>
      <c r="BW108" s="3061"/>
      <c r="BX108" s="3061"/>
      <c r="BY108" s="3061"/>
      <c r="BZ108" s="3061"/>
      <c r="CA108" s="3061"/>
      <c r="CB108" s="3061"/>
      <c r="CC108" s="3061"/>
      <c r="CD108" s="3061"/>
      <c r="CE108" s="3061"/>
      <c r="CF108" s="3061"/>
      <c r="CG108" s="3061"/>
      <c r="CH108" s="3061"/>
      <c r="CI108" s="3061"/>
      <c r="CJ108" s="3061"/>
      <c r="CK108" s="3061"/>
      <c r="CL108" s="3061"/>
      <c r="CM108" s="3061"/>
      <c r="CN108" s="3061"/>
      <c r="CO108" s="3061"/>
      <c r="CP108" s="3061"/>
      <c r="CQ108" s="3061"/>
      <c r="CR108" s="3061"/>
      <c r="CS108" s="3062"/>
      <c r="CT108" s="3063"/>
      <c r="CU108" s="3064">
        <f t="shared" si="50"/>
        <v>1</v>
      </c>
      <c r="CV108" s="3022" t="str">
        <f>IF(OR(CT108="",CT108="None"),"-",DO108*CU108*SUMIF('Lighting Assumptions'!$G$3:$G$112,'6a - Lighting Counts'!G108,'Lighting Assumptions'!$J$3:$J$112))</f>
        <v>-</v>
      </c>
      <c r="CW108" s="3021"/>
      <c r="CX108" s="3021"/>
      <c r="CY108" s="3046"/>
      <c r="CZ108" s="2098">
        <f t="shared" si="51"/>
        <v>0</v>
      </c>
      <c r="DA108" s="2098" t="str">
        <f t="shared" si="52"/>
        <v>-</v>
      </c>
      <c r="DB108" s="2098">
        <f t="shared" si="53"/>
        <v>0</v>
      </c>
      <c r="DC108" s="3023" t="str">
        <f t="shared" si="54"/>
        <v>-</v>
      </c>
      <c r="DD108" s="3024" t="str">
        <f t="shared" si="55"/>
        <v/>
      </c>
      <c r="DE108" s="3025" t="str">
        <f t="shared" si="56"/>
        <v>-</v>
      </c>
      <c r="DF108" s="3024" t="str">
        <f t="shared" si="47"/>
        <v>-</v>
      </c>
      <c r="DG108" s="2098">
        <f t="shared" si="57"/>
        <v>0</v>
      </c>
      <c r="DH108" s="2098">
        <f t="array" ref="DH108">MIN(SUMPRODUCT(I108:CR108,IF($I$25:$CR$25="yes",1,0),$I$23:$CR$23),H108)</f>
        <v>0</v>
      </c>
      <c r="DI108" s="3026"/>
      <c r="DJ108" s="3021"/>
      <c r="DN108" s="917" t="str">
        <f>IF(CS108="","-",SUMIF('Lighting Assumptions'!$G$3:$G$112,'6a - Lighting Counts'!G108,'Lighting Assumptions'!$J$3:$J$112))</f>
        <v>-</v>
      </c>
      <c r="DO108" s="917" t="str">
        <f t="shared" si="48"/>
        <v>-</v>
      </c>
      <c r="DP108" s="917" t="str">
        <f t="shared" si="49"/>
        <v>-</v>
      </c>
      <c r="DQ108" s="917" t="str">
        <f>IF(LEFT(CELLformula(DF108),3)&lt;&gt;"=IF",1,"")</f>
        <v/>
      </c>
      <c r="DR108" s="917" t="str">
        <f>IF(LEFT(CELLformula(DD108),3)&lt;&gt;"=IF",1,"")</f>
        <v/>
      </c>
      <c r="DS108" s="3048">
        <f t="shared" si="58"/>
        <v>0</v>
      </c>
      <c r="DT108" s="3047" t="str">
        <f t="shared" si="59"/>
        <v/>
      </c>
      <c r="DU108" s="3047" t="str">
        <f>IFERROR(IF(G108="","",SUMIF('Lighting Assumptions'!$G$3:$G$112,'6a - Lighting Counts'!G108,'Lighting Assumptions'!$H$3:$H$112)*IF(SI_IP_Units="SI",10.76,1)),"")</f>
        <v/>
      </c>
      <c r="DV108" s="3047" t="str">
        <f>IFERROR(IF($CX108="","",IF(SI_IP_Units="SI",10.76,1)*SUMIF(BAMCategories,$CY108,'Lighting Assumptions'!$E$3:E$35)),"")</f>
        <v/>
      </c>
      <c r="DW108" s="3047" t="str">
        <f>IFERROR(IF($CX108="","",IF(SI_IP_Units="SI",10.76,1)*SUMIF(BAMCategories,$CY108,IF(bpf_reference="ACP",'Lighting Assumptions 90.1-2010'!$E$3:E$35,'Lighting Assumptions 90.1-2016'!$E$3:E$35))),"")</f>
        <v/>
      </c>
      <c r="EW108" s="855"/>
      <c r="EX108" s="855"/>
      <c r="EY108" s="855"/>
      <c r="EZ108" s="855"/>
    </row>
    <row r="109" spans="4:156" x14ac:dyDescent="0.25">
      <c r="D109" s="3019"/>
      <c r="E109" s="3020"/>
      <c r="F109" s="3021">
        <f t="shared" si="46"/>
        <v>0</v>
      </c>
      <c r="G109" s="3059"/>
      <c r="H109" s="3060"/>
      <c r="I109" s="3061"/>
      <c r="J109" s="3061"/>
      <c r="K109" s="3061"/>
      <c r="L109" s="3061"/>
      <c r="M109" s="3061"/>
      <c r="N109" s="3061"/>
      <c r="O109" s="3061"/>
      <c r="P109" s="3061"/>
      <c r="Q109" s="3061"/>
      <c r="R109" s="3061"/>
      <c r="S109" s="3061"/>
      <c r="T109" s="3061"/>
      <c r="U109" s="3061"/>
      <c r="V109" s="3061"/>
      <c r="W109" s="3061"/>
      <c r="X109" s="3061"/>
      <c r="Y109" s="3061"/>
      <c r="Z109" s="3061"/>
      <c r="AA109" s="3061"/>
      <c r="AB109" s="3061"/>
      <c r="AC109" s="3061"/>
      <c r="AD109" s="3061"/>
      <c r="AE109" s="3061"/>
      <c r="AF109" s="3061"/>
      <c r="AG109" s="3061"/>
      <c r="AH109" s="3061"/>
      <c r="AI109" s="3061"/>
      <c r="AJ109" s="3061"/>
      <c r="AK109" s="3061"/>
      <c r="AL109" s="3061"/>
      <c r="AM109" s="3061"/>
      <c r="AN109" s="3061"/>
      <c r="AO109" s="3061"/>
      <c r="AP109" s="3061"/>
      <c r="AQ109" s="3061"/>
      <c r="AR109" s="3061"/>
      <c r="AS109" s="3061"/>
      <c r="AT109" s="3061"/>
      <c r="AU109" s="3061"/>
      <c r="AV109" s="3061"/>
      <c r="AW109" s="3061"/>
      <c r="AX109" s="3061"/>
      <c r="AY109" s="3061"/>
      <c r="AZ109" s="3061"/>
      <c r="BA109" s="3061"/>
      <c r="BB109" s="3061"/>
      <c r="BC109" s="3061"/>
      <c r="BD109" s="3061"/>
      <c r="BE109" s="3061"/>
      <c r="BF109" s="3061"/>
      <c r="BG109" s="3061"/>
      <c r="BH109" s="3061"/>
      <c r="BI109" s="3061"/>
      <c r="BJ109" s="3061"/>
      <c r="BK109" s="3061"/>
      <c r="BL109" s="3061"/>
      <c r="BM109" s="3061"/>
      <c r="BN109" s="3061"/>
      <c r="BO109" s="3061"/>
      <c r="BP109" s="3061"/>
      <c r="BQ109" s="3061"/>
      <c r="BR109" s="3061"/>
      <c r="BS109" s="3061"/>
      <c r="BT109" s="3061"/>
      <c r="BU109" s="3061"/>
      <c r="BV109" s="3061"/>
      <c r="BW109" s="3061"/>
      <c r="BX109" s="3061"/>
      <c r="BY109" s="3061"/>
      <c r="BZ109" s="3061"/>
      <c r="CA109" s="3061"/>
      <c r="CB109" s="3061"/>
      <c r="CC109" s="3061"/>
      <c r="CD109" s="3061"/>
      <c r="CE109" s="3061"/>
      <c r="CF109" s="3061"/>
      <c r="CG109" s="3061"/>
      <c r="CH109" s="3061"/>
      <c r="CI109" s="3061"/>
      <c r="CJ109" s="3061"/>
      <c r="CK109" s="3061"/>
      <c r="CL109" s="3061"/>
      <c r="CM109" s="3061"/>
      <c r="CN109" s="3061"/>
      <c r="CO109" s="3061"/>
      <c r="CP109" s="3061"/>
      <c r="CQ109" s="3061"/>
      <c r="CR109" s="3061"/>
      <c r="CS109" s="3062"/>
      <c r="CT109" s="3063"/>
      <c r="CU109" s="3064">
        <f t="shared" si="50"/>
        <v>1</v>
      </c>
      <c r="CV109" s="3022" t="str">
        <f>IF(OR(CT109="",CT109="None"),"-",DO109*CU109*SUMIF('Lighting Assumptions'!$G$3:$G$112,'6a - Lighting Counts'!G109,'Lighting Assumptions'!$J$3:$J$112))</f>
        <v>-</v>
      </c>
      <c r="CW109" s="3021"/>
      <c r="CX109" s="3021"/>
      <c r="CY109" s="3046"/>
      <c r="CZ109" s="2098">
        <f t="shared" si="51"/>
        <v>0</v>
      </c>
      <c r="DA109" s="2098" t="str">
        <f t="shared" si="52"/>
        <v>-</v>
      </c>
      <c r="DB109" s="2098">
        <f t="shared" si="53"/>
        <v>0</v>
      </c>
      <c r="DC109" s="3023" t="str">
        <f t="shared" si="54"/>
        <v>-</v>
      </c>
      <c r="DD109" s="3024" t="str">
        <f t="shared" si="55"/>
        <v/>
      </c>
      <c r="DE109" s="3025" t="str">
        <f t="shared" si="56"/>
        <v>-</v>
      </c>
      <c r="DF109" s="3024" t="str">
        <f t="shared" si="47"/>
        <v>-</v>
      </c>
      <c r="DG109" s="2098">
        <f t="shared" si="57"/>
        <v>0</v>
      </c>
      <c r="DH109" s="2098">
        <f t="array" ref="DH109">MIN(SUMPRODUCT(I109:CR109,IF($I$25:$CR$25="yes",1,0),$I$23:$CR$23),H109)</f>
        <v>0</v>
      </c>
      <c r="DI109" s="3026"/>
      <c r="DJ109" s="3021"/>
      <c r="DN109" s="917" t="str">
        <f>IF(CS109="","-",SUMIF('Lighting Assumptions'!$G$3:$G$112,'6a - Lighting Counts'!G109,'Lighting Assumptions'!$J$3:$J$112))</f>
        <v>-</v>
      </c>
      <c r="DO109" s="917" t="str">
        <f t="shared" si="48"/>
        <v>-</v>
      </c>
      <c r="DP109" s="917" t="str">
        <f t="shared" si="49"/>
        <v>-</v>
      </c>
      <c r="DQ109" s="917" t="str">
        <f>IF(LEFT(CELLformula(DF109),3)&lt;&gt;"=IF",1,"")</f>
        <v/>
      </c>
      <c r="DR109" s="917" t="str">
        <f>IF(LEFT(CELLformula(DD109),3)&lt;&gt;"=IF",1,"")</f>
        <v/>
      </c>
      <c r="DS109" s="3048">
        <f t="shared" si="58"/>
        <v>0</v>
      </c>
      <c r="DT109" s="3047" t="str">
        <f t="shared" si="59"/>
        <v/>
      </c>
      <c r="DU109" s="3047" t="str">
        <f>IFERROR(IF(G109="","",SUMIF('Lighting Assumptions'!$G$3:$G$112,'6a - Lighting Counts'!G109,'Lighting Assumptions'!$H$3:$H$112)*IF(SI_IP_Units="SI",10.76,1)),"")</f>
        <v/>
      </c>
      <c r="DV109" s="3047" t="str">
        <f>IFERROR(IF($CX109="","",IF(SI_IP_Units="SI",10.76,1)*SUMIF(BAMCategories,$CY109,'Lighting Assumptions'!$E$3:E$35)),"")</f>
        <v/>
      </c>
      <c r="DW109" s="3047" t="str">
        <f>IFERROR(IF($CX109="","",IF(SI_IP_Units="SI",10.76,1)*SUMIF(BAMCategories,$CY109,IF(bpf_reference="ACP",'Lighting Assumptions 90.1-2010'!$E$3:E$35,'Lighting Assumptions 90.1-2016'!$E$3:E$35))),"")</f>
        <v/>
      </c>
      <c r="EW109" s="855"/>
      <c r="EX109" s="855"/>
      <c r="EY109" s="855"/>
      <c r="EZ109" s="855"/>
    </row>
    <row r="110" spans="4:156" x14ac:dyDescent="0.25">
      <c r="D110" s="3019"/>
      <c r="E110" s="3020"/>
      <c r="F110" s="3021">
        <f t="shared" si="46"/>
        <v>0</v>
      </c>
      <c r="G110" s="3059"/>
      <c r="H110" s="3060"/>
      <c r="I110" s="3061"/>
      <c r="J110" s="3061"/>
      <c r="K110" s="3061"/>
      <c r="L110" s="3061"/>
      <c r="M110" s="3061"/>
      <c r="N110" s="3061"/>
      <c r="O110" s="3061"/>
      <c r="P110" s="3061"/>
      <c r="Q110" s="3061"/>
      <c r="R110" s="3061"/>
      <c r="S110" s="3061"/>
      <c r="T110" s="3061"/>
      <c r="U110" s="3061"/>
      <c r="V110" s="3061"/>
      <c r="W110" s="3061"/>
      <c r="X110" s="3061"/>
      <c r="Y110" s="3061"/>
      <c r="Z110" s="3061"/>
      <c r="AA110" s="3061"/>
      <c r="AB110" s="3061"/>
      <c r="AC110" s="3061"/>
      <c r="AD110" s="3061"/>
      <c r="AE110" s="3061"/>
      <c r="AF110" s="3061"/>
      <c r="AG110" s="3061"/>
      <c r="AH110" s="3061"/>
      <c r="AI110" s="3061"/>
      <c r="AJ110" s="3061"/>
      <c r="AK110" s="3061"/>
      <c r="AL110" s="3061"/>
      <c r="AM110" s="3061"/>
      <c r="AN110" s="3061"/>
      <c r="AO110" s="3061"/>
      <c r="AP110" s="3061"/>
      <c r="AQ110" s="3061"/>
      <c r="AR110" s="3061"/>
      <c r="AS110" s="3061"/>
      <c r="AT110" s="3061"/>
      <c r="AU110" s="3061"/>
      <c r="AV110" s="3061"/>
      <c r="AW110" s="3061"/>
      <c r="AX110" s="3061"/>
      <c r="AY110" s="3061"/>
      <c r="AZ110" s="3061"/>
      <c r="BA110" s="3061"/>
      <c r="BB110" s="3061"/>
      <c r="BC110" s="3061"/>
      <c r="BD110" s="3061"/>
      <c r="BE110" s="3061"/>
      <c r="BF110" s="3061"/>
      <c r="BG110" s="3061"/>
      <c r="BH110" s="3061"/>
      <c r="BI110" s="3061"/>
      <c r="BJ110" s="3061"/>
      <c r="BK110" s="3061"/>
      <c r="BL110" s="3061"/>
      <c r="BM110" s="3061"/>
      <c r="BN110" s="3061"/>
      <c r="BO110" s="3061"/>
      <c r="BP110" s="3061"/>
      <c r="BQ110" s="3061"/>
      <c r="BR110" s="3061"/>
      <c r="BS110" s="3061"/>
      <c r="BT110" s="3061"/>
      <c r="BU110" s="3061"/>
      <c r="BV110" s="3061"/>
      <c r="BW110" s="3061"/>
      <c r="BX110" s="3061"/>
      <c r="BY110" s="3061"/>
      <c r="BZ110" s="3061"/>
      <c r="CA110" s="3061"/>
      <c r="CB110" s="3061"/>
      <c r="CC110" s="3061"/>
      <c r="CD110" s="3061"/>
      <c r="CE110" s="3061"/>
      <c r="CF110" s="3061"/>
      <c r="CG110" s="3061"/>
      <c r="CH110" s="3061"/>
      <c r="CI110" s="3061"/>
      <c r="CJ110" s="3061"/>
      <c r="CK110" s="3061"/>
      <c r="CL110" s="3061"/>
      <c r="CM110" s="3061"/>
      <c r="CN110" s="3061"/>
      <c r="CO110" s="3061"/>
      <c r="CP110" s="3061"/>
      <c r="CQ110" s="3061"/>
      <c r="CR110" s="3061"/>
      <c r="CS110" s="3062"/>
      <c r="CT110" s="3063"/>
      <c r="CU110" s="3064">
        <f t="shared" si="50"/>
        <v>1</v>
      </c>
      <c r="CV110" s="3022" t="str">
        <f>IF(OR(CT110="",CT110="None"),"-",DO110*CU110*SUMIF('Lighting Assumptions'!$G$3:$G$112,'6a - Lighting Counts'!G110,'Lighting Assumptions'!$J$3:$J$112))</f>
        <v>-</v>
      </c>
      <c r="CW110" s="3021"/>
      <c r="CX110" s="3021"/>
      <c r="CY110" s="3046"/>
      <c r="CZ110" s="2098">
        <f t="shared" si="51"/>
        <v>0</v>
      </c>
      <c r="DA110" s="2098" t="str">
        <f t="shared" si="52"/>
        <v>-</v>
      </c>
      <c r="DB110" s="2098">
        <f t="shared" si="53"/>
        <v>0</v>
      </c>
      <c r="DC110" s="3023" t="str">
        <f t="shared" si="54"/>
        <v>-</v>
      </c>
      <c r="DD110" s="3024" t="str">
        <f t="shared" si="55"/>
        <v/>
      </c>
      <c r="DE110" s="3025" t="str">
        <f t="shared" si="56"/>
        <v>-</v>
      </c>
      <c r="DF110" s="3024" t="str">
        <f t="shared" si="47"/>
        <v>-</v>
      </c>
      <c r="DG110" s="2098">
        <f t="shared" si="57"/>
        <v>0</v>
      </c>
      <c r="DH110" s="2098">
        <f t="array" ref="DH110">MIN(SUMPRODUCT(I110:CR110,IF($I$25:$CR$25="yes",1,0),$I$23:$CR$23),H110)</f>
        <v>0</v>
      </c>
      <c r="DI110" s="3026"/>
      <c r="DJ110" s="3021"/>
      <c r="DN110" s="917" t="str">
        <f>IF(CS110="","-",SUMIF('Lighting Assumptions'!$G$3:$G$112,'6a - Lighting Counts'!G110,'Lighting Assumptions'!$J$3:$J$112))</f>
        <v>-</v>
      </c>
      <c r="DO110" s="917" t="str">
        <f t="shared" si="48"/>
        <v>-</v>
      </c>
      <c r="DP110" s="917" t="str">
        <f t="shared" si="49"/>
        <v>-</v>
      </c>
      <c r="DQ110" s="917" t="str">
        <f>IF(LEFT(CELLformula(DF110),3)&lt;&gt;"=IF",1,"")</f>
        <v/>
      </c>
      <c r="DR110" s="917" t="str">
        <f>IF(LEFT(CELLformula(DD110),3)&lt;&gt;"=IF",1,"")</f>
        <v/>
      </c>
      <c r="DS110" s="3048">
        <f t="shared" si="58"/>
        <v>0</v>
      </c>
      <c r="DT110" s="3047" t="str">
        <f t="shared" si="59"/>
        <v/>
      </c>
      <c r="DU110" s="3047" t="str">
        <f>IFERROR(IF(G110="","",SUMIF('Lighting Assumptions'!$G$3:$G$112,'6a - Lighting Counts'!G110,'Lighting Assumptions'!$H$3:$H$112)*IF(SI_IP_Units="SI",10.76,1)),"")</f>
        <v/>
      </c>
      <c r="DV110" s="3047" t="str">
        <f>IFERROR(IF($CX110="","",IF(SI_IP_Units="SI",10.76,1)*SUMIF(BAMCategories,$CY110,'Lighting Assumptions'!$E$3:E$35)),"")</f>
        <v/>
      </c>
      <c r="DW110" s="3047" t="str">
        <f>IFERROR(IF($CX110="","",IF(SI_IP_Units="SI",10.76,1)*SUMIF(BAMCategories,$CY110,IF(bpf_reference="ACP",'Lighting Assumptions 90.1-2010'!$E$3:E$35,'Lighting Assumptions 90.1-2016'!$E$3:E$35))),"")</f>
        <v/>
      </c>
      <c r="EW110" s="855"/>
      <c r="EX110" s="855"/>
      <c r="EY110" s="855"/>
      <c r="EZ110" s="855"/>
    </row>
    <row r="111" spans="4:156" x14ac:dyDescent="0.25">
      <c r="D111" s="3019"/>
      <c r="E111" s="3020"/>
      <c r="F111" s="3021">
        <f t="shared" si="46"/>
        <v>0</v>
      </c>
      <c r="G111" s="3059"/>
      <c r="H111" s="3060"/>
      <c r="I111" s="3061"/>
      <c r="J111" s="3061"/>
      <c r="K111" s="3061"/>
      <c r="L111" s="3061"/>
      <c r="M111" s="3061"/>
      <c r="N111" s="3061"/>
      <c r="O111" s="3061"/>
      <c r="P111" s="3061"/>
      <c r="Q111" s="3061"/>
      <c r="R111" s="3061"/>
      <c r="S111" s="3061"/>
      <c r="T111" s="3061"/>
      <c r="U111" s="3061"/>
      <c r="V111" s="3061"/>
      <c r="W111" s="3061"/>
      <c r="X111" s="3061"/>
      <c r="Y111" s="3061"/>
      <c r="Z111" s="3061"/>
      <c r="AA111" s="3061"/>
      <c r="AB111" s="3061"/>
      <c r="AC111" s="3061"/>
      <c r="AD111" s="3061"/>
      <c r="AE111" s="3061"/>
      <c r="AF111" s="3061"/>
      <c r="AG111" s="3061"/>
      <c r="AH111" s="3061"/>
      <c r="AI111" s="3061"/>
      <c r="AJ111" s="3061"/>
      <c r="AK111" s="3061"/>
      <c r="AL111" s="3061"/>
      <c r="AM111" s="3061"/>
      <c r="AN111" s="3061"/>
      <c r="AO111" s="3061"/>
      <c r="AP111" s="3061"/>
      <c r="AQ111" s="3061"/>
      <c r="AR111" s="3061"/>
      <c r="AS111" s="3061"/>
      <c r="AT111" s="3061"/>
      <c r="AU111" s="3061"/>
      <c r="AV111" s="3061"/>
      <c r="AW111" s="3061"/>
      <c r="AX111" s="3061"/>
      <c r="AY111" s="3061"/>
      <c r="AZ111" s="3061"/>
      <c r="BA111" s="3061"/>
      <c r="BB111" s="3061"/>
      <c r="BC111" s="3061"/>
      <c r="BD111" s="3061"/>
      <c r="BE111" s="3061"/>
      <c r="BF111" s="3061"/>
      <c r="BG111" s="3061"/>
      <c r="BH111" s="3061"/>
      <c r="BI111" s="3061"/>
      <c r="BJ111" s="3061"/>
      <c r="BK111" s="3061"/>
      <c r="BL111" s="3061"/>
      <c r="BM111" s="3061"/>
      <c r="BN111" s="3061"/>
      <c r="BO111" s="3061"/>
      <c r="BP111" s="3061"/>
      <c r="BQ111" s="3061"/>
      <c r="BR111" s="3061"/>
      <c r="BS111" s="3061"/>
      <c r="BT111" s="3061"/>
      <c r="BU111" s="3061"/>
      <c r="BV111" s="3061"/>
      <c r="BW111" s="3061"/>
      <c r="BX111" s="3061"/>
      <c r="BY111" s="3061"/>
      <c r="BZ111" s="3061"/>
      <c r="CA111" s="3061"/>
      <c r="CB111" s="3061"/>
      <c r="CC111" s="3061"/>
      <c r="CD111" s="3061"/>
      <c r="CE111" s="3061"/>
      <c r="CF111" s="3061"/>
      <c r="CG111" s="3061"/>
      <c r="CH111" s="3061"/>
      <c r="CI111" s="3061"/>
      <c r="CJ111" s="3061"/>
      <c r="CK111" s="3061"/>
      <c r="CL111" s="3061"/>
      <c r="CM111" s="3061"/>
      <c r="CN111" s="3061"/>
      <c r="CO111" s="3061"/>
      <c r="CP111" s="3061"/>
      <c r="CQ111" s="3061"/>
      <c r="CR111" s="3061"/>
      <c r="CS111" s="3062"/>
      <c r="CT111" s="3063"/>
      <c r="CU111" s="3064">
        <f t="shared" si="50"/>
        <v>1</v>
      </c>
      <c r="CV111" s="3022" t="str">
        <f>IF(OR(CT111="",CT111="None"),"-",DO111*CU111*SUMIF('Lighting Assumptions'!$G$3:$G$112,'6a - Lighting Counts'!G111,'Lighting Assumptions'!$J$3:$J$112))</f>
        <v>-</v>
      </c>
      <c r="CW111" s="3021"/>
      <c r="CX111" s="3021"/>
      <c r="CY111" s="3046"/>
      <c r="CZ111" s="2098">
        <f t="shared" si="51"/>
        <v>0</v>
      </c>
      <c r="DA111" s="2098" t="str">
        <f t="shared" si="52"/>
        <v>-</v>
      </c>
      <c r="DB111" s="2098">
        <f t="shared" si="53"/>
        <v>0</v>
      </c>
      <c r="DC111" s="3023" t="str">
        <f t="shared" si="54"/>
        <v>-</v>
      </c>
      <c r="DD111" s="3024" t="str">
        <f t="shared" si="55"/>
        <v/>
      </c>
      <c r="DE111" s="3025" t="str">
        <f t="shared" si="56"/>
        <v>-</v>
      </c>
      <c r="DF111" s="3024" t="str">
        <f t="shared" si="47"/>
        <v>-</v>
      </c>
      <c r="DG111" s="2098">
        <f t="shared" si="57"/>
        <v>0</v>
      </c>
      <c r="DH111" s="2098">
        <f t="array" ref="DH111">MIN(SUMPRODUCT(I111:CR111,IF($I$25:$CR$25="yes",1,0),$I$23:$CR$23),H111)</f>
        <v>0</v>
      </c>
      <c r="DI111" s="3026"/>
      <c r="DJ111" s="3021"/>
      <c r="DN111" s="917" t="str">
        <f>IF(CS111="","-",SUMIF('Lighting Assumptions'!$G$3:$G$112,'6a - Lighting Counts'!G111,'Lighting Assumptions'!$J$3:$J$112))</f>
        <v>-</v>
      </c>
      <c r="DO111" s="917" t="str">
        <f t="shared" si="48"/>
        <v>-</v>
      </c>
      <c r="DP111" s="917" t="str">
        <f t="shared" si="49"/>
        <v>-</v>
      </c>
      <c r="DQ111" s="917" t="str">
        <f>IF(LEFT(CELLformula(DF111),3)&lt;&gt;"=IF",1,"")</f>
        <v/>
      </c>
      <c r="DR111" s="917" t="str">
        <f>IF(LEFT(CELLformula(DD111),3)&lt;&gt;"=IF",1,"")</f>
        <v/>
      </c>
      <c r="DS111" s="3048">
        <f t="shared" si="58"/>
        <v>0</v>
      </c>
      <c r="DT111" s="3047" t="str">
        <f t="shared" si="59"/>
        <v/>
      </c>
      <c r="DU111" s="3047" t="str">
        <f>IFERROR(IF(G111="","",SUMIF('Lighting Assumptions'!$G$3:$G$112,'6a - Lighting Counts'!G111,'Lighting Assumptions'!$H$3:$H$112)*IF(SI_IP_Units="SI",10.76,1)),"")</f>
        <v/>
      </c>
      <c r="DV111" s="3047" t="str">
        <f>IFERROR(IF($CX111="","",IF(SI_IP_Units="SI",10.76,1)*SUMIF(BAMCategories,$CY111,'Lighting Assumptions'!$E$3:E$35)),"")</f>
        <v/>
      </c>
      <c r="DW111" s="3047" t="str">
        <f>IFERROR(IF($CX111="","",IF(SI_IP_Units="SI",10.76,1)*SUMIF(BAMCategories,$CY111,IF(bpf_reference="ACP",'Lighting Assumptions 90.1-2010'!$E$3:E$35,'Lighting Assumptions 90.1-2016'!$E$3:E$35))),"")</f>
        <v/>
      </c>
      <c r="EW111" s="855"/>
      <c r="EX111" s="855"/>
      <c r="EY111" s="855"/>
      <c r="EZ111" s="855"/>
    </row>
    <row r="112" spans="4:156" x14ac:dyDescent="0.25">
      <c r="D112" s="3019"/>
      <c r="E112" s="3020"/>
      <c r="F112" s="3021">
        <f t="shared" si="46"/>
        <v>0</v>
      </c>
      <c r="G112" s="3059"/>
      <c r="H112" s="3060"/>
      <c r="I112" s="3061"/>
      <c r="J112" s="3061"/>
      <c r="K112" s="3061"/>
      <c r="L112" s="3061"/>
      <c r="M112" s="3061"/>
      <c r="N112" s="3061"/>
      <c r="O112" s="3061"/>
      <c r="P112" s="3061"/>
      <c r="Q112" s="3061"/>
      <c r="R112" s="3061"/>
      <c r="S112" s="3061"/>
      <c r="T112" s="3061"/>
      <c r="U112" s="3061"/>
      <c r="V112" s="3061"/>
      <c r="W112" s="3061"/>
      <c r="X112" s="3061"/>
      <c r="Y112" s="3061"/>
      <c r="Z112" s="3061"/>
      <c r="AA112" s="3061"/>
      <c r="AB112" s="3061"/>
      <c r="AC112" s="3061"/>
      <c r="AD112" s="3061"/>
      <c r="AE112" s="3061"/>
      <c r="AF112" s="3061"/>
      <c r="AG112" s="3061"/>
      <c r="AH112" s="3061"/>
      <c r="AI112" s="3061"/>
      <c r="AJ112" s="3061"/>
      <c r="AK112" s="3061"/>
      <c r="AL112" s="3061"/>
      <c r="AM112" s="3061"/>
      <c r="AN112" s="3061"/>
      <c r="AO112" s="3061"/>
      <c r="AP112" s="3061"/>
      <c r="AQ112" s="3061"/>
      <c r="AR112" s="3061"/>
      <c r="AS112" s="3061"/>
      <c r="AT112" s="3061"/>
      <c r="AU112" s="3061"/>
      <c r="AV112" s="3061"/>
      <c r="AW112" s="3061"/>
      <c r="AX112" s="3061"/>
      <c r="AY112" s="3061"/>
      <c r="AZ112" s="3061"/>
      <c r="BA112" s="3061"/>
      <c r="BB112" s="3061"/>
      <c r="BC112" s="3061"/>
      <c r="BD112" s="3061"/>
      <c r="BE112" s="3061"/>
      <c r="BF112" s="3061"/>
      <c r="BG112" s="3061"/>
      <c r="BH112" s="3061"/>
      <c r="BI112" s="3061"/>
      <c r="BJ112" s="3061"/>
      <c r="BK112" s="3061"/>
      <c r="BL112" s="3061"/>
      <c r="BM112" s="3061"/>
      <c r="BN112" s="3061"/>
      <c r="BO112" s="3061"/>
      <c r="BP112" s="3061"/>
      <c r="BQ112" s="3061"/>
      <c r="BR112" s="3061"/>
      <c r="BS112" s="3061"/>
      <c r="BT112" s="3061"/>
      <c r="BU112" s="3061"/>
      <c r="BV112" s="3061"/>
      <c r="BW112" s="3061"/>
      <c r="BX112" s="3061"/>
      <c r="BY112" s="3061"/>
      <c r="BZ112" s="3061"/>
      <c r="CA112" s="3061"/>
      <c r="CB112" s="3061"/>
      <c r="CC112" s="3061"/>
      <c r="CD112" s="3061"/>
      <c r="CE112" s="3061"/>
      <c r="CF112" s="3061"/>
      <c r="CG112" s="3061"/>
      <c r="CH112" s="3061"/>
      <c r="CI112" s="3061"/>
      <c r="CJ112" s="3061"/>
      <c r="CK112" s="3061"/>
      <c r="CL112" s="3061"/>
      <c r="CM112" s="3061"/>
      <c r="CN112" s="3061"/>
      <c r="CO112" s="3061"/>
      <c r="CP112" s="3061"/>
      <c r="CQ112" s="3061"/>
      <c r="CR112" s="3061"/>
      <c r="CS112" s="3062"/>
      <c r="CT112" s="3063"/>
      <c r="CU112" s="3064">
        <f t="shared" si="50"/>
        <v>1</v>
      </c>
      <c r="CV112" s="3022" t="str">
        <f>IF(OR(CT112="",CT112="None"),"-",DO112*CU112*SUMIF('Lighting Assumptions'!$G$3:$G$112,'6a - Lighting Counts'!G112,'Lighting Assumptions'!$J$3:$J$112))</f>
        <v>-</v>
      </c>
      <c r="CW112" s="3021"/>
      <c r="CX112" s="3021"/>
      <c r="CY112" s="3046"/>
      <c r="CZ112" s="2098">
        <f t="shared" si="51"/>
        <v>0</v>
      </c>
      <c r="DA112" s="2098" t="str">
        <f t="shared" si="52"/>
        <v>-</v>
      </c>
      <c r="DB112" s="2098">
        <f t="shared" si="53"/>
        <v>0</v>
      </c>
      <c r="DC112" s="3023" t="str">
        <f t="shared" si="54"/>
        <v>-</v>
      </c>
      <c r="DD112" s="3024" t="str">
        <f t="shared" si="55"/>
        <v/>
      </c>
      <c r="DE112" s="3025" t="str">
        <f t="shared" si="56"/>
        <v>-</v>
      </c>
      <c r="DF112" s="3024" t="str">
        <f t="shared" si="47"/>
        <v>-</v>
      </c>
      <c r="DG112" s="2098">
        <f t="shared" si="57"/>
        <v>0</v>
      </c>
      <c r="DH112" s="2098">
        <f t="array" ref="DH112">MIN(SUMPRODUCT(I112:CR112,IF($I$25:$CR$25="yes",1,0),$I$23:$CR$23),H112)</f>
        <v>0</v>
      </c>
      <c r="DI112" s="3026"/>
      <c r="DJ112" s="3021"/>
      <c r="DN112" s="917" t="str">
        <f>IF(CS112="","-",SUMIF('Lighting Assumptions'!$G$3:$G$112,'6a - Lighting Counts'!G112,'Lighting Assumptions'!$J$3:$J$112))</f>
        <v>-</v>
      </c>
      <c r="DO112" s="917" t="str">
        <f t="shared" si="48"/>
        <v>-</v>
      </c>
      <c r="DP112" s="917" t="str">
        <f t="shared" si="49"/>
        <v>-</v>
      </c>
      <c r="DQ112" s="917" t="str">
        <f>IF(LEFT(CELLformula(DF112),3)&lt;&gt;"=IF",1,"")</f>
        <v/>
      </c>
      <c r="DR112" s="917" t="str">
        <f>IF(LEFT(CELLformula(DD112),3)&lt;&gt;"=IF",1,"")</f>
        <v/>
      </c>
      <c r="DS112" s="3048">
        <f t="shared" si="58"/>
        <v>0</v>
      </c>
      <c r="DT112" s="3047" t="str">
        <f t="shared" si="59"/>
        <v/>
      </c>
      <c r="DU112" s="3047" t="str">
        <f>IFERROR(IF(G112="","",SUMIF('Lighting Assumptions'!$G$3:$G$112,'6a - Lighting Counts'!G112,'Lighting Assumptions'!$H$3:$H$112)*IF(SI_IP_Units="SI",10.76,1)),"")</f>
        <v/>
      </c>
      <c r="DV112" s="3047" t="str">
        <f>IFERROR(IF($CX112="","",IF(SI_IP_Units="SI",10.76,1)*SUMIF(BAMCategories,$CY112,'Lighting Assumptions'!$E$3:E$35)),"")</f>
        <v/>
      </c>
      <c r="DW112" s="3047" t="str">
        <f>IFERROR(IF($CX112="","",IF(SI_IP_Units="SI",10.76,1)*SUMIF(BAMCategories,$CY112,IF(bpf_reference="ACP",'Lighting Assumptions 90.1-2010'!$E$3:E$35,'Lighting Assumptions 90.1-2016'!$E$3:E$35))),"")</f>
        <v/>
      </c>
      <c r="EW112" s="855"/>
      <c r="EX112" s="855"/>
      <c r="EY112" s="855"/>
      <c r="EZ112" s="855"/>
    </row>
    <row r="113" spans="4:156" x14ac:dyDescent="0.25">
      <c r="D113" s="3019"/>
      <c r="E113" s="3020"/>
      <c r="F113" s="3021">
        <f t="shared" si="46"/>
        <v>0</v>
      </c>
      <c r="G113" s="3059"/>
      <c r="H113" s="3060"/>
      <c r="I113" s="3061"/>
      <c r="J113" s="3061"/>
      <c r="K113" s="3061"/>
      <c r="L113" s="3061"/>
      <c r="M113" s="3061"/>
      <c r="N113" s="3061"/>
      <c r="O113" s="3061"/>
      <c r="P113" s="3061"/>
      <c r="Q113" s="3061"/>
      <c r="R113" s="3061"/>
      <c r="S113" s="3061"/>
      <c r="T113" s="3061"/>
      <c r="U113" s="3061"/>
      <c r="V113" s="3061"/>
      <c r="W113" s="3061"/>
      <c r="X113" s="3061"/>
      <c r="Y113" s="3061"/>
      <c r="Z113" s="3061"/>
      <c r="AA113" s="3061"/>
      <c r="AB113" s="3061"/>
      <c r="AC113" s="3061"/>
      <c r="AD113" s="3061"/>
      <c r="AE113" s="3061"/>
      <c r="AF113" s="3061"/>
      <c r="AG113" s="3061"/>
      <c r="AH113" s="3061"/>
      <c r="AI113" s="3061"/>
      <c r="AJ113" s="3061"/>
      <c r="AK113" s="3061"/>
      <c r="AL113" s="3061"/>
      <c r="AM113" s="3061"/>
      <c r="AN113" s="3061"/>
      <c r="AO113" s="3061"/>
      <c r="AP113" s="3061"/>
      <c r="AQ113" s="3061"/>
      <c r="AR113" s="3061"/>
      <c r="AS113" s="3061"/>
      <c r="AT113" s="3061"/>
      <c r="AU113" s="3061"/>
      <c r="AV113" s="3061"/>
      <c r="AW113" s="3061"/>
      <c r="AX113" s="3061"/>
      <c r="AY113" s="3061"/>
      <c r="AZ113" s="3061"/>
      <c r="BA113" s="3061"/>
      <c r="BB113" s="3061"/>
      <c r="BC113" s="3061"/>
      <c r="BD113" s="3061"/>
      <c r="BE113" s="3061"/>
      <c r="BF113" s="3061"/>
      <c r="BG113" s="3061"/>
      <c r="BH113" s="3061"/>
      <c r="BI113" s="3061"/>
      <c r="BJ113" s="3061"/>
      <c r="BK113" s="3061"/>
      <c r="BL113" s="3061"/>
      <c r="BM113" s="3061"/>
      <c r="BN113" s="3061"/>
      <c r="BO113" s="3061"/>
      <c r="BP113" s="3061"/>
      <c r="BQ113" s="3061"/>
      <c r="BR113" s="3061"/>
      <c r="BS113" s="3061"/>
      <c r="BT113" s="3061"/>
      <c r="BU113" s="3061"/>
      <c r="BV113" s="3061"/>
      <c r="BW113" s="3061"/>
      <c r="BX113" s="3061"/>
      <c r="BY113" s="3061"/>
      <c r="BZ113" s="3061"/>
      <c r="CA113" s="3061"/>
      <c r="CB113" s="3061"/>
      <c r="CC113" s="3061"/>
      <c r="CD113" s="3061"/>
      <c r="CE113" s="3061"/>
      <c r="CF113" s="3061"/>
      <c r="CG113" s="3061"/>
      <c r="CH113" s="3061"/>
      <c r="CI113" s="3061"/>
      <c r="CJ113" s="3061"/>
      <c r="CK113" s="3061"/>
      <c r="CL113" s="3061"/>
      <c r="CM113" s="3061"/>
      <c r="CN113" s="3061"/>
      <c r="CO113" s="3061"/>
      <c r="CP113" s="3061"/>
      <c r="CQ113" s="3061"/>
      <c r="CR113" s="3061"/>
      <c r="CS113" s="3062"/>
      <c r="CT113" s="3063"/>
      <c r="CU113" s="3064">
        <f t="shared" si="50"/>
        <v>1</v>
      </c>
      <c r="CV113" s="3022" t="str">
        <f>IF(OR(CT113="",CT113="None"),"-",DO113*CU113*SUMIF('Lighting Assumptions'!$G$3:$G$112,'6a - Lighting Counts'!G113,'Lighting Assumptions'!$J$3:$J$112))</f>
        <v>-</v>
      </c>
      <c r="CW113" s="3021"/>
      <c r="CX113" s="3021"/>
      <c r="CY113" s="3046"/>
      <c r="CZ113" s="2098">
        <f t="shared" si="51"/>
        <v>0</v>
      </c>
      <c r="DA113" s="2098" t="str">
        <f t="shared" si="52"/>
        <v>-</v>
      </c>
      <c r="DB113" s="2098">
        <f t="shared" si="53"/>
        <v>0</v>
      </c>
      <c r="DC113" s="3023" t="str">
        <f t="shared" si="54"/>
        <v>-</v>
      </c>
      <c r="DD113" s="3024" t="str">
        <f t="shared" si="55"/>
        <v/>
      </c>
      <c r="DE113" s="3025" t="str">
        <f t="shared" si="56"/>
        <v>-</v>
      </c>
      <c r="DF113" s="3024" t="str">
        <f t="shared" si="47"/>
        <v>-</v>
      </c>
      <c r="DG113" s="2098">
        <f t="shared" si="57"/>
        <v>0</v>
      </c>
      <c r="DH113" s="2098">
        <f t="array" ref="DH113">MIN(SUMPRODUCT(I113:CR113,IF($I$25:$CR$25="yes",1,0),$I$23:$CR$23),H113)</f>
        <v>0</v>
      </c>
      <c r="DI113" s="3026"/>
      <c r="DJ113" s="3021"/>
      <c r="DN113" s="917" t="str">
        <f>IF(CS113="","-",SUMIF('Lighting Assumptions'!$G$3:$G$112,'6a - Lighting Counts'!G113,'Lighting Assumptions'!$J$3:$J$112))</f>
        <v>-</v>
      </c>
      <c r="DO113" s="917" t="str">
        <f t="shared" si="48"/>
        <v>-</v>
      </c>
      <c r="DP113" s="917" t="str">
        <f t="shared" si="49"/>
        <v>-</v>
      </c>
      <c r="DQ113" s="917" t="str">
        <f>IF(LEFT(CELLformula(DF113),3)&lt;&gt;"=IF",1,"")</f>
        <v/>
      </c>
      <c r="DR113" s="917" t="str">
        <f>IF(LEFT(CELLformula(DD113),3)&lt;&gt;"=IF",1,"")</f>
        <v/>
      </c>
      <c r="DS113" s="3048">
        <f t="shared" si="58"/>
        <v>0</v>
      </c>
      <c r="DT113" s="3047" t="str">
        <f t="shared" si="59"/>
        <v/>
      </c>
      <c r="DU113" s="3047" t="str">
        <f>IFERROR(IF(G113="","",SUMIF('Lighting Assumptions'!$G$3:$G$112,'6a - Lighting Counts'!G113,'Lighting Assumptions'!$H$3:$H$112)*IF(SI_IP_Units="SI",10.76,1)),"")</f>
        <v/>
      </c>
      <c r="DV113" s="3047" t="str">
        <f>IFERROR(IF($CX113="","",IF(SI_IP_Units="SI",10.76,1)*SUMIF(BAMCategories,$CY113,'Lighting Assumptions'!$E$3:E$35)),"")</f>
        <v/>
      </c>
      <c r="DW113" s="3047" t="str">
        <f>IFERROR(IF($CX113="","",IF(SI_IP_Units="SI",10.76,1)*SUMIF(BAMCategories,$CY113,IF(bpf_reference="ACP",'Lighting Assumptions 90.1-2010'!$E$3:E$35,'Lighting Assumptions 90.1-2016'!$E$3:E$35))),"")</f>
        <v/>
      </c>
      <c r="EW113" s="855"/>
      <c r="EX113" s="855"/>
      <c r="EY113" s="855"/>
      <c r="EZ113" s="855"/>
    </row>
    <row r="114" spans="4:156" x14ac:dyDescent="0.25">
      <c r="D114" s="3019"/>
      <c r="E114" s="3020"/>
      <c r="F114" s="3021">
        <f t="shared" si="46"/>
        <v>0</v>
      </c>
      <c r="G114" s="3059"/>
      <c r="H114" s="3060"/>
      <c r="I114" s="3061"/>
      <c r="J114" s="3061"/>
      <c r="K114" s="3061"/>
      <c r="L114" s="3061"/>
      <c r="M114" s="3061"/>
      <c r="N114" s="3061"/>
      <c r="O114" s="3061"/>
      <c r="P114" s="3061"/>
      <c r="Q114" s="3061"/>
      <c r="R114" s="3061"/>
      <c r="S114" s="3061"/>
      <c r="T114" s="3061"/>
      <c r="U114" s="3061"/>
      <c r="V114" s="3061"/>
      <c r="W114" s="3061"/>
      <c r="X114" s="3061"/>
      <c r="Y114" s="3061"/>
      <c r="Z114" s="3061"/>
      <c r="AA114" s="3061"/>
      <c r="AB114" s="3061"/>
      <c r="AC114" s="3061"/>
      <c r="AD114" s="3061"/>
      <c r="AE114" s="3061"/>
      <c r="AF114" s="3061"/>
      <c r="AG114" s="3061"/>
      <c r="AH114" s="3061"/>
      <c r="AI114" s="3061"/>
      <c r="AJ114" s="3061"/>
      <c r="AK114" s="3061"/>
      <c r="AL114" s="3061"/>
      <c r="AM114" s="3061"/>
      <c r="AN114" s="3061"/>
      <c r="AO114" s="3061"/>
      <c r="AP114" s="3061"/>
      <c r="AQ114" s="3061"/>
      <c r="AR114" s="3061"/>
      <c r="AS114" s="3061"/>
      <c r="AT114" s="3061"/>
      <c r="AU114" s="3061"/>
      <c r="AV114" s="3061"/>
      <c r="AW114" s="3061"/>
      <c r="AX114" s="3061"/>
      <c r="AY114" s="3061"/>
      <c r="AZ114" s="3061"/>
      <c r="BA114" s="3061"/>
      <c r="BB114" s="3061"/>
      <c r="BC114" s="3061"/>
      <c r="BD114" s="3061"/>
      <c r="BE114" s="3061"/>
      <c r="BF114" s="3061"/>
      <c r="BG114" s="3061"/>
      <c r="BH114" s="3061"/>
      <c r="BI114" s="3061"/>
      <c r="BJ114" s="3061"/>
      <c r="BK114" s="3061"/>
      <c r="BL114" s="3061"/>
      <c r="BM114" s="3061"/>
      <c r="BN114" s="3061"/>
      <c r="BO114" s="3061"/>
      <c r="BP114" s="3061"/>
      <c r="BQ114" s="3061"/>
      <c r="BR114" s="3061"/>
      <c r="BS114" s="3061"/>
      <c r="BT114" s="3061"/>
      <c r="BU114" s="3061"/>
      <c r="BV114" s="3061"/>
      <c r="BW114" s="3061"/>
      <c r="BX114" s="3061"/>
      <c r="BY114" s="3061"/>
      <c r="BZ114" s="3061"/>
      <c r="CA114" s="3061"/>
      <c r="CB114" s="3061"/>
      <c r="CC114" s="3061"/>
      <c r="CD114" s="3061"/>
      <c r="CE114" s="3061"/>
      <c r="CF114" s="3061"/>
      <c r="CG114" s="3061"/>
      <c r="CH114" s="3061"/>
      <c r="CI114" s="3061"/>
      <c r="CJ114" s="3061"/>
      <c r="CK114" s="3061"/>
      <c r="CL114" s="3061"/>
      <c r="CM114" s="3061"/>
      <c r="CN114" s="3061"/>
      <c r="CO114" s="3061"/>
      <c r="CP114" s="3061"/>
      <c r="CQ114" s="3061"/>
      <c r="CR114" s="3061"/>
      <c r="CS114" s="3062"/>
      <c r="CT114" s="3063"/>
      <c r="CU114" s="3064">
        <f t="shared" si="50"/>
        <v>1</v>
      </c>
      <c r="CV114" s="3022" t="str">
        <f>IF(OR(CT114="",CT114="None"),"-",DO114*CU114*SUMIF('Lighting Assumptions'!$G$3:$G$112,'6a - Lighting Counts'!G114,'Lighting Assumptions'!$J$3:$J$112))</f>
        <v>-</v>
      </c>
      <c r="CW114" s="3021"/>
      <c r="CX114" s="3021"/>
      <c r="CY114" s="3046"/>
      <c r="CZ114" s="2098">
        <f t="shared" si="51"/>
        <v>0</v>
      </c>
      <c r="DA114" s="2098" t="str">
        <f t="shared" si="52"/>
        <v>-</v>
      </c>
      <c r="DB114" s="2098">
        <f t="shared" si="53"/>
        <v>0</v>
      </c>
      <c r="DC114" s="3023" t="str">
        <f t="shared" si="54"/>
        <v>-</v>
      </c>
      <c r="DD114" s="3024" t="str">
        <f t="shared" si="55"/>
        <v/>
      </c>
      <c r="DE114" s="3025" t="str">
        <f t="shared" si="56"/>
        <v>-</v>
      </c>
      <c r="DF114" s="3024" t="str">
        <f t="shared" si="47"/>
        <v>-</v>
      </c>
      <c r="DG114" s="2098">
        <f t="shared" si="57"/>
        <v>0</v>
      </c>
      <c r="DH114" s="2098">
        <f t="array" ref="DH114">MIN(SUMPRODUCT(I114:CR114,IF($I$25:$CR$25="yes",1,0),$I$23:$CR$23),H114)</f>
        <v>0</v>
      </c>
      <c r="DI114" s="3026"/>
      <c r="DJ114" s="3021"/>
      <c r="DN114" s="917" t="str">
        <f>IF(CS114="","-",SUMIF('Lighting Assumptions'!$G$3:$G$112,'6a - Lighting Counts'!G114,'Lighting Assumptions'!$J$3:$J$112))</f>
        <v>-</v>
      </c>
      <c r="DO114" s="917" t="str">
        <f t="shared" si="48"/>
        <v>-</v>
      </c>
      <c r="DP114" s="917" t="str">
        <f t="shared" si="49"/>
        <v>-</v>
      </c>
      <c r="DQ114" s="917" t="str">
        <f>IF(LEFT(CELLformula(DF114),3)&lt;&gt;"=IF",1,"")</f>
        <v/>
      </c>
      <c r="DR114" s="917" t="str">
        <f>IF(LEFT(CELLformula(DD114),3)&lt;&gt;"=IF",1,"")</f>
        <v/>
      </c>
      <c r="DS114" s="3048">
        <f t="shared" si="58"/>
        <v>0</v>
      </c>
      <c r="DT114" s="3047" t="str">
        <f t="shared" si="59"/>
        <v/>
      </c>
      <c r="DU114" s="3047" t="str">
        <f>IFERROR(IF(G114="","",SUMIF('Lighting Assumptions'!$G$3:$G$112,'6a - Lighting Counts'!G114,'Lighting Assumptions'!$H$3:$H$112)*IF(SI_IP_Units="SI",10.76,1)),"")</f>
        <v/>
      </c>
      <c r="DV114" s="3047" t="str">
        <f>IFERROR(IF($CX114="","",IF(SI_IP_Units="SI",10.76,1)*SUMIF(BAMCategories,$CY114,'Lighting Assumptions'!$E$3:E$35)),"")</f>
        <v/>
      </c>
      <c r="DW114" s="3047" t="str">
        <f>IFERROR(IF($CX114="","",IF(SI_IP_Units="SI",10.76,1)*SUMIF(BAMCategories,$CY114,IF(bpf_reference="ACP",'Lighting Assumptions 90.1-2010'!$E$3:E$35,'Lighting Assumptions 90.1-2016'!$E$3:E$35))),"")</f>
        <v/>
      </c>
      <c r="EW114" s="855"/>
      <c r="EX114" s="855"/>
      <c r="EY114" s="855"/>
      <c r="EZ114" s="855"/>
    </row>
    <row r="115" spans="4:156" x14ac:dyDescent="0.25">
      <c r="D115" s="3019"/>
      <c r="E115" s="3020"/>
      <c r="F115" s="3021">
        <f t="shared" si="46"/>
        <v>0</v>
      </c>
      <c r="G115" s="3059"/>
      <c r="H115" s="3060"/>
      <c r="I115" s="3061"/>
      <c r="J115" s="3061"/>
      <c r="K115" s="3061"/>
      <c r="L115" s="3061"/>
      <c r="M115" s="3061"/>
      <c r="N115" s="3061"/>
      <c r="O115" s="3061"/>
      <c r="P115" s="3061"/>
      <c r="Q115" s="3061"/>
      <c r="R115" s="3061"/>
      <c r="S115" s="3061"/>
      <c r="T115" s="3061"/>
      <c r="U115" s="3061"/>
      <c r="V115" s="3061"/>
      <c r="W115" s="3061"/>
      <c r="X115" s="3061"/>
      <c r="Y115" s="3061"/>
      <c r="Z115" s="3061"/>
      <c r="AA115" s="3061"/>
      <c r="AB115" s="3061"/>
      <c r="AC115" s="3061"/>
      <c r="AD115" s="3061"/>
      <c r="AE115" s="3061"/>
      <c r="AF115" s="3061"/>
      <c r="AG115" s="3061"/>
      <c r="AH115" s="3061"/>
      <c r="AI115" s="3061"/>
      <c r="AJ115" s="3061"/>
      <c r="AK115" s="3061"/>
      <c r="AL115" s="3061"/>
      <c r="AM115" s="3061"/>
      <c r="AN115" s="3061"/>
      <c r="AO115" s="3061"/>
      <c r="AP115" s="3061"/>
      <c r="AQ115" s="3061"/>
      <c r="AR115" s="3061"/>
      <c r="AS115" s="3061"/>
      <c r="AT115" s="3061"/>
      <c r="AU115" s="3061"/>
      <c r="AV115" s="3061"/>
      <c r="AW115" s="3061"/>
      <c r="AX115" s="3061"/>
      <c r="AY115" s="3061"/>
      <c r="AZ115" s="3061"/>
      <c r="BA115" s="3061"/>
      <c r="BB115" s="3061"/>
      <c r="BC115" s="3061"/>
      <c r="BD115" s="3061"/>
      <c r="BE115" s="3061"/>
      <c r="BF115" s="3061"/>
      <c r="BG115" s="3061"/>
      <c r="BH115" s="3061"/>
      <c r="BI115" s="3061"/>
      <c r="BJ115" s="3061"/>
      <c r="BK115" s="3061"/>
      <c r="BL115" s="3061"/>
      <c r="BM115" s="3061"/>
      <c r="BN115" s="3061"/>
      <c r="BO115" s="3061"/>
      <c r="BP115" s="3061"/>
      <c r="BQ115" s="3061"/>
      <c r="BR115" s="3061"/>
      <c r="BS115" s="3061"/>
      <c r="BT115" s="3061"/>
      <c r="BU115" s="3061"/>
      <c r="BV115" s="3061"/>
      <c r="BW115" s="3061"/>
      <c r="BX115" s="3061"/>
      <c r="BY115" s="3061"/>
      <c r="BZ115" s="3061"/>
      <c r="CA115" s="3061"/>
      <c r="CB115" s="3061"/>
      <c r="CC115" s="3061"/>
      <c r="CD115" s="3061"/>
      <c r="CE115" s="3061"/>
      <c r="CF115" s="3061"/>
      <c r="CG115" s="3061"/>
      <c r="CH115" s="3061"/>
      <c r="CI115" s="3061"/>
      <c r="CJ115" s="3061"/>
      <c r="CK115" s="3061"/>
      <c r="CL115" s="3061"/>
      <c r="CM115" s="3061"/>
      <c r="CN115" s="3061"/>
      <c r="CO115" s="3061"/>
      <c r="CP115" s="3061"/>
      <c r="CQ115" s="3061"/>
      <c r="CR115" s="3061"/>
      <c r="CS115" s="3062"/>
      <c r="CT115" s="3063"/>
      <c r="CU115" s="3064">
        <f t="shared" si="50"/>
        <v>1</v>
      </c>
      <c r="CV115" s="3022" t="str">
        <f>IF(OR(CT115="",CT115="None"),"-",DO115*CU115*SUMIF('Lighting Assumptions'!$G$3:$G$112,'6a - Lighting Counts'!G115,'Lighting Assumptions'!$J$3:$J$112))</f>
        <v>-</v>
      </c>
      <c r="CW115" s="3021"/>
      <c r="CX115" s="3021"/>
      <c r="CY115" s="3046"/>
      <c r="CZ115" s="2098">
        <f t="shared" si="51"/>
        <v>0</v>
      </c>
      <c r="DA115" s="2098" t="str">
        <f t="shared" si="52"/>
        <v>-</v>
      </c>
      <c r="DB115" s="2098">
        <f t="shared" si="53"/>
        <v>0</v>
      </c>
      <c r="DC115" s="3023" t="str">
        <f t="shared" si="54"/>
        <v>-</v>
      </c>
      <c r="DD115" s="3024" t="str">
        <f t="shared" si="55"/>
        <v/>
      </c>
      <c r="DE115" s="3025" t="str">
        <f t="shared" si="56"/>
        <v>-</v>
      </c>
      <c r="DF115" s="3024" t="str">
        <f t="shared" si="47"/>
        <v>-</v>
      </c>
      <c r="DG115" s="2098">
        <f t="shared" si="57"/>
        <v>0</v>
      </c>
      <c r="DH115" s="2098">
        <f t="array" ref="DH115">MIN(SUMPRODUCT(I115:CR115,IF($I$25:$CR$25="yes",1,0),$I$23:$CR$23),H115)</f>
        <v>0</v>
      </c>
      <c r="DI115" s="3026"/>
      <c r="DJ115" s="3021"/>
      <c r="DN115" s="917" t="str">
        <f>IF(CS115="","-",SUMIF('Lighting Assumptions'!$G$3:$G$112,'6a - Lighting Counts'!G115,'Lighting Assumptions'!$J$3:$J$112))</f>
        <v>-</v>
      </c>
      <c r="DO115" s="917" t="str">
        <f t="shared" si="48"/>
        <v>-</v>
      </c>
      <c r="DP115" s="917" t="str">
        <f t="shared" si="49"/>
        <v>-</v>
      </c>
      <c r="DQ115" s="917" t="str">
        <f>IF(LEFT(CELLformula(DF115),3)&lt;&gt;"=IF",1,"")</f>
        <v/>
      </c>
      <c r="DR115" s="917" t="str">
        <f>IF(LEFT(CELLformula(DD115),3)&lt;&gt;"=IF",1,"")</f>
        <v/>
      </c>
      <c r="DS115" s="3048">
        <f t="shared" si="58"/>
        <v>0</v>
      </c>
      <c r="DT115" s="3047" t="str">
        <f t="shared" si="59"/>
        <v/>
      </c>
      <c r="DU115" s="3047" t="str">
        <f>IFERROR(IF(G115="","",SUMIF('Lighting Assumptions'!$G$3:$G$112,'6a - Lighting Counts'!G115,'Lighting Assumptions'!$H$3:$H$112)*IF(SI_IP_Units="SI",10.76,1)),"")</f>
        <v/>
      </c>
      <c r="DV115" s="3047" t="str">
        <f>IFERROR(IF($CX115="","",IF(SI_IP_Units="SI",10.76,1)*SUMIF(BAMCategories,$CY115,'Lighting Assumptions'!$E$3:E$35)),"")</f>
        <v/>
      </c>
      <c r="DW115" s="3047" t="str">
        <f>IFERROR(IF($CX115="","",IF(SI_IP_Units="SI",10.76,1)*SUMIF(BAMCategories,$CY115,IF(bpf_reference="ACP",'Lighting Assumptions 90.1-2010'!$E$3:E$35,'Lighting Assumptions 90.1-2016'!$E$3:E$35))),"")</f>
        <v/>
      </c>
      <c r="EW115" s="855"/>
      <c r="EX115" s="855"/>
      <c r="EY115" s="855"/>
      <c r="EZ115" s="855"/>
    </row>
    <row r="116" spans="4:156" x14ac:dyDescent="0.25">
      <c r="D116" s="3019"/>
      <c r="E116" s="3020"/>
      <c r="F116" s="3021">
        <f t="shared" si="46"/>
        <v>0</v>
      </c>
      <c r="G116" s="3059"/>
      <c r="H116" s="3060"/>
      <c r="I116" s="3061"/>
      <c r="J116" s="3061"/>
      <c r="K116" s="3061"/>
      <c r="L116" s="3061"/>
      <c r="M116" s="3061"/>
      <c r="N116" s="3061"/>
      <c r="O116" s="3061"/>
      <c r="P116" s="3061"/>
      <c r="Q116" s="3061"/>
      <c r="R116" s="3061"/>
      <c r="S116" s="3061"/>
      <c r="T116" s="3061"/>
      <c r="U116" s="3061"/>
      <c r="V116" s="3061"/>
      <c r="W116" s="3061"/>
      <c r="X116" s="3061"/>
      <c r="Y116" s="3061"/>
      <c r="Z116" s="3061"/>
      <c r="AA116" s="3061"/>
      <c r="AB116" s="3061"/>
      <c r="AC116" s="3061"/>
      <c r="AD116" s="3061"/>
      <c r="AE116" s="3061"/>
      <c r="AF116" s="3061"/>
      <c r="AG116" s="3061"/>
      <c r="AH116" s="3061"/>
      <c r="AI116" s="3061"/>
      <c r="AJ116" s="3061"/>
      <c r="AK116" s="3061"/>
      <c r="AL116" s="3061"/>
      <c r="AM116" s="3061"/>
      <c r="AN116" s="3061"/>
      <c r="AO116" s="3061"/>
      <c r="AP116" s="3061"/>
      <c r="AQ116" s="3061"/>
      <c r="AR116" s="3061"/>
      <c r="AS116" s="3061"/>
      <c r="AT116" s="3061"/>
      <c r="AU116" s="3061"/>
      <c r="AV116" s="3061"/>
      <c r="AW116" s="3061"/>
      <c r="AX116" s="3061"/>
      <c r="AY116" s="3061"/>
      <c r="AZ116" s="3061"/>
      <c r="BA116" s="3061"/>
      <c r="BB116" s="3061"/>
      <c r="BC116" s="3061"/>
      <c r="BD116" s="3061"/>
      <c r="BE116" s="3061"/>
      <c r="BF116" s="3061"/>
      <c r="BG116" s="3061"/>
      <c r="BH116" s="3061"/>
      <c r="BI116" s="3061"/>
      <c r="BJ116" s="3061"/>
      <c r="BK116" s="3061"/>
      <c r="BL116" s="3061"/>
      <c r="BM116" s="3061"/>
      <c r="BN116" s="3061"/>
      <c r="BO116" s="3061"/>
      <c r="BP116" s="3061"/>
      <c r="BQ116" s="3061"/>
      <c r="BR116" s="3061"/>
      <c r="BS116" s="3061"/>
      <c r="BT116" s="3061"/>
      <c r="BU116" s="3061"/>
      <c r="BV116" s="3061"/>
      <c r="BW116" s="3061"/>
      <c r="BX116" s="3061"/>
      <c r="BY116" s="3061"/>
      <c r="BZ116" s="3061"/>
      <c r="CA116" s="3061"/>
      <c r="CB116" s="3061"/>
      <c r="CC116" s="3061"/>
      <c r="CD116" s="3061"/>
      <c r="CE116" s="3061"/>
      <c r="CF116" s="3061"/>
      <c r="CG116" s="3061"/>
      <c r="CH116" s="3061"/>
      <c r="CI116" s="3061"/>
      <c r="CJ116" s="3061"/>
      <c r="CK116" s="3061"/>
      <c r="CL116" s="3061"/>
      <c r="CM116" s="3061"/>
      <c r="CN116" s="3061"/>
      <c r="CO116" s="3061"/>
      <c r="CP116" s="3061"/>
      <c r="CQ116" s="3061"/>
      <c r="CR116" s="3061"/>
      <c r="CS116" s="3062"/>
      <c r="CT116" s="3063"/>
      <c r="CU116" s="3064">
        <f t="shared" si="50"/>
        <v>1</v>
      </c>
      <c r="CV116" s="3022" t="str">
        <f>IF(OR(CT116="",CT116="None"),"-",DO116*CU116*SUMIF('Lighting Assumptions'!$G$3:$G$112,'6a - Lighting Counts'!G116,'Lighting Assumptions'!$J$3:$J$112))</f>
        <v>-</v>
      </c>
      <c r="CW116" s="3021"/>
      <c r="CX116" s="3021"/>
      <c r="CY116" s="3046"/>
      <c r="CZ116" s="2098">
        <f t="shared" si="51"/>
        <v>0</v>
      </c>
      <c r="DA116" s="2098" t="str">
        <f t="shared" si="52"/>
        <v>-</v>
      </c>
      <c r="DB116" s="2098">
        <f t="shared" si="53"/>
        <v>0</v>
      </c>
      <c r="DC116" s="3023" t="str">
        <f t="shared" si="54"/>
        <v>-</v>
      </c>
      <c r="DD116" s="3024" t="str">
        <f t="shared" si="55"/>
        <v/>
      </c>
      <c r="DE116" s="3025" t="str">
        <f t="shared" si="56"/>
        <v>-</v>
      </c>
      <c r="DF116" s="3024" t="str">
        <f t="shared" si="47"/>
        <v>-</v>
      </c>
      <c r="DG116" s="2098">
        <f t="shared" si="57"/>
        <v>0</v>
      </c>
      <c r="DH116" s="2098">
        <f t="array" ref="DH116">MIN(SUMPRODUCT(I116:CR116,IF($I$25:$CR$25="yes",1,0),$I$23:$CR$23),H116)</f>
        <v>0</v>
      </c>
      <c r="DI116" s="3026"/>
      <c r="DJ116" s="3021"/>
      <c r="DN116" s="917" t="str">
        <f>IF(CS116="","-",SUMIF('Lighting Assumptions'!$G$3:$G$112,'6a - Lighting Counts'!G116,'Lighting Assumptions'!$J$3:$J$112))</f>
        <v>-</v>
      </c>
      <c r="DO116" s="917" t="str">
        <f t="shared" si="48"/>
        <v>-</v>
      </c>
      <c r="DP116" s="917" t="str">
        <f t="shared" si="49"/>
        <v>-</v>
      </c>
      <c r="DQ116" s="917" t="str">
        <f>IF(LEFT(CELLformula(DF116),3)&lt;&gt;"=IF",1,"")</f>
        <v/>
      </c>
      <c r="DR116" s="917" t="str">
        <f>IF(LEFT(CELLformula(DD116),3)&lt;&gt;"=IF",1,"")</f>
        <v/>
      </c>
      <c r="DS116" s="3048">
        <f t="shared" si="58"/>
        <v>0</v>
      </c>
      <c r="DT116" s="3047" t="str">
        <f t="shared" si="59"/>
        <v/>
      </c>
      <c r="DU116" s="3047" t="str">
        <f>IFERROR(IF(G116="","",SUMIF('Lighting Assumptions'!$G$3:$G$112,'6a - Lighting Counts'!G116,'Lighting Assumptions'!$H$3:$H$112)*IF(SI_IP_Units="SI",10.76,1)),"")</f>
        <v/>
      </c>
      <c r="DV116" s="3047" t="str">
        <f>IFERROR(IF($CX116="","",IF(SI_IP_Units="SI",10.76,1)*SUMIF(BAMCategories,$CY116,'Lighting Assumptions'!$E$3:E$35)),"")</f>
        <v/>
      </c>
      <c r="DW116" s="3047" t="str">
        <f>IFERROR(IF($CX116="","",IF(SI_IP_Units="SI",10.76,1)*SUMIF(BAMCategories,$CY116,IF(bpf_reference="ACP",'Lighting Assumptions 90.1-2010'!$E$3:E$35,'Lighting Assumptions 90.1-2016'!$E$3:E$35))),"")</f>
        <v/>
      </c>
      <c r="EW116" s="855"/>
      <c r="EX116" s="855"/>
      <c r="EY116" s="855"/>
      <c r="EZ116" s="855"/>
    </row>
    <row r="117" spans="4:156" x14ac:dyDescent="0.25">
      <c r="D117" s="3019"/>
      <c r="E117" s="3020"/>
      <c r="F117" s="3021">
        <f t="shared" si="46"/>
        <v>0</v>
      </c>
      <c r="G117" s="3059"/>
      <c r="H117" s="3060"/>
      <c r="I117" s="3061"/>
      <c r="J117" s="3061"/>
      <c r="K117" s="3061"/>
      <c r="L117" s="3061"/>
      <c r="M117" s="3061"/>
      <c r="N117" s="3061"/>
      <c r="O117" s="3061"/>
      <c r="P117" s="3061"/>
      <c r="Q117" s="3061"/>
      <c r="R117" s="3061"/>
      <c r="S117" s="3061"/>
      <c r="T117" s="3061"/>
      <c r="U117" s="3061"/>
      <c r="V117" s="3061"/>
      <c r="W117" s="3061"/>
      <c r="X117" s="3061"/>
      <c r="Y117" s="3061"/>
      <c r="Z117" s="3061"/>
      <c r="AA117" s="3061"/>
      <c r="AB117" s="3061"/>
      <c r="AC117" s="3061"/>
      <c r="AD117" s="3061"/>
      <c r="AE117" s="3061"/>
      <c r="AF117" s="3061"/>
      <c r="AG117" s="3061"/>
      <c r="AH117" s="3061"/>
      <c r="AI117" s="3061"/>
      <c r="AJ117" s="3061"/>
      <c r="AK117" s="3061"/>
      <c r="AL117" s="3061"/>
      <c r="AM117" s="3061"/>
      <c r="AN117" s="3061"/>
      <c r="AO117" s="3061"/>
      <c r="AP117" s="3061"/>
      <c r="AQ117" s="3061"/>
      <c r="AR117" s="3061"/>
      <c r="AS117" s="3061"/>
      <c r="AT117" s="3061"/>
      <c r="AU117" s="3061"/>
      <c r="AV117" s="3061"/>
      <c r="AW117" s="3061"/>
      <c r="AX117" s="3061"/>
      <c r="AY117" s="3061"/>
      <c r="AZ117" s="3061"/>
      <c r="BA117" s="3061"/>
      <c r="BB117" s="3061"/>
      <c r="BC117" s="3061"/>
      <c r="BD117" s="3061"/>
      <c r="BE117" s="3061"/>
      <c r="BF117" s="3061"/>
      <c r="BG117" s="3061"/>
      <c r="BH117" s="3061"/>
      <c r="BI117" s="3061"/>
      <c r="BJ117" s="3061"/>
      <c r="BK117" s="3061"/>
      <c r="BL117" s="3061"/>
      <c r="BM117" s="3061"/>
      <c r="BN117" s="3061"/>
      <c r="BO117" s="3061"/>
      <c r="BP117" s="3061"/>
      <c r="BQ117" s="3061"/>
      <c r="BR117" s="3061"/>
      <c r="BS117" s="3061"/>
      <c r="BT117" s="3061"/>
      <c r="BU117" s="3061"/>
      <c r="BV117" s="3061"/>
      <c r="BW117" s="3061"/>
      <c r="BX117" s="3061"/>
      <c r="BY117" s="3061"/>
      <c r="BZ117" s="3061"/>
      <c r="CA117" s="3061"/>
      <c r="CB117" s="3061"/>
      <c r="CC117" s="3061"/>
      <c r="CD117" s="3061"/>
      <c r="CE117" s="3061"/>
      <c r="CF117" s="3061"/>
      <c r="CG117" s="3061"/>
      <c r="CH117" s="3061"/>
      <c r="CI117" s="3061"/>
      <c r="CJ117" s="3061"/>
      <c r="CK117" s="3061"/>
      <c r="CL117" s="3061"/>
      <c r="CM117" s="3061"/>
      <c r="CN117" s="3061"/>
      <c r="CO117" s="3061"/>
      <c r="CP117" s="3061"/>
      <c r="CQ117" s="3061"/>
      <c r="CR117" s="3061"/>
      <c r="CS117" s="3062"/>
      <c r="CT117" s="3063"/>
      <c r="CU117" s="3064">
        <f t="shared" si="50"/>
        <v>1</v>
      </c>
      <c r="CV117" s="3022" t="str">
        <f>IF(OR(CT117="",CT117="None"),"-",DO117*CU117*SUMIF('Lighting Assumptions'!$G$3:$G$112,'6a - Lighting Counts'!G117,'Lighting Assumptions'!$J$3:$J$112))</f>
        <v>-</v>
      </c>
      <c r="CW117" s="3021"/>
      <c r="CX117" s="3021"/>
      <c r="CY117" s="3046"/>
      <c r="CZ117" s="2098">
        <f t="shared" si="51"/>
        <v>0</v>
      </c>
      <c r="DA117" s="2098" t="str">
        <f t="shared" si="52"/>
        <v>-</v>
      </c>
      <c r="DB117" s="2098">
        <f t="shared" si="53"/>
        <v>0</v>
      </c>
      <c r="DC117" s="3023" t="str">
        <f t="shared" si="54"/>
        <v>-</v>
      </c>
      <c r="DD117" s="3024" t="str">
        <f t="shared" si="55"/>
        <v/>
      </c>
      <c r="DE117" s="3025" t="str">
        <f t="shared" si="56"/>
        <v>-</v>
      </c>
      <c r="DF117" s="3024" t="str">
        <f t="shared" si="47"/>
        <v>-</v>
      </c>
      <c r="DG117" s="2098">
        <f t="shared" si="57"/>
        <v>0</v>
      </c>
      <c r="DH117" s="2098">
        <f t="array" ref="DH117">MIN(SUMPRODUCT(I117:CR117,IF($I$25:$CR$25="yes",1,0),$I$23:$CR$23),H117)</f>
        <v>0</v>
      </c>
      <c r="DI117" s="3026"/>
      <c r="DJ117" s="3021"/>
      <c r="DN117" s="917" t="str">
        <f>IF(CS117="","-",SUMIF('Lighting Assumptions'!$G$3:$G$112,'6a - Lighting Counts'!G117,'Lighting Assumptions'!$J$3:$J$112))</f>
        <v>-</v>
      </c>
      <c r="DO117" s="917" t="str">
        <f t="shared" si="48"/>
        <v>-</v>
      </c>
      <c r="DP117" s="917" t="str">
        <f t="shared" si="49"/>
        <v>-</v>
      </c>
      <c r="DQ117" s="917" t="str">
        <f>IF(LEFT(CELLformula(DF117),3)&lt;&gt;"=IF",1,"")</f>
        <v/>
      </c>
      <c r="DR117" s="917" t="str">
        <f>IF(LEFT(CELLformula(DD117),3)&lt;&gt;"=IF",1,"")</f>
        <v/>
      </c>
      <c r="DS117" s="3048">
        <f t="shared" si="58"/>
        <v>0</v>
      </c>
      <c r="DT117" s="3047" t="str">
        <f t="shared" si="59"/>
        <v/>
      </c>
      <c r="DU117" s="3047" t="str">
        <f>IFERROR(IF(G117="","",SUMIF('Lighting Assumptions'!$G$3:$G$112,'6a - Lighting Counts'!G117,'Lighting Assumptions'!$H$3:$H$112)*IF(SI_IP_Units="SI",10.76,1)),"")</f>
        <v/>
      </c>
      <c r="DV117" s="3047" t="str">
        <f>IFERROR(IF($CX117="","",IF(SI_IP_Units="SI",10.76,1)*SUMIF(BAMCategories,$CY117,'Lighting Assumptions'!$E$3:E$35)),"")</f>
        <v/>
      </c>
      <c r="DW117" s="3047" t="str">
        <f>IFERROR(IF($CX117="","",IF(SI_IP_Units="SI",10.76,1)*SUMIF(BAMCategories,$CY117,IF(bpf_reference="ACP",'Lighting Assumptions 90.1-2010'!$E$3:E$35,'Lighting Assumptions 90.1-2016'!$E$3:E$35))),"")</f>
        <v/>
      </c>
      <c r="EW117" s="855"/>
      <c r="EX117" s="855"/>
      <c r="EY117" s="855"/>
      <c r="EZ117" s="855"/>
    </row>
    <row r="118" spans="4:156" x14ac:dyDescent="0.25">
      <c r="D118" s="3019"/>
      <c r="E118" s="3020"/>
      <c r="F118" s="3021">
        <f t="shared" si="46"/>
        <v>0</v>
      </c>
      <c r="G118" s="3059"/>
      <c r="H118" s="3060"/>
      <c r="I118" s="3061"/>
      <c r="J118" s="3061"/>
      <c r="K118" s="3061"/>
      <c r="L118" s="3061"/>
      <c r="M118" s="3061"/>
      <c r="N118" s="3061"/>
      <c r="O118" s="3061"/>
      <c r="P118" s="3061"/>
      <c r="Q118" s="3061"/>
      <c r="R118" s="3061"/>
      <c r="S118" s="3061"/>
      <c r="T118" s="3061"/>
      <c r="U118" s="3061"/>
      <c r="V118" s="3061"/>
      <c r="W118" s="3061"/>
      <c r="X118" s="3061"/>
      <c r="Y118" s="3061"/>
      <c r="Z118" s="3061"/>
      <c r="AA118" s="3061"/>
      <c r="AB118" s="3061"/>
      <c r="AC118" s="3061"/>
      <c r="AD118" s="3061"/>
      <c r="AE118" s="3061"/>
      <c r="AF118" s="3061"/>
      <c r="AG118" s="3061"/>
      <c r="AH118" s="3061"/>
      <c r="AI118" s="3061"/>
      <c r="AJ118" s="3061"/>
      <c r="AK118" s="3061"/>
      <c r="AL118" s="3061"/>
      <c r="AM118" s="3061"/>
      <c r="AN118" s="3061"/>
      <c r="AO118" s="3061"/>
      <c r="AP118" s="3061"/>
      <c r="AQ118" s="3061"/>
      <c r="AR118" s="3061"/>
      <c r="AS118" s="3061"/>
      <c r="AT118" s="3061"/>
      <c r="AU118" s="3061"/>
      <c r="AV118" s="3061"/>
      <c r="AW118" s="3061"/>
      <c r="AX118" s="3061"/>
      <c r="AY118" s="3061"/>
      <c r="AZ118" s="3061"/>
      <c r="BA118" s="3061"/>
      <c r="BB118" s="3061"/>
      <c r="BC118" s="3061"/>
      <c r="BD118" s="3061"/>
      <c r="BE118" s="3061"/>
      <c r="BF118" s="3061"/>
      <c r="BG118" s="3061"/>
      <c r="BH118" s="3061"/>
      <c r="BI118" s="3061"/>
      <c r="BJ118" s="3061"/>
      <c r="BK118" s="3061"/>
      <c r="BL118" s="3061"/>
      <c r="BM118" s="3061"/>
      <c r="BN118" s="3061"/>
      <c r="BO118" s="3061"/>
      <c r="BP118" s="3061"/>
      <c r="BQ118" s="3061"/>
      <c r="BR118" s="3061"/>
      <c r="BS118" s="3061"/>
      <c r="BT118" s="3061"/>
      <c r="BU118" s="3061"/>
      <c r="BV118" s="3061"/>
      <c r="BW118" s="3061"/>
      <c r="BX118" s="3061"/>
      <c r="BY118" s="3061"/>
      <c r="BZ118" s="3061"/>
      <c r="CA118" s="3061"/>
      <c r="CB118" s="3061"/>
      <c r="CC118" s="3061"/>
      <c r="CD118" s="3061"/>
      <c r="CE118" s="3061"/>
      <c r="CF118" s="3061"/>
      <c r="CG118" s="3061"/>
      <c r="CH118" s="3061"/>
      <c r="CI118" s="3061"/>
      <c r="CJ118" s="3061"/>
      <c r="CK118" s="3061"/>
      <c r="CL118" s="3061"/>
      <c r="CM118" s="3061"/>
      <c r="CN118" s="3061"/>
      <c r="CO118" s="3061"/>
      <c r="CP118" s="3061"/>
      <c r="CQ118" s="3061"/>
      <c r="CR118" s="3061"/>
      <c r="CS118" s="3062"/>
      <c r="CT118" s="3063"/>
      <c r="CU118" s="3064">
        <f t="shared" si="50"/>
        <v>1</v>
      </c>
      <c r="CV118" s="3022" t="str">
        <f>IF(OR(CT118="",CT118="None"),"-",DO118*CU118*SUMIF('Lighting Assumptions'!$G$3:$G$112,'6a - Lighting Counts'!G118,'Lighting Assumptions'!$J$3:$J$112))</f>
        <v>-</v>
      </c>
      <c r="CW118" s="3021"/>
      <c r="CX118" s="3021"/>
      <c r="CY118" s="3046"/>
      <c r="CZ118" s="2098">
        <f t="shared" si="51"/>
        <v>0</v>
      </c>
      <c r="DA118" s="2098" t="str">
        <f t="shared" si="52"/>
        <v>-</v>
      </c>
      <c r="DB118" s="2098">
        <f t="shared" si="53"/>
        <v>0</v>
      </c>
      <c r="DC118" s="3023" t="str">
        <f t="shared" si="54"/>
        <v>-</v>
      </c>
      <c r="DD118" s="3024" t="str">
        <f t="shared" si="55"/>
        <v/>
      </c>
      <c r="DE118" s="3025" t="str">
        <f t="shared" si="56"/>
        <v>-</v>
      </c>
      <c r="DF118" s="3024" t="str">
        <f t="shared" si="47"/>
        <v>-</v>
      </c>
      <c r="DG118" s="2098">
        <f t="shared" si="57"/>
        <v>0</v>
      </c>
      <c r="DH118" s="2098">
        <f t="array" ref="DH118">MIN(SUMPRODUCT(I118:CR118,IF($I$25:$CR$25="yes",1,0),$I$23:$CR$23),H118)</f>
        <v>0</v>
      </c>
      <c r="DI118" s="3026"/>
      <c r="DJ118" s="3021"/>
      <c r="DN118" s="917" t="str">
        <f>IF(CS118="","-",SUMIF('Lighting Assumptions'!$G$3:$G$112,'6a - Lighting Counts'!G118,'Lighting Assumptions'!$J$3:$J$112))</f>
        <v>-</v>
      </c>
      <c r="DO118" s="917" t="str">
        <f t="shared" si="48"/>
        <v>-</v>
      </c>
      <c r="DP118" s="917" t="str">
        <f t="shared" si="49"/>
        <v>-</v>
      </c>
      <c r="DQ118" s="917" t="str">
        <f>IF(LEFT(CELLformula(DF118),3)&lt;&gt;"=IF",1,"")</f>
        <v/>
      </c>
      <c r="DR118" s="917" t="str">
        <f>IF(LEFT(CELLformula(DD118),3)&lt;&gt;"=IF",1,"")</f>
        <v/>
      </c>
      <c r="DS118" s="3048">
        <f t="shared" si="58"/>
        <v>0</v>
      </c>
      <c r="DT118" s="3047" t="str">
        <f t="shared" si="59"/>
        <v/>
      </c>
      <c r="DU118" s="3047" t="str">
        <f>IFERROR(IF(G118="","",SUMIF('Lighting Assumptions'!$G$3:$G$112,'6a - Lighting Counts'!G118,'Lighting Assumptions'!$H$3:$H$112)*IF(SI_IP_Units="SI",10.76,1)),"")</f>
        <v/>
      </c>
      <c r="DV118" s="3047" t="str">
        <f>IFERROR(IF($CX118="","",IF(SI_IP_Units="SI",10.76,1)*SUMIF(BAMCategories,$CY118,'Lighting Assumptions'!$E$3:E$35)),"")</f>
        <v/>
      </c>
      <c r="DW118" s="3047" t="str">
        <f>IFERROR(IF($CX118="","",IF(SI_IP_Units="SI",10.76,1)*SUMIF(BAMCategories,$CY118,IF(bpf_reference="ACP",'Lighting Assumptions 90.1-2010'!$E$3:E$35,'Lighting Assumptions 90.1-2016'!$E$3:E$35))),"")</f>
        <v/>
      </c>
      <c r="EW118" s="855"/>
      <c r="EX118" s="855"/>
      <c r="EY118" s="855"/>
      <c r="EZ118" s="855"/>
    </row>
    <row r="119" spans="4:156" x14ac:dyDescent="0.25">
      <c r="D119" s="3019"/>
      <c r="E119" s="3020"/>
      <c r="F119" s="3021">
        <f t="shared" si="46"/>
        <v>0</v>
      </c>
      <c r="G119" s="3059"/>
      <c r="H119" s="3060"/>
      <c r="I119" s="3061"/>
      <c r="J119" s="3061"/>
      <c r="K119" s="3061"/>
      <c r="L119" s="3061"/>
      <c r="M119" s="3061"/>
      <c r="N119" s="3061"/>
      <c r="O119" s="3061"/>
      <c r="P119" s="3061"/>
      <c r="Q119" s="3061"/>
      <c r="R119" s="3061"/>
      <c r="S119" s="3061"/>
      <c r="T119" s="3061"/>
      <c r="U119" s="3061"/>
      <c r="V119" s="3061"/>
      <c r="W119" s="3061"/>
      <c r="X119" s="3061"/>
      <c r="Y119" s="3061"/>
      <c r="Z119" s="3061"/>
      <c r="AA119" s="3061"/>
      <c r="AB119" s="3061"/>
      <c r="AC119" s="3061"/>
      <c r="AD119" s="3061"/>
      <c r="AE119" s="3061"/>
      <c r="AF119" s="3061"/>
      <c r="AG119" s="3061"/>
      <c r="AH119" s="3061"/>
      <c r="AI119" s="3061"/>
      <c r="AJ119" s="3061"/>
      <c r="AK119" s="3061"/>
      <c r="AL119" s="3061"/>
      <c r="AM119" s="3061"/>
      <c r="AN119" s="3061"/>
      <c r="AO119" s="3061"/>
      <c r="AP119" s="3061"/>
      <c r="AQ119" s="3061"/>
      <c r="AR119" s="3061"/>
      <c r="AS119" s="3061"/>
      <c r="AT119" s="3061"/>
      <c r="AU119" s="3061"/>
      <c r="AV119" s="3061"/>
      <c r="AW119" s="3061"/>
      <c r="AX119" s="3061"/>
      <c r="AY119" s="3061"/>
      <c r="AZ119" s="3061"/>
      <c r="BA119" s="3061"/>
      <c r="BB119" s="3061"/>
      <c r="BC119" s="3061"/>
      <c r="BD119" s="3061"/>
      <c r="BE119" s="3061"/>
      <c r="BF119" s="3061"/>
      <c r="BG119" s="3061"/>
      <c r="BH119" s="3061"/>
      <c r="BI119" s="3061"/>
      <c r="BJ119" s="3061"/>
      <c r="BK119" s="3061"/>
      <c r="BL119" s="3061"/>
      <c r="BM119" s="3061"/>
      <c r="BN119" s="3061"/>
      <c r="BO119" s="3061"/>
      <c r="BP119" s="3061"/>
      <c r="BQ119" s="3061"/>
      <c r="BR119" s="3061"/>
      <c r="BS119" s="3061"/>
      <c r="BT119" s="3061"/>
      <c r="BU119" s="3061"/>
      <c r="BV119" s="3061"/>
      <c r="BW119" s="3061"/>
      <c r="BX119" s="3061"/>
      <c r="BY119" s="3061"/>
      <c r="BZ119" s="3061"/>
      <c r="CA119" s="3061"/>
      <c r="CB119" s="3061"/>
      <c r="CC119" s="3061"/>
      <c r="CD119" s="3061"/>
      <c r="CE119" s="3061"/>
      <c r="CF119" s="3061"/>
      <c r="CG119" s="3061"/>
      <c r="CH119" s="3061"/>
      <c r="CI119" s="3061"/>
      <c r="CJ119" s="3061"/>
      <c r="CK119" s="3061"/>
      <c r="CL119" s="3061"/>
      <c r="CM119" s="3061"/>
      <c r="CN119" s="3061"/>
      <c r="CO119" s="3061"/>
      <c r="CP119" s="3061"/>
      <c r="CQ119" s="3061"/>
      <c r="CR119" s="3061"/>
      <c r="CS119" s="3062"/>
      <c r="CT119" s="3063"/>
      <c r="CU119" s="3064">
        <f t="shared" si="50"/>
        <v>1</v>
      </c>
      <c r="CV119" s="3022" t="str">
        <f>IF(OR(CT119="",CT119="None"),"-",DO119*CU119*SUMIF('Lighting Assumptions'!$G$3:$G$112,'6a - Lighting Counts'!G119,'Lighting Assumptions'!$J$3:$J$112))</f>
        <v>-</v>
      </c>
      <c r="CW119" s="3021"/>
      <c r="CX119" s="3021"/>
      <c r="CY119" s="3046"/>
      <c r="CZ119" s="2098">
        <f t="shared" si="51"/>
        <v>0</v>
      </c>
      <c r="DA119" s="2098" t="str">
        <f t="shared" si="52"/>
        <v>-</v>
      </c>
      <c r="DB119" s="2098">
        <f t="shared" si="53"/>
        <v>0</v>
      </c>
      <c r="DC119" s="3023" t="str">
        <f t="shared" si="54"/>
        <v>-</v>
      </c>
      <c r="DD119" s="3024" t="str">
        <f t="shared" si="55"/>
        <v/>
      </c>
      <c r="DE119" s="3025" t="str">
        <f t="shared" si="56"/>
        <v>-</v>
      </c>
      <c r="DF119" s="3024" t="str">
        <f t="shared" si="47"/>
        <v>-</v>
      </c>
      <c r="DG119" s="2098">
        <f t="shared" si="57"/>
        <v>0</v>
      </c>
      <c r="DH119" s="2098">
        <f t="array" ref="DH119">MIN(SUMPRODUCT(I119:CR119,IF($I$25:$CR$25="yes",1,0),$I$23:$CR$23),H119)</f>
        <v>0</v>
      </c>
      <c r="DI119" s="3026"/>
      <c r="DJ119" s="3021"/>
      <c r="DN119" s="917" t="str">
        <f>IF(CS119="","-",SUMIF('Lighting Assumptions'!$G$3:$G$112,'6a - Lighting Counts'!G119,'Lighting Assumptions'!$J$3:$J$112))</f>
        <v>-</v>
      </c>
      <c r="DO119" s="917" t="str">
        <f t="shared" si="48"/>
        <v>-</v>
      </c>
      <c r="DP119" s="917" t="str">
        <f t="shared" si="49"/>
        <v>-</v>
      </c>
      <c r="DQ119" s="917" t="str">
        <f>IF(LEFT(CELLformula(DF119),3)&lt;&gt;"=IF",1,"")</f>
        <v/>
      </c>
      <c r="DR119" s="917" t="str">
        <f>IF(LEFT(CELLformula(DD119),3)&lt;&gt;"=IF",1,"")</f>
        <v/>
      </c>
      <c r="DS119" s="3048">
        <f t="shared" si="58"/>
        <v>0</v>
      </c>
      <c r="DT119" s="3047" t="str">
        <f t="shared" si="59"/>
        <v/>
      </c>
      <c r="DU119" s="3047" t="str">
        <f>IFERROR(IF(G119="","",SUMIF('Lighting Assumptions'!$G$3:$G$112,'6a - Lighting Counts'!G119,'Lighting Assumptions'!$H$3:$H$112)*IF(SI_IP_Units="SI",10.76,1)),"")</f>
        <v/>
      </c>
      <c r="DV119" s="3047" t="str">
        <f>IFERROR(IF($CX119="","",IF(SI_IP_Units="SI",10.76,1)*SUMIF(BAMCategories,$CY119,'Lighting Assumptions'!$E$3:E$35)),"")</f>
        <v/>
      </c>
      <c r="DW119" s="3047" t="str">
        <f>IFERROR(IF($CX119="","",IF(SI_IP_Units="SI",10.76,1)*SUMIF(BAMCategories,$CY119,IF(bpf_reference="ACP",'Lighting Assumptions 90.1-2010'!$E$3:E$35,'Lighting Assumptions 90.1-2016'!$E$3:E$35))),"")</f>
        <v/>
      </c>
      <c r="EW119" s="855"/>
      <c r="EX119" s="855"/>
      <c r="EY119" s="855"/>
      <c r="EZ119" s="855"/>
    </row>
    <row r="120" spans="4:156" x14ac:dyDescent="0.25">
      <c r="D120" s="3019"/>
      <c r="E120" s="3020"/>
      <c r="F120" s="3021">
        <f t="shared" si="46"/>
        <v>0</v>
      </c>
      <c r="G120" s="3059"/>
      <c r="H120" s="3060"/>
      <c r="I120" s="3061"/>
      <c r="J120" s="3061"/>
      <c r="K120" s="3061"/>
      <c r="L120" s="3061"/>
      <c r="M120" s="3061"/>
      <c r="N120" s="3061"/>
      <c r="O120" s="3061"/>
      <c r="P120" s="3061"/>
      <c r="Q120" s="3061"/>
      <c r="R120" s="3061"/>
      <c r="S120" s="3061"/>
      <c r="T120" s="3061"/>
      <c r="U120" s="3061"/>
      <c r="V120" s="3061"/>
      <c r="W120" s="3061"/>
      <c r="X120" s="3061"/>
      <c r="Y120" s="3061"/>
      <c r="Z120" s="3061"/>
      <c r="AA120" s="3061"/>
      <c r="AB120" s="3061"/>
      <c r="AC120" s="3061"/>
      <c r="AD120" s="3061"/>
      <c r="AE120" s="3061"/>
      <c r="AF120" s="3061"/>
      <c r="AG120" s="3061"/>
      <c r="AH120" s="3061"/>
      <c r="AI120" s="3061"/>
      <c r="AJ120" s="3061"/>
      <c r="AK120" s="3061"/>
      <c r="AL120" s="3061"/>
      <c r="AM120" s="3061"/>
      <c r="AN120" s="3061"/>
      <c r="AO120" s="3061"/>
      <c r="AP120" s="3061"/>
      <c r="AQ120" s="3061"/>
      <c r="AR120" s="3061"/>
      <c r="AS120" s="3061"/>
      <c r="AT120" s="3061"/>
      <c r="AU120" s="3061"/>
      <c r="AV120" s="3061"/>
      <c r="AW120" s="3061"/>
      <c r="AX120" s="3061"/>
      <c r="AY120" s="3061"/>
      <c r="AZ120" s="3061"/>
      <c r="BA120" s="3061"/>
      <c r="BB120" s="3061"/>
      <c r="BC120" s="3061"/>
      <c r="BD120" s="3061"/>
      <c r="BE120" s="3061"/>
      <c r="BF120" s="3061"/>
      <c r="BG120" s="3061"/>
      <c r="BH120" s="3061"/>
      <c r="BI120" s="3061"/>
      <c r="BJ120" s="3061"/>
      <c r="BK120" s="3061"/>
      <c r="BL120" s="3061"/>
      <c r="BM120" s="3061"/>
      <c r="BN120" s="3061"/>
      <c r="BO120" s="3061"/>
      <c r="BP120" s="3061"/>
      <c r="BQ120" s="3061"/>
      <c r="BR120" s="3061"/>
      <c r="BS120" s="3061"/>
      <c r="BT120" s="3061"/>
      <c r="BU120" s="3061"/>
      <c r="BV120" s="3061"/>
      <c r="BW120" s="3061"/>
      <c r="BX120" s="3061"/>
      <c r="BY120" s="3061"/>
      <c r="BZ120" s="3061"/>
      <c r="CA120" s="3061"/>
      <c r="CB120" s="3061"/>
      <c r="CC120" s="3061"/>
      <c r="CD120" s="3061"/>
      <c r="CE120" s="3061"/>
      <c r="CF120" s="3061"/>
      <c r="CG120" s="3061"/>
      <c r="CH120" s="3061"/>
      <c r="CI120" s="3061"/>
      <c r="CJ120" s="3061"/>
      <c r="CK120" s="3061"/>
      <c r="CL120" s="3061"/>
      <c r="CM120" s="3061"/>
      <c r="CN120" s="3061"/>
      <c r="CO120" s="3061"/>
      <c r="CP120" s="3061"/>
      <c r="CQ120" s="3061"/>
      <c r="CR120" s="3061"/>
      <c r="CS120" s="3062"/>
      <c r="CT120" s="3063"/>
      <c r="CU120" s="3064">
        <f t="shared" si="50"/>
        <v>1</v>
      </c>
      <c r="CV120" s="3022" t="str">
        <f>IF(OR(CT120="",CT120="None"),"-",DO120*CU120*SUMIF('Lighting Assumptions'!$G$3:$G$112,'6a - Lighting Counts'!G120,'Lighting Assumptions'!$J$3:$J$112))</f>
        <v>-</v>
      </c>
      <c r="CW120" s="3021"/>
      <c r="CX120" s="3021"/>
      <c r="CY120" s="3046"/>
      <c r="CZ120" s="2098">
        <f t="shared" si="51"/>
        <v>0</v>
      </c>
      <c r="DA120" s="2098" t="str">
        <f t="shared" si="52"/>
        <v>-</v>
      </c>
      <c r="DB120" s="2098">
        <f t="shared" si="53"/>
        <v>0</v>
      </c>
      <c r="DC120" s="3023" t="str">
        <f t="shared" si="54"/>
        <v>-</v>
      </c>
      <c r="DD120" s="3024" t="str">
        <f t="shared" si="55"/>
        <v/>
      </c>
      <c r="DE120" s="3025" t="str">
        <f t="shared" si="56"/>
        <v>-</v>
      </c>
      <c r="DF120" s="3024" t="str">
        <f t="shared" si="47"/>
        <v>-</v>
      </c>
      <c r="DG120" s="2098">
        <f t="shared" si="57"/>
        <v>0</v>
      </c>
      <c r="DH120" s="2098">
        <f t="array" ref="DH120">MIN(SUMPRODUCT(I120:CR120,IF($I$25:$CR$25="yes",1,0),$I$23:$CR$23),H120)</f>
        <v>0</v>
      </c>
      <c r="DI120" s="3026"/>
      <c r="DJ120" s="3021"/>
      <c r="DN120" s="917" t="str">
        <f>IF(CS120="","-",SUMIF('Lighting Assumptions'!$G$3:$G$112,'6a - Lighting Counts'!G120,'Lighting Assumptions'!$J$3:$J$112))</f>
        <v>-</v>
      </c>
      <c r="DO120" s="917" t="str">
        <f t="shared" si="48"/>
        <v>-</v>
      </c>
      <c r="DP120" s="917" t="str">
        <f t="shared" si="49"/>
        <v>-</v>
      </c>
      <c r="DQ120" s="917" t="str">
        <f>IF(LEFT(CELLformula(DF120),3)&lt;&gt;"=IF",1,"")</f>
        <v/>
      </c>
      <c r="DR120" s="917" t="str">
        <f>IF(LEFT(CELLformula(DD120),3)&lt;&gt;"=IF",1,"")</f>
        <v/>
      </c>
      <c r="DS120" s="3048">
        <f t="shared" si="58"/>
        <v>0</v>
      </c>
      <c r="DT120" s="3047" t="str">
        <f t="shared" si="59"/>
        <v/>
      </c>
      <c r="DU120" s="3047" t="str">
        <f>IFERROR(IF(G120="","",SUMIF('Lighting Assumptions'!$G$3:$G$112,'6a - Lighting Counts'!G120,'Lighting Assumptions'!$H$3:$H$112)*IF(SI_IP_Units="SI",10.76,1)),"")</f>
        <v/>
      </c>
      <c r="DV120" s="3047" t="str">
        <f>IFERROR(IF($CX120="","",IF(SI_IP_Units="SI",10.76,1)*SUMIF(BAMCategories,$CY120,'Lighting Assumptions'!$E$3:E$35)),"")</f>
        <v/>
      </c>
      <c r="DW120" s="3047" t="str">
        <f>IFERROR(IF($CX120="","",IF(SI_IP_Units="SI",10.76,1)*SUMIF(BAMCategories,$CY120,IF(bpf_reference="ACP",'Lighting Assumptions 90.1-2010'!$E$3:E$35,'Lighting Assumptions 90.1-2016'!$E$3:E$35))),"")</f>
        <v/>
      </c>
      <c r="EW120" s="855"/>
      <c r="EX120" s="855"/>
      <c r="EY120" s="855"/>
      <c r="EZ120" s="855"/>
    </row>
    <row r="121" spans="4:156" x14ac:dyDescent="0.25">
      <c r="D121" s="3019"/>
      <c r="E121" s="3020"/>
      <c r="F121" s="3021">
        <f t="shared" si="46"/>
        <v>0</v>
      </c>
      <c r="G121" s="3059"/>
      <c r="H121" s="3060"/>
      <c r="I121" s="3061"/>
      <c r="J121" s="3061"/>
      <c r="K121" s="3061"/>
      <c r="L121" s="3061"/>
      <c r="M121" s="3061"/>
      <c r="N121" s="3061"/>
      <c r="O121" s="3061"/>
      <c r="P121" s="3061"/>
      <c r="Q121" s="3061"/>
      <c r="R121" s="3061"/>
      <c r="S121" s="3061"/>
      <c r="T121" s="3061"/>
      <c r="U121" s="3061"/>
      <c r="V121" s="3061"/>
      <c r="W121" s="3061"/>
      <c r="X121" s="3061"/>
      <c r="Y121" s="3061"/>
      <c r="Z121" s="3061"/>
      <c r="AA121" s="3061"/>
      <c r="AB121" s="3061"/>
      <c r="AC121" s="3061"/>
      <c r="AD121" s="3061"/>
      <c r="AE121" s="3061"/>
      <c r="AF121" s="3061"/>
      <c r="AG121" s="3061"/>
      <c r="AH121" s="3061"/>
      <c r="AI121" s="3061"/>
      <c r="AJ121" s="3061"/>
      <c r="AK121" s="3061"/>
      <c r="AL121" s="3061"/>
      <c r="AM121" s="3061"/>
      <c r="AN121" s="3061"/>
      <c r="AO121" s="3061"/>
      <c r="AP121" s="3061"/>
      <c r="AQ121" s="3061"/>
      <c r="AR121" s="3061"/>
      <c r="AS121" s="3061"/>
      <c r="AT121" s="3061"/>
      <c r="AU121" s="3061"/>
      <c r="AV121" s="3061"/>
      <c r="AW121" s="3061"/>
      <c r="AX121" s="3061"/>
      <c r="AY121" s="3061"/>
      <c r="AZ121" s="3061"/>
      <c r="BA121" s="3061"/>
      <c r="BB121" s="3061"/>
      <c r="BC121" s="3061"/>
      <c r="BD121" s="3061"/>
      <c r="BE121" s="3061"/>
      <c r="BF121" s="3061"/>
      <c r="BG121" s="3061"/>
      <c r="BH121" s="3061"/>
      <c r="BI121" s="3061"/>
      <c r="BJ121" s="3061"/>
      <c r="BK121" s="3061"/>
      <c r="BL121" s="3061"/>
      <c r="BM121" s="3061"/>
      <c r="BN121" s="3061"/>
      <c r="BO121" s="3061"/>
      <c r="BP121" s="3061"/>
      <c r="BQ121" s="3061"/>
      <c r="BR121" s="3061"/>
      <c r="BS121" s="3061"/>
      <c r="BT121" s="3061"/>
      <c r="BU121" s="3061"/>
      <c r="BV121" s="3061"/>
      <c r="BW121" s="3061"/>
      <c r="BX121" s="3061"/>
      <c r="BY121" s="3061"/>
      <c r="BZ121" s="3061"/>
      <c r="CA121" s="3061"/>
      <c r="CB121" s="3061"/>
      <c r="CC121" s="3061"/>
      <c r="CD121" s="3061"/>
      <c r="CE121" s="3061"/>
      <c r="CF121" s="3061"/>
      <c r="CG121" s="3061"/>
      <c r="CH121" s="3061"/>
      <c r="CI121" s="3061"/>
      <c r="CJ121" s="3061"/>
      <c r="CK121" s="3061"/>
      <c r="CL121" s="3061"/>
      <c r="CM121" s="3061"/>
      <c r="CN121" s="3061"/>
      <c r="CO121" s="3061"/>
      <c r="CP121" s="3061"/>
      <c r="CQ121" s="3061"/>
      <c r="CR121" s="3061"/>
      <c r="CS121" s="3062"/>
      <c r="CT121" s="3063"/>
      <c r="CU121" s="3064">
        <f t="shared" si="50"/>
        <v>1</v>
      </c>
      <c r="CV121" s="3022" t="str">
        <f>IF(OR(CT121="",CT121="None"),"-",DO121*CU121*SUMIF('Lighting Assumptions'!$G$3:$G$112,'6a - Lighting Counts'!G121,'Lighting Assumptions'!$J$3:$J$112))</f>
        <v>-</v>
      </c>
      <c r="CW121" s="3021"/>
      <c r="CX121" s="3021"/>
      <c r="CY121" s="3046"/>
      <c r="CZ121" s="2098">
        <f t="shared" si="51"/>
        <v>0</v>
      </c>
      <c r="DA121" s="2098" t="str">
        <f t="shared" si="52"/>
        <v>-</v>
      </c>
      <c r="DB121" s="2098">
        <f t="shared" si="53"/>
        <v>0</v>
      </c>
      <c r="DC121" s="3023" t="str">
        <f t="shared" si="54"/>
        <v>-</v>
      </c>
      <c r="DD121" s="3024" t="str">
        <f t="shared" si="55"/>
        <v/>
      </c>
      <c r="DE121" s="3025" t="str">
        <f t="shared" si="56"/>
        <v>-</v>
      </c>
      <c r="DF121" s="3024" t="str">
        <f t="shared" si="47"/>
        <v>-</v>
      </c>
      <c r="DG121" s="2098">
        <f t="shared" si="57"/>
        <v>0</v>
      </c>
      <c r="DH121" s="2098">
        <f t="array" ref="DH121">MIN(SUMPRODUCT(I121:CR121,IF($I$25:$CR$25="yes",1,0),$I$23:$CR$23),H121)</f>
        <v>0</v>
      </c>
      <c r="DI121" s="3026"/>
      <c r="DJ121" s="3021"/>
      <c r="DN121" s="917" t="str">
        <f>IF(CS121="","-",SUMIF('Lighting Assumptions'!$G$3:$G$112,'6a - Lighting Counts'!G121,'Lighting Assumptions'!$J$3:$J$112))</f>
        <v>-</v>
      </c>
      <c r="DO121" s="917" t="str">
        <f t="shared" si="48"/>
        <v>-</v>
      </c>
      <c r="DP121" s="917" t="str">
        <f t="shared" si="49"/>
        <v>-</v>
      </c>
      <c r="DQ121" s="917" t="str">
        <f>IF(LEFT(CELLformula(DF121),3)&lt;&gt;"=IF",1,"")</f>
        <v/>
      </c>
      <c r="DR121" s="917" t="str">
        <f>IF(LEFT(CELLformula(DD121),3)&lt;&gt;"=IF",1,"")</f>
        <v/>
      </c>
      <c r="DS121" s="3048">
        <f t="shared" si="58"/>
        <v>0</v>
      </c>
      <c r="DT121" s="3047" t="str">
        <f t="shared" si="59"/>
        <v/>
      </c>
      <c r="DU121" s="3047" t="str">
        <f>IFERROR(IF(G121="","",SUMIF('Lighting Assumptions'!$G$3:$G$112,'6a - Lighting Counts'!G121,'Lighting Assumptions'!$H$3:$H$112)*IF(SI_IP_Units="SI",10.76,1)),"")</f>
        <v/>
      </c>
      <c r="DV121" s="3047" t="str">
        <f>IFERROR(IF($CX121="","",IF(SI_IP_Units="SI",10.76,1)*SUMIF(BAMCategories,$CY121,'Lighting Assumptions'!$E$3:E$35)),"")</f>
        <v/>
      </c>
      <c r="DW121" s="3047" t="str">
        <f>IFERROR(IF($CX121="","",IF(SI_IP_Units="SI",10.76,1)*SUMIF(BAMCategories,$CY121,IF(bpf_reference="ACP",'Lighting Assumptions 90.1-2010'!$E$3:E$35,'Lighting Assumptions 90.1-2016'!$E$3:E$35))),"")</f>
        <v/>
      </c>
      <c r="EW121" s="855"/>
      <c r="EX121" s="855"/>
      <c r="EY121" s="855"/>
      <c r="EZ121" s="855"/>
    </row>
    <row r="122" spans="4:156" x14ac:dyDescent="0.25">
      <c r="D122" s="3019"/>
      <c r="E122" s="3020"/>
      <c r="F122" s="3021">
        <f t="shared" si="46"/>
        <v>0</v>
      </c>
      <c r="G122" s="3059"/>
      <c r="H122" s="3060"/>
      <c r="I122" s="3061"/>
      <c r="J122" s="3061"/>
      <c r="K122" s="3061"/>
      <c r="L122" s="3061"/>
      <c r="M122" s="3061"/>
      <c r="N122" s="3061"/>
      <c r="O122" s="3061"/>
      <c r="P122" s="3061"/>
      <c r="Q122" s="3061"/>
      <c r="R122" s="3061"/>
      <c r="S122" s="3061"/>
      <c r="T122" s="3061"/>
      <c r="U122" s="3061"/>
      <c r="V122" s="3061"/>
      <c r="W122" s="3061"/>
      <c r="X122" s="3061"/>
      <c r="Y122" s="3061"/>
      <c r="Z122" s="3061"/>
      <c r="AA122" s="3061"/>
      <c r="AB122" s="3061"/>
      <c r="AC122" s="3061"/>
      <c r="AD122" s="3061"/>
      <c r="AE122" s="3061"/>
      <c r="AF122" s="3061"/>
      <c r="AG122" s="3061"/>
      <c r="AH122" s="3061"/>
      <c r="AI122" s="3061"/>
      <c r="AJ122" s="3061"/>
      <c r="AK122" s="3061"/>
      <c r="AL122" s="3061"/>
      <c r="AM122" s="3061"/>
      <c r="AN122" s="3061"/>
      <c r="AO122" s="3061"/>
      <c r="AP122" s="3061"/>
      <c r="AQ122" s="3061"/>
      <c r="AR122" s="3061"/>
      <c r="AS122" s="3061"/>
      <c r="AT122" s="3061"/>
      <c r="AU122" s="3061"/>
      <c r="AV122" s="3061"/>
      <c r="AW122" s="3061"/>
      <c r="AX122" s="3061"/>
      <c r="AY122" s="3061"/>
      <c r="AZ122" s="3061"/>
      <c r="BA122" s="3061"/>
      <c r="BB122" s="3061"/>
      <c r="BC122" s="3061"/>
      <c r="BD122" s="3061"/>
      <c r="BE122" s="3061"/>
      <c r="BF122" s="3061"/>
      <c r="BG122" s="3061"/>
      <c r="BH122" s="3061"/>
      <c r="BI122" s="3061"/>
      <c r="BJ122" s="3061"/>
      <c r="BK122" s="3061"/>
      <c r="BL122" s="3061"/>
      <c r="BM122" s="3061"/>
      <c r="BN122" s="3061"/>
      <c r="BO122" s="3061"/>
      <c r="BP122" s="3061"/>
      <c r="BQ122" s="3061"/>
      <c r="BR122" s="3061"/>
      <c r="BS122" s="3061"/>
      <c r="BT122" s="3061"/>
      <c r="BU122" s="3061"/>
      <c r="BV122" s="3061"/>
      <c r="BW122" s="3061"/>
      <c r="BX122" s="3061"/>
      <c r="BY122" s="3061"/>
      <c r="BZ122" s="3061"/>
      <c r="CA122" s="3061"/>
      <c r="CB122" s="3061"/>
      <c r="CC122" s="3061"/>
      <c r="CD122" s="3061"/>
      <c r="CE122" s="3061"/>
      <c r="CF122" s="3061"/>
      <c r="CG122" s="3061"/>
      <c r="CH122" s="3061"/>
      <c r="CI122" s="3061"/>
      <c r="CJ122" s="3061"/>
      <c r="CK122" s="3061"/>
      <c r="CL122" s="3061"/>
      <c r="CM122" s="3061"/>
      <c r="CN122" s="3061"/>
      <c r="CO122" s="3061"/>
      <c r="CP122" s="3061"/>
      <c r="CQ122" s="3061"/>
      <c r="CR122" s="3061"/>
      <c r="CS122" s="3062"/>
      <c r="CT122" s="3063"/>
      <c r="CU122" s="3064">
        <f t="shared" si="50"/>
        <v>1</v>
      </c>
      <c r="CV122" s="3022" t="str">
        <f>IF(OR(CT122="",CT122="None"),"-",DO122*CU122*SUMIF('Lighting Assumptions'!$G$3:$G$112,'6a - Lighting Counts'!G122,'Lighting Assumptions'!$J$3:$J$112))</f>
        <v>-</v>
      </c>
      <c r="CW122" s="3021"/>
      <c r="CX122" s="3021"/>
      <c r="CY122" s="3046"/>
      <c r="CZ122" s="2098">
        <f t="shared" si="51"/>
        <v>0</v>
      </c>
      <c r="DA122" s="2098" t="str">
        <f t="shared" si="52"/>
        <v>-</v>
      </c>
      <c r="DB122" s="2098">
        <f t="shared" si="53"/>
        <v>0</v>
      </c>
      <c r="DC122" s="3023" t="str">
        <f t="shared" si="54"/>
        <v>-</v>
      </c>
      <c r="DD122" s="3024" t="str">
        <f t="shared" si="55"/>
        <v/>
      </c>
      <c r="DE122" s="3025" t="str">
        <f t="shared" si="56"/>
        <v>-</v>
      </c>
      <c r="DF122" s="3024" t="str">
        <f t="shared" si="47"/>
        <v>-</v>
      </c>
      <c r="DG122" s="2098">
        <f t="shared" si="57"/>
        <v>0</v>
      </c>
      <c r="DH122" s="2098">
        <f t="array" ref="DH122">MIN(SUMPRODUCT(I122:CR122,IF($I$25:$CR$25="yes",1,0),$I$23:$CR$23),H122)</f>
        <v>0</v>
      </c>
      <c r="DI122" s="3026"/>
      <c r="DJ122" s="3021"/>
      <c r="DN122" s="917" t="str">
        <f>IF(CS122="","-",SUMIF('Lighting Assumptions'!$G$3:$G$112,'6a - Lighting Counts'!G122,'Lighting Assumptions'!$J$3:$J$112))</f>
        <v>-</v>
      </c>
      <c r="DO122" s="917" t="str">
        <f t="shared" si="48"/>
        <v>-</v>
      </c>
      <c r="DP122" s="917" t="str">
        <f t="shared" si="49"/>
        <v>-</v>
      </c>
      <c r="DQ122" s="917" t="str">
        <f>IF(LEFT(CELLformula(DF122),3)&lt;&gt;"=IF",1,"")</f>
        <v/>
      </c>
      <c r="DR122" s="917" t="str">
        <f>IF(LEFT(CELLformula(DD122),3)&lt;&gt;"=IF",1,"")</f>
        <v/>
      </c>
      <c r="DS122" s="3048">
        <f t="shared" si="58"/>
        <v>0</v>
      </c>
      <c r="DT122" s="3047" t="str">
        <f t="shared" si="59"/>
        <v/>
      </c>
      <c r="DU122" s="3047" t="str">
        <f>IFERROR(IF(G122="","",SUMIF('Lighting Assumptions'!$G$3:$G$112,'6a - Lighting Counts'!G122,'Lighting Assumptions'!$H$3:$H$112)*IF(SI_IP_Units="SI",10.76,1)),"")</f>
        <v/>
      </c>
      <c r="DV122" s="3047" t="str">
        <f>IFERROR(IF($CX122="","",IF(SI_IP_Units="SI",10.76,1)*SUMIF(BAMCategories,$CY122,'Lighting Assumptions'!$E$3:E$35)),"")</f>
        <v/>
      </c>
      <c r="DW122" s="3047" t="str">
        <f>IFERROR(IF($CX122="","",IF(SI_IP_Units="SI",10.76,1)*SUMIF(BAMCategories,$CY122,IF(bpf_reference="ACP",'Lighting Assumptions 90.1-2010'!$E$3:E$35,'Lighting Assumptions 90.1-2016'!$E$3:E$35))),"")</f>
        <v/>
      </c>
      <c r="EW122" s="855"/>
      <c r="EX122" s="855"/>
      <c r="EY122" s="855"/>
      <c r="EZ122" s="855"/>
    </row>
    <row r="123" spans="4:156" x14ac:dyDescent="0.25">
      <c r="D123" s="3019"/>
      <c r="E123" s="3020"/>
      <c r="F123" s="3021">
        <f t="shared" si="46"/>
        <v>0</v>
      </c>
      <c r="G123" s="3059"/>
      <c r="H123" s="3060"/>
      <c r="I123" s="3061"/>
      <c r="J123" s="3061"/>
      <c r="K123" s="3061"/>
      <c r="L123" s="3061"/>
      <c r="M123" s="3061"/>
      <c r="N123" s="3061"/>
      <c r="O123" s="3061"/>
      <c r="P123" s="3061"/>
      <c r="Q123" s="3061"/>
      <c r="R123" s="3061"/>
      <c r="S123" s="3061"/>
      <c r="T123" s="3061"/>
      <c r="U123" s="3061"/>
      <c r="V123" s="3061"/>
      <c r="W123" s="3061"/>
      <c r="X123" s="3061"/>
      <c r="Y123" s="3061"/>
      <c r="Z123" s="3061"/>
      <c r="AA123" s="3061"/>
      <c r="AB123" s="3061"/>
      <c r="AC123" s="3061"/>
      <c r="AD123" s="3061"/>
      <c r="AE123" s="3061"/>
      <c r="AF123" s="3061"/>
      <c r="AG123" s="3061"/>
      <c r="AH123" s="3061"/>
      <c r="AI123" s="3061"/>
      <c r="AJ123" s="3061"/>
      <c r="AK123" s="3061"/>
      <c r="AL123" s="3061"/>
      <c r="AM123" s="3061"/>
      <c r="AN123" s="3061"/>
      <c r="AO123" s="3061"/>
      <c r="AP123" s="3061"/>
      <c r="AQ123" s="3061"/>
      <c r="AR123" s="3061"/>
      <c r="AS123" s="3061"/>
      <c r="AT123" s="3061"/>
      <c r="AU123" s="3061"/>
      <c r="AV123" s="3061"/>
      <c r="AW123" s="3061"/>
      <c r="AX123" s="3061"/>
      <c r="AY123" s="3061"/>
      <c r="AZ123" s="3061"/>
      <c r="BA123" s="3061"/>
      <c r="BB123" s="3061"/>
      <c r="BC123" s="3061"/>
      <c r="BD123" s="3061"/>
      <c r="BE123" s="3061"/>
      <c r="BF123" s="3061"/>
      <c r="BG123" s="3061"/>
      <c r="BH123" s="3061"/>
      <c r="BI123" s="3061"/>
      <c r="BJ123" s="3061"/>
      <c r="BK123" s="3061"/>
      <c r="BL123" s="3061"/>
      <c r="BM123" s="3061"/>
      <c r="BN123" s="3061"/>
      <c r="BO123" s="3061"/>
      <c r="BP123" s="3061"/>
      <c r="BQ123" s="3061"/>
      <c r="BR123" s="3061"/>
      <c r="BS123" s="3061"/>
      <c r="BT123" s="3061"/>
      <c r="BU123" s="3061"/>
      <c r="BV123" s="3061"/>
      <c r="BW123" s="3061"/>
      <c r="BX123" s="3061"/>
      <c r="BY123" s="3061"/>
      <c r="BZ123" s="3061"/>
      <c r="CA123" s="3061"/>
      <c r="CB123" s="3061"/>
      <c r="CC123" s="3061"/>
      <c r="CD123" s="3061"/>
      <c r="CE123" s="3061"/>
      <c r="CF123" s="3061"/>
      <c r="CG123" s="3061"/>
      <c r="CH123" s="3061"/>
      <c r="CI123" s="3061"/>
      <c r="CJ123" s="3061"/>
      <c r="CK123" s="3061"/>
      <c r="CL123" s="3061"/>
      <c r="CM123" s="3061"/>
      <c r="CN123" s="3061"/>
      <c r="CO123" s="3061"/>
      <c r="CP123" s="3061"/>
      <c r="CQ123" s="3061"/>
      <c r="CR123" s="3061"/>
      <c r="CS123" s="3062"/>
      <c r="CT123" s="3063"/>
      <c r="CU123" s="3064">
        <f t="shared" si="50"/>
        <v>1</v>
      </c>
      <c r="CV123" s="3022" t="str">
        <f>IF(OR(CT123="",CT123="None"),"-",DO123*CU123*SUMIF('Lighting Assumptions'!$G$3:$G$112,'6a - Lighting Counts'!G123,'Lighting Assumptions'!$J$3:$J$112))</f>
        <v>-</v>
      </c>
      <c r="CW123" s="3021"/>
      <c r="CX123" s="3021"/>
      <c r="CY123" s="3046"/>
      <c r="CZ123" s="2098">
        <f t="shared" si="51"/>
        <v>0</v>
      </c>
      <c r="DA123" s="2098" t="str">
        <f t="shared" si="52"/>
        <v>-</v>
      </c>
      <c r="DB123" s="2098">
        <f t="shared" si="53"/>
        <v>0</v>
      </c>
      <c r="DC123" s="3023" t="str">
        <f t="shared" si="54"/>
        <v>-</v>
      </c>
      <c r="DD123" s="3024" t="str">
        <f t="shared" si="55"/>
        <v/>
      </c>
      <c r="DE123" s="3025" t="str">
        <f t="shared" si="56"/>
        <v>-</v>
      </c>
      <c r="DF123" s="3024" t="str">
        <f t="shared" si="47"/>
        <v>-</v>
      </c>
      <c r="DG123" s="2098">
        <f t="shared" si="57"/>
        <v>0</v>
      </c>
      <c r="DH123" s="2098">
        <f t="array" ref="DH123">MIN(SUMPRODUCT(I123:CR123,IF($I$25:$CR$25="yes",1,0),$I$23:$CR$23),H123)</f>
        <v>0</v>
      </c>
      <c r="DI123" s="3026"/>
      <c r="DJ123" s="3021"/>
      <c r="DN123" s="917" t="str">
        <f>IF(CS123="","-",SUMIF('Lighting Assumptions'!$G$3:$G$112,'6a - Lighting Counts'!G123,'Lighting Assumptions'!$J$3:$J$112))</f>
        <v>-</v>
      </c>
      <c r="DO123" s="917" t="str">
        <f t="shared" si="48"/>
        <v>-</v>
      </c>
      <c r="DP123" s="917" t="str">
        <f t="shared" si="49"/>
        <v>-</v>
      </c>
      <c r="DQ123" s="917" t="str">
        <f>IF(LEFT(CELLformula(DF123),3)&lt;&gt;"=IF",1,"")</f>
        <v/>
      </c>
      <c r="DR123" s="917" t="str">
        <f>IF(LEFT(CELLformula(DD123),3)&lt;&gt;"=IF",1,"")</f>
        <v/>
      </c>
      <c r="DS123" s="3048">
        <f t="shared" si="58"/>
        <v>0</v>
      </c>
      <c r="DT123" s="3047" t="str">
        <f t="shared" si="59"/>
        <v/>
      </c>
      <c r="DU123" s="3047" t="str">
        <f>IFERROR(IF(G123="","",SUMIF('Lighting Assumptions'!$G$3:$G$112,'6a - Lighting Counts'!G123,'Lighting Assumptions'!$H$3:$H$112)*IF(SI_IP_Units="SI",10.76,1)),"")</f>
        <v/>
      </c>
      <c r="DV123" s="3047" t="str">
        <f>IFERROR(IF($CX123="","",IF(SI_IP_Units="SI",10.76,1)*SUMIF(BAMCategories,$CY123,'Lighting Assumptions'!$E$3:E$35)),"")</f>
        <v/>
      </c>
      <c r="DW123" s="3047" t="str">
        <f>IFERROR(IF($CX123="","",IF(SI_IP_Units="SI",10.76,1)*SUMIF(BAMCategories,$CY123,IF(bpf_reference="ACP",'Lighting Assumptions 90.1-2010'!$E$3:E$35,'Lighting Assumptions 90.1-2016'!$E$3:E$35))),"")</f>
        <v/>
      </c>
      <c r="EW123" s="855"/>
      <c r="EX123" s="855"/>
      <c r="EY123" s="855"/>
      <c r="EZ123" s="855"/>
    </row>
    <row r="124" spans="4:156" x14ac:dyDescent="0.25">
      <c r="D124" s="3019"/>
      <c r="E124" s="3020"/>
      <c r="F124" s="3021">
        <f t="shared" si="46"/>
        <v>0</v>
      </c>
      <c r="G124" s="3059"/>
      <c r="H124" s="3060"/>
      <c r="I124" s="3061"/>
      <c r="J124" s="3061"/>
      <c r="K124" s="3061"/>
      <c r="L124" s="3061"/>
      <c r="M124" s="3061"/>
      <c r="N124" s="3061"/>
      <c r="O124" s="3061"/>
      <c r="P124" s="3061"/>
      <c r="Q124" s="3061"/>
      <c r="R124" s="3061"/>
      <c r="S124" s="3061"/>
      <c r="T124" s="3061"/>
      <c r="U124" s="3061"/>
      <c r="V124" s="3061"/>
      <c r="W124" s="3061"/>
      <c r="X124" s="3061"/>
      <c r="Y124" s="3061"/>
      <c r="Z124" s="3061"/>
      <c r="AA124" s="3061"/>
      <c r="AB124" s="3061"/>
      <c r="AC124" s="3061"/>
      <c r="AD124" s="3061"/>
      <c r="AE124" s="3061"/>
      <c r="AF124" s="3061"/>
      <c r="AG124" s="3061"/>
      <c r="AH124" s="3061"/>
      <c r="AI124" s="3061"/>
      <c r="AJ124" s="3061"/>
      <c r="AK124" s="3061"/>
      <c r="AL124" s="3061"/>
      <c r="AM124" s="3061"/>
      <c r="AN124" s="3061"/>
      <c r="AO124" s="3061"/>
      <c r="AP124" s="3061"/>
      <c r="AQ124" s="3061"/>
      <c r="AR124" s="3061"/>
      <c r="AS124" s="3061"/>
      <c r="AT124" s="3061"/>
      <c r="AU124" s="3061"/>
      <c r="AV124" s="3061"/>
      <c r="AW124" s="3061"/>
      <c r="AX124" s="3061"/>
      <c r="AY124" s="3061"/>
      <c r="AZ124" s="3061"/>
      <c r="BA124" s="3061"/>
      <c r="BB124" s="3061"/>
      <c r="BC124" s="3061"/>
      <c r="BD124" s="3061"/>
      <c r="BE124" s="3061"/>
      <c r="BF124" s="3061"/>
      <c r="BG124" s="3061"/>
      <c r="BH124" s="3061"/>
      <c r="BI124" s="3061"/>
      <c r="BJ124" s="3061"/>
      <c r="BK124" s="3061"/>
      <c r="BL124" s="3061"/>
      <c r="BM124" s="3061"/>
      <c r="BN124" s="3061"/>
      <c r="BO124" s="3061"/>
      <c r="BP124" s="3061"/>
      <c r="BQ124" s="3061"/>
      <c r="BR124" s="3061"/>
      <c r="BS124" s="3061"/>
      <c r="BT124" s="3061"/>
      <c r="BU124" s="3061"/>
      <c r="BV124" s="3061"/>
      <c r="BW124" s="3061"/>
      <c r="BX124" s="3061"/>
      <c r="BY124" s="3061"/>
      <c r="BZ124" s="3061"/>
      <c r="CA124" s="3061"/>
      <c r="CB124" s="3061"/>
      <c r="CC124" s="3061"/>
      <c r="CD124" s="3061"/>
      <c r="CE124" s="3061"/>
      <c r="CF124" s="3061"/>
      <c r="CG124" s="3061"/>
      <c r="CH124" s="3061"/>
      <c r="CI124" s="3061"/>
      <c r="CJ124" s="3061"/>
      <c r="CK124" s="3061"/>
      <c r="CL124" s="3061"/>
      <c r="CM124" s="3061"/>
      <c r="CN124" s="3061"/>
      <c r="CO124" s="3061"/>
      <c r="CP124" s="3061"/>
      <c r="CQ124" s="3061"/>
      <c r="CR124" s="3061"/>
      <c r="CS124" s="3062"/>
      <c r="CT124" s="3063"/>
      <c r="CU124" s="3064">
        <f t="shared" si="50"/>
        <v>1</v>
      </c>
      <c r="CV124" s="3022" t="str">
        <f>IF(OR(CT124="",CT124="None"),"-",DO124*CU124*SUMIF('Lighting Assumptions'!$G$3:$G$112,'6a - Lighting Counts'!G124,'Lighting Assumptions'!$J$3:$J$112))</f>
        <v>-</v>
      </c>
      <c r="CW124" s="3021"/>
      <c r="CX124" s="3021"/>
      <c r="CY124" s="3046"/>
      <c r="CZ124" s="2098">
        <f t="shared" si="51"/>
        <v>0</v>
      </c>
      <c r="DA124" s="2098" t="str">
        <f t="shared" si="52"/>
        <v>-</v>
      </c>
      <c r="DB124" s="2098">
        <f t="shared" si="53"/>
        <v>0</v>
      </c>
      <c r="DC124" s="3023" t="str">
        <f t="shared" si="54"/>
        <v>-</v>
      </c>
      <c r="DD124" s="3024" t="str">
        <f t="shared" si="55"/>
        <v/>
      </c>
      <c r="DE124" s="3025" t="str">
        <f t="shared" si="56"/>
        <v>-</v>
      </c>
      <c r="DF124" s="3024" t="str">
        <f t="shared" si="47"/>
        <v>-</v>
      </c>
      <c r="DG124" s="2098">
        <f t="shared" si="57"/>
        <v>0</v>
      </c>
      <c r="DH124" s="2098">
        <f t="array" ref="DH124">MIN(SUMPRODUCT(I124:CR124,IF($I$25:$CR$25="yes",1,0),$I$23:$CR$23),H124)</f>
        <v>0</v>
      </c>
      <c r="DI124" s="3026"/>
      <c r="DJ124" s="3021"/>
      <c r="DN124" s="917" t="str">
        <f>IF(CS124="","-",SUMIF('Lighting Assumptions'!$G$3:$G$112,'6a - Lighting Counts'!G124,'Lighting Assumptions'!$J$3:$J$112))</f>
        <v>-</v>
      </c>
      <c r="DO124" s="917" t="str">
        <f t="shared" si="48"/>
        <v>-</v>
      </c>
      <c r="DP124" s="917" t="str">
        <f t="shared" si="49"/>
        <v>-</v>
      </c>
      <c r="DQ124" s="917" t="str">
        <f>IF(LEFT(CELLformula(DF124),3)&lt;&gt;"=IF",1,"")</f>
        <v/>
      </c>
      <c r="DR124" s="917" t="str">
        <f>IF(LEFT(CELLformula(DD124),3)&lt;&gt;"=IF",1,"")</f>
        <v/>
      </c>
      <c r="DS124" s="3048">
        <f t="shared" si="58"/>
        <v>0</v>
      </c>
      <c r="DT124" s="3047" t="str">
        <f t="shared" si="59"/>
        <v/>
      </c>
      <c r="DU124" s="3047" t="str">
        <f>IFERROR(IF(G124="","",SUMIF('Lighting Assumptions'!$G$3:$G$112,'6a - Lighting Counts'!G124,'Lighting Assumptions'!$H$3:$H$112)*IF(SI_IP_Units="SI",10.76,1)),"")</f>
        <v/>
      </c>
      <c r="DV124" s="3047" t="str">
        <f>IFERROR(IF($CX124="","",IF(SI_IP_Units="SI",10.76,1)*SUMIF(BAMCategories,$CY124,'Lighting Assumptions'!$E$3:E$35)),"")</f>
        <v/>
      </c>
      <c r="DW124" s="3047" t="str">
        <f>IFERROR(IF($CX124="","",IF(SI_IP_Units="SI",10.76,1)*SUMIF(BAMCategories,$CY124,IF(bpf_reference="ACP",'Lighting Assumptions 90.1-2010'!$E$3:E$35,'Lighting Assumptions 90.1-2016'!$E$3:E$35))),"")</f>
        <v/>
      </c>
      <c r="EW124" s="855"/>
      <c r="EX124" s="855"/>
      <c r="EY124" s="855"/>
      <c r="EZ124" s="855"/>
    </row>
    <row r="125" spans="4:156" x14ac:dyDescent="0.25">
      <c r="D125" s="3019"/>
      <c r="E125" s="3020"/>
      <c r="F125" s="3021">
        <f t="shared" si="46"/>
        <v>0</v>
      </c>
      <c r="G125" s="3059"/>
      <c r="H125" s="3060"/>
      <c r="I125" s="3061"/>
      <c r="J125" s="3061"/>
      <c r="K125" s="3061"/>
      <c r="L125" s="3061"/>
      <c r="M125" s="3061"/>
      <c r="N125" s="3061"/>
      <c r="O125" s="3061"/>
      <c r="P125" s="3061"/>
      <c r="Q125" s="3061"/>
      <c r="R125" s="3061"/>
      <c r="S125" s="3061"/>
      <c r="T125" s="3061"/>
      <c r="U125" s="3061"/>
      <c r="V125" s="3061"/>
      <c r="W125" s="3061"/>
      <c r="X125" s="3061"/>
      <c r="Y125" s="3061"/>
      <c r="Z125" s="3061"/>
      <c r="AA125" s="3061"/>
      <c r="AB125" s="3061"/>
      <c r="AC125" s="3061"/>
      <c r="AD125" s="3061"/>
      <c r="AE125" s="3061"/>
      <c r="AF125" s="3061"/>
      <c r="AG125" s="3061"/>
      <c r="AH125" s="3061"/>
      <c r="AI125" s="3061"/>
      <c r="AJ125" s="3061"/>
      <c r="AK125" s="3061"/>
      <c r="AL125" s="3061"/>
      <c r="AM125" s="3061"/>
      <c r="AN125" s="3061"/>
      <c r="AO125" s="3061"/>
      <c r="AP125" s="3061"/>
      <c r="AQ125" s="3061"/>
      <c r="AR125" s="3061"/>
      <c r="AS125" s="3061"/>
      <c r="AT125" s="3061"/>
      <c r="AU125" s="3061"/>
      <c r="AV125" s="3061"/>
      <c r="AW125" s="3061"/>
      <c r="AX125" s="3061"/>
      <c r="AY125" s="3061"/>
      <c r="AZ125" s="3061"/>
      <c r="BA125" s="3061"/>
      <c r="BB125" s="3061"/>
      <c r="BC125" s="3061"/>
      <c r="BD125" s="3061"/>
      <c r="BE125" s="3061"/>
      <c r="BF125" s="3061"/>
      <c r="BG125" s="3061"/>
      <c r="BH125" s="3061"/>
      <c r="BI125" s="3061"/>
      <c r="BJ125" s="3061"/>
      <c r="BK125" s="3061"/>
      <c r="BL125" s="3061"/>
      <c r="BM125" s="3061"/>
      <c r="BN125" s="3061"/>
      <c r="BO125" s="3061"/>
      <c r="BP125" s="3061"/>
      <c r="BQ125" s="3061"/>
      <c r="BR125" s="3061"/>
      <c r="BS125" s="3061"/>
      <c r="BT125" s="3061"/>
      <c r="BU125" s="3061"/>
      <c r="BV125" s="3061"/>
      <c r="BW125" s="3061"/>
      <c r="BX125" s="3061"/>
      <c r="BY125" s="3061"/>
      <c r="BZ125" s="3061"/>
      <c r="CA125" s="3061"/>
      <c r="CB125" s="3061"/>
      <c r="CC125" s="3061"/>
      <c r="CD125" s="3061"/>
      <c r="CE125" s="3061"/>
      <c r="CF125" s="3061"/>
      <c r="CG125" s="3061"/>
      <c r="CH125" s="3061"/>
      <c r="CI125" s="3061"/>
      <c r="CJ125" s="3061"/>
      <c r="CK125" s="3061"/>
      <c r="CL125" s="3061"/>
      <c r="CM125" s="3061"/>
      <c r="CN125" s="3061"/>
      <c r="CO125" s="3061"/>
      <c r="CP125" s="3061"/>
      <c r="CQ125" s="3061"/>
      <c r="CR125" s="3061"/>
      <c r="CS125" s="3062"/>
      <c r="CT125" s="3063"/>
      <c r="CU125" s="3064">
        <f t="shared" si="50"/>
        <v>1</v>
      </c>
      <c r="CV125" s="3022" t="str">
        <f>IF(OR(CT125="",CT125="None"),"-",DO125*CU125*SUMIF('Lighting Assumptions'!$G$3:$G$112,'6a - Lighting Counts'!G125,'Lighting Assumptions'!$J$3:$J$112))</f>
        <v>-</v>
      </c>
      <c r="CW125" s="3021"/>
      <c r="CX125" s="3021"/>
      <c r="CY125" s="3046"/>
      <c r="CZ125" s="2098">
        <f t="shared" si="51"/>
        <v>0</v>
      </c>
      <c r="DA125" s="2098" t="str">
        <f t="shared" si="52"/>
        <v>-</v>
      </c>
      <c r="DB125" s="2098">
        <f t="shared" si="53"/>
        <v>0</v>
      </c>
      <c r="DC125" s="3023" t="str">
        <f t="shared" si="54"/>
        <v>-</v>
      </c>
      <c r="DD125" s="3024" t="str">
        <f t="shared" si="55"/>
        <v/>
      </c>
      <c r="DE125" s="3025" t="str">
        <f t="shared" si="56"/>
        <v>-</v>
      </c>
      <c r="DF125" s="3024" t="str">
        <f t="shared" si="47"/>
        <v>-</v>
      </c>
      <c r="DG125" s="2098">
        <f t="shared" si="57"/>
        <v>0</v>
      </c>
      <c r="DH125" s="2098">
        <f t="array" ref="DH125">MIN(SUMPRODUCT(I125:CR125,IF($I$25:$CR$25="yes",1,0),$I$23:$CR$23),H125)</f>
        <v>0</v>
      </c>
      <c r="DI125" s="3026"/>
      <c r="DJ125" s="3021"/>
      <c r="DN125" s="917" t="str">
        <f>IF(CS125="","-",SUMIF('Lighting Assumptions'!$G$3:$G$112,'6a - Lighting Counts'!G125,'Lighting Assumptions'!$J$3:$J$112))</f>
        <v>-</v>
      </c>
      <c r="DO125" s="917" t="str">
        <f t="shared" si="48"/>
        <v>-</v>
      </c>
      <c r="DP125" s="917" t="str">
        <f t="shared" si="49"/>
        <v>-</v>
      </c>
      <c r="DQ125" s="917" t="str">
        <f>IF(LEFT(CELLformula(DF125),3)&lt;&gt;"=IF",1,"")</f>
        <v/>
      </c>
      <c r="DR125" s="917" t="str">
        <f>IF(LEFT(CELLformula(DD125),3)&lt;&gt;"=IF",1,"")</f>
        <v/>
      </c>
      <c r="DS125" s="3048">
        <f t="shared" si="58"/>
        <v>0</v>
      </c>
      <c r="DT125" s="3047" t="str">
        <f t="shared" si="59"/>
        <v/>
      </c>
      <c r="DU125" s="3047" t="str">
        <f>IFERROR(IF(G125="","",SUMIF('Lighting Assumptions'!$G$3:$G$112,'6a - Lighting Counts'!G125,'Lighting Assumptions'!$H$3:$H$112)*IF(SI_IP_Units="SI",10.76,1)),"")</f>
        <v/>
      </c>
      <c r="DV125" s="3047" t="str">
        <f>IFERROR(IF($CX125="","",IF(SI_IP_Units="SI",10.76,1)*SUMIF(BAMCategories,$CY125,'Lighting Assumptions'!$E$3:E$35)),"")</f>
        <v/>
      </c>
      <c r="DW125" s="3047" t="str">
        <f>IFERROR(IF($CX125="","",IF(SI_IP_Units="SI",10.76,1)*SUMIF(BAMCategories,$CY125,IF(bpf_reference="ACP",'Lighting Assumptions 90.1-2010'!$E$3:E$35,'Lighting Assumptions 90.1-2016'!$E$3:E$35))),"")</f>
        <v/>
      </c>
      <c r="EW125" s="855"/>
      <c r="EX125" s="855"/>
      <c r="EY125" s="855"/>
      <c r="EZ125" s="855"/>
    </row>
    <row r="126" spans="4:156" x14ac:dyDescent="0.25">
      <c r="D126" s="3019"/>
      <c r="E126" s="3020"/>
      <c r="F126" s="3021">
        <f t="shared" si="46"/>
        <v>0</v>
      </c>
      <c r="G126" s="3059"/>
      <c r="H126" s="3060"/>
      <c r="I126" s="3061"/>
      <c r="J126" s="3061"/>
      <c r="K126" s="3061"/>
      <c r="L126" s="3061"/>
      <c r="M126" s="3061"/>
      <c r="N126" s="3061"/>
      <c r="O126" s="3061"/>
      <c r="P126" s="3061"/>
      <c r="Q126" s="3061"/>
      <c r="R126" s="3061"/>
      <c r="S126" s="3061"/>
      <c r="T126" s="3061"/>
      <c r="U126" s="3061"/>
      <c r="V126" s="3061"/>
      <c r="W126" s="3061"/>
      <c r="X126" s="3061"/>
      <c r="Y126" s="3061"/>
      <c r="Z126" s="3061"/>
      <c r="AA126" s="3061"/>
      <c r="AB126" s="3061"/>
      <c r="AC126" s="3061"/>
      <c r="AD126" s="3061"/>
      <c r="AE126" s="3061"/>
      <c r="AF126" s="3061"/>
      <c r="AG126" s="3061"/>
      <c r="AH126" s="3061"/>
      <c r="AI126" s="3061"/>
      <c r="AJ126" s="3061"/>
      <c r="AK126" s="3061"/>
      <c r="AL126" s="3061"/>
      <c r="AM126" s="3061"/>
      <c r="AN126" s="3061"/>
      <c r="AO126" s="3061"/>
      <c r="AP126" s="3061"/>
      <c r="AQ126" s="3061"/>
      <c r="AR126" s="3061"/>
      <c r="AS126" s="3061"/>
      <c r="AT126" s="3061"/>
      <c r="AU126" s="3061"/>
      <c r="AV126" s="3061"/>
      <c r="AW126" s="3061"/>
      <c r="AX126" s="3061"/>
      <c r="AY126" s="3061"/>
      <c r="AZ126" s="3061"/>
      <c r="BA126" s="3061"/>
      <c r="BB126" s="3061"/>
      <c r="BC126" s="3061"/>
      <c r="BD126" s="3061"/>
      <c r="BE126" s="3061"/>
      <c r="BF126" s="3061"/>
      <c r="BG126" s="3061"/>
      <c r="BH126" s="3061"/>
      <c r="BI126" s="3061"/>
      <c r="BJ126" s="3061"/>
      <c r="BK126" s="3061"/>
      <c r="BL126" s="3061"/>
      <c r="BM126" s="3061"/>
      <c r="BN126" s="3061"/>
      <c r="BO126" s="3061"/>
      <c r="BP126" s="3061"/>
      <c r="BQ126" s="3061"/>
      <c r="BR126" s="3061"/>
      <c r="BS126" s="3061"/>
      <c r="BT126" s="3061"/>
      <c r="BU126" s="3061"/>
      <c r="BV126" s="3061"/>
      <c r="BW126" s="3061"/>
      <c r="BX126" s="3061"/>
      <c r="BY126" s="3061"/>
      <c r="BZ126" s="3061"/>
      <c r="CA126" s="3061"/>
      <c r="CB126" s="3061"/>
      <c r="CC126" s="3061"/>
      <c r="CD126" s="3061"/>
      <c r="CE126" s="3061"/>
      <c r="CF126" s="3061"/>
      <c r="CG126" s="3061"/>
      <c r="CH126" s="3061"/>
      <c r="CI126" s="3061"/>
      <c r="CJ126" s="3061"/>
      <c r="CK126" s="3061"/>
      <c r="CL126" s="3061"/>
      <c r="CM126" s="3061"/>
      <c r="CN126" s="3061"/>
      <c r="CO126" s="3061"/>
      <c r="CP126" s="3061"/>
      <c r="CQ126" s="3061"/>
      <c r="CR126" s="3061"/>
      <c r="CS126" s="3062"/>
      <c r="CT126" s="3063"/>
      <c r="CU126" s="3064">
        <f t="shared" si="50"/>
        <v>1</v>
      </c>
      <c r="CV126" s="3022" t="str">
        <f>IF(OR(CT126="",CT126="None"),"-",DO126*CU126*SUMIF('Lighting Assumptions'!$G$3:$G$112,'6a - Lighting Counts'!G126,'Lighting Assumptions'!$J$3:$J$112))</f>
        <v>-</v>
      </c>
      <c r="CW126" s="3021"/>
      <c r="CX126" s="3021"/>
      <c r="CY126" s="3046"/>
      <c r="CZ126" s="2098">
        <f t="shared" si="51"/>
        <v>0</v>
      </c>
      <c r="DA126" s="2098" t="str">
        <f t="shared" si="52"/>
        <v>-</v>
      </c>
      <c r="DB126" s="2098">
        <f t="shared" si="53"/>
        <v>0</v>
      </c>
      <c r="DC126" s="3023" t="str">
        <f t="shared" si="54"/>
        <v>-</v>
      </c>
      <c r="DD126" s="3024" t="str">
        <f t="shared" si="55"/>
        <v/>
      </c>
      <c r="DE126" s="3025" t="str">
        <f t="shared" si="56"/>
        <v>-</v>
      </c>
      <c r="DF126" s="3024" t="str">
        <f t="shared" si="47"/>
        <v>-</v>
      </c>
      <c r="DG126" s="2098">
        <f t="shared" si="57"/>
        <v>0</v>
      </c>
      <c r="DH126" s="2098">
        <f t="array" ref="DH126">MIN(SUMPRODUCT(I126:CR126,IF($I$25:$CR$25="yes",1,0),$I$23:$CR$23),H126)</f>
        <v>0</v>
      </c>
      <c r="DI126" s="3026"/>
      <c r="DJ126" s="3021"/>
      <c r="DN126" s="917" t="str">
        <f>IF(CS126="","-",SUMIF('Lighting Assumptions'!$G$3:$G$112,'6a - Lighting Counts'!G126,'Lighting Assumptions'!$J$3:$J$112))</f>
        <v>-</v>
      </c>
      <c r="DO126" s="917" t="str">
        <f t="shared" si="48"/>
        <v>-</v>
      </c>
      <c r="DP126" s="917" t="str">
        <f t="shared" si="49"/>
        <v>-</v>
      </c>
      <c r="DQ126" s="917" t="str">
        <f>IF(LEFT(CELLformula(DF126),3)&lt;&gt;"=IF",1,"")</f>
        <v/>
      </c>
      <c r="DR126" s="917" t="str">
        <f>IF(LEFT(CELLformula(DD126),3)&lt;&gt;"=IF",1,"")</f>
        <v/>
      </c>
      <c r="DS126" s="3048">
        <f t="shared" si="58"/>
        <v>0</v>
      </c>
      <c r="DT126" s="3047" t="str">
        <f t="shared" si="59"/>
        <v/>
      </c>
      <c r="DU126" s="3047" t="str">
        <f>IFERROR(IF(G126="","",SUMIF('Lighting Assumptions'!$G$3:$G$112,'6a - Lighting Counts'!G126,'Lighting Assumptions'!$H$3:$H$112)*IF(SI_IP_Units="SI",10.76,1)),"")</f>
        <v/>
      </c>
      <c r="DV126" s="3047" t="str">
        <f>IFERROR(IF($CX126="","",IF(SI_IP_Units="SI",10.76,1)*SUMIF(BAMCategories,$CY126,'Lighting Assumptions'!$E$3:E$35)),"")</f>
        <v/>
      </c>
      <c r="DW126" s="3047" t="str">
        <f>IFERROR(IF($CX126="","",IF(SI_IP_Units="SI",10.76,1)*SUMIF(BAMCategories,$CY126,IF(bpf_reference="ACP",'Lighting Assumptions 90.1-2010'!$E$3:E$35,'Lighting Assumptions 90.1-2016'!$E$3:E$35))),"")</f>
        <v/>
      </c>
      <c r="EW126" s="855"/>
      <c r="EX126" s="855"/>
      <c r="EY126" s="855"/>
      <c r="EZ126" s="855"/>
    </row>
    <row r="127" spans="4:156" x14ac:dyDescent="0.25">
      <c r="D127" s="3019"/>
      <c r="E127" s="3020"/>
      <c r="F127" s="3021">
        <f t="shared" si="46"/>
        <v>0</v>
      </c>
      <c r="G127" s="3059"/>
      <c r="H127" s="3060"/>
      <c r="I127" s="3061"/>
      <c r="J127" s="3061"/>
      <c r="K127" s="3061"/>
      <c r="L127" s="3061"/>
      <c r="M127" s="3061"/>
      <c r="N127" s="3061"/>
      <c r="O127" s="3061"/>
      <c r="P127" s="3061"/>
      <c r="Q127" s="3061"/>
      <c r="R127" s="3061"/>
      <c r="S127" s="3061"/>
      <c r="T127" s="3061"/>
      <c r="U127" s="3061"/>
      <c r="V127" s="3061"/>
      <c r="W127" s="3061"/>
      <c r="X127" s="3061"/>
      <c r="Y127" s="3061"/>
      <c r="Z127" s="3061"/>
      <c r="AA127" s="3061"/>
      <c r="AB127" s="3061"/>
      <c r="AC127" s="3061"/>
      <c r="AD127" s="3061"/>
      <c r="AE127" s="3061"/>
      <c r="AF127" s="3061"/>
      <c r="AG127" s="3061"/>
      <c r="AH127" s="3061"/>
      <c r="AI127" s="3061"/>
      <c r="AJ127" s="3061"/>
      <c r="AK127" s="3061"/>
      <c r="AL127" s="3061"/>
      <c r="AM127" s="3061"/>
      <c r="AN127" s="3061"/>
      <c r="AO127" s="3061"/>
      <c r="AP127" s="3061"/>
      <c r="AQ127" s="3061"/>
      <c r="AR127" s="3061"/>
      <c r="AS127" s="3061"/>
      <c r="AT127" s="3061"/>
      <c r="AU127" s="3061"/>
      <c r="AV127" s="3061"/>
      <c r="AW127" s="3061"/>
      <c r="AX127" s="3061"/>
      <c r="AY127" s="3061"/>
      <c r="AZ127" s="3061"/>
      <c r="BA127" s="3061"/>
      <c r="BB127" s="3061"/>
      <c r="BC127" s="3061"/>
      <c r="BD127" s="3061"/>
      <c r="BE127" s="3061"/>
      <c r="BF127" s="3061"/>
      <c r="BG127" s="3061"/>
      <c r="BH127" s="3061"/>
      <c r="BI127" s="3061"/>
      <c r="BJ127" s="3061"/>
      <c r="BK127" s="3061"/>
      <c r="BL127" s="3061"/>
      <c r="BM127" s="3061"/>
      <c r="BN127" s="3061"/>
      <c r="BO127" s="3061"/>
      <c r="BP127" s="3061"/>
      <c r="BQ127" s="3061"/>
      <c r="BR127" s="3061"/>
      <c r="BS127" s="3061"/>
      <c r="BT127" s="3061"/>
      <c r="BU127" s="3061"/>
      <c r="BV127" s="3061"/>
      <c r="BW127" s="3061"/>
      <c r="BX127" s="3061"/>
      <c r="BY127" s="3061"/>
      <c r="BZ127" s="3061"/>
      <c r="CA127" s="3061"/>
      <c r="CB127" s="3061"/>
      <c r="CC127" s="3061"/>
      <c r="CD127" s="3061"/>
      <c r="CE127" s="3061"/>
      <c r="CF127" s="3061"/>
      <c r="CG127" s="3061"/>
      <c r="CH127" s="3061"/>
      <c r="CI127" s="3061"/>
      <c r="CJ127" s="3061"/>
      <c r="CK127" s="3061"/>
      <c r="CL127" s="3061"/>
      <c r="CM127" s="3061"/>
      <c r="CN127" s="3061"/>
      <c r="CO127" s="3061"/>
      <c r="CP127" s="3061"/>
      <c r="CQ127" s="3061"/>
      <c r="CR127" s="3061"/>
      <c r="CS127" s="3062"/>
      <c r="CT127" s="3063"/>
      <c r="CU127" s="3064">
        <f t="shared" si="50"/>
        <v>1</v>
      </c>
      <c r="CV127" s="3022" t="str">
        <f>IF(OR(CT127="",CT127="None"),"-",DO127*CU127*SUMIF('Lighting Assumptions'!$G$3:$G$112,'6a - Lighting Counts'!G127,'Lighting Assumptions'!$J$3:$J$112))</f>
        <v>-</v>
      </c>
      <c r="CW127" s="3021"/>
      <c r="CX127" s="3021"/>
      <c r="CY127" s="3046"/>
      <c r="CZ127" s="2098">
        <f t="shared" si="51"/>
        <v>0</v>
      </c>
      <c r="DA127" s="2098" t="str">
        <f t="shared" si="52"/>
        <v>-</v>
      </c>
      <c r="DB127" s="2098">
        <f t="shared" si="53"/>
        <v>0</v>
      </c>
      <c r="DC127" s="3023" t="str">
        <f t="shared" si="54"/>
        <v>-</v>
      </c>
      <c r="DD127" s="3024" t="str">
        <f t="shared" si="55"/>
        <v/>
      </c>
      <c r="DE127" s="3025" t="str">
        <f t="shared" si="56"/>
        <v>-</v>
      </c>
      <c r="DF127" s="3024" t="str">
        <f t="shared" si="47"/>
        <v>-</v>
      </c>
      <c r="DG127" s="2098">
        <f t="shared" si="57"/>
        <v>0</v>
      </c>
      <c r="DH127" s="2098">
        <f t="array" ref="DH127">MIN(SUMPRODUCT(I127:CR127,IF($I$25:$CR$25="yes",1,0),$I$23:$CR$23),H127)</f>
        <v>0</v>
      </c>
      <c r="DI127" s="3026"/>
      <c r="DJ127" s="3021"/>
      <c r="DN127" s="917" t="str">
        <f>IF(CS127="","-",SUMIF('Lighting Assumptions'!$G$3:$G$112,'6a - Lighting Counts'!G127,'Lighting Assumptions'!$J$3:$J$112))</f>
        <v>-</v>
      </c>
      <c r="DO127" s="917" t="str">
        <f t="shared" si="48"/>
        <v>-</v>
      </c>
      <c r="DP127" s="917" t="str">
        <f t="shared" si="49"/>
        <v>-</v>
      </c>
      <c r="DQ127" s="917" t="str">
        <f>IF(LEFT(CELLformula(DF127),3)&lt;&gt;"=IF",1,"")</f>
        <v/>
      </c>
      <c r="DR127" s="917" t="str">
        <f>IF(LEFT(CELLformula(DD127),3)&lt;&gt;"=IF",1,"")</f>
        <v/>
      </c>
      <c r="DS127" s="3048">
        <f t="shared" si="58"/>
        <v>0</v>
      </c>
      <c r="DT127" s="3047" t="str">
        <f t="shared" si="59"/>
        <v/>
      </c>
      <c r="DU127" s="3047" t="str">
        <f>IFERROR(IF(G127="","",SUMIF('Lighting Assumptions'!$G$3:$G$112,'6a - Lighting Counts'!G127,'Lighting Assumptions'!$H$3:$H$112)*IF(SI_IP_Units="SI",10.76,1)),"")</f>
        <v/>
      </c>
      <c r="DV127" s="3047" t="str">
        <f>IFERROR(IF($CX127="","",IF(SI_IP_Units="SI",10.76,1)*SUMIF(BAMCategories,$CY127,'Lighting Assumptions'!$E$3:E$35)),"")</f>
        <v/>
      </c>
      <c r="DW127" s="3047" t="str">
        <f>IFERROR(IF($CX127="","",IF(SI_IP_Units="SI",10.76,1)*SUMIF(BAMCategories,$CY127,IF(bpf_reference="ACP",'Lighting Assumptions 90.1-2010'!$E$3:E$35,'Lighting Assumptions 90.1-2016'!$E$3:E$35))),"")</f>
        <v/>
      </c>
      <c r="EW127" s="855"/>
      <c r="EX127" s="855"/>
      <c r="EY127" s="855"/>
      <c r="EZ127" s="855"/>
    </row>
    <row r="128" spans="4:156" x14ac:dyDescent="0.25">
      <c r="D128" s="3019"/>
      <c r="E128" s="3020"/>
      <c r="F128" s="3021">
        <f t="shared" si="46"/>
        <v>0</v>
      </c>
      <c r="G128" s="3059"/>
      <c r="H128" s="3060"/>
      <c r="I128" s="3061"/>
      <c r="J128" s="3061"/>
      <c r="K128" s="3061"/>
      <c r="L128" s="3061"/>
      <c r="M128" s="3061"/>
      <c r="N128" s="3061"/>
      <c r="O128" s="3061"/>
      <c r="P128" s="3061"/>
      <c r="Q128" s="3061"/>
      <c r="R128" s="3061"/>
      <c r="S128" s="3061"/>
      <c r="T128" s="3061"/>
      <c r="U128" s="3061"/>
      <c r="V128" s="3061"/>
      <c r="W128" s="3061"/>
      <c r="X128" s="3061"/>
      <c r="Y128" s="3061"/>
      <c r="Z128" s="3061"/>
      <c r="AA128" s="3061"/>
      <c r="AB128" s="3061"/>
      <c r="AC128" s="3061"/>
      <c r="AD128" s="3061"/>
      <c r="AE128" s="3061"/>
      <c r="AF128" s="3061"/>
      <c r="AG128" s="3061"/>
      <c r="AH128" s="3061"/>
      <c r="AI128" s="3061"/>
      <c r="AJ128" s="3061"/>
      <c r="AK128" s="3061"/>
      <c r="AL128" s="3061"/>
      <c r="AM128" s="3061"/>
      <c r="AN128" s="3061"/>
      <c r="AO128" s="3061"/>
      <c r="AP128" s="3061"/>
      <c r="AQ128" s="3061"/>
      <c r="AR128" s="3061"/>
      <c r="AS128" s="3061"/>
      <c r="AT128" s="3061"/>
      <c r="AU128" s="3061"/>
      <c r="AV128" s="3061"/>
      <c r="AW128" s="3061"/>
      <c r="AX128" s="3061"/>
      <c r="AY128" s="3061"/>
      <c r="AZ128" s="3061"/>
      <c r="BA128" s="3061"/>
      <c r="BB128" s="3061"/>
      <c r="BC128" s="3061"/>
      <c r="BD128" s="3061"/>
      <c r="BE128" s="3061"/>
      <c r="BF128" s="3061"/>
      <c r="BG128" s="3061"/>
      <c r="BH128" s="3061"/>
      <c r="BI128" s="3061"/>
      <c r="BJ128" s="3061"/>
      <c r="BK128" s="3061"/>
      <c r="BL128" s="3061"/>
      <c r="BM128" s="3061"/>
      <c r="BN128" s="3061"/>
      <c r="BO128" s="3061"/>
      <c r="BP128" s="3061"/>
      <c r="BQ128" s="3061"/>
      <c r="BR128" s="3061"/>
      <c r="BS128" s="3061"/>
      <c r="BT128" s="3061"/>
      <c r="BU128" s="3061"/>
      <c r="BV128" s="3061"/>
      <c r="BW128" s="3061"/>
      <c r="BX128" s="3061"/>
      <c r="BY128" s="3061"/>
      <c r="BZ128" s="3061"/>
      <c r="CA128" s="3061"/>
      <c r="CB128" s="3061"/>
      <c r="CC128" s="3061"/>
      <c r="CD128" s="3061"/>
      <c r="CE128" s="3061"/>
      <c r="CF128" s="3061"/>
      <c r="CG128" s="3061"/>
      <c r="CH128" s="3061"/>
      <c r="CI128" s="3061"/>
      <c r="CJ128" s="3061"/>
      <c r="CK128" s="3061"/>
      <c r="CL128" s="3061"/>
      <c r="CM128" s="3061"/>
      <c r="CN128" s="3061"/>
      <c r="CO128" s="3061"/>
      <c r="CP128" s="3061"/>
      <c r="CQ128" s="3061"/>
      <c r="CR128" s="3061"/>
      <c r="CS128" s="3062"/>
      <c r="CT128" s="3063"/>
      <c r="CU128" s="3064">
        <f t="shared" si="50"/>
        <v>1</v>
      </c>
      <c r="CV128" s="3022" t="str">
        <f>IF(OR(CT128="",CT128="None"),"-",DO128*CU128*SUMIF('Lighting Assumptions'!$G$3:$G$112,'6a - Lighting Counts'!G128,'Lighting Assumptions'!$J$3:$J$112))</f>
        <v>-</v>
      </c>
      <c r="CW128" s="3021"/>
      <c r="CX128" s="3021"/>
      <c r="CY128" s="3046"/>
      <c r="CZ128" s="2098">
        <f t="shared" si="51"/>
        <v>0</v>
      </c>
      <c r="DA128" s="2098" t="str">
        <f t="shared" si="52"/>
        <v>-</v>
      </c>
      <c r="DB128" s="2098">
        <f t="shared" si="53"/>
        <v>0</v>
      </c>
      <c r="DC128" s="3023" t="str">
        <f t="shared" si="54"/>
        <v>-</v>
      </c>
      <c r="DD128" s="3024" t="str">
        <f t="shared" si="55"/>
        <v/>
      </c>
      <c r="DE128" s="3025" t="str">
        <f t="shared" si="56"/>
        <v>-</v>
      </c>
      <c r="DF128" s="3024" t="str">
        <f t="shared" si="47"/>
        <v>-</v>
      </c>
      <c r="DG128" s="2098">
        <f t="shared" si="57"/>
        <v>0</v>
      </c>
      <c r="DH128" s="2098">
        <f t="array" ref="DH128">MIN(SUMPRODUCT(I128:CR128,IF($I$25:$CR$25="yes",1,0),$I$23:$CR$23),H128)</f>
        <v>0</v>
      </c>
      <c r="DI128" s="3026"/>
      <c r="DJ128" s="3021"/>
      <c r="DN128" s="917" t="str">
        <f>IF(CS128="","-",SUMIF('Lighting Assumptions'!$G$3:$G$112,'6a - Lighting Counts'!G128,'Lighting Assumptions'!$J$3:$J$112))</f>
        <v>-</v>
      </c>
      <c r="DO128" s="917" t="str">
        <f t="shared" si="48"/>
        <v>-</v>
      </c>
      <c r="DP128" s="917" t="str">
        <f t="shared" si="49"/>
        <v>-</v>
      </c>
      <c r="DQ128" s="917" t="str">
        <f>IF(LEFT(CELLformula(DF128),3)&lt;&gt;"=IF",1,"")</f>
        <v/>
      </c>
      <c r="DR128" s="917" t="str">
        <f>IF(LEFT(CELLformula(DD128),3)&lt;&gt;"=IF",1,"")</f>
        <v/>
      </c>
      <c r="DS128" s="3048">
        <f t="shared" si="58"/>
        <v>0</v>
      </c>
      <c r="DT128" s="3047" t="str">
        <f t="shared" si="59"/>
        <v/>
      </c>
      <c r="DU128" s="3047" t="str">
        <f>IFERROR(IF(G128="","",SUMIF('Lighting Assumptions'!$G$3:$G$112,'6a - Lighting Counts'!G128,'Lighting Assumptions'!$H$3:$H$112)*IF(SI_IP_Units="SI",10.76,1)),"")</f>
        <v/>
      </c>
      <c r="DV128" s="3047" t="str">
        <f>IFERROR(IF($CX128="","",IF(SI_IP_Units="SI",10.76,1)*SUMIF(BAMCategories,$CY128,'Lighting Assumptions'!$E$3:E$35)),"")</f>
        <v/>
      </c>
      <c r="DW128" s="3047" t="str">
        <f>IFERROR(IF($CX128="","",IF(SI_IP_Units="SI",10.76,1)*SUMIF(BAMCategories,$CY128,IF(bpf_reference="ACP",'Lighting Assumptions 90.1-2010'!$E$3:E$35,'Lighting Assumptions 90.1-2016'!$E$3:E$35))),"")</f>
        <v/>
      </c>
      <c r="EW128" s="855"/>
      <c r="EX128" s="855"/>
      <c r="EY128" s="855"/>
      <c r="EZ128" s="855"/>
    </row>
    <row r="129" spans="4:156" x14ac:dyDescent="0.25">
      <c r="D129" s="3019"/>
      <c r="E129" s="3020"/>
      <c r="F129" s="3021">
        <f t="shared" si="46"/>
        <v>0</v>
      </c>
      <c r="G129" s="3059"/>
      <c r="H129" s="3060"/>
      <c r="I129" s="3061"/>
      <c r="J129" s="3061"/>
      <c r="K129" s="3061"/>
      <c r="L129" s="3061"/>
      <c r="M129" s="3061"/>
      <c r="N129" s="3061"/>
      <c r="O129" s="3061"/>
      <c r="P129" s="3061"/>
      <c r="Q129" s="3061"/>
      <c r="R129" s="3061"/>
      <c r="S129" s="3061"/>
      <c r="T129" s="3061"/>
      <c r="U129" s="3061"/>
      <c r="V129" s="3061"/>
      <c r="W129" s="3061"/>
      <c r="X129" s="3061"/>
      <c r="Y129" s="3061"/>
      <c r="Z129" s="3061"/>
      <c r="AA129" s="3061"/>
      <c r="AB129" s="3061"/>
      <c r="AC129" s="3061"/>
      <c r="AD129" s="3061"/>
      <c r="AE129" s="3061"/>
      <c r="AF129" s="3061"/>
      <c r="AG129" s="3061"/>
      <c r="AH129" s="3061"/>
      <c r="AI129" s="3061"/>
      <c r="AJ129" s="3061"/>
      <c r="AK129" s="3061"/>
      <c r="AL129" s="3061"/>
      <c r="AM129" s="3061"/>
      <c r="AN129" s="3061"/>
      <c r="AO129" s="3061"/>
      <c r="AP129" s="3061"/>
      <c r="AQ129" s="3061"/>
      <c r="AR129" s="3061"/>
      <c r="AS129" s="3061"/>
      <c r="AT129" s="3061"/>
      <c r="AU129" s="3061"/>
      <c r="AV129" s="3061"/>
      <c r="AW129" s="3061"/>
      <c r="AX129" s="3061"/>
      <c r="AY129" s="3061"/>
      <c r="AZ129" s="3061"/>
      <c r="BA129" s="3061"/>
      <c r="BB129" s="3061"/>
      <c r="BC129" s="3061"/>
      <c r="BD129" s="3061"/>
      <c r="BE129" s="3061"/>
      <c r="BF129" s="3061"/>
      <c r="BG129" s="3061"/>
      <c r="BH129" s="3061"/>
      <c r="BI129" s="3061"/>
      <c r="BJ129" s="3061"/>
      <c r="BK129" s="3061"/>
      <c r="BL129" s="3061"/>
      <c r="BM129" s="3061"/>
      <c r="BN129" s="3061"/>
      <c r="BO129" s="3061"/>
      <c r="BP129" s="3061"/>
      <c r="BQ129" s="3061"/>
      <c r="BR129" s="3061"/>
      <c r="BS129" s="3061"/>
      <c r="BT129" s="3061"/>
      <c r="BU129" s="3061"/>
      <c r="BV129" s="3061"/>
      <c r="BW129" s="3061"/>
      <c r="BX129" s="3061"/>
      <c r="BY129" s="3061"/>
      <c r="BZ129" s="3061"/>
      <c r="CA129" s="3061"/>
      <c r="CB129" s="3061"/>
      <c r="CC129" s="3061"/>
      <c r="CD129" s="3061"/>
      <c r="CE129" s="3061"/>
      <c r="CF129" s="3061"/>
      <c r="CG129" s="3061"/>
      <c r="CH129" s="3061"/>
      <c r="CI129" s="3061"/>
      <c r="CJ129" s="3061"/>
      <c r="CK129" s="3061"/>
      <c r="CL129" s="3061"/>
      <c r="CM129" s="3061"/>
      <c r="CN129" s="3061"/>
      <c r="CO129" s="3061"/>
      <c r="CP129" s="3061"/>
      <c r="CQ129" s="3061"/>
      <c r="CR129" s="3061"/>
      <c r="CS129" s="3062"/>
      <c r="CT129" s="3063"/>
      <c r="CU129" s="3064">
        <f t="shared" si="50"/>
        <v>1</v>
      </c>
      <c r="CV129" s="3022" t="str">
        <f>IF(OR(CT129="",CT129="None"),"-",DO129*CU129*SUMIF('Lighting Assumptions'!$G$3:$G$112,'6a - Lighting Counts'!G129,'Lighting Assumptions'!$J$3:$J$112))</f>
        <v>-</v>
      </c>
      <c r="CW129" s="3021"/>
      <c r="CX129" s="3021"/>
      <c r="CY129" s="3046"/>
      <c r="CZ129" s="2098">
        <f t="shared" si="51"/>
        <v>0</v>
      </c>
      <c r="DA129" s="2098" t="str">
        <f t="shared" si="52"/>
        <v>-</v>
      </c>
      <c r="DB129" s="2098">
        <f t="shared" si="53"/>
        <v>0</v>
      </c>
      <c r="DC129" s="3023" t="str">
        <f t="shared" si="54"/>
        <v>-</v>
      </c>
      <c r="DD129" s="3024" t="str">
        <f t="shared" si="55"/>
        <v/>
      </c>
      <c r="DE129" s="3025" t="str">
        <f t="shared" si="56"/>
        <v>-</v>
      </c>
      <c r="DF129" s="3024" t="str">
        <f t="shared" si="47"/>
        <v>-</v>
      </c>
      <c r="DG129" s="2098">
        <f t="shared" si="57"/>
        <v>0</v>
      </c>
      <c r="DH129" s="2098">
        <f t="array" ref="DH129">MIN(SUMPRODUCT(I129:CR129,IF($I$25:$CR$25="yes",1,0),$I$23:$CR$23),H129)</f>
        <v>0</v>
      </c>
      <c r="DI129" s="3026"/>
      <c r="DJ129" s="3021"/>
      <c r="DN129" s="917" t="str">
        <f>IF(CS129="","-",SUMIF('Lighting Assumptions'!$G$3:$G$112,'6a - Lighting Counts'!G129,'Lighting Assumptions'!$J$3:$J$112))</f>
        <v>-</v>
      </c>
      <c r="DO129" s="917" t="str">
        <f t="shared" si="48"/>
        <v>-</v>
      </c>
      <c r="DP129" s="917" t="str">
        <f t="shared" si="49"/>
        <v>-</v>
      </c>
      <c r="DQ129" s="917" t="str">
        <f>IF(LEFT(CELLformula(DF129),3)&lt;&gt;"=IF",1,"")</f>
        <v/>
      </c>
      <c r="DR129" s="917" t="str">
        <f>IF(LEFT(CELLformula(DD129),3)&lt;&gt;"=IF",1,"")</f>
        <v/>
      </c>
      <c r="DS129" s="3048">
        <f t="shared" si="58"/>
        <v>0</v>
      </c>
      <c r="DT129" s="3047" t="str">
        <f t="shared" si="59"/>
        <v/>
      </c>
      <c r="DU129" s="3047" t="str">
        <f>IFERROR(IF(G129="","",SUMIF('Lighting Assumptions'!$G$3:$G$112,'6a - Lighting Counts'!G129,'Lighting Assumptions'!$H$3:$H$112)*IF(SI_IP_Units="SI",10.76,1)),"")</f>
        <v/>
      </c>
      <c r="DV129" s="3047" t="str">
        <f>IFERROR(IF($CX129="","",IF(SI_IP_Units="SI",10.76,1)*SUMIF(BAMCategories,$CY129,'Lighting Assumptions'!$E$3:E$35)),"")</f>
        <v/>
      </c>
      <c r="DW129" s="3047" t="str">
        <f>IFERROR(IF($CX129="","",IF(SI_IP_Units="SI",10.76,1)*SUMIF(BAMCategories,$CY129,IF(bpf_reference="ACP",'Lighting Assumptions 90.1-2010'!$E$3:E$35,'Lighting Assumptions 90.1-2016'!$E$3:E$35))),"")</f>
        <v/>
      </c>
      <c r="EW129" s="855"/>
      <c r="EX129" s="855"/>
      <c r="EY129" s="855"/>
      <c r="EZ129" s="855"/>
    </row>
    <row r="130" spans="4:156" x14ac:dyDescent="0.25">
      <c r="D130" s="3019"/>
      <c r="E130" s="3020"/>
      <c r="F130" s="3021">
        <f t="shared" si="46"/>
        <v>0</v>
      </c>
      <c r="G130" s="3059"/>
      <c r="H130" s="3060"/>
      <c r="I130" s="3061"/>
      <c r="J130" s="3061"/>
      <c r="K130" s="3061"/>
      <c r="L130" s="3061"/>
      <c r="M130" s="3061"/>
      <c r="N130" s="3061"/>
      <c r="O130" s="3061"/>
      <c r="P130" s="3061"/>
      <c r="Q130" s="3061"/>
      <c r="R130" s="3061"/>
      <c r="S130" s="3061"/>
      <c r="T130" s="3061"/>
      <c r="U130" s="3061"/>
      <c r="V130" s="3061"/>
      <c r="W130" s="3061"/>
      <c r="X130" s="3061"/>
      <c r="Y130" s="3061"/>
      <c r="Z130" s="3061"/>
      <c r="AA130" s="3061"/>
      <c r="AB130" s="3061"/>
      <c r="AC130" s="3061"/>
      <c r="AD130" s="3061"/>
      <c r="AE130" s="3061"/>
      <c r="AF130" s="3061"/>
      <c r="AG130" s="3061"/>
      <c r="AH130" s="3061"/>
      <c r="AI130" s="3061"/>
      <c r="AJ130" s="3061"/>
      <c r="AK130" s="3061"/>
      <c r="AL130" s="3061"/>
      <c r="AM130" s="3061"/>
      <c r="AN130" s="3061"/>
      <c r="AO130" s="3061"/>
      <c r="AP130" s="3061"/>
      <c r="AQ130" s="3061"/>
      <c r="AR130" s="3061"/>
      <c r="AS130" s="3061"/>
      <c r="AT130" s="3061"/>
      <c r="AU130" s="3061"/>
      <c r="AV130" s="3061"/>
      <c r="AW130" s="3061"/>
      <c r="AX130" s="3061"/>
      <c r="AY130" s="3061"/>
      <c r="AZ130" s="3061"/>
      <c r="BA130" s="3061"/>
      <c r="BB130" s="3061"/>
      <c r="BC130" s="3061"/>
      <c r="BD130" s="3061"/>
      <c r="BE130" s="3061"/>
      <c r="BF130" s="3061"/>
      <c r="BG130" s="3061"/>
      <c r="BH130" s="3061"/>
      <c r="BI130" s="3061"/>
      <c r="BJ130" s="3061"/>
      <c r="BK130" s="3061"/>
      <c r="BL130" s="3061"/>
      <c r="BM130" s="3061"/>
      <c r="BN130" s="3061"/>
      <c r="BO130" s="3061"/>
      <c r="BP130" s="3061"/>
      <c r="BQ130" s="3061"/>
      <c r="BR130" s="3061"/>
      <c r="BS130" s="3061"/>
      <c r="BT130" s="3061"/>
      <c r="BU130" s="3061"/>
      <c r="BV130" s="3061"/>
      <c r="BW130" s="3061"/>
      <c r="BX130" s="3061"/>
      <c r="BY130" s="3061"/>
      <c r="BZ130" s="3061"/>
      <c r="CA130" s="3061"/>
      <c r="CB130" s="3061"/>
      <c r="CC130" s="3061"/>
      <c r="CD130" s="3061"/>
      <c r="CE130" s="3061"/>
      <c r="CF130" s="3061"/>
      <c r="CG130" s="3061"/>
      <c r="CH130" s="3061"/>
      <c r="CI130" s="3061"/>
      <c r="CJ130" s="3061"/>
      <c r="CK130" s="3061"/>
      <c r="CL130" s="3061"/>
      <c r="CM130" s="3061"/>
      <c r="CN130" s="3061"/>
      <c r="CO130" s="3061"/>
      <c r="CP130" s="3061"/>
      <c r="CQ130" s="3061"/>
      <c r="CR130" s="3061"/>
      <c r="CS130" s="3062"/>
      <c r="CT130" s="3063"/>
      <c r="CU130" s="3064">
        <f t="shared" si="50"/>
        <v>1</v>
      </c>
      <c r="CV130" s="3022" t="str">
        <f>IF(OR(CT130="",CT130="None"),"-",DO130*CU130*SUMIF('Lighting Assumptions'!$G$3:$G$112,'6a - Lighting Counts'!G130,'Lighting Assumptions'!$J$3:$J$112))</f>
        <v>-</v>
      </c>
      <c r="CW130" s="3021"/>
      <c r="CX130" s="3021"/>
      <c r="CY130" s="3046"/>
      <c r="CZ130" s="2098">
        <f t="shared" si="51"/>
        <v>0</v>
      </c>
      <c r="DA130" s="2098" t="str">
        <f t="shared" si="52"/>
        <v>-</v>
      </c>
      <c r="DB130" s="2098">
        <f t="shared" si="53"/>
        <v>0</v>
      </c>
      <c r="DC130" s="3023" t="str">
        <f t="shared" si="54"/>
        <v>-</v>
      </c>
      <c r="DD130" s="3024" t="str">
        <f t="shared" si="55"/>
        <v/>
      </c>
      <c r="DE130" s="3025" t="str">
        <f t="shared" si="56"/>
        <v>-</v>
      </c>
      <c r="DF130" s="3024" t="str">
        <f t="shared" si="47"/>
        <v>-</v>
      </c>
      <c r="DG130" s="2098">
        <f t="shared" si="57"/>
        <v>0</v>
      </c>
      <c r="DH130" s="2098">
        <f t="array" ref="DH130">MIN(SUMPRODUCT(I130:CR130,IF($I$25:$CR$25="yes",1,0),$I$23:$CR$23),H130)</f>
        <v>0</v>
      </c>
      <c r="DI130" s="3026"/>
      <c r="DJ130" s="3021"/>
      <c r="DN130" s="917" t="str">
        <f>IF(CS130="","-",SUMIF('Lighting Assumptions'!$G$3:$G$112,'6a - Lighting Counts'!G130,'Lighting Assumptions'!$J$3:$J$112))</f>
        <v>-</v>
      </c>
      <c r="DO130" s="917" t="str">
        <f t="shared" si="48"/>
        <v>-</v>
      </c>
      <c r="DP130" s="917" t="str">
        <f t="shared" si="49"/>
        <v>-</v>
      </c>
      <c r="DQ130" s="917" t="str">
        <f>IF(LEFT(CELLformula(DF130),3)&lt;&gt;"=IF",1,"")</f>
        <v/>
      </c>
      <c r="DR130" s="917" t="str">
        <f>IF(LEFT(CELLformula(DD130),3)&lt;&gt;"=IF",1,"")</f>
        <v/>
      </c>
      <c r="DS130" s="3048">
        <f t="shared" si="58"/>
        <v>0</v>
      </c>
      <c r="DT130" s="3047" t="str">
        <f t="shared" si="59"/>
        <v/>
      </c>
      <c r="DU130" s="3047" t="str">
        <f>IFERROR(IF(G130="","",SUMIF('Lighting Assumptions'!$G$3:$G$112,'6a - Lighting Counts'!G130,'Lighting Assumptions'!$H$3:$H$112)*IF(SI_IP_Units="SI",10.76,1)),"")</f>
        <v/>
      </c>
      <c r="DV130" s="3047" t="str">
        <f>IFERROR(IF($CX130="","",IF(SI_IP_Units="SI",10.76,1)*SUMIF(BAMCategories,$CY130,'Lighting Assumptions'!$E$3:E$35)),"")</f>
        <v/>
      </c>
      <c r="DW130" s="3047" t="str">
        <f>IFERROR(IF($CX130="","",IF(SI_IP_Units="SI",10.76,1)*SUMIF(BAMCategories,$CY130,IF(bpf_reference="ACP",'Lighting Assumptions 90.1-2010'!$E$3:E$35,'Lighting Assumptions 90.1-2016'!$E$3:E$35))),"")</f>
        <v/>
      </c>
      <c r="EW130" s="855"/>
      <c r="EX130" s="855"/>
      <c r="EY130" s="855"/>
      <c r="EZ130" s="855"/>
    </row>
    <row r="131" spans="4:156" x14ac:dyDescent="0.25">
      <c r="D131" s="3019"/>
      <c r="E131" s="3020"/>
      <c r="F131" s="3021">
        <f t="shared" si="46"/>
        <v>0</v>
      </c>
      <c r="G131" s="3059"/>
      <c r="H131" s="3060"/>
      <c r="I131" s="3061"/>
      <c r="J131" s="3061"/>
      <c r="K131" s="3061"/>
      <c r="L131" s="3061"/>
      <c r="M131" s="3061"/>
      <c r="N131" s="3061"/>
      <c r="O131" s="3061"/>
      <c r="P131" s="3061"/>
      <c r="Q131" s="3061"/>
      <c r="R131" s="3061"/>
      <c r="S131" s="3061"/>
      <c r="T131" s="3061"/>
      <c r="U131" s="3061"/>
      <c r="V131" s="3061"/>
      <c r="W131" s="3061"/>
      <c r="X131" s="3061"/>
      <c r="Y131" s="3061"/>
      <c r="Z131" s="3061"/>
      <c r="AA131" s="3061"/>
      <c r="AB131" s="3061"/>
      <c r="AC131" s="3061"/>
      <c r="AD131" s="3061"/>
      <c r="AE131" s="3061"/>
      <c r="AF131" s="3061"/>
      <c r="AG131" s="3061"/>
      <c r="AH131" s="3061"/>
      <c r="AI131" s="3061"/>
      <c r="AJ131" s="3061"/>
      <c r="AK131" s="3061"/>
      <c r="AL131" s="3061"/>
      <c r="AM131" s="3061"/>
      <c r="AN131" s="3061"/>
      <c r="AO131" s="3061"/>
      <c r="AP131" s="3061"/>
      <c r="AQ131" s="3061"/>
      <c r="AR131" s="3061"/>
      <c r="AS131" s="3061"/>
      <c r="AT131" s="3061"/>
      <c r="AU131" s="3061"/>
      <c r="AV131" s="3061"/>
      <c r="AW131" s="3061"/>
      <c r="AX131" s="3061"/>
      <c r="AY131" s="3061"/>
      <c r="AZ131" s="3061"/>
      <c r="BA131" s="3061"/>
      <c r="BB131" s="3061"/>
      <c r="BC131" s="3061"/>
      <c r="BD131" s="3061"/>
      <c r="BE131" s="3061"/>
      <c r="BF131" s="3061"/>
      <c r="BG131" s="3061"/>
      <c r="BH131" s="3061"/>
      <c r="BI131" s="3061"/>
      <c r="BJ131" s="3061"/>
      <c r="BK131" s="3061"/>
      <c r="BL131" s="3061"/>
      <c r="BM131" s="3061"/>
      <c r="BN131" s="3061"/>
      <c r="BO131" s="3061"/>
      <c r="BP131" s="3061"/>
      <c r="BQ131" s="3061"/>
      <c r="BR131" s="3061"/>
      <c r="BS131" s="3061"/>
      <c r="BT131" s="3061"/>
      <c r="BU131" s="3061"/>
      <c r="BV131" s="3061"/>
      <c r="BW131" s="3061"/>
      <c r="BX131" s="3061"/>
      <c r="BY131" s="3061"/>
      <c r="BZ131" s="3061"/>
      <c r="CA131" s="3061"/>
      <c r="CB131" s="3061"/>
      <c r="CC131" s="3061"/>
      <c r="CD131" s="3061"/>
      <c r="CE131" s="3061"/>
      <c r="CF131" s="3061"/>
      <c r="CG131" s="3061"/>
      <c r="CH131" s="3061"/>
      <c r="CI131" s="3061"/>
      <c r="CJ131" s="3061"/>
      <c r="CK131" s="3061"/>
      <c r="CL131" s="3061"/>
      <c r="CM131" s="3061"/>
      <c r="CN131" s="3061"/>
      <c r="CO131" s="3061"/>
      <c r="CP131" s="3061"/>
      <c r="CQ131" s="3061"/>
      <c r="CR131" s="3061"/>
      <c r="CS131" s="3062"/>
      <c r="CT131" s="3063"/>
      <c r="CU131" s="3064">
        <f t="shared" si="50"/>
        <v>1</v>
      </c>
      <c r="CV131" s="3022" t="str">
        <f>IF(OR(CT131="",CT131="None"),"-",DO131*CU131*SUMIF('Lighting Assumptions'!$G$3:$G$112,'6a - Lighting Counts'!G131,'Lighting Assumptions'!$J$3:$J$112))</f>
        <v>-</v>
      </c>
      <c r="CW131" s="3021"/>
      <c r="CX131" s="3021"/>
      <c r="CY131" s="3046"/>
      <c r="CZ131" s="2098">
        <f t="shared" si="51"/>
        <v>0</v>
      </c>
      <c r="DA131" s="2098" t="str">
        <f t="shared" si="52"/>
        <v>-</v>
      </c>
      <c r="DB131" s="2098">
        <f t="shared" si="53"/>
        <v>0</v>
      </c>
      <c r="DC131" s="3023" t="str">
        <f t="shared" si="54"/>
        <v>-</v>
      </c>
      <c r="DD131" s="3024" t="str">
        <f t="shared" si="55"/>
        <v/>
      </c>
      <c r="DE131" s="3025" t="str">
        <f t="shared" si="56"/>
        <v>-</v>
      </c>
      <c r="DF131" s="3024" t="str">
        <f t="shared" si="47"/>
        <v>-</v>
      </c>
      <c r="DG131" s="2098">
        <f t="shared" si="57"/>
        <v>0</v>
      </c>
      <c r="DH131" s="2098">
        <f t="array" ref="DH131">MIN(SUMPRODUCT(I131:CR131,IF($I$25:$CR$25="yes",1,0),$I$23:$CR$23),H131)</f>
        <v>0</v>
      </c>
      <c r="DI131" s="3026"/>
      <c r="DJ131" s="3021"/>
      <c r="DN131" s="917" t="str">
        <f>IF(CS131="","-",SUMIF('Lighting Assumptions'!$G$3:$G$112,'6a - Lighting Counts'!G131,'Lighting Assumptions'!$J$3:$J$112))</f>
        <v>-</v>
      </c>
      <c r="DO131" s="917" t="str">
        <f t="shared" si="48"/>
        <v>-</v>
      </c>
      <c r="DP131" s="917" t="str">
        <f t="shared" si="49"/>
        <v>-</v>
      </c>
      <c r="DQ131" s="917" t="str">
        <f>IF(LEFT(CELLformula(DF131),3)&lt;&gt;"=IF",1,"")</f>
        <v/>
      </c>
      <c r="DR131" s="917" t="str">
        <f>IF(LEFT(CELLformula(DD131),3)&lt;&gt;"=IF",1,"")</f>
        <v/>
      </c>
      <c r="DS131" s="3048">
        <f t="shared" si="58"/>
        <v>0</v>
      </c>
      <c r="DT131" s="3047" t="str">
        <f t="shared" si="59"/>
        <v/>
      </c>
      <c r="DU131" s="3047" t="str">
        <f>IFERROR(IF(G131="","",SUMIF('Lighting Assumptions'!$G$3:$G$112,'6a - Lighting Counts'!G131,'Lighting Assumptions'!$H$3:$H$112)*IF(SI_IP_Units="SI",10.76,1)),"")</f>
        <v/>
      </c>
      <c r="DV131" s="3047" t="str">
        <f>IFERROR(IF($CX131="","",IF(SI_IP_Units="SI",10.76,1)*SUMIF(BAMCategories,$CY131,'Lighting Assumptions'!$E$3:E$35)),"")</f>
        <v/>
      </c>
      <c r="DW131" s="3047" t="str">
        <f>IFERROR(IF($CX131="","",IF(SI_IP_Units="SI",10.76,1)*SUMIF(BAMCategories,$CY131,IF(bpf_reference="ACP",'Lighting Assumptions 90.1-2010'!$E$3:E$35,'Lighting Assumptions 90.1-2016'!$E$3:E$35))),"")</f>
        <v/>
      </c>
      <c r="EW131" s="855"/>
      <c r="EX131" s="855"/>
      <c r="EY131" s="855"/>
      <c r="EZ131" s="855"/>
    </row>
    <row r="132" spans="4:156" x14ac:dyDescent="0.25">
      <c r="D132" s="3019"/>
      <c r="E132" s="3020"/>
      <c r="F132" s="3021">
        <f t="shared" si="46"/>
        <v>0</v>
      </c>
      <c r="G132" s="3059"/>
      <c r="H132" s="3060"/>
      <c r="I132" s="3061"/>
      <c r="J132" s="3061"/>
      <c r="K132" s="3061"/>
      <c r="L132" s="3061"/>
      <c r="M132" s="3061"/>
      <c r="N132" s="3061"/>
      <c r="O132" s="3061"/>
      <c r="P132" s="3061"/>
      <c r="Q132" s="3061"/>
      <c r="R132" s="3061"/>
      <c r="S132" s="3061"/>
      <c r="T132" s="3061"/>
      <c r="U132" s="3061"/>
      <c r="V132" s="3061"/>
      <c r="W132" s="3061"/>
      <c r="X132" s="3061"/>
      <c r="Y132" s="3061"/>
      <c r="Z132" s="3061"/>
      <c r="AA132" s="3061"/>
      <c r="AB132" s="3061"/>
      <c r="AC132" s="3061"/>
      <c r="AD132" s="3061"/>
      <c r="AE132" s="3061"/>
      <c r="AF132" s="3061"/>
      <c r="AG132" s="3061"/>
      <c r="AH132" s="3061"/>
      <c r="AI132" s="3061"/>
      <c r="AJ132" s="3061"/>
      <c r="AK132" s="3061"/>
      <c r="AL132" s="3061"/>
      <c r="AM132" s="3061"/>
      <c r="AN132" s="3061"/>
      <c r="AO132" s="3061"/>
      <c r="AP132" s="3061"/>
      <c r="AQ132" s="3061"/>
      <c r="AR132" s="3061"/>
      <c r="AS132" s="3061"/>
      <c r="AT132" s="3061"/>
      <c r="AU132" s="3061"/>
      <c r="AV132" s="3061"/>
      <c r="AW132" s="3061"/>
      <c r="AX132" s="3061"/>
      <c r="AY132" s="3061"/>
      <c r="AZ132" s="3061"/>
      <c r="BA132" s="3061"/>
      <c r="BB132" s="3061"/>
      <c r="BC132" s="3061"/>
      <c r="BD132" s="3061"/>
      <c r="BE132" s="3061"/>
      <c r="BF132" s="3061"/>
      <c r="BG132" s="3061"/>
      <c r="BH132" s="3061"/>
      <c r="BI132" s="3061"/>
      <c r="BJ132" s="3061"/>
      <c r="BK132" s="3061"/>
      <c r="BL132" s="3061"/>
      <c r="BM132" s="3061"/>
      <c r="BN132" s="3061"/>
      <c r="BO132" s="3061"/>
      <c r="BP132" s="3061"/>
      <c r="BQ132" s="3061"/>
      <c r="BR132" s="3061"/>
      <c r="BS132" s="3061"/>
      <c r="BT132" s="3061"/>
      <c r="BU132" s="3061"/>
      <c r="BV132" s="3061"/>
      <c r="BW132" s="3061"/>
      <c r="BX132" s="3061"/>
      <c r="BY132" s="3061"/>
      <c r="BZ132" s="3061"/>
      <c r="CA132" s="3061"/>
      <c r="CB132" s="3061"/>
      <c r="CC132" s="3061"/>
      <c r="CD132" s="3061"/>
      <c r="CE132" s="3061"/>
      <c r="CF132" s="3061"/>
      <c r="CG132" s="3061"/>
      <c r="CH132" s="3061"/>
      <c r="CI132" s="3061"/>
      <c r="CJ132" s="3061"/>
      <c r="CK132" s="3061"/>
      <c r="CL132" s="3061"/>
      <c r="CM132" s="3061"/>
      <c r="CN132" s="3061"/>
      <c r="CO132" s="3061"/>
      <c r="CP132" s="3061"/>
      <c r="CQ132" s="3061"/>
      <c r="CR132" s="3061"/>
      <c r="CS132" s="3062"/>
      <c r="CT132" s="3063"/>
      <c r="CU132" s="3064">
        <f t="shared" si="50"/>
        <v>1</v>
      </c>
      <c r="CV132" s="3022" t="str">
        <f>IF(OR(CT132="",CT132="None"),"-",DO132*CU132*SUMIF('Lighting Assumptions'!$G$3:$G$112,'6a - Lighting Counts'!G132,'Lighting Assumptions'!$J$3:$J$112))</f>
        <v>-</v>
      </c>
      <c r="CW132" s="3021"/>
      <c r="CX132" s="3021"/>
      <c r="CY132" s="3046"/>
      <c r="CZ132" s="2098">
        <f t="shared" si="51"/>
        <v>0</v>
      </c>
      <c r="DA132" s="2098" t="str">
        <f t="shared" si="52"/>
        <v>-</v>
      </c>
      <c r="DB132" s="2098">
        <f t="shared" si="53"/>
        <v>0</v>
      </c>
      <c r="DC132" s="3023" t="str">
        <f t="shared" si="54"/>
        <v>-</v>
      </c>
      <c r="DD132" s="3024" t="str">
        <f t="shared" si="55"/>
        <v/>
      </c>
      <c r="DE132" s="3025" t="str">
        <f t="shared" si="56"/>
        <v>-</v>
      </c>
      <c r="DF132" s="3024" t="str">
        <f t="shared" si="47"/>
        <v>-</v>
      </c>
      <c r="DG132" s="2098">
        <f t="shared" si="57"/>
        <v>0</v>
      </c>
      <c r="DH132" s="2098">
        <f t="array" ref="DH132">MIN(SUMPRODUCT(I132:CR132,IF($I$25:$CR$25="yes",1,0),$I$23:$CR$23),H132)</f>
        <v>0</v>
      </c>
      <c r="DI132" s="3026"/>
      <c r="DJ132" s="3021"/>
      <c r="DN132" s="917" t="str">
        <f>IF(CS132="","-",SUMIF('Lighting Assumptions'!$G$3:$G$112,'6a - Lighting Counts'!G132,'Lighting Assumptions'!$J$3:$J$112))</f>
        <v>-</v>
      </c>
      <c r="DO132" s="917" t="str">
        <f t="shared" si="48"/>
        <v>-</v>
      </c>
      <c r="DP132" s="917" t="str">
        <f t="shared" si="49"/>
        <v>-</v>
      </c>
      <c r="DQ132" s="917" t="str">
        <f>IF(LEFT(CELLformula(DF132),3)&lt;&gt;"=IF",1,"")</f>
        <v/>
      </c>
      <c r="DR132" s="917" t="str">
        <f>IF(LEFT(CELLformula(DD132),3)&lt;&gt;"=IF",1,"")</f>
        <v/>
      </c>
      <c r="DS132" s="3048">
        <f t="shared" si="58"/>
        <v>0</v>
      </c>
      <c r="DT132" s="3047" t="str">
        <f t="shared" si="59"/>
        <v/>
      </c>
      <c r="DU132" s="3047" t="str">
        <f>IFERROR(IF(G132="","",SUMIF('Lighting Assumptions'!$G$3:$G$112,'6a - Lighting Counts'!G132,'Lighting Assumptions'!$H$3:$H$112)*IF(SI_IP_Units="SI",10.76,1)),"")</f>
        <v/>
      </c>
      <c r="DV132" s="3047" t="str">
        <f>IFERROR(IF($CX132="","",IF(SI_IP_Units="SI",10.76,1)*SUMIF(BAMCategories,$CY132,'Lighting Assumptions'!$E$3:E$35)),"")</f>
        <v/>
      </c>
      <c r="DW132" s="3047" t="str">
        <f>IFERROR(IF($CX132="","",IF(SI_IP_Units="SI",10.76,1)*SUMIF(BAMCategories,$CY132,IF(bpf_reference="ACP",'Lighting Assumptions 90.1-2010'!$E$3:E$35,'Lighting Assumptions 90.1-2016'!$E$3:E$35))),"")</f>
        <v/>
      </c>
      <c r="EW132" s="855"/>
      <c r="EX132" s="855"/>
      <c r="EY132" s="855"/>
      <c r="EZ132" s="855"/>
    </row>
    <row r="133" spans="4:156" x14ac:dyDescent="0.25">
      <c r="D133" s="3019"/>
      <c r="E133" s="3020"/>
      <c r="F133" s="3021">
        <f t="shared" si="46"/>
        <v>0</v>
      </c>
      <c r="G133" s="3059"/>
      <c r="H133" s="3060"/>
      <c r="I133" s="3061"/>
      <c r="J133" s="3061"/>
      <c r="K133" s="3061"/>
      <c r="L133" s="3061"/>
      <c r="M133" s="3061"/>
      <c r="N133" s="3061"/>
      <c r="O133" s="3061"/>
      <c r="P133" s="3061"/>
      <c r="Q133" s="3061"/>
      <c r="R133" s="3061"/>
      <c r="S133" s="3061"/>
      <c r="T133" s="3061"/>
      <c r="U133" s="3061"/>
      <c r="V133" s="3061"/>
      <c r="W133" s="3061"/>
      <c r="X133" s="3061"/>
      <c r="Y133" s="3061"/>
      <c r="Z133" s="3061"/>
      <c r="AA133" s="3061"/>
      <c r="AB133" s="3061"/>
      <c r="AC133" s="3061"/>
      <c r="AD133" s="3061"/>
      <c r="AE133" s="3061"/>
      <c r="AF133" s="3061"/>
      <c r="AG133" s="3061"/>
      <c r="AH133" s="3061"/>
      <c r="AI133" s="3061"/>
      <c r="AJ133" s="3061"/>
      <c r="AK133" s="3061"/>
      <c r="AL133" s="3061"/>
      <c r="AM133" s="3061"/>
      <c r="AN133" s="3061"/>
      <c r="AO133" s="3061"/>
      <c r="AP133" s="3061"/>
      <c r="AQ133" s="3061"/>
      <c r="AR133" s="3061"/>
      <c r="AS133" s="3061"/>
      <c r="AT133" s="3061"/>
      <c r="AU133" s="3061"/>
      <c r="AV133" s="3061"/>
      <c r="AW133" s="3061"/>
      <c r="AX133" s="3061"/>
      <c r="AY133" s="3061"/>
      <c r="AZ133" s="3061"/>
      <c r="BA133" s="3061"/>
      <c r="BB133" s="3061"/>
      <c r="BC133" s="3061"/>
      <c r="BD133" s="3061"/>
      <c r="BE133" s="3061"/>
      <c r="BF133" s="3061"/>
      <c r="BG133" s="3061"/>
      <c r="BH133" s="3061"/>
      <c r="BI133" s="3061"/>
      <c r="BJ133" s="3061"/>
      <c r="BK133" s="3061"/>
      <c r="BL133" s="3061"/>
      <c r="BM133" s="3061"/>
      <c r="BN133" s="3061"/>
      <c r="BO133" s="3061"/>
      <c r="BP133" s="3061"/>
      <c r="BQ133" s="3061"/>
      <c r="BR133" s="3061"/>
      <c r="BS133" s="3061"/>
      <c r="BT133" s="3061"/>
      <c r="BU133" s="3061"/>
      <c r="BV133" s="3061"/>
      <c r="BW133" s="3061"/>
      <c r="BX133" s="3061"/>
      <c r="BY133" s="3061"/>
      <c r="BZ133" s="3061"/>
      <c r="CA133" s="3061"/>
      <c r="CB133" s="3061"/>
      <c r="CC133" s="3061"/>
      <c r="CD133" s="3061"/>
      <c r="CE133" s="3061"/>
      <c r="CF133" s="3061"/>
      <c r="CG133" s="3061"/>
      <c r="CH133" s="3061"/>
      <c r="CI133" s="3061"/>
      <c r="CJ133" s="3061"/>
      <c r="CK133" s="3061"/>
      <c r="CL133" s="3061"/>
      <c r="CM133" s="3061"/>
      <c r="CN133" s="3061"/>
      <c r="CO133" s="3061"/>
      <c r="CP133" s="3061"/>
      <c r="CQ133" s="3061"/>
      <c r="CR133" s="3061"/>
      <c r="CS133" s="3062"/>
      <c r="CT133" s="3063"/>
      <c r="CU133" s="3064">
        <f t="shared" si="50"/>
        <v>1</v>
      </c>
      <c r="CV133" s="3022" t="str">
        <f>IF(OR(CT133="",CT133="None"),"-",DO133*CU133*SUMIF('Lighting Assumptions'!$G$3:$G$112,'6a - Lighting Counts'!G133,'Lighting Assumptions'!$J$3:$J$112))</f>
        <v>-</v>
      </c>
      <c r="CW133" s="3021"/>
      <c r="CX133" s="3021"/>
      <c r="CY133" s="3046"/>
      <c r="CZ133" s="2098">
        <f t="shared" si="51"/>
        <v>0</v>
      </c>
      <c r="DA133" s="2098" t="str">
        <f t="shared" si="52"/>
        <v>-</v>
      </c>
      <c r="DB133" s="2098">
        <f t="shared" si="53"/>
        <v>0</v>
      </c>
      <c r="DC133" s="3023" t="str">
        <f t="shared" si="54"/>
        <v>-</v>
      </c>
      <c r="DD133" s="3024" t="str">
        <f t="shared" si="55"/>
        <v/>
      </c>
      <c r="DE133" s="3025" t="str">
        <f t="shared" si="56"/>
        <v>-</v>
      </c>
      <c r="DF133" s="3024" t="str">
        <f t="shared" si="47"/>
        <v>-</v>
      </c>
      <c r="DG133" s="2098">
        <f t="shared" si="57"/>
        <v>0</v>
      </c>
      <c r="DH133" s="2098">
        <f t="array" ref="DH133">MIN(SUMPRODUCT(I133:CR133,IF($I$25:$CR$25="yes",1,0),$I$23:$CR$23),H133)</f>
        <v>0</v>
      </c>
      <c r="DI133" s="3026"/>
      <c r="DJ133" s="3021"/>
      <c r="DN133" s="917" t="str">
        <f>IF(CS133="","-",SUMIF('Lighting Assumptions'!$G$3:$G$112,'6a - Lighting Counts'!G133,'Lighting Assumptions'!$J$3:$J$112))</f>
        <v>-</v>
      </c>
      <c r="DO133" s="917" t="str">
        <f t="shared" si="48"/>
        <v>-</v>
      </c>
      <c r="DP133" s="917" t="str">
        <f t="shared" si="49"/>
        <v>-</v>
      </c>
      <c r="DQ133" s="917" t="str">
        <f>IF(LEFT(CELLformula(DF133),3)&lt;&gt;"=IF",1,"")</f>
        <v/>
      </c>
      <c r="DR133" s="917" t="str">
        <f>IF(LEFT(CELLformula(DD133),3)&lt;&gt;"=IF",1,"")</f>
        <v/>
      </c>
      <c r="DS133" s="3048">
        <f t="shared" si="58"/>
        <v>0</v>
      </c>
      <c r="DT133" s="3047" t="str">
        <f t="shared" si="59"/>
        <v/>
      </c>
      <c r="DU133" s="3047" t="str">
        <f>IFERROR(IF(G133="","",SUMIF('Lighting Assumptions'!$G$3:$G$112,'6a - Lighting Counts'!G133,'Lighting Assumptions'!$H$3:$H$112)*IF(SI_IP_Units="SI",10.76,1)),"")</f>
        <v/>
      </c>
      <c r="DV133" s="3047" t="str">
        <f>IFERROR(IF($CX133="","",IF(SI_IP_Units="SI",10.76,1)*SUMIF(BAMCategories,$CY133,'Lighting Assumptions'!$E$3:E$35)),"")</f>
        <v/>
      </c>
      <c r="DW133" s="3047" t="str">
        <f>IFERROR(IF($CX133="","",IF(SI_IP_Units="SI",10.76,1)*SUMIF(BAMCategories,$CY133,IF(bpf_reference="ACP",'Lighting Assumptions 90.1-2010'!$E$3:E$35,'Lighting Assumptions 90.1-2016'!$E$3:E$35))),"")</f>
        <v/>
      </c>
      <c r="EW133" s="855"/>
      <c r="EX133" s="855"/>
      <c r="EY133" s="855"/>
      <c r="EZ133" s="855"/>
    </row>
    <row r="134" spans="4:156" x14ac:dyDescent="0.25">
      <c r="D134" s="3019"/>
      <c r="E134" s="3020"/>
      <c r="F134" s="3021">
        <f t="shared" si="46"/>
        <v>0</v>
      </c>
      <c r="G134" s="3059"/>
      <c r="H134" s="3060"/>
      <c r="I134" s="3061"/>
      <c r="J134" s="3061"/>
      <c r="K134" s="3061"/>
      <c r="L134" s="3061"/>
      <c r="M134" s="3061"/>
      <c r="N134" s="3061"/>
      <c r="O134" s="3061"/>
      <c r="P134" s="3061"/>
      <c r="Q134" s="3061"/>
      <c r="R134" s="3061"/>
      <c r="S134" s="3061"/>
      <c r="T134" s="3061"/>
      <c r="U134" s="3061"/>
      <c r="V134" s="3061"/>
      <c r="W134" s="3061"/>
      <c r="X134" s="3061"/>
      <c r="Y134" s="3061"/>
      <c r="Z134" s="3061"/>
      <c r="AA134" s="3061"/>
      <c r="AB134" s="3061"/>
      <c r="AC134" s="3061"/>
      <c r="AD134" s="3061"/>
      <c r="AE134" s="3061"/>
      <c r="AF134" s="3061"/>
      <c r="AG134" s="3061"/>
      <c r="AH134" s="3061"/>
      <c r="AI134" s="3061"/>
      <c r="AJ134" s="3061"/>
      <c r="AK134" s="3061"/>
      <c r="AL134" s="3061"/>
      <c r="AM134" s="3061"/>
      <c r="AN134" s="3061"/>
      <c r="AO134" s="3061"/>
      <c r="AP134" s="3061"/>
      <c r="AQ134" s="3061"/>
      <c r="AR134" s="3061"/>
      <c r="AS134" s="3061"/>
      <c r="AT134" s="3061"/>
      <c r="AU134" s="3061"/>
      <c r="AV134" s="3061"/>
      <c r="AW134" s="3061"/>
      <c r="AX134" s="3061"/>
      <c r="AY134" s="3061"/>
      <c r="AZ134" s="3061"/>
      <c r="BA134" s="3061"/>
      <c r="BB134" s="3061"/>
      <c r="BC134" s="3061"/>
      <c r="BD134" s="3061"/>
      <c r="BE134" s="3061"/>
      <c r="BF134" s="3061"/>
      <c r="BG134" s="3061"/>
      <c r="BH134" s="3061"/>
      <c r="BI134" s="3061"/>
      <c r="BJ134" s="3061"/>
      <c r="BK134" s="3061"/>
      <c r="BL134" s="3061"/>
      <c r="BM134" s="3061"/>
      <c r="BN134" s="3061"/>
      <c r="BO134" s="3061"/>
      <c r="BP134" s="3061"/>
      <c r="BQ134" s="3061"/>
      <c r="BR134" s="3061"/>
      <c r="BS134" s="3061"/>
      <c r="BT134" s="3061"/>
      <c r="BU134" s="3061"/>
      <c r="BV134" s="3061"/>
      <c r="BW134" s="3061"/>
      <c r="BX134" s="3061"/>
      <c r="BY134" s="3061"/>
      <c r="BZ134" s="3061"/>
      <c r="CA134" s="3061"/>
      <c r="CB134" s="3061"/>
      <c r="CC134" s="3061"/>
      <c r="CD134" s="3061"/>
      <c r="CE134" s="3061"/>
      <c r="CF134" s="3061"/>
      <c r="CG134" s="3061"/>
      <c r="CH134" s="3061"/>
      <c r="CI134" s="3061"/>
      <c r="CJ134" s="3061"/>
      <c r="CK134" s="3061"/>
      <c r="CL134" s="3061"/>
      <c r="CM134" s="3061"/>
      <c r="CN134" s="3061"/>
      <c r="CO134" s="3061"/>
      <c r="CP134" s="3061"/>
      <c r="CQ134" s="3061"/>
      <c r="CR134" s="3061"/>
      <c r="CS134" s="3062"/>
      <c r="CT134" s="3063"/>
      <c r="CU134" s="3064">
        <f t="shared" si="50"/>
        <v>1</v>
      </c>
      <c r="CV134" s="3022" t="str">
        <f>IF(OR(CT134="",CT134="None"),"-",DO134*CU134*SUMIF('Lighting Assumptions'!$G$3:$G$112,'6a - Lighting Counts'!G134,'Lighting Assumptions'!$J$3:$J$112))</f>
        <v>-</v>
      </c>
      <c r="CW134" s="3021"/>
      <c r="CX134" s="3021"/>
      <c r="CY134" s="3046"/>
      <c r="CZ134" s="2098">
        <f t="shared" si="51"/>
        <v>0</v>
      </c>
      <c r="DA134" s="2098" t="str">
        <f t="shared" si="52"/>
        <v>-</v>
      </c>
      <c r="DB134" s="2098">
        <f t="shared" si="53"/>
        <v>0</v>
      </c>
      <c r="DC134" s="3023" t="str">
        <f t="shared" si="54"/>
        <v>-</v>
      </c>
      <c r="DD134" s="3024" t="str">
        <f t="shared" si="55"/>
        <v/>
      </c>
      <c r="DE134" s="3025" t="str">
        <f t="shared" si="56"/>
        <v>-</v>
      </c>
      <c r="DF134" s="3024" t="str">
        <f t="shared" si="47"/>
        <v>-</v>
      </c>
      <c r="DG134" s="2098">
        <f t="shared" si="57"/>
        <v>0</v>
      </c>
      <c r="DH134" s="2098">
        <f t="array" ref="DH134">MIN(SUMPRODUCT(I134:CR134,IF($I$25:$CR$25="yes",1,0),$I$23:$CR$23),H134)</f>
        <v>0</v>
      </c>
      <c r="DI134" s="3026"/>
      <c r="DJ134" s="3021"/>
      <c r="DN134" s="917" t="str">
        <f>IF(CS134="","-",SUMIF('Lighting Assumptions'!$G$3:$G$112,'6a - Lighting Counts'!G134,'Lighting Assumptions'!$J$3:$J$112))</f>
        <v>-</v>
      </c>
      <c r="DO134" s="917" t="str">
        <f t="shared" si="48"/>
        <v>-</v>
      </c>
      <c r="DP134" s="917" t="str">
        <f t="shared" si="49"/>
        <v>-</v>
      </c>
      <c r="DQ134" s="917" t="str">
        <f>IF(LEFT(CELLformula(DF134),3)&lt;&gt;"=IF",1,"")</f>
        <v/>
      </c>
      <c r="DR134" s="917" t="str">
        <f>IF(LEFT(CELLformula(DD134),3)&lt;&gt;"=IF",1,"")</f>
        <v/>
      </c>
      <c r="DS134" s="3048">
        <f t="shared" si="58"/>
        <v>0</v>
      </c>
      <c r="DT134" s="3047" t="str">
        <f t="shared" si="59"/>
        <v/>
      </c>
      <c r="DU134" s="3047" t="str">
        <f>IFERROR(IF(G134="","",SUMIF('Lighting Assumptions'!$G$3:$G$112,'6a - Lighting Counts'!G134,'Lighting Assumptions'!$H$3:$H$112)*IF(SI_IP_Units="SI",10.76,1)),"")</f>
        <v/>
      </c>
      <c r="DV134" s="3047" t="str">
        <f>IFERROR(IF($CX134="","",IF(SI_IP_Units="SI",10.76,1)*SUMIF(BAMCategories,$CY134,'Lighting Assumptions'!$E$3:E$35)),"")</f>
        <v/>
      </c>
      <c r="DW134" s="3047" t="str">
        <f>IFERROR(IF($CX134="","",IF(SI_IP_Units="SI",10.76,1)*SUMIF(BAMCategories,$CY134,IF(bpf_reference="ACP",'Lighting Assumptions 90.1-2010'!$E$3:E$35,'Lighting Assumptions 90.1-2016'!$E$3:E$35))),"")</f>
        <v/>
      </c>
      <c r="EW134" s="855"/>
      <c r="EX134" s="855"/>
      <c r="EY134" s="855"/>
      <c r="EZ134" s="855"/>
    </row>
    <row r="135" spans="4:156" x14ac:dyDescent="0.25">
      <c r="D135" s="3019"/>
      <c r="E135" s="3020"/>
      <c r="F135" s="3021">
        <f t="shared" si="46"/>
        <v>0</v>
      </c>
      <c r="G135" s="3059"/>
      <c r="H135" s="3060"/>
      <c r="I135" s="3061"/>
      <c r="J135" s="3061"/>
      <c r="K135" s="3061"/>
      <c r="L135" s="3061"/>
      <c r="M135" s="3061"/>
      <c r="N135" s="3061"/>
      <c r="O135" s="3061"/>
      <c r="P135" s="3061"/>
      <c r="Q135" s="3061"/>
      <c r="R135" s="3061"/>
      <c r="S135" s="3061"/>
      <c r="T135" s="3061"/>
      <c r="U135" s="3061"/>
      <c r="V135" s="3061"/>
      <c r="W135" s="3061"/>
      <c r="X135" s="3061"/>
      <c r="Y135" s="3061"/>
      <c r="Z135" s="3061"/>
      <c r="AA135" s="3061"/>
      <c r="AB135" s="3061"/>
      <c r="AC135" s="3061"/>
      <c r="AD135" s="3061"/>
      <c r="AE135" s="3061"/>
      <c r="AF135" s="3061"/>
      <c r="AG135" s="3061"/>
      <c r="AH135" s="3061"/>
      <c r="AI135" s="3061"/>
      <c r="AJ135" s="3061"/>
      <c r="AK135" s="3061"/>
      <c r="AL135" s="3061"/>
      <c r="AM135" s="3061"/>
      <c r="AN135" s="3061"/>
      <c r="AO135" s="3061"/>
      <c r="AP135" s="3061"/>
      <c r="AQ135" s="3061"/>
      <c r="AR135" s="3061"/>
      <c r="AS135" s="3061"/>
      <c r="AT135" s="3061"/>
      <c r="AU135" s="3061"/>
      <c r="AV135" s="3061"/>
      <c r="AW135" s="3061"/>
      <c r="AX135" s="3061"/>
      <c r="AY135" s="3061"/>
      <c r="AZ135" s="3061"/>
      <c r="BA135" s="3061"/>
      <c r="BB135" s="3061"/>
      <c r="BC135" s="3061"/>
      <c r="BD135" s="3061"/>
      <c r="BE135" s="3061"/>
      <c r="BF135" s="3061"/>
      <c r="BG135" s="3061"/>
      <c r="BH135" s="3061"/>
      <c r="BI135" s="3061"/>
      <c r="BJ135" s="3061"/>
      <c r="BK135" s="3061"/>
      <c r="BL135" s="3061"/>
      <c r="BM135" s="3061"/>
      <c r="BN135" s="3061"/>
      <c r="BO135" s="3061"/>
      <c r="BP135" s="3061"/>
      <c r="BQ135" s="3061"/>
      <c r="BR135" s="3061"/>
      <c r="BS135" s="3061"/>
      <c r="BT135" s="3061"/>
      <c r="BU135" s="3061"/>
      <c r="BV135" s="3061"/>
      <c r="BW135" s="3061"/>
      <c r="BX135" s="3061"/>
      <c r="BY135" s="3061"/>
      <c r="BZ135" s="3061"/>
      <c r="CA135" s="3061"/>
      <c r="CB135" s="3061"/>
      <c r="CC135" s="3061"/>
      <c r="CD135" s="3061"/>
      <c r="CE135" s="3061"/>
      <c r="CF135" s="3061"/>
      <c r="CG135" s="3061"/>
      <c r="CH135" s="3061"/>
      <c r="CI135" s="3061"/>
      <c r="CJ135" s="3061"/>
      <c r="CK135" s="3061"/>
      <c r="CL135" s="3061"/>
      <c r="CM135" s="3061"/>
      <c r="CN135" s="3061"/>
      <c r="CO135" s="3061"/>
      <c r="CP135" s="3061"/>
      <c r="CQ135" s="3061"/>
      <c r="CR135" s="3061"/>
      <c r="CS135" s="3062"/>
      <c r="CT135" s="3063"/>
      <c r="CU135" s="3064">
        <f t="shared" si="50"/>
        <v>1</v>
      </c>
      <c r="CV135" s="3022" t="str">
        <f>IF(OR(CT135="",CT135="None"),"-",DO135*CU135*SUMIF('Lighting Assumptions'!$G$3:$G$112,'6a - Lighting Counts'!G135,'Lighting Assumptions'!$J$3:$J$112))</f>
        <v>-</v>
      </c>
      <c r="CW135" s="3021"/>
      <c r="CX135" s="3021"/>
      <c r="CY135" s="3046"/>
      <c r="CZ135" s="2098">
        <f t="shared" si="51"/>
        <v>0</v>
      </c>
      <c r="DA135" s="2098" t="str">
        <f t="shared" si="52"/>
        <v>-</v>
      </c>
      <c r="DB135" s="2098">
        <f t="shared" si="53"/>
        <v>0</v>
      </c>
      <c r="DC135" s="3023" t="str">
        <f t="shared" si="54"/>
        <v>-</v>
      </c>
      <c r="DD135" s="3024" t="str">
        <f t="shared" si="55"/>
        <v/>
      </c>
      <c r="DE135" s="3025" t="str">
        <f t="shared" si="56"/>
        <v>-</v>
      </c>
      <c r="DF135" s="3024" t="str">
        <f t="shared" si="47"/>
        <v>-</v>
      </c>
      <c r="DG135" s="2098">
        <f t="shared" si="57"/>
        <v>0</v>
      </c>
      <c r="DH135" s="2098">
        <f t="array" ref="DH135">MIN(SUMPRODUCT(I135:CR135,IF($I$25:$CR$25="yes",1,0),$I$23:$CR$23),H135)</f>
        <v>0</v>
      </c>
      <c r="DI135" s="3026"/>
      <c r="DJ135" s="3021"/>
      <c r="DN135" s="917" t="str">
        <f>IF(CS135="","-",SUMIF('Lighting Assumptions'!$G$3:$G$112,'6a - Lighting Counts'!G135,'Lighting Assumptions'!$J$3:$J$112))</f>
        <v>-</v>
      </c>
      <c r="DO135" s="917" t="str">
        <f t="shared" si="48"/>
        <v>-</v>
      </c>
      <c r="DP135" s="917" t="str">
        <f t="shared" si="49"/>
        <v>-</v>
      </c>
      <c r="DQ135" s="917" t="str">
        <f>IF(LEFT(CELLformula(DF135),3)&lt;&gt;"=IF",1,"")</f>
        <v/>
      </c>
      <c r="DR135" s="917" t="str">
        <f>IF(LEFT(CELLformula(DD135),3)&lt;&gt;"=IF",1,"")</f>
        <v/>
      </c>
      <c r="DS135" s="3048">
        <f t="shared" si="58"/>
        <v>0</v>
      </c>
      <c r="DT135" s="3047" t="str">
        <f t="shared" si="59"/>
        <v/>
      </c>
      <c r="DU135" s="3047" t="str">
        <f>IFERROR(IF(G135="","",SUMIF('Lighting Assumptions'!$G$3:$G$112,'6a - Lighting Counts'!G135,'Lighting Assumptions'!$H$3:$H$112)*IF(SI_IP_Units="SI",10.76,1)),"")</f>
        <v/>
      </c>
      <c r="DV135" s="3047" t="str">
        <f>IFERROR(IF($CX135="","",IF(SI_IP_Units="SI",10.76,1)*SUMIF(BAMCategories,$CY135,'Lighting Assumptions'!$E$3:E$35)),"")</f>
        <v/>
      </c>
      <c r="DW135" s="3047" t="str">
        <f>IFERROR(IF($CX135="","",IF(SI_IP_Units="SI",10.76,1)*SUMIF(BAMCategories,$CY135,IF(bpf_reference="ACP",'Lighting Assumptions 90.1-2010'!$E$3:E$35,'Lighting Assumptions 90.1-2016'!$E$3:E$35))),"")</f>
        <v/>
      </c>
      <c r="EW135" s="855"/>
      <c r="EX135" s="855"/>
      <c r="EY135" s="855"/>
      <c r="EZ135" s="855"/>
    </row>
    <row r="136" spans="4:156" x14ac:dyDescent="0.25">
      <c r="D136" s="3019"/>
      <c r="E136" s="3020"/>
      <c r="F136" s="3021">
        <f t="shared" si="46"/>
        <v>0</v>
      </c>
      <c r="G136" s="3059"/>
      <c r="H136" s="3060"/>
      <c r="I136" s="3061"/>
      <c r="J136" s="3061"/>
      <c r="K136" s="3061"/>
      <c r="L136" s="3061"/>
      <c r="M136" s="3061"/>
      <c r="N136" s="3061"/>
      <c r="O136" s="3061"/>
      <c r="P136" s="3061"/>
      <c r="Q136" s="3061"/>
      <c r="R136" s="3061"/>
      <c r="S136" s="3061"/>
      <c r="T136" s="3061"/>
      <c r="U136" s="3061"/>
      <c r="V136" s="3061"/>
      <c r="W136" s="3061"/>
      <c r="X136" s="3061"/>
      <c r="Y136" s="3061"/>
      <c r="Z136" s="3061"/>
      <c r="AA136" s="3061"/>
      <c r="AB136" s="3061"/>
      <c r="AC136" s="3061"/>
      <c r="AD136" s="3061"/>
      <c r="AE136" s="3061"/>
      <c r="AF136" s="3061"/>
      <c r="AG136" s="3061"/>
      <c r="AH136" s="3061"/>
      <c r="AI136" s="3061"/>
      <c r="AJ136" s="3061"/>
      <c r="AK136" s="3061"/>
      <c r="AL136" s="3061"/>
      <c r="AM136" s="3061"/>
      <c r="AN136" s="3061"/>
      <c r="AO136" s="3061"/>
      <c r="AP136" s="3061"/>
      <c r="AQ136" s="3061"/>
      <c r="AR136" s="3061"/>
      <c r="AS136" s="3061"/>
      <c r="AT136" s="3061"/>
      <c r="AU136" s="3061"/>
      <c r="AV136" s="3061"/>
      <c r="AW136" s="3061"/>
      <c r="AX136" s="3061"/>
      <c r="AY136" s="3061"/>
      <c r="AZ136" s="3061"/>
      <c r="BA136" s="3061"/>
      <c r="BB136" s="3061"/>
      <c r="BC136" s="3061"/>
      <c r="BD136" s="3061"/>
      <c r="BE136" s="3061"/>
      <c r="BF136" s="3061"/>
      <c r="BG136" s="3061"/>
      <c r="BH136" s="3061"/>
      <c r="BI136" s="3061"/>
      <c r="BJ136" s="3061"/>
      <c r="BK136" s="3061"/>
      <c r="BL136" s="3061"/>
      <c r="BM136" s="3061"/>
      <c r="BN136" s="3061"/>
      <c r="BO136" s="3061"/>
      <c r="BP136" s="3061"/>
      <c r="BQ136" s="3061"/>
      <c r="BR136" s="3061"/>
      <c r="BS136" s="3061"/>
      <c r="BT136" s="3061"/>
      <c r="BU136" s="3061"/>
      <c r="BV136" s="3061"/>
      <c r="BW136" s="3061"/>
      <c r="BX136" s="3061"/>
      <c r="BY136" s="3061"/>
      <c r="BZ136" s="3061"/>
      <c r="CA136" s="3061"/>
      <c r="CB136" s="3061"/>
      <c r="CC136" s="3061"/>
      <c r="CD136" s="3061"/>
      <c r="CE136" s="3061"/>
      <c r="CF136" s="3061"/>
      <c r="CG136" s="3061"/>
      <c r="CH136" s="3061"/>
      <c r="CI136" s="3061"/>
      <c r="CJ136" s="3061"/>
      <c r="CK136" s="3061"/>
      <c r="CL136" s="3061"/>
      <c r="CM136" s="3061"/>
      <c r="CN136" s="3061"/>
      <c r="CO136" s="3061"/>
      <c r="CP136" s="3061"/>
      <c r="CQ136" s="3061"/>
      <c r="CR136" s="3061"/>
      <c r="CS136" s="3062"/>
      <c r="CT136" s="3063"/>
      <c r="CU136" s="3064">
        <f t="shared" si="50"/>
        <v>1</v>
      </c>
      <c r="CV136" s="3022" t="str">
        <f>IF(OR(CT136="",CT136="None"),"-",DO136*CU136*SUMIF('Lighting Assumptions'!$G$3:$G$112,'6a - Lighting Counts'!G136,'Lighting Assumptions'!$J$3:$J$112))</f>
        <v>-</v>
      </c>
      <c r="CW136" s="3021"/>
      <c r="CX136" s="3021"/>
      <c r="CY136" s="3046"/>
      <c r="CZ136" s="2098">
        <f t="shared" si="51"/>
        <v>0</v>
      </c>
      <c r="DA136" s="2098" t="str">
        <f t="shared" si="52"/>
        <v>-</v>
      </c>
      <c r="DB136" s="2098">
        <f t="shared" si="53"/>
        <v>0</v>
      </c>
      <c r="DC136" s="3023" t="str">
        <f t="shared" si="54"/>
        <v>-</v>
      </c>
      <c r="DD136" s="3024" t="str">
        <f t="shared" si="55"/>
        <v/>
      </c>
      <c r="DE136" s="3025" t="str">
        <f t="shared" si="56"/>
        <v>-</v>
      </c>
      <c r="DF136" s="3024" t="str">
        <f t="shared" si="47"/>
        <v>-</v>
      </c>
      <c r="DG136" s="2098">
        <f t="shared" si="57"/>
        <v>0</v>
      </c>
      <c r="DH136" s="2098">
        <f t="array" ref="DH136">MIN(SUMPRODUCT(I136:CR136,IF($I$25:$CR$25="yes",1,0),$I$23:$CR$23),H136)</f>
        <v>0</v>
      </c>
      <c r="DI136" s="3026"/>
      <c r="DJ136" s="3021"/>
      <c r="DN136" s="917" t="str">
        <f>IF(CS136="","-",SUMIF('Lighting Assumptions'!$G$3:$G$112,'6a - Lighting Counts'!G136,'Lighting Assumptions'!$J$3:$J$112))</f>
        <v>-</v>
      </c>
      <c r="DO136" s="917" t="str">
        <f t="shared" si="48"/>
        <v>-</v>
      </c>
      <c r="DP136" s="917" t="str">
        <f t="shared" si="49"/>
        <v>-</v>
      </c>
      <c r="DQ136" s="917" t="str">
        <f>IF(LEFT(CELLformula(DF136),3)&lt;&gt;"=IF",1,"")</f>
        <v/>
      </c>
      <c r="DR136" s="917" t="str">
        <f>IF(LEFT(CELLformula(DD136),3)&lt;&gt;"=IF",1,"")</f>
        <v/>
      </c>
      <c r="DS136" s="3048">
        <f t="shared" si="58"/>
        <v>0</v>
      </c>
      <c r="DT136" s="3047" t="str">
        <f t="shared" si="59"/>
        <v/>
      </c>
      <c r="DU136" s="3047" t="str">
        <f>IFERROR(IF(G136="","",SUMIF('Lighting Assumptions'!$G$3:$G$112,'6a - Lighting Counts'!G136,'Lighting Assumptions'!$H$3:$H$112)*IF(SI_IP_Units="SI",10.76,1)),"")</f>
        <v/>
      </c>
      <c r="DV136" s="3047" t="str">
        <f>IFERROR(IF($CX136="","",IF(SI_IP_Units="SI",10.76,1)*SUMIF(BAMCategories,$CY136,'Lighting Assumptions'!$E$3:E$35)),"")</f>
        <v/>
      </c>
      <c r="DW136" s="3047" t="str">
        <f>IFERROR(IF($CX136="","",IF(SI_IP_Units="SI",10.76,1)*SUMIF(BAMCategories,$CY136,IF(bpf_reference="ACP",'Lighting Assumptions 90.1-2010'!$E$3:E$35,'Lighting Assumptions 90.1-2016'!$E$3:E$35))),"")</f>
        <v/>
      </c>
      <c r="EW136" s="855"/>
      <c r="EX136" s="855"/>
      <c r="EY136" s="855"/>
      <c r="EZ136" s="855"/>
    </row>
    <row r="137" spans="4:156" x14ac:dyDescent="0.25">
      <c r="D137" s="3019"/>
      <c r="E137" s="3020"/>
      <c r="F137" s="3021">
        <f t="shared" si="46"/>
        <v>0</v>
      </c>
      <c r="G137" s="3059"/>
      <c r="H137" s="3060"/>
      <c r="I137" s="3061"/>
      <c r="J137" s="3061"/>
      <c r="K137" s="3061"/>
      <c r="L137" s="3061"/>
      <c r="M137" s="3061"/>
      <c r="N137" s="3061"/>
      <c r="O137" s="3061"/>
      <c r="P137" s="3061"/>
      <c r="Q137" s="3061"/>
      <c r="R137" s="3061"/>
      <c r="S137" s="3061"/>
      <c r="T137" s="3061"/>
      <c r="U137" s="3061"/>
      <c r="V137" s="3061"/>
      <c r="W137" s="3061"/>
      <c r="X137" s="3061"/>
      <c r="Y137" s="3061"/>
      <c r="Z137" s="3061"/>
      <c r="AA137" s="3061"/>
      <c r="AB137" s="3061"/>
      <c r="AC137" s="3061"/>
      <c r="AD137" s="3061"/>
      <c r="AE137" s="3061"/>
      <c r="AF137" s="3061"/>
      <c r="AG137" s="3061"/>
      <c r="AH137" s="3061"/>
      <c r="AI137" s="3061"/>
      <c r="AJ137" s="3061"/>
      <c r="AK137" s="3061"/>
      <c r="AL137" s="3061"/>
      <c r="AM137" s="3061"/>
      <c r="AN137" s="3061"/>
      <c r="AO137" s="3061"/>
      <c r="AP137" s="3061"/>
      <c r="AQ137" s="3061"/>
      <c r="AR137" s="3061"/>
      <c r="AS137" s="3061"/>
      <c r="AT137" s="3061"/>
      <c r="AU137" s="3061"/>
      <c r="AV137" s="3061"/>
      <c r="AW137" s="3061"/>
      <c r="AX137" s="3061"/>
      <c r="AY137" s="3061"/>
      <c r="AZ137" s="3061"/>
      <c r="BA137" s="3061"/>
      <c r="BB137" s="3061"/>
      <c r="BC137" s="3061"/>
      <c r="BD137" s="3061"/>
      <c r="BE137" s="3061"/>
      <c r="BF137" s="3061"/>
      <c r="BG137" s="3061"/>
      <c r="BH137" s="3061"/>
      <c r="BI137" s="3061"/>
      <c r="BJ137" s="3061"/>
      <c r="BK137" s="3061"/>
      <c r="BL137" s="3061"/>
      <c r="BM137" s="3061"/>
      <c r="BN137" s="3061"/>
      <c r="BO137" s="3061"/>
      <c r="BP137" s="3061"/>
      <c r="BQ137" s="3061"/>
      <c r="BR137" s="3061"/>
      <c r="BS137" s="3061"/>
      <c r="BT137" s="3061"/>
      <c r="BU137" s="3061"/>
      <c r="BV137" s="3061"/>
      <c r="BW137" s="3061"/>
      <c r="BX137" s="3061"/>
      <c r="BY137" s="3061"/>
      <c r="BZ137" s="3061"/>
      <c r="CA137" s="3061"/>
      <c r="CB137" s="3061"/>
      <c r="CC137" s="3061"/>
      <c r="CD137" s="3061"/>
      <c r="CE137" s="3061"/>
      <c r="CF137" s="3061"/>
      <c r="CG137" s="3061"/>
      <c r="CH137" s="3061"/>
      <c r="CI137" s="3061"/>
      <c r="CJ137" s="3061"/>
      <c r="CK137" s="3061"/>
      <c r="CL137" s="3061"/>
      <c r="CM137" s="3061"/>
      <c r="CN137" s="3061"/>
      <c r="CO137" s="3061"/>
      <c r="CP137" s="3061"/>
      <c r="CQ137" s="3061"/>
      <c r="CR137" s="3061"/>
      <c r="CS137" s="3062"/>
      <c r="CT137" s="3063"/>
      <c r="CU137" s="3064">
        <f t="shared" si="50"/>
        <v>1</v>
      </c>
      <c r="CV137" s="3022" t="str">
        <f>IF(OR(CT137="",CT137="None"),"-",DO137*CU137*SUMIF('Lighting Assumptions'!$G$3:$G$112,'6a - Lighting Counts'!G137,'Lighting Assumptions'!$J$3:$J$112))</f>
        <v>-</v>
      </c>
      <c r="CW137" s="3021"/>
      <c r="CX137" s="3021"/>
      <c r="CY137" s="3046"/>
      <c r="CZ137" s="2098">
        <f t="shared" si="51"/>
        <v>0</v>
      </c>
      <c r="DA137" s="2098" t="str">
        <f t="shared" si="52"/>
        <v>-</v>
      </c>
      <c r="DB137" s="2098">
        <f t="shared" si="53"/>
        <v>0</v>
      </c>
      <c r="DC137" s="3023" t="str">
        <f t="shared" si="54"/>
        <v>-</v>
      </c>
      <c r="DD137" s="3024" t="str">
        <f t="shared" si="55"/>
        <v/>
      </c>
      <c r="DE137" s="3025" t="str">
        <f t="shared" si="56"/>
        <v>-</v>
      </c>
      <c r="DF137" s="3024" t="str">
        <f t="shared" si="47"/>
        <v>-</v>
      </c>
      <c r="DG137" s="2098">
        <f t="shared" si="57"/>
        <v>0</v>
      </c>
      <c r="DH137" s="2098">
        <f t="array" ref="DH137">MIN(SUMPRODUCT(I137:CR137,IF($I$25:$CR$25="yes",1,0),$I$23:$CR$23),H137)</f>
        <v>0</v>
      </c>
      <c r="DI137" s="3026"/>
      <c r="DJ137" s="3021"/>
      <c r="DN137" s="917" t="str">
        <f>IF(CS137="","-",SUMIF('Lighting Assumptions'!$G$3:$G$112,'6a - Lighting Counts'!G137,'Lighting Assumptions'!$J$3:$J$112))</f>
        <v>-</v>
      </c>
      <c r="DO137" s="917" t="str">
        <f t="shared" si="48"/>
        <v>-</v>
      </c>
      <c r="DP137" s="917" t="str">
        <f t="shared" si="49"/>
        <v>-</v>
      </c>
      <c r="DQ137" s="917" t="str">
        <f>IF(LEFT(CELLformula(DF137),3)&lt;&gt;"=IF",1,"")</f>
        <v/>
      </c>
      <c r="DR137" s="917" t="str">
        <f>IF(LEFT(CELLformula(DD137),3)&lt;&gt;"=IF",1,"")</f>
        <v/>
      </c>
      <c r="DS137" s="3048">
        <f t="shared" si="58"/>
        <v>0</v>
      </c>
      <c r="DT137" s="3047" t="str">
        <f t="shared" si="59"/>
        <v/>
      </c>
      <c r="DU137" s="3047" t="str">
        <f>IFERROR(IF(G137="","",SUMIF('Lighting Assumptions'!$G$3:$G$112,'6a - Lighting Counts'!G137,'Lighting Assumptions'!$H$3:$H$112)*IF(SI_IP_Units="SI",10.76,1)),"")</f>
        <v/>
      </c>
      <c r="DV137" s="3047" t="str">
        <f>IFERROR(IF($CX137="","",IF(SI_IP_Units="SI",10.76,1)*SUMIF(BAMCategories,$CY137,'Lighting Assumptions'!$E$3:E$35)),"")</f>
        <v/>
      </c>
      <c r="DW137" s="3047" t="str">
        <f>IFERROR(IF($CX137="","",IF(SI_IP_Units="SI",10.76,1)*SUMIF(BAMCategories,$CY137,IF(bpf_reference="ACP",'Lighting Assumptions 90.1-2010'!$E$3:E$35,'Lighting Assumptions 90.1-2016'!$E$3:E$35))),"")</f>
        <v/>
      </c>
      <c r="EW137" s="855"/>
      <c r="EX137" s="855"/>
      <c r="EY137" s="855"/>
      <c r="EZ137" s="855"/>
    </row>
    <row r="138" spans="4:156" x14ac:dyDescent="0.25">
      <c r="D138" s="3019"/>
      <c r="E138" s="3020"/>
      <c r="F138" s="3021">
        <f t="shared" si="46"/>
        <v>0</v>
      </c>
      <c r="G138" s="3059"/>
      <c r="H138" s="3060"/>
      <c r="I138" s="3061"/>
      <c r="J138" s="3061"/>
      <c r="K138" s="3061"/>
      <c r="L138" s="3061"/>
      <c r="M138" s="3061"/>
      <c r="N138" s="3061"/>
      <c r="O138" s="3061"/>
      <c r="P138" s="3061"/>
      <c r="Q138" s="3061"/>
      <c r="R138" s="3061"/>
      <c r="S138" s="3061"/>
      <c r="T138" s="3061"/>
      <c r="U138" s="3061"/>
      <c r="V138" s="3061"/>
      <c r="W138" s="3061"/>
      <c r="X138" s="3061"/>
      <c r="Y138" s="3061"/>
      <c r="Z138" s="3061"/>
      <c r="AA138" s="3061"/>
      <c r="AB138" s="3061"/>
      <c r="AC138" s="3061"/>
      <c r="AD138" s="3061"/>
      <c r="AE138" s="3061"/>
      <c r="AF138" s="3061"/>
      <c r="AG138" s="3061"/>
      <c r="AH138" s="3061"/>
      <c r="AI138" s="3061"/>
      <c r="AJ138" s="3061"/>
      <c r="AK138" s="3061"/>
      <c r="AL138" s="3061"/>
      <c r="AM138" s="3061"/>
      <c r="AN138" s="3061"/>
      <c r="AO138" s="3061"/>
      <c r="AP138" s="3061"/>
      <c r="AQ138" s="3061"/>
      <c r="AR138" s="3061"/>
      <c r="AS138" s="3061"/>
      <c r="AT138" s="3061"/>
      <c r="AU138" s="3061"/>
      <c r="AV138" s="3061"/>
      <c r="AW138" s="3061"/>
      <c r="AX138" s="3061"/>
      <c r="AY138" s="3061"/>
      <c r="AZ138" s="3061"/>
      <c r="BA138" s="3061"/>
      <c r="BB138" s="3061"/>
      <c r="BC138" s="3061"/>
      <c r="BD138" s="3061"/>
      <c r="BE138" s="3061"/>
      <c r="BF138" s="3061"/>
      <c r="BG138" s="3061"/>
      <c r="BH138" s="3061"/>
      <c r="BI138" s="3061"/>
      <c r="BJ138" s="3061"/>
      <c r="BK138" s="3061"/>
      <c r="BL138" s="3061"/>
      <c r="BM138" s="3061"/>
      <c r="BN138" s="3061"/>
      <c r="BO138" s="3061"/>
      <c r="BP138" s="3061"/>
      <c r="BQ138" s="3061"/>
      <c r="BR138" s="3061"/>
      <c r="BS138" s="3061"/>
      <c r="BT138" s="3061"/>
      <c r="BU138" s="3061"/>
      <c r="BV138" s="3061"/>
      <c r="BW138" s="3061"/>
      <c r="BX138" s="3061"/>
      <c r="BY138" s="3061"/>
      <c r="BZ138" s="3061"/>
      <c r="CA138" s="3061"/>
      <c r="CB138" s="3061"/>
      <c r="CC138" s="3061"/>
      <c r="CD138" s="3061"/>
      <c r="CE138" s="3061"/>
      <c r="CF138" s="3061"/>
      <c r="CG138" s="3061"/>
      <c r="CH138" s="3061"/>
      <c r="CI138" s="3061"/>
      <c r="CJ138" s="3061"/>
      <c r="CK138" s="3061"/>
      <c r="CL138" s="3061"/>
      <c r="CM138" s="3061"/>
      <c r="CN138" s="3061"/>
      <c r="CO138" s="3061"/>
      <c r="CP138" s="3061"/>
      <c r="CQ138" s="3061"/>
      <c r="CR138" s="3061"/>
      <c r="CS138" s="3062"/>
      <c r="CT138" s="3063"/>
      <c r="CU138" s="3064">
        <f t="shared" si="50"/>
        <v>1</v>
      </c>
      <c r="CV138" s="3022" t="str">
        <f>IF(OR(CT138="",CT138="None"),"-",DO138*CU138*SUMIF('Lighting Assumptions'!$G$3:$G$112,'6a - Lighting Counts'!G138,'Lighting Assumptions'!$J$3:$J$112))</f>
        <v>-</v>
      </c>
      <c r="CW138" s="3021"/>
      <c r="CX138" s="3021"/>
      <c r="CY138" s="3046"/>
      <c r="CZ138" s="2098">
        <f t="shared" si="51"/>
        <v>0</v>
      </c>
      <c r="DA138" s="2098" t="str">
        <f t="shared" si="52"/>
        <v>-</v>
      </c>
      <c r="DB138" s="2098">
        <f t="shared" si="53"/>
        <v>0</v>
      </c>
      <c r="DC138" s="3023" t="str">
        <f t="shared" si="54"/>
        <v>-</v>
      </c>
      <c r="DD138" s="3024" t="str">
        <f t="shared" si="55"/>
        <v/>
      </c>
      <c r="DE138" s="3025" t="str">
        <f t="shared" si="56"/>
        <v>-</v>
      </c>
      <c r="DF138" s="3024" t="str">
        <f t="shared" si="47"/>
        <v>-</v>
      </c>
      <c r="DG138" s="2098">
        <f t="shared" si="57"/>
        <v>0</v>
      </c>
      <c r="DH138" s="2098">
        <f t="array" ref="DH138">MIN(SUMPRODUCT(I138:CR138,IF($I$25:$CR$25="yes",1,0),$I$23:$CR$23),H138)</f>
        <v>0</v>
      </c>
      <c r="DI138" s="3026"/>
      <c r="DJ138" s="3021"/>
      <c r="DN138" s="917" t="str">
        <f>IF(CS138="","-",SUMIF('Lighting Assumptions'!$G$3:$G$112,'6a - Lighting Counts'!G138,'Lighting Assumptions'!$J$3:$J$112))</f>
        <v>-</v>
      </c>
      <c r="DO138" s="917" t="str">
        <f t="shared" si="48"/>
        <v>-</v>
      </c>
      <c r="DP138" s="917" t="str">
        <f t="shared" si="49"/>
        <v>-</v>
      </c>
      <c r="DQ138" s="917" t="str">
        <f>IF(LEFT(CELLformula(DF138),3)&lt;&gt;"=IF",1,"")</f>
        <v/>
      </c>
      <c r="DR138" s="917" t="str">
        <f>IF(LEFT(CELLformula(DD138),3)&lt;&gt;"=IF",1,"")</f>
        <v/>
      </c>
      <c r="DS138" s="3048">
        <f t="shared" si="58"/>
        <v>0</v>
      </c>
      <c r="DT138" s="3047" t="str">
        <f t="shared" si="59"/>
        <v/>
      </c>
      <c r="DU138" s="3047" t="str">
        <f>IFERROR(IF(G138="","",SUMIF('Lighting Assumptions'!$G$3:$G$112,'6a - Lighting Counts'!G138,'Lighting Assumptions'!$H$3:$H$112)*IF(SI_IP_Units="SI",10.76,1)),"")</f>
        <v/>
      </c>
      <c r="DV138" s="3047" t="str">
        <f>IFERROR(IF($CX138="","",IF(SI_IP_Units="SI",10.76,1)*SUMIF(BAMCategories,$CY138,'Lighting Assumptions'!$E$3:E$35)),"")</f>
        <v/>
      </c>
      <c r="DW138" s="3047" t="str">
        <f>IFERROR(IF($CX138="","",IF(SI_IP_Units="SI",10.76,1)*SUMIF(BAMCategories,$CY138,IF(bpf_reference="ACP",'Lighting Assumptions 90.1-2010'!$E$3:E$35,'Lighting Assumptions 90.1-2016'!$E$3:E$35))),"")</f>
        <v/>
      </c>
      <c r="EW138" s="855"/>
      <c r="EX138" s="855"/>
      <c r="EY138" s="855"/>
      <c r="EZ138" s="855"/>
    </row>
    <row r="139" spans="4:156" x14ac:dyDescent="0.25">
      <c r="D139" s="3019"/>
      <c r="E139" s="3020"/>
      <c r="F139" s="3021">
        <f t="shared" si="46"/>
        <v>0</v>
      </c>
      <c r="G139" s="3059"/>
      <c r="H139" s="3060"/>
      <c r="I139" s="3061"/>
      <c r="J139" s="3061"/>
      <c r="K139" s="3061"/>
      <c r="L139" s="3061"/>
      <c r="M139" s="3061"/>
      <c r="N139" s="3061"/>
      <c r="O139" s="3061"/>
      <c r="P139" s="3061"/>
      <c r="Q139" s="3061"/>
      <c r="R139" s="3061"/>
      <c r="S139" s="3061"/>
      <c r="T139" s="3061"/>
      <c r="U139" s="3061"/>
      <c r="V139" s="3061"/>
      <c r="W139" s="3061"/>
      <c r="X139" s="3061"/>
      <c r="Y139" s="3061"/>
      <c r="Z139" s="3061"/>
      <c r="AA139" s="3061"/>
      <c r="AB139" s="3061"/>
      <c r="AC139" s="3061"/>
      <c r="AD139" s="3061"/>
      <c r="AE139" s="3061"/>
      <c r="AF139" s="3061"/>
      <c r="AG139" s="3061"/>
      <c r="AH139" s="3061"/>
      <c r="AI139" s="3061"/>
      <c r="AJ139" s="3061"/>
      <c r="AK139" s="3061"/>
      <c r="AL139" s="3061"/>
      <c r="AM139" s="3061"/>
      <c r="AN139" s="3061"/>
      <c r="AO139" s="3061"/>
      <c r="AP139" s="3061"/>
      <c r="AQ139" s="3061"/>
      <c r="AR139" s="3061"/>
      <c r="AS139" s="3061"/>
      <c r="AT139" s="3061"/>
      <c r="AU139" s="3061"/>
      <c r="AV139" s="3061"/>
      <c r="AW139" s="3061"/>
      <c r="AX139" s="3061"/>
      <c r="AY139" s="3061"/>
      <c r="AZ139" s="3061"/>
      <c r="BA139" s="3061"/>
      <c r="BB139" s="3061"/>
      <c r="BC139" s="3061"/>
      <c r="BD139" s="3061"/>
      <c r="BE139" s="3061"/>
      <c r="BF139" s="3061"/>
      <c r="BG139" s="3061"/>
      <c r="BH139" s="3061"/>
      <c r="BI139" s="3061"/>
      <c r="BJ139" s="3061"/>
      <c r="BK139" s="3061"/>
      <c r="BL139" s="3061"/>
      <c r="BM139" s="3061"/>
      <c r="BN139" s="3061"/>
      <c r="BO139" s="3061"/>
      <c r="BP139" s="3061"/>
      <c r="BQ139" s="3061"/>
      <c r="BR139" s="3061"/>
      <c r="BS139" s="3061"/>
      <c r="BT139" s="3061"/>
      <c r="BU139" s="3061"/>
      <c r="BV139" s="3061"/>
      <c r="BW139" s="3061"/>
      <c r="BX139" s="3061"/>
      <c r="BY139" s="3061"/>
      <c r="BZ139" s="3061"/>
      <c r="CA139" s="3061"/>
      <c r="CB139" s="3061"/>
      <c r="CC139" s="3061"/>
      <c r="CD139" s="3061"/>
      <c r="CE139" s="3061"/>
      <c r="CF139" s="3061"/>
      <c r="CG139" s="3061"/>
      <c r="CH139" s="3061"/>
      <c r="CI139" s="3061"/>
      <c r="CJ139" s="3061"/>
      <c r="CK139" s="3061"/>
      <c r="CL139" s="3061"/>
      <c r="CM139" s="3061"/>
      <c r="CN139" s="3061"/>
      <c r="CO139" s="3061"/>
      <c r="CP139" s="3061"/>
      <c r="CQ139" s="3061"/>
      <c r="CR139" s="3061"/>
      <c r="CS139" s="3062"/>
      <c r="CT139" s="3063"/>
      <c r="CU139" s="3064">
        <f t="shared" si="50"/>
        <v>1</v>
      </c>
      <c r="CV139" s="3022" t="str">
        <f>IF(OR(CT139="",CT139="None"),"-",DO139*CU139*SUMIF('Lighting Assumptions'!$G$3:$G$112,'6a - Lighting Counts'!G139,'Lighting Assumptions'!$J$3:$J$112))</f>
        <v>-</v>
      </c>
      <c r="CW139" s="3021"/>
      <c r="CX139" s="3021"/>
      <c r="CY139" s="3046"/>
      <c r="CZ139" s="2098">
        <f t="shared" si="51"/>
        <v>0</v>
      </c>
      <c r="DA139" s="2098" t="str">
        <f t="shared" si="52"/>
        <v>-</v>
      </c>
      <c r="DB139" s="2098">
        <f t="shared" si="53"/>
        <v>0</v>
      </c>
      <c r="DC139" s="3023" t="str">
        <f t="shared" si="54"/>
        <v>-</v>
      </c>
      <c r="DD139" s="3024" t="str">
        <f t="shared" si="55"/>
        <v/>
      </c>
      <c r="DE139" s="3025" t="str">
        <f t="shared" si="56"/>
        <v>-</v>
      </c>
      <c r="DF139" s="3024" t="str">
        <f t="shared" si="47"/>
        <v>-</v>
      </c>
      <c r="DG139" s="2098">
        <f t="shared" si="57"/>
        <v>0</v>
      </c>
      <c r="DH139" s="2098">
        <f t="array" ref="DH139">MIN(SUMPRODUCT(I139:CR139,IF($I$25:$CR$25="yes",1,0),$I$23:$CR$23),H139)</f>
        <v>0</v>
      </c>
      <c r="DI139" s="3026"/>
      <c r="DJ139" s="3021"/>
      <c r="DN139" s="917" t="str">
        <f>IF(CS139="","-",SUMIF('Lighting Assumptions'!$G$3:$G$112,'6a - Lighting Counts'!G139,'Lighting Assumptions'!$J$3:$J$112))</f>
        <v>-</v>
      </c>
      <c r="DO139" s="917" t="str">
        <f t="shared" si="48"/>
        <v>-</v>
      </c>
      <c r="DP139" s="917" t="str">
        <f t="shared" si="49"/>
        <v>-</v>
      </c>
      <c r="DQ139" s="917" t="str">
        <f>IF(LEFT(CELLformula(DF139),3)&lt;&gt;"=IF",1,"")</f>
        <v/>
      </c>
      <c r="DR139" s="917" t="str">
        <f>IF(LEFT(CELLformula(DD139),3)&lt;&gt;"=IF",1,"")</f>
        <v/>
      </c>
      <c r="DS139" s="3048">
        <f t="shared" si="58"/>
        <v>0</v>
      </c>
      <c r="DT139" s="3047" t="str">
        <f t="shared" si="59"/>
        <v/>
      </c>
      <c r="DU139" s="3047" t="str">
        <f>IFERROR(IF(G139="","",SUMIF('Lighting Assumptions'!$G$3:$G$112,'6a - Lighting Counts'!G139,'Lighting Assumptions'!$H$3:$H$112)*IF(SI_IP_Units="SI",10.76,1)),"")</f>
        <v/>
      </c>
      <c r="DV139" s="3047" t="str">
        <f>IFERROR(IF($CX139="","",IF(SI_IP_Units="SI",10.76,1)*SUMIF(BAMCategories,$CY139,'Lighting Assumptions'!$E$3:E$35)),"")</f>
        <v/>
      </c>
      <c r="DW139" s="3047" t="str">
        <f>IFERROR(IF($CX139="","",IF(SI_IP_Units="SI",10.76,1)*SUMIF(BAMCategories,$CY139,IF(bpf_reference="ACP",'Lighting Assumptions 90.1-2010'!$E$3:E$35,'Lighting Assumptions 90.1-2016'!$E$3:E$35))),"")</f>
        <v/>
      </c>
      <c r="EW139" s="855"/>
      <c r="EX139" s="855"/>
      <c r="EY139" s="855"/>
      <c r="EZ139" s="855"/>
    </row>
    <row r="140" spans="4:156" x14ac:dyDescent="0.25">
      <c r="D140" s="3019"/>
      <c r="E140" s="3020"/>
      <c r="F140" s="3021">
        <f t="shared" si="46"/>
        <v>0</v>
      </c>
      <c r="G140" s="3059"/>
      <c r="H140" s="3060"/>
      <c r="I140" s="3061"/>
      <c r="J140" s="3061"/>
      <c r="K140" s="3061"/>
      <c r="L140" s="3061"/>
      <c r="M140" s="3061"/>
      <c r="N140" s="3061"/>
      <c r="O140" s="3061"/>
      <c r="P140" s="3061"/>
      <c r="Q140" s="3061"/>
      <c r="R140" s="3061"/>
      <c r="S140" s="3061"/>
      <c r="T140" s="3061"/>
      <c r="U140" s="3061"/>
      <c r="V140" s="3061"/>
      <c r="W140" s="3061"/>
      <c r="X140" s="3061"/>
      <c r="Y140" s="3061"/>
      <c r="Z140" s="3061"/>
      <c r="AA140" s="3061"/>
      <c r="AB140" s="3061"/>
      <c r="AC140" s="3061"/>
      <c r="AD140" s="3061"/>
      <c r="AE140" s="3061"/>
      <c r="AF140" s="3061"/>
      <c r="AG140" s="3061"/>
      <c r="AH140" s="3061"/>
      <c r="AI140" s="3061"/>
      <c r="AJ140" s="3061"/>
      <c r="AK140" s="3061"/>
      <c r="AL140" s="3061"/>
      <c r="AM140" s="3061"/>
      <c r="AN140" s="3061"/>
      <c r="AO140" s="3061"/>
      <c r="AP140" s="3061"/>
      <c r="AQ140" s="3061"/>
      <c r="AR140" s="3061"/>
      <c r="AS140" s="3061"/>
      <c r="AT140" s="3061"/>
      <c r="AU140" s="3061"/>
      <c r="AV140" s="3061"/>
      <c r="AW140" s="3061"/>
      <c r="AX140" s="3061"/>
      <c r="AY140" s="3061"/>
      <c r="AZ140" s="3061"/>
      <c r="BA140" s="3061"/>
      <c r="BB140" s="3061"/>
      <c r="BC140" s="3061"/>
      <c r="BD140" s="3061"/>
      <c r="BE140" s="3061"/>
      <c r="BF140" s="3061"/>
      <c r="BG140" s="3061"/>
      <c r="BH140" s="3061"/>
      <c r="BI140" s="3061"/>
      <c r="BJ140" s="3061"/>
      <c r="BK140" s="3061"/>
      <c r="BL140" s="3061"/>
      <c r="BM140" s="3061"/>
      <c r="BN140" s="3061"/>
      <c r="BO140" s="3061"/>
      <c r="BP140" s="3061"/>
      <c r="BQ140" s="3061"/>
      <c r="BR140" s="3061"/>
      <c r="BS140" s="3061"/>
      <c r="BT140" s="3061"/>
      <c r="BU140" s="3061"/>
      <c r="BV140" s="3061"/>
      <c r="BW140" s="3061"/>
      <c r="BX140" s="3061"/>
      <c r="BY140" s="3061"/>
      <c r="BZ140" s="3061"/>
      <c r="CA140" s="3061"/>
      <c r="CB140" s="3061"/>
      <c r="CC140" s="3061"/>
      <c r="CD140" s="3061"/>
      <c r="CE140" s="3061"/>
      <c r="CF140" s="3061"/>
      <c r="CG140" s="3061"/>
      <c r="CH140" s="3061"/>
      <c r="CI140" s="3061"/>
      <c r="CJ140" s="3061"/>
      <c r="CK140" s="3061"/>
      <c r="CL140" s="3061"/>
      <c r="CM140" s="3061"/>
      <c r="CN140" s="3061"/>
      <c r="CO140" s="3061"/>
      <c r="CP140" s="3061"/>
      <c r="CQ140" s="3061"/>
      <c r="CR140" s="3061"/>
      <c r="CS140" s="3062"/>
      <c r="CT140" s="3063"/>
      <c r="CU140" s="3064">
        <f t="shared" si="50"/>
        <v>1</v>
      </c>
      <c r="CV140" s="3022" t="str">
        <f>IF(OR(CT140="",CT140="None"),"-",DO140*CU140*SUMIF('Lighting Assumptions'!$G$3:$G$112,'6a - Lighting Counts'!G140,'Lighting Assumptions'!$J$3:$J$112))</f>
        <v>-</v>
      </c>
      <c r="CW140" s="3021"/>
      <c r="CX140" s="3021"/>
      <c r="CY140" s="3046"/>
      <c r="CZ140" s="2098">
        <f t="shared" si="51"/>
        <v>0</v>
      </c>
      <c r="DA140" s="2098" t="str">
        <f t="shared" si="52"/>
        <v>-</v>
      </c>
      <c r="DB140" s="2098">
        <f t="shared" si="53"/>
        <v>0</v>
      </c>
      <c r="DC140" s="3023" t="str">
        <f t="shared" si="54"/>
        <v>-</v>
      </c>
      <c r="DD140" s="3024" t="str">
        <f t="shared" si="55"/>
        <v/>
      </c>
      <c r="DE140" s="3025" t="str">
        <f t="shared" si="56"/>
        <v>-</v>
      </c>
      <c r="DF140" s="3024" t="str">
        <f t="shared" si="47"/>
        <v>-</v>
      </c>
      <c r="DG140" s="2098">
        <f t="shared" si="57"/>
        <v>0</v>
      </c>
      <c r="DH140" s="2098">
        <f t="array" ref="DH140">MIN(SUMPRODUCT(I140:CR140,IF($I$25:$CR$25="yes",1,0),$I$23:$CR$23),H140)</f>
        <v>0</v>
      </c>
      <c r="DI140" s="3026"/>
      <c r="DJ140" s="3021"/>
      <c r="DN140" s="917" t="str">
        <f>IF(CS140="","-",SUMIF('Lighting Assumptions'!$G$3:$G$112,'6a - Lighting Counts'!G140,'Lighting Assumptions'!$J$3:$J$112))</f>
        <v>-</v>
      </c>
      <c r="DO140" s="917" t="str">
        <f t="shared" si="48"/>
        <v>-</v>
      </c>
      <c r="DP140" s="917" t="str">
        <f t="shared" si="49"/>
        <v>-</v>
      </c>
      <c r="DQ140" s="917" t="str">
        <f>IF(LEFT(CELLformula(DF140),3)&lt;&gt;"=IF",1,"")</f>
        <v/>
      </c>
      <c r="DR140" s="917" t="str">
        <f>IF(LEFT(CELLformula(DD140),3)&lt;&gt;"=IF",1,"")</f>
        <v/>
      </c>
      <c r="DS140" s="3048">
        <f t="shared" si="58"/>
        <v>0</v>
      </c>
      <c r="DT140" s="3047" t="str">
        <f t="shared" si="59"/>
        <v/>
      </c>
      <c r="DU140" s="3047" t="str">
        <f>IFERROR(IF(G140="","",SUMIF('Lighting Assumptions'!$G$3:$G$112,'6a - Lighting Counts'!G140,'Lighting Assumptions'!$H$3:$H$112)*IF(SI_IP_Units="SI",10.76,1)),"")</f>
        <v/>
      </c>
      <c r="DV140" s="3047" t="str">
        <f>IFERROR(IF($CX140="","",IF(SI_IP_Units="SI",10.76,1)*SUMIF(BAMCategories,$CY140,'Lighting Assumptions'!$E$3:E$35)),"")</f>
        <v/>
      </c>
      <c r="DW140" s="3047" t="str">
        <f>IFERROR(IF($CX140="","",IF(SI_IP_Units="SI",10.76,1)*SUMIF(BAMCategories,$CY140,IF(bpf_reference="ACP",'Lighting Assumptions 90.1-2010'!$E$3:E$35,'Lighting Assumptions 90.1-2016'!$E$3:E$35))),"")</f>
        <v/>
      </c>
      <c r="EW140" s="855"/>
      <c r="EX140" s="855"/>
      <c r="EY140" s="855"/>
      <c r="EZ140" s="855"/>
    </row>
    <row r="141" spans="4:156" x14ac:dyDescent="0.25">
      <c r="D141" s="3019"/>
      <c r="E141" s="3020"/>
      <c r="F141" s="3021">
        <f t="shared" si="46"/>
        <v>0</v>
      </c>
      <c r="G141" s="3059"/>
      <c r="H141" s="3060"/>
      <c r="I141" s="3061"/>
      <c r="J141" s="3061"/>
      <c r="K141" s="3061"/>
      <c r="L141" s="3061"/>
      <c r="M141" s="3061"/>
      <c r="N141" s="3061"/>
      <c r="O141" s="3061"/>
      <c r="P141" s="3061"/>
      <c r="Q141" s="3061"/>
      <c r="R141" s="3061"/>
      <c r="S141" s="3061"/>
      <c r="T141" s="3061"/>
      <c r="U141" s="3061"/>
      <c r="V141" s="3061"/>
      <c r="W141" s="3061"/>
      <c r="X141" s="3061"/>
      <c r="Y141" s="3061"/>
      <c r="Z141" s="3061"/>
      <c r="AA141" s="3061"/>
      <c r="AB141" s="3061"/>
      <c r="AC141" s="3061"/>
      <c r="AD141" s="3061"/>
      <c r="AE141" s="3061"/>
      <c r="AF141" s="3061"/>
      <c r="AG141" s="3061"/>
      <c r="AH141" s="3061"/>
      <c r="AI141" s="3061"/>
      <c r="AJ141" s="3061"/>
      <c r="AK141" s="3061"/>
      <c r="AL141" s="3061"/>
      <c r="AM141" s="3061"/>
      <c r="AN141" s="3061"/>
      <c r="AO141" s="3061"/>
      <c r="AP141" s="3061"/>
      <c r="AQ141" s="3061"/>
      <c r="AR141" s="3061"/>
      <c r="AS141" s="3061"/>
      <c r="AT141" s="3061"/>
      <c r="AU141" s="3061"/>
      <c r="AV141" s="3061"/>
      <c r="AW141" s="3061"/>
      <c r="AX141" s="3061"/>
      <c r="AY141" s="3061"/>
      <c r="AZ141" s="3061"/>
      <c r="BA141" s="3061"/>
      <c r="BB141" s="3061"/>
      <c r="BC141" s="3061"/>
      <c r="BD141" s="3061"/>
      <c r="BE141" s="3061"/>
      <c r="BF141" s="3061"/>
      <c r="BG141" s="3061"/>
      <c r="BH141" s="3061"/>
      <c r="BI141" s="3061"/>
      <c r="BJ141" s="3061"/>
      <c r="BK141" s="3061"/>
      <c r="BL141" s="3061"/>
      <c r="BM141" s="3061"/>
      <c r="BN141" s="3061"/>
      <c r="BO141" s="3061"/>
      <c r="BP141" s="3061"/>
      <c r="BQ141" s="3061"/>
      <c r="BR141" s="3061"/>
      <c r="BS141" s="3061"/>
      <c r="BT141" s="3061"/>
      <c r="BU141" s="3061"/>
      <c r="BV141" s="3061"/>
      <c r="BW141" s="3061"/>
      <c r="BX141" s="3061"/>
      <c r="BY141" s="3061"/>
      <c r="BZ141" s="3061"/>
      <c r="CA141" s="3061"/>
      <c r="CB141" s="3061"/>
      <c r="CC141" s="3061"/>
      <c r="CD141" s="3061"/>
      <c r="CE141" s="3061"/>
      <c r="CF141" s="3061"/>
      <c r="CG141" s="3061"/>
      <c r="CH141" s="3061"/>
      <c r="CI141" s="3061"/>
      <c r="CJ141" s="3061"/>
      <c r="CK141" s="3061"/>
      <c r="CL141" s="3061"/>
      <c r="CM141" s="3061"/>
      <c r="CN141" s="3061"/>
      <c r="CO141" s="3061"/>
      <c r="CP141" s="3061"/>
      <c r="CQ141" s="3061"/>
      <c r="CR141" s="3061"/>
      <c r="CS141" s="3062"/>
      <c r="CT141" s="3063"/>
      <c r="CU141" s="3064">
        <f t="shared" si="50"/>
        <v>1</v>
      </c>
      <c r="CV141" s="3022" t="str">
        <f>IF(OR(CT141="",CT141="None"),"-",DO141*CU141*SUMIF('Lighting Assumptions'!$G$3:$G$112,'6a - Lighting Counts'!G141,'Lighting Assumptions'!$J$3:$J$112))</f>
        <v>-</v>
      </c>
      <c r="CW141" s="3021"/>
      <c r="CX141" s="3021"/>
      <c r="CY141" s="3046"/>
      <c r="CZ141" s="2098">
        <f t="shared" si="51"/>
        <v>0</v>
      </c>
      <c r="DA141" s="2098" t="str">
        <f t="shared" si="52"/>
        <v>-</v>
      </c>
      <c r="DB141" s="2098">
        <f t="shared" si="53"/>
        <v>0</v>
      </c>
      <c r="DC141" s="3023" t="str">
        <f t="shared" si="54"/>
        <v>-</v>
      </c>
      <c r="DD141" s="3024" t="str">
        <f t="shared" si="55"/>
        <v/>
      </c>
      <c r="DE141" s="3025" t="str">
        <f t="shared" si="56"/>
        <v>-</v>
      </c>
      <c r="DF141" s="3024" t="str">
        <f t="shared" si="47"/>
        <v>-</v>
      </c>
      <c r="DG141" s="2098">
        <f t="shared" si="57"/>
        <v>0</v>
      </c>
      <c r="DH141" s="2098">
        <f t="array" ref="DH141">MIN(SUMPRODUCT(I141:CR141,IF($I$25:$CR$25="yes",1,0),$I$23:$CR$23),H141)</f>
        <v>0</v>
      </c>
      <c r="DI141" s="3026"/>
      <c r="DJ141" s="3021"/>
      <c r="DN141" s="917" t="str">
        <f>IF(CS141="","-",SUMIF('Lighting Assumptions'!$G$3:$G$112,'6a - Lighting Counts'!G141,'Lighting Assumptions'!$J$3:$J$112))</f>
        <v>-</v>
      </c>
      <c r="DO141" s="917" t="str">
        <f t="shared" si="48"/>
        <v>-</v>
      </c>
      <c r="DP141" s="917" t="str">
        <f t="shared" si="49"/>
        <v>-</v>
      </c>
      <c r="DQ141" s="917" t="str">
        <f>IF(LEFT(CELLformula(DF141),3)&lt;&gt;"=IF",1,"")</f>
        <v/>
      </c>
      <c r="DR141" s="917" t="str">
        <f>IF(LEFT(CELLformula(DD141),3)&lt;&gt;"=IF",1,"")</f>
        <v/>
      </c>
      <c r="DS141" s="3048">
        <f t="shared" si="58"/>
        <v>0</v>
      </c>
      <c r="DT141" s="3047" t="str">
        <f t="shared" si="59"/>
        <v/>
      </c>
      <c r="DU141" s="3047" t="str">
        <f>IFERROR(IF(G141="","",SUMIF('Lighting Assumptions'!$G$3:$G$112,'6a - Lighting Counts'!G141,'Lighting Assumptions'!$H$3:$H$112)*IF(SI_IP_Units="SI",10.76,1)),"")</f>
        <v/>
      </c>
      <c r="DV141" s="3047" t="str">
        <f>IFERROR(IF($CX141="","",IF(SI_IP_Units="SI",10.76,1)*SUMIF(BAMCategories,$CY141,'Lighting Assumptions'!$E$3:E$35)),"")</f>
        <v/>
      </c>
      <c r="DW141" s="3047" t="str">
        <f>IFERROR(IF($CX141="","",IF(SI_IP_Units="SI",10.76,1)*SUMIF(BAMCategories,$CY141,IF(bpf_reference="ACP",'Lighting Assumptions 90.1-2010'!$E$3:E$35,'Lighting Assumptions 90.1-2016'!$E$3:E$35))),"")</f>
        <v/>
      </c>
      <c r="EW141" s="855"/>
      <c r="EX141" s="855"/>
      <c r="EY141" s="855"/>
      <c r="EZ141" s="855"/>
    </row>
    <row r="142" spans="4:156" x14ac:dyDescent="0.25">
      <c r="D142" s="3019"/>
      <c r="E142" s="3020"/>
      <c r="F142" s="3021">
        <f t="shared" si="46"/>
        <v>0</v>
      </c>
      <c r="G142" s="3059"/>
      <c r="H142" s="3060"/>
      <c r="I142" s="3061"/>
      <c r="J142" s="3061"/>
      <c r="K142" s="3061"/>
      <c r="L142" s="3061"/>
      <c r="M142" s="3061"/>
      <c r="N142" s="3061"/>
      <c r="O142" s="3061"/>
      <c r="P142" s="3061"/>
      <c r="Q142" s="3061"/>
      <c r="R142" s="3061"/>
      <c r="S142" s="3061"/>
      <c r="T142" s="3061"/>
      <c r="U142" s="3061"/>
      <c r="V142" s="3061"/>
      <c r="W142" s="3061"/>
      <c r="X142" s="3061"/>
      <c r="Y142" s="3061"/>
      <c r="Z142" s="3061"/>
      <c r="AA142" s="3061"/>
      <c r="AB142" s="3061"/>
      <c r="AC142" s="3061"/>
      <c r="AD142" s="3061"/>
      <c r="AE142" s="3061"/>
      <c r="AF142" s="3061"/>
      <c r="AG142" s="3061"/>
      <c r="AH142" s="3061"/>
      <c r="AI142" s="3061"/>
      <c r="AJ142" s="3061"/>
      <c r="AK142" s="3061"/>
      <c r="AL142" s="3061"/>
      <c r="AM142" s="3061"/>
      <c r="AN142" s="3061"/>
      <c r="AO142" s="3061"/>
      <c r="AP142" s="3061"/>
      <c r="AQ142" s="3061"/>
      <c r="AR142" s="3061"/>
      <c r="AS142" s="3061"/>
      <c r="AT142" s="3061"/>
      <c r="AU142" s="3061"/>
      <c r="AV142" s="3061"/>
      <c r="AW142" s="3061"/>
      <c r="AX142" s="3061"/>
      <c r="AY142" s="3061"/>
      <c r="AZ142" s="3061"/>
      <c r="BA142" s="3061"/>
      <c r="BB142" s="3061"/>
      <c r="BC142" s="3061"/>
      <c r="BD142" s="3061"/>
      <c r="BE142" s="3061"/>
      <c r="BF142" s="3061"/>
      <c r="BG142" s="3061"/>
      <c r="BH142" s="3061"/>
      <c r="BI142" s="3061"/>
      <c r="BJ142" s="3061"/>
      <c r="BK142" s="3061"/>
      <c r="BL142" s="3061"/>
      <c r="BM142" s="3061"/>
      <c r="BN142" s="3061"/>
      <c r="BO142" s="3061"/>
      <c r="BP142" s="3061"/>
      <c r="BQ142" s="3061"/>
      <c r="BR142" s="3061"/>
      <c r="BS142" s="3061"/>
      <c r="BT142" s="3061"/>
      <c r="BU142" s="3061"/>
      <c r="BV142" s="3061"/>
      <c r="BW142" s="3061"/>
      <c r="BX142" s="3061"/>
      <c r="BY142" s="3061"/>
      <c r="BZ142" s="3061"/>
      <c r="CA142" s="3061"/>
      <c r="CB142" s="3061"/>
      <c r="CC142" s="3061"/>
      <c r="CD142" s="3061"/>
      <c r="CE142" s="3061"/>
      <c r="CF142" s="3061"/>
      <c r="CG142" s="3061"/>
      <c r="CH142" s="3061"/>
      <c r="CI142" s="3061"/>
      <c r="CJ142" s="3061"/>
      <c r="CK142" s="3061"/>
      <c r="CL142" s="3061"/>
      <c r="CM142" s="3061"/>
      <c r="CN142" s="3061"/>
      <c r="CO142" s="3061"/>
      <c r="CP142" s="3061"/>
      <c r="CQ142" s="3061"/>
      <c r="CR142" s="3061"/>
      <c r="CS142" s="3062"/>
      <c r="CT142" s="3063"/>
      <c r="CU142" s="3064">
        <f t="shared" si="50"/>
        <v>1</v>
      </c>
      <c r="CV142" s="3022" t="str">
        <f>IF(OR(CT142="",CT142="None"),"-",DO142*CU142*SUMIF('Lighting Assumptions'!$G$3:$G$112,'6a - Lighting Counts'!G142,'Lighting Assumptions'!$J$3:$J$112))</f>
        <v>-</v>
      </c>
      <c r="CW142" s="3021"/>
      <c r="CX142" s="3021"/>
      <c r="CY142" s="3046"/>
      <c r="CZ142" s="2098">
        <f t="shared" si="51"/>
        <v>0</v>
      </c>
      <c r="DA142" s="2098" t="str">
        <f t="shared" si="52"/>
        <v>-</v>
      </c>
      <c r="DB142" s="2098">
        <f t="shared" si="53"/>
        <v>0</v>
      </c>
      <c r="DC142" s="3023" t="str">
        <f t="shared" si="54"/>
        <v>-</v>
      </c>
      <c r="DD142" s="3024" t="str">
        <f t="shared" si="55"/>
        <v/>
      </c>
      <c r="DE142" s="3025" t="str">
        <f t="shared" si="56"/>
        <v>-</v>
      </c>
      <c r="DF142" s="3024" t="str">
        <f t="shared" si="47"/>
        <v>-</v>
      </c>
      <c r="DG142" s="2098">
        <f t="shared" si="57"/>
        <v>0</v>
      </c>
      <c r="DH142" s="2098">
        <f t="array" ref="DH142">MIN(SUMPRODUCT(I142:CR142,IF($I$25:$CR$25="yes",1,0),$I$23:$CR$23),H142)</f>
        <v>0</v>
      </c>
      <c r="DI142" s="3026"/>
      <c r="DJ142" s="3021"/>
      <c r="DN142" s="917" t="str">
        <f>IF(CS142="","-",SUMIF('Lighting Assumptions'!$G$3:$G$112,'6a - Lighting Counts'!G142,'Lighting Assumptions'!$J$3:$J$112))</f>
        <v>-</v>
      </c>
      <c r="DO142" s="917" t="str">
        <f t="shared" si="48"/>
        <v>-</v>
      </c>
      <c r="DP142" s="917" t="str">
        <f t="shared" si="49"/>
        <v>-</v>
      </c>
      <c r="DQ142" s="917" t="str">
        <f>IF(LEFT(CELLformula(DF142),3)&lt;&gt;"=IF",1,"")</f>
        <v/>
      </c>
      <c r="DR142" s="917" t="str">
        <f>IF(LEFT(CELLformula(DD142),3)&lt;&gt;"=IF",1,"")</f>
        <v/>
      </c>
      <c r="DS142" s="3048">
        <f t="shared" si="58"/>
        <v>0</v>
      </c>
      <c r="DT142" s="3047" t="str">
        <f t="shared" si="59"/>
        <v/>
      </c>
      <c r="DU142" s="3047" t="str">
        <f>IFERROR(IF(G142="","",SUMIF('Lighting Assumptions'!$G$3:$G$112,'6a - Lighting Counts'!G142,'Lighting Assumptions'!$H$3:$H$112)*IF(SI_IP_Units="SI",10.76,1)),"")</f>
        <v/>
      </c>
      <c r="DV142" s="3047" t="str">
        <f>IFERROR(IF($CX142="","",IF(SI_IP_Units="SI",10.76,1)*SUMIF(BAMCategories,$CY142,'Lighting Assumptions'!$E$3:E$35)),"")</f>
        <v/>
      </c>
      <c r="DW142" s="3047" t="str">
        <f>IFERROR(IF($CX142="","",IF(SI_IP_Units="SI",10.76,1)*SUMIF(BAMCategories,$CY142,IF(bpf_reference="ACP",'Lighting Assumptions 90.1-2010'!$E$3:E$35,'Lighting Assumptions 90.1-2016'!$E$3:E$35))),"")</f>
        <v/>
      </c>
      <c r="EW142" s="855"/>
      <c r="EX142" s="855"/>
      <c r="EY142" s="855"/>
      <c r="EZ142" s="855"/>
    </row>
    <row r="143" spans="4:156" x14ac:dyDescent="0.25">
      <c r="D143" s="3019"/>
      <c r="E143" s="3020"/>
      <c r="F143" s="3021">
        <f t="shared" si="46"/>
        <v>0</v>
      </c>
      <c r="G143" s="3059"/>
      <c r="H143" s="3060"/>
      <c r="I143" s="3061"/>
      <c r="J143" s="3061"/>
      <c r="K143" s="3061"/>
      <c r="L143" s="3061"/>
      <c r="M143" s="3061"/>
      <c r="N143" s="3061"/>
      <c r="O143" s="3061"/>
      <c r="P143" s="3061"/>
      <c r="Q143" s="3061"/>
      <c r="R143" s="3061"/>
      <c r="S143" s="3061"/>
      <c r="T143" s="3061"/>
      <c r="U143" s="3061"/>
      <c r="V143" s="3061"/>
      <c r="W143" s="3061"/>
      <c r="X143" s="3061"/>
      <c r="Y143" s="3061"/>
      <c r="Z143" s="3061"/>
      <c r="AA143" s="3061"/>
      <c r="AB143" s="3061"/>
      <c r="AC143" s="3061"/>
      <c r="AD143" s="3061"/>
      <c r="AE143" s="3061"/>
      <c r="AF143" s="3061"/>
      <c r="AG143" s="3061"/>
      <c r="AH143" s="3061"/>
      <c r="AI143" s="3061"/>
      <c r="AJ143" s="3061"/>
      <c r="AK143" s="3061"/>
      <c r="AL143" s="3061"/>
      <c r="AM143" s="3061"/>
      <c r="AN143" s="3061"/>
      <c r="AO143" s="3061"/>
      <c r="AP143" s="3061"/>
      <c r="AQ143" s="3061"/>
      <c r="AR143" s="3061"/>
      <c r="AS143" s="3061"/>
      <c r="AT143" s="3061"/>
      <c r="AU143" s="3061"/>
      <c r="AV143" s="3061"/>
      <c r="AW143" s="3061"/>
      <c r="AX143" s="3061"/>
      <c r="AY143" s="3061"/>
      <c r="AZ143" s="3061"/>
      <c r="BA143" s="3061"/>
      <c r="BB143" s="3061"/>
      <c r="BC143" s="3061"/>
      <c r="BD143" s="3061"/>
      <c r="BE143" s="3061"/>
      <c r="BF143" s="3061"/>
      <c r="BG143" s="3061"/>
      <c r="BH143" s="3061"/>
      <c r="BI143" s="3061"/>
      <c r="BJ143" s="3061"/>
      <c r="BK143" s="3061"/>
      <c r="BL143" s="3061"/>
      <c r="BM143" s="3061"/>
      <c r="BN143" s="3061"/>
      <c r="BO143" s="3061"/>
      <c r="BP143" s="3061"/>
      <c r="BQ143" s="3061"/>
      <c r="BR143" s="3061"/>
      <c r="BS143" s="3061"/>
      <c r="BT143" s="3061"/>
      <c r="BU143" s="3061"/>
      <c r="BV143" s="3061"/>
      <c r="BW143" s="3061"/>
      <c r="BX143" s="3061"/>
      <c r="BY143" s="3061"/>
      <c r="BZ143" s="3061"/>
      <c r="CA143" s="3061"/>
      <c r="CB143" s="3061"/>
      <c r="CC143" s="3061"/>
      <c r="CD143" s="3061"/>
      <c r="CE143" s="3061"/>
      <c r="CF143" s="3061"/>
      <c r="CG143" s="3061"/>
      <c r="CH143" s="3061"/>
      <c r="CI143" s="3061"/>
      <c r="CJ143" s="3061"/>
      <c r="CK143" s="3061"/>
      <c r="CL143" s="3061"/>
      <c r="CM143" s="3061"/>
      <c r="CN143" s="3061"/>
      <c r="CO143" s="3061"/>
      <c r="CP143" s="3061"/>
      <c r="CQ143" s="3061"/>
      <c r="CR143" s="3061"/>
      <c r="CS143" s="3062"/>
      <c r="CT143" s="3063"/>
      <c r="CU143" s="3064">
        <f t="shared" si="50"/>
        <v>1</v>
      </c>
      <c r="CV143" s="3022" t="str">
        <f>IF(OR(CT143="",CT143="None"),"-",DO143*CU143*SUMIF('Lighting Assumptions'!$G$3:$G$112,'6a - Lighting Counts'!G143,'Lighting Assumptions'!$J$3:$J$112))</f>
        <v>-</v>
      </c>
      <c r="CW143" s="3021"/>
      <c r="CX143" s="3021"/>
      <c r="CY143" s="3046"/>
      <c r="CZ143" s="2098">
        <f t="shared" si="51"/>
        <v>0</v>
      </c>
      <c r="DA143" s="2098" t="str">
        <f t="shared" si="52"/>
        <v>-</v>
      </c>
      <c r="DB143" s="2098">
        <f t="shared" si="53"/>
        <v>0</v>
      </c>
      <c r="DC143" s="3023" t="str">
        <f t="shared" si="54"/>
        <v>-</v>
      </c>
      <c r="DD143" s="3024" t="str">
        <f t="shared" si="55"/>
        <v/>
      </c>
      <c r="DE143" s="3025" t="str">
        <f t="shared" si="56"/>
        <v>-</v>
      </c>
      <c r="DF143" s="3024" t="str">
        <f t="shared" si="47"/>
        <v>-</v>
      </c>
      <c r="DG143" s="2098">
        <f t="shared" si="57"/>
        <v>0</v>
      </c>
      <c r="DH143" s="2098">
        <f t="array" ref="DH143">MIN(SUMPRODUCT(I143:CR143,IF($I$25:$CR$25="yes",1,0),$I$23:$CR$23),H143)</f>
        <v>0</v>
      </c>
      <c r="DI143" s="3026"/>
      <c r="DJ143" s="3021"/>
      <c r="DN143" s="917" t="str">
        <f>IF(CS143="","-",SUMIF('Lighting Assumptions'!$G$3:$G$112,'6a - Lighting Counts'!G143,'Lighting Assumptions'!$J$3:$J$112))</f>
        <v>-</v>
      </c>
      <c r="DO143" s="917" t="str">
        <f t="shared" si="48"/>
        <v>-</v>
      </c>
      <c r="DP143" s="917" t="str">
        <f t="shared" si="49"/>
        <v>-</v>
      </c>
      <c r="DQ143" s="917" t="str">
        <f>IF(LEFT(CELLformula(DF143),3)&lt;&gt;"=IF",1,"")</f>
        <v/>
      </c>
      <c r="DR143" s="917" t="str">
        <f>IF(LEFT(CELLformula(DD143),3)&lt;&gt;"=IF",1,"")</f>
        <v/>
      </c>
      <c r="DS143" s="3048">
        <f t="shared" si="58"/>
        <v>0</v>
      </c>
      <c r="DT143" s="3047" t="str">
        <f t="shared" si="59"/>
        <v/>
      </c>
      <c r="DU143" s="3047" t="str">
        <f>IFERROR(IF(G143="","",SUMIF('Lighting Assumptions'!$G$3:$G$112,'6a - Lighting Counts'!G143,'Lighting Assumptions'!$H$3:$H$112)*IF(SI_IP_Units="SI",10.76,1)),"")</f>
        <v/>
      </c>
      <c r="DV143" s="3047" t="str">
        <f>IFERROR(IF($CX143="","",IF(SI_IP_Units="SI",10.76,1)*SUMIF(BAMCategories,$CY143,'Lighting Assumptions'!$E$3:E$35)),"")</f>
        <v/>
      </c>
      <c r="DW143" s="3047" t="str">
        <f>IFERROR(IF($CX143="","",IF(SI_IP_Units="SI",10.76,1)*SUMIF(BAMCategories,$CY143,IF(bpf_reference="ACP",'Lighting Assumptions 90.1-2010'!$E$3:E$35,'Lighting Assumptions 90.1-2016'!$E$3:E$35))),"")</f>
        <v/>
      </c>
      <c r="EW143" s="855"/>
      <c r="EX143" s="855"/>
      <c r="EY143" s="855"/>
      <c r="EZ143" s="855"/>
    </row>
    <row r="144" spans="4:156" x14ac:dyDescent="0.25">
      <c r="D144" s="3019"/>
      <c r="E144" s="3020"/>
      <c r="F144" s="3021">
        <f t="shared" si="46"/>
        <v>0</v>
      </c>
      <c r="G144" s="3059"/>
      <c r="H144" s="3060"/>
      <c r="I144" s="3061"/>
      <c r="J144" s="3061"/>
      <c r="K144" s="3061"/>
      <c r="L144" s="3061"/>
      <c r="M144" s="3061"/>
      <c r="N144" s="3061"/>
      <c r="O144" s="3061"/>
      <c r="P144" s="3061"/>
      <c r="Q144" s="3061"/>
      <c r="R144" s="3061"/>
      <c r="S144" s="3061"/>
      <c r="T144" s="3061"/>
      <c r="U144" s="3061"/>
      <c r="V144" s="3061"/>
      <c r="W144" s="3061"/>
      <c r="X144" s="3061"/>
      <c r="Y144" s="3061"/>
      <c r="Z144" s="3061"/>
      <c r="AA144" s="3061"/>
      <c r="AB144" s="3061"/>
      <c r="AC144" s="3061"/>
      <c r="AD144" s="3061"/>
      <c r="AE144" s="3061"/>
      <c r="AF144" s="3061"/>
      <c r="AG144" s="3061"/>
      <c r="AH144" s="3061"/>
      <c r="AI144" s="3061"/>
      <c r="AJ144" s="3061"/>
      <c r="AK144" s="3061"/>
      <c r="AL144" s="3061"/>
      <c r="AM144" s="3061"/>
      <c r="AN144" s="3061"/>
      <c r="AO144" s="3061"/>
      <c r="AP144" s="3061"/>
      <c r="AQ144" s="3061"/>
      <c r="AR144" s="3061"/>
      <c r="AS144" s="3061"/>
      <c r="AT144" s="3061"/>
      <c r="AU144" s="3061"/>
      <c r="AV144" s="3061"/>
      <c r="AW144" s="3061"/>
      <c r="AX144" s="3061"/>
      <c r="AY144" s="3061"/>
      <c r="AZ144" s="3061"/>
      <c r="BA144" s="3061"/>
      <c r="BB144" s="3061"/>
      <c r="BC144" s="3061"/>
      <c r="BD144" s="3061"/>
      <c r="BE144" s="3061"/>
      <c r="BF144" s="3061"/>
      <c r="BG144" s="3061"/>
      <c r="BH144" s="3061"/>
      <c r="BI144" s="3061"/>
      <c r="BJ144" s="3061"/>
      <c r="BK144" s="3061"/>
      <c r="BL144" s="3061"/>
      <c r="BM144" s="3061"/>
      <c r="BN144" s="3061"/>
      <c r="BO144" s="3061"/>
      <c r="BP144" s="3061"/>
      <c r="BQ144" s="3061"/>
      <c r="BR144" s="3061"/>
      <c r="BS144" s="3061"/>
      <c r="BT144" s="3061"/>
      <c r="BU144" s="3061"/>
      <c r="BV144" s="3061"/>
      <c r="BW144" s="3061"/>
      <c r="BX144" s="3061"/>
      <c r="BY144" s="3061"/>
      <c r="BZ144" s="3061"/>
      <c r="CA144" s="3061"/>
      <c r="CB144" s="3061"/>
      <c r="CC144" s="3061"/>
      <c r="CD144" s="3061"/>
      <c r="CE144" s="3061"/>
      <c r="CF144" s="3061"/>
      <c r="CG144" s="3061"/>
      <c r="CH144" s="3061"/>
      <c r="CI144" s="3061"/>
      <c r="CJ144" s="3061"/>
      <c r="CK144" s="3061"/>
      <c r="CL144" s="3061"/>
      <c r="CM144" s="3061"/>
      <c r="CN144" s="3061"/>
      <c r="CO144" s="3061"/>
      <c r="CP144" s="3061"/>
      <c r="CQ144" s="3061"/>
      <c r="CR144" s="3061"/>
      <c r="CS144" s="3062"/>
      <c r="CT144" s="3063"/>
      <c r="CU144" s="3064">
        <f t="shared" si="50"/>
        <v>1</v>
      </c>
      <c r="CV144" s="3022" t="str">
        <f>IF(OR(CT144="",CT144="None"),"-",DO144*CU144*SUMIF('Lighting Assumptions'!$G$3:$G$112,'6a - Lighting Counts'!G144,'Lighting Assumptions'!$J$3:$J$112))</f>
        <v>-</v>
      </c>
      <c r="CW144" s="3021"/>
      <c r="CX144" s="3021"/>
      <c r="CY144" s="3046"/>
      <c r="CZ144" s="2098">
        <f t="shared" si="51"/>
        <v>0</v>
      </c>
      <c r="DA144" s="2098" t="str">
        <f t="shared" si="52"/>
        <v>-</v>
      </c>
      <c r="DB144" s="2098">
        <f t="shared" si="53"/>
        <v>0</v>
      </c>
      <c r="DC144" s="3023" t="str">
        <f t="shared" si="54"/>
        <v>-</v>
      </c>
      <c r="DD144" s="3024" t="str">
        <f t="shared" si="55"/>
        <v/>
      </c>
      <c r="DE144" s="3025" t="str">
        <f t="shared" si="56"/>
        <v>-</v>
      </c>
      <c r="DF144" s="3024" t="str">
        <f t="shared" si="47"/>
        <v>-</v>
      </c>
      <c r="DG144" s="2098">
        <f t="shared" si="57"/>
        <v>0</v>
      </c>
      <c r="DH144" s="2098">
        <f t="array" ref="DH144">MIN(SUMPRODUCT(I144:CR144,IF($I$25:$CR$25="yes",1,0),$I$23:$CR$23),H144)</f>
        <v>0</v>
      </c>
      <c r="DI144" s="3026"/>
      <c r="DJ144" s="3021"/>
      <c r="DN144" s="917" t="str">
        <f>IF(CS144="","-",SUMIF('Lighting Assumptions'!$G$3:$G$112,'6a - Lighting Counts'!G144,'Lighting Assumptions'!$J$3:$J$112))</f>
        <v>-</v>
      </c>
      <c r="DO144" s="917" t="str">
        <f t="shared" si="48"/>
        <v>-</v>
      </c>
      <c r="DP144" s="917" t="str">
        <f t="shared" si="49"/>
        <v>-</v>
      </c>
      <c r="DQ144" s="917" t="str">
        <f>IF(LEFT(CELLformula(DF144),3)&lt;&gt;"=IF",1,"")</f>
        <v/>
      </c>
      <c r="DR144" s="917" t="str">
        <f>IF(LEFT(CELLformula(DD144),3)&lt;&gt;"=IF",1,"")</f>
        <v/>
      </c>
      <c r="DS144" s="3048">
        <f t="shared" si="58"/>
        <v>0</v>
      </c>
      <c r="DT144" s="3047" t="str">
        <f t="shared" si="59"/>
        <v/>
      </c>
      <c r="DU144" s="3047" t="str">
        <f>IFERROR(IF(G144="","",SUMIF('Lighting Assumptions'!$G$3:$G$112,'6a - Lighting Counts'!G144,'Lighting Assumptions'!$H$3:$H$112)*IF(SI_IP_Units="SI",10.76,1)),"")</f>
        <v/>
      </c>
      <c r="DV144" s="3047" t="str">
        <f>IFERROR(IF($CX144="","",IF(SI_IP_Units="SI",10.76,1)*SUMIF(BAMCategories,$CY144,'Lighting Assumptions'!$E$3:E$35)),"")</f>
        <v/>
      </c>
      <c r="DW144" s="3047" t="str">
        <f>IFERROR(IF($CX144="","",IF(SI_IP_Units="SI",10.76,1)*SUMIF(BAMCategories,$CY144,IF(bpf_reference="ACP",'Lighting Assumptions 90.1-2010'!$E$3:E$35,'Lighting Assumptions 90.1-2016'!$E$3:E$35))),"")</f>
        <v/>
      </c>
      <c r="EW144" s="855"/>
      <c r="EX144" s="855"/>
      <c r="EY144" s="855"/>
      <c r="EZ144" s="855"/>
    </row>
    <row r="145" spans="4:156" x14ac:dyDescent="0.25">
      <c r="D145" s="3019"/>
      <c r="E145" s="3020"/>
      <c r="F145" s="3021">
        <f t="shared" si="46"/>
        <v>0</v>
      </c>
      <c r="G145" s="3059"/>
      <c r="H145" s="3060"/>
      <c r="I145" s="3061"/>
      <c r="J145" s="3061"/>
      <c r="K145" s="3061"/>
      <c r="L145" s="3061"/>
      <c r="M145" s="3061"/>
      <c r="N145" s="3061"/>
      <c r="O145" s="3061"/>
      <c r="P145" s="3061"/>
      <c r="Q145" s="3061"/>
      <c r="R145" s="3061"/>
      <c r="S145" s="3061"/>
      <c r="T145" s="3061"/>
      <c r="U145" s="3061"/>
      <c r="V145" s="3061"/>
      <c r="W145" s="3061"/>
      <c r="X145" s="3061"/>
      <c r="Y145" s="3061"/>
      <c r="Z145" s="3061"/>
      <c r="AA145" s="3061"/>
      <c r="AB145" s="3061"/>
      <c r="AC145" s="3061"/>
      <c r="AD145" s="3061"/>
      <c r="AE145" s="3061"/>
      <c r="AF145" s="3061"/>
      <c r="AG145" s="3061"/>
      <c r="AH145" s="3061"/>
      <c r="AI145" s="3061"/>
      <c r="AJ145" s="3061"/>
      <c r="AK145" s="3061"/>
      <c r="AL145" s="3061"/>
      <c r="AM145" s="3061"/>
      <c r="AN145" s="3061"/>
      <c r="AO145" s="3061"/>
      <c r="AP145" s="3061"/>
      <c r="AQ145" s="3061"/>
      <c r="AR145" s="3061"/>
      <c r="AS145" s="3061"/>
      <c r="AT145" s="3061"/>
      <c r="AU145" s="3061"/>
      <c r="AV145" s="3061"/>
      <c r="AW145" s="3061"/>
      <c r="AX145" s="3061"/>
      <c r="AY145" s="3061"/>
      <c r="AZ145" s="3061"/>
      <c r="BA145" s="3061"/>
      <c r="BB145" s="3061"/>
      <c r="BC145" s="3061"/>
      <c r="BD145" s="3061"/>
      <c r="BE145" s="3061"/>
      <c r="BF145" s="3061"/>
      <c r="BG145" s="3061"/>
      <c r="BH145" s="3061"/>
      <c r="BI145" s="3061"/>
      <c r="BJ145" s="3061"/>
      <c r="BK145" s="3061"/>
      <c r="BL145" s="3061"/>
      <c r="BM145" s="3061"/>
      <c r="BN145" s="3061"/>
      <c r="BO145" s="3061"/>
      <c r="BP145" s="3061"/>
      <c r="BQ145" s="3061"/>
      <c r="BR145" s="3061"/>
      <c r="BS145" s="3061"/>
      <c r="BT145" s="3061"/>
      <c r="BU145" s="3061"/>
      <c r="BV145" s="3061"/>
      <c r="BW145" s="3061"/>
      <c r="BX145" s="3061"/>
      <c r="BY145" s="3061"/>
      <c r="BZ145" s="3061"/>
      <c r="CA145" s="3061"/>
      <c r="CB145" s="3061"/>
      <c r="CC145" s="3061"/>
      <c r="CD145" s="3061"/>
      <c r="CE145" s="3061"/>
      <c r="CF145" s="3061"/>
      <c r="CG145" s="3061"/>
      <c r="CH145" s="3061"/>
      <c r="CI145" s="3061"/>
      <c r="CJ145" s="3061"/>
      <c r="CK145" s="3061"/>
      <c r="CL145" s="3061"/>
      <c r="CM145" s="3061"/>
      <c r="CN145" s="3061"/>
      <c r="CO145" s="3061"/>
      <c r="CP145" s="3061"/>
      <c r="CQ145" s="3061"/>
      <c r="CR145" s="3061"/>
      <c r="CS145" s="3062"/>
      <c r="CT145" s="3063"/>
      <c r="CU145" s="3064">
        <f t="shared" si="50"/>
        <v>1</v>
      </c>
      <c r="CV145" s="3022" t="str">
        <f>IF(OR(CT145="",CT145="None"),"-",DO145*CU145*SUMIF('Lighting Assumptions'!$G$3:$G$112,'6a - Lighting Counts'!G145,'Lighting Assumptions'!$J$3:$J$112))</f>
        <v>-</v>
      </c>
      <c r="CW145" s="3021"/>
      <c r="CX145" s="3021"/>
      <c r="CY145" s="3046"/>
      <c r="CZ145" s="2098">
        <f t="shared" si="51"/>
        <v>0</v>
      </c>
      <c r="DA145" s="2098" t="str">
        <f t="shared" si="52"/>
        <v>-</v>
      </c>
      <c r="DB145" s="2098">
        <f t="shared" si="53"/>
        <v>0</v>
      </c>
      <c r="DC145" s="3023" t="str">
        <f t="shared" si="54"/>
        <v>-</v>
      </c>
      <c r="DD145" s="3024" t="str">
        <f t="shared" si="55"/>
        <v/>
      </c>
      <c r="DE145" s="3025" t="str">
        <f t="shared" si="56"/>
        <v>-</v>
      </c>
      <c r="DF145" s="3024" t="str">
        <f t="shared" si="47"/>
        <v>-</v>
      </c>
      <c r="DG145" s="2098">
        <f t="shared" si="57"/>
        <v>0</v>
      </c>
      <c r="DH145" s="2098">
        <f t="array" ref="DH145">MIN(SUMPRODUCT(I145:CR145,IF($I$25:$CR$25="yes",1,0),$I$23:$CR$23),H145)</f>
        <v>0</v>
      </c>
      <c r="DI145" s="3026"/>
      <c r="DJ145" s="3021"/>
      <c r="DN145" s="917" t="str">
        <f>IF(CS145="","-",SUMIF('Lighting Assumptions'!$G$3:$G$112,'6a - Lighting Counts'!G145,'Lighting Assumptions'!$J$3:$J$112))</f>
        <v>-</v>
      </c>
      <c r="DO145" s="917" t="str">
        <f t="shared" si="48"/>
        <v>-</v>
      </c>
      <c r="DP145" s="917" t="str">
        <f t="shared" si="49"/>
        <v>-</v>
      </c>
      <c r="DQ145" s="917" t="str">
        <f>IF(LEFT(CELLformula(DF145),3)&lt;&gt;"=IF",1,"")</f>
        <v/>
      </c>
      <c r="DR145" s="917" t="str">
        <f>IF(LEFT(CELLformula(DD145),3)&lt;&gt;"=IF",1,"")</f>
        <v/>
      </c>
      <c r="DS145" s="3048">
        <f t="shared" si="58"/>
        <v>0</v>
      </c>
      <c r="DT145" s="3047" t="str">
        <f t="shared" si="59"/>
        <v/>
      </c>
      <c r="DU145" s="3047" t="str">
        <f>IFERROR(IF(G145="","",SUMIF('Lighting Assumptions'!$G$3:$G$112,'6a - Lighting Counts'!G145,'Lighting Assumptions'!$H$3:$H$112)*IF(SI_IP_Units="SI",10.76,1)),"")</f>
        <v/>
      </c>
      <c r="DV145" s="3047" t="str">
        <f>IFERROR(IF($CX145="","",IF(SI_IP_Units="SI",10.76,1)*SUMIF(BAMCategories,$CY145,'Lighting Assumptions'!$E$3:E$35)),"")</f>
        <v/>
      </c>
      <c r="DW145" s="3047" t="str">
        <f>IFERROR(IF($CX145="","",IF(SI_IP_Units="SI",10.76,1)*SUMIF(BAMCategories,$CY145,IF(bpf_reference="ACP",'Lighting Assumptions 90.1-2010'!$E$3:E$35,'Lighting Assumptions 90.1-2016'!$E$3:E$35))),"")</f>
        <v/>
      </c>
      <c r="EW145" s="855"/>
      <c r="EX145" s="855"/>
      <c r="EY145" s="855"/>
      <c r="EZ145" s="855"/>
    </row>
    <row r="146" spans="4:156" x14ac:dyDescent="0.25">
      <c r="D146" s="3019"/>
      <c r="E146" s="3020"/>
      <c r="F146" s="3021">
        <f t="shared" si="46"/>
        <v>0</v>
      </c>
      <c r="G146" s="3059"/>
      <c r="H146" s="3060"/>
      <c r="I146" s="3061"/>
      <c r="J146" s="3061"/>
      <c r="K146" s="3061"/>
      <c r="L146" s="3061"/>
      <c r="M146" s="3061"/>
      <c r="N146" s="3061"/>
      <c r="O146" s="3061"/>
      <c r="P146" s="3061"/>
      <c r="Q146" s="3061"/>
      <c r="R146" s="3061"/>
      <c r="S146" s="3061"/>
      <c r="T146" s="3061"/>
      <c r="U146" s="3061"/>
      <c r="V146" s="3061"/>
      <c r="W146" s="3061"/>
      <c r="X146" s="3061"/>
      <c r="Y146" s="3061"/>
      <c r="Z146" s="3061"/>
      <c r="AA146" s="3061"/>
      <c r="AB146" s="3061"/>
      <c r="AC146" s="3061"/>
      <c r="AD146" s="3061"/>
      <c r="AE146" s="3061"/>
      <c r="AF146" s="3061"/>
      <c r="AG146" s="3061"/>
      <c r="AH146" s="3061"/>
      <c r="AI146" s="3061"/>
      <c r="AJ146" s="3061"/>
      <c r="AK146" s="3061"/>
      <c r="AL146" s="3061"/>
      <c r="AM146" s="3061"/>
      <c r="AN146" s="3061"/>
      <c r="AO146" s="3061"/>
      <c r="AP146" s="3061"/>
      <c r="AQ146" s="3061"/>
      <c r="AR146" s="3061"/>
      <c r="AS146" s="3061"/>
      <c r="AT146" s="3061"/>
      <c r="AU146" s="3061"/>
      <c r="AV146" s="3061"/>
      <c r="AW146" s="3061"/>
      <c r="AX146" s="3061"/>
      <c r="AY146" s="3061"/>
      <c r="AZ146" s="3061"/>
      <c r="BA146" s="3061"/>
      <c r="BB146" s="3061"/>
      <c r="BC146" s="3061"/>
      <c r="BD146" s="3061"/>
      <c r="BE146" s="3061"/>
      <c r="BF146" s="3061"/>
      <c r="BG146" s="3061"/>
      <c r="BH146" s="3061"/>
      <c r="BI146" s="3061"/>
      <c r="BJ146" s="3061"/>
      <c r="BK146" s="3061"/>
      <c r="BL146" s="3061"/>
      <c r="BM146" s="3061"/>
      <c r="BN146" s="3061"/>
      <c r="BO146" s="3061"/>
      <c r="BP146" s="3061"/>
      <c r="BQ146" s="3061"/>
      <c r="BR146" s="3061"/>
      <c r="BS146" s="3061"/>
      <c r="BT146" s="3061"/>
      <c r="BU146" s="3061"/>
      <c r="BV146" s="3061"/>
      <c r="BW146" s="3061"/>
      <c r="BX146" s="3061"/>
      <c r="BY146" s="3061"/>
      <c r="BZ146" s="3061"/>
      <c r="CA146" s="3061"/>
      <c r="CB146" s="3061"/>
      <c r="CC146" s="3061"/>
      <c r="CD146" s="3061"/>
      <c r="CE146" s="3061"/>
      <c r="CF146" s="3061"/>
      <c r="CG146" s="3061"/>
      <c r="CH146" s="3061"/>
      <c r="CI146" s="3061"/>
      <c r="CJ146" s="3061"/>
      <c r="CK146" s="3061"/>
      <c r="CL146" s="3061"/>
      <c r="CM146" s="3061"/>
      <c r="CN146" s="3061"/>
      <c r="CO146" s="3061"/>
      <c r="CP146" s="3061"/>
      <c r="CQ146" s="3061"/>
      <c r="CR146" s="3061"/>
      <c r="CS146" s="3062"/>
      <c r="CT146" s="3063"/>
      <c r="CU146" s="3064">
        <f t="shared" si="50"/>
        <v>1</v>
      </c>
      <c r="CV146" s="3022" t="str">
        <f>IF(OR(CT146="",CT146="None"),"-",DO146*CU146*SUMIF('Lighting Assumptions'!$G$3:$G$112,'6a - Lighting Counts'!G146,'Lighting Assumptions'!$J$3:$J$112))</f>
        <v>-</v>
      </c>
      <c r="CW146" s="3021"/>
      <c r="CX146" s="3021"/>
      <c r="CY146" s="3046"/>
      <c r="CZ146" s="2098">
        <f t="shared" si="51"/>
        <v>0</v>
      </c>
      <c r="DA146" s="2098" t="str">
        <f t="shared" si="52"/>
        <v>-</v>
      </c>
      <c r="DB146" s="2098">
        <f t="shared" si="53"/>
        <v>0</v>
      </c>
      <c r="DC146" s="3023" t="str">
        <f t="shared" si="54"/>
        <v>-</v>
      </c>
      <c r="DD146" s="3024" t="str">
        <f t="shared" si="55"/>
        <v/>
      </c>
      <c r="DE146" s="3025" t="str">
        <f t="shared" si="56"/>
        <v>-</v>
      </c>
      <c r="DF146" s="3024" t="str">
        <f t="shared" si="47"/>
        <v>-</v>
      </c>
      <c r="DG146" s="2098">
        <f t="shared" si="57"/>
        <v>0</v>
      </c>
      <c r="DH146" s="2098">
        <f t="array" ref="DH146">MIN(SUMPRODUCT(I146:CR146,IF($I$25:$CR$25="yes",1,0),$I$23:$CR$23),H146)</f>
        <v>0</v>
      </c>
      <c r="DI146" s="3026"/>
      <c r="DJ146" s="3021"/>
      <c r="DN146" s="917" t="str">
        <f>IF(CS146="","-",SUMIF('Lighting Assumptions'!$G$3:$G$112,'6a - Lighting Counts'!G146,'Lighting Assumptions'!$J$3:$J$112))</f>
        <v>-</v>
      </c>
      <c r="DO146" s="917" t="str">
        <f t="shared" si="48"/>
        <v>-</v>
      </c>
      <c r="DP146" s="917" t="str">
        <f t="shared" si="49"/>
        <v>-</v>
      </c>
      <c r="DQ146" s="917" t="str">
        <f>IF(LEFT(CELLformula(DF146),3)&lt;&gt;"=IF",1,"")</f>
        <v/>
      </c>
      <c r="DR146" s="917" t="str">
        <f>IF(LEFT(CELLformula(DD146),3)&lt;&gt;"=IF",1,"")</f>
        <v/>
      </c>
      <c r="DS146" s="3048">
        <f t="shared" si="58"/>
        <v>0</v>
      </c>
      <c r="DT146" s="3047" t="str">
        <f t="shared" si="59"/>
        <v/>
      </c>
      <c r="DU146" s="3047" t="str">
        <f>IFERROR(IF(G146="","",SUMIF('Lighting Assumptions'!$G$3:$G$112,'6a - Lighting Counts'!G146,'Lighting Assumptions'!$H$3:$H$112)*IF(SI_IP_Units="SI",10.76,1)),"")</f>
        <v/>
      </c>
      <c r="DV146" s="3047" t="str">
        <f>IFERROR(IF($CX146="","",IF(SI_IP_Units="SI",10.76,1)*SUMIF(BAMCategories,$CY146,'Lighting Assumptions'!$E$3:E$35)),"")</f>
        <v/>
      </c>
      <c r="DW146" s="3047" t="str">
        <f>IFERROR(IF($CX146="","",IF(SI_IP_Units="SI",10.76,1)*SUMIF(BAMCategories,$CY146,IF(bpf_reference="ACP",'Lighting Assumptions 90.1-2010'!$E$3:E$35,'Lighting Assumptions 90.1-2016'!$E$3:E$35))),"")</f>
        <v/>
      </c>
      <c r="EW146" s="855"/>
      <c r="EX146" s="855"/>
      <c r="EY146" s="855"/>
      <c r="EZ146" s="855"/>
    </row>
    <row r="147" spans="4:156" x14ac:dyDescent="0.25">
      <c r="D147" s="3019"/>
      <c r="E147" s="3020"/>
      <c r="F147" s="3021">
        <f t="shared" si="46"/>
        <v>0</v>
      </c>
      <c r="G147" s="3059"/>
      <c r="H147" s="3060"/>
      <c r="I147" s="3061"/>
      <c r="J147" s="3061"/>
      <c r="K147" s="3061"/>
      <c r="L147" s="3061"/>
      <c r="M147" s="3061"/>
      <c r="N147" s="3061"/>
      <c r="O147" s="3061"/>
      <c r="P147" s="3061"/>
      <c r="Q147" s="3061"/>
      <c r="R147" s="3061"/>
      <c r="S147" s="3061"/>
      <c r="T147" s="3061"/>
      <c r="U147" s="3061"/>
      <c r="V147" s="3061"/>
      <c r="W147" s="3061"/>
      <c r="X147" s="3061"/>
      <c r="Y147" s="3061"/>
      <c r="Z147" s="3061"/>
      <c r="AA147" s="3061"/>
      <c r="AB147" s="3061"/>
      <c r="AC147" s="3061"/>
      <c r="AD147" s="3061"/>
      <c r="AE147" s="3061"/>
      <c r="AF147" s="3061"/>
      <c r="AG147" s="3061"/>
      <c r="AH147" s="3061"/>
      <c r="AI147" s="3061"/>
      <c r="AJ147" s="3061"/>
      <c r="AK147" s="3061"/>
      <c r="AL147" s="3061"/>
      <c r="AM147" s="3061"/>
      <c r="AN147" s="3061"/>
      <c r="AO147" s="3061"/>
      <c r="AP147" s="3061"/>
      <c r="AQ147" s="3061"/>
      <c r="AR147" s="3061"/>
      <c r="AS147" s="3061"/>
      <c r="AT147" s="3061"/>
      <c r="AU147" s="3061"/>
      <c r="AV147" s="3061"/>
      <c r="AW147" s="3061"/>
      <c r="AX147" s="3061"/>
      <c r="AY147" s="3061"/>
      <c r="AZ147" s="3061"/>
      <c r="BA147" s="3061"/>
      <c r="BB147" s="3061"/>
      <c r="BC147" s="3061"/>
      <c r="BD147" s="3061"/>
      <c r="BE147" s="3061"/>
      <c r="BF147" s="3061"/>
      <c r="BG147" s="3061"/>
      <c r="BH147" s="3061"/>
      <c r="BI147" s="3061"/>
      <c r="BJ147" s="3061"/>
      <c r="BK147" s="3061"/>
      <c r="BL147" s="3061"/>
      <c r="BM147" s="3061"/>
      <c r="BN147" s="3061"/>
      <c r="BO147" s="3061"/>
      <c r="BP147" s="3061"/>
      <c r="BQ147" s="3061"/>
      <c r="BR147" s="3061"/>
      <c r="BS147" s="3061"/>
      <c r="BT147" s="3061"/>
      <c r="BU147" s="3061"/>
      <c r="BV147" s="3061"/>
      <c r="BW147" s="3061"/>
      <c r="BX147" s="3061"/>
      <c r="BY147" s="3061"/>
      <c r="BZ147" s="3061"/>
      <c r="CA147" s="3061"/>
      <c r="CB147" s="3061"/>
      <c r="CC147" s="3061"/>
      <c r="CD147" s="3061"/>
      <c r="CE147" s="3061"/>
      <c r="CF147" s="3061"/>
      <c r="CG147" s="3061"/>
      <c r="CH147" s="3061"/>
      <c r="CI147" s="3061"/>
      <c r="CJ147" s="3061"/>
      <c r="CK147" s="3061"/>
      <c r="CL147" s="3061"/>
      <c r="CM147" s="3061"/>
      <c r="CN147" s="3061"/>
      <c r="CO147" s="3061"/>
      <c r="CP147" s="3061"/>
      <c r="CQ147" s="3061"/>
      <c r="CR147" s="3061"/>
      <c r="CS147" s="3062"/>
      <c r="CT147" s="3063"/>
      <c r="CU147" s="3064">
        <f t="shared" si="50"/>
        <v>1</v>
      </c>
      <c r="CV147" s="3022" t="str">
        <f>IF(OR(CT147="",CT147="None"),"-",DO147*CU147*SUMIF('Lighting Assumptions'!$G$3:$G$112,'6a - Lighting Counts'!G147,'Lighting Assumptions'!$J$3:$J$112))</f>
        <v>-</v>
      </c>
      <c r="CW147" s="3021"/>
      <c r="CX147" s="3021"/>
      <c r="CY147" s="3046"/>
      <c r="CZ147" s="2098">
        <f t="shared" si="51"/>
        <v>0</v>
      </c>
      <c r="DA147" s="2098" t="str">
        <f t="shared" si="52"/>
        <v>-</v>
      </c>
      <c r="DB147" s="2098">
        <f t="shared" si="53"/>
        <v>0</v>
      </c>
      <c r="DC147" s="3023" t="str">
        <f t="shared" si="54"/>
        <v>-</v>
      </c>
      <c r="DD147" s="3024" t="str">
        <f t="shared" si="55"/>
        <v/>
      </c>
      <c r="DE147" s="3025" t="str">
        <f t="shared" si="56"/>
        <v>-</v>
      </c>
      <c r="DF147" s="3024" t="str">
        <f t="shared" si="47"/>
        <v>-</v>
      </c>
      <c r="DG147" s="2098">
        <f t="shared" si="57"/>
        <v>0</v>
      </c>
      <c r="DH147" s="2098">
        <f t="array" ref="DH147">MIN(SUMPRODUCT(I147:CR147,IF($I$25:$CR$25="yes",1,0),$I$23:$CR$23),H147)</f>
        <v>0</v>
      </c>
      <c r="DI147" s="3026"/>
      <c r="DJ147" s="3021"/>
      <c r="DN147" s="917" t="str">
        <f>IF(CS147="","-",SUMIF('Lighting Assumptions'!$G$3:$G$112,'6a - Lighting Counts'!G147,'Lighting Assumptions'!$J$3:$J$112))</f>
        <v>-</v>
      </c>
      <c r="DO147" s="917" t="str">
        <f t="shared" si="48"/>
        <v>-</v>
      </c>
      <c r="DP147" s="917" t="str">
        <f t="shared" si="49"/>
        <v>-</v>
      </c>
      <c r="DQ147" s="917" t="str">
        <f>IF(LEFT(CELLformula(DF147),3)&lt;&gt;"=IF",1,"")</f>
        <v/>
      </c>
      <c r="DR147" s="917" t="str">
        <f>IF(LEFT(CELLformula(DD147),3)&lt;&gt;"=IF",1,"")</f>
        <v/>
      </c>
      <c r="DS147" s="3048">
        <f t="shared" si="58"/>
        <v>0</v>
      </c>
      <c r="DT147" s="3047" t="str">
        <f t="shared" si="59"/>
        <v/>
      </c>
      <c r="DU147" s="3047" t="str">
        <f>IFERROR(IF(G147="","",SUMIF('Lighting Assumptions'!$G$3:$G$112,'6a - Lighting Counts'!G147,'Lighting Assumptions'!$H$3:$H$112)*IF(SI_IP_Units="SI",10.76,1)),"")</f>
        <v/>
      </c>
      <c r="DV147" s="3047" t="str">
        <f>IFERROR(IF($CX147="","",IF(SI_IP_Units="SI",10.76,1)*SUMIF(BAMCategories,$CY147,'Lighting Assumptions'!$E$3:E$35)),"")</f>
        <v/>
      </c>
      <c r="DW147" s="3047" t="str">
        <f>IFERROR(IF($CX147="","",IF(SI_IP_Units="SI",10.76,1)*SUMIF(BAMCategories,$CY147,IF(bpf_reference="ACP",'Lighting Assumptions 90.1-2010'!$E$3:E$35,'Lighting Assumptions 90.1-2016'!$E$3:E$35))),"")</f>
        <v/>
      </c>
      <c r="EW147" s="855"/>
      <c r="EX147" s="855"/>
      <c r="EY147" s="855"/>
      <c r="EZ147" s="855"/>
    </row>
    <row r="148" spans="4:156" x14ac:dyDescent="0.25">
      <c r="D148" s="3019"/>
      <c r="E148" s="3020"/>
      <c r="F148" s="3021">
        <f t="shared" si="46"/>
        <v>0</v>
      </c>
      <c r="G148" s="3059"/>
      <c r="H148" s="3060"/>
      <c r="I148" s="3061"/>
      <c r="J148" s="3061"/>
      <c r="K148" s="3061"/>
      <c r="L148" s="3061"/>
      <c r="M148" s="3061"/>
      <c r="N148" s="3061"/>
      <c r="O148" s="3061"/>
      <c r="P148" s="3061"/>
      <c r="Q148" s="3061"/>
      <c r="R148" s="3061"/>
      <c r="S148" s="3061"/>
      <c r="T148" s="3061"/>
      <c r="U148" s="3061"/>
      <c r="V148" s="3061"/>
      <c r="W148" s="3061"/>
      <c r="X148" s="3061"/>
      <c r="Y148" s="3061"/>
      <c r="Z148" s="3061"/>
      <c r="AA148" s="3061"/>
      <c r="AB148" s="3061"/>
      <c r="AC148" s="3061"/>
      <c r="AD148" s="3061"/>
      <c r="AE148" s="3061"/>
      <c r="AF148" s="3061"/>
      <c r="AG148" s="3061"/>
      <c r="AH148" s="3061"/>
      <c r="AI148" s="3061"/>
      <c r="AJ148" s="3061"/>
      <c r="AK148" s="3061"/>
      <c r="AL148" s="3061"/>
      <c r="AM148" s="3061"/>
      <c r="AN148" s="3061"/>
      <c r="AO148" s="3061"/>
      <c r="AP148" s="3061"/>
      <c r="AQ148" s="3061"/>
      <c r="AR148" s="3061"/>
      <c r="AS148" s="3061"/>
      <c r="AT148" s="3061"/>
      <c r="AU148" s="3061"/>
      <c r="AV148" s="3061"/>
      <c r="AW148" s="3061"/>
      <c r="AX148" s="3061"/>
      <c r="AY148" s="3061"/>
      <c r="AZ148" s="3061"/>
      <c r="BA148" s="3061"/>
      <c r="BB148" s="3061"/>
      <c r="BC148" s="3061"/>
      <c r="BD148" s="3061"/>
      <c r="BE148" s="3061"/>
      <c r="BF148" s="3061"/>
      <c r="BG148" s="3061"/>
      <c r="BH148" s="3061"/>
      <c r="BI148" s="3061"/>
      <c r="BJ148" s="3061"/>
      <c r="BK148" s="3061"/>
      <c r="BL148" s="3061"/>
      <c r="BM148" s="3061"/>
      <c r="BN148" s="3061"/>
      <c r="BO148" s="3061"/>
      <c r="BP148" s="3061"/>
      <c r="BQ148" s="3061"/>
      <c r="BR148" s="3061"/>
      <c r="BS148" s="3061"/>
      <c r="BT148" s="3061"/>
      <c r="BU148" s="3061"/>
      <c r="BV148" s="3061"/>
      <c r="BW148" s="3061"/>
      <c r="BX148" s="3061"/>
      <c r="BY148" s="3061"/>
      <c r="BZ148" s="3061"/>
      <c r="CA148" s="3061"/>
      <c r="CB148" s="3061"/>
      <c r="CC148" s="3061"/>
      <c r="CD148" s="3061"/>
      <c r="CE148" s="3061"/>
      <c r="CF148" s="3061"/>
      <c r="CG148" s="3061"/>
      <c r="CH148" s="3061"/>
      <c r="CI148" s="3061"/>
      <c r="CJ148" s="3061"/>
      <c r="CK148" s="3061"/>
      <c r="CL148" s="3061"/>
      <c r="CM148" s="3061"/>
      <c r="CN148" s="3061"/>
      <c r="CO148" s="3061"/>
      <c r="CP148" s="3061"/>
      <c r="CQ148" s="3061"/>
      <c r="CR148" s="3061"/>
      <c r="CS148" s="3062"/>
      <c r="CT148" s="3063"/>
      <c r="CU148" s="3064">
        <f t="shared" si="50"/>
        <v>1</v>
      </c>
      <c r="CV148" s="3022" t="str">
        <f>IF(OR(CT148="",CT148="None"),"-",DO148*CU148*SUMIF('Lighting Assumptions'!$G$3:$G$112,'6a - Lighting Counts'!G148,'Lighting Assumptions'!$J$3:$J$112))</f>
        <v>-</v>
      </c>
      <c r="CW148" s="3021"/>
      <c r="CX148" s="3021"/>
      <c r="CY148" s="3046"/>
      <c r="CZ148" s="2098">
        <f t="shared" si="51"/>
        <v>0</v>
      </c>
      <c r="DA148" s="2098" t="str">
        <f t="shared" si="52"/>
        <v>-</v>
      </c>
      <c r="DB148" s="2098">
        <f t="shared" si="53"/>
        <v>0</v>
      </c>
      <c r="DC148" s="3023" t="str">
        <f t="shared" si="54"/>
        <v>-</v>
      </c>
      <c r="DD148" s="3024" t="str">
        <f t="shared" si="55"/>
        <v/>
      </c>
      <c r="DE148" s="3025" t="str">
        <f t="shared" si="56"/>
        <v>-</v>
      </c>
      <c r="DF148" s="3024" t="str">
        <f t="shared" si="47"/>
        <v>-</v>
      </c>
      <c r="DG148" s="2098">
        <f t="shared" si="57"/>
        <v>0</v>
      </c>
      <c r="DH148" s="2098">
        <f t="array" ref="DH148">MIN(SUMPRODUCT(I148:CR148,IF($I$25:$CR$25="yes",1,0),$I$23:$CR$23),H148)</f>
        <v>0</v>
      </c>
      <c r="DI148" s="3026"/>
      <c r="DJ148" s="3021"/>
      <c r="DN148" s="917" t="str">
        <f>IF(CS148="","-",SUMIF('Lighting Assumptions'!$G$3:$G$112,'6a - Lighting Counts'!G148,'Lighting Assumptions'!$J$3:$J$112))</f>
        <v>-</v>
      </c>
      <c r="DO148" s="917" t="str">
        <f t="shared" si="48"/>
        <v>-</v>
      </c>
      <c r="DP148" s="917" t="str">
        <f t="shared" si="49"/>
        <v>-</v>
      </c>
      <c r="DQ148" s="917" t="str">
        <f>IF(LEFT(CELLformula(DF148),3)&lt;&gt;"=IF",1,"")</f>
        <v/>
      </c>
      <c r="DR148" s="917" t="str">
        <f>IF(LEFT(CELLformula(DD148),3)&lt;&gt;"=IF",1,"")</f>
        <v/>
      </c>
      <c r="DS148" s="3048">
        <f t="shared" si="58"/>
        <v>0</v>
      </c>
      <c r="DT148" s="3047" t="str">
        <f t="shared" si="59"/>
        <v/>
      </c>
      <c r="DU148" s="3047" t="str">
        <f>IFERROR(IF(G148="","",SUMIF('Lighting Assumptions'!$G$3:$G$112,'6a - Lighting Counts'!G148,'Lighting Assumptions'!$H$3:$H$112)*IF(SI_IP_Units="SI",10.76,1)),"")</f>
        <v/>
      </c>
      <c r="DV148" s="3047" t="str">
        <f>IFERROR(IF($CX148="","",IF(SI_IP_Units="SI",10.76,1)*SUMIF(BAMCategories,$CY148,'Lighting Assumptions'!$E$3:E$35)),"")</f>
        <v/>
      </c>
      <c r="DW148" s="3047" t="str">
        <f>IFERROR(IF($CX148="","",IF(SI_IP_Units="SI",10.76,1)*SUMIF(BAMCategories,$CY148,IF(bpf_reference="ACP",'Lighting Assumptions 90.1-2010'!$E$3:E$35,'Lighting Assumptions 90.1-2016'!$E$3:E$35))),"")</f>
        <v/>
      </c>
      <c r="EW148" s="855"/>
      <c r="EX148" s="855"/>
      <c r="EY148" s="855"/>
      <c r="EZ148" s="855"/>
    </row>
    <row r="149" spans="4:156" x14ac:dyDescent="0.25">
      <c r="D149" s="3019"/>
      <c r="E149" s="3020"/>
      <c r="F149" s="3021">
        <f t="shared" si="46"/>
        <v>0</v>
      </c>
      <c r="G149" s="3059"/>
      <c r="H149" s="3060"/>
      <c r="I149" s="3061"/>
      <c r="J149" s="3061"/>
      <c r="K149" s="3061"/>
      <c r="L149" s="3061"/>
      <c r="M149" s="3061"/>
      <c r="N149" s="3061"/>
      <c r="O149" s="3061"/>
      <c r="P149" s="3061"/>
      <c r="Q149" s="3061"/>
      <c r="R149" s="3061"/>
      <c r="S149" s="3061"/>
      <c r="T149" s="3061"/>
      <c r="U149" s="3061"/>
      <c r="V149" s="3061"/>
      <c r="W149" s="3061"/>
      <c r="X149" s="3061"/>
      <c r="Y149" s="3061"/>
      <c r="Z149" s="3061"/>
      <c r="AA149" s="3061"/>
      <c r="AB149" s="3061"/>
      <c r="AC149" s="3061"/>
      <c r="AD149" s="3061"/>
      <c r="AE149" s="3061"/>
      <c r="AF149" s="3061"/>
      <c r="AG149" s="3061"/>
      <c r="AH149" s="3061"/>
      <c r="AI149" s="3061"/>
      <c r="AJ149" s="3061"/>
      <c r="AK149" s="3061"/>
      <c r="AL149" s="3061"/>
      <c r="AM149" s="3061"/>
      <c r="AN149" s="3061"/>
      <c r="AO149" s="3061"/>
      <c r="AP149" s="3061"/>
      <c r="AQ149" s="3061"/>
      <c r="AR149" s="3061"/>
      <c r="AS149" s="3061"/>
      <c r="AT149" s="3061"/>
      <c r="AU149" s="3061"/>
      <c r="AV149" s="3061"/>
      <c r="AW149" s="3061"/>
      <c r="AX149" s="3061"/>
      <c r="AY149" s="3061"/>
      <c r="AZ149" s="3061"/>
      <c r="BA149" s="3061"/>
      <c r="BB149" s="3061"/>
      <c r="BC149" s="3061"/>
      <c r="BD149" s="3061"/>
      <c r="BE149" s="3061"/>
      <c r="BF149" s="3061"/>
      <c r="BG149" s="3061"/>
      <c r="BH149" s="3061"/>
      <c r="BI149" s="3061"/>
      <c r="BJ149" s="3061"/>
      <c r="BK149" s="3061"/>
      <c r="BL149" s="3061"/>
      <c r="BM149" s="3061"/>
      <c r="BN149" s="3061"/>
      <c r="BO149" s="3061"/>
      <c r="BP149" s="3061"/>
      <c r="BQ149" s="3061"/>
      <c r="BR149" s="3061"/>
      <c r="BS149" s="3061"/>
      <c r="BT149" s="3061"/>
      <c r="BU149" s="3061"/>
      <c r="BV149" s="3061"/>
      <c r="BW149" s="3061"/>
      <c r="BX149" s="3061"/>
      <c r="BY149" s="3061"/>
      <c r="BZ149" s="3061"/>
      <c r="CA149" s="3061"/>
      <c r="CB149" s="3061"/>
      <c r="CC149" s="3061"/>
      <c r="CD149" s="3061"/>
      <c r="CE149" s="3061"/>
      <c r="CF149" s="3061"/>
      <c r="CG149" s="3061"/>
      <c r="CH149" s="3061"/>
      <c r="CI149" s="3061"/>
      <c r="CJ149" s="3061"/>
      <c r="CK149" s="3061"/>
      <c r="CL149" s="3061"/>
      <c r="CM149" s="3061"/>
      <c r="CN149" s="3061"/>
      <c r="CO149" s="3061"/>
      <c r="CP149" s="3061"/>
      <c r="CQ149" s="3061"/>
      <c r="CR149" s="3061"/>
      <c r="CS149" s="3062"/>
      <c r="CT149" s="3063"/>
      <c r="CU149" s="3064">
        <f t="shared" si="50"/>
        <v>1</v>
      </c>
      <c r="CV149" s="3022" t="str">
        <f>IF(OR(CT149="",CT149="None"),"-",DO149*CU149*SUMIF('Lighting Assumptions'!$G$3:$G$112,'6a - Lighting Counts'!G149,'Lighting Assumptions'!$J$3:$J$112))</f>
        <v>-</v>
      </c>
      <c r="CW149" s="3021"/>
      <c r="CX149" s="3021"/>
      <c r="CY149" s="3046"/>
      <c r="CZ149" s="2098">
        <f t="shared" si="51"/>
        <v>0</v>
      </c>
      <c r="DA149" s="2098" t="str">
        <f t="shared" si="52"/>
        <v>-</v>
      </c>
      <c r="DB149" s="2098">
        <f t="shared" si="53"/>
        <v>0</v>
      </c>
      <c r="DC149" s="3023" t="str">
        <f t="shared" si="54"/>
        <v>-</v>
      </c>
      <c r="DD149" s="3024" t="str">
        <f t="shared" si="55"/>
        <v/>
      </c>
      <c r="DE149" s="3025" t="str">
        <f t="shared" si="56"/>
        <v>-</v>
      </c>
      <c r="DF149" s="3024" t="str">
        <f t="shared" si="47"/>
        <v>-</v>
      </c>
      <c r="DG149" s="2098">
        <f t="shared" si="57"/>
        <v>0</v>
      </c>
      <c r="DH149" s="2098">
        <f t="array" ref="DH149">MIN(SUMPRODUCT(I149:CR149,IF($I$25:$CR$25="yes",1,0),$I$23:$CR$23),H149)</f>
        <v>0</v>
      </c>
      <c r="DI149" s="3026"/>
      <c r="DJ149" s="3021"/>
      <c r="DN149" s="917" t="str">
        <f>IF(CS149="","-",SUMIF('Lighting Assumptions'!$G$3:$G$112,'6a - Lighting Counts'!G149,'Lighting Assumptions'!$J$3:$J$112))</f>
        <v>-</v>
      </c>
      <c r="DO149" s="917" t="str">
        <f t="shared" si="48"/>
        <v>-</v>
      </c>
      <c r="DP149" s="917" t="str">
        <f t="shared" si="49"/>
        <v>-</v>
      </c>
      <c r="DQ149" s="917" t="str">
        <f>IF(LEFT(CELLformula(DF149),3)&lt;&gt;"=IF",1,"")</f>
        <v/>
      </c>
      <c r="DR149" s="917" t="str">
        <f>IF(LEFT(CELLformula(DD149),3)&lt;&gt;"=IF",1,"")</f>
        <v/>
      </c>
      <c r="DS149" s="3048">
        <f t="shared" si="58"/>
        <v>0</v>
      </c>
      <c r="DT149" s="3047" t="str">
        <f t="shared" si="59"/>
        <v/>
      </c>
      <c r="DU149" s="3047" t="str">
        <f>IFERROR(IF(G149="","",SUMIF('Lighting Assumptions'!$G$3:$G$112,'6a - Lighting Counts'!G149,'Lighting Assumptions'!$H$3:$H$112)*IF(SI_IP_Units="SI",10.76,1)),"")</f>
        <v/>
      </c>
      <c r="DV149" s="3047" t="str">
        <f>IFERROR(IF($CX149="","",IF(SI_IP_Units="SI",10.76,1)*SUMIF(BAMCategories,$CY149,'Lighting Assumptions'!$E$3:E$35)),"")</f>
        <v/>
      </c>
      <c r="DW149" s="3047" t="str">
        <f>IFERROR(IF($CX149="","",IF(SI_IP_Units="SI",10.76,1)*SUMIF(BAMCategories,$CY149,IF(bpf_reference="ACP",'Lighting Assumptions 90.1-2010'!$E$3:E$35,'Lighting Assumptions 90.1-2016'!$E$3:E$35))),"")</f>
        <v/>
      </c>
      <c r="EW149" s="855"/>
      <c r="EX149" s="855"/>
      <c r="EY149" s="855"/>
      <c r="EZ149" s="855"/>
    </row>
    <row r="150" spans="4:156" x14ac:dyDescent="0.25">
      <c r="D150" s="3019"/>
      <c r="E150" s="3020"/>
      <c r="F150" s="3021">
        <f t="shared" si="46"/>
        <v>0</v>
      </c>
      <c r="G150" s="3059"/>
      <c r="H150" s="3060"/>
      <c r="I150" s="3061"/>
      <c r="J150" s="3061"/>
      <c r="K150" s="3061"/>
      <c r="L150" s="3061"/>
      <c r="M150" s="3061"/>
      <c r="N150" s="3061"/>
      <c r="O150" s="3061"/>
      <c r="P150" s="3061"/>
      <c r="Q150" s="3061"/>
      <c r="R150" s="3061"/>
      <c r="S150" s="3061"/>
      <c r="T150" s="3061"/>
      <c r="U150" s="3061"/>
      <c r="V150" s="3061"/>
      <c r="W150" s="3061"/>
      <c r="X150" s="3061"/>
      <c r="Y150" s="3061"/>
      <c r="Z150" s="3061"/>
      <c r="AA150" s="3061"/>
      <c r="AB150" s="3061"/>
      <c r="AC150" s="3061"/>
      <c r="AD150" s="3061"/>
      <c r="AE150" s="3061"/>
      <c r="AF150" s="3061"/>
      <c r="AG150" s="3061"/>
      <c r="AH150" s="3061"/>
      <c r="AI150" s="3061"/>
      <c r="AJ150" s="3061"/>
      <c r="AK150" s="3061"/>
      <c r="AL150" s="3061"/>
      <c r="AM150" s="3061"/>
      <c r="AN150" s="3061"/>
      <c r="AO150" s="3061"/>
      <c r="AP150" s="3061"/>
      <c r="AQ150" s="3061"/>
      <c r="AR150" s="3061"/>
      <c r="AS150" s="3061"/>
      <c r="AT150" s="3061"/>
      <c r="AU150" s="3061"/>
      <c r="AV150" s="3061"/>
      <c r="AW150" s="3061"/>
      <c r="AX150" s="3061"/>
      <c r="AY150" s="3061"/>
      <c r="AZ150" s="3061"/>
      <c r="BA150" s="3061"/>
      <c r="BB150" s="3061"/>
      <c r="BC150" s="3061"/>
      <c r="BD150" s="3061"/>
      <c r="BE150" s="3061"/>
      <c r="BF150" s="3061"/>
      <c r="BG150" s="3061"/>
      <c r="BH150" s="3061"/>
      <c r="BI150" s="3061"/>
      <c r="BJ150" s="3061"/>
      <c r="BK150" s="3061"/>
      <c r="BL150" s="3061"/>
      <c r="BM150" s="3061"/>
      <c r="BN150" s="3061"/>
      <c r="BO150" s="3061"/>
      <c r="BP150" s="3061"/>
      <c r="BQ150" s="3061"/>
      <c r="BR150" s="3061"/>
      <c r="BS150" s="3061"/>
      <c r="BT150" s="3061"/>
      <c r="BU150" s="3061"/>
      <c r="BV150" s="3061"/>
      <c r="BW150" s="3061"/>
      <c r="BX150" s="3061"/>
      <c r="BY150" s="3061"/>
      <c r="BZ150" s="3061"/>
      <c r="CA150" s="3061"/>
      <c r="CB150" s="3061"/>
      <c r="CC150" s="3061"/>
      <c r="CD150" s="3061"/>
      <c r="CE150" s="3061"/>
      <c r="CF150" s="3061"/>
      <c r="CG150" s="3061"/>
      <c r="CH150" s="3061"/>
      <c r="CI150" s="3061"/>
      <c r="CJ150" s="3061"/>
      <c r="CK150" s="3061"/>
      <c r="CL150" s="3061"/>
      <c r="CM150" s="3061"/>
      <c r="CN150" s="3061"/>
      <c r="CO150" s="3061"/>
      <c r="CP150" s="3061"/>
      <c r="CQ150" s="3061"/>
      <c r="CR150" s="3061"/>
      <c r="CS150" s="3062"/>
      <c r="CT150" s="3063"/>
      <c r="CU150" s="3064">
        <f t="shared" si="50"/>
        <v>1</v>
      </c>
      <c r="CV150" s="3022" t="str">
        <f>IF(OR(CT150="",CT150="None"),"-",DO150*CU150*SUMIF('Lighting Assumptions'!$G$3:$G$112,'6a - Lighting Counts'!G150,'Lighting Assumptions'!$J$3:$J$112))</f>
        <v>-</v>
      </c>
      <c r="CW150" s="3021"/>
      <c r="CX150" s="3021"/>
      <c r="CY150" s="3046"/>
      <c r="CZ150" s="2098">
        <f t="shared" si="51"/>
        <v>0</v>
      </c>
      <c r="DA150" s="2098" t="str">
        <f t="shared" si="52"/>
        <v>-</v>
      </c>
      <c r="DB150" s="2098">
        <f t="shared" si="53"/>
        <v>0</v>
      </c>
      <c r="DC150" s="3023" t="str">
        <f t="shared" si="54"/>
        <v>-</v>
      </c>
      <c r="DD150" s="3024" t="str">
        <f t="shared" si="55"/>
        <v/>
      </c>
      <c r="DE150" s="3025" t="str">
        <f t="shared" si="56"/>
        <v>-</v>
      </c>
      <c r="DF150" s="3024" t="str">
        <f t="shared" si="47"/>
        <v>-</v>
      </c>
      <c r="DG150" s="2098">
        <f t="shared" si="57"/>
        <v>0</v>
      </c>
      <c r="DH150" s="2098">
        <f t="array" ref="DH150">MIN(SUMPRODUCT(I150:CR150,IF($I$25:$CR$25="yes",1,0),$I$23:$CR$23),H150)</f>
        <v>0</v>
      </c>
      <c r="DI150" s="3026"/>
      <c r="DJ150" s="3021"/>
      <c r="DN150" s="917" t="str">
        <f>IF(CS150="","-",SUMIF('Lighting Assumptions'!$G$3:$G$112,'6a - Lighting Counts'!G150,'Lighting Assumptions'!$J$3:$J$112))</f>
        <v>-</v>
      </c>
      <c r="DO150" s="917" t="str">
        <f t="shared" si="48"/>
        <v>-</v>
      </c>
      <c r="DP150" s="917" t="str">
        <f t="shared" si="49"/>
        <v>-</v>
      </c>
      <c r="DQ150" s="917" t="str">
        <f>IF(LEFT(CELLformula(DF150),3)&lt;&gt;"=IF",1,"")</f>
        <v/>
      </c>
      <c r="DR150" s="917" t="str">
        <f>IF(LEFT(CELLformula(DD150),3)&lt;&gt;"=IF",1,"")</f>
        <v/>
      </c>
      <c r="DS150" s="3048">
        <f t="shared" si="58"/>
        <v>0</v>
      </c>
      <c r="DT150" s="3047" t="str">
        <f t="shared" si="59"/>
        <v/>
      </c>
      <c r="DU150" s="3047" t="str">
        <f>IFERROR(IF(G150="","",SUMIF('Lighting Assumptions'!$G$3:$G$112,'6a - Lighting Counts'!G150,'Lighting Assumptions'!$H$3:$H$112)*IF(SI_IP_Units="SI",10.76,1)),"")</f>
        <v/>
      </c>
      <c r="DV150" s="3047" t="str">
        <f>IFERROR(IF($CX150="","",IF(SI_IP_Units="SI",10.76,1)*SUMIF(BAMCategories,$CY150,'Lighting Assumptions'!$E$3:E$35)),"")</f>
        <v/>
      </c>
      <c r="DW150" s="3047" t="str">
        <f>IFERROR(IF($CX150="","",IF(SI_IP_Units="SI",10.76,1)*SUMIF(BAMCategories,$CY150,IF(bpf_reference="ACP",'Lighting Assumptions 90.1-2010'!$E$3:E$35,'Lighting Assumptions 90.1-2016'!$E$3:E$35))),"")</f>
        <v/>
      </c>
      <c r="EW150" s="855"/>
      <c r="EX150" s="855"/>
      <c r="EY150" s="855"/>
      <c r="EZ150" s="855"/>
    </row>
    <row r="151" spans="4:156" x14ac:dyDescent="0.25">
      <c r="D151" s="3019"/>
      <c r="E151" s="3020"/>
      <c r="F151" s="3021">
        <f t="shared" si="46"/>
        <v>0</v>
      </c>
      <c r="G151" s="3059"/>
      <c r="H151" s="3060"/>
      <c r="I151" s="3061"/>
      <c r="J151" s="3061"/>
      <c r="K151" s="3061"/>
      <c r="L151" s="3061"/>
      <c r="M151" s="3061"/>
      <c r="N151" s="3061"/>
      <c r="O151" s="3061"/>
      <c r="P151" s="3061"/>
      <c r="Q151" s="3061"/>
      <c r="R151" s="3061"/>
      <c r="S151" s="3061"/>
      <c r="T151" s="3061"/>
      <c r="U151" s="3061"/>
      <c r="V151" s="3061"/>
      <c r="W151" s="3061"/>
      <c r="X151" s="3061"/>
      <c r="Y151" s="3061"/>
      <c r="Z151" s="3061"/>
      <c r="AA151" s="3061"/>
      <c r="AB151" s="3061"/>
      <c r="AC151" s="3061"/>
      <c r="AD151" s="3061"/>
      <c r="AE151" s="3061"/>
      <c r="AF151" s="3061"/>
      <c r="AG151" s="3061"/>
      <c r="AH151" s="3061"/>
      <c r="AI151" s="3061"/>
      <c r="AJ151" s="3061"/>
      <c r="AK151" s="3061"/>
      <c r="AL151" s="3061"/>
      <c r="AM151" s="3061"/>
      <c r="AN151" s="3061"/>
      <c r="AO151" s="3061"/>
      <c r="AP151" s="3061"/>
      <c r="AQ151" s="3061"/>
      <c r="AR151" s="3061"/>
      <c r="AS151" s="3061"/>
      <c r="AT151" s="3061"/>
      <c r="AU151" s="3061"/>
      <c r="AV151" s="3061"/>
      <c r="AW151" s="3061"/>
      <c r="AX151" s="3061"/>
      <c r="AY151" s="3061"/>
      <c r="AZ151" s="3061"/>
      <c r="BA151" s="3061"/>
      <c r="BB151" s="3061"/>
      <c r="BC151" s="3061"/>
      <c r="BD151" s="3061"/>
      <c r="BE151" s="3061"/>
      <c r="BF151" s="3061"/>
      <c r="BG151" s="3061"/>
      <c r="BH151" s="3061"/>
      <c r="BI151" s="3061"/>
      <c r="BJ151" s="3061"/>
      <c r="BK151" s="3061"/>
      <c r="BL151" s="3061"/>
      <c r="BM151" s="3061"/>
      <c r="BN151" s="3061"/>
      <c r="BO151" s="3061"/>
      <c r="BP151" s="3061"/>
      <c r="BQ151" s="3061"/>
      <c r="BR151" s="3061"/>
      <c r="BS151" s="3061"/>
      <c r="BT151" s="3061"/>
      <c r="BU151" s="3061"/>
      <c r="BV151" s="3061"/>
      <c r="BW151" s="3061"/>
      <c r="BX151" s="3061"/>
      <c r="BY151" s="3061"/>
      <c r="BZ151" s="3061"/>
      <c r="CA151" s="3061"/>
      <c r="CB151" s="3061"/>
      <c r="CC151" s="3061"/>
      <c r="CD151" s="3061"/>
      <c r="CE151" s="3061"/>
      <c r="CF151" s="3061"/>
      <c r="CG151" s="3061"/>
      <c r="CH151" s="3061"/>
      <c r="CI151" s="3061"/>
      <c r="CJ151" s="3061"/>
      <c r="CK151" s="3061"/>
      <c r="CL151" s="3061"/>
      <c r="CM151" s="3061"/>
      <c r="CN151" s="3061"/>
      <c r="CO151" s="3061"/>
      <c r="CP151" s="3061"/>
      <c r="CQ151" s="3061"/>
      <c r="CR151" s="3061"/>
      <c r="CS151" s="3062"/>
      <c r="CT151" s="3063"/>
      <c r="CU151" s="3064">
        <f t="shared" si="50"/>
        <v>1</v>
      </c>
      <c r="CV151" s="3022" t="str">
        <f>IF(OR(CT151="",CT151="None"),"-",DO151*CU151*SUMIF('Lighting Assumptions'!$G$3:$G$112,'6a - Lighting Counts'!G151,'Lighting Assumptions'!$J$3:$J$112))</f>
        <v>-</v>
      </c>
      <c r="CW151" s="3021"/>
      <c r="CX151" s="3021"/>
      <c r="CY151" s="3046"/>
      <c r="CZ151" s="2098">
        <f t="shared" si="51"/>
        <v>0</v>
      </c>
      <c r="DA151" s="2098" t="str">
        <f t="shared" si="52"/>
        <v>-</v>
      </c>
      <c r="DB151" s="2098">
        <f t="shared" si="53"/>
        <v>0</v>
      </c>
      <c r="DC151" s="3023" t="str">
        <f t="shared" si="54"/>
        <v>-</v>
      </c>
      <c r="DD151" s="3024" t="str">
        <f t="shared" si="55"/>
        <v/>
      </c>
      <c r="DE151" s="3025" t="str">
        <f t="shared" si="56"/>
        <v>-</v>
      </c>
      <c r="DF151" s="3024" t="str">
        <f t="shared" si="47"/>
        <v>-</v>
      </c>
      <c r="DG151" s="2098">
        <f t="shared" si="57"/>
        <v>0</v>
      </c>
      <c r="DH151" s="2098">
        <f t="array" ref="DH151">MIN(SUMPRODUCT(I151:CR151,IF($I$25:$CR$25="yes",1,0),$I$23:$CR$23),H151)</f>
        <v>0</v>
      </c>
      <c r="DI151" s="3026"/>
      <c r="DJ151" s="3021"/>
      <c r="DN151" s="917" t="str">
        <f>IF(CS151="","-",SUMIF('Lighting Assumptions'!$G$3:$G$112,'6a - Lighting Counts'!G151,'Lighting Assumptions'!$J$3:$J$112))</f>
        <v>-</v>
      </c>
      <c r="DO151" s="917" t="str">
        <f t="shared" si="48"/>
        <v>-</v>
      </c>
      <c r="DP151" s="917" t="str">
        <f t="shared" si="49"/>
        <v>-</v>
      </c>
      <c r="DQ151" s="917" t="str">
        <f>IF(LEFT(CELLformula(DF151),3)&lt;&gt;"=IF",1,"")</f>
        <v/>
      </c>
      <c r="DR151" s="917" t="str">
        <f>IF(LEFT(CELLformula(DD151),3)&lt;&gt;"=IF",1,"")</f>
        <v/>
      </c>
      <c r="DS151" s="3048">
        <f t="shared" si="58"/>
        <v>0</v>
      </c>
      <c r="DT151" s="3047" t="str">
        <f t="shared" si="59"/>
        <v/>
      </c>
      <c r="DU151" s="3047" t="str">
        <f>IFERROR(IF(G151="","",SUMIF('Lighting Assumptions'!$G$3:$G$112,'6a - Lighting Counts'!G151,'Lighting Assumptions'!$H$3:$H$112)*IF(SI_IP_Units="SI",10.76,1)),"")</f>
        <v/>
      </c>
      <c r="DV151" s="3047" t="str">
        <f>IFERROR(IF($CX151="","",IF(SI_IP_Units="SI",10.76,1)*SUMIF(BAMCategories,$CY151,'Lighting Assumptions'!$E$3:E$35)),"")</f>
        <v/>
      </c>
      <c r="DW151" s="3047" t="str">
        <f>IFERROR(IF($CX151="","",IF(SI_IP_Units="SI",10.76,1)*SUMIF(BAMCategories,$CY151,IF(bpf_reference="ACP",'Lighting Assumptions 90.1-2010'!$E$3:E$35,'Lighting Assumptions 90.1-2016'!$E$3:E$35))),"")</f>
        <v/>
      </c>
      <c r="EW151" s="855"/>
      <c r="EX151" s="855"/>
      <c r="EY151" s="855"/>
      <c r="EZ151" s="855"/>
    </row>
    <row r="152" spans="4:156" x14ac:dyDescent="0.25">
      <c r="D152" s="3019"/>
      <c r="E152" s="3020"/>
      <c r="F152" s="3021">
        <f t="shared" si="46"/>
        <v>0</v>
      </c>
      <c r="G152" s="3059"/>
      <c r="H152" s="3060"/>
      <c r="I152" s="3061"/>
      <c r="J152" s="3061"/>
      <c r="K152" s="3061"/>
      <c r="L152" s="3061"/>
      <c r="M152" s="3061"/>
      <c r="N152" s="3061"/>
      <c r="O152" s="3061"/>
      <c r="P152" s="3061"/>
      <c r="Q152" s="3061"/>
      <c r="R152" s="3061"/>
      <c r="S152" s="3061"/>
      <c r="T152" s="3061"/>
      <c r="U152" s="3061"/>
      <c r="V152" s="3061"/>
      <c r="W152" s="3061"/>
      <c r="X152" s="3061"/>
      <c r="Y152" s="3061"/>
      <c r="Z152" s="3061"/>
      <c r="AA152" s="3061"/>
      <c r="AB152" s="3061"/>
      <c r="AC152" s="3061"/>
      <c r="AD152" s="3061"/>
      <c r="AE152" s="3061"/>
      <c r="AF152" s="3061"/>
      <c r="AG152" s="3061"/>
      <c r="AH152" s="3061"/>
      <c r="AI152" s="3061"/>
      <c r="AJ152" s="3061"/>
      <c r="AK152" s="3061"/>
      <c r="AL152" s="3061"/>
      <c r="AM152" s="3061"/>
      <c r="AN152" s="3061"/>
      <c r="AO152" s="3061"/>
      <c r="AP152" s="3061"/>
      <c r="AQ152" s="3061"/>
      <c r="AR152" s="3061"/>
      <c r="AS152" s="3061"/>
      <c r="AT152" s="3061"/>
      <c r="AU152" s="3061"/>
      <c r="AV152" s="3061"/>
      <c r="AW152" s="3061"/>
      <c r="AX152" s="3061"/>
      <c r="AY152" s="3061"/>
      <c r="AZ152" s="3061"/>
      <c r="BA152" s="3061"/>
      <c r="BB152" s="3061"/>
      <c r="BC152" s="3061"/>
      <c r="BD152" s="3061"/>
      <c r="BE152" s="3061"/>
      <c r="BF152" s="3061"/>
      <c r="BG152" s="3061"/>
      <c r="BH152" s="3061"/>
      <c r="BI152" s="3061"/>
      <c r="BJ152" s="3061"/>
      <c r="BK152" s="3061"/>
      <c r="BL152" s="3061"/>
      <c r="BM152" s="3061"/>
      <c r="BN152" s="3061"/>
      <c r="BO152" s="3061"/>
      <c r="BP152" s="3061"/>
      <c r="BQ152" s="3061"/>
      <c r="BR152" s="3061"/>
      <c r="BS152" s="3061"/>
      <c r="BT152" s="3061"/>
      <c r="BU152" s="3061"/>
      <c r="BV152" s="3061"/>
      <c r="BW152" s="3061"/>
      <c r="BX152" s="3061"/>
      <c r="BY152" s="3061"/>
      <c r="BZ152" s="3061"/>
      <c r="CA152" s="3061"/>
      <c r="CB152" s="3061"/>
      <c r="CC152" s="3061"/>
      <c r="CD152" s="3061"/>
      <c r="CE152" s="3061"/>
      <c r="CF152" s="3061"/>
      <c r="CG152" s="3061"/>
      <c r="CH152" s="3061"/>
      <c r="CI152" s="3061"/>
      <c r="CJ152" s="3061"/>
      <c r="CK152" s="3061"/>
      <c r="CL152" s="3061"/>
      <c r="CM152" s="3061"/>
      <c r="CN152" s="3061"/>
      <c r="CO152" s="3061"/>
      <c r="CP152" s="3061"/>
      <c r="CQ152" s="3061"/>
      <c r="CR152" s="3061"/>
      <c r="CS152" s="3062"/>
      <c r="CT152" s="3063"/>
      <c r="CU152" s="3064">
        <f t="shared" si="50"/>
        <v>1</v>
      </c>
      <c r="CV152" s="3022" t="str">
        <f>IF(OR(CT152="",CT152="None"),"-",DO152*CU152*SUMIF('Lighting Assumptions'!$G$3:$G$112,'6a - Lighting Counts'!G152,'Lighting Assumptions'!$J$3:$J$112))</f>
        <v>-</v>
      </c>
      <c r="CW152" s="3021"/>
      <c r="CX152" s="3021"/>
      <c r="CY152" s="3046"/>
      <c r="CZ152" s="2098">
        <f t="shared" si="51"/>
        <v>0</v>
      </c>
      <c r="DA152" s="2098" t="str">
        <f t="shared" si="52"/>
        <v>-</v>
      </c>
      <c r="DB152" s="2098">
        <f t="shared" si="53"/>
        <v>0</v>
      </c>
      <c r="DC152" s="3023" t="str">
        <f t="shared" si="54"/>
        <v>-</v>
      </c>
      <c r="DD152" s="3024" t="str">
        <f t="shared" si="55"/>
        <v/>
      </c>
      <c r="DE152" s="3025" t="str">
        <f t="shared" si="56"/>
        <v>-</v>
      </c>
      <c r="DF152" s="3024" t="str">
        <f t="shared" si="47"/>
        <v>-</v>
      </c>
      <c r="DG152" s="2098">
        <f t="shared" si="57"/>
        <v>0</v>
      </c>
      <c r="DH152" s="2098">
        <f t="array" ref="DH152">MIN(SUMPRODUCT(I152:CR152,IF($I$25:$CR$25="yes",1,0),$I$23:$CR$23),H152)</f>
        <v>0</v>
      </c>
      <c r="DI152" s="3026"/>
      <c r="DJ152" s="3021"/>
      <c r="DN152" s="917" t="str">
        <f>IF(CS152="","-",SUMIF('Lighting Assumptions'!$G$3:$G$112,'6a - Lighting Counts'!G152,'Lighting Assumptions'!$J$3:$J$112))</f>
        <v>-</v>
      </c>
      <c r="DO152" s="917" t="str">
        <f t="shared" si="48"/>
        <v>-</v>
      </c>
      <c r="DP152" s="917" t="str">
        <f t="shared" si="49"/>
        <v>-</v>
      </c>
      <c r="DQ152" s="917" t="str">
        <f>IF(LEFT(CELLformula(DF152),3)&lt;&gt;"=IF",1,"")</f>
        <v/>
      </c>
      <c r="DR152" s="917" t="str">
        <f>IF(LEFT(CELLformula(DD152),3)&lt;&gt;"=IF",1,"")</f>
        <v/>
      </c>
      <c r="DS152" s="3048">
        <f t="shared" si="58"/>
        <v>0</v>
      </c>
      <c r="DT152" s="3047" t="str">
        <f t="shared" si="59"/>
        <v/>
      </c>
      <c r="DU152" s="3047" t="str">
        <f>IFERROR(IF(G152="","",SUMIF('Lighting Assumptions'!$G$3:$G$112,'6a - Lighting Counts'!G152,'Lighting Assumptions'!$H$3:$H$112)*IF(SI_IP_Units="SI",10.76,1)),"")</f>
        <v/>
      </c>
      <c r="DV152" s="3047" t="str">
        <f>IFERROR(IF($CX152="","",IF(SI_IP_Units="SI",10.76,1)*SUMIF(BAMCategories,$CY152,'Lighting Assumptions'!$E$3:E$35)),"")</f>
        <v/>
      </c>
      <c r="DW152" s="3047" t="str">
        <f>IFERROR(IF($CX152="","",IF(SI_IP_Units="SI",10.76,1)*SUMIF(BAMCategories,$CY152,IF(bpf_reference="ACP",'Lighting Assumptions 90.1-2010'!$E$3:E$35,'Lighting Assumptions 90.1-2016'!$E$3:E$35))),"")</f>
        <v/>
      </c>
      <c r="EW152" s="855"/>
      <c r="EX152" s="855"/>
      <c r="EY152" s="855"/>
      <c r="EZ152" s="855"/>
    </row>
    <row r="153" spans="4:156" x14ac:dyDescent="0.25">
      <c r="D153" s="3019"/>
      <c r="E153" s="3020"/>
      <c r="F153" s="3021">
        <f t="shared" si="46"/>
        <v>0</v>
      </c>
      <c r="G153" s="3059"/>
      <c r="H153" s="3060"/>
      <c r="I153" s="3061"/>
      <c r="J153" s="3061"/>
      <c r="K153" s="3061"/>
      <c r="L153" s="3061"/>
      <c r="M153" s="3061"/>
      <c r="N153" s="3061"/>
      <c r="O153" s="3061"/>
      <c r="P153" s="3061"/>
      <c r="Q153" s="3061"/>
      <c r="R153" s="3061"/>
      <c r="S153" s="3061"/>
      <c r="T153" s="3061"/>
      <c r="U153" s="3061"/>
      <c r="V153" s="3061"/>
      <c r="W153" s="3061"/>
      <c r="X153" s="3061"/>
      <c r="Y153" s="3061"/>
      <c r="Z153" s="3061"/>
      <c r="AA153" s="3061"/>
      <c r="AB153" s="3061"/>
      <c r="AC153" s="3061"/>
      <c r="AD153" s="3061"/>
      <c r="AE153" s="3061"/>
      <c r="AF153" s="3061"/>
      <c r="AG153" s="3061"/>
      <c r="AH153" s="3061"/>
      <c r="AI153" s="3061"/>
      <c r="AJ153" s="3061"/>
      <c r="AK153" s="3061"/>
      <c r="AL153" s="3061"/>
      <c r="AM153" s="3061"/>
      <c r="AN153" s="3061"/>
      <c r="AO153" s="3061"/>
      <c r="AP153" s="3061"/>
      <c r="AQ153" s="3061"/>
      <c r="AR153" s="3061"/>
      <c r="AS153" s="3061"/>
      <c r="AT153" s="3061"/>
      <c r="AU153" s="3061"/>
      <c r="AV153" s="3061"/>
      <c r="AW153" s="3061"/>
      <c r="AX153" s="3061"/>
      <c r="AY153" s="3061"/>
      <c r="AZ153" s="3061"/>
      <c r="BA153" s="3061"/>
      <c r="BB153" s="3061"/>
      <c r="BC153" s="3061"/>
      <c r="BD153" s="3061"/>
      <c r="BE153" s="3061"/>
      <c r="BF153" s="3061"/>
      <c r="BG153" s="3061"/>
      <c r="BH153" s="3061"/>
      <c r="BI153" s="3061"/>
      <c r="BJ153" s="3061"/>
      <c r="BK153" s="3061"/>
      <c r="BL153" s="3061"/>
      <c r="BM153" s="3061"/>
      <c r="BN153" s="3061"/>
      <c r="BO153" s="3061"/>
      <c r="BP153" s="3061"/>
      <c r="BQ153" s="3061"/>
      <c r="BR153" s="3061"/>
      <c r="BS153" s="3061"/>
      <c r="BT153" s="3061"/>
      <c r="BU153" s="3061"/>
      <c r="BV153" s="3061"/>
      <c r="BW153" s="3061"/>
      <c r="BX153" s="3061"/>
      <c r="BY153" s="3061"/>
      <c r="BZ153" s="3061"/>
      <c r="CA153" s="3061"/>
      <c r="CB153" s="3061"/>
      <c r="CC153" s="3061"/>
      <c r="CD153" s="3061"/>
      <c r="CE153" s="3061"/>
      <c r="CF153" s="3061"/>
      <c r="CG153" s="3061"/>
      <c r="CH153" s="3061"/>
      <c r="CI153" s="3061"/>
      <c r="CJ153" s="3061"/>
      <c r="CK153" s="3061"/>
      <c r="CL153" s="3061"/>
      <c r="CM153" s="3061"/>
      <c r="CN153" s="3061"/>
      <c r="CO153" s="3061"/>
      <c r="CP153" s="3061"/>
      <c r="CQ153" s="3061"/>
      <c r="CR153" s="3061"/>
      <c r="CS153" s="3062"/>
      <c r="CT153" s="3063"/>
      <c r="CU153" s="3064">
        <f t="shared" si="50"/>
        <v>1</v>
      </c>
      <c r="CV153" s="3022" t="str">
        <f>IF(OR(CT153="",CT153="None"),"-",DO153*CU153*SUMIF('Lighting Assumptions'!$G$3:$G$112,'6a - Lighting Counts'!G153,'Lighting Assumptions'!$J$3:$J$112))</f>
        <v>-</v>
      </c>
      <c r="CW153" s="3021"/>
      <c r="CX153" s="3021"/>
      <c r="CY153" s="3046"/>
      <c r="CZ153" s="2098">
        <f t="shared" si="51"/>
        <v>0</v>
      </c>
      <c r="DA153" s="2098" t="str">
        <f t="shared" si="52"/>
        <v>-</v>
      </c>
      <c r="DB153" s="2098">
        <f t="shared" si="53"/>
        <v>0</v>
      </c>
      <c r="DC153" s="3023" t="str">
        <f t="shared" si="54"/>
        <v>-</v>
      </c>
      <c r="DD153" s="3024" t="str">
        <f t="shared" si="55"/>
        <v/>
      </c>
      <c r="DE153" s="3025" t="str">
        <f t="shared" si="56"/>
        <v>-</v>
      </c>
      <c r="DF153" s="3024" t="str">
        <f t="shared" si="47"/>
        <v>-</v>
      </c>
      <c r="DG153" s="2098">
        <f t="shared" si="57"/>
        <v>0</v>
      </c>
      <c r="DH153" s="2098">
        <f t="array" ref="DH153">MIN(SUMPRODUCT(I153:CR153,IF($I$25:$CR$25="yes",1,0),$I$23:$CR$23),H153)</f>
        <v>0</v>
      </c>
      <c r="DI153" s="3026"/>
      <c r="DJ153" s="3021"/>
      <c r="DN153" s="917" t="str">
        <f>IF(CS153="","-",SUMIF('Lighting Assumptions'!$G$3:$G$112,'6a - Lighting Counts'!G153,'Lighting Assumptions'!$J$3:$J$112))</f>
        <v>-</v>
      </c>
      <c r="DO153" s="917" t="str">
        <f t="shared" si="48"/>
        <v>-</v>
      </c>
      <c r="DP153" s="917" t="str">
        <f t="shared" si="49"/>
        <v>-</v>
      </c>
      <c r="DQ153" s="917" t="str">
        <f>IF(LEFT(CELLformula(DF153),3)&lt;&gt;"=IF",1,"")</f>
        <v/>
      </c>
      <c r="DR153" s="917" t="str">
        <f>IF(LEFT(CELLformula(DD153),3)&lt;&gt;"=IF",1,"")</f>
        <v/>
      </c>
      <c r="DS153" s="3048">
        <f t="shared" si="58"/>
        <v>0</v>
      </c>
      <c r="DT153" s="3047" t="str">
        <f t="shared" si="59"/>
        <v/>
      </c>
      <c r="DU153" s="3047" t="str">
        <f>IFERROR(IF(G153="","",SUMIF('Lighting Assumptions'!$G$3:$G$112,'6a - Lighting Counts'!G153,'Lighting Assumptions'!$H$3:$H$112)*IF(SI_IP_Units="SI",10.76,1)),"")</f>
        <v/>
      </c>
      <c r="DV153" s="3047" t="str">
        <f>IFERROR(IF($CX153="","",IF(SI_IP_Units="SI",10.76,1)*SUMIF(BAMCategories,$CY153,'Lighting Assumptions'!$E$3:E$35)),"")</f>
        <v/>
      </c>
      <c r="DW153" s="3047" t="str">
        <f>IFERROR(IF($CX153="","",IF(SI_IP_Units="SI",10.76,1)*SUMIF(BAMCategories,$CY153,IF(bpf_reference="ACP",'Lighting Assumptions 90.1-2010'!$E$3:E$35,'Lighting Assumptions 90.1-2016'!$E$3:E$35))),"")</f>
        <v/>
      </c>
      <c r="EW153" s="855"/>
      <c r="EX153" s="855"/>
      <c r="EY153" s="855"/>
      <c r="EZ153" s="855"/>
    </row>
    <row r="154" spans="4:156" x14ac:dyDescent="0.25">
      <c r="D154" s="3019"/>
      <c r="E154" s="3020"/>
      <c r="F154" s="3021">
        <f t="shared" si="46"/>
        <v>0</v>
      </c>
      <c r="G154" s="3059"/>
      <c r="H154" s="3060"/>
      <c r="I154" s="3061"/>
      <c r="J154" s="3061"/>
      <c r="K154" s="3061"/>
      <c r="L154" s="3061"/>
      <c r="M154" s="3061"/>
      <c r="N154" s="3061"/>
      <c r="O154" s="3061"/>
      <c r="P154" s="3061"/>
      <c r="Q154" s="3061"/>
      <c r="R154" s="3061"/>
      <c r="S154" s="3061"/>
      <c r="T154" s="3061"/>
      <c r="U154" s="3061"/>
      <c r="V154" s="3061"/>
      <c r="W154" s="3061"/>
      <c r="X154" s="3061"/>
      <c r="Y154" s="3061"/>
      <c r="Z154" s="3061"/>
      <c r="AA154" s="3061"/>
      <c r="AB154" s="3061"/>
      <c r="AC154" s="3061"/>
      <c r="AD154" s="3061"/>
      <c r="AE154" s="3061"/>
      <c r="AF154" s="3061"/>
      <c r="AG154" s="3061"/>
      <c r="AH154" s="3061"/>
      <c r="AI154" s="3061"/>
      <c r="AJ154" s="3061"/>
      <c r="AK154" s="3061"/>
      <c r="AL154" s="3061"/>
      <c r="AM154" s="3061"/>
      <c r="AN154" s="3061"/>
      <c r="AO154" s="3061"/>
      <c r="AP154" s="3061"/>
      <c r="AQ154" s="3061"/>
      <c r="AR154" s="3061"/>
      <c r="AS154" s="3061"/>
      <c r="AT154" s="3061"/>
      <c r="AU154" s="3061"/>
      <c r="AV154" s="3061"/>
      <c r="AW154" s="3061"/>
      <c r="AX154" s="3061"/>
      <c r="AY154" s="3061"/>
      <c r="AZ154" s="3061"/>
      <c r="BA154" s="3061"/>
      <c r="BB154" s="3061"/>
      <c r="BC154" s="3061"/>
      <c r="BD154" s="3061"/>
      <c r="BE154" s="3061"/>
      <c r="BF154" s="3061"/>
      <c r="BG154" s="3061"/>
      <c r="BH154" s="3061"/>
      <c r="BI154" s="3061"/>
      <c r="BJ154" s="3061"/>
      <c r="BK154" s="3061"/>
      <c r="BL154" s="3061"/>
      <c r="BM154" s="3061"/>
      <c r="BN154" s="3061"/>
      <c r="BO154" s="3061"/>
      <c r="BP154" s="3061"/>
      <c r="BQ154" s="3061"/>
      <c r="BR154" s="3061"/>
      <c r="BS154" s="3061"/>
      <c r="BT154" s="3061"/>
      <c r="BU154" s="3061"/>
      <c r="BV154" s="3061"/>
      <c r="BW154" s="3061"/>
      <c r="BX154" s="3061"/>
      <c r="BY154" s="3061"/>
      <c r="BZ154" s="3061"/>
      <c r="CA154" s="3061"/>
      <c r="CB154" s="3061"/>
      <c r="CC154" s="3061"/>
      <c r="CD154" s="3061"/>
      <c r="CE154" s="3061"/>
      <c r="CF154" s="3061"/>
      <c r="CG154" s="3061"/>
      <c r="CH154" s="3061"/>
      <c r="CI154" s="3061"/>
      <c r="CJ154" s="3061"/>
      <c r="CK154" s="3061"/>
      <c r="CL154" s="3061"/>
      <c r="CM154" s="3061"/>
      <c r="CN154" s="3061"/>
      <c r="CO154" s="3061"/>
      <c r="CP154" s="3061"/>
      <c r="CQ154" s="3061"/>
      <c r="CR154" s="3061"/>
      <c r="CS154" s="3062"/>
      <c r="CT154" s="3063"/>
      <c r="CU154" s="3064">
        <f t="shared" si="50"/>
        <v>1</v>
      </c>
      <c r="CV154" s="3022" t="str">
        <f>IF(OR(CT154="",CT154="None"),"-",DO154*CU154*SUMIF('Lighting Assumptions'!$G$3:$G$112,'6a - Lighting Counts'!G154,'Lighting Assumptions'!$J$3:$J$112))</f>
        <v>-</v>
      </c>
      <c r="CW154" s="3021"/>
      <c r="CX154" s="3021"/>
      <c r="CY154" s="3046"/>
      <c r="CZ154" s="2098">
        <f t="shared" si="51"/>
        <v>0</v>
      </c>
      <c r="DA154" s="2098" t="str">
        <f t="shared" si="52"/>
        <v>-</v>
      </c>
      <c r="DB154" s="2098">
        <f t="shared" si="53"/>
        <v>0</v>
      </c>
      <c r="DC154" s="3023" t="str">
        <f t="shared" si="54"/>
        <v>-</v>
      </c>
      <c r="DD154" s="3024" t="str">
        <f t="shared" si="55"/>
        <v/>
      </c>
      <c r="DE154" s="3025" t="str">
        <f t="shared" si="56"/>
        <v>-</v>
      </c>
      <c r="DF154" s="3024" t="str">
        <f t="shared" si="47"/>
        <v>-</v>
      </c>
      <c r="DG154" s="2098">
        <f t="shared" si="57"/>
        <v>0</v>
      </c>
      <c r="DH154" s="2098">
        <f t="array" ref="DH154">MIN(SUMPRODUCT(I154:CR154,IF($I$25:$CR$25="yes",1,0),$I$23:$CR$23),H154)</f>
        <v>0</v>
      </c>
      <c r="DI154" s="3026"/>
      <c r="DJ154" s="3021"/>
      <c r="DN154" s="917" t="str">
        <f>IF(CS154="","-",SUMIF('Lighting Assumptions'!$G$3:$G$112,'6a - Lighting Counts'!G154,'Lighting Assumptions'!$J$3:$J$112))</f>
        <v>-</v>
      </c>
      <c r="DO154" s="917" t="str">
        <f t="shared" si="48"/>
        <v>-</v>
      </c>
      <c r="DP154" s="917" t="str">
        <f t="shared" si="49"/>
        <v>-</v>
      </c>
      <c r="DQ154" s="917" t="str">
        <f>IF(LEFT(CELLformula(DF154),3)&lt;&gt;"=IF",1,"")</f>
        <v/>
      </c>
      <c r="DR154" s="917" t="str">
        <f>IF(LEFT(CELLformula(DD154),3)&lt;&gt;"=IF",1,"")</f>
        <v/>
      </c>
      <c r="DS154" s="3048">
        <f t="shared" si="58"/>
        <v>0</v>
      </c>
      <c r="DT154" s="3047" t="str">
        <f t="shared" si="59"/>
        <v/>
      </c>
      <c r="DU154" s="3047" t="str">
        <f>IFERROR(IF(G154="","",SUMIF('Lighting Assumptions'!$G$3:$G$112,'6a - Lighting Counts'!G154,'Lighting Assumptions'!$H$3:$H$112)*IF(SI_IP_Units="SI",10.76,1)),"")</f>
        <v/>
      </c>
      <c r="DV154" s="3047" t="str">
        <f>IFERROR(IF($CX154="","",IF(SI_IP_Units="SI",10.76,1)*SUMIF(BAMCategories,$CY154,'Lighting Assumptions'!$E$3:E$35)),"")</f>
        <v/>
      </c>
      <c r="DW154" s="3047" t="str">
        <f>IFERROR(IF($CX154="","",IF(SI_IP_Units="SI",10.76,1)*SUMIF(BAMCategories,$CY154,IF(bpf_reference="ACP",'Lighting Assumptions 90.1-2010'!$E$3:E$35,'Lighting Assumptions 90.1-2016'!$E$3:E$35))),"")</f>
        <v/>
      </c>
      <c r="EW154" s="855"/>
      <c r="EX154" s="855"/>
      <c r="EY154" s="855"/>
      <c r="EZ154" s="855"/>
    </row>
    <row r="155" spans="4:156" x14ac:dyDescent="0.25">
      <c r="D155" s="3019"/>
      <c r="E155" s="3020"/>
      <c r="F155" s="3021">
        <f t="shared" si="46"/>
        <v>0</v>
      </c>
      <c r="G155" s="3059"/>
      <c r="H155" s="3060"/>
      <c r="I155" s="3061"/>
      <c r="J155" s="3061"/>
      <c r="K155" s="3061"/>
      <c r="L155" s="3061"/>
      <c r="M155" s="3061"/>
      <c r="N155" s="3061"/>
      <c r="O155" s="3061"/>
      <c r="P155" s="3061"/>
      <c r="Q155" s="3061"/>
      <c r="R155" s="3061"/>
      <c r="S155" s="3061"/>
      <c r="T155" s="3061"/>
      <c r="U155" s="3061"/>
      <c r="V155" s="3061"/>
      <c r="W155" s="3061"/>
      <c r="X155" s="3061"/>
      <c r="Y155" s="3061"/>
      <c r="Z155" s="3061"/>
      <c r="AA155" s="3061"/>
      <c r="AB155" s="3061"/>
      <c r="AC155" s="3061"/>
      <c r="AD155" s="3061"/>
      <c r="AE155" s="3061"/>
      <c r="AF155" s="3061"/>
      <c r="AG155" s="3061"/>
      <c r="AH155" s="3061"/>
      <c r="AI155" s="3061"/>
      <c r="AJ155" s="3061"/>
      <c r="AK155" s="3061"/>
      <c r="AL155" s="3061"/>
      <c r="AM155" s="3061"/>
      <c r="AN155" s="3061"/>
      <c r="AO155" s="3061"/>
      <c r="AP155" s="3061"/>
      <c r="AQ155" s="3061"/>
      <c r="AR155" s="3061"/>
      <c r="AS155" s="3061"/>
      <c r="AT155" s="3061"/>
      <c r="AU155" s="3061"/>
      <c r="AV155" s="3061"/>
      <c r="AW155" s="3061"/>
      <c r="AX155" s="3061"/>
      <c r="AY155" s="3061"/>
      <c r="AZ155" s="3061"/>
      <c r="BA155" s="3061"/>
      <c r="BB155" s="3061"/>
      <c r="BC155" s="3061"/>
      <c r="BD155" s="3061"/>
      <c r="BE155" s="3061"/>
      <c r="BF155" s="3061"/>
      <c r="BG155" s="3061"/>
      <c r="BH155" s="3061"/>
      <c r="BI155" s="3061"/>
      <c r="BJ155" s="3061"/>
      <c r="BK155" s="3061"/>
      <c r="BL155" s="3061"/>
      <c r="BM155" s="3061"/>
      <c r="BN155" s="3061"/>
      <c r="BO155" s="3061"/>
      <c r="BP155" s="3061"/>
      <c r="BQ155" s="3061"/>
      <c r="BR155" s="3061"/>
      <c r="BS155" s="3061"/>
      <c r="BT155" s="3061"/>
      <c r="BU155" s="3061"/>
      <c r="BV155" s="3061"/>
      <c r="BW155" s="3061"/>
      <c r="BX155" s="3061"/>
      <c r="BY155" s="3061"/>
      <c r="BZ155" s="3061"/>
      <c r="CA155" s="3061"/>
      <c r="CB155" s="3061"/>
      <c r="CC155" s="3061"/>
      <c r="CD155" s="3061"/>
      <c r="CE155" s="3061"/>
      <c r="CF155" s="3061"/>
      <c r="CG155" s="3061"/>
      <c r="CH155" s="3061"/>
      <c r="CI155" s="3061"/>
      <c r="CJ155" s="3061"/>
      <c r="CK155" s="3061"/>
      <c r="CL155" s="3061"/>
      <c r="CM155" s="3061"/>
      <c r="CN155" s="3061"/>
      <c r="CO155" s="3061"/>
      <c r="CP155" s="3061"/>
      <c r="CQ155" s="3061"/>
      <c r="CR155" s="3061"/>
      <c r="CS155" s="3062"/>
      <c r="CT155" s="3063"/>
      <c r="CU155" s="3064">
        <f t="shared" si="50"/>
        <v>1</v>
      </c>
      <c r="CV155" s="3022" t="str">
        <f>IF(OR(CT155="",CT155="None"),"-",DO155*CU155*SUMIF('Lighting Assumptions'!$G$3:$G$112,'6a - Lighting Counts'!G155,'Lighting Assumptions'!$J$3:$J$112))</f>
        <v>-</v>
      </c>
      <c r="CW155" s="3021"/>
      <c r="CX155" s="3021"/>
      <c r="CY155" s="3046"/>
      <c r="CZ155" s="2098">
        <f t="shared" si="51"/>
        <v>0</v>
      </c>
      <c r="DA155" s="2098" t="str">
        <f t="shared" si="52"/>
        <v>-</v>
      </c>
      <c r="DB155" s="2098">
        <f t="shared" si="53"/>
        <v>0</v>
      </c>
      <c r="DC155" s="3023" t="str">
        <f t="shared" si="54"/>
        <v>-</v>
      </c>
      <c r="DD155" s="3024" t="str">
        <f t="shared" si="55"/>
        <v/>
      </c>
      <c r="DE155" s="3025" t="str">
        <f t="shared" si="56"/>
        <v>-</v>
      </c>
      <c r="DF155" s="3024" t="str">
        <f t="shared" si="47"/>
        <v>-</v>
      </c>
      <c r="DG155" s="2098">
        <f t="shared" si="57"/>
        <v>0</v>
      </c>
      <c r="DH155" s="2098">
        <f t="array" ref="DH155">MIN(SUMPRODUCT(I155:CR155,IF($I$25:$CR$25="yes",1,0),$I$23:$CR$23),H155)</f>
        <v>0</v>
      </c>
      <c r="DI155" s="3026"/>
      <c r="DJ155" s="3021"/>
      <c r="DN155" s="917" t="str">
        <f>IF(CS155="","-",SUMIF('Lighting Assumptions'!$G$3:$G$112,'6a - Lighting Counts'!G155,'Lighting Assumptions'!$J$3:$J$112))</f>
        <v>-</v>
      </c>
      <c r="DO155" s="917" t="str">
        <f t="shared" si="48"/>
        <v>-</v>
      </c>
      <c r="DP155" s="917" t="str">
        <f t="shared" si="49"/>
        <v>-</v>
      </c>
      <c r="DQ155" s="917" t="str">
        <f>IF(LEFT(CELLformula(DF155),3)&lt;&gt;"=IF",1,"")</f>
        <v/>
      </c>
      <c r="DR155" s="917" t="str">
        <f>IF(LEFT(CELLformula(DD155),3)&lt;&gt;"=IF",1,"")</f>
        <v/>
      </c>
      <c r="DS155" s="3048">
        <f t="shared" si="58"/>
        <v>0</v>
      </c>
      <c r="DT155" s="3047" t="str">
        <f t="shared" si="59"/>
        <v/>
      </c>
      <c r="DU155" s="3047" t="str">
        <f>IFERROR(IF(G155="","",SUMIF('Lighting Assumptions'!$G$3:$G$112,'6a - Lighting Counts'!G155,'Lighting Assumptions'!$H$3:$H$112)*IF(SI_IP_Units="SI",10.76,1)),"")</f>
        <v/>
      </c>
      <c r="DV155" s="3047" t="str">
        <f>IFERROR(IF($CX155="","",IF(SI_IP_Units="SI",10.76,1)*SUMIF(BAMCategories,$CY155,'Lighting Assumptions'!$E$3:E$35)),"")</f>
        <v/>
      </c>
      <c r="DW155" s="3047" t="str">
        <f>IFERROR(IF($CX155="","",IF(SI_IP_Units="SI",10.76,1)*SUMIF(BAMCategories,$CY155,IF(bpf_reference="ACP",'Lighting Assumptions 90.1-2010'!$E$3:E$35,'Lighting Assumptions 90.1-2016'!$E$3:E$35))),"")</f>
        <v/>
      </c>
      <c r="EW155" s="855"/>
      <c r="EX155" s="855"/>
      <c r="EY155" s="855"/>
      <c r="EZ155" s="855"/>
    </row>
    <row r="156" spans="4:156" x14ac:dyDescent="0.25">
      <c r="D156" s="3019"/>
      <c r="E156" s="3020"/>
      <c r="F156" s="3021">
        <f t="shared" si="46"/>
        <v>0</v>
      </c>
      <c r="G156" s="3059"/>
      <c r="H156" s="3060"/>
      <c r="I156" s="3061"/>
      <c r="J156" s="3061"/>
      <c r="K156" s="3061"/>
      <c r="L156" s="3061"/>
      <c r="M156" s="3061"/>
      <c r="N156" s="3061"/>
      <c r="O156" s="3061"/>
      <c r="P156" s="3061"/>
      <c r="Q156" s="3061"/>
      <c r="R156" s="3061"/>
      <c r="S156" s="3061"/>
      <c r="T156" s="3061"/>
      <c r="U156" s="3061"/>
      <c r="V156" s="3061"/>
      <c r="W156" s="3061"/>
      <c r="X156" s="3061"/>
      <c r="Y156" s="3061"/>
      <c r="Z156" s="3061"/>
      <c r="AA156" s="3061"/>
      <c r="AB156" s="3061"/>
      <c r="AC156" s="3061"/>
      <c r="AD156" s="3061"/>
      <c r="AE156" s="3061"/>
      <c r="AF156" s="3061"/>
      <c r="AG156" s="3061"/>
      <c r="AH156" s="3061"/>
      <c r="AI156" s="3061"/>
      <c r="AJ156" s="3061"/>
      <c r="AK156" s="3061"/>
      <c r="AL156" s="3061"/>
      <c r="AM156" s="3061"/>
      <c r="AN156" s="3061"/>
      <c r="AO156" s="3061"/>
      <c r="AP156" s="3061"/>
      <c r="AQ156" s="3061"/>
      <c r="AR156" s="3061"/>
      <c r="AS156" s="3061"/>
      <c r="AT156" s="3061"/>
      <c r="AU156" s="3061"/>
      <c r="AV156" s="3061"/>
      <c r="AW156" s="3061"/>
      <c r="AX156" s="3061"/>
      <c r="AY156" s="3061"/>
      <c r="AZ156" s="3061"/>
      <c r="BA156" s="3061"/>
      <c r="BB156" s="3061"/>
      <c r="BC156" s="3061"/>
      <c r="BD156" s="3061"/>
      <c r="BE156" s="3061"/>
      <c r="BF156" s="3061"/>
      <c r="BG156" s="3061"/>
      <c r="BH156" s="3061"/>
      <c r="BI156" s="3061"/>
      <c r="BJ156" s="3061"/>
      <c r="BK156" s="3061"/>
      <c r="BL156" s="3061"/>
      <c r="BM156" s="3061"/>
      <c r="BN156" s="3061"/>
      <c r="BO156" s="3061"/>
      <c r="BP156" s="3061"/>
      <c r="BQ156" s="3061"/>
      <c r="BR156" s="3061"/>
      <c r="BS156" s="3061"/>
      <c r="BT156" s="3061"/>
      <c r="BU156" s="3061"/>
      <c r="BV156" s="3061"/>
      <c r="BW156" s="3061"/>
      <c r="BX156" s="3061"/>
      <c r="BY156" s="3061"/>
      <c r="BZ156" s="3061"/>
      <c r="CA156" s="3061"/>
      <c r="CB156" s="3061"/>
      <c r="CC156" s="3061"/>
      <c r="CD156" s="3061"/>
      <c r="CE156" s="3061"/>
      <c r="CF156" s="3061"/>
      <c r="CG156" s="3061"/>
      <c r="CH156" s="3061"/>
      <c r="CI156" s="3061"/>
      <c r="CJ156" s="3061"/>
      <c r="CK156" s="3061"/>
      <c r="CL156" s="3061"/>
      <c r="CM156" s="3061"/>
      <c r="CN156" s="3061"/>
      <c r="CO156" s="3061"/>
      <c r="CP156" s="3061"/>
      <c r="CQ156" s="3061"/>
      <c r="CR156" s="3061"/>
      <c r="CS156" s="3062"/>
      <c r="CT156" s="3063"/>
      <c r="CU156" s="3064">
        <f t="shared" si="50"/>
        <v>1</v>
      </c>
      <c r="CV156" s="3022" t="str">
        <f>IF(OR(CT156="",CT156="None"),"-",DO156*CU156*SUMIF('Lighting Assumptions'!$G$3:$G$112,'6a - Lighting Counts'!G156,'Lighting Assumptions'!$J$3:$J$112))</f>
        <v>-</v>
      </c>
      <c r="CW156" s="3021"/>
      <c r="CX156" s="3021"/>
      <c r="CY156" s="3046"/>
      <c r="CZ156" s="2098">
        <f t="shared" si="51"/>
        <v>0</v>
      </c>
      <c r="DA156" s="2098" t="str">
        <f t="shared" si="52"/>
        <v>-</v>
      </c>
      <c r="DB156" s="2098">
        <f t="shared" si="53"/>
        <v>0</v>
      </c>
      <c r="DC156" s="3023" t="str">
        <f t="shared" si="54"/>
        <v>-</v>
      </c>
      <c r="DD156" s="3024" t="str">
        <f t="shared" si="55"/>
        <v/>
      </c>
      <c r="DE156" s="3025" t="str">
        <f t="shared" si="56"/>
        <v>-</v>
      </c>
      <c r="DF156" s="3024" t="str">
        <f t="shared" si="47"/>
        <v>-</v>
      </c>
      <c r="DG156" s="2098">
        <f t="shared" si="57"/>
        <v>0</v>
      </c>
      <c r="DH156" s="2098">
        <f t="array" ref="DH156">MIN(SUMPRODUCT(I156:CR156,IF($I$25:$CR$25="yes",1,0),$I$23:$CR$23),H156)</f>
        <v>0</v>
      </c>
      <c r="DI156" s="3026"/>
      <c r="DJ156" s="3021"/>
      <c r="DN156" s="917" t="str">
        <f>IF(CS156="","-",SUMIF('Lighting Assumptions'!$G$3:$G$112,'6a - Lighting Counts'!G156,'Lighting Assumptions'!$J$3:$J$112))</f>
        <v>-</v>
      </c>
      <c r="DO156" s="917" t="str">
        <f t="shared" si="48"/>
        <v>-</v>
      </c>
      <c r="DP156" s="917" t="str">
        <f t="shared" si="49"/>
        <v>-</v>
      </c>
      <c r="DQ156" s="917" t="str">
        <f>IF(LEFT(CELLformula(DF156),3)&lt;&gt;"=IF",1,"")</f>
        <v/>
      </c>
      <c r="DR156" s="917" t="str">
        <f>IF(LEFT(CELLformula(DD156),3)&lt;&gt;"=IF",1,"")</f>
        <v/>
      </c>
      <c r="DS156" s="3048">
        <f t="shared" si="58"/>
        <v>0</v>
      </c>
      <c r="DT156" s="3047" t="str">
        <f t="shared" si="59"/>
        <v/>
      </c>
      <c r="DU156" s="3047" t="str">
        <f>IFERROR(IF(G156="","",SUMIF('Lighting Assumptions'!$G$3:$G$112,'6a - Lighting Counts'!G156,'Lighting Assumptions'!$H$3:$H$112)*IF(SI_IP_Units="SI",10.76,1)),"")</f>
        <v/>
      </c>
      <c r="DV156" s="3047" t="str">
        <f>IFERROR(IF($CX156="","",IF(SI_IP_Units="SI",10.76,1)*SUMIF(BAMCategories,$CY156,'Lighting Assumptions'!$E$3:E$35)),"")</f>
        <v/>
      </c>
      <c r="DW156" s="3047" t="str">
        <f>IFERROR(IF($CX156="","",IF(SI_IP_Units="SI",10.76,1)*SUMIF(BAMCategories,$CY156,IF(bpf_reference="ACP",'Lighting Assumptions 90.1-2010'!$E$3:E$35,'Lighting Assumptions 90.1-2016'!$E$3:E$35))),"")</f>
        <v/>
      </c>
      <c r="EW156" s="855"/>
      <c r="EX156" s="855"/>
      <c r="EY156" s="855"/>
      <c r="EZ156" s="855"/>
    </row>
    <row r="157" spans="4:156" x14ac:dyDescent="0.25">
      <c r="D157" s="3019"/>
      <c r="E157" s="3020"/>
      <c r="F157" s="3021">
        <f t="shared" ref="F157:F220" si="60">IF(ISBLANK(D157)=FALSE,1,0)</f>
        <v>0</v>
      </c>
      <c r="G157" s="3059"/>
      <c r="H157" s="3060"/>
      <c r="I157" s="3061"/>
      <c r="J157" s="3061"/>
      <c r="K157" s="3061"/>
      <c r="L157" s="3061"/>
      <c r="M157" s="3061"/>
      <c r="N157" s="3061"/>
      <c r="O157" s="3061"/>
      <c r="P157" s="3061"/>
      <c r="Q157" s="3061"/>
      <c r="R157" s="3061"/>
      <c r="S157" s="3061"/>
      <c r="T157" s="3061"/>
      <c r="U157" s="3061"/>
      <c r="V157" s="3061"/>
      <c r="W157" s="3061"/>
      <c r="X157" s="3061"/>
      <c r="Y157" s="3061"/>
      <c r="Z157" s="3061"/>
      <c r="AA157" s="3061"/>
      <c r="AB157" s="3061"/>
      <c r="AC157" s="3061"/>
      <c r="AD157" s="3061"/>
      <c r="AE157" s="3061"/>
      <c r="AF157" s="3061"/>
      <c r="AG157" s="3061"/>
      <c r="AH157" s="3061"/>
      <c r="AI157" s="3061"/>
      <c r="AJ157" s="3061"/>
      <c r="AK157" s="3061"/>
      <c r="AL157" s="3061"/>
      <c r="AM157" s="3061"/>
      <c r="AN157" s="3061"/>
      <c r="AO157" s="3061"/>
      <c r="AP157" s="3061"/>
      <c r="AQ157" s="3061"/>
      <c r="AR157" s="3061"/>
      <c r="AS157" s="3061"/>
      <c r="AT157" s="3061"/>
      <c r="AU157" s="3061"/>
      <c r="AV157" s="3061"/>
      <c r="AW157" s="3061"/>
      <c r="AX157" s="3061"/>
      <c r="AY157" s="3061"/>
      <c r="AZ157" s="3061"/>
      <c r="BA157" s="3061"/>
      <c r="BB157" s="3061"/>
      <c r="BC157" s="3061"/>
      <c r="BD157" s="3061"/>
      <c r="BE157" s="3061"/>
      <c r="BF157" s="3061"/>
      <c r="BG157" s="3061"/>
      <c r="BH157" s="3061"/>
      <c r="BI157" s="3061"/>
      <c r="BJ157" s="3061"/>
      <c r="BK157" s="3061"/>
      <c r="BL157" s="3061"/>
      <c r="BM157" s="3061"/>
      <c r="BN157" s="3061"/>
      <c r="BO157" s="3061"/>
      <c r="BP157" s="3061"/>
      <c r="BQ157" s="3061"/>
      <c r="BR157" s="3061"/>
      <c r="BS157" s="3061"/>
      <c r="BT157" s="3061"/>
      <c r="BU157" s="3061"/>
      <c r="BV157" s="3061"/>
      <c r="BW157" s="3061"/>
      <c r="BX157" s="3061"/>
      <c r="BY157" s="3061"/>
      <c r="BZ157" s="3061"/>
      <c r="CA157" s="3061"/>
      <c r="CB157" s="3061"/>
      <c r="CC157" s="3061"/>
      <c r="CD157" s="3061"/>
      <c r="CE157" s="3061"/>
      <c r="CF157" s="3061"/>
      <c r="CG157" s="3061"/>
      <c r="CH157" s="3061"/>
      <c r="CI157" s="3061"/>
      <c r="CJ157" s="3061"/>
      <c r="CK157" s="3061"/>
      <c r="CL157" s="3061"/>
      <c r="CM157" s="3061"/>
      <c r="CN157" s="3061"/>
      <c r="CO157" s="3061"/>
      <c r="CP157" s="3061"/>
      <c r="CQ157" s="3061"/>
      <c r="CR157" s="3061"/>
      <c r="CS157" s="3062"/>
      <c r="CT157" s="3063"/>
      <c r="CU157" s="3064">
        <f t="shared" si="50"/>
        <v>1</v>
      </c>
      <c r="CV157" s="3022" t="str">
        <f>IF(OR(CT157="",CT157="None"),"-",DO157*CU157*SUMIF('Lighting Assumptions'!$G$3:$G$112,'6a - Lighting Counts'!G157,'Lighting Assumptions'!$J$3:$J$112))</f>
        <v>-</v>
      </c>
      <c r="CW157" s="3021"/>
      <c r="CX157" s="3021"/>
      <c r="CY157" s="3046"/>
      <c r="CZ157" s="2098">
        <f t="shared" si="51"/>
        <v>0</v>
      </c>
      <c r="DA157" s="2098" t="str">
        <f t="shared" si="52"/>
        <v>-</v>
      </c>
      <c r="DB157" s="2098">
        <f t="shared" si="53"/>
        <v>0</v>
      </c>
      <c r="DC157" s="3023" t="str">
        <f t="shared" si="54"/>
        <v>-</v>
      </c>
      <c r="DD157" s="3024" t="str">
        <f t="shared" si="55"/>
        <v/>
      </c>
      <c r="DE157" s="3025" t="str">
        <f t="shared" si="56"/>
        <v>-</v>
      </c>
      <c r="DF157" s="3024" t="str">
        <f t="shared" ref="DF157:DF220" si="61">IF(ISBLANK(H157)=FALSE,(CZ157-IF(ISNUMBER(CV157)=TRUE,CV157,0)*CS157)/H157,"-")</f>
        <v>-</v>
      </c>
      <c r="DG157" s="2098">
        <f t="shared" si="57"/>
        <v>0</v>
      </c>
      <c r="DH157" s="2098">
        <f t="array" ref="DH157">MIN(SUMPRODUCT(I157:CR157,IF($I$25:$CR$25="yes",1,0),$I$23:$CR$23),H157)</f>
        <v>0</v>
      </c>
      <c r="DI157" s="3026"/>
      <c r="DJ157" s="3021"/>
      <c r="DN157" s="917" t="str">
        <f>IF(CS157="","-",SUMIF('Lighting Assumptions'!$G$3:$G$112,'6a - Lighting Counts'!G157,'Lighting Assumptions'!$J$3:$J$112))</f>
        <v>-</v>
      </c>
      <c r="DO157" s="917" t="str">
        <f t="shared" ref="DO157:DO220" si="62">IF(CT157="","-",IF(CT157="Other",1,1.25))</f>
        <v>-</v>
      </c>
      <c r="DP157" s="917" t="str">
        <f t="shared" ref="DP157:DP220" si="63">IF(DO157="-","-",DO157*CV157)</f>
        <v>-</v>
      </c>
      <c r="DQ157" s="917" t="str">
        <f>IF(LEFT(CELLformula(DF157),3)&lt;&gt;"=IF",1,"")</f>
        <v/>
      </c>
      <c r="DR157" s="917" t="str">
        <f>IF(LEFT(CELLformula(DD157),3)&lt;&gt;"=IF",1,"")</f>
        <v/>
      </c>
      <c r="DS157" s="3048">
        <f t="shared" si="58"/>
        <v>0</v>
      </c>
      <c r="DT157" s="3047" t="str">
        <f t="shared" si="59"/>
        <v/>
      </c>
      <c r="DU157" s="3047" t="str">
        <f>IFERROR(IF(G157="","",SUMIF('Lighting Assumptions'!$G$3:$G$112,'6a - Lighting Counts'!G157,'Lighting Assumptions'!$H$3:$H$112)*IF(SI_IP_Units="SI",10.76,1)),"")</f>
        <v/>
      </c>
      <c r="DV157" s="3047" t="str">
        <f>IFERROR(IF($CX157="","",IF(SI_IP_Units="SI",10.76,1)*SUMIF(BAMCategories,$CY157,'Lighting Assumptions'!$E$3:E$35)),"")</f>
        <v/>
      </c>
      <c r="DW157" s="3047" t="str">
        <f>IFERROR(IF($CX157="","",IF(SI_IP_Units="SI",10.76,1)*SUMIF(BAMCategories,$CY157,IF(bpf_reference="ACP",'Lighting Assumptions 90.1-2010'!$E$3:E$35,'Lighting Assumptions 90.1-2016'!$E$3:E$35))),"")</f>
        <v/>
      </c>
      <c r="EW157" s="855"/>
      <c r="EX157" s="855"/>
      <c r="EY157" s="855"/>
      <c r="EZ157" s="855"/>
    </row>
    <row r="158" spans="4:156" x14ac:dyDescent="0.25">
      <c r="D158" s="3019"/>
      <c r="E158" s="3020"/>
      <c r="F158" s="3021">
        <f t="shared" si="60"/>
        <v>0</v>
      </c>
      <c r="G158" s="3059"/>
      <c r="H158" s="3060"/>
      <c r="I158" s="3061"/>
      <c r="J158" s="3061"/>
      <c r="K158" s="3061"/>
      <c r="L158" s="3061"/>
      <c r="M158" s="3061"/>
      <c r="N158" s="3061"/>
      <c r="O158" s="3061"/>
      <c r="P158" s="3061"/>
      <c r="Q158" s="3061"/>
      <c r="R158" s="3061"/>
      <c r="S158" s="3061"/>
      <c r="T158" s="3061"/>
      <c r="U158" s="3061"/>
      <c r="V158" s="3061"/>
      <c r="W158" s="3061"/>
      <c r="X158" s="3061"/>
      <c r="Y158" s="3061"/>
      <c r="Z158" s="3061"/>
      <c r="AA158" s="3061"/>
      <c r="AB158" s="3061"/>
      <c r="AC158" s="3061"/>
      <c r="AD158" s="3061"/>
      <c r="AE158" s="3061"/>
      <c r="AF158" s="3061"/>
      <c r="AG158" s="3061"/>
      <c r="AH158" s="3061"/>
      <c r="AI158" s="3061"/>
      <c r="AJ158" s="3061"/>
      <c r="AK158" s="3061"/>
      <c r="AL158" s="3061"/>
      <c r="AM158" s="3061"/>
      <c r="AN158" s="3061"/>
      <c r="AO158" s="3061"/>
      <c r="AP158" s="3061"/>
      <c r="AQ158" s="3061"/>
      <c r="AR158" s="3061"/>
      <c r="AS158" s="3061"/>
      <c r="AT158" s="3061"/>
      <c r="AU158" s="3061"/>
      <c r="AV158" s="3061"/>
      <c r="AW158" s="3061"/>
      <c r="AX158" s="3061"/>
      <c r="AY158" s="3061"/>
      <c r="AZ158" s="3061"/>
      <c r="BA158" s="3061"/>
      <c r="BB158" s="3061"/>
      <c r="BC158" s="3061"/>
      <c r="BD158" s="3061"/>
      <c r="BE158" s="3061"/>
      <c r="BF158" s="3061"/>
      <c r="BG158" s="3061"/>
      <c r="BH158" s="3061"/>
      <c r="BI158" s="3061"/>
      <c r="BJ158" s="3061"/>
      <c r="BK158" s="3061"/>
      <c r="BL158" s="3061"/>
      <c r="BM158" s="3061"/>
      <c r="BN158" s="3061"/>
      <c r="BO158" s="3061"/>
      <c r="BP158" s="3061"/>
      <c r="BQ158" s="3061"/>
      <c r="BR158" s="3061"/>
      <c r="BS158" s="3061"/>
      <c r="BT158" s="3061"/>
      <c r="BU158" s="3061"/>
      <c r="BV158" s="3061"/>
      <c r="BW158" s="3061"/>
      <c r="BX158" s="3061"/>
      <c r="BY158" s="3061"/>
      <c r="BZ158" s="3061"/>
      <c r="CA158" s="3061"/>
      <c r="CB158" s="3061"/>
      <c r="CC158" s="3061"/>
      <c r="CD158" s="3061"/>
      <c r="CE158" s="3061"/>
      <c r="CF158" s="3061"/>
      <c r="CG158" s="3061"/>
      <c r="CH158" s="3061"/>
      <c r="CI158" s="3061"/>
      <c r="CJ158" s="3061"/>
      <c r="CK158" s="3061"/>
      <c r="CL158" s="3061"/>
      <c r="CM158" s="3061"/>
      <c r="CN158" s="3061"/>
      <c r="CO158" s="3061"/>
      <c r="CP158" s="3061"/>
      <c r="CQ158" s="3061"/>
      <c r="CR158" s="3061"/>
      <c r="CS158" s="3062"/>
      <c r="CT158" s="3063"/>
      <c r="CU158" s="3064">
        <f t="shared" ref="CU158:CU221" si="64">IF(OR(CT158="Manual-On Individual Workstation",CT158="Partial-Auto-On Individual Workstation",CT158="Other Individual Workstation"),1.3,1)</f>
        <v>1</v>
      </c>
      <c r="CV158" s="3022" t="str">
        <f>IF(OR(CT158="",CT158="None"),"-",DO158*CU158*SUMIF('Lighting Assumptions'!$G$3:$G$112,'6a - Lighting Counts'!G158,'Lighting Assumptions'!$J$3:$J$112))</f>
        <v>-</v>
      </c>
      <c r="CW158" s="3021"/>
      <c r="CX158" s="3021"/>
      <c r="CY158" s="3046"/>
      <c r="CZ158" s="2098">
        <f t="shared" ref="CZ158:CZ221" si="65">IFERROR(SUMPRODUCT(I158:CR158,$I$23:$CR$23),0)+IFERROR(DW158*CX158,0)</f>
        <v>0</v>
      </c>
      <c r="DA158" s="2098" t="str">
        <f t="shared" ref="DA158:DA221" si="66">IF(DD158="","-",IF(H158="",0,DD158*H158))</f>
        <v>-</v>
      </c>
      <c r="DB158" s="2098">
        <f t="shared" ref="DB158:DB221" si="67">SUMPRODUCT(I158:CR158,$I$24:$CR$24)</f>
        <v>0</v>
      </c>
      <c r="DC158" s="3023" t="str">
        <f t="shared" ref="DC158:DC221" si="68">IF(ISBLANK(H158)=FALSE,CZ158/H158,"-")</f>
        <v>-</v>
      </c>
      <c r="DD158" s="3024" t="str">
        <f t="shared" ref="DD158:DD221" si="69">IFERROR(DS158/H158,"")</f>
        <v/>
      </c>
      <c r="DE158" s="3025" t="str">
        <f t="shared" ref="DE158:DE221" si="70">IF(ISBLANK(H158)=FALSE,DB158/H158,"-")</f>
        <v>-</v>
      </c>
      <c r="DF158" s="3024" t="str">
        <f t="shared" si="61"/>
        <v>-</v>
      </c>
      <c r="DG158" s="2098">
        <f t="shared" ref="DG158:DG221" si="71">IFERROR(DF158*H158,0)</f>
        <v>0</v>
      </c>
      <c r="DH158" s="2098">
        <f t="array" ref="DH158">MIN(SUMPRODUCT(I158:CR158,IF($I$25:$CR$25="yes",1,0),$I$23:$CR$23),H158)</f>
        <v>0</v>
      </c>
      <c r="DI158" s="3026"/>
      <c r="DJ158" s="3021"/>
      <c r="DN158" s="917" t="str">
        <f>IF(CS158="","-",SUMIF('Lighting Assumptions'!$G$3:$G$112,'6a - Lighting Counts'!G158,'Lighting Assumptions'!$J$3:$J$112))</f>
        <v>-</v>
      </c>
      <c r="DO158" s="917" t="str">
        <f t="shared" si="62"/>
        <v>-</v>
      </c>
      <c r="DP158" s="917" t="str">
        <f t="shared" si="63"/>
        <v>-</v>
      </c>
      <c r="DQ158" s="917" t="str">
        <f>IF(LEFT(CELLformula(DF158),3)&lt;&gt;"=IF",1,"")</f>
        <v/>
      </c>
      <c r="DR158" s="917" t="str">
        <f>IF(LEFT(CELLformula(DD158),3)&lt;&gt;"=IF",1,"")</f>
        <v/>
      </c>
      <c r="DS158" s="3048">
        <f t="shared" ref="DS158:DS221" si="72">IFERROR(DU158*MAX(H158-CX158,0),0)+(IFERROR(DV158*MAX(0,CX158),0))</f>
        <v>0</v>
      </c>
      <c r="DT158" s="3047" t="str">
        <f t="shared" ref="DT158:DT221" si="73">IFERROR(DS158/H158,"")</f>
        <v/>
      </c>
      <c r="DU158" s="3047" t="str">
        <f>IFERROR(IF(G158="","",SUMIF('Lighting Assumptions'!$G$3:$G$112,'6a - Lighting Counts'!G158,'Lighting Assumptions'!$H$3:$H$112)*IF(SI_IP_Units="SI",10.76,1)),"")</f>
        <v/>
      </c>
      <c r="DV158" s="3047" t="str">
        <f>IFERROR(IF($CX158="","",IF(SI_IP_Units="SI",10.76,1)*SUMIF(BAMCategories,$CY158,'Lighting Assumptions'!$E$3:E$35)),"")</f>
        <v/>
      </c>
      <c r="DW158" s="3047" t="str">
        <f>IFERROR(IF($CX158="","",IF(SI_IP_Units="SI",10.76,1)*SUMIF(BAMCategories,$CY158,IF(bpf_reference="ACP",'Lighting Assumptions 90.1-2010'!$E$3:E$35,'Lighting Assumptions 90.1-2016'!$E$3:E$35))),"")</f>
        <v/>
      </c>
      <c r="EW158" s="855"/>
      <c r="EX158" s="855"/>
      <c r="EY158" s="855"/>
      <c r="EZ158" s="855"/>
    </row>
    <row r="159" spans="4:156" x14ac:dyDescent="0.25">
      <c r="D159" s="3019"/>
      <c r="E159" s="3020"/>
      <c r="F159" s="3021">
        <f t="shared" si="60"/>
        <v>0</v>
      </c>
      <c r="G159" s="3059"/>
      <c r="H159" s="3060"/>
      <c r="I159" s="3061"/>
      <c r="J159" s="3061"/>
      <c r="K159" s="3061"/>
      <c r="L159" s="3061"/>
      <c r="M159" s="3061"/>
      <c r="N159" s="3061"/>
      <c r="O159" s="3061"/>
      <c r="P159" s="3061"/>
      <c r="Q159" s="3061"/>
      <c r="R159" s="3061"/>
      <c r="S159" s="3061"/>
      <c r="T159" s="3061"/>
      <c r="U159" s="3061"/>
      <c r="V159" s="3061"/>
      <c r="W159" s="3061"/>
      <c r="X159" s="3061"/>
      <c r="Y159" s="3061"/>
      <c r="Z159" s="3061"/>
      <c r="AA159" s="3061"/>
      <c r="AB159" s="3061"/>
      <c r="AC159" s="3061"/>
      <c r="AD159" s="3061"/>
      <c r="AE159" s="3061"/>
      <c r="AF159" s="3061"/>
      <c r="AG159" s="3061"/>
      <c r="AH159" s="3061"/>
      <c r="AI159" s="3061"/>
      <c r="AJ159" s="3061"/>
      <c r="AK159" s="3061"/>
      <c r="AL159" s="3061"/>
      <c r="AM159" s="3061"/>
      <c r="AN159" s="3061"/>
      <c r="AO159" s="3061"/>
      <c r="AP159" s="3061"/>
      <c r="AQ159" s="3061"/>
      <c r="AR159" s="3061"/>
      <c r="AS159" s="3061"/>
      <c r="AT159" s="3061"/>
      <c r="AU159" s="3061"/>
      <c r="AV159" s="3061"/>
      <c r="AW159" s="3061"/>
      <c r="AX159" s="3061"/>
      <c r="AY159" s="3061"/>
      <c r="AZ159" s="3061"/>
      <c r="BA159" s="3061"/>
      <c r="BB159" s="3061"/>
      <c r="BC159" s="3061"/>
      <c r="BD159" s="3061"/>
      <c r="BE159" s="3061"/>
      <c r="BF159" s="3061"/>
      <c r="BG159" s="3061"/>
      <c r="BH159" s="3061"/>
      <c r="BI159" s="3061"/>
      <c r="BJ159" s="3061"/>
      <c r="BK159" s="3061"/>
      <c r="BL159" s="3061"/>
      <c r="BM159" s="3061"/>
      <c r="BN159" s="3061"/>
      <c r="BO159" s="3061"/>
      <c r="BP159" s="3061"/>
      <c r="BQ159" s="3061"/>
      <c r="BR159" s="3061"/>
      <c r="BS159" s="3061"/>
      <c r="BT159" s="3061"/>
      <c r="BU159" s="3061"/>
      <c r="BV159" s="3061"/>
      <c r="BW159" s="3061"/>
      <c r="BX159" s="3061"/>
      <c r="BY159" s="3061"/>
      <c r="BZ159" s="3061"/>
      <c r="CA159" s="3061"/>
      <c r="CB159" s="3061"/>
      <c r="CC159" s="3061"/>
      <c r="CD159" s="3061"/>
      <c r="CE159" s="3061"/>
      <c r="CF159" s="3061"/>
      <c r="CG159" s="3061"/>
      <c r="CH159" s="3061"/>
      <c r="CI159" s="3061"/>
      <c r="CJ159" s="3061"/>
      <c r="CK159" s="3061"/>
      <c r="CL159" s="3061"/>
      <c r="CM159" s="3061"/>
      <c r="CN159" s="3061"/>
      <c r="CO159" s="3061"/>
      <c r="CP159" s="3061"/>
      <c r="CQ159" s="3061"/>
      <c r="CR159" s="3061"/>
      <c r="CS159" s="3062"/>
      <c r="CT159" s="3063"/>
      <c r="CU159" s="3064">
        <f t="shared" si="64"/>
        <v>1</v>
      </c>
      <c r="CV159" s="3022" t="str">
        <f>IF(OR(CT159="",CT159="None"),"-",DO159*CU159*SUMIF('Lighting Assumptions'!$G$3:$G$112,'6a - Lighting Counts'!G159,'Lighting Assumptions'!$J$3:$J$112))</f>
        <v>-</v>
      </c>
      <c r="CW159" s="3021"/>
      <c r="CX159" s="3021"/>
      <c r="CY159" s="3046"/>
      <c r="CZ159" s="2098">
        <f t="shared" si="65"/>
        <v>0</v>
      </c>
      <c r="DA159" s="2098" t="str">
        <f t="shared" si="66"/>
        <v>-</v>
      </c>
      <c r="DB159" s="2098">
        <f t="shared" si="67"/>
        <v>0</v>
      </c>
      <c r="DC159" s="3023" t="str">
        <f t="shared" si="68"/>
        <v>-</v>
      </c>
      <c r="DD159" s="3024" t="str">
        <f t="shared" si="69"/>
        <v/>
      </c>
      <c r="DE159" s="3025" t="str">
        <f t="shared" si="70"/>
        <v>-</v>
      </c>
      <c r="DF159" s="3024" t="str">
        <f t="shared" si="61"/>
        <v>-</v>
      </c>
      <c r="DG159" s="2098">
        <f t="shared" si="71"/>
        <v>0</v>
      </c>
      <c r="DH159" s="2098">
        <f t="array" ref="DH159">MIN(SUMPRODUCT(I159:CR159,IF($I$25:$CR$25="yes",1,0),$I$23:$CR$23),H159)</f>
        <v>0</v>
      </c>
      <c r="DI159" s="3026"/>
      <c r="DJ159" s="3021"/>
      <c r="DN159" s="917" t="str">
        <f>IF(CS159="","-",SUMIF('Lighting Assumptions'!$G$3:$G$112,'6a - Lighting Counts'!G159,'Lighting Assumptions'!$J$3:$J$112))</f>
        <v>-</v>
      </c>
      <c r="DO159" s="917" t="str">
        <f t="shared" si="62"/>
        <v>-</v>
      </c>
      <c r="DP159" s="917" t="str">
        <f t="shared" si="63"/>
        <v>-</v>
      </c>
      <c r="DQ159" s="917" t="str">
        <f>IF(LEFT(CELLformula(DF159),3)&lt;&gt;"=IF",1,"")</f>
        <v/>
      </c>
      <c r="DR159" s="917" t="str">
        <f>IF(LEFT(CELLformula(DD159),3)&lt;&gt;"=IF",1,"")</f>
        <v/>
      </c>
      <c r="DS159" s="3048">
        <f t="shared" si="72"/>
        <v>0</v>
      </c>
      <c r="DT159" s="3047" t="str">
        <f t="shared" si="73"/>
        <v/>
      </c>
      <c r="DU159" s="3047" t="str">
        <f>IFERROR(IF(G159="","",SUMIF('Lighting Assumptions'!$G$3:$G$112,'6a - Lighting Counts'!G159,'Lighting Assumptions'!$H$3:$H$112)*IF(SI_IP_Units="SI",10.76,1)),"")</f>
        <v/>
      </c>
      <c r="DV159" s="3047" t="str">
        <f>IFERROR(IF($CX159="","",IF(SI_IP_Units="SI",10.76,1)*SUMIF(BAMCategories,$CY159,'Lighting Assumptions'!$E$3:E$35)),"")</f>
        <v/>
      </c>
      <c r="DW159" s="3047" t="str">
        <f>IFERROR(IF($CX159="","",IF(SI_IP_Units="SI",10.76,1)*SUMIF(BAMCategories,$CY159,IF(bpf_reference="ACP",'Lighting Assumptions 90.1-2010'!$E$3:E$35,'Lighting Assumptions 90.1-2016'!$E$3:E$35))),"")</f>
        <v/>
      </c>
      <c r="EW159" s="855"/>
      <c r="EX159" s="855"/>
      <c r="EY159" s="855"/>
      <c r="EZ159" s="855"/>
    </row>
    <row r="160" spans="4:156" x14ac:dyDescent="0.25">
      <c r="D160" s="3019"/>
      <c r="E160" s="3020"/>
      <c r="F160" s="3021">
        <f t="shared" si="60"/>
        <v>0</v>
      </c>
      <c r="G160" s="3059"/>
      <c r="H160" s="3060"/>
      <c r="I160" s="3061"/>
      <c r="J160" s="3061"/>
      <c r="K160" s="3061"/>
      <c r="L160" s="3061"/>
      <c r="M160" s="3061"/>
      <c r="N160" s="3061"/>
      <c r="O160" s="3061"/>
      <c r="P160" s="3061"/>
      <c r="Q160" s="3061"/>
      <c r="R160" s="3061"/>
      <c r="S160" s="3061"/>
      <c r="T160" s="3061"/>
      <c r="U160" s="3061"/>
      <c r="V160" s="3061"/>
      <c r="W160" s="3061"/>
      <c r="X160" s="3061"/>
      <c r="Y160" s="3061"/>
      <c r="Z160" s="3061"/>
      <c r="AA160" s="3061"/>
      <c r="AB160" s="3061"/>
      <c r="AC160" s="3061"/>
      <c r="AD160" s="3061"/>
      <c r="AE160" s="3061"/>
      <c r="AF160" s="3061"/>
      <c r="AG160" s="3061"/>
      <c r="AH160" s="3061"/>
      <c r="AI160" s="3061"/>
      <c r="AJ160" s="3061"/>
      <c r="AK160" s="3061"/>
      <c r="AL160" s="3061"/>
      <c r="AM160" s="3061"/>
      <c r="AN160" s="3061"/>
      <c r="AO160" s="3061"/>
      <c r="AP160" s="3061"/>
      <c r="AQ160" s="3061"/>
      <c r="AR160" s="3061"/>
      <c r="AS160" s="3061"/>
      <c r="AT160" s="3061"/>
      <c r="AU160" s="3061"/>
      <c r="AV160" s="3061"/>
      <c r="AW160" s="3061"/>
      <c r="AX160" s="3061"/>
      <c r="AY160" s="3061"/>
      <c r="AZ160" s="3061"/>
      <c r="BA160" s="3061"/>
      <c r="BB160" s="3061"/>
      <c r="BC160" s="3061"/>
      <c r="BD160" s="3061"/>
      <c r="BE160" s="3061"/>
      <c r="BF160" s="3061"/>
      <c r="BG160" s="3061"/>
      <c r="BH160" s="3061"/>
      <c r="BI160" s="3061"/>
      <c r="BJ160" s="3061"/>
      <c r="BK160" s="3061"/>
      <c r="BL160" s="3061"/>
      <c r="BM160" s="3061"/>
      <c r="BN160" s="3061"/>
      <c r="BO160" s="3061"/>
      <c r="BP160" s="3061"/>
      <c r="BQ160" s="3061"/>
      <c r="BR160" s="3061"/>
      <c r="BS160" s="3061"/>
      <c r="BT160" s="3061"/>
      <c r="BU160" s="3061"/>
      <c r="BV160" s="3061"/>
      <c r="BW160" s="3061"/>
      <c r="BX160" s="3061"/>
      <c r="BY160" s="3061"/>
      <c r="BZ160" s="3061"/>
      <c r="CA160" s="3061"/>
      <c r="CB160" s="3061"/>
      <c r="CC160" s="3061"/>
      <c r="CD160" s="3061"/>
      <c r="CE160" s="3061"/>
      <c r="CF160" s="3061"/>
      <c r="CG160" s="3061"/>
      <c r="CH160" s="3061"/>
      <c r="CI160" s="3061"/>
      <c r="CJ160" s="3061"/>
      <c r="CK160" s="3061"/>
      <c r="CL160" s="3061"/>
      <c r="CM160" s="3061"/>
      <c r="CN160" s="3061"/>
      <c r="CO160" s="3061"/>
      <c r="CP160" s="3061"/>
      <c r="CQ160" s="3061"/>
      <c r="CR160" s="3061"/>
      <c r="CS160" s="3062"/>
      <c r="CT160" s="3063"/>
      <c r="CU160" s="3064">
        <f t="shared" si="64"/>
        <v>1</v>
      </c>
      <c r="CV160" s="3022" t="str">
        <f>IF(OR(CT160="",CT160="None"),"-",DO160*CU160*SUMIF('Lighting Assumptions'!$G$3:$G$112,'6a - Lighting Counts'!G160,'Lighting Assumptions'!$J$3:$J$112))</f>
        <v>-</v>
      </c>
      <c r="CW160" s="3021"/>
      <c r="CX160" s="3021"/>
      <c r="CY160" s="3046"/>
      <c r="CZ160" s="2098">
        <f t="shared" si="65"/>
        <v>0</v>
      </c>
      <c r="DA160" s="2098" t="str">
        <f t="shared" si="66"/>
        <v>-</v>
      </c>
      <c r="DB160" s="2098">
        <f t="shared" si="67"/>
        <v>0</v>
      </c>
      <c r="DC160" s="3023" t="str">
        <f t="shared" si="68"/>
        <v>-</v>
      </c>
      <c r="DD160" s="3024" t="str">
        <f t="shared" si="69"/>
        <v/>
      </c>
      <c r="DE160" s="3025" t="str">
        <f t="shared" si="70"/>
        <v>-</v>
      </c>
      <c r="DF160" s="3024" t="str">
        <f t="shared" si="61"/>
        <v>-</v>
      </c>
      <c r="DG160" s="2098">
        <f t="shared" si="71"/>
        <v>0</v>
      </c>
      <c r="DH160" s="2098">
        <f t="array" ref="DH160">MIN(SUMPRODUCT(I160:CR160,IF($I$25:$CR$25="yes",1,0),$I$23:$CR$23),H160)</f>
        <v>0</v>
      </c>
      <c r="DI160" s="3026"/>
      <c r="DJ160" s="3021"/>
      <c r="DN160" s="917" t="str">
        <f>IF(CS160="","-",SUMIF('Lighting Assumptions'!$G$3:$G$112,'6a - Lighting Counts'!G160,'Lighting Assumptions'!$J$3:$J$112))</f>
        <v>-</v>
      </c>
      <c r="DO160" s="917" t="str">
        <f t="shared" si="62"/>
        <v>-</v>
      </c>
      <c r="DP160" s="917" t="str">
        <f t="shared" si="63"/>
        <v>-</v>
      </c>
      <c r="DQ160" s="917" t="str">
        <f>IF(LEFT(CELLformula(DF160),3)&lt;&gt;"=IF",1,"")</f>
        <v/>
      </c>
      <c r="DR160" s="917" t="str">
        <f>IF(LEFT(CELLformula(DD160),3)&lt;&gt;"=IF",1,"")</f>
        <v/>
      </c>
      <c r="DS160" s="3048">
        <f t="shared" si="72"/>
        <v>0</v>
      </c>
      <c r="DT160" s="3047" t="str">
        <f t="shared" si="73"/>
        <v/>
      </c>
      <c r="DU160" s="3047" t="str">
        <f>IFERROR(IF(G160="","",SUMIF('Lighting Assumptions'!$G$3:$G$112,'6a - Lighting Counts'!G160,'Lighting Assumptions'!$H$3:$H$112)*IF(SI_IP_Units="SI",10.76,1)),"")</f>
        <v/>
      </c>
      <c r="DV160" s="3047" t="str">
        <f>IFERROR(IF($CX160="","",IF(SI_IP_Units="SI",10.76,1)*SUMIF(BAMCategories,$CY160,'Lighting Assumptions'!$E$3:E$35)),"")</f>
        <v/>
      </c>
      <c r="DW160" s="3047" t="str">
        <f>IFERROR(IF($CX160="","",IF(SI_IP_Units="SI",10.76,1)*SUMIF(BAMCategories,$CY160,IF(bpf_reference="ACP",'Lighting Assumptions 90.1-2010'!$E$3:E$35,'Lighting Assumptions 90.1-2016'!$E$3:E$35))),"")</f>
        <v/>
      </c>
      <c r="EW160" s="855"/>
      <c r="EX160" s="855"/>
      <c r="EY160" s="855"/>
      <c r="EZ160" s="855"/>
    </row>
    <row r="161" spans="4:156" x14ac:dyDescent="0.25">
      <c r="D161" s="3019"/>
      <c r="E161" s="3020"/>
      <c r="F161" s="3021">
        <f t="shared" si="60"/>
        <v>0</v>
      </c>
      <c r="G161" s="3059"/>
      <c r="H161" s="3060"/>
      <c r="I161" s="3061"/>
      <c r="J161" s="3061"/>
      <c r="K161" s="3061"/>
      <c r="L161" s="3061"/>
      <c r="M161" s="3061"/>
      <c r="N161" s="3061"/>
      <c r="O161" s="3061"/>
      <c r="P161" s="3061"/>
      <c r="Q161" s="3061"/>
      <c r="R161" s="3061"/>
      <c r="S161" s="3061"/>
      <c r="T161" s="3061"/>
      <c r="U161" s="3061"/>
      <c r="V161" s="3061"/>
      <c r="W161" s="3061"/>
      <c r="X161" s="3061"/>
      <c r="Y161" s="3061"/>
      <c r="Z161" s="3061"/>
      <c r="AA161" s="3061"/>
      <c r="AB161" s="3061"/>
      <c r="AC161" s="3061"/>
      <c r="AD161" s="3061"/>
      <c r="AE161" s="3061"/>
      <c r="AF161" s="3061"/>
      <c r="AG161" s="3061"/>
      <c r="AH161" s="3061"/>
      <c r="AI161" s="3061"/>
      <c r="AJ161" s="3061"/>
      <c r="AK161" s="3061"/>
      <c r="AL161" s="3061"/>
      <c r="AM161" s="3061"/>
      <c r="AN161" s="3061"/>
      <c r="AO161" s="3061"/>
      <c r="AP161" s="3061"/>
      <c r="AQ161" s="3061"/>
      <c r="AR161" s="3061"/>
      <c r="AS161" s="3061"/>
      <c r="AT161" s="3061"/>
      <c r="AU161" s="3061"/>
      <c r="AV161" s="3061"/>
      <c r="AW161" s="3061"/>
      <c r="AX161" s="3061"/>
      <c r="AY161" s="3061"/>
      <c r="AZ161" s="3061"/>
      <c r="BA161" s="3061"/>
      <c r="BB161" s="3061"/>
      <c r="BC161" s="3061"/>
      <c r="BD161" s="3061"/>
      <c r="BE161" s="3061"/>
      <c r="BF161" s="3061"/>
      <c r="BG161" s="3061"/>
      <c r="BH161" s="3061"/>
      <c r="BI161" s="3061"/>
      <c r="BJ161" s="3061"/>
      <c r="BK161" s="3061"/>
      <c r="BL161" s="3061"/>
      <c r="BM161" s="3061"/>
      <c r="BN161" s="3061"/>
      <c r="BO161" s="3061"/>
      <c r="BP161" s="3061"/>
      <c r="BQ161" s="3061"/>
      <c r="BR161" s="3061"/>
      <c r="BS161" s="3061"/>
      <c r="BT161" s="3061"/>
      <c r="BU161" s="3061"/>
      <c r="BV161" s="3061"/>
      <c r="BW161" s="3061"/>
      <c r="BX161" s="3061"/>
      <c r="BY161" s="3061"/>
      <c r="BZ161" s="3061"/>
      <c r="CA161" s="3061"/>
      <c r="CB161" s="3061"/>
      <c r="CC161" s="3061"/>
      <c r="CD161" s="3061"/>
      <c r="CE161" s="3061"/>
      <c r="CF161" s="3061"/>
      <c r="CG161" s="3061"/>
      <c r="CH161" s="3061"/>
      <c r="CI161" s="3061"/>
      <c r="CJ161" s="3061"/>
      <c r="CK161" s="3061"/>
      <c r="CL161" s="3061"/>
      <c r="CM161" s="3061"/>
      <c r="CN161" s="3061"/>
      <c r="CO161" s="3061"/>
      <c r="CP161" s="3061"/>
      <c r="CQ161" s="3061"/>
      <c r="CR161" s="3061"/>
      <c r="CS161" s="3062"/>
      <c r="CT161" s="3063"/>
      <c r="CU161" s="3064">
        <f t="shared" si="64"/>
        <v>1</v>
      </c>
      <c r="CV161" s="3022" t="str">
        <f>IF(OR(CT161="",CT161="None"),"-",DO161*CU161*SUMIF('Lighting Assumptions'!$G$3:$G$112,'6a - Lighting Counts'!G161,'Lighting Assumptions'!$J$3:$J$112))</f>
        <v>-</v>
      </c>
      <c r="CW161" s="3021"/>
      <c r="CX161" s="3021"/>
      <c r="CY161" s="3046"/>
      <c r="CZ161" s="2098">
        <f t="shared" si="65"/>
        <v>0</v>
      </c>
      <c r="DA161" s="2098" t="str">
        <f t="shared" si="66"/>
        <v>-</v>
      </c>
      <c r="DB161" s="2098">
        <f t="shared" si="67"/>
        <v>0</v>
      </c>
      <c r="DC161" s="3023" t="str">
        <f t="shared" si="68"/>
        <v>-</v>
      </c>
      <c r="DD161" s="3024" t="str">
        <f t="shared" si="69"/>
        <v/>
      </c>
      <c r="DE161" s="3025" t="str">
        <f t="shared" si="70"/>
        <v>-</v>
      </c>
      <c r="DF161" s="3024" t="str">
        <f t="shared" si="61"/>
        <v>-</v>
      </c>
      <c r="DG161" s="2098">
        <f t="shared" si="71"/>
        <v>0</v>
      </c>
      <c r="DH161" s="2098">
        <f t="array" ref="DH161">MIN(SUMPRODUCT(I161:CR161,IF($I$25:$CR$25="yes",1,0),$I$23:$CR$23),H161)</f>
        <v>0</v>
      </c>
      <c r="DI161" s="3026"/>
      <c r="DJ161" s="3021"/>
      <c r="DN161" s="917" t="str">
        <f>IF(CS161="","-",SUMIF('Lighting Assumptions'!$G$3:$G$112,'6a - Lighting Counts'!G161,'Lighting Assumptions'!$J$3:$J$112))</f>
        <v>-</v>
      </c>
      <c r="DO161" s="917" t="str">
        <f t="shared" si="62"/>
        <v>-</v>
      </c>
      <c r="DP161" s="917" t="str">
        <f t="shared" si="63"/>
        <v>-</v>
      </c>
      <c r="DQ161" s="917" t="str">
        <f>IF(LEFT(CELLformula(DF161),3)&lt;&gt;"=IF",1,"")</f>
        <v/>
      </c>
      <c r="DR161" s="917" t="str">
        <f>IF(LEFT(CELLformula(DD161),3)&lt;&gt;"=IF",1,"")</f>
        <v/>
      </c>
      <c r="DS161" s="3048">
        <f t="shared" si="72"/>
        <v>0</v>
      </c>
      <c r="DT161" s="3047" t="str">
        <f t="shared" si="73"/>
        <v/>
      </c>
      <c r="DU161" s="3047" t="str">
        <f>IFERROR(IF(G161="","",SUMIF('Lighting Assumptions'!$G$3:$G$112,'6a - Lighting Counts'!G161,'Lighting Assumptions'!$H$3:$H$112)*IF(SI_IP_Units="SI",10.76,1)),"")</f>
        <v/>
      </c>
      <c r="DV161" s="3047" t="str">
        <f>IFERROR(IF($CX161="","",IF(SI_IP_Units="SI",10.76,1)*SUMIF(BAMCategories,$CY161,'Lighting Assumptions'!$E$3:E$35)),"")</f>
        <v/>
      </c>
      <c r="DW161" s="3047" t="str">
        <f>IFERROR(IF($CX161="","",IF(SI_IP_Units="SI",10.76,1)*SUMIF(BAMCategories,$CY161,IF(bpf_reference="ACP",'Lighting Assumptions 90.1-2010'!$E$3:E$35,'Lighting Assumptions 90.1-2016'!$E$3:E$35))),"")</f>
        <v/>
      </c>
      <c r="EW161" s="855"/>
      <c r="EX161" s="855"/>
      <c r="EY161" s="855"/>
      <c r="EZ161" s="855"/>
    </row>
    <row r="162" spans="4:156" x14ac:dyDescent="0.25">
      <c r="D162" s="3019"/>
      <c r="E162" s="3020"/>
      <c r="F162" s="3021">
        <f t="shared" si="60"/>
        <v>0</v>
      </c>
      <c r="G162" s="3059"/>
      <c r="H162" s="3060"/>
      <c r="I162" s="3061"/>
      <c r="J162" s="3061"/>
      <c r="K162" s="3061"/>
      <c r="L162" s="3061"/>
      <c r="M162" s="3061"/>
      <c r="N162" s="3061"/>
      <c r="O162" s="3061"/>
      <c r="P162" s="3061"/>
      <c r="Q162" s="3061"/>
      <c r="R162" s="3061"/>
      <c r="S162" s="3061"/>
      <c r="T162" s="3061"/>
      <c r="U162" s="3061"/>
      <c r="V162" s="3061"/>
      <c r="W162" s="3061"/>
      <c r="X162" s="3061"/>
      <c r="Y162" s="3061"/>
      <c r="Z162" s="3061"/>
      <c r="AA162" s="3061"/>
      <c r="AB162" s="3061"/>
      <c r="AC162" s="3061"/>
      <c r="AD162" s="3061"/>
      <c r="AE162" s="3061"/>
      <c r="AF162" s="3061"/>
      <c r="AG162" s="3061"/>
      <c r="AH162" s="3061"/>
      <c r="AI162" s="3061"/>
      <c r="AJ162" s="3061"/>
      <c r="AK162" s="3061"/>
      <c r="AL162" s="3061"/>
      <c r="AM162" s="3061"/>
      <c r="AN162" s="3061"/>
      <c r="AO162" s="3061"/>
      <c r="AP162" s="3061"/>
      <c r="AQ162" s="3061"/>
      <c r="AR162" s="3061"/>
      <c r="AS162" s="3061"/>
      <c r="AT162" s="3061"/>
      <c r="AU162" s="3061"/>
      <c r="AV162" s="3061"/>
      <c r="AW162" s="3061"/>
      <c r="AX162" s="3061"/>
      <c r="AY162" s="3061"/>
      <c r="AZ162" s="3061"/>
      <c r="BA162" s="3061"/>
      <c r="BB162" s="3061"/>
      <c r="BC162" s="3061"/>
      <c r="BD162" s="3061"/>
      <c r="BE162" s="3061"/>
      <c r="BF162" s="3061"/>
      <c r="BG162" s="3061"/>
      <c r="BH162" s="3061"/>
      <c r="BI162" s="3061"/>
      <c r="BJ162" s="3061"/>
      <c r="BK162" s="3061"/>
      <c r="BL162" s="3061"/>
      <c r="BM162" s="3061"/>
      <c r="BN162" s="3061"/>
      <c r="BO162" s="3061"/>
      <c r="BP162" s="3061"/>
      <c r="BQ162" s="3061"/>
      <c r="BR162" s="3061"/>
      <c r="BS162" s="3061"/>
      <c r="BT162" s="3061"/>
      <c r="BU162" s="3061"/>
      <c r="BV162" s="3061"/>
      <c r="BW162" s="3061"/>
      <c r="BX162" s="3061"/>
      <c r="BY162" s="3061"/>
      <c r="BZ162" s="3061"/>
      <c r="CA162" s="3061"/>
      <c r="CB162" s="3061"/>
      <c r="CC162" s="3061"/>
      <c r="CD162" s="3061"/>
      <c r="CE162" s="3061"/>
      <c r="CF162" s="3061"/>
      <c r="CG162" s="3061"/>
      <c r="CH162" s="3061"/>
      <c r="CI162" s="3061"/>
      <c r="CJ162" s="3061"/>
      <c r="CK162" s="3061"/>
      <c r="CL162" s="3061"/>
      <c r="CM162" s="3061"/>
      <c r="CN162" s="3061"/>
      <c r="CO162" s="3061"/>
      <c r="CP162" s="3061"/>
      <c r="CQ162" s="3061"/>
      <c r="CR162" s="3061"/>
      <c r="CS162" s="3062"/>
      <c r="CT162" s="3063"/>
      <c r="CU162" s="3064">
        <f t="shared" si="64"/>
        <v>1</v>
      </c>
      <c r="CV162" s="3022" t="str">
        <f>IF(OR(CT162="",CT162="None"),"-",DO162*CU162*SUMIF('Lighting Assumptions'!$G$3:$G$112,'6a - Lighting Counts'!G162,'Lighting Assumptions'!$J$3:$J$112))</f>
        <v>-</v>
      </c>
      <c r="CW162" s="3021"/>
      <c r="CX162" s="3021"/>
      <c r="CY162" s="3046"/>
      <c r="CZ162" s="2098">
        <f t="shared" si="65"/>
        <v>0</v>
      </c>
      <c r="DA162" s="2098" t="str">
        <f t="shared" si="66"/>
        <v>-</v>
      </c>
      <c r="DB162" s="2098">
        <f t="shared" si="67"/>
        <v>0</v>
      </c>
      <c r="DC162" s="3023" t="str">
        <f t="shared" si="68"/>
        <v>-</v>
      </c>
      <c r="DD162" s="3024" t="str">
        <f t="shared" si="69"/>
        <v/>
      </c>
      <c r="DE162" s="3025" t="str">
        <f t="shared" si="70"/>
        <v>-</v>
      </c>
      <c r="DF162" s="3024" t="str">
        <f t="shared" si="61"/>
        <v>-</v>
      </c>
      <c r="DG162" s="2098">
        <f t="shared" si="71"/>
        <v>0</v>
      </c>
      <c r="DH162" s="2098">
        <f t="array" ref="DH162">MIN(SUMPRODUCT(I162:CR162,IF($I$25:$CR$25="yes",1,0),$I$23:$CR$23),H162)</f>
        <v>0</v>
      </c>
      <c r="DI162" s="3026"/>
      <c r="DJ162" s="3021"/>
      <c r="DN162" s="917" t="str">
        <f>IF(CS162="","-",SUMIF('Lighting Assumptions'!$G$3:$G$112,'6a - Lighting Counts'!G162,'Lighting Assumptions'!$J$3:$J$112))</f>
        <v>-</v>
      </c>
      <c r="DO162" s="917" t="str">
        <f t="shared" si="62"/>
        <v>-</v>
      </c>
      <c r="DP162" s="917" t="str">
        <f t="shared" si="63"/>
        <v>-</v>
      </c>
      <c r="DQ162" s="917" t="str">
        <f>IF(LEFT(CELLformula(DF162),3)&lt;&gt;"=IF",1,"")</f>
        <v/>
      </c>
      <c r="DR162" s="917" t="str">
        <f>IF(LEFT(CELLformula(DD162),3)&lt;&gt;"=IF",1,"")</f>
        <v/>
      </c>
      <c r="DS162" s="3048">
        <f t="shared" si="72"/>
        <v>0</v>
      </c>
      <c r="DT162" s="3047" t="str">
        <f t="shared" si="73"/>
        <v/>
      </c>
      <c r="DU162" s="3047" t="str">
        <f>IFERROR(IF(G162="","",SUMIF('Lighting Assumptions'!$G$3:$G$112,'6a - Lighting Counts'!G162,'Lighting Assumptions'!$H$3:$H$112)*IF(SI_IP_Units="SI",10.76,1)),"")</f>
        <v/>
      </c>
      <c r="DV162" s="3047" t="str">
        <f>IFERROR(IF($CX162="","",IF(SI_IP_Units="SI",10.76,1)*SUMIF(BAMCategories,$CY162,'Lighting Assumptions'!$E$3:E$35)),"")</f>
        <v/>
      </c>
      <c r="DW162" s="3047" t="str">
        <f>IFERROR(IF($CX162="","",IF(SI_IP_Units="SI",10.76,1)*SUMIF(BAMCategories,$CY162,IF(bpf_reference="ACP",'Lighting Assumptions 90.1-2010'!$E$3:E$35,'Lighting Assumptions 90.1-2016'!$E$3:E$35))),"")</f>
        <v/>
      </c>
      <c r="EW162" s="855"/>
      <c r="EX162" s="855"/>
      <c r="EY162" s="855"/>
      <c r="EZ162" s="855"/>
    </row>
    <row r="163" spans="4:156" x14ac:dyDescent="0.25">
      <c r="D163" s="3019"/>
      <c r="E163" s="3020"/>
      <c r="F163" s="3021">
        <f t="shared" si="60"/>
        <v>0</v>
      </c>
      <c r="G163" s="3059"/>
      <c r="H163" s="3060"/>
      <c r="I163" s="3061"/>
      <c r="J163" s="3061"/>
      <c r="K163" s="3061"/>
      <c r="L163" s="3061"/>
      <c r="M163" s="3061"/>
      <c r="N163" s="3061"/>
      <c r="O163" s="3061"/>
      <c r="P163" s="3061"/>
      <c r="Q163" s="3061"/>
      <c r="R163" s="3061"/>
      <c r="S163" s="3061"/>
      <c r="T163" s="3061"/>
      <c r="U163" s="3061"/>
      <c r="V163" s="3061"/>
      <c r="W163" s="3061"/>
      <c r="X163" s="3061"/>
      <c r="Y163" s="3061"/>
      <c r="Z163" s="3061"/>
      <c r="AA163" s="3061"/>
      <c r="AB163" s="3061"/>
      <c r="AC163" s="3061"/>
      <c r="AD163" s="3061"/>
      <c r="AE163" s="3061"/>
      <c r="AF163" s="3061"/>
      <c r="AG163" s="3061"/>
      <c r="AH163" s="3061"/>
      <c r="AI163" s="3061"/>
      <c r="AJ163" s="3061"/>
      <c r="AK163" s="3061"/>
      <c r="AL163" s="3061"/>
      <c r="AM163" s="3061"/>
      <c r="AN163" s="3061"/>
      <c r="AO163" s="3061"/>
      <c r="AP163" s="3061"/>
      <c r="AQ163" s="3061"/>
      <c r="AR163" s="3061"/>
      <c r="AS163" s="3061"/>
      <c r="AT163" s="3061"/>
      <c r="AU163" s="3061"/>
      <c r="AV163" s="3061"/>
      <c r="AW163" s="3061"/>
      <c r="AX163" s="3061"/>
      <c r="AY163" s="3061"/>
      <c r="AZ163" s="3061"/>
      <c r="BA163" s="3061"/>
      <c r="BB163" s="3061"/>
      <c r="BC163" s="3061"/>
      <c r="BD163" s="3061"/>
      <c r="BE163" s="3061"/>
      <c r="BF163" s="3061"/>
      <c r="BG163" s="3061"/>
      <c r="BH163" s="3061"/>
      <c r="BI163" s="3061"/>
      <c r="BJ163" s="3061"/>
      <c r="BK163" s="3061"/>
      <c r="BL163" s="3061"/>
      <c r="BM163" s="3061"/>
      <c r="BN163" s="3061"/>
      <c r="BO163" s="3061"/>
      <c r="BP163" s="3061"/>
      <c r="BQ163" s="3061"/>
      <c r="BR163" s="3061"/>
      <c r="BS163" s="3061"/>
      <c r="BT163" s="3061"/>
      <c r="BU163" s="3061"/>
      <c r="BV163" s="3061"/>
      <c r="BW163" s="3061"/>
      <c r="BX163" s="3061"/>
      <c r="BY163" s="3061"/>
      <c r="BZ163" s="3061"/>
      <c r="CA163" s="3061"/>
      <c r="CB163" s="3061"/>
      <c r="CC163" s="3061"/>
      <c r="CD163" s="3061"/>
      <c r="CE163" s="3061"/>
      <c r="CF163" s="3061"/>
      <c r="CG163" s="3061"/>
      <c r="CH163" s="3061"/>
      <c r="CI163" s="3061"/>
      <c r="CJ163" s="3061"/>
      <c r="CK163" s="3061"/>
      <c r="CL163" s="3061"/>
      <c r="CM163" s="3061"/>
      <c r="CN163" s="3061"/>
      <c r="CO163" s="3061"/>
      <c r="CP163" s="3061"/>
      <c r="CQ163" s="3061"/>
      <c r="CR163" s="3061"/>
      <c r="CS163" s="3062"/>
      <c r="CT163" s="3063"/>
      <c r="CU163" s="3064">
        <f t="shared" si="64"/>
        <v>1</v>
      </c>
      <c r="CV163" s="3022" t="str">
        <f>IF(OR(CT163="",CT163="None"),"-",DO163*CU163*SUMIF('Lighting Assumptions'!$G$3:$G$112,'6a - Lighting Counts'!G163,'Lighting Assumptions'!$J$3:$J$112))</f>
        <v>-</v>
      </c>
      <c r="CW163" s="3021"/>
      <c r="CX163" s="3021"/>
      <c r="CY163" s="3046"/>
      <c r="CZ163" s="2098">
        <f t="shared" si="65"/>
        <v>0</v>
      </c>
      <c r="DA163" s="2098" t="str">
        <f t="shared" si="66"/>
        <v>-</v>
      </c>
      <c r="DB163" s="2098">
        <f t="shared" si="67"/>
        <v>0</v>
      </c>
      <c r="DC163" s="3023" t="str">
        <f t="shared" si="68"/>
        <v>-</v>
      </c>
      <c r="DD163" s="3024" t="str">
        <f t="shared" si="69"/>
        <v/>
      </c>
      <c r="DE163" s="3025" t="str">
        <f t="shared" si="70"/>
        <v>-</v>
      </c>
      <c r="DF163" s="3024" t="str">
        <f t="shared" si="61"/>
        <v>-</v>
      </c>
      <c r="DG163" s="2098">
        <f t="shared" si="71"/>
        <v>0</v>
      </c>
      <c r="DH163" s="2098">
        <f t="array" ref="DH163">MIN(SUMPRODUCT(I163:CR163,IF($I$25:$CR$25="yes",1,0),$I$23:$CR$23),H163)</f>
        <v>0</v>
      </c>
      <c r="DI163" s="3026"/>
      <c r="DJ163" s="3021"/>
      <c r="DN163" s="917" t="str">
        <f>IF(CS163="","-",SUMIF('Lighting Assumptions'!$G$3:$G$112,'6a - Lighting Counts'!G163,'Lighting Assumptions'!$J$3:$J$112))</f>
        <v>-</v>
      </c>
      <c r="DO163" s="917" t="str">
        <f t="shared" si="62"/>
        <v>-</v>
      </c>
      <c r="DP163" s="917" t="str">
        <f t="shared" si="63"/>
        <v>-</v>
      </c>
      <c r="DQ163" s="917" t="str">
        <f>IF(LEFT(CELLformula(DF163),3)&lt;&gt;"=IF",1,"")</f>
        <v/>
      </c>
      <c r="DR163" s="917" t="str">
        <f>IF(LEFT(CELLformula(DD163),3)&lt;&gt;"=IF",1,"")</f>
        <v/>
      </c>
      <c r="DS163" s="3048">
        <f t="shared" si="72"/>
        <v>0</v>
      </c>
      <c r="DT163" s="3047" t="str">
        <f t="shared" si="73"/>
        <v/>
      </c>
      <c r="DU163" s="3047" t="str">
        <f>IFERROR(IF(G163="","",SUMIF('Lighting Assumptions'!$G$3:$G$112,'6a - Lighting Counts'!G163,'Lighting Assumptions'!$H$3:$H$112)*IF(SI_IP_Units="SI",10.76,1)),"")</f>
        <v/>
      </c>
      <c r="DV163" s="3047" t="str">
        <f>IFERROR(IF($CX163="","",IF(SI_IP_Units="SI",10.76,1)*SUMIF(BAMCategories,$CY163,'Lighting Assumptions'!$E$3:E$35)),"")</f>
        <v/>
      </c>
      <c r="DW163" s="3047" t="str">
        <f>IFERROR(IF($CX163="","",IF(SI_IP_Units="SI",10.76,1)*SUMIF(BAMCategories,$CY163,IF(bpf_reference="ACP",'Lighting Assumptions 90.1-2010'!$E$3:E$35,'Lighting Assumptions 90.1-2016'!$E$3:E$35))),"")</f>
        <v/>
      </c>
      <c r="EW163" s="855"/>
      <c r="EX163" s="855"/>
      <c r="EY163" s="855"/>
      <c r="EZ163" s="855"/>
    </row>
    <row r="164" spans="4:156" x14ac:dyDescent="0.25">
      <c r="D164" s="3019"/>
      <c r="E164" s="3020"/>
      <c r="F164" s="3021">
        <f t="shared" si="60"/>
        <v>0</v>
      </c>
      <c r="G164" s="3059"/>
      <c r="H164" s="3060"/>
      <c r="I164" s="3061"/>
      <c r="J164" s="3061"/>
      <c r="K164" s="3061"/>
      <c r="L164" s="3061"/>
      <c r="M164" s="3061"/>
      <c r="N164" s="3061"/>
      <c r="O164" s="3061"/>
      <c r="P164" s="3061"/>
      <c r="Q164" s="3061"/>
      <c r="R164" s="3061"/>
      <c r="S164" s="3061"/>
      <c r="T164" s="3061"/>
      <c r="U164" s="3061"/>
      <c r="V164" s="3061"/>
      <c r="W164" s="3061"/>
      <c r="X164" s="3061"/>
      <c r="Y164" s="3061"/>
      <c r="Z164" s="3061"/>
      <c r="AA164" s="3061"/>
      <c r="AB164" s="3061"/>
      <c r="AC164" s="3061"/>
      <c r="AD164" s="3061"/>
      <c r="AE164" s="3061"/>
      <c r="AF164" s="3061"/>
      <c r="AG164" s="3061"/>
      <c r="AH164" s="3061"/>
      <c r="AI164" s="3061"/>
      <c r="AJ164" s="3061"/>
      <c r="AK164" s="3061"/>
      <c r="AL164" s="3061"/>
      <c r="AM164" s="3061"/>
      <c r="AN164" s="3061"/>
      <c r="AO164" s="3061"/>
      <c r="AP164" s="3061"/>
      <c r="AQ164" s="3061"/>
      <c r="AR164" s="3061"/>
      <c r="AS164" s="3061"/>
      <c r="AT164" s="3061"/>
      <c r="AU164" s="3061"/>
      <c r="AV164" s="3061"/>
      <c r="AW164" s="3061"/>
      <c r="AX164" s="3061"/>
      <c r="AY164" s="3061"/>
      <c r="AZ164" s="3061"/>
      <c r="BA164" s="3061"/>
      <c r="BB164" s="3061"/>
      <c r="BC164" s="3061"/>
      <c r="BD164" s="3061"/>
      <c r="BE164" s="3061"/>
      <c r="BF164" s="3061"/>
      <c r="BG164" s="3061"/>
      <c r="BH164" s="3061"/>
      <c r="BI164" s="3061"/>
      <c r="BJ164" s="3061"/>
      <c r="BK164" s="3061"/>
      <c r="BL164" s="3061"/>
      <c r="BM164" s="3061"/>
      <c r="BN164" s="3061"/>
      <c r="BO164" s="3061"/>
      <c r="BP164" s="3061"/>
      <c r="BQ164" s="3061"/>
      <c r="BR164" s="3061"/>
      <c r="BS164" s="3061"/>
      <c r="BT164" s="3061"/>
      <c r="BU164" s="3061"/>
      <c r="BV164" s="3061"/>
      <c r="BW164" s="3061"/>
      <c r="BX164" s="3061"/>
      <c r="BY164" s="3061"/>
      <c r="BZ164" s="3061"/>
      <c r="CA164" s="3061"/>
      <c r="CB164" s="3061"/>
      <c r="CC164" s="3061"/>
      <c r="CD164" s="3061"/>
      <c r="CE164" s="3061"/>
      <c r="CF164" s="3061"/>
      <c r="CG164" s="3061"/>
      <c r="CH164" s="3061"/>
      <c r="CI164" s="3061"/>
      <c r="CJ164" s="3061"/>
      <c r="CK164" s="3061"/>
      <c r="CL164" s="3061"/>
      <c r="CM164" s="3061"/>
      <c r="CN164" s="3061"/>
      <c r="CO164" s="3061"/>
      <c r="CP164" s="3061"/>
      <c r="CQ164" s="3061"/>
      <c r="CR164" s="3061"/>
      <c r="CS164" s="3062"/>
      <c r="CT164" s="3063"/>
      <c r="CU164" s="3064">
        <f t="shared" si="64"/>
        <v>1</v>
      </c>
      <c r="CV164" s="3022" t="str">
        <f>IF(OR(CT164="",CT164="None"),"-",DO164*CU164*SUMIF('Lighting Assumptions'!$G$3:$G$112,'6a - Lighting Counts'!G164,'Lighting Assumptions'!$J$3:$J$112))</f>
        <v>-</v>
      </c>
      <c r="CW164" s="3021"/>
      <c r="CX164" s="3021"/>
      <c r="CY164" s="3046"/>
      <c r="CZ164" s="2098">
        <f t="shared" si="65"/>
        <v>0</v>
      </c>
      <c r="DA164" s="2098" t="str">
        <f t="shared" si="66"/>
        <v>-</v>
      </c>
      <c r="DB164" s="2098">
        <f t="shared" si="67"/>
        <v>0</v>
      </c>
      <c r="DC164" s="3023" t="str">
        <f t="shared" si="68"/>
        <v>-</v>
      </c>
      <c r="DD164" s="3024" t="str">
        <f t="shared" si="69"/>
        <v/>
      </c>
      <c r="DE164" s="3025" t="str">
        <f t="shared" si="70"/>
        <v>-</v>
      </c>
      <c r="DF164" s="3024" t="str">
        <f t="shared" si="61"/>
        <v>-</v>
      </c>
      <c r="DG164" s="2098">
        <f t="shared" si="71"/>
        <v>0</v>
      </c>
      <c r="DH164" s="2098">
        <f t="array" ref="DH164">MIN(SUMPRODUCT(I164:CR164,IF($I$25:$CR$25="yes",1,0),$I$23:$CR$23),H164)</f>
        <v>0</v>
      </c>
      <c r="DI164" s="3026"/>
      <c r="DJ164" s="3021"/>
      <c r="DN164" s="917" t="str">
        <f>IF(CS164="","-",SUMIF('Lighting Assumptions'!$G$3:$G$112,'6a - Lighting Counts'!G164,'Lighting Assumptions'!$J$3:$J$112))</f>
        <v>-</v>
      </c>
      <c r="DO164" s="917" t="str">
        <f t="shared" si="62"/>
        <v>-</v>
      </c>
      <c r="DP164" s="917" t="str">
        <f t="shared" si="63"/>
        <v>-</v>
      </c>
      <c r="DQ164" s="917" t="str">
        <f>IF(LEFT(CELLformula(DF164),3)&lt;&gt;"=IF",1,"")</f>
        <v/>
      </c>
      <c r="DR164" s="917" t="str">
        <f>IF(LEFT(CELLformula(DD164),3)&lt;&gt;"=IF",1,"")</f>
        <v/>
      </c>
      <c r="DS164" s="3048">
        <f t="shared" si="72"/>
        <v>0</v>
      </c>
      <c r="DT164" s="3047" t="str">
        <f t="shared" si="73"/>
        <v/>
      </c>
      <c r="DU164" s="3047" t="str">
        <f>IFERROR(IF(G164="","",SUMIF('Lighting Assumptions'!$G$3:$G$112,'6a - Lighting Counts'!G164,'Lighting Assumptions'!$H$3:$H$112)*IF(SI_IP_Units="SI",10.76,1)),"")</f>
        <v/>
      </c>
      <c r="DV164" s="3047" t="str">
        <f>IFERROR(IF($CX164="","",IF(SI_IP_Units="SI",10.76,1)*SUMIF(BAMCategories,$CY164,'Lighting Assumptions'!$E$3:E$35)),"")</f>
        <v/>
      </c>
      <c r="DW164" s="3047" t="str">
        <f>IFERROR(IF($CX164="","",IF(SI_IP_Units="SI",10.76,1)*SUMIF(BAMCategories,$CY164,IF(bpf_reference="ACP",'Lighting Assumptions 90.1-2010'!$E$3:E$35,'Lighting Assumptions 90.1-2016'!$E$3:E$35))),"")</f>
        <v/>
      </c>
      <c r="EW164" s="855"/>
      <c r="EX164" s="855"/>
      <c r="EY164" s="855"/>
      <c r="EZ164" s="855"/>
    </row>
    <row r="165" spans="4:156" x14ac:dyDescent="0.25">
      <c r="D165" s="3019"/>
      <c r="E165" s="3020"/>
      <c r="F165" s="3021">
        <f t="shared" si="60"/>
        <v>0</v>
      </c>
      <c r="G165" s="3059"/>
      <c r="H165" s="3060"/>
      <c r="I165" s="3061"/>
      <c r="J165" s="3061"/>
      <c r="K165" s="3061"/>
      <c r="L165" s="3061"/>
      <c r="M165" s="3061"/>
      <c r="N165" s="3061"/>
      <c r="O165" s="3061"/>
      <c r="P165" s="3061"/>
      <c r="Q165" s="3061"/>
      <c r="R165" s="3061"/>
      <c r="S165" s="3061"/>
      <c r="T165" s="3061"/>
      <c r="U165" s="3061"/>
      <c r="V165" s="3061"/>
      <c r="W165" s="3061"/>
      <c r="X165" s="3061"/>
      <c r="Y165" s="3061"/>
      <c r="Z165" s="3061"/>
      <c r="AA165" s="3061"/>
      <c r="AB165" s="3061"/>
      <c r="AC165" s="3061"/>
      <c r="AD165" s="3061"/>
      <c r="AE165" s="3061"/>
      <c r="AF165" s="3061"/>
      <c r="AG165" s="3061"/>
      <c r="AH165" s="3061"/>
      <c r="AI165" s="3061"/>
      <c r="AJ165" s="3061"/>
      <c r="AK165" s="3061"/>
      <c r="AL165" s="3061"/>
      <c r="AM165" s="3061"/>
      <c r="AN165" s="3061"/>
      <c r="AO165" s="3061"/>
      <c r="AP165" s="3061"/>
      <c r="AQ165" s="3061"/>
      <c r="AR165" s="3061"/>
      <c r="AS165" s="3061"/>
      <c r="AT165" s="3061"/>
      <c r="AU165" s="3061"/>
      <c r="AV165" s="3061"/>
      <c r="AW165" s="3061"/>
      <c r="AX165" s="3061"/>
      <c r="AY165" s="3061"/>
      <c r="AZ165" s="3061"/>
      <c r="BA165" s="3061"/>
      <c r="BB165" s="3061"/>
      <c r="BC165" s="3061"/>
      <c r="BD165" s="3061"/>
      <c r="BE165" s="3061"/>
      <c r="BF165" s="3061"/>
      <c r="BG165" s="3061"/>
      <c r="BH165" s="3061"/>
      <c r="BI165" s="3061"/>
      <c r="BJ165" s="3061"/>
      <c r="BK165" s="3061"/>
      <c r="BL165" s="3061"/>
      <c r="BM165" s="3061"/>
      <c r="BN165" s="3061"/>
      <c r="BO165" s="3061"/>
      <c r="BP165" s="3061"/>
      <c r="BQ165" s="3061"/>
      <c r="BR165" s="3061"/>
      <c r="BS165" s="3061"/>
      <c r="BT165" s="3061"/>
      <c r="BU165" s="3061"/>
      <c r="BV165" s="3061"/>
      <c r="BW165" s="3061"/>
      <c r="BX165" s="3061"/>
      <c r="BY165" s="3061"/>
      <c r="BZ165" s="3061"/>
      <c r="CA165" s="3061"/>
      <c r="CB165" s="3061"/>
      <c r="CC165" s="3061"/>
      <c r="CD165" s="3061"/>
      <c r="CE165" s="3061"/>
      <c r="CF165" s="3061"/>
      <c r="CG165" s="3061"/>
      <c r="CH165" s="3061"/>
      <c r="CI165" s="3061"/>
      <c r="CJ165" s="3061"/>
      <c r="CK165" s="3061"/>
      <c r="CL165" s="3061"/>
      <c r="CM165" s="3061"/>
      <c r="CN165" s="3061"/>
      <c r="CO165" s="3061"/>
      <c r="CP165" s="3061"/>
      <c r="CQ165" s="3061"/>
      <c r="CR165" s="3061"/>
      <c r="CS165" s="3062"/>
      <c r="CT165" s="3063"/>
      <c r="CU165" s="3064">
        <f t="shared" si="64"/>
        <v>1</v>
      </c>
      <c r="CV165" s="3022" t="str">
        <f>IF(OR(CT165="",CT165="None"),"-",DO165*CU165*SUMIF('Lighting Assumptions'!$G$3:$G$112,'6a - Lighting Counts'!G165,'Lighting Assumptions'!$J$3:$J$112))</f>
        <v>-</v>
      </c>
      <c r="CW165" s="3021"/>
      <c r="CX165" s="3021"/>
      <c r="CY165" s="3046"/>
      <c r="CZ165" s="2098">
        <f t="shared" si="65"/>
        <v>0</v>
      </c>
      <c r="DA165" s="2098" t="str">
        <f t="shared" si="66"/>
        <v>-</v>
      </c>
      <c r="DB165" s="2098">
        <f t="shared" si="67"/>
        <v>0</v>
      </c>
      <c r="DC165" s="3023" t="str">
        <f t="shared" si="68"/>
        <v>-</v>
      </c>
      <c r="DD165" s="3024" t="str">
        <f t="shared" si="69"/>
        <v/>
      </c>
      <c r="DE165" s="3025" t="str">
        <f t="shared" si="70"/>
        <v>-</v>
      </c>
      <c r="DF165" s="3024" t="str">
        <f t="shared" si="61"/>
        <v>-</v>
      </c>
      <c r="DG165" s="2098">
        <f t="shared" si="71"/>
        <v>0</v>
      </c>
      <c r="DH165" s="2098">
        <f t="array" ref="DH165">MIN(SUMPRODUCT(I165:CR165,IF($I$25:$CR$25="yes",1,0),$I$23:$CR$23),H165)</f>
        <v>0</v>
      </c>
      <c r="DI165" s="3026"/>
      <c r="DJ165" s="3021"/>
      <c r="DN165" s="917" t="str">
        <f>IF(CS165="","-",SUMIF('Lighting Assumptions'!$G$3:$G$112,'6a - Lighting Counts'!G165,'Lighting Assumptions'!$J$3:$J$112))</f>
        <v>-</v>
      </c>
      <c r="DO165" s="917" t="str">
        <f t="shared" si="62"/>
        <v>-</v>
      </c>
      <c r="DP165" s="917" t="str">
        <f t="shared" si="63"/>
        <v>-</v>
      </c>
      <c r="DQ165" s="917" t="str">
        <f>IF(LEFT(CELLformula(DF165),3)&lt;&gt;"=IF",1,"")</f>
        <v/>
      </c>
      <c r="DR165" s="917" t="str">
        <f>IF(LEFT(CELLformula(DD165),3)&lt;&gt;"=IF",1,"")</f>
        <v/>
      </c>
      <c r="DS165" s="3048">
        <f t="shared" si="72"/>
        <v>0</v>
      </c>
      <c r="DT165" s="3047" t="str">
        <f t="shared" si="73"/>
        <v/>
      </c>
      <c r="DU165" s="3047" t="str">
        <f>IFERROR(IF(G165="","",SUMIF('Lighting Assumptions'!$G$3:$G$112,'6a - Lighting Counts'!G165,'Lighting Assumptions'!$H$3:$H$112)*IF(SI_IP_Units="SI",10.76,1)),"")</f>
        <v/>
      </c>
      <c r="DV165" s="3047" t="str">
        <f>IFERROR(IF($CX165="","",IF(SI_IP_Units="SI",10.76,1)*SUMIF(BAMCategories,$CY165,'Lighting Assumptions'!$E$3:E$35)),"")</f>
        <v/>
      </c>
      <c r="DW165" s="3047" t="str">
        <f>IFERROR(IF($CX165="","",IF(SI_IP_Units="SI",10.76,1)*SUMIF(BAMCategories,$CY165,IF(bpf_reference="ACP",'Lighting Assumptions 90.1-2010'!$E$3:E$35,'Lighting Assumptions 90.1-2016'!$E$3:E$35))),"")</f>
        <v/>
      </c>
      <c r="EW165" s="855"/>
      <c r="EX165" s="855"/>
      <c r="EY165" s="855"/>
      <c r="EZ165" s="855"/>
    </row>
    <row r="166" spans="4:156" x14ac:dyDescent="0.25">
      <c r="D166" s="3019"/>
      <c r="E166" s="3020"/>
      <c r="F166" s="3021">
        <f t="shared" si="60"/>
        <v>0</v>
      </c>
      <c r="G166" s="3059"/>
      <c r="H166" s="3060"/>
      <c r="I166" s="3061"/>
      <c r="J166" s="3061"/>
      <c r="K166" s="3061"/>
      <c r="L166" s="3061"/>
      <c r="M166" s="3061"/>
      <c r="N166" s="3061"/>
      <c r="O166" s="3061"/>
      <c r="P166" s="3061"/>
      <c r="Q166" s="3061"/>
      <c r="R166" s="3061"/>
      <c r="S166" s="3061"/>
      <c r="T166" s="3061"/>
      <c r="U166" s="3061"/>
      <c r="V166" s="3061"/>
      <c r="W166" s="3061"/>
      <c r="X166" s="3061"/>
      <c r="Y166" s="3061"/>
      <c r="Z166" s="3061"/>
      <c r="AA166" s="3061"/>
      <c r="AB166" s="3061"/>
      <c r="AC166" s="3061"/>
      <c r="AD166" s="3061"/>
      <c r="AE166" s="3061"/>
      <c r="AF166" s="3061"/>
      <c r="AG166" s="3061"/>
      <c r="AH166" s="3061"/>
      <c r="AI166" s="3061"/>
      <c r="AJ166" s="3061"/>
      <c r="AK166" s="3061"/>
      <c r="AL166" s="3061"/>
      <c r="AM166" s="3061"/>
      <c r="AN166" s="3061"/>
      <c r="AO166" s="3061"/>
      <c r="AP166" s="3061"/>
      <c r="AQ166" s="3061"/>
      <c r="AR166" s="3061"/>
      <c r="AS166" s="3061"/>
      <c r="AT166" s="3061"/>
      <c r="AU166" s="3061"/>
      <c r="AV166" s="3061"/>
      <c r="AW166" s="3061"/>
      <c r="AX166" s="3061"/>
      <c r="AY166" s="3061"/>
      <c r="AZ166" s="3061"/>
      <c r="BA166" s="3061"/>
      <c r="BB166" s="3061"/>
      <c r="BC166" s="3061"/>
      <c r="BD166" s="3061"/>
      <c r="BE166" s="3061"/>
      <c r="BF166" s="3061"/>
      <c r="BG166" s="3061"/>
      <c r="BH166" s="3061"/>
      <c r="BI166" s="3061"/>
      <c r="BJ166" s="3061"/>
      <c r="BK166" s="3061"/>
      <c r="BL166" s="3061"/>
      <c r="BM166" s="3061"/>
      <c r="BN166" s="3061"/>
      <c r="BO166" s="3061"/>
      <c r="BP166" s="3061"/>
      <c r="BQ166" s="3061"/>
      <c r="BR166" s="3061"/>
      <c r="BS166" s="3061"/>
      <c r="BT166" s="3061"/>
      <c r="BU166" s="3061"/>
      <c r="BV166" s="3061"/>
      <c r="BW166" s="3061"/>
      <c r="BX166" s="3061"/>
      <c r="BY166" s="3061"/>
      <c r="BZ166" s="3061"/>
      <c r="CA166" s="3061"/>
      <c r="CB166" s="3061"/>
      <c r="CC166" s="3061"/>
      <c r="CD166" s="3061"/>
      <c r="CE166" s="3061"/>
      <c r="CF166" s="3061"/>
      <c r="CG166" s="3061"/>
      <c r="CH166" s="3061"/>
      <c r="CI166" s="3061"/>
      <c r="CJ166" s="3061"/>
      <c r="CK166" s="3061"/>
      <c r="CL166" s="3061"/>
      <c r="CM166" s="3061"/>
      <c r="CN166" s="3061"/>
      <c r="CO166" s="3061"/>
      <c r="CP166" s="3061"/>
      <c r="CQ166" s="3061"/>
      <c r="CR166" s="3061"/>
      <c r="CS166" s="3062"/>
      <c r="CT166" s="3063"/>
      <c r="CU166" s="3064">
        <f t="shared" si="64"/>
        <v>1</v>
      </c>
      <c r="CV166" s="3022" t="str">
        <f>IF(OR(CT166="",CT166="None"),"-",DO166*CU166*SUMIF('Lighting Assumptions'!$G$3:$G$112,'6a - Lighting Counts'!G166,'Lighting Assumptions'!$J$3:$J$112))</f>
        <v>-</v>
      </c>
      <c r="CW166" s="3021"/>
      <c r="CX166" s="3021"/>
      <c r="CY166" s="3046"/>
      <c r="CZ166" s="2098">
        <f t="shared" si="65"/>
        <v>0</v>
      </c>
      <c r="DA166" s="2098" t="str">
        <f t="shared" si="66"/>
        <v>-</v>
      </c>
      <c r="DB166" s="2098">
        <f t="shared" si="67"/>
        <v>0</v>
      </c>
      <c r="DC166" s="3023" t="str">
        <f t="shared" si="68"/>
        <v>-</v>
      </c>
      <c r="DD166" s="3024" t="str">
        <f t="shared" si="69"/>
        <v/>
      </c>
      <c r="DE166" s="3025" t="str">
        <f t="shared" si="70"/>
        <v>-</v>
      </c>
      <c r="DF166" s="3024" t="str">
        <f t="shared" si="61"/>
        <v>-</v>
      </c>
      <c r="DG166" s="2098">
        <f t="shared" si="71"/>
        <v>0</v>
      </c>
      <c r="DH166" s="2098">
        <f t="array" ref="DH166">MIN(SUMPRODUCT(I166:CR166,IF($I$25:$CR$25="yes",1,0),$I$23:$CR$23),H166)</f>
        <v>0</v>
      </c>
      <c r="DI166" s="3026"/>
      <c r="DJ166" s="3021"/>
      <c r="DN166" s="917" t="str">
        <f>IF(CS166="","-",SUMIF('Lighting Assumptions'!$G$3:$G$112,'6a - Lighting Counts'!G166,'Lighting Assumptions'!$J$3:$J$112))</f>
        <v>-</v>
      </c>
      <c r="DO166" s="917" t="str">
        <f t="shared" si="62"/>
        <v>-</v>
      </c>
      <c r="DP166" s="917" t="str">
        <f t="shared" si="63"/>
        <v>-</v>
      </c>
      <c r="DQ166" s="917" t="str">
        <f>IF(LEFT(CELLformula(DF166),3)&lt;&gt;"=IF",1,"")</f>
        <v/>
      </c>
      <c r="DR166" s="917" t="str">
        <f>IF(LEFT(CELLformula(DD166),3)&lt;&gt;"=IF",1,"")</f>
        <v/>
      </c>
      <c r="DS166" s="3048">
        <f t="shared" si="72"/>
        <v>0</v>
      </c>
      <c r="DT166" s="3047" t="str">
        <f t="shared" si="73"/>
        <v/>
      </c>
      <c r="DU166" s="3047" t="str">
        <f>IFERROR(IF(G166="","",SUMIF('Lighting Assumptions'!$G$3:$G$112,'6a - Lighting Counts'!G166,'Lighting Assumptions'!$H$3:$H$112)*IF(SI_IP_Units="SI",10.76,1)),"")</f>
        <v/>
      </c>
      <c r="DV166" s="3047" t="str">
        <f>IFERROR(IF($CX166="","",IF(SI_IP_Units="SI",10.76,1)*SUMIF(BAMCategories,$CY166,'Lighting Assumptions'!$E$3:E$35)),"")</f>
        <v/>
      </c>
      <c r="DW166" s="3047" t="str">
        <f>IFERROR(IF($CX166="","",IF(SI_IP_Units="SI",10.76,1)*SUMIF(BAMCategories,$CY166,IF(bpf_reference="ACP",'Lighting Assumptions 90.1-2010'!$E$3:E$35,'Lighting Assumptions 90.1-2016'!$E$3:E$35))),"")</f>
        <v/>
      </c>
      <c r="EW166" s="855"/>
      <c r="EX166" s="855"/>
      <c r="EY166" s="855"/>
      <c r="EZ166" s="855"/>
    </row>
    <row r="167" spans="4:156" x14ac:dyDescent="0.25">
      <c r="D167" s="3019"/>
      <c r="E167" s="3020"/>
      <c r="F167" s="3021">
        <f t="shared" si="60"/>
        <v>0</v>
      </c>
      <c r="G167" s="3059"/>
      <c r="H167" s="3060"/>
      <c r="I167" s="3061"/>
      <c r="J167" s="3061"/>
      <c r="K167" s="3061"/>
      <c r="L167" s="3061"/>
      <c r="M167" s="3061"/>
      <c r="N167" s="3061"/>
      <c r="O167" s="3061"/>
      <c r="P167" s="3061"/>
      <c r="Q167" s="3061"/>
      <c r="R167" s="3061"/>
      <c r="S167" s="3061"/>
      <c r="T167" s="3061"/>
      <c r="U167" s="3061"/>
      <c r="V167" s="3061"/>
      <c r="W167" s="3061"/>
      <c r="X167" s="3061"/>
      <c r="Y167" s="3061"/>
      <c r="Z167" s="3061"/>
      <c r="AA167" s="3061"/>
      <c r="AB167" s="3061"/>
      <c r="AC167" s="3061"/>
      <c r="AD167" s="3061"/>
      <c r="AE167" s="3061"/>
      <c r="AF167" s="3061"/>
      <c r="AG167" s="3061"/>
      <c r="AH167" s="3061"/>
      <c r="AI167" s="3061"/>
      <c r="AJ167" s="3061"/>
      <c r="AK167" s="3061"/>
      <c r="AL167" s="3061"/>
      <c r="AM167" s="3061"/>
      <c r="AN167" s="3061"/>
      <c r="AO167" s="3061"/>
      <c r="AP167" s="3061"/>
      <c r="AQ167" s="3061"/>
      <c r="AR167" s="3061"/>
      <c r="AS167" s="3061"/>
      <c r="AT167" s="3061"/>
      <c r="AU167" s="3061"/>
      <c r="AV167" s="3061"/>
      <c r="AW167" s="3061"/>
      <c r="AX167" s="3061"/>
      <c r="AY167" s="3061"/>
      <c r="AZ167" s="3061"/>
      <c r="BA167" s="3061"/>
      <c r="BB167" s="3061"/>
      <c r="BC167" s="3061"/>
      <c r="BD167" s="3061"/>
      <c r="BE167" s="3061"/>
      <c r="BF167" s="3061"/>
      <c r="BG167" s="3061"/>
      <c r="BH167" s="3061"/>
      <c r="BI167" s="3061"/>
      <c r="BJ167" s="3061"/>
      <c r="BK167" s="3061"/>
      <c r="BL167" s="3061"/>
      <c r="BM167" s="3061"/>
      <c r="BN167" s="3061"/>
      <c r="BO167" s="3061"/>
      <c r="BP167" s="3061"/>
      <c r="BQ167" s="3061"/>
      <c r="BR167" s="3061"/>
      <c r="BS167" s="3061"/>
      <c r="BT167" s="3061"/>
      <c r="BU167" s="3061"/>
      <c r="BV167" s="3061"/>
      <c r="BW167" s="3061"/>
      <c r="BX167" s="3061"/>
      <c r="BY167" s="3061"/>
      <c r="BZ167" s="3061"/>
      <c r="CA167" s="3061"/>
      <c r="CB167" s="3061"/>
      <c r="CC167" s="3061"/>
      <c r="CD167" s="3061"/>
      <c r="CE167" s="3061"/>
      <c r="CF167" s="3061"/>
      <c r="CG167" s="3061"/>
      <c r="CH167" s="3061"/>
      <c r="CI167" s="3061"/>
      <c r="CJ167" s="3061"/>
      <c r="CK167" s="3061"/>
      <c r="CL167" s="3061"/>
      <c r="CM167" s="3061"/>
      <c r="CN167" s="3061"/>
      <c r="CO167" s="3061"/>
      <c r="CP167" s="3061"/>
      <c r="CQ167" s="3061"/>
      <c r="CR167" s="3061"/>
      <c r="CS167" s="3062"/>
      <c r="CT167" s="3063"/>
      <c r="CU167" s="3064">
        <f t="shared" si="64"/>
        <v>1</v>
      </c>
      <c r="CV167" s="3022" t="str">
        <f>IF(OR(CT167="",CT167="None"),"-",DO167*CU167*SUMIF('Lighting Assumptions'!$G$3:$G$112,'6a - Lighting Counts'!G167,'Lighting Assumptions'!$J$3:$J$112))</f>
        <v>-</v>
      </c>
      <c r="CW167" s="3021"/>
      <c r="CX167" s="3021"/>
      <c r="CY167" s="3046"/>
      <c r="CZ167" s="2098">
        <f t="shared" si="65"/>
        <v>0</v>
      </c>
      <c r="DA167" s="2098" t="str">
        <f t="shared" si="66"/>
        <v>-</v>
      </c>
      <c r="DB167" s="2098">
        <f t="shared" si="67"/>
        <v>0</v>
      </c>
      <c r="DC167" s="3023" t="str">
        <f t="shared" si="68"/>
        <v>-</v>
      </c>
      <c r="DD167" s="3024" t="str">
        <f t="shared" si="69"/>
        <v/>
      </c>
      <c r="DE167" s="3025" t="str">
        <f t="shared" si="70"/>
        <v>-</v>
      </c>
      <c r="DF167" s="3024" t="str">
        <f t="shared" si="61"/>
        <v>-</v>
      </c>
      <c r="DG167" s="2098">
        <f t="shared" si="71"/>
        <v>0</v>
      </c>
      <c r="DH167" s="2098">
        <f t="array" ref="DH167">MIN(SUMPRODUCT(I167:CR167,IF($I$25:$CR$25="yes",1,0),$I$23:$CR$23),H167)</f>
        <v>0</v>
      </c>
      <c r="DI167" s="3026"/>
      <c r="DJ167" s="3021"/>
      <c r="DN167" s="917" t="str">
        <f>IF(CS167="","-",SUMIF('Lighting Assumptions'!$G$3:$G$112,'6a - Lighting Counts'!G167,'Lighting Assumptions'!$J$3:$J$112))</f>
        <v>-</v>
      </c>
      <c r="DO167" s="917" t="str">
        <f t="shared" si="62"/>
        <v>-</v>
      </c>
      <c r="DP167" s="917" t="str">
        <f t="shared" si="63"/>
        <v>-</v>
      </c>
      <c r="DQ167" s="917" t="str">
        <f>IF(LEFT(CELLformula(DF167),3)&lt;&gt;"=IF",1,"")</f>
        <v/>
      </c>
      <c r="DR167" s="917" t="str">
        <f>IF(LEFT(CELLformula(DD167),3)&lt;&gt;"=IF",1,"")</f>
        <v/>
      </c>
      <c r="DS167" s="3048">
        <f t="shared" si="72"/>
        <v>0</v>
      </c>
      <c r="DT167" s="3047" t="str">
        <f t="shared" si="73"/>
        <v/>
      </c>
      <c r="DU167" s="3047" t="str">
        <f>IFERROR(IF(G167="","",SUMIF('Lighting Assumptions'!$G$3:$G$112,'6a - Lighting Counts'!G167,'Lighting Assumptions'!$H$3:$H$112)*IF(SI_IP_Units="SI",10.76,1)),"")</f>
        <v/>
      </c>
      <c r="DV167" s="3047" t="str">
        <f>IFERROR(IF($CX167="","",IF(SI_IP_Units="SI",10.76,1)*SUMIF(BAMCategories,$CY167,'Lighting Assumptions'!$E$3:E$35)),"")</f>
        <v/>
      </c>
      <c r="DW167" s="3047" t="str">
        <f>IFERROR(IF($CX167="","",IF(SI_IP_Units="SI",10.76,1)*SUMIF(BAMCategories,$CY167,IF(bpf_reference="ACP",'Lighting Assumptions 90.1-2010'!$E$3:E$35,'Lighting Assumptions 90.1-2016'!$E$3:E$35))),"")</f>
        <v/>
      </c>
      <c r="EW167" s="855"/>
      <c r="EX167" s="855"/>
      <c r="EY167" s="855"/>
      <c r="EZ167" s="855"/>
    </row>
    <row r="168" spans="4:156" x14ac:dyDescent="0.25">
      <c r="D168" s="3019"/>
      <c r="E168" s="3020"/>
      <c r="F168" s="3021">
        <f t="shared" si="60"/>
        <v>0</v>
      </c>
      <c r="G168" s="3059"/>
      <c r="H168" s="3060"/>
      <c r="I168" s="3061"/>
      <c r="J168" s="3061"/>
      <c r="K168" s="3061"/>
      <c r="L168" s="3061"/>
      <c r="M168" s="3061"/>
      <c r="N168" s="3061"/>
      <c r="O168" s="3061"/>
      <c r="P168" s="3061"/>
      <c r="Q168" s="3061"/>
      <c r="R168" s="3061"/>
      <c r="S168" s="3061"/>
      <c r="T168" s="3061"/>
      <c r="U168" s="3061"/>
      <c r="V168" s="3061"/>
      <c r="W168" s="3061"/>
      <c r="X168" s="3061"/>
      <c r="Y168" s="3061"/>
      <c r="Z168" s="3061"/>
      <c r="AA168" s="3061"/>
      <c r="AB168" s="3061"/>
      <c r="AC168" s="3061"/>
      <c r="AD168" s="3061"/>
      <c r="AE168" s="3061"/>
      <c r="AF168" s="3061"/>
      <c r="AG168" s="3061"/>
      <c r="AH168" s="3061"/>
      <c r="AI168" s="3061"/>
      <c r="AJ168" s="3061"/>
      <c r="AK168" s="3061"/>
      <c r="AL168" s="3061"/>
      <c r="AM168" s="3061"/>
      <c r="AN168" s="3061"/>
      <c r="AO168" s="3061"/>
      <c r="AP168" s="3061"/>
      <c r="AQ168" s="3061"/>
      <c r="AR168" s="3061"/>
      <c r="AS168" s="3061"/>
      <c r="AT168" s="3061"/>
      <c r="AU168" s="3061"/>
      <c r="AV168" s="3061"/>
      <c r="AW168" s="3061"/>
      <c r="AX168" s="3061"/>
      <c r="AY168" s="3061"/>
      <c r="AZ168" s="3061"/>
      <c r="BA168" s="3061"/>
      <c r="BB168" s="3061"/>
      <c r="BC168" s="3061"/>
      <c r="BD168" s="3061"/>
      <c r="BE168" s="3061"/>
      <c r="BF168" s="3061"/>
      <c r="BG168" s="3061"/>
      <c r="BH168" s="3061"/>
      <c r="BI168" s="3061"/>
      <c r="BJ168" s="3061"/>
      <c r="BK168" s="3061"/>
      <c r="BL168" s="3061"/>
      <c r="BM168" s="3061"/>
      <c r="BN168" s="3061"/>
      <c r="BO168" s="3061"/>
      <c r="BP168" s="3061"/>
      <c r="BQ168" s="3061"/>
      <c r="BR168" s="3061"/>
      <c r="BS168" s="3061"/>
      <c r="BT168" s="3061"/>
      <c r="BU168" s="3061"/>
      <c r="BV168" s="3061"/>
      <c r="BW168" s="3061"/>
      <c r="BX168" s="3061"/>
      <c r="BY168" s="3061"/>
      <c r="BZ168" s="3061"/>
      <c r="CA168" s="3061"/>
      <c r="CB168" s="3061"/>
      <c r="CC168" s="3061"/>
      <c r="CD168" s="3061"/>
      <c r="CE168" s="3061"/>
      <c r="CF168" s="3061"/>
      <c r="CG168" s="3061"/>
      <c r="CH168" s="3061"/>
      <c r="CI168" s="3061"/>
      <c r="CJ168" s="3061"/>
      <c r="CK168" s="3061"/>
      <c r="CL168" s="3061"/>
      <c r="CM168" s="3061"/>
      <c r="CN168" s="3061"/>
      <c r="CO168" s="3061"/>
      <c r="CP168" s="3061"/>
      <c r="CQ168" s="3061"/>
      <c r="CR168" s="3061"/>
      <c r="CS168" s="3062"/>
      <c r="CT168" s="3063"/>
      <c r="CU168" s="3064">
        <f t="shared" si="64"/>
        <v>1</v>
      </c>
      <c r="CV168" s="3022" t="str">
        <f>IF(OR(CT168="",CT168="None"),"-",DO168*CU168*SUMIF('Lighting Assumptions'!$G$3:$G$112,'6a - Lighting Counts'!G168,'Lighting Assumptions'!$J$3:$J$112))</f>
        <v>-</v>
      </c>
      <c r="CW168" s="3021"/>
      <c r="CX168" s="3021"/>
      <c r="CY168" s="3046"/>
      <c r="CZ168" s="2098">
        <f t="shared" si="65"/>
        <v>0</v>
      </c>
      <c r="DA168" s="2098" t="str">
        <f t="shared" si="66"/>
        <v>-</v>
      </c>
      <c r="DB168" s="2098">
        <f t="shared" si="67"/>
        <v>0</v>
      </c>
      <c r="DC168" s="3023" t="str">
        <f t="shared" si="68"/>
        <v>-</v>
      </c>
      <c r="DD168" s="3024" t="str">
        <f t="shared" si="69"/>
        <v/>
      </c>
      <c r="DE168" s="3025" t="str">
        <f t="shared" si="70"/>
        <v>-</v>
      </c>
      <c r="DF168" s="3024" t="str">
        <f t="shared" si="61"/>
        <v>-</v>
      </c>
      <c r="DG168" s="2098">
        <f t="shared" si="71"/>
        <v>0</v>
      </c>
      <c r="DH168" s="2098">
        <f t="array" ref="DH168">MIN(SUMPRODUCT(I168:CR168,IF($I$25:$CR$25="yes",1,0),$I$23:$CR$23),H168)</f>
        <v>0</v>
      </c>
      <c r="DI168" s="3026"/>
      <c r="DJ168" s="3021"/>
      <c r="DN168" s="917" t="str">
        <f>IF(CS168="","-",SUMIF('Lighting Assumptions'!$G$3:$G$112,'6a - Lighting Counts'!G168,'Lighting Assumptions'!$J$3:$J$112))</f>
        <v>-</v>
      </c>
      <c r="DO168" s="917" t="str">
        <f t="shared" si="62"/>
        <v>-</v>
      </c>
      <c r="DP168" s="917" t="str">
        <f t="shared" si="63"/>
        <v>-</v>
      </c>
      <c r="DQ168" s="917" t="str">
        <f>IF(LEFT(CELLformula(DF168),3)&lt;&gt;"=IF",1,"")</f>
        <v/>
      </c>
      <c r="DR168" s="917" t="str">
        <f>IF(LEFT(CELLformula(DD168),3)&lt;&gt;"=IF",1,"")</f>
        <v/>
      </c>
      <c r="DS168" s="3048">
        <f t="shared" si="72"/>
        <v>0</v>
      </c>
      <c r="DT168" s="3047" t="str">
        <f t="shared" si="73"/>
        <v/>
      </c>
      <c r="DU168" s="3047" t="str">
        <f>IFERROR(IF(G168="","",SUMIF('Lighting Assumptions'!$G$3:$G$112,'6a - Lighting Counts'!G168,'Lighting Assumptions'!$H$3:$H$112)*IF(SI_IP_Units="SI",10.76,1)),"")</f>
        <v/>
      </c>
      <c r="DV168" s="3047" t="str">
        <f>IFERROR(IF($CX168="","",IF(SI_IP_Units="SI",10.76,1)*SUMIF(BAMCategories,$CY168,'Lighting Assumptions'!$E$3:E$35)),"")</f>
        <v/>
      </c>
      <c r="DW168" s="3047" t="str">
        <f>IFERROR(IF($CX168="","",IF(SI_IP_Units="SI",10.76,1)*SUMIF(BAMCategories,$CY168,IF(bpf_reference="ACP",'Lighting Assumptions 90.1-2010'!$E$3:E$35,'Lighting Assumptions 90.1-2016'!$E$3:E$35))),"")</f>
        <v/>
      </c>
      <c r="EW168" s="855"/>
      <c r="EX168" s="855"/>
      <c r="EY168" s="855"/>
      <c r="EZ168" s="855"/>
    </row>
    <row r="169" spans="4:156" x14ac:dyDescent="0.25">
      <c r="D169" s="3019"/>
      <c r="E169" s="3020"/>
      <c r="F169" s="3021">
        <f t="shared" si="60"/>
        <v>0</v>
      </c>
      <c r="G169" s="3059"/>
      <c r="H169" s="3060"/>
      <c r="I169" s="3061"/>
      <c r="J169" s="3061"/>
      <c r="K169" s="3061"/>
      <c r="L169" s="3061"/>
      <c r="M169" s="3061"/>
      <c r="N169" s="3061"/>
      <c r="O169" s="3061"/>
      <c r="P169" s="3061"/>
      <c r="Q169" s="3061"/>
      <c r="R169" s="3061"/>
      <c r="S169" s="3061"/>
      <c r="T169" s="3061"/>
      <c r="U169" s="3061"/>
      <c r="V169" s="3061"/>
      <c r="W169" s="3061"/>
      <c r="X169" s="3061"/>
      <c r="Y169" s="3061"/>
      <c r="Z169" s="3061"/>
      <c r="AA169" s="3061"/>
      <c r="AB169" s="3061"/>
      <c r="AC169" s="3061"/>
      <c r="AD169" s="3061"/>
      <c r="AE169" s="3061"/>
      <c r="AF169" s="3061"/>
      <c r="AG169" s="3061"/>
      <c r="AH169" s="3061"/>
      <c r="AI169" s="3061"/>
      <c r="AJ169" s="3061"/>
      <c r="AK169" s="3061"/>
      <c r="AL169" s="3061"/>
      <c r="AM169" s="3061"/>
      <c r="AN169" s="3061"/>
      <c r="AO169" s="3061"/>
      <c r="AP169" s="3061"/>
      <c r="AQ169" s="3061"/>
      <c r="AR169" s="3061"/>
      <c r="AS169" s="3061"/>
      <c r="AT169" s="3061"/>
      <c r="AU169" s="3061"/>
      <c r="AV169" s="3061"/>
      <c r="AW169" s="3061"/>
      <c r="AX169" s="3061"/>
      <c r="AY169" s="3061"/>
      <c r="AZ169" s="3061"/>
      <c r="BA169" s="3061"/>
      <c r="BB169" s="3061"/>
      <c r="BC169" s="3061"/>
      <c r="BD169" s="3061"/>
      <c r="BE169" s="3061"/>
      <c r="BF169" s="3061"/>
      <c r="BG169" s="3061"/>
      <c r="BH169" s="3061"/>
      <c r="BI169" s="3061"/>
      <c r="BJ169" s="3061"/>
      <c r="BK169" s="3061"/>
      <c r="BL169" s="3061"/>
      <c r="BM169" s="3061"/>
      <c r="BN169" s="3061"/>
      <c r="BO169" s="3061"/>
      <c r="BP169" s="3061"/>
      <c r="BQ169" s="3061"/>
      <c r="BR169" s="3061"/>
      <c r="BS169" s="3061"/>
      <c r="BT169" s="3061"/>
      <c r="BU169" s="3061"/>
      <c r="BV169" s="3061"/>
      <c r="BW169" s="3061"/>
      <c r="BX169" s="3061"/>
      <c r="BY169" s="3061"/>
      <c r="BZ169" s="3061"/>
      <c r="CA169" s="3061"/>
      <c r="CB169" s="3061"/>
      <c r="CC169" s="3061"/>
      <c r="CD169" s="3061"/>
      <c r="CE169" s="3061"/>
      <c r="CF169" s="3061"/>
      <c r="CG169" s="3061"/>
      <c r="CH169" s="3061"/>
      <c r="CI169" s="3061"/>
      <c r="CJ169" s="3061"/>
      <c r="CK169" s="3061"/>
      <c r="CL169" s="3061"/>
      <c r="CM169" s="3061"/>
      <c r="CN169" s="3061"/>
      <c r="CO169" s="3061"/>
      <c r="CP169" s="3061"/>
      <c r="CQ169" s="3061"/>
      <c r="CR169" s="3061"/>
      <c r="CS169" s="3062"/>
      <c r="CT169" s="3063"/>
      <c r="CU169" s="3064">
        <f t="shared" si="64"/>
        <v>1</v>
      </c>
      <c r="CV169" s="3022" t="str">
        <f>IF(OR(CT169="",CT169="None"),"-",DO169*CU169*SUMIF('Lighting Assumptions'!$G$3:$G$112,'6a - Lighting Counts'!G169,'Lighting Assumptions'!$J$3:$J$112))</f>
        <v>-</v>
      </c>
      <c r="CW169" s="3021"/>
      <c r="CX169" s="3021"/>
      <c r="CY169" s="3046"/>
      <c r="CZ169" s="2098">
        <f t="shared" si="65"/>
        <v>0</v>
      </c>
      <c r="DA169" s="2098" t="str">
        <f t="shared" si="66"/>
        <v>-</v>
      </c>
      <c r="DB169" s="2098">
        <f t="shared" si="67"/>
        <v>0</v>
      </c>
      <c r="DC169" s="3023" t="str">
        <f t="shared" si="68"/>
        <v>-</v>
      </c>
      <c r="DD169" s="3024" t="str">
        <f t="shared" si="69"/>
        <v/>
      </c>
      <c r="DE169" s="3025" t="str">
        <f t="shared" si="70"/>
        <v>-</v>
      </c>
      <c r="DF169" s="3024" t="str">
        <f t="shared" si="61"/>
        <v>-</v>
      </c>
      <c r="DG169" s="2098">
        <f t="shared" si="71"/>
        <v>0</v>
      </c>
      <c r="DH169" s="2098">
        <f t="array" ref="DH169">MIN(SUMPRODUCT(I169:CR169,IF($I$25:$CR$25="yes",1,0),$I$23:$CR$23),H169)</f>
        <v>0</v>
      </c>
      <c r="DI169" s="3026"/>
      <c r="DJ169" s="3021"/>
      <c r="DN169" s="917" t="str">
        <f>IF(CS169="","-",SUMIF('Lighting Assumptions'!$G$3:$G$112,'6a - Lighting Counts'!G169,'Lighting Assumptions'!$J$3:$J$112))</f>
        <v>-</v>
      </c>
      <c r="DO169" s="917" t="str">
        <f t="shared" si="62"/>
        <v>-</v>
      </c>
      <c r="DP169" s="917" t="str">
        <f t="shared" si="63"/>
        <v>-</v>
      </c>
      <c r="DQ169" s="917" t="str">
        <f>IF(LEFT(CELLformula(DF169),3)&lt;&gt;"=IF",1,"")</f>
        <v/>
      </c>
      <c r="DR169" s="917" t="str">
        <f>IF(LEFT(CELLformula(DD169),3)&lt;&gt;"=IF",1,"")</f>
        <v/>
      </c>
      <c r="DS169" s="3048">
        <f t="shared" si="72"/>
        <v>0</v>
      </c>
      <c r="DT169" s="3047" t="str">
        <f t="shared" si="73"/>
        <v/>
      </c>
      <c r="DU169" s="3047" t="str">
        <f>IFERROR(IF(G169="","",SUMIF('Lighting Assumptions'!$G$3:$G$112,'6a - Lighting Counts'!G169,'Lighting Assumptions'!$H$3:$H$112)*IF(SI_IP_Units="SI",10.76,1)),"")</f>
        <v/>
      </c>
      <c r="DV169" s="3047" t="str">
        <f>IFERROR(IF($CX169="","",IF(SI_IP_Units="SI",10.76,1)*SUMIF(BAMCategories,$CY169,'Lighting Assumptions'!$E$3:E$35)),"")</f>
        <v/>
      </c>
      <c r="DW169" s="3047" t="str">
        <f>IFERROR(IF($CX169="","",IF(SI_IP_Units="SI",10.76,1)*SUMIF(BAMCategories,$CY169,IF(bpf_reference="ACP",'Lighting Assumptions 90.1-2010'!$E$3:E$35,'Lighting Assumptions 90.1-2016'!$E$3:E$35))),"")</f>
        <v/>
      </c>
      <c r="EW169" s="855"/>
      <c r="EX169" s="855"/>
      <c r="EY169" s="855"/>
      <c r="EZ169" s="855"/>
    </row>
    <row r="170" spans="4:156" x14ac:dyDescent="0.25">
      <c r="D170" s="3019"/>
      <c r="E170" s="3020"/>
      <c r="F170" s="3021">
        <f t="shared" si="60"/>
        <v>0</v>
      </c>
      <c r="G170" s="3059"/>
      <c r="H170" s="3060"/>
      <c r="I170" s="3061"/>
      <c r="J170" s="3061"/>
      <c r="K170" s="3061"/>
      <c r="L170" s="3061"/>
      <c r="M170" s="3061"/>
      <c r="N170" s="3061"/>
      <c r="O170" s="3061"/>
      <c r="P170" s="3061"/>
      <c r="Q170" s="3061"/>
      <c r="R170" s="3061"/>
      <c r="S170" s="3061"/>
      <c r="T170" s="3061"/>
      <c r="U170" s="3061"/>
      <c r="V170" s="3061"/>
      <c r="W170" s="3061"/>
      <c r="X170" s="3061"/>
      <c r="Y170" s="3061"/>
      <c r="Z170" s="3061"/>
      <c r="AA170" s="3061"/>
      <c r="AB170" s="3061"/>
      <c r="AC170" s="3061"/>
      <c r="AD170" s="3061"/>
      <c r="AE170" s="3061"/>
      <c r="AF170" s="3061"/>
      <c r="AG170" s="3061"/>
      <c r="AH170" s="3061"/>
      <c r="AI170" s="3061"/>
      <c r="AJ170" s="3061"/>
      <c r="AK170" s="3061"/>
      <c r="AL170" s="3061"/>
      <c r="AM170" s="3061"/>
      <c r="AN170" s="3061"/>
      <c r="AO170" s="3061"/>
      <c r="AP170" s="3061"/>
      <c r="AQ170" s="3061"/>
      <c r="AR170" s="3061"/>
      <c r="AS170" s="3061"/>
      <c r="AT170" s="3061"/>
      <c r="AU170" s="3061"/>
      <c r="AV170" s="3061"/>
      <c r="AW170" s="3061"/>
      <c r="AX170" s="3061"/>
      <c r="AY170" s="3061"/>
      <c r="AZ170" s="3061"/>
      <c r="BA170" s="3061"/>
      <c r="BB170" s="3061"/>
      <c r="BC170" s="3061"/>
      <c r="BD170" s="3061"/>
      <c r="BE170" s="3061"/>
      <c r="BF170" s="3061"/>
      <c r="BG170" s="3061"/>
      <c r="BH170" s="3061"/>
      <c r="BI170" s="3061"/>
      <c r="BJ170" s="3061"/>
      <c r="BK170" s="3061"/>
      <c r="BL170" s="3061"/>
      <c r="BM170" s="3061"/>
      <c r="BN170" s="3061"/>
      <c r="BO170" s="3061"/>
      <c r="BP170" s="3061"/>
      <c r="BQ170" s="3061"/>
      <c r="BR170" s="3061"/>
      <c r="BS170" s="3061"/>
      <c r="BT170" s="3061"/>
      <c r="BU170" s="3061"/>
      <c r="BV170" s="3061"/>
      <c r="BW170" s="3061"/>
      <c r="BX170" s="3061"/>
      <c r="BY170" s="3061"/>
      <c r="BZ170" s="3061"/>
      <c r="CA170" s="3061"/>
      <c r="CB170" s="3061"/>
      <c r="CC170" s="3061"/>
      <c r="CD170" s="3061"/>
      <c r="CE170" s="3061"/>
      <c r="CF170" s="3061"/>
      <c r="CG170" s="3061"/>
      <c r="CH170" s="3061"/>
      <c r="CI170" s="3061"/>
      <c r="CJ170" s="3061"/>
      <c r="CK170" s="3061"/>
      <c r="CL170" s="3061"/>
      <c r="CM170" s="3061"/>
      <c r="CN170" s="3061"/>
      <c r="CO170" s="3061"/>
      <c r="CP170" s="3061"/>
      <c r="CQ170" s="3061"/>
      <c r="CR170" s="3061"/>
      <c r="CS170" s="3062"/>
      <c r="CT170" s="3063"/>
      <c r="CU170" s="3064">
        <f t="shared" si="64"/>
        <v>1</v>
      </c>
      <c r="CV170" s="3022" t="str">
        <f>IF(OR(CT170="",CT170="None"),"-",DO170*CU170*SUMIF('Lighting Assumptions'!$G$3:$G$112,'6a - Lighting Counts'!G170,'Lighting Assumptions'!$J$3:$J$112))</f>
        <v>-</v>
      </c>
      <c r="CW170" s="3021"/>
      <c r="CX170" s="3021"/>
      <c r="CY170" s="3046"/>
      <c r="CZ170" s="2098">
        <f t="shared" si="65"/>
        <v>0</v>
      </c>
      <c r="DA170" s="2098" t="str">
        <f t="shared" si="66"/>
        <v>-</v>
      </c>
      <c r="DB170" s="2098">
        <f t="shared" si="67"/>
        <v>0</v>
      </c>
      <c r="DC170" s="3023" t="str">
        <f t="shared" si="68"/>
        <v>-</v>
      </c>
      <c r="DD170" s="3024" t="str">
        <f t="shared" si="69"/>
        <v/>
      </c>
      <c r="DE170" s="3025" t="str">
        <f t="shared" si="70"/>
        <v>-</v>
      </c>
      <c r="DF170" s="3024" t="str">
        <f t="shared" si="61"/>
        <v>-</v>
      </c>
      <c r="DG170" s="2098">
        <f t="shared" si="71"/>
        <v>0</v>
      </c>
      <c r="DH170" s="2098">
        <f t="array" ref="DH170">MIN(SUMPRODUCT(I170:CR170,IF($I$25:$CR$25="yes",1,0),$I$23:$CR$23),H170)</f>
        <v>0</v>
      </c>
      <c r="DI170" s="3026"/>
      <c r="DJ170" s="3021"/>
      <c r="DN170" s="917" t="str">
        <f>IF(CS170="","-",SUMIF('Lighting Assumptions'!$G$3:$G$112,'6a - Lighting Counts'!G170,'Lighting Assumptions'!$J$3:$J$112))</f>
        <v>-</v>
      </c>
      <c r="DO170" s="917" t="str">
        <f t="shared" si="62"/>
        <v>-</v>
      </c>
      <c r="DP170" s="917" t="str">
        <f t="shared" si="63"/>
        <v>-</v>
      </c>
      <c r="DQ170" s="917" t="str">
        <f>IF(LEFT(CELLformula(DF170),3)&lt;&gt;"=IF",1,"")</f>
        <v/>
      </c>
      <c r="DR170" s="917" t="str">
        <f>IF(LEFT(CELLformula(DD170),3)&lt;&gt;"=IF",1,"")</f>
        <v/>
      </c>
      <c r="DS170" s="3048">
        <f t="shared" si="72"/>
        <v>0</v>
      </c>
      <c r="DT170" s="3047" t="str">
        <f t="shared" si="73"/>
        <v/>
      </c>
      <c r="DU170" s="3047" t="str">
        <f>IFERROR(IF(G170="","",SUMIF('Lighting Assumptions'!$G$3:$G$112,'6a - Lighting Counts'!G170,'Lighting Assumptions'!$H$3:$H$112)*IF(SI_IP_Units="SI",10.76,1)),"")</f>
        <v/>
      </c>
      <c r="DV170" s="3047" t="str">
        <f>IFERROR(IF($CX170="","",IF(SI_IP_Units="SI",10.76,1)*SUMIF(BAMCategories,$CY170,'Lighting Assumptions'!$E$3:E$35)),"")</f>
        <v/>
      </c>
      <c r="DW170" s="3047" t="str">
        <f>IFERROR(IF($CX170="","",IF(SI_IP_Units="SI",10.76,1)*SUMIF(BAMCategories,$CY170,IF(bpf_reference="ACP",'Lighting Assumptions 90.1-2010'!$E$3:E$35,'Lighting Assumptions 90.1-2016'!$E$3:E$35))),"")</f>
        <v/>
      </c>
      <c r="EW170" s="855"/>
      <c r="EX170" s="855"/>
      <c r="EY170" s="855"/>
      <c r="EZ170" s="855"/>
    </row>
    <row r="171" spans="4:156" x14ac:dyDescent="0.25">
      <c r="D171" s="3019"/>
      <c r="E171" s="3020"/>
      <c r="F171" s="3021">
        <f t="shared" si="60"/>
        <v>0</v>
      </c>
      <c r="G171" s="3059"/>
      <c r="H171" s="3060"/>
      <c r="I171" s="3061"/>
      <c r="J171" s="3061"/>
      <c r="K171" s="3061"/>
      <c r="L171" s="3061"/>
      <c r="M171" s="3061"/>
      <c r="N171" s="3061"/>
      <c r="O171" s="3061"/>
      <c r="P171" s="3061"/>
      <c r="Q171" s="3061"/>
      <c r="R171" s="3061"/>
      <c r="S171" s="3061"/>
      <c r="T171" s="3061"/>
      <c r="U171" s="3061"/>
      <c r="V171" s="3061"/>
      <c r="W171" s="3061"/>
      <c r="X171" s="3061"/>
      <c r="Y171" s="3061"/>
      <c r="Z171" s="3061"/>
      <c r="AA171" s="3061"/>
      <c r="AB171" s="3061"/>
      <c r="AC171" s="3061"/>
      <c r="AD171" s="3061"/>
      <c r="AE171" s="3061"/>
      <c r="AF171" s="3061"/>
      <c r="AG171" s="3061"/>
      <c r="AH171" s="3061"/>
      <c r="AI171" s="3061"/>
      <c r="AJ171" s="3061"/>
      <c r="AK171" s="3061"/>
      <c r="AL171" s="3061"/>
      <c r="AM171" s="3061"/>
      <c r="AN171" s="3061"/>
      <c r="AO171" s="3061"/>
      <c r="AP171" s="3061"/>
      <c r="AQ171" s="3061"/>
      <c r="AR171" s="3061"/>
      <c r="AS171" s="3061"/>
      <c r="AT171" s="3061"/>
      <c r="AU171" s="3061"/>
      <c r="AV171" s="3061"/>
      <c r="AW171" s="3061"/>
      <c r="AX171" s="3061"/>
      <c r="AY171" s="3061"/>
      <c r="AZ171" s="3061"/>
      <c r="BA171" s="3061"/>
      <c r="BB171" s="3061"/>
      <c r="BC171" s="3061"/>
      <c r="BD171" s="3061"/>
      <c r="BE171" s="3061"/>
      <c r="BF171" s="3061"/>
      <c r="BG171" s="3061"/>
      <c r="BH171" s="3061"/>
      <c r="BI171" s="3061"/>
      <c r="BJ171" s="3061"/>
      <c r="BK171" s="3061"/>
      <c r="BL171" s="3061"/>
      <c r="BM171" s="3061"/>
      <c r="BN171" s="3061"/>
      <c r="BO171" s="3061"/>
      <c r="BP171" s="3061"/>
      <c r="BQ171" s="3061"/>
      <c r="BR171" s="3061"/>
      <c r="BS171" s="3061"/>
      <c r="BT171" s="3061"/>
      <c r="BU171" s="3061"/>
      <c r="BV171" s="3061"/>
      <c r="BW171" s="3061"/>
      <c r="BX171" s="3061"/>
      <c r="BY171" s="3061"/>
      <c r="BZ171" s="3061"/>
      <c r="CA171" s="3061"/>
      <c r="CB171" s="3061"/>
      <c r="CC171" s="3061"/>
      <c r="CD171" s="3061"/>
      <c r="CE171" s="3061"/>
      <c r="CF171" s="3061"/>
      <c r="CG171" s="3061"/>
      <c r="CH171" s="3061"/>
      <c r="CI171" s="3061"/>
      <c r="CJ171" s="3061"/>
      <c r="CK171" s="3061"/>
      <c r="CL171" s="3061"/>
      <c r="CM171" s="3061"/>
      <c r="CN171" s="3061"/>
      <c r="CO171" s="3061"/>
      <c r="CP171" s="3061"/>
      <c r="CQ171" s="3061"/>
      <c r="CR171" s="3061"/>
      <c r="CS171" s="3062"/>
      <c r="CT171" s="3063"/>
      <c r="CU171" s="3064">
        <f t="shared" si="64"/>
        <v>1</v>
      </c>
      <c r="CV171" s="3022" t="str">
        <f>IF(OR(CT171="",CT171="None"),"-",DO171*CU171*SUMIF('Lighting Assumptions'!$G$3:$G$112,'6a - Lighting Counts'!G171,'Lighting Assumptions'!$J$3:$J$112))</f>
        <v>-</v>
      </c>
      <c r="CW171" s="3021"/>
      <c r="CX171" s="3021"/>
      <c r="CY171" s="3046"/>
      <c r="CZ171" s="2098">
        <f t="shared" si="65"/>
        <v>0</v>
      </c>
      <c r="DA171" s="2098" t="str">
        <f t="shared" si="66"/>
        <v>-</v>
      </c>
      <c r="DB171" s="2098">
        <f t="shared" si="67"/>
        <v>0</v>
      </c>
      <c r="DC171" s="3023" t="str">
        <f t="shared" si="68"/>
        <v>-</v>
      </c>
      <c r="DD171" s="3024" t="str">
        <f t="shared" si="69"/>
        <v/>
      </c>
      <c r="DE171" s="3025" t="str">
        <f t="shared" si="70"/>
        <v>-</v>
      </c>
      <c r="DF171" s="3024" t="str">
        <f t="shared" si="61"/>
        <v>-</v>
      </c>
      <c r="DG171" s="2098">
        <f t="shared" si="71"/>
        <v>0</v>
      </c>
      <c r="DH171" s="2098">
        <f t="array" ref="DH171">MIN(SUMPRODUCT(I171:CR171,IF($I$25:$CR$25="yes",1,0),$I$23:$CR$23),H171)</f>
        <v>0</v>
      </c>
      <c r="DI171" s="3026"/>
      <c r="DJ171" s="3021"/>
      <c r="DN171" s="917" t="str">
        <f>IF(CS171="","-",SUMIF('Lighting Assumptions'!$G$3:$G$112,'6a - Lighting Counts'!G171,'Lighting Assumptions'!$J$3:$J$112))</f>
        <v>-</v>
      </c>
      <c r="DO171" s="917" t="str">
        <f t="shared" si="62"/>
        <v>-</v>
      </c>
      <c r="DP171" s="917" t="str">
        <f t="shared" si="63"/>
        <v>-</v>
      </c>
      <c r="DQ171" s="917" t="str">
        <f>IF(LEFT(CELLformula(DF171),3)&lt;&gt;"=IF",1,"")</f>
        <v/>
      </c>
      <c r="DR171" s="917" t="str">
        <f>IF(LEFT(CELLformula(DD171),3)&lt;&gt;"=IF",1,"")</f>
        <v/>
      </c>
      <c r="DS171" s="3048">
        <f t="shared" si="72"/>
        <v>0</v>
      </c>
      <c r="DT171" s="3047" t="str">
        <f t="shared" si="73"/>
        <v/>
      </c>
      <c r="DU171" s="3047" t="str">
        <f>IFERROR(IF(G171="","",SUMIF('Lighting Assumptions'!$G$3:$G$112,'6a - Lighting Counts'!G171,'Lighting Assumptions'!$H$3:$H$112)*IF(SI_IP_Units="SI",10.76,1)),"")</f>
        <v/>
      </c>
      <c r="DV171" s="3047" t="str">
        <f>IFERROR(IF($CX171="","",IF(SI_IP_Units="SI",10.76,1)*SUMIF(BAMCategories,$CY171,'Lighting Assumptions'!$E$3:E$35)),"")</f>
        <v/>
      </c>
      <c r="DW171" s="3047" t="str">
        <f>IFERROR(IF($CX171="","",IF(SI_IP_Units="SI",10.76,1)*SUMIF(BAMCategories,$CY171,IF(bpf_reference="ACP",'Lighting Assumptions 90.1-2010'!$E$3:E$35,'Lighting Assumptions 90.1-2016'!$E$3:E$35))),"")</f>
        <v/>
      </c>
      <c r="EW171" s="855"/>
      <c r="EX171" s="855"/>
      <c r="EY171" s="855"/>
      <c r="EZ171" s="855"/>
    </row>
    <row r="172" spans="4:156" x14ac:dyDescent="0.25">
      <c r="D172" s="3019"/>
      <c r="E172" s="3020"/>
      <c r="F172" s="3021">
        <f t="shared" si="60"/>
        <v>0</v>
      </c>
      <c r="G172" s="3059"/>
      <c r="H172" s="3060"/>
      <c r="I172" s="3061"/>
      <c r="J172" s="3061"/>
      <c r="K172" s="3061"/>
      <c r="L172" s="3061"/>
      <c r="M172" s="3061"/>
      <c r="N172" s="3061"/>
      <c r="O172" s="3061"/>
      <c r="P172" s="3061"/>
      <c r="Q172" s="3061"/>
      <c r="R172" s="3061"/>
      <c r="S172" s="3061"/>
      <c r="T172" s="3061"/>
      <c r="U172" s="3061"/>
      <c r="V172" s="3061"/>
      <c r="W172" s="3061"/>
      <c r="X172" s="3061"/>
      <c r="Y172" s="3061"/>
      <c r="Z172" s="3061"/>
      <c r="AA172" s="3061"/>
      <c r="AB172" s="3061"/>
      <c r="AC172" s="3061"/>
      <c r="AD172" s="3061"/>
      <c r="AE172" s="3061"/>
      <c r="AF172" s="3061"/>
      <c r="AG172" s="3061"/>
      <c r="AH172" s="3061"/>
      <c r="AI172" s="3061"/>
      <c r="AJ172" s="3061"/>
      <c r="AK172" s="3061"/>
      <c r="AL172" s="3061"/>
      <c r="AM172" s="3061"/>
      <c r="AN172" s="3061"/>
      <c r="AO172" s="3061"/>
      <c r="AP172" s="3061"/>
      <c r="AQ172" s="3061"/>
      <c r="AR172" s="3061"/>
      <c r="AS172" s="3061"/>
      <c r="AT172" s="3061"/>
      <c r="AU172" s="3061"/>
      <c r="AV172" s="3061"/>
      <c r="AW172" s="3061"/>
      <c r="AX172" s="3061"/>
      <c r="AY172" s="3061"/>
      <c r="AZ172" s="3061"/>
      <c r="BA172" s="3061"/>
      <c r="BB172" s="3061"/>
      <c r="BC172" s="3061"/>
      <c r="BD172" s="3061"/>
      <c r="BE172" s="3061"/>
      <c r="BF172" s="3061"/>
      <c r="BG172" s="3061"/>
      <c r="BH172" s="3061"/>
      <c r="BI172" s="3061"/>
      <c r="BJ172" s="3061"/>
      <c r="BK172" s="3061"/>
      <c r="BL172" s="3061"/>
      <c r="BM172" s="3061"/>
      <c r="BN172" s="3061"/>
      <c r="BO172" s="3061"/>
      <c r="BP172" s="3061"/>
      <c r="BQ172" s="3061"/>
      <c r="BR172" s="3061"/>
      <c r="BS172" s="3061"/>
      <c r="BT172" s="3061"/>
      <c r="BU172" s="3061"/>
      <c r="BV172" s="3061"/>
      <c r="BW172" s="3061"/>
      <c r="BX172" s="3061"/>
      <c r="BY172" s="3061"/>
      <c r="BZ172" s="3061"/>
      <c r="CA172" s="3061"/>
      <c r="CB172" s="3061"/>
      <c r="CC172" s="3061"/>
      <c r="CD172" s="3061"/>
      <c r="CE172" s="3061"/>
      <c r="CF172" s="3061"/>
      <c r="CG172" s="3061"/>
      <c r="CH172" s="3061"/>
      <c r="CI172" s="3061"/>
      <c r="CJ172" s="3061"/>
      <c r="CK172" s="3061"/>
      <c r="CL172" s="3061"/>
      <c r="CM172" s="3061"/>
      <c r="CN172" s="3061"/>
      <c r="CO172" s="3061"/>
      <c r="CP172" s="3061"/>
      <c r="CQ172" s="3061"/>
      <c r="CR172" s="3061"/>
      <c r="CS172" s="3062"/>
      <c r="CT172" s="3063"/>
      <c r="CU172" s="3064">
        <f t="shared" si="64"/>
        <v>1</v>
      </c>
      <c r="CV172" s="3022" t="str">
        <f>IF(OR(CT172="",CT172="None"),"-",DO172*CU172*SUMIF('Lighting Assumptions'!$G$3:$G$112,'6a - Lighting Counts'!G172,'Lighting Assumptions'!$J$3:$J$112))</f>
        <v>-</v>
      </c>
      <c r="CW172" s="3021"/>
      <c r="CX172" s="3021"/>
      <c r="CY172" s="3046"/>
      <c r="CZ172" s="2098">
        <f t="shared" si="65"/>
        <v>0</v>
      </c>
      <c r="DA172" s="2098" t="str">
        <f t="shared" si="66"/>
        <v>-</v>
      </c>
      <c r="DB172" s="2098">
        <f t="shared" si="67"/>
        <v>0</v>
      </c>
      <c r="DC172" s="3023" t="str">
        <f t="shared" si="68"/>
        <v>-</v>
      </c>
      <c r="DD172" s="3024" t="str">
        <f t="shared" si="69"/>
        <v/>
      </c>
      <c r="DE172" s="3025" t="str">
        <f t="shared" si="70"/>
        <v>-</v>
      </c>
      <c r="DF172" s="3024" t="str">
        <f t="shared" si="61"/>
        <v>-</v>
      </c>
      <c r="DG172" s="2098">
        <f t="shared" si="71"/>
        <v>0</v>
      </c>
      <c r="DH172" s="2098">
        <f t="array" ref="DH172">MIN(SUMPRODUCT(I172:CR172,IF($I$25:$CR$25="yes",1,0),$I$23:$CR$23),H172)</f>
        <v>0</v>
      </c>
      <c r="DI172" s="3026"/>
      <c r="DJ172" s="3021"/>
      <c r="DN172" s="917" t="str">
        <f>IF(CS172="","-",SUMIF('Lighting Assumptions'!$G$3:$G$112,'6a - Lighting Counts'!G172,'Lighting Assumptions'!$J$3:$J$112))</f>
        <v>-</v>
      </c>
      <c r="DO172" s="917" t="str">
        <f t="shared" si="62"/>
        <v>-</v>
      </c>
      <c r="DP172" s="917" t="str">
        <f t="shared" si="63"/>
        <v>-</v>
      </c>
      <c r="DQ172" s="917" t="str">
        <f>IF(LEFT(CELLformula(DF172),3)&lt;&gt;"=IF",1,"")</f>
        <v/>
      </c>
      <c r="DR172" s="917" t="str">
        <f>IF(LEFT(CELLformula(DD172),3)&lt;&gt;"=IF",1,"")</f>
        <v/>
      </c>
      <c r="DS172" s="3048">
        <f t="shared" si="72"/>
        <v>0</v>
      </c>
      <c r="DT172" s="3047" t="str">
        <f t="shared" si="73"/>
        <v/>
      </c>
      <c r="DU172" s="3047" t="str">
        <f>IFERROR(IF(G172="","",SUMIF('Lighting Assumptions'!$G$3:$G$112,'6a - Lighting Counts'!G172,'Lighting Assumptions'!$H$3:$H$112)*IF(SI_IP_Units="SI",10.76,1)),"")</f>
        <v/>
      </c>
      <c r="DV172" s="3047" t="str">
        <f>IFERROR(IF($CX172="","",IF(SI_IP_Units="SI",10.76,1)*SUMIF(BAMCategories,$CY172,'Lighting Assumptions'!$E$3:E$35)),"")</f>
        <v/>
      </c>
      <c r="DW172" s="3047" t="str">
        <f>IFERROR(IF($CX172="","",IF(SI_IP_Units="SI",10.76,1)*SUMIF(BAMCategories,$CY172,IF(bpf_reference="ACP",'Lighting Assumptions 90.1-2010'!$E$3:E$35,'Lighting Assumptions 90.1-2016'!$E$3:E$35))),"")</f>
        <v/>
      </c>
      <c r="EW172" s="855"/>
      <c r="EX172" s="855"/>
      <c r="EY172" s="855"/>
      <c r="EZ172" s="855"/>
    </row>
    <row r="173" spans="4:156" x14ac:dyDescent="0.25">
      <c r="D173" s="3019"/>
      <c r="E173" s="3020"/>
      <c r="F173" s="3021">
        <f t="shared" si="60"/>
        <v>0</v>
      </c>
      <c r="G173" s="3059"/>
      <c r="H173" s="3060"/>
      <c r="I173" s="3061"/>
      <c r="J173" s="3061"/>
      <c r="K173" s="3061"/>
      <c r="L173" s="3061"/>
      <c r="M173" s="3061"/>
      <c r="N173" s="3061"/>
      <c r="O173" s="3061"/>
      <c r="P173" s="3061"/>
      <c r="Q173" s="3061"/>
      <c r="R173" s="3061"/>
      <c r="S173" s="3061"/>
      <c r="T173" s="3061"/>
      <c r="U173" s="3061"/>
      <c r="V173" s="3061"/>
      <c r="W173" s="3061"/>
      <c r="X173" s="3061"/>
      <c r="Y173" s="3061"/>
      <c r="Z173" s="3061"/>
      <c r="AA173" s="3061"/>
      <c r="AB173" s="3061"/>
      <c r="AC173" s="3061"/>
      <c r="AD173" s="3061"/>
      <c r="AE173" s="3061"/>
      <c r="AF173" s="3061"/>
      <c r="AG173" s="3061"/>
      <c r="AH173" s="3061"/>
      <c r="AI173" s="3061"/>
      <c r="AJ173" s="3061"/>
      <c r="AK173" s="3061"/>
      <c r="AL173" s="3061"/>
      <c r="AM173" s="3061"/>
      <c r="AN173" s="3061"/>
      <c r="AO173" s="3061"/>
      <c r="AP173" s="3061"/>
      <c r="AQ173" s="3061"/>
      <c r="AR173" s="3061"/>
      <c r="AS173" s="3061"/>
      <c r="AT173" s="3061"/>
      <c r="AU173" s="3061"/>
      <c r="AV173" s="3061"/>
      <c r="AW173" s="3061"/>
      <c r="AX173" s="3061"/>
      <c r="AY173" s="3061"/>
      <c r="AZ173" s="3061"/>
      <c r="BA173" s="3061"/>
      <c r="BB173" s="3061"/>
      <c r="BC173" s="3061"/>
      <c r="BD173" s="3061"/>
      <c r="BE173" s="3061"/>
      <c r="BF173" s="3061"/>
      <c r="BG173" s="3061"/>
      <c r="BH173" s="3061"/>
      <c r="BI173" s="3061"/>
      <c r="BJ173" s="3061"/>
      <c r="BK173" s="3061"/>
      <c r="BL173" s="3061"/>
      <c r="BM173" s="3061"/>
      <c r="BN173" s="3061"/>
      <c r="BO173" s="3061"/>
      <c r="BP173" s="3061"/>
      <c r="BQ173" s="3061"/>
      <c r="BR173" s="3061"/>
      <c r="BS173" s="3061"/>
      <c r="BT173" s="3061"/>
      <c r="BU173" s="3061"/>
      <c r="BV173" s="3061"/>
      <c r="BW173" s="3061"/>
      <c r="BX173" s="3061"/>
      <c r="BY173" s="3061"/>
      <c r="BZ173" s="3061"/>
      <c r="CA173" s="3061"/>
      <c r="CB173" s="3061"/>
      <c r="CC173" s="3061"/>
      <c r="CD173" s="3061"/>
      <c r="CE173" s="3061"/>
      <c r="CF173" s="3061"/>
      <c r="CG173" s="3061"/>
      <c r="CH173" s="3061"/>
      <c r="CI173" s="3061"/>
      <c r="CJ173" s="3061"/>
      <c r="CK173" s="3061"/>
      <c r="CL173" s="3061"/>
      <c r="CM173" s="3061"/>
      <c r="CN173" s="3061"/>
      <c r="CO173" s="3061"/>
      <c r="CP173" s="3061"/>
      <c r="CQ173" s="3061"/>
      <c r="CR173" s="3061"/>
      <c r="CS173" s="3062"/>
      <c r="CT173" s="3063"/>
      <c r="CU173" s="3064">
        <f t="shared" si="64"/>
        <v>1</v>
      </c>
      <c r="CV173" s="3022" t="str">
        <f>IF(OR(CT173="",CT173="None"),"-",DO173*CU173*SUMIF('Lighting Assumptions'!$G$3:$G$112,'6a - Lighting Counts'!G173,'Lighting Assumptions'!$J$3:$J$112))</f>
        <v>-</v>
      </c>
      <c r="CW173" s="3021"/>
      <c r="CX173" s="3021"/>
      <c r="CY173" s="3046"/>
      <c r="CZ173" s="2098">
        <f t="shared" si="65"/>
        <v>0</v>
      </c>
      <c r="DA173" s="2098" t="str">
        <f t="shared" si="66"/>
        <v>-</v>
      </c>
      <c r="DB173" s="2098">
        <f t="shared" si="67"/>
        <v>0</v>
      </c>
      <c r="DC173" s="3023" t="str">
        <f t="shared" si="68"/>
        <v>-</v>
      </c>
      <c r="DD173" s="3024" t="str">
        <f t="shared" si="69"/>
        <v/>
      </c>
      <c r="DE173" s="3025" t="str">
        <f t="shared" si="70"/>
        <v>-</v>
      </c>
      <c r="DF173" s="3024" t="str">
        <f t="shared" si="61"/>
        <v>-</v>
      </c>
      <c r="DG173" s="2098">
        <f t="shared" si="71"/>
        <v>0</v>
      </c>
      <c r="DH173" s="2098">
        <f t="array" ref="DH173">MIN(SUMPRODUCT(I173:CR173,IF($I$25:$CR$25="yes",1,0),$I$23:$CR$23),H173)</f>
        <v>0</v>
      </c>
      <c r="DI173" s="3026"/>
      <c r="DJ173" s="3021"/>
      <c r="DN173" s="917" t="str">
        <f>IF(CS173="","-",SUMIF('Lighting Assumptions'!$G$3:$G$112,'6a - Lighting Counts'!G173,'Lighting Assumptions'!$J$3:$J$112))</f>
        <v>-</v>
      </c>
      <c r="DO173" s="917" t="str">
        <f t="shared" si="62"/>
        <v>-</v>
      </c>
      <c r="DP173" s="917" t="str">
        <f t="shared" si="63"/>
        <v>-</v>
      </c>
      <c r="DQ173" s="917" t="str">
        <f>IF(LEFT(CELLformula(DF173),3)&lt;&gt;"=IF",1,"")</f>
        <v/>
      </c>
      <c r="DR173" s="917" t="str">
        <f>IF(LEFT(CELLformula(DD173),3)&lt;&gt;"=IF",1,"")</f>
        <v/>
      </c>
      <c r="DS173" s="3048">
        <f t="shared" si="72"/>
        <v>0</v>
      </c>
      <c r="DT173" s="3047" t="str">
        <f t="shared" si="73"/>
        <v/>
      </c>
      <c r="DU173" s="3047" t="str">
        <f>IFERROR(IF(G173="","",SUMIF('Lighting Assumptions'!$G$3:$G$112,'6a - Lighting Counts'!G173,'Lighting Assumptions'!$H$3:$H$112)*IF(SI_IP_Units="SI",10.76,1)),"")</f>
        <v/>
      </c>
      <c r="DV173" s="3047" t="str">
        <f>IFERROR(IF($CX173="","",IF(SI_IP_Units="SI",10.76,1)*SUMIF(BAMCategories,$CY173,'Lighting Assumptions'!$E$3:E$35)),"")</f>
        <v/>
      </c>
      <c r="DW173" s="3047" t="str">
        <f>IFERROR(IF($CX173="","",IF(SI_IP_Units="SI",10.76,1)*SUMIF(BAMCategories,$CY173,IF(bpf_reference="ACP",'Lighting Assumptions 90.1-2010'!$E$3:E$35,'Lighting Assumptions 90.1-2016'!$E$3:E$35))),"")</f>
        <v/>
      </c>
      <c r="EW173" s="855"/>
      <c r="EX173" s="855"/>
      <c r="EY173" s="855"/>
      <c r="EZ173" s="855"/>
    </row>
    <row r="174" spans="4:156" x14ac:dyDescent="0.25">
      <c r="D174" s="3019"/>
      <c r="E174" s="3020"/>
      <c r="F174" s="3021">
        <f t="shared" si="60"/>
        <v>0</v>
      </c>
      <c r="G174" s="3059"/>
      <c r="H174" s="3060"/>
      <c r="I174" s="3061"/>
      <c r="J174" s="3061"/>
      <c r="K174" s="3061"/>
      <c r="L174" s="3061"/>
      <c r="M174" s="3061"/>
      <c r="N174" s="3061"/>
      <c r="O174" s="3061"/>
      <c r="P174" s="3061"/>
      <c r="Q174" s="3061"/>
      <c r="R174" s="3061"/>
      <c r="S174" s="3061"/>
      <c r="T174" s="3061"/>
      <c r="U174" s="3061"/>
      <c r="V174" s="3061"/>
      <c r="W174" s="3061"/>
      <c r="X174" s="3061"/>
      <c r="Y174" s="3061"/>
      <c r="Z174" s="3061"/>
      <c r="AA174" s="3061"/>
      <c r="AB174" s="3061"/>
      <c r="AC174" s="3061"/>
      <c r="AD174" s="3061"/>
      <c r="AE174" s="3061"/>
      <c r="AF174" s="3061"/>
      <c r="AG174" s="3061"/>
      <c r="AH174" s="3061"/>
      <c r="AI174" s="3061"/>
      <c r="AJ174" s="3061"/>
      <c r="AK174" s="3061"/>
      <c r="AL174" s="3061"/>
      <c r="AM174" s="3061"/>
      <c r="AN174" s="3061"/>
      <c r="AO174" s="3061"/>
      <c r="AP174" s="3061"/>
      <c r="AQ174" s="3061"/>
      <c r="AR174" s="3061"/>
      <c r="AS174" s="3061"/>
      <c r="AT174" s="3061"/>
      <c r="AU174" s="3061"/>
      <c r="AV174" s="3061"/>
      <c r="AW174" s="3061"/>
      <c r="AX174" s="3061"/>
      <c r="AY174" s="3061"/>
      <c r="AZ174" s="3061"/>
      <c r="BA174" s="3061"/>
      <c r="BB174" s="3061"/>
      <c r="BC174" s="3061"/>
      <c r="BD174" s="3061"/>
      <c r="BE174" s="3061"/>
      <c r="BF174" s="3061"/>
      <c r="BG174" s="3061"/>
      <c r="BH174" s="3061"/>
      <c r="BI174" s="3061"/>
      <c r="BJ174" s="3061"/>
      <c r="BK174" s="3061"/>
      <c r="BL174" s="3061"/>
      <c r="BM174" s="3061"/>
      <c r="BN174" s="3061"/>
      <c r="BO174" s="3061"/>
      <c r="BP174" s="3061"/>
      <c r="BQ174" s="3061"/>
      <c r="BR174" s="3061"/>
      <c r="BS174" s="3061"/>
      <c r="BT174" s="3061"/>
      <c r="BU174" s="3061"/>
      <c r="BV174" s="3061"/>
      <c r="BW174" s="3061"/>
      <c r="BX174" s="3061"/>
      <c r="BY174" s="3061"/>
      <c r="BZ174" s="3061"/>
      <c r="CA174" s="3061"/>
      <c r="CB174" s="3061"/>
      <c r="CC174" s="3061"/>
      <c r="CD174" s="3061"/>
      <c r="CE174" s="3061"/>
      <c r="CF174" s="3061"/>
      <c r="CG174" s="3061"/>
      <c r="CH174" s="3061"/>
      <c r="CI174" s="3061"/>
      <c r="CJ174" s="3061"/>
      <c r="CK174" s="3061"/>
      <c r="CL174" s="3061"/>
      <c r="CM174" s="3061"/>
      <c r="CN174" s="3061"/>
      <c r="CO174" s="3061"/>
      <c r="CP174" s="3061"/>
      <c r="CQ174" s="3061"/>
      <c r="CR174" s="3061"/>
      <c r="CS174" s="3062"/>
      <c r="CT174" s="3063"/>
      <c r="CU174" s="3064">
        <f t="shared" si="64"/>
        <v>1</v>
      </c>
      <c r="CV174" s="3022" t="str">
        <f>IF(OR(CT174="",CT174="None"),"-",DO174*CU174*SUMIF('Lighting Assumptions'!$G$3:$G$112,'6a - Lighting Counts'!G174,'Lighting Assumptions'!$J$3:$J$112))</f>
        <v>-</v>
      </c>
      <c r="CW174" s="3021"/>
      <c r="CX174" s="3021"/>
      <c r="CY174" s="3046"/>
      <c r="CZ174" s="2098">
        <f t="shared" si="65"/>
        <v>0</v>
      </c>
      <c r="DA174" s="2098" t="str">
        <f t="shared" si="66"/>
        <v>-</v>
      </c>
      <c r="DB174" s="2098">
        <f t="shared" si="67"/>
        <v>0</v>
      </c>
      <c r="DC174" s="3023" t="str">
        <f t="shared" si="68"/>
        <v>-</v>
      </c>
      <c r="DD174" s="3024" t="str">
        <f t="shared" si="69"/>
        <v/>
      </c>
      <c r="DE174" s="3025" t="str">
        <f t="shared" si="70"/>
        <v>-</v>
      </c>
      <c r="DF174" s="3024" t="str">
        <f t="shared" si="61"/>
        <v>-</v>
      </c>
      <c r="DG174" s="2098">
        <f t="shared" si="71"/>
        <v>0</v>
      </c>
      <c r="DH174" s="2098">
        <f t="array" ref="DH174">MIN(SUMPRODUCT(I174:CR174,IF($I$25:$CR$25="yes",1,0),$I$23:$CR$23),H174)</f>
        <v>0</v>
      </c>
      <c r="DI174" s="3026"/>
      <c r="DJ174" s="3021"/>
      <c r="DN174" s="917" t="str">
        <f>IF(CS174="","-",SUMIF('Lighting Assumptions'!$G$3:$G$112,'6a - Lighting Counts'!G174,'Lighting Assumptions'!$J$3:$J$112))</f>
        <v>-</v>
      </c>
      <c r="DO174" s="917" t="str">
        <f t="shared" si="62"/>
        <v>-</v>
      </c>
      <c r="DP174" s="917" t="str">
        <f t="shared" si="63"/>
        <v>-</v>
      </c>
      <c r="DQ174" s="917" t="str">
        <f>IF(LEFT(CELLformula(DF174),3)&lt;&gt;"=IF",1,"")</f>
        <v/>
      </c>
      <c r="DR174" s="917" t="str">
        <f>IF(LEFT(CELLformula(DD174),3)&lt;&gt;"=IF",1,"")</f>
        <v/>
      </c>
      <c r="DS174" s="3048">
        <f t="shared" si="72"/>
        <v>0</v>
      </c>
      <c r="DT174" s="3047" t="str">
        <f t="shared" si="73"/>
        <v/>
      </c>
      <c r="DU174" s="3047" t="str">
        <f>IFERROR(IF(G174="","",SUMIF('Lighting Assumptions'!$G$3:$G$112,'6a - Lighting Counts'!G174,'Lighting Assumptions'!$H$3:$H$112)*IF(SI_IP_Units="SI",10.76,1)),"")</f>
        <v/>
      </c>
      <c r="DV174" s="3047" t="str">
        <f>IFERROR(IF($CX174="","",IF(SI_IP_Units="SI",10.76,1)*SUMIF(BAMCategories,$CY174,'Lighting Assumptions'!$E$3:E$35)),"")</f>
        <v/>
      </c>
      <c r="DW174" s="3047" t="str">
        <f>IFERROR(IF($CX174="","",IF(SI_IP_Units="SI",10.76,1)*SUMIF(BAMCategories,$CY174,IF(bpf_reference="ACP",'Lighting Assumptions 90.1-2010'!$E$3:E$35,'Lighting Assumptions 90.1-2016'!$E$3:E$35))),"")</f>
        <v/>
      </c>
      <c r="EW174" s="855"/>
      <c r="EX174" s="855"/>
      <c r="EY174" s="855"/>
      <c r="EZ174" s="855"/>
    </row>
    <row r="175" spans="4:156" x14ac:dyDescent="0.25">
      <c r="D175" s="3019"/>
      <c r="E175" s="3020"/>
      <c r="F175" s="3021">
        <f t="shared" si="60"/>
        <v>0</v>
      </c>
      <c r="G175" s="3059"/>
      <c r="H175" s="3060"/>
      <c r="I175" s="3061"/>
      <c r="J175" s="3061"/>
      <c r="K175" s="3061"/>
      <c r="L175" s="3061"/>
      <c r="M175" s="3061"/>
      <c r="N175" s="3061"/>
      <c r="O175" s="3061"/>
      <c r="P175" s="3061"/>
      <c r="Q175" s="3061"/>
      <c r="R175" s="3061"/>
      <c r="S175" s="3061"/>
      <c r="T175" s="3061"/>
      <c r="U175" s="3061"/>
      <c r="V175" s="3061"/>
      <c r="W175" s="3061"/>
      <c r="X175" s="3061"/>
      <c r="Y175" s="3061"/>
      <c r="Z175" s="3061"/>
      <c r="AA175" s="3061"/>
      <c r="AB175" s="3061"/>
      <c r="AC175" s="3061"/>
      <c r="AD175" s="3061"/>
      <c r="AE175" s="3061"/>
      <c r="AF175" s="3061"/>
      <c r="AG175" s="3061"/>
      <c r="AH175" s="3061"/>
      <c r="AI175" s="3061"/>
      <c r="AJ175" s="3061"/>
      <c r="AK175" s="3061"/>
      <c r="AL175" s="3061"/>
      <c r="AM175" s="3061"/>
      <c r="AN175" s="3061"/>
      <c r="AO175" s="3061"/>
      <c r="AP175" s="3061"/>
      <c r="AQ175" s="3061"/>
      <c r="AR175" s="3061"/>
      <c r="AS175" s="3061"/>
      <c r="AT175" s="3061"/>
      <c r="AU175" s="3061"/>
      <c r="AV175" s="3061"/>
      <c r="AW175" s="3061"/>
      <c r="AX175" s="3061"/>
      <c r="AY175" s="3061"/>
      <c r="AZ175" s="3061"/>
      <c r="BA175" s="3061"/>
      <c r="BB175" s="3061"/>
      <c r="BC175" s="3061"/>
      <c r="BD175" s="3061"/>
      <c r="BE175" s="3061"/>
      <c r="BF175" s="3061"/>
      <c r="BG175" s="3061"/>
      <c r="BH175" s="3061"/>
      <c r="BI175" s="3061"/>
      <c r="BJ175" s="3061"/>
      <c r="BK175" s="3061"/>
      <c r="BL175" s="3061"/>
      <c r="BM175" s="3061"/>
      <c r="BN175" s="3061"/>
      <c r="BO175" s="3061"/>
      <c r="BP175" s="3061"/>
      <c r="BQ175" s="3061"/>
      <c r="BR175" s="3061"/>
      <c r="BS175" s="3061"/>
      <c r="BT175" s="3061"/>
      <c r="BU175" s="3061"/>
      <c r="BV175" s="3061"/>
      <c r="BW175" s="3061"/>
      <c r="BX175" s="3061"/>
      <c r="BY175" s="3061"/>
      <c r="BZ175" s="3061"/>
      <c r="CA175" s="3061"/>
      <c r="CB175" s="3061"/>
      <c r="CC175" s="3061"/>
      <c r="CD175" s="3061"/>
      <c r="CE175" s="3061"/>
      <c r="CF175" s="3061"/>
      <c r="CG175" s="3061"/>
      <c r="CH175" s="3061"/>
      <c r="CI175" s="3061"/>
      <c r="CJ175" s="3061"/>
      <c r="CK175" s="3061"/>
      <c r="CL175" s="3061"/>
      <c r="CM175" s="3061"/>
      <c r="CN175" s="3061"/>
      <c r="CO175" s="3061"/>
      <c r="CP175" s="3061"/>
      <c r="CQ175" s="3061"/>
      <c r="CR175" s="3061"/>
      <c r="CS175" s="3062"/>
      <c r="CT175" s="3063"/>
      <c r="CU175" s="3064">
        <f t="shared" si="64"/>
        <v>1</v>
      </c>
      <c r="CV175" s="3022" t="str">
        <f>IF(OR(CT175="",CT175="None"),"-",DO175*CU175*SUMIF('Lighting Assumptions'!$G$3:$G$112,'6a - Lighting Counts'!G175,'Lighting Assumptions'!$J$3:$J$112))</f>
        <v>-</v>
      </c>
      <c r="CW175" s="3021"/>
      <c r="CX175" s="3021"/>
      <c r="CY175" s="3046"/>
      <c r="CZ175" s="2098">
        <f t="shared" si="65"/>
        <v>0</v>
      </c>
      <c r="DA175" s="2098" t="str">
        <f t="shared" si="66"/>
        <v>-</v>
      </c>
      <c r="DB175" s="2098">
        <f t="shared" si="67"/>
        <v>0</v>
      </c>
      <c r="DC175" s="3023" t="str">
        <f t="shared" si="68"/>
        <v>-</v>
      </c>
      <c r="DD175" s="3024" t="str">
        <f t="shared" si="69"/>
        <v/>
      </c>
      <c r="DE175" s="3025" t="str">
        <f t="shared" si="70"/>
        <v>-</v>
      </c>
      <c r="DF175" s="3024" t="str">
        <f t="shared" si="61"/>
        <v>-</v>
      </c>
      <c r="DG175" s="2098">
        <f t="shared" si="71"/>
        <v>0</v>
      </c>
      <c r="DH175" s="2098">
        <f t="array" ref="DH175">MIN(SUMPRODUCT(I175:CR175,IF($I$25:$CR$25="yes",1,0),$I$23:$CR$23),H175)</f>
        <v>0</v>
      </c>
      <c r="DI175" s="3026"/>
      <c r="DJ175" s="3021"/>
      <c r="DN175" s="917" t="str">
        <f>IF(CS175="","-",SUMIF('Lighting Assumptions'!$G$3:$G$112,'6a - Lighting Counts'!G175,'Lighting Assumptions'!$J$3:$J$112))</f>
        <v>-</v>
      </c>
      <c r="DO175" s="917" t="str">
        <f t="shared" si="62"/>
        <v>-</v>
      </c>
      <c r="DP175" s="917" t="str">
        <f t="shared" si="63"/>
        <v>-</v>
      </c>
      <c r="DQ175" s="917" t="str">
        <f>IF(LEFT(CELLformula(DF175),3)&lt;&gt;"=IF",1,"")</f>
        <v/>
      </c>
      <c r="DR175" s="917" t="str">
        <f>IF(LEFT(CELLformula(DD175),3)&lt;&gt;"=IF",1,"")</f>
        <v/>
      </c>
      <c r="DS175" s="3048">
        <f t="shared" si="72"/>
        <v>0</v>
      </c>
      <c r="DT175" s="3047" t="str">
        <f t="shared" si="73"/>
        <v/>
      </c>
      <c r="DU175" s="3047" t="str">
        <f>IFERROR(IF(G175="","",SUMIF('Lighting Assumptions'!$G$3:$G$112,'6a - Lighting Counts'!G175,'Lighting Assumptions'!$H$3:$H$112)*IF(SI_IP_Units="SI",10.76,1)),"")</f>
        <v/>
      </c>
      <c r="DV175" s="3047" t="str">
        <f>IFERROR(IF($CX175="","",IF(SI_IP_Units="SI",10.76,1)*SUMIF(BAMCategories,$CY175,'Lighting Assumptions'!$E$3:E$35)),"")</f>
        <v/>
      </c>
      <c r="DW175" s="3047" t="str">
        <f>IFERROR(IF($CX175="","",IF(SI_IP_Units="SI",10.76,1)*SUMIF(BAMCategories,$CY175,IF(bpf_reference="ACP",'Lighting Assumptions 90.1-2010'!$E$3:E$35,'Lighting Assumptions 90.1-2016'!$E$3:E$35))),"")</f>
        <v/>
      </c>
      <c r="EW175" s="855"/>
      <c r="EX175" s="855"/>
      <c r="EY175" s="855"/>
      <c r="EZ175" s="855"/>
    </row>
    <row r="176" spans="4:156" x14ac:dyDescent="0.25">
      <c r="D176" s="3019"/>
      <c r="E176" s="3020"/>
      <c r="F176" s="3021">
        <f t="shared" si="60"/>
        <v>0</v>
      </c>
      <c r="G176" s="3059"/>
      <c r="H176" s="3060"/>
      <c r="I176" s="3061"/>
      <c r="J176" s="3061"/>
      <c r="K176" s="3061"/>
      <c r="L176" s="3061"/>
      <c r="M176" s="3061"/>
      <c r="N176" s="3061"/>
      <c r="O176" s="3061"/>
      <c r="P176" s="3061"/>
      <c r="Q176" s="3061"/>
      <c r="R176" s="3061"/>
      <c r="S176" s="3061"/>
      <c r="T176" s="3061"/>
      <c r="U176" s="3061"/>
      <c r="V176" s="3061"/>
      <c r="W176" s="3061"/>
      <c r="X176" s="3061"/>
      <c r="Y176" s="3061"/>
      <c r="Z176" s="3061"/>
      <c r="AA176" s="3061"/>
      <c r="AB176" s="3061"/>
      <c r="AC176" s="3061"/>
      <c r="AD176" s="3061"/>
      <c r="AE176" s="3061"/>
      <c r="AF176" s="3061"/>
      <c r="AG176" s="3061"/>
      <c r="AH176" s="3061"/>
      <c r="AI176" s="3061"/>
      <c r="AJ176" s="3061"/>
      <c r="AK176" s="3061"/>
      <c r="AL176" s="3061"/>
      <c r="AM176" s="3061"/>
      <c r="AN176" s="3061"/>
      <c r="AO176" s="3061"/>
      <c r="AP176" s="3061"/>
      <c r="AQ176" s="3061"/>
      <c r="AR176" s="3061"/>
      <c r="AS176" s="3061"/>
      <c r="AT176" s="3061"/>
      <c r="AU176" s="3061"/>
      <c r="AV176" s="3061"/>
      <c r="AW176" s="3061"/>
      <c r="AX176" s="3061"/>
      <c r="AY176" s="3061"/>
      <c r="AZ176" s="3061"/>
      <c r="BA176" s="3061"/>
      <c r="BB176" s="3061"/>
      <c r="BC176" s="3061"/>
      <c r="BD176" s="3061"/>
      <c r="BE176" s="3061"/>
      <c r="BF176" s="3061"/>
      <c r="BG176" s="3061"/>
      <c r="BH176" s="3061"/>
      <c r="BI176" s="3061"/>
      <c r="BJ176" s="3061"/>
      <c r="BK176" s="3061"/>
      <c r="BL176" s="3061"/>
      <c r="BM176" s="3061"/>
      <c r="BN176" s="3061"/>
      <c r="BO176" s="3061"/>
      <c r="BP176" s="3061"/>
      <c r="BQ176" s="3061"/>
      <c r="BR176" s="3061"/>
      <c r="BS176" s="3061"/>
      <c r="BT176" s="3061"/>
      <c r="BU176" s="3061"/>
      <c r="BV176" s="3061"/>
      <c r="BW176" s="3061"/>
      <c r="BX176" s="3061"/>
      <c r="BY176" s="3061"/>
      <c r="BZ176" s="3061"/>
      <c r="CA176" s="3061"/>
      <c r="CB176" s="3061"/>
      <c r="CC176" s="3061"/>
      <c r="CD176" s="3061"/>
      <c r="CE176" s="3061"/>
      <c r="CF176" s="3061"/>
      <c r="CG176" s="3061"/>
      <c r="CH176" s="3061"/>
      <c r="CI176" s="3061"/>
      <c r="CJ176" s="3061"/>
      <c r="CK176" s="3061"/>
      <c r="CL176" s="3061"/>
      <c r="CM176" s="3061"/>
      <c r="CN176" s="3061"/>
      <c r="CO176" s="3061"/>
      <c r="CP176" s="3061"/>
      <c r="CQ176" s="3061"/>
      <c r="CR176" s="3061"/>
      <c r="CS176" s="3062"/>
      <c r="CT176" s="3063"/>
      <c r="CU176" s="3064">
        <f t="shared" si="64"/>
        <v>1</v>
      </c>
      <c r="CV176" s="3022" t="str">
        <f>IF(OR(CT176="",CT176="None"),"-",DO176*CU176*SUMIF('Lighting Assumptions'!$G$3:$G$112,'6a - Lighting Counts'!G176,'Lighting Assumptions'!$J$3:$J$112))</f>
        <v>-</v>
      </c>
      <c r="CW176" s="3021"/>
      <c r="CX176" s="3021"/>
      <c r="CY176" s="3046"/>
      <c r="CZ176" s="2098">
        <f t="shared" si="65"/>
        <v>0</v>
      </c>
      <c r="DA176" s="2098" t="str">
        <f t="shared" si="66"/>
        <v>-</v>
      </c>
      <c r="DB176" s="2098">
        <f t="shared" si="67"/>
        <v>0</v>
      </c>
      <c r="DC176" s="3023" t="str">
        <f t="shared" si="68"/>
        <v>-</v>
      </c>
      <c r="DD176" s="3024" t="str">
        <f t="shared" si="69"/>
        <v/>
      </c>
      <c r="DE176" s="3025" t="str">
        <f t="shared" si="70"/>
        <v>-</v>
      </c>
      <c r="DF176" s="3024" t="str">
        <f t="shared" si="61"/>
        <v>-</v>
      </c>
      <c r="DG176" s="2098">
        <f t="shared" si="71"/>
        <v>0</v>
      </c>
      <c r="DH176" s="2098">
        <f t="array" ref="DH176">MIN(SUMPRODUCT(I176:CR176,IF($I$25:$CR$25="yes",1,0),$I$23:$CR$23),H176)</f>
        <v>0</v>
      </c>
      <c r="DI176" s="3026"/>
      <c r="DJ176" s="3021"/>
      <c r="DN176" s="917" t="str">
        <f>IF(CS176="","-",SUMIF('Lighting Assumptions'!$G$3:$G$112,'6a - Lighting Counts'!G176,'Lighting Assumptions'!$J$3:$J$112))</f>
        <v>-</v>
      </c>
      <c r="DO176" s="917" t="str">
        <f t="shared" si="62"/>
        <v>-</v>
      </c>
      <c r="DP176" s="917" t="str">
        <f t="shared" si="63"/>
        <v>-</v>
      </c>
      <c r="DQ176" s="917" t="str">
        <f>IF(LEFT(CELLformula(DF176),3)&lt;&gt;"=IF",1,"")</f>
        <v/>
      </c>
      <c r="DR176" s="917" t="str">
        <f>IF(LEFT(CELLformula(DD176),3)&lt;&gt;"=IF",1,"")</f>
        <v/>
      </c>
      <c r="DS176" s="3048">
        <f t="shared" si="72"/>
        <v>0</v>
      </c>
      <c r="DT176" s="3047" t="str">
        <f t="shared" si="73"/>
        <v/>
      </c>
      <c r="DU176" s="3047" t="str">
        <f>IFERROR(IF(G176="","",SUMIF('Lighting Assumptions'!$G$3:$G$112,'6a - Lighting Counts'!G176,'Lighting Assumptions'!$H$3:$H$112)*IF(SI_IP_Units="SI",10.76,1)),"")</f>
        <v/>
      </c>
      <c r="DV176" s="3047" t="str">
        <f>IFERROR(IF($CX176="","",IF(SI_IP_Units="SI",10.76,1)*SUMIF(BAMCategories,$CY176,'Lighting Assumptions'!$E$3:E$35)),"")</f>
        <v/>
      </c>
      <c r="DW176" s="3047" t="str">
        <f>IFERROR(IF($CX176="","",IF(SI_IP_Units="SI",10.76,1)*SUMIF(BAMCategories,$CY176,IF(bpf_reference="ACP",'Lighting Assumptions 90.1-2010'!$E$3:E$35,'Lighting Assumptions 90.1-2016'!$E$3:E$35))),"")</f>
        <v/>
      </c>
      <c r="EW176" s="855"/>
      <c r="EX176" s="855"/>
      <c r="EY176" s="855"/>
      <c r="EZ176" s="855"/>
    </row>
    <row r="177" spans="4:156" x14ac:dyDescent="0.25">
      <c r="D177" s="3019"/>
      <c r="E177" s="3020"/>
      <c r="F177" s="3021">
        <f t="shared" si="60"/>
        <v>0</v>
      </c>
      <c r="G177" s="3059"/>
      <c r="H177" s="3060"/>
      <c r="I177" s="3061"/>
      <c r="J177" s="3061"/>
      <c r="K177" s="3061"/>
      <c r="L177" s="3061"/>
      <c r="M177" s="3061"/>
      <c r="N177" s="3061"/>
      <c r="O177" s="3061"/>
      <c r="P177" s="3061"/>
      <c r="Q177" s="3061"/>
      <c r="R177" s="3061"/>
      <c r="S177" s="3061"/>
      <c r="T177" s="3061"/>
      <c r="U177" s="3061"/>
      <c r="V177" s="3061"/>
      <c r="W177" s="3061"/>
      <c r="X177" s="3061"/>
      <c r="Y177" s="3061"/>
      <c r="Z177" s="3061"/>
      <c r="AA177" s="3061"/>
      <c r="AB177" s="3061"/>
      <c r="AC177" s="3061"/>
      <c r="AD177" s="3061"/>
      <c r="AE177" s="3061"/>
      <c r="AF177" s="3061"/>
      <c r="AG177" s="3061"/>
      <c r="AH177" s="3061"/>
      <c r="AI177" s="3061"/>
      <c r="AJ177" s="3061"/>
      <c r="AK177" s="3061"/>
      <c r="AL177" s="3061"/>
      <c r="AM177" s="3061"/>
      <c r="AN177" s="3061"/>
      <c r="AO177" s="3061"/>
      <c r="AP177" s="3061"/>
      <c r="AQ177" s="3061"/>
      <c r="AR177" s="3061"/>
      <c r="AS177" s="3061"/>
      <c r="AT177" s="3061"/>
      <c r="AU177" s="3061"/>
      <c r="AV177" s="3061"/>
      <c r="AW177" s="3061"/>
      <c r="AX177" s="3061"/>
      <c r="AY177" s="3061"/>
      <c r="AZ177" s="3061"/>
      <c r="BA177" s="3061"/>
      <c r="BB177" s="3061"/>
      <c r="BC177" s="3061"/>
      <c r="BD177" s="3061"/>
      <c r="BE177" s="3061"/>
      <c r="BF177" s="3061"/>
      <c r="BG177" s="3061"/>
      <c r="BH177" s="3061"/>
      <c r="BI177" s="3061"/>
      <c r="BJ177" s="3061"/>
      <c r="BK177" s="3061"/>
      <c r="BL177" s="3061"/>
      <c r="BM177" s="3061"/>
      <c r="BN177" s="3061"/>
      <c r="BO177" s="3061"/>
      <c r="BP177" s="3061"/>
      <c r="BQ177" s="3061"/>
      <c r="BR177" s="3061"/>
      <c r="BS177" s="3061"/>
      <c r="BT177" s="3061"/>
      <c r="BU177" s="3061"/>
      <c r="BV177" s="3061"/>
      <c r="BW177" s="3061"/>
      <c r="BX177" s="3061"/>
      <c r="BY177" s="3061"/>
      <c r="BZ177" s="3061"/>
      <c r="CA177" s="3061"/>
      <c r="CB177" s="3061"/>
      <c r="CC177" s="3061"/>
      <c r="CD177" s="3061"/>
      <c r="CE177" s="3061"/>
      <c r="CF177" s="3061"/>
      <c r="CG177" s="3061"/>
      <c r="CH177" s="3061"/>
      <c r="CI177" s="3061"/>
      <c r="CJ177" s="3061"/>
      <c r="CK177" s="3061"/>
      <c r="CL177" s="3061"/>
      <c r="CM177" s="3061"/>
      <c r="CN177" s="3061"/>
      <c r="CO177" s="3061"/>
      <c r="CP177" s="3061"/>
      <c r="CQ177" s="3061"/>
      <c r="CR177" s="3061"/>
      <c r="CS177" s="3062"/>
      <c r="CT177" s="3063"/>
      <c r="CU177" s="3064">
        <f t="shared" si="64"/>
        <v>1</v>
      </c>
      <c r="CV177" s="3022" t="str">
        <f>IF(OR(CT177="",CT177="None"),"-",DO177*CU177*SUMIF('Lighting Assumptions'!$G$3:$G$112,'6a - Lighting Counts'!G177,'Lighting Assumptions'!$J$3:$J$112))</f>
        <v>-</v>
      </c>
      <c r="CW177" s="3021"/>
      <c r="CX177" s="3021"/>
      <c r="CY177" s="3046"/>
      <c r="CZ177" s="2098">
        <f t="shared" si="65"/>
        <v>0</v>
      </c>
      <c r="DA177" s="2098" t="str">
        <f t="shared" si="66"/>
        <v>-</v>
      </c>
      <c r="DB177" s="2098">
        <f t="shared" si="67"/>
        <v>0</v>
      </c>
      <c r="DC177" s="3023" t="str">
        <f t="shared" si="68"/>
        <v>-</v>
      </c>
      <c r="DD177" s="3024" t="str">
        <f t="shared" si="69"/>
        <v/>
      </c>
      <c r="DE177" s="3025" t="str">
        <f t="shared" si="70"/>
        <v>-</v>
      </c>
      <c r="DF177" s="3024" t="str">
        <f t="shared" si="61"/>
        <v>-</v>
      </c>
      <c r="DG177" s="2098">
        <f t="shared" si="71"/>
        <v>0</v>
      </c>
      <c r="DH177" s="2098">
        <f t="array" ref="DH177">MIN(SUMPRODUCT(I177:CR177,IF($I$25:$CR$25="yes",1,0),$I$23:$CR$23),H177)</f>
        <v>0</v>
      </c>
      <c r="DI177" s="3026"/>
      <c r="DJ177" s="3021"/>
      <c r="DN177" s="917" t="str">
        <f>IF(CS177="","-",SUMIF('Lighting Assumptions'!$G$3:$G$112,'6a - Lighting Counts'!G177,'Lighting Assumptions'!$J$3:$J$112))</f>
        <v>-</v>
      </c>
      <c r="DO177" s="917" t="str">
        <f t="shared" si="62"/>
        <v>-</v>
      </c>
      <c r="DP177" s="917" t="str">
        <f t="shared" si="63"/>
        <v>-</v>
      </c>
      <c r="DQ177" s="917" t="str">
        <f>IF(LEFT(CELLformula(DF177),3)&lt;&gt;"=IF",1,"")</f>
        <v/>
      </c>
      <c r="DR177" s="917" t="str">
        <f>IF(LEFT(CELLformula(DD177),3)&lt;&gt;"=IF",1,"")</f>
        <v/>
      </c>
      <c r="DS177" s="3048">
        <f t="shared" si="72"/>
        <v>0</v>
      </c>
      <c r="DT177" s="3047" t="str">
        <f t="shared" si="73"/>
        <v/>
      </c>
      <c r="DU177" s="3047" t="str">
        <f>IFERROR(IF(G177="","",SUMIF('Lighting Assumptions'!$G$3:$G$112,'6a - Lighting Counts'!G177,'Lighting Assumptions'!$H$3:$H$112)*IF(SI_IP_Units="SI",10.76,1)),"")</f>
        <v/>
      </c>
      <c r="DV177" s="3047" t="str">
        <f>IFERROR(IF($CX177="","",IF(SI_IP_Units="SI",10.76,1)*SUMIF(BAMCategories,$CY177,'Lighting Assumptions'!$E$3:E$35)),"")</f>
        <v/>
      </c>
      <c r="DW177" s="3047" t="str">
        <f>IFERROR(IF($CX177="","",IF(SI_IP_Units="SI",10.76,1)*SUMIF(BAMCategories,$CY177,IF(bpf_reference="ACP",'Lighting Assumptions 90.1-2010'!$E$3:E$35,'Lighting Assumptions 90.1-2016'!$E$3:E$35))),"")</f>
        <v/>
      </c>
      <c r="EW177" s="855"/>
      <c r="EX177" s="855"/>
      <c r="EY177" s="855"/>
      <c r="EZ177" s="855"/>
    </row>
    <row r="178" spans="4:156" x14ac:dyDescent="0.25">
      <c r="D178" s="3019"/>
      <c r="E178" s="3020"/>
      <c r="F178" s="3021">
        <f t="shared" si="60"/>
        <v>0</v>
      </c>
      <c r="G178" s="3059"/>
      <c r="H178" s="3060"/>
      <c r="I178" s="3061"/>
      <c r="J178" s="3061"/>
      <c r="K178" s="3061"/>
      <c r="L178" s="3061"/>
      <c r="M178" s="3061"/>
      <c r="N178" s="3061"/>
      <c r="O178" s="3061"/>
      <c r="P178" s="3061"/>
      <c r="Q178" s="3061"/>
      <c r="R178" s="3061"/>
      <c r="S178" s="3061"/>
      <c r="T178" s="3061"/>
      <c r="U178" s="3061"/>
      <c r="V178" s="3061"/>
      <c r="W178" s="3061"/>
      <c r="X178" s="3061"/>
      <c r="Y178" s="3061"/>
      <c r="Z178" s="3061"/>
      <c r="AA178" s="3061"/>
      <c r="AB178" s="3061"/>
      <c r="AC178" s="3061"/>
      <c r="AD178" s="3061"/>
      <c r="AE178" s="3061"/>
      <c r="AF178" s="3061"/>
      <c r="AG178" s="3061"/>
      <c r="AH178" s="3061"/>
      <c r="AI178" s="3061"/>
      <c r="AJ178" s="3061"/>
      <c r="AK178" s="3061"/>
      <c r="AL178" s="3061"/>
      <c r="AM178" s="3061"/>
      <c r="AN178" s="3061"/>
      <c r="AO178" s="3061"/>
      <c r="AP178" s="3061"/>
      <c r="AQ178" s="3061"/>
      <c r="AR178" s="3061"/>
      <c r="AS178" s="3061"/>
      <c r="AT178" s="3061"/>
      <c r="AU178" s="3061"/>
      <c r="AV178" s="3061"/>
      <c r="AW178" s="3061"/>
      <c r="AX178" s="3061"/>
      <c r="AY178" s="3061"/>
      <c r="AZ178" s="3061"/>
      <c r="BA178" s="3061"/>
      <c r="BB178" s="3061"/>
      <c r="BC178" s="3061"/>
      <c r="BD178" s="3061"/>
      <c r="BE178" s="3061"/>
      <c r="BF178" s="3061"/>
      <c r="BG178" s="3061"/>
      <c r="BH178" s="3061"/>
      <c r="BI178" s="3061"/>
      <c r="BJ178" s="3061"/>
      <c r="BK178" s="3061"/>
      <c r="BL178" s="3061"/>
      <c r="BM178" s="3061"/>
      <c r="BN178" s="3061"/>
      <c r="BO178" s="3061"/>
      <c r="BP178" s="3061"/>
      <c r="BQ178" s="3061"/>
      <c r="BR178" s="3061"/>
      <c r="BS178" s="3061"/>
      <c r="BT178" s="3061"/>
      <c r="BU178" s="3061"/>
      <c r="BV178" s="3061"/>
      <c r="BW178" s="3061"/>
      <c r="BX178" s="3061"/>
      <c r="BY178" s="3061"/>
      <c r="BZ178" s="3061"/>
      <c r="CA178" s="3061"/>
      <c r="CB178" s="3061"/>
      <c r="CC178" s="3061"/>
      <c r="CD178" s="3061"/>
      <c r="CE178" s="3061"/>
      <c r="CF178" s="3061"/>
      <c r="CG178" s="3061"/>
      <c r="CH178" s="3061"/>
      <c r="CI178" s="3061"/>
      <c r="CJ178" s="3061"/>
      <c r="CK178" s="3061"/>
      <c r="CL178" s="3061"/>
      <c r="CM178" s="3061"/>
      <c r="CN178" s="3061"/>
      <c r="CO178" s="3061"/>
      <c r="CP178" s="3061"/>
      <c r="CQ178" s="3061"/>
      <c r="CR178" s="3061"/>
      <c r="CS178" s="3062"/>
      <c r="CT178" s="3063"/>
      <c r="CU178" s="3064">
        <f t="shared" si="64"/>
        <v>1</v>
      </c>
      <c r="CV178" s="3022" t="str">
        <f>IF(OR(CT178="",CT178="None"),"-",DO178*CU178*SUMIF('Lighting Assumptions'!$G$3:$G$112,'6a - Lighting Counts'!G178,'Lighting Assumptions'!$J$3:$J$112))</f>
        <v>-</v>
      </c>
      <c r="CW178" s="3021"/>
      <c r="CX178" s="3021"/>
      <c r="CY178" s="3046"/>
      <c r="CZ178" s="2098">
        <f t="shared" si="65"/>
        <v>0</v>
      </c>
      <c r="DA178" s="2098" t="str">
        <f t="shared" si="66"/>
        <v>-</v>
      </c>
      <c r="DB178" s="2098">
        <f t="shared" si="67"/>
        <v>0</v>
      </c>
      <c r="DC178" s="3023" t="str">
        <f t="shared" si="68"/>
        <v>-</v>
      </c>
      <c r="DD178" s="3024" t="str">
        <f t="shared" si="69"/>
        <v/>
      </c>
      <c r="DE178" s="3025" t="str">
        <f t="shared" si="70"/>
        <v>-</v>
      </c>
      <c r="DF178" s="3024" t="str">
        <f t="shared" si="61"/>
        <v>-</v>
      </c>
      <c r="DG178" s="2098">
        <f t="shared" si="71"/>
        <v>0</v>
      </c>
      <c r="DH178" s="2098">
        <f t="array" ref="DH178">MIN(SUMPRODUCT(I178:CR178,IF($I$25:$CR$25="yes",1,0),$I$23:$CR$23),H178)</f>
        <v>0</v>
      </c>
      <c r="DI178" s="3026"/>
      <c r="DJ178" s="3021"/>
      <c r="DN178" s="917" t="str">
        <f>IF(CS178="","-",SUMIF('Lighting Assumptions'!$G$3:$G$112,'6a - Lighting Counts'!G178,'Lighting Assumptions'!$J$3:$J$112))</f>
        <v>-</v>
      </c>
      <c r="DO178" s="917" t="str">
        <f t="shared" si="62"/>
        <v>-</v>
      </c>
      <c r="DP178" s="917" t="str">
        <f t="shared" si="63"/>
        <v>-</v>
      </c>
      <c r="DQ178" s="917" t="str">
        <f>IF(LEFT(CELLformula(DF178),3)&lt;&gt;"=IF",1,"")</f>
        <v/>
      </c>
      <c r="DR178" s="917" t="str">
        <f>IF(LEFT(CELLformula(DD178),3)&lt;&gt;"=IF",1,"")</f>
        <v/>
      </c>
      <c r="DS178" s="3048">
        <f t="shared" si="72"/>
        <v>0</v>
      </c>
      <c r="DT178" s="3047" t="str">
        <f t="shared" si="73"/>
        <v/>
      </c>
      <c r="DU178" s="3047" t="str">
        <f>IFERROR(IF(G178="","",SUMIF('Lighting Assumptions'!$G$3:$G$112,'6a - Lighting Counts'!G178,'Lighting Assumptions'!$H$3:$H$112)*IF(SI_IP_Units="SI",10.76,1)),"")</f>
        <v/>
      </c>
      <c r="DV178" s="3047" t="str">
        <f>IFERROR(IF($CX178="","",IF(SI_IP_Units="SI",10.76,1)*SUMIF(BAMCategories,$CY178,'Lighting Assumptions'!$E$3:E$35)),"")</f>
        <v/>
      </c>
      <c r="DW178" s="3047" t="str">
        <f>IFERROR(IF($CX178="","",IF(SI_IP_Units="SI",10.76,1)*SUMIF(BAMCategories,$CY178,IF(bpf_reference="ACP",'Lighting Assumptions 90.1-2010'!$E$3:E$35,'Lighting Assumptions 90.1-2016'!$E$3:E$35))),"")</f>
        <v/>
      </c>
      <c r="EW178" s="855"/>
      <c r="EX178" s="855"/>
      <c r="EY178" s="855"/>
      <c r="EZ178" s="855"/>
    </row>
    <row r="179" spans="4:156" x14ac:dyDescent="0.25">
      <c r="D179" s="3019"/>
      <c r="E179" s="3020"/>
      <c r="F179" s="3021">
        <f t="shared" si="60"/>
        <v>0</v>
      </c>
      <c r="G179" s="3059"/>
      <c r="H179" s="3060"/>
      <c r="I179" s="3061"/>
      <c r="J179" s="3061"/>
      <c r="K179" s="3061"/>
      <c r="L179" s="3061"/>
      <c r="M179" s="3061"/>
      <c r="N179" s="3061"/>
      <c r="O179" s="3061"/>
      <c r="P179" s="3061"/>
      <c r="Q179" s="3061"/>
      <c r="R179" s="3061"/>
      <c r="S179" s="3061"/>
      <c r="T179" s="3061"/>
      <c r="U179" s="3061"/>
      <c r="V179" s="3061"/>
      <c r="W179" s="3061"/>
      <c r="X179" s="3061"/>
      <c r="Y179" s="3061"/>
      <c r="Z179" s="3061"/>
      <c r="AA179" s="3061"/>
      <c r="AB179" s="3061"/>
      <c r="AC179" s="3061"/>
      <c r="AD179" s="3061"/>
      <c r="AE179" s="3061"/>
      <c r="AF179" s="3061"/>
      <c r="AG179" s="3061"/>
      <c r="AH179" s="3061"/>
      <c r="AI179" s="3061"/>
      <c r="AJ179" s="3061"/>
      <c r="AK179" s="3061"/>
      <c r="AL179" s="3061"/>
      <c r="AM179" s="3061"/>
      <c r="AN179" s="3061"/>
      <c r="AO179" s="3061"/>
      <c r="AP179" s="3061"/>
      <c r="AQ179" s="3061"/>
      <c r="AR179" s="3061"/>
      <c r="AS179" s="3061"/>
      <c r="AT179" s="3061"/>
      <c r="AU179" s="3061"/>
      <c r="AV179" s="3061"/>
      <c r="AW179" s="3061"/>
      <c r="AX179" s="3061"/>
      <c r="AY179" s="3061"/>
      <c r="AZ179" s="3061"/>
      <c r="BA179" s="3061"/>
      <c r="BB179" s="3061"/>
      <c r="BC179" s="3061"/>
      <c r="BD179" s="3061"/>
      <c r="BE179" s="3061"/>
      <c r="BF179" s="3061"/>
      <c r="BG179" s="3061"/>
      <c r="BH179" s="3061"/>
      <c r="BI179" s="3061"/>
      <c r="BJ179" s="3061"/>
      <c r="BK179" s="3061"/>
      <c r="BL179" s="3061"/>
      <c r="BM179" s="3061"/>
      <c r="BN179" s="3061"/>
      <c r="BO179" s="3061"/>
      <c r="BP179" s="3061"/>
      <c r="BQ179" s="3061"/>
      <c r="BR179" s="3061"/>
      <c r="BS179" s="3061"/>
      <c r="BT179" s="3061"/>
      <c r="BU179" s="3061"/>
      <c r="BV179" s="3061"/>
      <c r="BW179" s="3061"/>
      <c r="BX179" s="3061"/>
      <c r="BY179" s="3061"/>
      <c r="BZ179" s="3061"/>
      <c r="CA179" s="3061"/>
      <c r="CB179" s="3061"/>
      <c r="CC179" s="3061"/>
      <c r="CD179" s="3061"/>
      <c r="CE179" s="3061"/>
      <c r="CF179" s="3061"/>
      <c r="CG179" s="3061"/>
      <c r="CH179" s="3061"/>
      <c r="CI179" s="3061"/>
      <c r="CJ179" s="3061"/>
      <c r="CK179" s="3061"/>
      <c r="CL179" s="3061"/>
      <c r="CM179" s="3061"/>
      <c r="CN179" s="3061"/>
      <c r="CO179" s="3061"/>
      <c r="CP179" s="3061"/>
      <c r="CQ179" s="3061"/>
      <c r="CR179" s="3061"/>
      <c r="CS179" s="3062"/>
      <c r="CT179" s="3063"/>
      <c r="CU179" s="3064">
        <f t="shared" si="64"/>
        <v>1</v>
      </c>
      <c r="CV179" s="3022" t="str">
        <f>IF(OR(CT179="",CT179="None"),"-",DO179*CU179*SUMIF('Lighting Assumptions'!$G$3:$G$112,'6a - Lighting Counts'!G179,'Lighting Assumptions'!$J$3:$J$112))</f>
        <v>-</v>
      </c>
      <c r="CW179" s="3021"/>
      <c r="CX179" s="3021"/>
      <c r="CY179" s="3046"/>
      <c r="CZ179" s="2098">
        <f t="shared" si="65"/>
        <v>0</v>
      </c>
      <c r="DA179" s="2098" t="str">
        <f t="shared" si="66"/>
        <v>-</v>
      </c>
      <c r="DB179" s="2098">
        <f t="shared" si="67"/>
        <v>0</v>
      </c>
      <c r="DC179" s="3023" t="str">
        <f t="shared" si="68"/>
        <v>-</v>
      </c>
      <c r="DD179" s="3024" t="str">
        <f t="shared" si="69"/>
        <v/>
      </c>
      <c r="DE179" s="3025" t="str">
        <f t="shared" si="70"/>
        <v>-</v>
      </c>
      <c r="DF179" s="3024" t="str">
        <f t="shared" si="61"/>
        <v>-</v>
      </c>
      <c r="DG179" s="2098">
        <f t="shared" si="71"/>
        <v>0</v>
      </c>
      <c r="DH179" s="2098">
        <f t="array" ref="DH179">MIN(SUMPRODUCT(I179:CR179,IF($I$25:$CR$25="yes",1,0),$I$23:$CR$23),H179)</f>
        <v>0</v>
      </c>
      <c r="DI179" s="3026"/>
      <c r="DJ179" s="3021"/>
      <c r="DN179" s="917" t="str">
        <f>IF(CS179="","-",SUMIF('Lighting Assumptions'!$G$3:$G$112,'6a - Lighting Counts'!G179,'Lighting Assumptions'!$J$3:$J$112))</f>
        <v>-</v>
      </c>
      <c r="DO179" s="917" t="str">
        <f t="shared" si="62"/>
        <v>-</v>
      </c>
      <c r="DP179" s="917" t="str">
        <f t="shared" si="63"/>
        <v>-</v>
      </c>
      <c r="DQ179" s="917" t="str">
        <f>IF(LEFT(CELLformula(DF179),3)&lt;&gt;"=IF",1,"")</f>
        <v/>
      </c>
      <c r="DR179" s="917" t="str">
        <f>IF(LEFT(CELLformula(DD179),3)&lt;&gt;"=IF",1,"")</f>
        <v/>
      </c>
      <c r="DS179" s="3048">
        <f t="shared" si="72"/>
        <v>0</v>
      </c>
      <c r="DT179" s="3047" t="str">
        <f t="shared" si="73"/>
        <v/>
      </c>
      <c r="DU179" s="3047" t="str">
        <f>IFERROR(IF(G179="","",SUMIF('Lighting Assumptions'!$G$3:$G$112,'6a - Lighting Counts'!G179,'Lighting Assumptions'!$H$3:$H$112)*IF(SI_IP_Units="SI",10.76,1)),"")</f>
        <v/>
      </c>
      <c r="DV179" s="3047" t="str">
        <f>IFERROR(IF($CX179="","",IF(SI_IP_Units="SI",10.76,1)*SUMIF(BAMCategories,$CY179,'Lighting Assumptions'!$E$3:E$35)),"")</f>
        <v/>
      </c>
      <c r="DW179" s="3047" t="str">
        <f>IFERROR(IF($CX179="","",IF(SI_IP_Units="SI",10.76,1)*SUMIF(BAMCategories,$CY179,IF(bpf_reference="ACP",'Lighting Assumptions 90.1-2010'!$E$3:E$35,'Lighting Assumptions 90.1-2016'!$E$3:E$35))),"")</f>
        <v/>
      </c>
      <c r="EW179" s="855"/>
      <c r="EX179" s="855"/>
      <c r="EY179" s="855"/>
      <c r="EZ179" s="855"/>
    </row>
    <row r="180" spans="4:156" x14ac:dyDescent="0.25">
      <c r="D180" s="3019"/>
      <c r="E180" s="3020"/>
      <c r="F180" s="3021">
        <f t="shared" si="60"/>
        <v>0</v>
      </c>
      <c r="G180" s="3059"/>
      <c r="H180" s="3060"/>
      <c r="I180" s="3061"/>
      <c r="J180" s="3061"/>
      <c r="K180" s="3061"/>
      <c r="L180" s="3061"/>
      <c r="M180" s="3061"/>
      <c r="N180" s="3061"/>
      <c r="O180" s="3061"/>
      <c r="P180" s="3061"/>
      <c r="Q180" s="3061"/>
      <c r="R180" s="3061"/>
      <c r="S180" s="3061"/>
      <c r="T180" s="3061"/>
      <c r="U180" s="3061"/>
      <c r="V180" s="3061"/>
      <c r="W180" s="3061"/>
      <c r="X180" s="3061"/>
      <c r="Y180" s="3061"/>
      <c r="Z180" s="3061"/>
      <c r="AA180" s="3061"/>
      <c r="AB180" s="3061"/>
      <c r="AC180" s="3061"/>
      <c r="AD180" s="3061"/>
      <c r="AE180" s="3061"/>
      <c r="AF180" s="3061"/>
      <c r="AG180" s="3061"/>
      <c r="AH180" s="3061"/>
      <c r="AI180" s="3061"/>
      <c r="AJ180" s="3061"/>
      <c r="AK180" s="3061"/>
      <c r="AL180" s="3061"/>
      <c r="AM180" s="3061"/>
      <c r="AN180" s="3061"/>
      <c r="AO180" s="3061"/>
      <c r="AP180" s="3061"/>
      <c r="AQ180" s="3061"/>
      <c r="AR180" s="3061"/>
      <c r="AS180" s="3061"/>
      <c r="AT180" s="3061"/>
      <c r="AU180" s="3061"/>
      <c r="AV180" s="3061"/>
      <c r="AW180" s="3061"/>
      <c r="AX180" s="3061"/>
      <c r="AY180" s="3061"/>
      <c r="AZ180" s="3061"/>
      <c r="BA180" s="3061"/>
      <c r="BB180" s="3061"/>
      <c r="BC180" s="3061"/>
      <c r="BD180" s="3061"/>
      <c r="BE180" s="3061"/>
      <c r="BF180" s="3061"/>
      <c r="BG180" s="3061"/>
      <c r="BH180" s="3061"/>
      <c r="BI180" s="3061"/>
      <c r="BJ180" s="3061"/>
      <c r="BK180" s="3061"/>
      <c r="BL180" s="3061"/>
      <c r="BM180" s="3061"/>
      <c r="BN180" s="3061"/>
      <c r="BO180" s="3061"/>
      <c r="BP180" s="3061"/>
      <c r="BQ180" s="3061"/>
      <c r="BR180" s="3061"/>
      <c r="BS180" s="3061"/>
      <c r="BT180" s="3061"/>
      <c r="BU180" s="3061"/>
      <c r="BV180" s="3061"/>
      <c r="BW180" s="3061"/>
      <c r="BX180" s="3061"/>
      <c r="BY180" s="3061"/>
      <c r="BZ180" s="3061"/>
      <c r="CA180" s="3061"/>
      <c r="CB180" s="3061"/>
      <c r="CC180" s="3061"/>
      <c r="CD180" s="3061"/>
      <c r="CE180" s="3061"/>
      <c r="CF180" s="3061"/>
      <c r="CG180" s="3061"/>
      <c r="CH180" s="3061"/>
      <c r="CI180" s="3061"/>
      <c r="CJ180" s="3061"/>
      <c r="CK180" s="3061"/>
      <c r="CL180" s="3061"/>
      <c r="CM180" s="3061"/>
      <c r="CN180" s="3061"/>
      <c r="CO180" s="3061"/>
      <c r="CP180" s="3061"/>
      <c r="CQ180" s="3061"/>
      <c r="CR180" s="3061"/>
      <c r="CS180" s="3062"/>
      <c r="CT180" s="3063"/>
      <c r="CU180" s="3064">
        <f t="shared" si="64"/>
        <v>1</v>
      </c>
      <c r="CV180" s="3022" t="str">
        <f>IF(OR(CT180="",CT180="None"),"-",DO180*CU180*SUMIF('Lighting Assumptions'!$G$3:$G$112,'6a - Lighting Counts'!G180,'Lighting Assumptions'!$J$3:$J$112))</f>
        <v>-</v>
      </c>
      <c r="CW180" s="3021"/>
      <c r="CX180" s="3021"/>
      <c r="CY180" s="3046"/>
      <c r="CZ180" s="2098">
        <f t="shared" si="65"/>
        <v>0</v>
      </c>
      <c r="DA180" s="2098" t="str">
        <f t="shared" si="66"/>
        <v>-</v>
      </c>
      <c r="DB180" s="2098">
        <f t="shared" si="67"/>
        <v>0</v>
      </c>
      <c r="DC180" s="3023" t="str">
        <f t="shared" si="68"/>
        <v>-</v>
      </c>
      <c r="DD180" s="3024" t="str">
        <f t="shared" si="69"/>
        <v/>
      </c>
      <c r="DE180" s="3025" t="str">
        <f t="shared" si="70"/>
        <v>-</v>
      </c>
      <c r="DF180" s="3024" t="str">
        <f t="shared" si="61"/>
        <v>-</v>
      </c>
      <c r="DG180" s="2098">
        <f t="shared" si="71"/>
        <v>0</v>
      </c>
      <c r="DH180" s="2098">
        <f t="array" ref="DH180">MIN(SUMPRODUCT(I180:CR180,IF($I$25:$CR$25="yes",1,0),$I$23:$CR$23),H180)</f>
        <v>0</v>
      </c>
      <c r="DI180" s="3026"/>
      <c r="DJ180" s="3021"/>
      <c r="DN180" s="917" t="str">
        <f>IF(CS180="","-",SUMIF('Lighting Assumptions'!$G$3:$G$112,'6a - Lighting Counts'!G180,'Lighting Assumptions'!$J$3:$J$112))</f>
        <v>-</v>
      </c>
      <c r="DO180" s="917" t="str">
        <f t="shared" si="62"/>
        <v>-</v>
      </c>
      <c r="DP180" s="917" t="str">
        <f t="shared" si="63"/>
        <v>-</v>
      </c>
      <c r="DQ180" s="917" t="str">
        <f>IF(LEFT(CELLformula(DF180),3)&lt;&gt;"=IF",1,"")</f>
        <v/>
      </c>
      <c r="DR180" s="917" t="str">
        <f>IF(LEFT(CELLformula(DD180),3)&lt;&gt;"=IF",1,"")</f>
        <v/>
      </c>
      <c r="DS180" s="3048">
        <f t="shared" si="72"/>
        <v>0</v>
      </c>
      <c r="DT180" s="3047" t="str">
        <f t="shared" si="73"/>
        <v/>
      </c>
      <c r="DU180" s="3047" t="str">
        <f>IFERROR(IF(G180="","",SUMIF('Lighting Assumptions'!$G$3:$G$112,'6a - Lighting Counts'!G180,'Lighting Assumptions'!$H$3:$H$112)*IF(SI_IP_Units="SI",10.76,1)),"")</f>
        <v/>
      </c>
      <c r="DV180" s="3047" t="str">
        <f>IFERROR(IF($CX180="","",IF(SI_IP_Units="SI",10.76,1)*SUMIF(BAMCategories,$CY180,'Lighting Assumptions'!$E$3:E$35)),"")</f>
        <v/>
      </c>
      <c r="DW180" s="3047" t="str">
        <f>IFERROR(IF($CX180="","",IF(SI_IP_Units="SI",10.76,1)*SUMIF(BAMCategories,$CY180,IF(bpf_reference="ACP",'Lighting Assumptions 90.1-2010'!$E$3:E$35,'Lighting Assumptions 90.1-2016'!$E$3:E$35))),"")</f>
        <v/>
      </c>
      <c r="EW180" s="855"/>
      <c r="EX180" s="855"/>
      <c r="EY180" s="855"/>
      <c r="EZ180" s="855"/>
    </row>
    <row r="181" spans="4:156" x14ac:dyDescent="0.25">
      <c r="D181" s="3019"/>
      <c r="E181" s="3020"/>
      <c r="F181" s="3021">
        <f t="shared" si="60"/>
        <v>0</v>
      </c>
      <c r="G181" s="3059"/>
      <c r="H181" s="3060"/>
      <c r="I181" s="3061"/>
      <c r="J181" s="3061"/>
      <c r="K181" s="3061"/>
      <c r="L181" s="3061"/>
      <c r="M181" s="3061"/>
      <c r="N181" s="3061"/>
      <c r="O181" s="3061"/>
      <c r="P181" s="3061"/>
      <c r="Q181" s="3061"/>
      <c r="R181" s="3061"/>
      <c r="S181" s="3061"/>
      <c r="T181" s="3061"/>
      <c r="U181" s="3061"/>
      <c r="V181" s="3061"/>
      <c r="W181" s="3061"/>
      <c r="X181" s="3061"/>
      <c r="Y181" s="3061"/>
      <c r="Z181" s="3061"/>
      <c r="AA181" s="3061"/>
      <c r="AB181" s="3061"/>
      <c r="AC181" s="3061"/>
      <c r="AD181" s="3061"/>
      <c r="AE181" s="3061"/>
      <c r="AF181" s="3061"/>
      <c r="AG181" s="3061"/>
      <c r="AH181" s="3061"/>
      <c r="AI181" s="3061"/>
      <c r="AJ181" s="3061"/>
      <c r="AK181" s="3061"/>
      <c r="AL181" s="3061"/>
      <c r="AM181" s="3061"/>
      <c r="AN181" s="3061"/>
      <c r="AO181" s="3061"/>
      <c r="AP181" s="3061"/>
      <c r="AQ181" s="3061"/>
      <c r="AR181" s="3061"/>
      <c r="AS181" s="3061"/>
      <c r="AT181" s="3061"/>
      <c r="AU181" s="3061"/>
      <c r="AV181" s="3061"/>
      <c r="AW181" s="3061"/>
      <c r="AX181" s="3061"/>
      <c r="AY181" s="3061"/>
      <c r="AZ181" s="3061"/>
      <c r="BA181" s="3061"/>
      <c r="BB181" s="3061"/>
      <c r="BC181" s="3061"/>
      <c r="BD181" s="3061"/>
      <c r="BE181" s="3061"/>
      <c r="BF181" s="3061"/>
      <c r="BG181" s="3061"/>
      <c r="BH181" s="3061"/>
      <c r="BI181" s="3061"/>
      <c r="BJ181" s="3061"/>
      <c r="BK181" s="3061"/>
      <c r="BL181" s="3061"/>
      <c r="BM181" s="3061"/>
      <c r="BN181" s="3061"/>
      <c r="BO181" s="3061"/>
      <c r="BP181" s="3061"/>
      <c r="BQ181" s="3061"/>
      <c r="BR181" s="3061"/>
      <c r="BS181" s="3061"/>
      <c r="BT181" s="3061"/>
      <c r="BU181" s="3061"/>
      <c r="BV181" s="3061"/>
      <c r="BW181" s="3061"/>
      <c r="BX181" s="3061"/>
      <c r="BY181" s="3061"/>
      <c r="BZ181" s="3061"/>
      <c r="CA181" s="3061"/>
      <c r="CB181" s="3061"/>
      <c r="CC181" s="3061"/>
      <c r="CD181" s="3061"/>
      <c r="CE181" s="3061"/>
      <c r="CF181" s="3061"/>
      <c r="CG181" s="3061"/>
      <c r="CH181" s="3061"/>
      <c r="CI181" s="3061"/>
      <c r="CJ181" s="3061"/>
      <c r="CK181" s="3061"/>
      <c r="CL181" s="3061"/>
      <c r="CM181" s="3061"/>
      <c r="CN181" s="3061"/>
      <c r="CO181" s="3061"/>
      <c r="CP181" s="3061"/>
      <c r="CQ181" s="3061"/>
      <c r="CR181" s="3061"/>
      <c r="CS181" s="3062"/>
      <c r="CT181" s="3063"/>
      <c r="CU181" s="3064">
        <f t="shared" si="64"/>
        <v>1</v>
      </c>
      <c r="CV181" s="3022" t="str">
        <f>IF(OR(CT181="",CT181="None"),"-",DO181*CU181*SUMIF('Lighting Assumptions'!$G$3:$G$112,'6a - Lighting Counts'!G181,'Lighting Assumptions'!$J$3:$J$112))</f>
        <v>-</v>
      </c>
      <c r="CW181" s="3021"/>
      <c r="CX181" s="3021"/>
      <c r="CY181" s="3046"/>
      <c r="CZ181" s="2098">
        <f t="shared" si="65"/>
        <v>0</v>
      </c>
      <c r="DA181" s="2098" t="str">
        <f t="shared" si="66"/>
        <v>-</v>
      </c>
      <c r="DB181" s="2098">
        <f t="shared" si="67"/>
        <v>0</v>
      </c>
      <c r="DC181" s="3023" t="str">
        <f t="shared" si="68"/>
        <v>-</v>
      </c>
      <c r="DD181" s="3024" t="str">
        <f t="shared" si="69"/>
        <v/>
      </c>
      <c r="DE181" s="3025" t="str">
        <f t="shared" si="70"/>
        <v>-</v>
      </c>
      <c r="DF181" s="3024" t="str">
        <f t="shared" si="61"/>
        <v>-</v>
      </c>
      <c r="DG181" s="2098">
        <f t="shared" si="71"/>
        <v>0</v>
      </c>
      <c r="DH181" s="2098">
        <f t="array" ref="DH181">MIN(SUMPRODUCT(I181:CR181,IF($I$25:$CR$25="yes",1,0),$I$23:$CR$23),H181)</f>
        <v>0</v>
      </c>
      <c r="DI181" s="3026"/>
      <c r="DJ181" s="3021"/>
      <c r="DN181" s="917" t="str">
        <f>IF(CS181="","-",SUMIF('Lighting Assumptions'!$G$3:$G$112,'6a - Lighting Counts'!G181,'Lighting Assumptions'!$J$3:$J$112))</f>
        <v>-</v>
      </c>
      <c r="DO181" s="917" t="str">
        <f t="shared" si="62"/>
        <v>-</v>
      </c>
      <c r="DP181" s="917" t="str">
        <f t="shared" si="63"/>
        <v>-</v>
      </c>
      <c r="DQ181" s="917" t="str">
        <f>IF(LEFT(CELLformula(DF181),3)&lt;&gt;"=IF",1,"")</f>
        <v/>
      </c>
      <c r="DR181" s="917" t="str">
        <f>IF(LEFT(CELLformula(DD181),3)&lt;&gt;"=IF",1,"")</f>
        <v/>
      </c>
      <c r="DS181" s="3048">
        <f t="shared" si="72"/>
        <v>0</v>
      </c>
      <c r="DT181" s="3047" t="str">
        <f t="shared" si="73"/>
        <v/>
      </c>
      <c r="DU181" s="3047" t="str">
        <f>IFERROR(IF(G181="","",SUMIF('Lighting Assumptions'!$G$3:$G$112,'6a - Lighting Counts'!G181,'Lighting Assumptions'!$H$3:$H$112)*IF(SI_IP_Units="SI",10.76,1)),"")</f>
        <v/>
      </c>
      <c r="DV181" s="3047" t="str">
        <f>IFERROR(IF($CX181="","",IF(SI_IP_Units="SI",10.76,1)*SUMIF(BAMCategories,$CY181,'Lighting Assumptions'!$E$3:E$35)),"")</f>
        <v/>
      </c>
      <c r="DW181" s="3047" t="str">
        <f>IFERROR(IF($CX181="","",IF(SI_IP_Units="SI",10.76,1)*SUMIF(BAMCategories,$CY181,IF(bpf_reference="ACP",'Lighting Assumptions 90.1-2010'!$E$3:E$35,'Lighting Assumptions 90.1-2016'!$E$3:E$35))),"")</f>
        <v/>
      </c>
      <c r="EW181" s="855"/>
      <c r="EX181" s="855"/>
      <c r="EY181" s="855"/>
      <c r="EZ181" s="855"/>
    </row>
    <row r="182" spans="4:156" x14ac:dyDescent="0.25">
      <c r="D182" s="3019"/>
      <c r="E182" s="3020"/>
      <c r="F182" s="3021">
        <f t="shared" si="60"/>
        <v>0</v>
      </c>
      <c r="G182" s="3059"/>
      <c r="H182" s="3060"/>
      <c r="I182" s="3061"/>
      <c r="J182" s="3061"/>
      <c r="K182" s="3061"/>
      <c r="L182" s="3061"/>
      <c r="M182" s="3061"/>
      <c r="N182" s="3061"/>
      <c r="O182" s="3061"/>
      <c r="P182" s="3061"/>
      <c r="Q182" s="3061"/>
      <c r="R182" s="3061"/>
      <c r="S182" s="3061"/>
      <c r="T182" s="3061"/>
      <c r="U182" s="3061"/>
      <c r="V182" s="3061"/>
      <c r="W182" s="3061"/>
      <c r="X182" s="3061"/>
      <c r="Y182" s="3061"/>
      <c r="Z182" s="3061"/>
      <c r="AA182" s="3061"/>
      <c r="AB182" s="3061"/>
      <c r="AC182" s="3061"/>
      <c r="AD182" s="3061"/>
      <c r="AE182" s="3061"/>
      <c r="AF182" s="3061"/>
      <c r="AG182" s="3061"/>
      <c r="AH182" s="3061"/>
      <c r="AI182" s="3061"/>
      <c r="AJ182" s="3061"/>
      <c r="AK182" s="3061"/>
      <c r="AL182" s="3061"/>
      <c r="AM182" s="3061"/>
      <c r="AN182" s="3061"/>
      <c r="AO182" s="3061"/>
      <c r="AP182" s="3061"/>
      <c r="AQ182" s="3061"/>
      <c r="AR182" s="3061"/>
      <c r="AS182" s="3061"/>
      <c r="AT182" s="3061"/>
      <c r="AU182" s="3061"/>
      <c r="AV182" s="3061"/>
      <c r="AW182" s="3061"/>
      <c r="AX182" s="3061"/>
      <c r="AY182" s="3061"/>
      <c r="AZ182" s="3061"/>
      <c r="BA182" s="3061"/>
      <c r="BB182" s="3061"/>
      <c r="BC182" s="3061"/>
      <c r="BD182" s="3061"/>
      <c r="BE182" s="3061"/>
      <c r="BF182" s="3061"/>
      <c r="BG182" s="3061"/>
      <c r="BH182" s="3061"/>
      <c r="BI182" s="3061"/>
      <c r="BJ182" s="3061"/>
      <c r="BK182" s="3061"/>
      <c r="BL182" s="3061"/>
      <c r="BM182" s="3061"/>
      <c r="BN182" s="3061"/>
      <c r="BO182" s="3061"/>
      <c r="BP182" s="3061"/>
      <c r="BQ182" s="3061"/>
      <c r="BR182" s="3061"/>
      <c r="BS182" s="3061"/>
      <c r="BT182" s="3061"/>
      <c r="BU182" s="3061"/>
      <c r="BV182" s="3061"/>
      <c r="BW182" s="3061"/>
      <c r="BX182" s="3061"/>
      <c r="BY182" s="3061"/>
      <c r="BZ182" s="3061"/>
      <c r="CA182" s="3061"/>
      <c r="CB182" s="3061"/>
      <c r="CC182" s="3061"/>
      <c r="CD182" s="3061"/>
      <c r="CE182" s="3061"/>
      <c r="CF182" s="3061"/>
      <c r="CG182" s="3061"/>
      <c r="CH182" s="3061"/>
      <c r="CI182" s="3061"/>
      <c r="CJ182" s="3061"/>
      <c r="CK182" s="3061"/>
      <c r="CL182" s="3061"/>
      <c r="CM182" s="3061"/>
      <c r="CN182" s="3061"/>
      <c r="CO182" s="3061"/>
      <c r="CP182" s="3061"/>
      <c r="CQ182" s="3061"/>
      <c r="CR182" s="3061"/>
      <c r="CS182" s="3062"/>
      <c r="CT182" s="3063"/>
      <c r="CU182" s="3064">
        <f t="shared" si="64"/>
        <v>1</v>
      </c>
      <c r="CV182" s="3022" t="str">
        <f>IF(OR(CT182="",CT182="None"),"-",DO182*CU182*SUMIF('Lighting Assumptions'!$G$3:$G$112,'6a - Lighting Counts'!G182,'Lighting Assumptions'!$J$3:$J$112))</f>
        <v>-</v>
      </c>
      <c r="CW182" s="3021"/>
      <c r="CX182" s="3021"/>
      <c r="CY182" s="3046"/>
      <c r="CZ182" s="2098">
        <f t="shared" si="65"/>
        <v>0</v>
      </c>
      <c r="DA182" s="2098" t="str">
        <f t="shared" si="66"/>
        <v>-</v>
      </c>
      <c r="DB182" s="2098">
        <f t="shared" si="67"/>
        <v>0</v>
      </c>
      <c r="DC182" s="3023" t="str">
        <f t="shared" si="68"/>
        <v>-</v>
      </c>
      <c r="DD182" s="3024" t="str">
        <f t="shared" si="69"/>
        <v/>
      </c>
      <c r="DE182" s="3025" t="str">
        <f t="shared" si="70"/>
        <v>-</v>
      </c>
      <c r="DF182" s="3024" t="str">
        <f t="shared" si="61"/>
        <v>-</v>
      </c>
      <c r="DG182" s="2098">
        <f t="shared" si="71"/>
        <v>0</v>
      </c>
      <c r="DH182" s="2098">
        <f t="array" ref="DH182">MIN(SUMPRODUCT(I182:CR182,IF($I$25:$CR$25="yes",1,0),$I$23:$CR$23),H182)</f>
        <v>0</v>
      </c>
      <c r="DI182" s="3026"/>
      <c r="DJ182" s="3021"/>
      <c r="DN182" s="917" t="str">
        <f>IF(CS182="","-",SUMIF('Lighting Assumptions'!$G$3:$G$112,'6a - Lighting Counts'!G182,'Lighting Assumptions'!$J$3:$J$112))</f>
        <v>-</v>
      </c>
      <c r="DO182" s="917" t="str">
        <f t="shared" si="62"/>
        <v>-</v>
      </c>
      <c r="DP182" s="917" t="str">
        <f t="shared" si="63"/>
        <v>-</v>
      </c>
      <c r="DQ182" s="917" t="str">
        <f>IF(LEFT(CELLformula(DF182),3)&lt;&gt;"=IF",1,"")</f>
        <v/>
      </c>
      <c r="DR182" s="917" t="str">
        <f>IF(LEFT(CELLformula(DD182),3)&lt;&gt;"=IF",1,"")</f>
        <v/>
      </c>
      <c r="DS182" s="3048">
        <f t="shared" si="72"/>
        <v>0</v>
      </c>
      <c r="DT182" s="3047" t="str">
        <f t="shared" si="73"/>
        <v/>
      </c>
      <c r="DU182" s="3047" t="str">
        <f>IFERROR(IF(G182="","",SUMIF('Lighting Assumptions'!$G$3:$G$112,'6a - Lighting Counts'!G182,'Lighting Assumptions'!$H$3:$H$112)*IF(SI_IP_Units="SI",10.76,1)),"")</f>
        <v/>
      </c>
      <c r="DV182" s="3047" t="str">
        <f>IFERROR(IF($CX182="","",IF(SI_IP_Units="SI",10.76,1)*SUMIF(BAMCategories,$CY182,'Lighting Assumptions'!$E$3:E$35)),"")</f>
        <v/>
      </c>
      <c r="DW182" s="3047" t="str">
        <f>IFERROR(IF($CX182="","",IF(SI_IP_Units="SI",10.76,1)*SUMIF(BAMCategories,$CY182,IF(bpf_reference="ACP",'Lighting Assumptions 90.1-2010'!$E$3:E$35,'Lighting Assumptions 90.1-2016'!$E$3:E$35))),"")</f>
        <v/>
      </c>
      <c r="EW182" s="855"/>
      <c r="EX182" s="855"/>
      <c r="EY182" s="855"/>
      <c r="EZ182" s="855"/>
    </row>
    <row r="183" spans="4:156" x14ac:dyDescent="0.25">
      <c r="D183" s="3019"/>
      <c r="E183" s="3020"/>
      <c r="F183" s="3021">
        <f t="shared" si="60"/>
        <v>0</v>
      </c>
      <c r="G183" s="3059"/>
      <c r="H183" s="3060"/>
      <c r="I183" s="3061"/>
      <c r="J183" s="3061"/>
      <c r="K183" s="3061"/>
      <c r="L183" s="3061"/>
      <c r="M183" s="3061"/>
      <c r="N183" s="3061"/>
      <c r="O183" s="3061"/>
      <c r="P183" s="3061"/>
      <c r="Q183" s="3061"/>
      <c r="R183" s="3061"/>
      <c r="S183" s="3061"/>
      <c r="T183" s="3061"/>
      <c r="U183" s="3061"/>
      <c r="V183" s="3061"/>
      <c r="W183" s="3061"/>
      <c r="X183" s="3061"/>
      <c r="Y183" s="3061"/>
      <c r="Z183" s="3061"/>
      <c r="AA183" s="3061"/>
      <c r="AB183" s="3061"/>
      <c r="AC183" s="3061"/>
      <c r="AD183" s="3061"/>
      <c r="AE183" s="3061"/>
      <c r="AF183" s="3061"/>
      <c r="AG183" s="3061"/>
      <c r="AH183" s="3061"/>
      <c r="AI183" s="3061"/>
      <c r="AJ183" s="3061"/>
      <c r="AK183" s="3061"/>
      <c r="AL183" s="3061"/>
      <c r="AM183" s="3061"/>
      <c r="AN183" s="3061"/>
      <c r="AO183" s="3061"/>
      <c r="AP183" s="3061"/>
      <c r="AQ183" s="3061"/>
      <c r="AR183" s="3061"/>
      <c r="AS183" s="3061"/>
      <c r="AT183" s="3061"/>
      <c r="AU183" s="3061"/>
      <c r="AV183" s="3061"/>
      <c r="AW183" s="3061"/>
      <c r="AX183" s="3061"/>
      <c r="AY183" s="3061"/>
      <c r="AZ183" s="3061"/>
      <c r="BA183" s="3061"/>
      <c r="BB183" s="3061"/>
      <c r="BC183" s="3061"/>
      <c r="BD183" s="3061"/>
      <c r="BE183" s="3061"/>
      <c r="BF183" s="3061"/>
      <c r="BG183" s="3061"/>
      <c r="BH183" s="3061"/>
      <c r="BI183" s="3061"/>
      <c r="BJ183" s="3061"/>
      <c r="BK183" s="3061"/>
      <c r="BL183" s="3061"/>
      <c r="BM183" s="3061"/>
      <c r="BN183" s="3061"/>
      <c r="BO183" s="3061"/>
      <c r="BP183" s="3061"/>
      <c r="BQ183" s="3061"/>
      <c r="BR183" s="3061"/>
      <c r="BS183" s="3061"/>
      <c r="BT183" s="3061"/>
      <c r="BU183" s="3061"/>
      <c r="BV183" s="3061"/>
      <c r="BW183" s="3061"/>
      <c r="BX183" s="3061"/>
      <c r="BY183" s="3061"/>
      <c r="BZ183" s="3061"/>
      <c r="CA183" s="3061"/>
      <c r="CB183" s="3061"/>
      <c r="CC183" s="3061"/>
      <c r="CD183" s="3061"/>
      <c r="CE183" s="3061"/>
      <c r="CF183" s="3061"/>
      <c r="CG183" s="3061"/>
      <c r="CH183" s="3061"/>
      <c r="CI183" s="3061"/>
      <c r="CJ183" s="3061"/>
      <c r="CK183" s="3061"/>
      <c r="CL183" s="3061"/>
      <c r="CM183" s="3061"/>
      <c r="CN183" s="3061"/>
      <c r="CO183" s="3061"/>
      <c r="CP183" s="3061"/>
      <c r="CQ183" s="3061"/>
      <c r="CR183" s="3061"/>
      <c r="CS183" s="3062"/>
      <c r="CT183" s="3063"/>
      <c r="CU183" s="3064">
        <f t="shared" si="64"/>
        <v>1</v>
      </c>
      <c r="CV183" s="3022" t="str">
        <f>IF(OR(CT183="",CT183="None"),"-",DO183*CU183*SUMIF('Lighting Assumptions'!$G$3:$G$112,'6a - Lighting Counts'!G183,'Lighting Assumptions'!$J$3:$J$112))</f>
        <v>-</v>
      </c>
      <c r="CW183" s="3021"/>
      <c r="CX183" s="3021"/>
      <c r="CY183" s="3046"/>
      <c r="CZ183" s="2098">
        <f t="shared" si="65"/>
        <v>0</v>
      </c>
      <c r="DA183" s="2098" t="str">
        <f t="shared" si="66"/>
        <v>-</v>
      </c>
      <c r="DB183" s="2098">
        <f t="shared" si="67"/>
        <v>0</v>
      </c>
      <c r="DC183" s="3023" t="str">
        <f t="shared" si="68"/>
        <v>-</v>
      </c>
      <c r="DD183" s="3024" t="str">
        <f t="shared" si="69"/>
        <v/>
      </c>
      <c r="DE183" s="3025" t="str">
        <f t="shared" si="70"/>
        <v>-</v>
      </c>
      <c r="DF183" s="3024" t="str">
        <f t="shared" si="61"/>
        <v>-</v>
      </c>
      <c r="DG183" s="2098">
        <f t="shared" si="71"/>
        <v>0</v>
      </c>
      <c r="DH183" s="2098">
        <f t="array" ref="DH183">MIN(SUMPRODUCT(I183:CR183,IF($I$25:$CR$25="yes",1,0),$I$23:$CR$23),H183)</f>
        <v>0</v>
      </c>
      <c r="DI183" s="3026"/>
      <c r="DJ183" s="3021"/>
      <c r="DN183" s="917" t="str">
        <f>IF(CS183="","-",SUMIF('Lighting Assumptions'!$G$3:$G$112,'6a - Lighting Counts'!G183,'Lighting Assumptions'!$J$3:$J$112))</f>
        <v>-</v>
      </c>
      <c r="DO183" s="917" t="str">
        <f t="shared" si="62"/>
        <v>-</v>
      </c>
      <c r="DP183" s="917" t="str">
        <f t="shared" si="63"/>
        <v>-</v>
      </c>
      <c r="DQ183" s="917" t="str">
        <f>IF(LEFT(CELLformula(DF183),3)&lt;&gt;"=IF",1,"")</f>
        <v/>
      </c>
      <c r="DR183" s="917" t="str">
        <f>IF(LEFT(CELLformula(DD183),3)&lt;&gt;"=IF",1,"")</f>
        <v/>
      </c>
      <c r="DS183" s="3048">
        <f t="shared" si="72"/>
        <v>0</v>
      </c>
      <c r="DT183" s="3047" t="str">
        <f t="shared" si="73"/>
        <v/>
      </c>
      <c r="DU183" s="3047" t="str">
        <f>IFERROR(IF(G183="","",SUMIF('Lighting Assumptions'!$G$3:$G$112,'6a - Lighting Counts'!G183,'Lighting Assumptions'!$H$3:$H$112)*IF(SI_IP_Units="SI",10.76,1)),"")</f>
        <v/>
      </c>
      <c r="DV183" s="3047" t="str">
        <f>IFERROR(IF($CX183="","",IF(SI_IP_Units="SI",10.76,1)*SUMIF(BAMCategories,$CY183,'Lighting Assumptions'!$E$3:E$35)),"")</f>
        <v/>
      </c>
      <c r="DW183" s="3047" t="str">
        <f>IFERROR(IF($CX183="","",IF(SI_IP_Units="SI",10.76,1)*SUMIF(BAMCategories,$CY183,IF(bpf_reference="ACP",'Lighting Assumptions 90.1-2010'!$E$3:E$35,'Lighting Assumptions 90.1-2016'!$E$3:E$35))),"")</f>
        <v/>
      </c>
      <c r="EW183" s="855"/>
      <c r="EX183" s="855"/>
      <c r="EY183" s="855"/>
      <c r="EZ183" s="855"/>
    </row>
    <row r="184" spans="4:156" x14ac:dyDescent="0.25">
      <c r="D184" s="3019"/>
      <c r="E184" s="3020"/>
      <c r="F184" s="3021">
        <f t="shared" si="60"/>
        <v>0</v>
      </c>
      <c r="G184" s="3059"/>
      <c r="H184" s="3060"/>
      <c r="I184" s="3061"/>
      <c r="J184" s="3061"/>
      <c r="K184" s="3061"/>
      <c r="L184" s="3061"/>
      <c r="M184" s="3061"/>
      <c r="N184" s="3061"/>
      <c r="O184" s="3061"/>
      <c r="P184" s="3061"/>
      <c r="Q184" s="3061"/>
      <c r="R184" s="3061"/>
      <c r="S184" s="3061"/>
      <c r="T184" s="3061"/>
      <c r="U184" s="3061"/>
      <c r="V184" s="3061"/>
      <c r="W184" s="3061"/>
      <c r="X184" s="3061"/>
      <c r="Y184" s="3061"/>
      <c r="Z184" s="3061"/>
      <c r="AA184" s="3061"/>
      <c r="AB184" s="3061"/>
      <c r="AC184" s="3061"/>
      <c r="AD184" s="3061"/>
      <c r="AE184" s="3061"/>
      <c r="AF184" s="3061"/>
      <c r="AG184" s="3061"/>
      <c r="AH184" s="3061"/>
      <c r="AI184" s="3061"/>
      <c r="AJ184" s="3061"/>
      <c r="AK184" s="3061"/>
      <c r="AL184" s="3061"/>
      <c r="AM184" s="3061"/>
      <c r="AN184" s="3061"/>
      <c r="AO184" s="3061"/>
      <c r="AP184" s="3061"/>
      <c r="AQ184" s="3061"/>
      <c r="AR184" s="3061"/>
      <c r="AS184" s="3061"/>
      <c r="AT184" s="3061"/>
      <c r="AU184" s="3061"/>
      <c r="AV184" s="3061"/>
      <c r="AW184" s="3061"/>
      <c r="AX184" s="3061"/>
      <c r="AY184" s="3061"/>
      <c r="AZ184" s="3061"/>
      <c r="BA184" s="3061"/>
      <c r="BB184" s="3061"/>
      <c r="BC184" s="3061"/>
      <c r="BD184" s="3061"/>
      <c r="BE184" s="3061"/>
      <c r="BF184" s="3061"/>
      <c r="BG184" s="3061"/>
      <c r="BH184" s="3061"/>
      <c r="BI184" s="3061"/>
      <c r="BJ184" s="3061"/>
      <c r="BK184" s="3061"/>
      <c r="BL184" s="3061"/>
      <c r="BM184" s="3061"/>
      <c r="BN184" s="3061"/>
      <c r="BO184" s="3061"/>
      <c r="BP184" s="3061"/>
      <c r="BQ184" s="3061"/>
      <c r="BR184" s="3061"/>
      <c r="BS184" s="3061"/>
      <c r="BT184" s="3061"/>
      <c r="BU184" s="3061"/>
      <c r="BV184" s="3061"/>
      <c r="BW184" s="3061"/>
      <c r="BX184" s="3061"/>
      <c r="BY184" s="3061"/>
      <c r="BZ184" s="3061"/>
      <c r="CA184" s="3061"/>
      <c r="CB184" s="3061"/>
      <c r="CC184" s="3061"/>
      <c r="CD184" s="3061"/>
      <c r="CE184" s="3061"/>
      <c r="CF184" s="3061"/>
      <c r="CG184" s="3061"/>
      <c r="CH184" s="3061"/>
      <c r="CI184" s="3061"/>
      <c r="CJ184" s="3061"/>
      <c r="CK184" s="3061"/>
      <c r="CL184" s="3061"/>
      <c r="CM184" s="3061"/>
      <c r="CN184" s="3061"/>
      <c r="CO184" s="3061"/>
      <c r="CP184" s="3061"/>
      <c r="CQ184" s="3061"/>
      <c r="CR184" s="3061"/>
      <c r="CS184" s="3062"/>
      <c r="CT184" s="3063"/>
      <c r="CU184" s="3064">
        <f t="shared" si="64"/>
        <v>1</v>
      </c>
      <c r="CV184" s="3022" t="str">
        <f>IF(OR(CT184="",CT184="None"),"-",DO184*CU184*SUMIF('Lighting Assumptions'!$G$3:$G$112,'6a - Lighting Counts'!G184,'Lighting Assumptions'!$J$3:$J$112))</f>
        <v>-</v>
      </c>
      <c r="CW184" s="3021"/>
      <c r="CX184" s="3021"/>
      <c r="CY184" s="3046"/>
      <c r="CZ184" s="2098">
        <f t="shared" si="65"/>
        <v>0</v>
      </c>
      <c r="DA184" s="2098" t="str">
        <f t="shared" si="66"/>
        <v>-</v>
      </c>
      <c r="DB184" s="2098">
        <f t="shared" si="67"/>
        <v>0</v>
      </c>
      <c r="DC184" s="3023" t="str">
        <f t="shared" si="68"/>
        <v>-</v>
      </c>
      <c r="DD184" s="3024" t="str">
        <f t="shared" si="69"/>
        <v/>
      </c>
      <c r="DE184" s="3025" t="str">
        <f t="shared" si="70"/>
        <v>-</v>
      </c>
      <c r="DF184" s="3024" t="str">
        <f t="shared" si="61"/>
        <v>-</v>
      </c>
      <c r="DG184" s="2098">
        <f t="shared" si="71"/>
        <v>0</v>
      </c>
      <c r="DH184" s="2098">
        <f t="array" ref="DH184">MIN(SUMPRODUCT(I184:CR184,IF($I$25:$CR$25="yes",1,0),$I$23:$CR$23),H184)</f>
        <v>0</v>
      </c>
      <c r="DI184" s="3026"/>
      <c r="DJ184" s="3021"/>
      <c r="DN184" s="917" t="str">
        <f>IF(CS184="","-",SUMIF('Lighting Assumptions'!$G$3:$G$112,'6a - Lighting Counts'!G184,'Lighting Assumptions'!$J$3:$J$112))</f>
        <v>-</v>
      </c>
      <c r="DO184" s="917" t="str">
        <f t="shared" si="62"/>
        <v>-</v>
      </c>
      <c r="DP184" s="917" t="str">
        <f t="shared" si="63"/>
        <v>-</v>
      </c>
      <c r="DQ184" s="917" t="str">
        <f>IF(LEFT(CELLformula(DF184),3)&lt;&gt;"=IF",1,"")</f>
        <v/>
      </c>
      <c r="DR184" s="917" t="str">
        <f>IF(LEFT(CELLformula(DD184),3)&lt;&gt;"=IF",1,"")</f>
        <v/>
      </c>
      <c r="DS184" s="3048">
        <f t="shared" si="72"/>
        <v>0</v>
      </c>
      <c r="DT184" s="3047" t="str">
        <f t="shared" si="73"/>
        <v/>
      </c>
      <c r="DU184" s="3047" t="str">
        <f>IFERROR(IF(G184="","",SUMIF('Lighting Assumptions'!$G$3:$G$112,'6a - Lighting Counts'!G184,'Lighting Assumptions'!$H$3:$H$112)*IF(SI_IP_Units="SI",10.76,1)),"")</f>
        <v/>
      </c>
      <c r="DV184" s="3047" t="str">
        <f>IFERROR(IF($CX184="","",IF(SI_IP_Units="SI",10.76,1)*SUMIF(BAMCategories,$CY184,'Lighting Assumptions'!$E$3:E$35)),"")</f>
        <v/>
      </c>
      <c r="DW184" s="3047" t="str">
        <f>IFERROR(IF($CX184="","",IF(SI_IP_Units="SI",10.76,1)*SUMIF(BAMCategories,$CY184,IF(bpf_reference="ACP",'Lighting Assumptions 90.1-2010'!$E$3:E$35,'Lighting Assumptions 90.1-2016'!$E$3:E$35))),"")</f>
        <v/>
      </c>
      <c r="EW184" s="855"/>
      <c r="EX184" s="855"/>
      <c r="EY184" s="855"/>
      <c r="EZ184" s="855"/>
    </row>
    <row r="185" spans="4:156" x14ac:dyDescent="0.25">
      <c r="D185" s="3019"/>
      <c r="E185" s="3020"/>
      <c r="F185" s="3021">
        <f t="shared" si="60"/>
        <v>0</v>
      </c>
      <c r="G185" s="3059"/>
      <c r="H185" s="3060"/>
      <c r="I185" s="3061"/>
      <c r="J185" s="3061"/>
      <c r="K185" s="3061"/>
      <c r="L185" s="3061"/>
      <c r="M185" s="3061"/>
      <c r="N185" s="3061"/>
      <c r="O185" s="3061"/>
      <c r="P185" s="3061"/>
      <c r="Q185" s="3061"/>
      <c r="R185" s="3061"/>
      <c r="S185" s="3061"/>
      <c r="T185" s="3061"/>
      <c r="U185" s="3061"/>
      <c r="V185" s="3061"/>
      <c r="W185" s="3061"/>
      <c r="X185" s="3061"/>
      <c r="Y185" s="3061"/>
      <c r="Z185" s="3061"/>
      <c r="AA185" s="3061"/>
      <c r="AB185" s="3061"/>
      <c r="AC185" s="3061"/>
      <c r="AD185" s="3061"/>
      <c r="AE185" s="3061"/>
      <c r="AF185" s="3061"/>
      <c r="AG185" s="3061"/>
      <c r="AH185" s="3061"/>
      <c r="AI185" s="3061"/>
      <c r="AJ185" s="3061"/>
      <c r="AK185" s="3061"/>
      <c r="AL185" s="3061"/>
      <c r="AM185" s="3061"/>
      <c r="AN185" s="3061"/>
      <c r="AO185" s="3061"/>
      <c r="AP185" s="3061"/>
      <c r="AQ185" s="3061"/>
      <c r="AR185" s="3061"/>
      <c r="AS185" s="3061"/>
      <c r="AT185" s="3061"/>
      <c r="AU185" s="3061"/>
      <c r="AV185" s="3061"/>
      <c r="AW185" s="3061"/>
      <c r="AX185" s="3061"/>
      <c r="AY185" s="3061"/>
      <c r="AZ185" s="3061"/>
      <c r="BA185" s="3061"/>
      <c r="BB185" s="3061"/>
      <c r="BC185" s="3061"/>
      <c r="BD185" s="3061"/>
      <c r="BE185" s="3061"/>
      <c r="BF185" s="3061"/>
      <c r="BG185" s="3061"/>
      <c r="BH185" s="3061"/>
      <c r="BI185" s="3061"/>
      <c r="BJ185" s="3061"/>
      <c r="BK185" s="3061"/>
      <c r="BL185" s="3061"/>
      <c r="BM185" s="3061"/>
      <c r="BN185" s="3061"/>
      <c r="BO185" s="3061"/>
      <c r="BP185" s="3061"/>
      <c r="BQ185" s="3061"/>
      <c r="BR185" s="3061"/>
      <c r="BS185" s="3061"/>
      <c r="BT185" s="3061"/>
      <c r="BU185" s="3061"/>
      <c r="BV185" s="3061"/>
      <c r="BW185" s="3061"/>
      <c r="BX185" s="3061"/>
      <c r="BY185" s="3061"/>
      <c r="BZ185" s="3061"/>
      <c r="CA185" s="3061"/>
      <c r="CB185" s="3061"/>
      <c r="CC185" s="3061"/>
      <c r="CD185" s="3061"/>
      <c r="CE185" s="3061"/>
      <c r="CF185" s="3061"/>
      <c r="CG185" s="3061"/>
      <c r="CH185" s="3061"/>
      <c r="CI185" s="3061"/>
      <c r="CJ185" s="3061"/>
      <c r="CK185" s="3061"/>
      <c r="CL185" s="3061"/>
      <c r="CM185" s="3061"/>
      <c r="CN185" s="3061"/>
      <c r="CO185" s="3061"/>
      <c r="CP185" s="3061"/>
      <c r="CQ185" s="3061"/>
      <c r="CR185" s="3061"/>
      <c r="CS185" s="3062"/>
      <c r="CT185" s="3063"/>
      <c r="CU185" s="3064">
        <f t="shared" si="64"/>
        <v>1</v>
      </c>
      <c r="CV185" s="3022" t="str">
        <f>IF(OR(CT185="",CT185="None"),"-",DO185*CU185*SUMIF('Lighting Assumptions'!$G$3:$G$112,'6a - Lighting Counts'!G185,'Lighting Assumptions'!$J$3:$J$112))</f>
        <v>-</v>
      </c>
      <c r="CW185" s="3021"/>
      <c r="CX185" s="3021"/>
      <c r="CY185" s="3046"/>
      <c r="CZ185" s="2098">
        <f t="shared" si="65"/>
        <v>0</v>
      </c>
      <c r="DA185" s="2098" t="str">
        <f t="shared" si="66"/>
        <v>-</v>
      </c>
      <c r="DB185" s="2098">
        <f t="shared" si="67"/>
        <v>0</v>
      </c>
      <c r="DC185" s="3023" t="str">
        <f t="shared" si="68"/>
        <v>-</v>
      </c>
      <c r="DD185" s="3024" t="str">
        <f t="shared" si="69"/>
        <v/>
      </c>
      <c r="DE185" s="3025" t="str">
        <f t="shared" si="70"/>
        <v>-</v>
      </c>
      <c r="DF185" s="3024" t="str">
        <f t="shared" si="61"/>
        <v>-</v>
      </c>
      <c r="DG185" s="2098">
        <f t="shared" si="71"/>
        <v>0</v>
      </c>
      <c r="DH185" s="2098">
        <f t="array" ref="DH185">MIN(SUMPRODUCT(I185:CR185,IF($I$25:$CR$25="yes",1,0),$I$23:$CR$23),H185)</f>
        <v>0</v>
      </c>
      <c r="DI185" s="3026"/>
      <c r="DJ185" s="3021"/>
      <c r="DN185" s="917" t="str">
        <f>IF(CS185="","-",SUMIF('Lighting Assumptions'!$G$3:$G$112,'6a - Lighting Counts'!G185,'Lighting Assumptions'!$J$3:$J$112))</f>
        <v>-</v>
      </c>
      <c r="DO185" s="917" t="str">
        <f t="shared" si="62"/>
        <v>-</v>
      </c>
      <c r="DP185" s="917" t="str">
        <f t="shared" si="63"/>
        <v>-</v>
      </c>
      <c r="DQ185" s="917" t="str">
        <f>IF(LEFT(CELLformula(DF185),3)&lt;&gt;"=IF",1,"")</f>
        <v/>
      </c>
      <c r="DR185" s="917" t="str">
        <f>IF(LEFT(CELLformula(DD185),3)&lt;&gt;"=IF",1,"")</f>
        <v/>
      </c>
      <c r="DS185" s="3048">
        <f t="shared" si="72"/>
        <v>0</v>
      </c>
      <c r="DT185" s="3047" t="str">
        <f t="shared" si="73"/>
        <v/>
      </c>
      <c r="DU185" s="3047" t="str">
        <f>IFERROR(IF(G185="","",SUMIF('Lighting Assumptions'!$G$3:$G$112,'6a - Lighting Counts'!G185,'Lighting Assumptions'!$H$3:$H$112)*IF(SI_IP_Units="SI",10.76,1)),"")</f>
        <v/>
      </c>
      <c r="DV185" s="3047" t="str">
        <f>IFERROR(IF($CX185="","",IF(SI_IP_Units="SI",10.76,1)*SUMIF(BAMCategories,$CY185,'Lighting Assumptions'!$E$3:E$35)),"")</f>
        <v/>
      </c>
      <c r="DW185" s="3047" t="str">
        <f>IFERROR(IF($CX185="","",IF(SI_IP_Units="SI",10.76,1)*SUMIF(BAMCategories,$CY185,IF(bpf_reference="ACP",'Lighting Assumptions 90.1-2010'!$E$3:E$35,'Lighting Assumptions 90.1-2016'!$E$3:E$35))),"")</f>
        <v/>
      </c>
      <c r="EW185" s="855"/>
      <c r="EX185" s="855"/>
      <c r="EY185" s="855"/>
      <c r="EZ185" s="855"/>
    </row>
    <row r="186" spans="4:156" x14ac:dyDescent="0.25">
      <c r="D186" s="3019"/>
      <c r="E186" s="3020"/>
      <c r="F186" s="3021">
        <f t="shared" si="60"/>
        <v>0</v>
      </c>
      <c r="G186" s="3059"/>
      <c r="H186" s="3060"/>
      <c r="I186" s="3061"/>
      <c r="J186" s="3061"/>
      <c r="K186" s="3061"/>
      <c r="L186" s="3061"/>
      <c r="M186" s="3061"/>
      <c r="N186" s="3061"/>
      <c r="O186" s="3061"/>
      <c r="P186" s="3061"/>
      <c r="Q186" s="3061"/>
      <c r="R186" s="3061"/>
      <c r="S186" s="3061"/>
      <c r="T186" s="3061"/>
      <c r="U186" s="3061"/>
      <c r="V186" s="3061"/>
      <c r="W186" s="3061"/>
      <c r="X186" s="3061"/>
      <c r="Y186" s="3061"/>
      <c r="Z186" s="3061"/>
      <c r="AA186" s="3061"/>
      <c r="AB186" s="3061"/>
      <c r="AC186" s="3061"/>
      <c r="AD186" s="3061"/>
      <c r="AE186" s="3061"/>
      <c r="AF186" s="3061"/>
      <c r="AG186" s="3061"/>
      <c r="AH186" s="3061"/>
      <c r="AI186" s="3061"/>
      <c r="AJ186" s="3061"/>
      <c r="AK186" s="3061"/>
      <c r="AL186" s="3061"/>
      <c r="AM186" s="3061"/>
      <c r="AN186" s="3061"/>
      <c r="AO186" s="3061"/>
      <c r="AP186" s="3061"/>
      <c r="AQ186" s="3061"/>
      <c r="AR186" s="3061"/>
      <c r="AS186" s="3061"/>
      <c r="AT186" s="3061"/>
      <c r="AU186" s="3061"/>
      <c r="AV186" s="3061"/>
      <c r="AW186" s="3061"/>
      <c r="AX186" s="3061"/>
      <c r="AY186" s="3061"/>
      <c r="AZ186" s="3061"/>
      <c r="BA186" s="3061"/>
      <c r="BB186" s="3061"/>
      <c r="BC186" s="3061"/>
      <c r="BD186" s="3061"/>
      <c r="BE186" s="3061"/>
      <c r="BF186" s="3061"/>
      <c r="BG186" s="3061"/>
      <c r="BH186" s="3061"/>
      <c r="BI186" s="3061"/>
      <c r="BJ186" s="3061"/>
      <c r="BK186" s="3061"/>
      <c r="BL186" s="3061"/>
      <c r="BM186" s="3061"/>
      <c r="BN186" s="3061"/>
      <c r="BO186" s="3061"/>
      <c r="BP186" s="3061"/>
      <c r="BQ186" s="3061"/>
      <c r="BR186" s="3061"/>
      <c r="BS186" s="3061"/>
      <c r="BT186" s="3061"/>
      <c r="BU186" s="3061"/>
      <c r="BV186" s="3061"/>
      <c r="BW186" s="3061"/>
      <c r="BX186" s="3061"/>
      <c r="BY186" s="3061"/>
      <c r="BZ186" s="3061"/>
      <c r="CA186" s="3061"/>
      <c r="CB186" s="3061"/>
      <c r="CC186" s="3061"/>
      <c r="CD186" s="3061"/>
      <c r="CE186" s="3061"/>
      <c r="CF186" s="3061"/>
      <c r="CG186" s="3061"/>
      <c r="CH186" s="3061"/>
      <c r="CI186" s="3061"/>
      <c r="CJ186" s="3061"/>
      <c r="CK186" s="3061"/>
      <c r="CL186" s="3061"/>
      <c r="CM186" s="3061"/>
      <c r="CN186" s="3061"/>
      <c r="CO186" s="3061"/>
      <c r="CP186" s="3061"/>
      <c r="CQ186" s="3061"/>
      <c r="CR186" s="3061"/>
      <c r="CS186" s="3062"/>
      <c r="CT186" s="3063"/>
      <c r="CU186" s="3064">
        <f t="shared" si="64"/>
        <v>1</v>
      </c>
      <c r="CV186" s="3022" t="str">
        <f>IF(OR(CT186="",CT186="None"),"-",DO186*CU186*SUMIF('Lighting Assumptions'!$G$3:$G$112,'6a - Lighting Counts'!G186,'Lighting Assumptions'!$J$3:$J$112))</f>
        <v>-</v>
      </c>
      <c r="CW186" s="3021"/>
      <c r="CX186" s="3021"/>
      <c r="CY186" s="3046"/>
      <c r="CZ186" s="2098">
        <f t="shared" si="65"/>
        <v>0</v>
      </c>
      <c r="DA186" s="2098" t="str">
        <f t="shared" si="66"/>
        <v>-</v>
      </c>
      <c r="DB186" s="2098">
        <f t="shared" si="67"/>
        <v>0</v>
      </c>
      <c r="DC186" s="3023" t="str">
        <f t="shared" si="68"/>
        <v>-</v>
      </c>
      <c r="DD186" s="3024" t="str">
        <f t="shared" si="69"/>
        <v/>
      </c>
      <c r="DE186" s="3025" t="str">
        <f t="shared" si="70"/>
        <v>-</v>
      </c>
      <c r="DF186" s="3024" t="str">
        <f t="shared" si="61"/>
        <v>-</v>
      </c>
      <c r="DG186" s="2098">
        <f t="shared" si="71"/>
        <v>0</v>
      </c>
      <c r="DH186" s="2098">
        <f t="array" ref="DH186">MIN(SUMPRODUCT(I186:CR186,IF($I$25:$CR$25="yes",1,0),$I$23:$CR$23),H186)</f>
        <v>0</v>
      </c>
      <c r="DI186" s="3026"/>
      <c r="DJ186" s="3021"/>
      <c r="DN186" s="917" t="str">
        <f>IF(CS186="","-",SUMIF('Lighting Assumptions'!$G$3:$G$112,'6a - Lighting Counts'!G186,'Lighting Assumptions'!$J$3:$J$112))</f>
        <v>-</v>
      </c>
      <c r="DO186" s="917" t="str">
        <f t="shared" si="62"/>
        <v>-</v>
      </c>
      <c r="DP186" s="917" t="str">
        <f t="shared" si="63"/>
        <v>-</v>
      </c>
      <c r="DQ186" s="917" t="str">
        <f>IF(LEFT(CELLformula(DF186),3)&lt;&gt;"=IF",1,"")</f>
        <v/>
      </c>
      <c r="DR186" s="917" t="str">
        <f>IF(LEFT(CELLformula(DD186),3)&lt;&gt;"=IF",1,"")</f>
        <v/>
      </c>
      <c r="DS186" s="3048">
        <f t="shared" si="72"/>
        <v>0</v>
      </c>
      <c r="DT186" s="3047" t="str">
        <f t="shared" si="73"/>
        <v/>
      </c>
      <c r="DU186" s="3047" t="str">
        <f>IFERROR(IF(G186="","",SUMIF('Lighting Assumptions'!$G$3:$G$112,'6a - Lighting Counts'!G186,'Lighting Assumptions'!$H$3:$H$112)*IF(SI_IP_Units="SI",10.76,1)),"")</f>
        <v/>
      </c>
      <c r="DV186" s="3047" t="str">
        <f>IFERROR(IF($CX186="","",IF(SI_IP_Units="SI",10.76,1)*SUMIF(BAMCategories,$CY186,'Lighting Assumptions'!$E$3:E$35)),"")</f>
        <v/>
      </c>
      <c r="DW186" s="3047" t="str">
        <f>IFERROR(IF($CX186="","",IF(SI_IP_Units="SI",10.76,1)*SUMIF(BAMCategories,$CY186,IF(bpf_reference="ACP",'Lighting Assumptions 90.1-2010'!$E$3:E$35,'Lighting Assumptions 90.1-2016'!$E$3:E$35))),"")</f>
        <v/>
      </c>
      <c r="EW186" s="855"/>
      <c r="EX186" s="855"/>
      <c r="EY186" s="855"/>
      <c r="EZ186" s="855"/>
    </row>
    <row r="187" spans="4:156" x14ac:dyDescent="0.25">
      <c r="D187" s="3019"/>
      <c r="E187" s="3020"/>
      <c r="F187" s="3021">
        <f t="shared" si="60"/>
        <v>0</v>
      </c>
      <c r="G187" s="3059"/>
      <c r="H187" s="3060"/>
      <c r="I187" s="3061"/>
      <c r="J187" s="3061"/>
      <c r="K187" s="3061"/>
      <c r="L187" s="3061"/>
      <c r="M187" s="3061"/>
      <c r="N187" s="3061"/>
      <c r="O187" s="3061"/>
      <c r="P187" s="3061"/>
      <c r="Q187" s="3061"/>
      <c r="R187" s="3061"/>
      <c r="S187" s="3061"/>
      <c r="T187" s="3061"/>
      <c r="U187" s="3061"/>
      <c r="V187" s="3061"/>
      <c r="W187" s="3061"/>
      <c r="X187" s="3061"/>
      <c r="Y187" s="3061"/>
      <c r="Z187" s="3061"/>
      <c r="AA187" s="3061"/>
      <c r="AB187" s="3061"/>
      <c r="AC187" s="3061"/>
      <c r="AD187" s="3061"/>
      <c r="AE187" s="3061"/>
      <c r="AF187" s="3061"/>
      <c r="AG187" s="3061"/>
      <c r="AH187" s="3061"/>
      <c r="AI187" s="3061"/>
      <c r="AJ187" s="3061"/>
      <c r="AK187" s="3061"/>
      <c r="AL187" s="3061"/>
      <c r="AM187" s="3061"/>
      <c r="AN187" s="3061"/>
      <c r="AO187" s="3061"/>
      <c r="AP187" s="3061"/>
      <c r="AQ187" s="3061"/>
      <c r="AR187" s="3061"/>
      <c r="AS187" s="3061"/>
      <c r="AT187" s="3061"/>
      <c r="AU187" s="3061"/>
      <c r="AV187" s="3061"/>
      <c r="AW187" s="3061"/>
      <c r="AX187" s="3061"/>
      <c r="AY187" s="3061"/>
      <c r="AZ187" s="3061"/>
      <c r="BA187" s="3061"/>
      <c r="BB187" s="3061"/>
      <c r="BC187" s="3061"/>
      <c r="BD187" s="3061"/>
      <c r="BE187" s="3061"/>
      <c r="BF187" s="3061"/>
      <c r="BG187" s="3061"/>
      <c r="BH187" s="3061"/>
      <c r="BI187" s="3061"/>
      <c r="BJ187" s="3061"/>
      <c r="BK187" s="3061"/>
      <c r="BL187" s="3061"/>
      <c r="BM187" s="3061"/>
      <c r="BN187" s="3061"/>
      <c r="BO187" s="3061"/>
      <c r="BP187" s="3061"/>
      <c r="BQ187" s="3061"/>
      <c r="BR187" s="3061"/>
      <c r="BS187" s="3061"/>
      <c r="BT187" s="3061"/>
      <c r="BU187" s="3061"/>
      <c r="BV187" s="3061"/>
      <c r="BW187" s="3061"/>
      <c r="BX187" s="3061"/>
      <c r="BY187" s="3061"/>
      <c r="BZ187" s="3061"/>
      <c r="CA187" s="3061"/>
      <c r="CB187" s="3061"/>
      <c r="CC187" s="3061"/>
      <c r="CD187" s="3061"/>
      <c r="CE187" s="3061"/>
      <c r="CF187" s="3061"/>
      <c r="CG187" s="3061"/>
      <c r="CH187" s="3061"/>
      <c r="CI187" s="3061"/>
      <c r="CJ187" s="3061"/>
      <c r="CK187" s="3061"/>
      <c r="CL187" s="3061"/>
      <c r="CM187" s="3061"/>
      <c r="CN187" s="3061"/>
      <c r="CO187" s="3061"/>
      <c r="CP187" s="3061"/>
      <c r="CQ187" s="3061"/>
      <c r="CR187" s="3061"/>
      <c r="CS187" s="3062"/>
      <c r="CT187" s="3063"/>
      <c r="CU187" s="3064">
        <f t="shared" si="64"/>
        <v>1</v>
      </c>
      <c r="CV187" s="3022" t="str">
        <f>IF(OR(CT187="",CT187="None"),"-",DO187*CU187*SUMIF('Lighting Assumptions'!$G$3:$G$112,'6a - Lighting Counts'!G187,'Lighting Assumptions'!$J$3:$J$112))</f>
        <v>-</v>
      </c>
      <c r="CW187" s="3021"/>
      <c r="CX187" s="3021"/>
      <c r="CY187" s="3046"/>
      <c r="CZ187" s="2098">
        <f t="shared" si="65"/>
        <v>0</v>
      </c>
      <c r="DA187" s="2098" t="str">
        <f t="shared" si="66"/>
        <v>-</v>
      </c>
      <c r="DB187" s="2098">
        <f t="shared" si="67"/>
        <v>0</v>
      </c>
      <c r="DC187" s="3023" t="str">
        <f t="shared" si="68"/>
        <v>-</v>
      </c>
      <c r="DD187" s="3024" t="str">
        <f t="shared" si="69"/>
        <v/>
      </c>
      <c r="DE187" s="3025" t="str">
        <f t="shared" si="70"/>
        <v>-</v>
      </c>
      <c r="DF187" s="3024" t="str">
        <f t="shared" si="61"/>
        <v>-</v>
      </c>
      <c r="DG187" s="2098">
        <f t="shared" si="71"/>
        <v>0</v>
      </c>
      <c r="DH187" s="2098">
        <f t="array" ref="DH187">MIN(SUMPRODUCT(I187:CR187,IF($I$25:$CR$25="yes",1,0),$I$23:$CR$23),H187)</f>
        <v>0</v>
      </c>
      <c r="DI187" s="3026"/>
      <c r="DJ187" s="3021"/>
      <c r="DN187" s="917" t="str">
        <f>IF(CS187="","-",SUMIF('Lighting Assumptions'!$G$3:$G$112,'6a - Lighting Counts'!G187,'Lighting Assumptions'!$J$3:$J$112))</f>
        <v>-</v>
      </c>
      <c r="DO187" s="917" t="str">
        <f t="shared" si="62"/>
        <v>-</v>
      </c>
      <c r="DP187" s="917" t="str">
        <f t="shared" si="63"/>
        <v>-</v>
      </c>
      <c r="DQ187" s="917" t="str">
        <f>IF(LEFT(CELLformula(DF187),3)&lt;&gt;"=IF",1,"")</f>
        <v/>
      </c>
      <c r="DR187" s="917" t="str">
        <f>IF(LEFT(CELLformula(DD187),3)&lt;&gt;"=IF",1,"")</f>
        <v/>
      </c>
      <c r="DS187" s="3048">
        <f t="shared" si="72"/>
        <v>0</v>
      </c>
      <c r="DT187" s="3047" t="str">
        <f t="shared" si="73"/>
        <v/>
      </c>
      <c r="DU187" s="3047" t="str">
        <f>IFERROR(IF(G187="","",SUMIF('Lighting Assumptions'!$G$3:$G$112,'6a - Lighting Counts'!G187,'Lighting Assumptions'!$H$3:$H$112)*IF(SI_IP_Units="SI",10.76,1)),"")</f>
        <v/>
      </c>
      <c r="DV187" s="3047" t="str">
        <f>IFERROR(IF($CX187="","",IF(SI_IP_Units="SI",10.76,1)*SUMIF(BAMCategories,$CY187,'Lighting Assumptions'!$E$3:E$35)),"")</f>
        <v/>
      </c>
      <c r="DW187" s="3047" t="str">
        <f>IFERROR(IF($CX187="","",IF(SI_IP_Units="SI",10.76,1)*SUMIF(BAMCategories,$CY187,IF(bpf_reference="ACP",'Lighting Assumptions 90.1-2010'!$E$3:E$35,'Lighting Assumptions 90.1-2016'!$E$3:E$35))),"")</f>
        <v/>
      </c>
      <c r="EW187" s="855"/>
      <c r="EX187" s="855"/>
      <c r="EY187" s="855"/>
      <c r="EZ187" s="855"/>
    </row>
    <row r="188" spans="4:156" x14ac:dyDescent="0.25">
      <c r="D188" s="3019"/>
      <c r="E188" s="3020"/>
      <c r="F188" s="3021">
        <f t="shared" si="60"/>
        <v>0</v>
      </c>
      <c r="G188" s="3059"/>
      <c r="H188" s="3060"/>
      <c r="I188" s="3061"/>
      <c r="J188" s="3061"/>
      <c r="K188" s="3061"/>
      <c r="L188" s="3061"/>
      <c r="M188" s="3061"/>
      <c r="N188" s="3061"/>
      <c r="O188" s="3061"/>
      <c r="P188" s="3061"/>
      <c r="Q188" s="3061"/>
      <c r="R188" s="3061"/>
      <c r="S188" s="3061"/>
      <c r="T188" s="3061"/>
      <c r="U188" s="3061"/>
      <c r="V188" s="3061"/>
      <c r="W188" s="3061"/>
      <c r="X188" s="3061"/>
      <c r="Y188" s="3061"/>
      <c r="Z188" s="3061"/>
      <c r="AA188" s="3061"/>
      <c r="AB188" s="3061"/>
      <c r="AC188" s="3061"/>
      <c r="AD188" s="3061"/>
      <c r="AE188" s="3061"/>
      <c r="AF188" s="3061"/>
      <c r="AG188" s="3061"/>
      <c r="AH188" s="3061"/>
      <c r="AI188" s="3061"/>
      <c r="AJ188" s="3061"/>
      <c r="AK188" s="3061"/>
      <c r="AL188" s="3061"/>
      <c r="AM188" s="3061"/>
      <c r="AN188" s="3061"/>
      <c r="AO188" s="3061"/>
      <c r="AP188" s="3061"/>
      <c r="AQ188" s="3061"/>
      <c r="AR188" s="3061"/>
      <c r="AS188" s="3061"/>
      <c r="AT188" s="3061"/>
      <c r="AU188" s="3061"/>
      <c r="AV188" s="3061"/>
      <c r="AW188" s="3061"/>
      <c r="AX188" s="3061"/>
      <c r="AY188" s="3061"/>
      <c r="AZ188" s="3061"/>
      <c r="BA188" s="3061"/>
      <c r="BB188" s="3061"/>
      <c r="BC188" s="3061"/>
      <c r="BD188" s="3061"/>
      <c r="BE188" s="3061"/>
      <c r="BF188" s="3061"/>
      <c r="BG188" s="3061"/>
      <c r="BH188" s="3061"/>
      <c r="BI188" s="3061"/>
      <c r="BJ188" s="3061"/>
      <c r="BK188" s="3061"/>
      <c r="BL188" s="3061"/>
      <c r="BM188" s="3061"/>
      <c r="BN188" s="3061"/>
      <c r="BO188" s="3061"/>
      <c r="BP188" s="3061"/>
      <c r="BQ188" s="3061"/>
      <c r="BR188" s="3061"/>
      <c r="BS188" s="3061"/>
      <c r="BT188" s="3061"/>
      <c r="BU188" s="3061"/>
      <c r="BV188" s="3061"/>
      <c r="BW188" s="3061"/>
      <c r="BX188" s="3061"/>
      <c r="BY188" s="3061"/>
      <c r="BZ188" s="3061"/>
      <c r="CA188" s="3061"/>
      <c r="CB188" s="3061"/>
      <c r="CC188" s="3061"/>
      <c r="CD188" s="3061"/>
      <c r="CE188" s="3061"/>
      <c r="CF188" s="3061"/>
      <c r="CG188" s="3061"/>
      <c r="CH188" s="3061"/>
      <c r="CI188" s="3061"/>
      <c r="CJ188" s="3061"/>
      <c r="CK188" s="3061"/>
      <c r="CL188" s="3061"/>
      <c r="CM188" s="3061"/>
      <c r="CN188" s="3061"/>
      <c r="CO188" s="3061"/>
      <c r="CP188" s="3061"/>
      <c r="CQ188" s="3061"/>
      <c r="CR188" s="3061"/>
      <c r="CS188" s="3062"/>
      <c r="CT188" s="3063"/>
      <c r="CU188" s="3064">
        <f t="shared" si="64"/>
        <v>1</v>
      </c>
      <c r="CV188" s="3022" t="str">
        <f>IF(OR(CT188="",CT188="None"),"-",DO188*CU188*SUMIF('Lighting Assumptions'!$G$3:$G$112,'6a - Lighting Counts'!G188,'Lighting Assumptions'!$J$3:$J$112))</f>
        <v>-</v>
      </c>
      <c r="CW188" s="3021"/>
      <c r="CX188" s="3021"/>
      <c r="CY188" s="3046"/>
      <c r="CZ188" s="2098">
        <f t="shared" si="65"/>
        <v>0</v>
      </c>
      <c r="DA188" s="2098" t="str">
        <f t="shared" si="66"/>
        <v>-</v>
      </c>
      <c r="DB188" s="2098">
        <f t="shared" si="67"/>
        <v>0</v>
      </c>
      <c r="DC188" s="3023" t="str">
        <f t="shared" si="68"/>
        <v>-</v>
      </c>
      <c r="DD188" s="3024" t="str">
        <f t="shared" si="69"/>
        <v/>
      </c>
      <c r="DE188" s="3025" t="str">
        <f t="shared" si="70"/>
        <v>-</v>
      </c>
      <c r="DF188" s="3024" t="str">
        <f t="shared" si="61"/>
        <v>-</v>
      </c>
      <c r="DG188" s="2098">
        <f t="shared" si="71"/>
        <v>0</v>
      </c>
      <c r="DH188" s="2098">
        <f t="array" ref="DH188">MIN(SUMPRODUCT(I188:CR188,IF($I$25:$CR$25="yes",1,0),$I$23:$CR$23),H188)</f>
        <v>0</v>
      </c>
      <c r="DI188" s="3026"/>
      <c r="DJ188" s="3021"/>
      <c r="DN188" s="917" t="str">
        <f>IF(CS188="","-",SUMIF('Lighting Assumptions'!$G$3:$G$112,'6a - Lighting Counts'!G188,'Lighting Assumptions'!$J$3:$J$112))</f>
        <v>-</v>
      </c>
      <c r="DO188" s="917" t="str">
        <f t="shared" si="62"/>
        <v>-</v>
      </c>
      <c r="DP188" s="917" t="str">
        <f t="shared" si="63"/>
        <v>-</v>
      </c>
      <c r="DQ188" s="917" t="str">
        <f>IF(LEFT(CELLformula(DF188),3)&lt;&gt;"=IF",1,"")</f>
        <v/>
      </c>
      <c r="DR188" s="917" t="str">
        <f>IF(LEFT(CELLformula(DD188),3)&lt;&gt;"=IF",1,"")</f>
        <v/>
      </c>
      <c r="DS188" s="3048">
        <f t="shared" si="72"/>
        <v>0</v>
      </c>
      <c r="DT188" s="3047" t="str">
        <f t="shared" si="73"/>
        <v/>
      </c>
      <c r="DU188" s="3047" t="str">
        <f>IFERROR(IF(G188="","",SUMIF('Lighting Assumptions'!$G$3:$G$112,'6a - Lighting Counts'!G188,'Lighting Assumptions'!$H$3:$H$112)*IF(SI_IP_Units="SI",10.76,1)),"")</f>
        <v/>
      </c>
      <c r="DV188" s="3047" t="str">
        <f>IFERROR(IF($CX188="","",IF(SI_IP_Units="SI",10.76,1)*SUMIF(BAMCategories,$CY188,'Lighting Assumptions'!$E$3:E$35)),"")</f>
        <v/>
      </c>
      <c r="DW188" s="3047" t="str">
        <f>IFERROR(IF($CX188="","",IF(SI_IP_Units="SI",10.76,1)*SUMIF(BAMCategories,$CY188,IF(bpf_reference="ACP",'Lighting Assumptions 90.1-2010'!$E$3:E$35,'Lighting Assumptions 90.1-2016'!$E$3:E$35))),"")</f>
        <v/>
      </c>
      <c r="EW188" s="855"/>
      <c r="EX188" s="855"/>
      <c r="EY188" s="855"/>
      <c r="EZ188" s="855"/>
    </row>
    <row r="189" spans="4:156" x14ac:dyDescent="0.25">
      <c r="D189" s="3019"/>
      <c r="E189" s="3020"/>
      <c r="F189" s="3021">
        <f t="shared" si="60"/>
        <v>0</v>
      </c>
      <c r="G189" s="3059"/>
      <c r="H189" s="3060"/>
      <c r="I189" s="3061"/>
      <c r="J189" s="3061"/>
      <c r="K189" s="3061"/>
      <c r="L189" s="3061"/>
      <c r="M189" s="3061"/>
      <c r="N189" s="3061"/>
      <c r="O189" s="3061"/>
      <c r="P189" s="3061"/>
      <c r="Q189" s="3061"/>
      <c r="R189" s="3061"/>
      <c r="S189" s="3061"/>
      <c r="T189" s="3061"/>
      <c r="U189" s="3061"/>
      <c r="V189" s="3061"/>
      <c r="W189" s="3061"/>
      <c r="X189" s="3061"/>
      <c r="Y189" s="3061"/>
      <c r="Z189" s="3061"/>
      <c r="AA189" s="3061"/>
      <c r="AB189" s="3061"/>
      <c r="AC189" s="3061"/>
      <c r="AD189" s="3061"/>
      <c r="AE189" s="3061"/>
      <c r="AF189" s="3061"/>
      <c r="AG189" s="3061"/>
      <c r="AH189" s="3061"/>
      <c r="AI189" s="3061"/>
      <c r="AJ189" s="3061"/>
      <c r="AK189" s="3061"/>
      <c r="AL189" s="3061"/>
      <c r="AM189" s="3061"/>
      <c r="AN189" s="3061"/>
      <c r="AO189" s="3061"/>
      <c r="AP189" s="3061"/>
      <c r="AQ189" s="3061"/>
      <c r="AR189" s="3061"/>
      <c r="AS189" s="3061"/>
      <c r="AT189" s="3061"/>
      <c r="AU189" s="3061"/>
      <c r="AV189" s="3061"/>
      <c r="AW189" s="3061"/>
      <c r="AX189" s="3061"/>
      <c r="AY189" s="3061"/>
      <c r="AZ189" s="3061"/>
      <c r="BA189" s="3061"/>
      <c r="BB189" s="3061"/>
      <c r="BC189" s="3061"/>
      <c r="BD189" s="3061"/>
      <c r="BE189" s="3061"/>
      <c r="BF189" s="3061"/>
      <c r="BG189" s="3061"/>
      <c r="BH189" s="3061"/>
      <c r="BI189" s="3061"/>
      <c r="BJ189" s="3061"/>
      <c r="BK189" s="3061"/>
      <c r="BL189" s="3061"/>
      <c r="BM189" s="3061"/>
      <c r="BN189" s="3061"/>
      <c r="BO189" s="3061"/>
      <c r="BP189" s="3061"/>
      <c r="BQ189" s="3061"/>
      <c r="BR189" s="3061"/>
      <c r="BS189" s="3061"/>
      <c r="BT189" s="3061"/>
      <c r="BU189" s="3061"/>
      <c r="BV189" s="3061"/>
      <c r="BW189" s="3061"/>
      <c r="BX189" s="3061"/>
      <c r="BY189" s="3061"/>
      <c r="BZ189" s="3061"/>
      <c r="CA189" s="3061"/>
      <c r="CB189" s="3061"/>
      <c r="CC189" s="3061"/>
      <c r="CD189" s="3061"/>
      <c r="CE189" s="3061"/>
      <c r="CF189" s="3061"/>
      <c r="CG189" s="3061"/>
      <c r="CH189" s="3061"/>
      <c r="CI189" s="3061"/>
      <c r="CJ189" s="3061"/>
      <c r="CK189" s="3061"/>
      <c r="CL189" s="3061"/>
      <c r="CM189" s="3061"/>
      <c r="CN189" s="3061"/>
      <c r="CO189" s="3061"/>
      <c r="CP189" s="3061"/>
      <c r="CQ189" s="3061"/>
      <c r="CR189" s="3061"/>
      <c r="CS189" s="3062"/>
      <c r="CT189" s="3063"/>
      <c r="CU189" s="3064">
        <f t="shared" si="64"/>
        <v>1</v>
      </c>
      <c r="CV189" s="3022" t="str">
        <f>IF(OR(CT189="",CT189="None"),"-",DO189*CU189*SUMIF('Lighting Assumptions'!$G$3:$G$112,'6a - Lighting Counts'!G189,'Lighting Assumptions'!$J$3:$J$112))</f>
        <v>-</v>
      </c>
      <c r="CW189" s="3021"/>
      <c r="CX189" s="3021"/>
      <c r="CY189" s="3046"/>
      <c r="CZ189" s="2098">
        <f t="shared" si="65"/>
        <v>0</v>
      </c>
      <c r="DA189" s="2098" t="str">
        <f t="shared" si="66"/>
        <v>-</v>
      </c>
      <c r="DB189" s="2098">
        <f t="shared" si="67"/>
        <v>0</v>
      </c>
      <c r="DC189" s="3023" t="str">
        <f t="shared" si="68"/>
        <v>-</v>
      </c>
      <c r="DD189" s="3024" t="str">
        <f t="shared" si="69"/>
        <v/>
      </c>
      <c r="DE189" s="3025" t="str">
        <f t="shared" si="70"/>
        <v>-</v>
      </c>
      <c r="DF189" s="3024" t="str">
        <f t="shared" si="61"/>
        <v>-</v>
      </c>
      <c r="DG189" s="2098">
        <f t="shared" si="71"/>
        <v>0</v>
      </c>
      <c r="DH189" s="2098">
        <f t="array" ref="DH189">MIN(SUMPRODUCT(I189:CR189,IF($I$25:$CR$25="yes",1,0),$I$23:$CR$23),H189)</f>
        <v>0</v>
      </c>
      <c r="DI189" s="3026"/>
      <c r="DJ189" s="3021"/>
      <c r="DN189" s="917" t="str">
        <f>IF(CS189="","-",SUMIF('Lighting Assumptions'!$G$3:$G$112,'6a - Lighting Counts'!G189,'Lighting Assumptions'!$J$3:$J$112))</f>
        <v>-</v>
      </c>
      <c r="DO189" s="917" t="str">
        <f t="shared" si="62"/>
        <v>-</v>
      </c>
      <c r="DP189" s="917" t="str">
        <f t="shared" si="63"/>
        <v>-</v>
      </c>
      <c r="DQ189" s="917" t="str">
        <f>IF(LEFT(CELLformula(DF189),3)&lt;&gt;"=IF",1,"")</f>
        <v/>
      </c>
      <c r="DR189" s="917" t="str">
        <f>IF(LEFT(CELLformula(DD189),3)&lt;&gt;"=IF",1,"")</f>
        <v/>
      </c>
      <c r="DS189" s="3048">
        <f t="shared" si="72"/>
        <v>0</v>
      </c>
      <c r="DT189" s="3047" t="str">
        <f t="shared" si="73"/>
        <v/>
      </c>
      <c r="DU189" s="3047" t="str">
        <f>IFERROR(IF(G189="","",SUMIF('Lighting Assumptions'!$G$3:$G$112,'6a - Lighting Counts'!G189,'Lighting Assumptions'!$H$3:$H$112)*IF(SI_IP_Units="SI",10.76,1)),"")</f>
        <v/>
      </c>
      <c r="DV189" s="3047" t="str">
        <f>IFERROR(IF($CX189="","",IF(SI_IP_Units="SI",10.76,1)*SUMIF(BAMCategories,$CY189,'Lighting Assumptions'!$E$3:E$35)),"")</f>
        <v/>
      </c>
      <c r="DW189" s="3047" t="str">
        <f>IFERROR(IF($CX189="","",IF(SI_IP_Units="SI",10.76,1)*SUMIF(BAMCategories,$CY189,IF(bpf_reference="ACP",'Lighting Assumptions 90.1-2010'!$E$3:E$35,'Lighting Assumptions 90.1-2016'!$E$3:E$35))),"")</f>
        <v/>
      </c>
      <c r="EW189" s="855"/>
      <c r="EX189" s="855"/>
      <c r="EY189" s="855"/>
      <c r="EZ189" s="855"/>
    </row>
    <row r="190" spans="4:156" x14ac:dyDescent="0.25">
      <c r="D190" s="3019"/>
      <c r="E190" s="3020"/>
      <c r="F190" s="3021">
        <f t="shared" si="60"/>
        <v>0</v>
      </c>
      <c r="G190" s="3059"/>
      <c r="H190" s="3060"/>
      <c r="I190" s="3061"/>
      <c r="J190" s="3061"/>
      <c r="K190" s="3061"/>
      <c r="L190" s="3061"/>
      <c r="M190" s="3061"/>
      <c r="N190" s="3061"/>
      <c r="O190" s="3061"/>
      <c r="P190" s="3061"/>
      <c r="Q190" s="3061"/>
      <c r="R190" s="3061"/>
      <c r="S190" s="3061"/>
      <c r="T190" s="3061"/>
      <c r="U190" s="3061"/>
      <c r="V190" s="3061"/>
      <c r="W190" s="3061"/>
      <c r="X190" s="3061"/>
      <c r="Y190" s="3061"/>
      <c r="Z190" s="3061"/>
      <c r="AA190" s="3061"/>
      <c r="AB190" s="3061"/>
      <c r="AC190" s="3061"/>
      <c r="AD190" s="3061"/>
      <c r="AE190" s="3061"/>
      <c r="AF190" s="3061"/>
      <c r="AG190" s="3061"/>
      <c r="AH190" s="3061"/>
      <c r="AI190" s="3061"/>
      <c r="AJ190" s="3061"/>
      <c r="AK190" s="3061"/>
      <c r="AL190" s="3061"/>
      <c r="AM190" s="3061"/>
      <c r="AN190" s="3061"/>
      <c r="AO190" s="3061"/>
      <c r="AP190" s="3061"/>
      <c r="AQ190" s="3061"/>
      <c r="AR190" s="3061"/>
      <c r="AS190" s="3061"/>
      <c r="AT190" s="3061"/>
      <c r="AU190" s="3061"/>
      <c r="AV190" s="3061"/>
      <c r="AW190" s="3061"/>
      <c r="AX190" s="3061"/>
      <c r="AY190" s="3061"/>
      <c r="AZ190" s="3061"/>
      <c r="BA190" s="3061"/>
      <c r="BB190" s="3061"/>
      <c r="BC190" s="3061"/>
      <c r="BD190" s="3061"/>
      <c r="BE190" s="3061"/>
      <c r="BF190" s="3061"/>
      <c r="BG190" s="3061"/>
      <c r="BH190" s="3061"/>
      <c r="BI190" s="3061"/>
      <c r="BJ190" s="3061"/>
      <c r="BK190" s="3061"/>
      <c r="BL190" s="3061"/>
      <c r="BM190" s="3061"/>
      <c r="BN190" s="3061"/>
      <c r="BO190" s="3061"/>
      <c r="BP190" s="3061"/>
      <c r="BQ190" s="3061"/>
      <c r="BR190" s="3061"/>
      <c r="BS190" s="3061"/>
      <c r="BT190" s="3061"/>
      <c r="BU190" s="3061"/>
      <c r="BV190" s="3061"/>
      <c r="BW190" s="3061"/>
      <c r="BX190" s="3061"/>
      <c r="BY190" s="3061"/>
      <c r="BZ190" s="3061"/>
      <c r="CA190" s="3061"/>
      <c r="CB190" s="3061"/>
      <c r="CC190" s="3061"/>
      <c r="CD190" s="3061"/>
      <c r="CE190" s="3061"/>
      <c r="CF190" s="3061"/>
      <c r="CG190" s="3061"/>
      <c r="CH190" s="3061"/>
      <c r="CI190" s="3061"/>
      <c r="CJ190" s="3061"/>
      <c r="CK190" s="3061"/>
      <c r="CL190" s="3061"/>
      <c r="CM190" s="3061"/>
      <c r="CN190" s="3061"/>
      <c r="CO190" s="3061"/>
      <c r="CP190" s="3061"/>
      <c r="CQ190" s="3061"/>
      <c r="CR190" s="3061"/>
      <c r="CS190" s="3062"/>
      <c r="CT190" s="3063"/>
      <c r="CU190" s="3064">
        <f t="shared" si="64"/>
        <v>1</v>
      </c>
      <c r="CV190" s="3022" t="str">
        <f>IF(OR(CT190="",CT190="None"),"-",DO190*CU190*SUMIF('Lighting Assumptions'!$G$3:$G$112,'6a - Lighting Counts'!G190,'Lighting Assumptions'!$J$3:$J$112))</f>
        <v>-</v>
      </c>
      <c r="CW190" s="3021"/>
      <c r="CX190" s="3021"/>
      <c r="CY190" s="3046"/>
      <c r="CZ190" s="2098">
        <f t="shared" si="65"/>
        <v>0</v>
      </c>
      <c r="DA190" s="2098" t="str">
        <f t="shared" si="66"/>
        <v>-</v>
      </c>
      <c r="DB190" s="2098">
        <f t="shared" si="67"/>
        <v>0</v>
      </c>
      <c r="DC190" s="3023" t="str">
        <f t="shared" si="68"/>
        <v>-</v>
      </c>
      <c r="DD190" s="3024" t="str">
        <f t="shared" si="69"/>
        <v/>
      </c>
      <c r="DE190" s="3025" t="str">
        <f t="shared" si="70"/>
        <v>-</v>
      </c>
      <c r="DF190" s="3024" t="str">
        <f t="shared" si="61"/>
        <v>-</v>
      </c>
      <c r="DG190" s="2098">
        <f t="shared" si="71"/>
        <v>0</v>
      </c>
      <c r="DH190" s="2098">
        <f t="array" ref="DH190">MIN(SUMPRODUCT(I190:CR190,IF($I$25:$CR$25="yes",1,0),$I$23:$CR$23),H190)</f>
        <v>0</v>
      </c>
      <c r="DI190" s="3026"/>
      <c r="DJ190" s="3021"/>
      <c r="DN190" s="917" t="str">
        <f>IF(CS190="","-",SUMIF('Lighting Assumptions'!$G$3:$G$112,'6a - Lighting Counts'!G190,'Lighting Assumptions'!$J$3:$J$112))</f>
        <v>-</v>
      </c>
      <c r="DO190" s="917" t="str">
        <f t="shared" si="62"/>
        <v>-</v>
      </c>
      <c r="DP190" s="917" t="str">
        <f t="shared" si="63"/>
        <v>-</v>
      </c>
      <c r="DQ190" s="917" t="str">
        <f>IF(LEFT(CELLformula(DF190),3)&lt;&gt;"=IF",1,"")</f>
        <v/>
      </c>
      <c r="DR190" s="917" t="str">
        <f>IF(LEFT(CELLformula(DD190),3)&lt;&gt;"=IF",1,"")</f>
        <v/>
      </c>
      <c r="DS190" s="3048">
        <f t="shared" si="72"/>
        <v>0</v>
      </c>
      <c r="DT190" s="3047" t="str">
        <f t="shared" si="73"/>
        <v/>
      </c>
      <c r="DU190" s="3047" t="str">
        <f>IFERROR(IF(G190="","",SUMIF('Lighting Assumptions'!$G$3:$G$112,'6a - Lighting Counts'!G190,'Lighting Assumptions'!$H$3:$H$112)*IF(SI_IP_Units="SI",10.76,1)),"")</f>
        <v/>
      </c>
      <c r="DV190" s="3047" t="str">
        <f>IFERROR(IF($CX190="","",IF(SI_IP_Units="SI",10.76,1)*SUMIF(BAMCategories,$CY190,'Lighting Assumptions'!$E$3:E$35)),"")</f>
        <v/>
      </c>
      <c r="DW190" s="3047" t="str">
        <f>IFERROR(IF($CX190="","",IF(SI_IP_Units="SI",10.76,1)*SUMIF(BAMCategories,$CY190,IF(bpf_reference="ACP",'Lighting Assumptions 90.1-2010'!$E$3:E$35,'Lighting Assumptions 90.1-2016'!$E$3:E$35))),"")</f>
        <v/>
      </c>
      <c r="EW190" s="855"/>
      <c r="EX190" s="855"/>
      <c r="EY190" s="855"/>
      <c r="EZ190" s="855"/>
    </row>
    <row r="191" spans="4:156" x14ac:dyDescent="0.25">
      <c r="D191" s="3019"/>
      <c r="E191" s="3020"/>
      <c r="F191" s="3021">
        <f t="shared" si="60"/>
        <v>0</v>
      </c>
      <c r="G191" s="3059"/>
      <c r="H191" s="3060"/>
      <c r="I191" s="3061"/>
      <c r="J191" s="3061"/>
      <c r="K191" s="3061"/>
      <c r="L191" s="3061"/>
      <c r="M191" s="3061"/>
      <c r="N191" s="3061"/>
      <c r="O191" s="3061"/>
      <c r="P191" s="3061"/>
      <c r="Q191" s="3061"/>
      <c r="R191" s="3061"/>
      <c r="S191" s="3061"/>
      <c r="T191" s="3061"/>
      <c r="U191" s="3061"/>
      <c r="V191" s="3061"/>
      <c r="W191" s="3061"/>
      <c r="X191" s="3061"/>
      <c r="Y191" s="3061"/>
      <c r="Z191" s="3061"/>
      <c r="AA191" s="3061"/>
      <c r="AB191" s="3061"/>
      <c r="AC191" s="3061"/>
      <c r="AD191" s="3061"/>
      <c r="AE191" s="3061"/>
      <c r="AF191" s="3061"/>
      <c r="AG191" s="3061"/>
      <c r="AH191" s="3061"/>
      <c r="AI191" s="3061"/>
      <c r="AJ191" s="3061"/>
      <c r="AK191" s="3061"/>
      <c r="AL191" s="3061"/>
      <c r="AM191" s="3061"/>
      <c r="AN191" s="3061"/>
      <c r="AO191" s="3061"/>
      <c r="AP191" s="3061"/>
      <c r="AQ191" s="3061"/>
      <c r="AR191" s="3061"/>
      <c r="AS191" s="3061"/>
      <c r="AT191" s="3061"/>
      <c r="AU191" s="3061"/>
      <c r="AV191" s="3061"/>
      <c r="AW191" s="3061"/>
      <c r="AX191" s="3061"/>
      <c r="AY191" s="3061"/>
      <c r="AZ191" s="3061"/>
      <c r="BA191" s="3061"/>
      <c r="BB191" s="3061"/>
      <c r="BC191" s="3061"/>
      <c r="BD191" s="3061"/>
      <c r="BE191" s="3061"/>
      <c r="BF191" s="3061"/>
      <c r="BG191" s="3061"/>
      <c r="BH191" s="3061"/>
      <c r="BI191" s="3061"/>
      <c r="BJ191" s="3061"/>
      <c r="BK191" s="3061"/>
      <c r="BL191" s="3061"/>
      <c r="BM191" s="3061"/>
      <c r="BN191" s="3061"/>
      <c r="BO191" s="3061"/>
      <c r="BP191" s="3061"/>
      <c r="BQ191" s="3061"/>
      <c r="BR191" s="3061"/>
      <c r="BS191" s="3061"/>
      <c r="BT191" s="3061"/>
      <c r="BU191" s="3061"/>
      <c r="BV191" s="3061"/>
      <c r="BW191" s="3061"/>
      <c r="BX191" s="3061"/>
      <c r="BY191" s="3061"/>
      <c r="BZ191" s="3061"/>
      <c r="CA191" s="3061"/>
      <c r="CB191" s="3061"/>
      <c r="CC191" s="3061"/>
      <c r="CD191" s="3061"/>
      <c r="CE191" s="3061"/>
      <c r="CF191" s="3061"/>
      <c r="CG191" s="3061"/>
      <c r="CH191" s="3061"/>
      <c r="CI191" s="3061"/>
      <c r="CJ191" s="3061"/>
      <c r="CK191" s="3061"/>
      <c r="CL191" s="3061"/>
      <c r="CM191" s="3061"/>
      <c r="CN191" s="3061"/>
      <c r="CO191" s="3061"/>
      <c r="CP191" s="3061"/>
      <c r="CQ191" s="3061"/>
      <c r="CR191" s="3061"/>
      <c r="CS191" s="3062"/>
      <c r="CT191" s="3063"/>
      <c r="CU191" s="3064">
        <f t="shared" si="64"/>
        <v>1</v>
      </c>
      <c r="CV191" s="3022" t="str">
        <f>IF(OR(CT191="",CT191="None"),"-",DO191*CU191*SUMIF('Lighting Assumptions'!$G$3:$G$112,'6a - Lighting Counts'!G191,'Lighting Assumptions'!$J$3:$J$112))</f>
        <v>-</v>
      </c>
      <c r="CW191" s="3021"/>
      <c r="CX191" s="3021"/>
      <c r="CY191" s="3046"/>
      <c r="CZ191" s="2098">
        <f t="shared" si="65"/>
        <v>0</v>
      </c>
      <c r="DA191" s="2098" t="str">
        <f t="shared" si="66"/>
        <v>-</v>
      </c>
      <c r="DB191" s="2098">
        <f t="shared" si="67"/>
        <v>0</v>
      </c>
      <c r="DC191" s="3023" t="str">
        <f t="shared" si="68"/>
        <v>-</v>
      </c>
      <c r="DD191" s="3024" t="str">
        <f t="shared" si="69"/>
        <v/>
      </c>
      <c r="DE191" s="3025" t="str">
        <f t="shared" si="70"/>
        <v>-</v>
      </c>
      <c r="DF191" s="3024" t="str">
        <f t="shared" si="61"/>
        <v>-</v>
      </c>
      <c r="DG191" s="2098">
        <f t="shared" si="71"/>
        <v>0</v>
      </c>
      <c r="DH191" s="2098">
        <f t="array" ref="DH191">MIN(SUMPRODUCT(I191:CR191,IF($I$25:$CR$25="yes",1,0),$I$23:$CR$23),H191)</f>
        <v>0</v>
      </c>
      <c r="DI191" s="3026"/>
      <c r="DJ191" s="3021"/>
      <c r="DN191" s="917" t="str">
        <f>IF(CS191="","-",SUMIF('Lighting Assumptions'!$G$3:$G$112,'6a - Lighting Counts'!G191,'Lighting Assumptions'!$J$3:$J$112))</f>
        <v>-</v>
      </c>
      <c r="DO191" s="917" t="str">
        <f t="shared" si="62"/>
        <v>-</v>
      </c>
      <c r="DP191" s="917" t="str">
        <f t="shared" si="63"/>
        <v>-</v>
      </c>
      <c r="DQ191" s="917" t="str">
        <f>IF(LEFT(CELLformula(DF191),3)&lt;&gt;"=IF",1,"")</f>
        <v/>
      </c>
      <c r="DR191" s="917" t="str">
        <f>IF(LEFT(CELLformula(DD191),3)&lt;&gt;"=IF",1,"")</f>
        <v/>
      </c>
      <c r="DS191" s="3048">
        <f t="shared" si="72"/>
        <v>0</v>
      </c>
      <c r="DT191" s="3047" t="str">
        <f t="shared" si="73"/>
        <v/>
      </c>
      <c r="DU191" s="3047" t="str">
        <f>IFERROR(IF(G191="","",SUMIF('Lighting Assumptions'!$G$3:$G$112,'6a - Lighting Counts'!G191,'Lighting Assumptions'!$H$3:$H$112)*IF(SI_IP_Units="SI",10.76,1)),"")</f>
        <v/>
      </c>
      <c r="DV191" s="3047" t="str">
        <f>IFERROR(IF($CX191="","",IF(SI_IP_Units="SI",10.76,1)*SUMIF(BAMCategories,$CY191,'Lighting Assumptions'!$E$3:E$35)),"")</f>
        <v/>
      </c>
      <c r="DW191" s="3047" t="str">
        <f>IFERROR(IF($CX191="","",IF(SI_IP_Units="SI",10.76,1)*SUMIF(BAMCategories,$CY191,IF(bpf_reference="ACP",'Lighting Assumptions 90.1-2010'!$E$3:E$35,'Lighting Assumptions 90.1-2016'!$E$3:E$35))),"")</f>
        <v/>
      </c>
      <c r="EW191" s="855"/>
      <c r="EX191" s="855"/>
      <c r="EY191" s="855"/>
      <c r="EZ191" s="855"/>
    </row>
    <row r="192" spans="4:156" x14ac:dyDescent="0.25">
      <c r="D192" s="3019"/>
      <c r="E192" s="3020"/>
      <c r="F192" s="3021">
        <f t="shared" si="60"/>
        <v>0</v>
      </c>
      <c r="G192" s="3059"/>
      <c r="H192" s="3060"/>
      <c r="I192" s="3061"/>
      <c r="J192" s="3061"/>
      <c r="K192" s="3061"/>
      <c r="L192" s="3061"/>
      <c r="M192" s="3061"/>
      <c r="N192" s="3061"/>
      <c r="O192" s="3061"/>
      <c r="P192" s="3061"/>
      <c r="Q192" s="3061"/>
      <c r="R192" s="3061"/>
      <c r="S192" s="3061"/>
      <c r="T192" s="3061"/>
      <c r="U192" s="3061"/>
      <c r="V192" s="3061"/>
      <c r="W192" s="3061"/>
      <c r="X192" s="3061"/>
      <c r="Y192" s="3061"/>
      <c r="Z192" s="3061"/>
      <c r="AA192" s="3061"/>
      <c r="AB192" s="3061"/>
      <c r="AC192" s="3061"/>
      <c r="AD192" s="3061"/>
      <c r="AE192" s="3061"/>
      <c r="AF192" s="3061"/>
      <c r="AG192" s="3061"/>
      <c r="AH192" s="3061"/>
      <c r="AI192" s="3061"/>
      <c r="AJ192" s="3061"/>
      <c r="AK192" s="3061"/>
      <c r="AL192" s="3061"/>
      <c r="AM192" s="3061"/>
      <c r="AN192" s="3061"/>
      <c r="AO192" s="3061"/>
      <c r="AP192" s="3061"/>
      <c r="AQ192" s="3061"/>
      <c r="AR192" s="3061"/>
      <c r="AS192" s="3061"/>
      <c r="AT192" s="3061"/>
      <c r="AU192" s="3061"/>
      <c r="AV192" s="3061"/>
      <c r="AW192" s="3061"/>
      <c r="AX192" s="3061"/>
      <c r="AY192" s="3061"/>
      <c r="AZ192" s="3061"/>
      <c r="BA192" s="3061"/>
      <c r="BB192" s="3061"/>
      <c r="BC192" s="3061"/>
      <c r="BD192" s="3061"/>
      <c r="BE192" s="3061"/>
      <c r="BF192" s="3061"/>
      <c r="BG192" s="3061"/>
      <c r="BH192" s="3061"/>
      <c r="BI192" s="3061"/>
      <c r="BJ192" s="3061"/>
      <c r="BK192" s="3061"/>
      <c r="BL192" s="3061"/>
      <c r="BM192" s="3061"/>
      <c r="BN192" s="3061"/>
      <c r="BO192" s="3061"/>
      <c r="BP192" s="3061"/>
      <c r="BQ192" s="3061"/>
      <c r="BR192" s="3061"/>
      <c r="BS192" s="3061"/>
      <c r="BT192" s="3061"/>
      <c r="BU192" s="3061"/>
      <c r="BV192" s="3061"/>
      <c r="BW192" s="3061"/>
      <c r="BX192" s="3061"/>
      <c r="BY192" s="3061"/>
      <c r="BZ192" s="3061"/>
      <c r="CA192" s="3061"/>
      <c r="CB192" s="3061"/>
      <c r="CC192" s="3061"/>
      <c r="CD192" s="3061"/>
      <c r="CE192" s="3061"/>
      <c r="CF192" s="3061"/>
      <c r="CG192" s="3061"/>
      <c r="CH192" s="3061"/>
      <c r="CI192" s="3061"/>
      <c r="CJ192" s="3061"/>
      <c r="CK192" s="3061"/>
      <c r="CL192" s="3061"/>
      <c r="CM192" s="3061"/>
      <c r="CN192" s="3061"/>
      <c r="CO192" s="3061"/>
      <c r="CP192" s="3061"/>
      <c r="CQ192" s="3061"/>
      <c r="CR192" s="3061"/>
      <c r="CS192" s="3062"/>
      <c r="CT192" s="3063"/>
      <c r="CU192" s="3064">
        <f t="shared" si="64"/>
        <v>1</v>
      </c>
      <c r="CV192" s="3022" t="str">
        <f>IF(OR(CT192="",CT192="None"),"-",DO192*CU192*SUMIF('Lighting Assumptions'!$G$3:$G$112,'6a - Lighting Counts'!G192,'Lighting Assumptions'!$J$3:$J$112))</f>
        <v>-</v>
      </c>
      <c r="CW192" s="3021"/>
      <c r="CX192" s="3021"/>
      <c r="CY192" s="3046"/>
      <c r="CZ192" s="2098">
        <f t="shared" si="65"/>
        <v>0</v>
      </c>
      <c r="DA192" s="2098" t="str">
        <f t="shared" si="66"/>
        <v>-</v>
      </c>
      <c r="DB192" s="2098">
        <f t="shared" si="67"/>
        <v>0</v>
      </c>
      <c r="DC192" s="3023" t="str">
        <f t="shared" si="68"/>
        <v>-</v>
      </c>
      <c r="DD192" s="3024" t="str">
        <f t="shared" si="69"/>
        <v/>
      </c>
      <c r="DE192" s="3025" t="str">
        <f t="shared" si="70"/>
        <v>-</v>
      </c>
      <c r="DF192" s="3024" t="str">
        <f t="shared" si="61"/>
        <v>-</v>
      </c>
      <c r="DG192" s="2098">
        <f t="shared" si="71"/>
        <v>0</v>
      </c>
      <c r="DH192" s="2098">
        <f t="array" ref="DH192">MIN(SUMPRODUCT(I192:CR192,IF($I$25:$CR$25="yes",1,0),$I$23:$CR$23),H192)</f>
        <v>0</v>
      </c>
      <c r="DI192" s="3026"/>
      <c r="DJ192" s="3021"/>
      <c r="DN192" s="917" t="str">
        <f>IF(CS192="","-",SUMIF('Lighting Assumptions'!$G$3:$G$112,'6a - Lighting Counts'!G192,'Lighting Assumptions'!$J$3:$J$112))</f>
        <v>-</v>
      </c>
      <c r="DO192" s="917" t="str">
        <f t="shared" si="62"/>
        <v>-</v>
      </c>
      <c r="DP192" s="917" t="str">
        <f t="shared" si="63"/>
        <v>-</v>
      </c>
      <c r="DQ192" s="917" t="str">
        <f>IF(LEFT(CELLformula(DF192),3)&lt;&gt;"=IF",1,"")</f>
        <v/>
      </c>
      <c r="DR192" s="917" t="str">
        <f>IF(LEFT(CELLformula(DD192),3)&lt;&gt;"=IF",1,"")</f>
        <v/>
      </c>
      <c r="DS192" s="3048">
        <f t="shared" si="72"/>
        <v>0</v>
      </c>
      <c r="DT192" s="3047" t="str">
        <f t="shared" si="73"/>
        <v/>
      </c>
      <c r="DU192" s="3047" t="str">
        <f>IFERROR(IF(G192="","",SUMIF('Lighting Assumptions'!$G$3:$G$112,'6a - Lighting Counts'!G192,'Lighting Assumptions'!$H$3:$H$112)*IF(SI_IP_Units="SI",10.76,1)),"")</f>
        <v/>
      </c>
      <c r="DV192" s="3047" t="str">
        <f>IFERROR(IF($CX192="","",IF(SI_IP_Units="SI",10.76,1)*SUMIF(BAMCategories,$CY192,'Lighting Assumptions'!$E$3:E$35)),"")</f>
        <v/>
      </c>
      <c r="DW192" s="3047" t="str">
        <f>IFERROR(IF($CX192="","",IF(SI_IP_Units="SI",10.76,1)*SUMIF(BAMCategories,$CY192,IF(bpf_reference="ACP",'Lighting Assumptions 90.1-2010'!$E$3:E$35,'Lighting Assumptions 90.1-2016'!$E$3:E$35))),"")</f>
        <v/>
      </c>
      <c r="EW192" s="855"/>
      <c r="EX192" s="855"/>
      <c r="EY192" s="855"/>
      <c r="EZ192" s="855"/>
    </row>
    <row r="193" spans="4:156" x14ac:dyDescent="0.25">
      <c r="D193" s="3019"/>
      <c r="E193" s="3020"/>
      <c r="F193" s="3021">
        <f t="shared" si="60"/>
        <v>0</v>
      </c>
      <c r="G193" s="3059"/>
      <c r="H193" s="3060"/>
      <c r="I193" s="3061"/>
      <c r="J193" s="3061"/>
      <c r="K193" s="3061"/>
      <c r="L193" s="3061"/>
      <c r="M193" s="3061"/>
      <c r="N193" s="3061"/>
      <c r="O193" s="3061"/>
      <c r="P193" s="3061"/>
      <c r="Q193" s="3061"/>
      <c r="R193" s="3061"/>
      <c r="S193" s="3061"/>
      <c r="T193" s="3061"/>
      <c r="U193" s="3061"/>
      <c r="V193" s="3061"/>
      <c r="W193" s="3061"/>
      <c r="X193" s="3061"/>
      <c r="Y193" s="3061"/>
      <c r="Z193" s="3061"/>
      <c r="AA193" s="3061"/>
      <c r="AB193" s="3061"/>
      <c r="AC193" s="3061"/>
      <c r="AD193" s="3061"/>
      <c r="AE193" s="3061"/>
      <c r="AF193" s="3061"/>
      <c r="AG193" s="3061"/>
      <c r="AH193" s="3061"/>
      <c r="AI193" s="3061"/>
      <c r="AJ193" s="3061"/>
      <c r="AK193" s="3061"/>
      <c r="AL193" s="3061"/>
      <c r="AM193" s="3061"/>
      <c r="AN193" s="3061"/>
      <c r="AO193" s="3061"/>
      <c r="AP193" s="3061"/>
      <c r="AQ193" s="3061"/>
      <c r="AR193" s="3061"/>
      <c r="AS193" s="3061"/>
      <c r="AT193" s="3061"/>
      <c r="AU193" s="3061"/>
      <c r="AV193" s="3061"/>
      <c r="AW193" s="3061"/>
      <c r="AX193" s="3061"/>
      <c r="AY193" s="3061"/>
      <c r="AZ193" s="3061"/>
      <c r="BA193" s="3061"/>
      <c r="BB193" s="3061"/>
      <c r="BC193" s="3061"/>
      <c r="BD193" s="3061"/>
      <c r="BE193" s="3061"/>
      <c r="BF193" s="3061"/>
      <c r="BG193" s="3061"/>
      <c r="BH193" s="3061"/>
      <c r="BI193" s="3061"/>
      <c r="BJ193" s="3061"/>
      <c r="BK193" s="3061"/>
      <c r="BL193" s="3061"/>
      <c r="BM193" s="3061"/>
      <c r="BN193" s="3061"/>
      <c r="BO193" s="3061"/>
      <c r="BP193" s="3061"/>
      <c r="BQ193" s="3061"/>
      <c r="BR193" s="3061"/>
      <c r="BS193" s="3061"/>
      <c r="BT193" s="3061"/>
      <c r="BU193" s="3061"/>
      <c r="BV193" s="3061"/>
      <c r="BW193" s="3061"/>
      <c r="BX193" s="3061"/>
      <c r="BY193" s="3061"/>
      <c r="BZ193" s="3061"/>
      <c r="CA193" s="3061"/>
      <c r="CB193" s="3061"/>
      <c r="CC193" s="3061"/>
      <c r="CD193" s="3061"/>
      <c r="CE193" s="3061"/>
      <c r="CF193" s="3061"/>
      <c r="CG193" s="3061"/>
      <c r="CH193" s="3061"/>
      <c r="CI193" s="3061"/>
      <c r="CJ193" s="3061"/>
      <c r="CK193" s="3061"/>
      <c r="CL193" s="3061"/>
      <c r="CM193" s="3061"/>
      <c r="CN193" s="3061"/>
      <c r="CO193" s="3061"/>
      <c r="CP193" s="3061"/>
      <c r="CQ193" s="3061"/>
      <c r="CR193" s="3061"/>
      <c r="CS193" s="3062"/>
      <c r="CT193" s="3063"/>
      <c r="CU193" s="3064">
        <f t="shared" si="64"/>
        <v>1</v>
      </c>
      <c r="CV193" s="3022" t="str">
        <f>IF(OR(CT193="",CT193="None"),"-",DO193*CU193*SUMIF('Lighting Assumptions'!$G$3:$G$112,'6a - Lighting Counts'!G193,'Lighting Assumptions'!$J$3:$J$112))</f>
        <v>-</v>
      </c>
      <c r="CW193" s="3021"/>
      <c r="CX193" s="3021"/>
      <c r="CY193" s="3046"/>
      <c r="CZ193" s="2098">
        <f t="shared" si="65"/>
        <v>0</v>
      </c>
      <c r="DA193" s="2098" t="str">
        <f t="shared" si="66"/>
        <v>-</v>
      </c>
      <c r="DB193" s="2098">
        <f t="shared" si="67"/>
        <v>0</v>
      </c>
      <c r="DC193" s="3023" t="str">
        <f t="shared" si="68"/>
        <v>-</v>
      </c>
      <c r="DD193" s="3024" t="str">
        <f t="shared" si="69"/>
        <v/>
      </c>
      <c r="DE193" s="3025" t="str">
        <f t="shared" si="70"/>
        <v>-</v>
      </c>
      <c r="DF193" s="3024" t="str">
        <f t="shared" si="61"/>
        <v>-</v>
      </c>
      <c r="DG193" s="2098">
        <f t="shared" si="71"/>
        <v>0</v>
      </c>
      <c r="DH193" s="2098">
        <f t="array" ref="DH193">MIN(SUMPRODUCT(I193:CR193,IF($I$25:$CR$25="yes",1,0),$I$23:$CR$23),H193)</f>
        <v>0</v>
      </c>
      <c r="DI193" s="3026"/>
      <c r="DJ193" s="3021"/>
      <c r="DN193" s="917" t="str">
        <f>IF(CS193="","-",SUMIF('Lighting Assumptions'!$G$3:$G$112,'6a - Lighting Counts'!G193,'Lighting Assumptions'!$J$3:$J$112))</f>
        <v>-</v>
      </c>
      <c r="DO193" s="917" t="str">
        <f t="shared" si="62"/>
        <v>-</v>
      </c>
      <c r="DP193" s="917" t="str">
        <f t="shared" si="63"/>
        <v>-</v>
      </c>
      <c r="DQ193" s="917" t="str">
        <f>IF(LEFT(CELLformula(DF193),3)&lt;&gt;"=IF",1,"")</f>
        <v/>
      </c>
      <c r="DR193" s="917" t="str">
        <f>IF(LEFT(CELLformula(DD193),3)&lt;&gt;"=IF",1,"")</f>
        <v/>
      </c>
      <c r="DS193" s="3048">
        <f t="shared" si="72"/>
        <v>0</v>
      </c>
      <c r="DT193" s="3047" t="str">
        <f t="shared" si="73"/>
        <v/>
      </c>
      <c r="DU193" s="3047" t="str">
        <f>IFERROR(IF(G193="","",SUMIF('Lighting Assumptions'!$G$3:$G$112,'6a - Lighting Counts'!G193,'Lighting Assumptions'!$H$3:$H$112)*IF(SI_IP_Units="SI",10.76,1)),"")</f>
        <v/>
      </c>
      <c r="DV193" s="3047" t="str">
        <f>IFERROR(IF($CX193="","",IF(SI_IP_Units="SI",10.76,1)*SUMIF(BAMCategories,$CY193,'Lighting Assumptions'!$E$3:E$35)),"")</f>
        <v/>
      </c>
      <c r="DW193" s="3047" t="str">
        <f>IFERROR(IF($CX193="","",IF(SI_IP_Units="SI",10.76,1)*SUMIF(BAMCategories,$CY193,IF(bpf_reference="ACP",'Lighting Assumptions 90.1-2010'!$E$3:E$35,'Lighting Assumptions 90.1-2016'!$E$3:E$35))),"")</f>
        <v/>
      </c>
      <c r="EW193" s="855"/>
      <c r="EX193" s="855"/>
      <c r="EY193" s="855"/>
      <c r="EZ193" s="855"/>
    </row>
    <row r="194" spans="4:156" x14ac:dyDescent="0.25">
      <c r="D194" s="3019"/>
      <c r="E194" s="3020"/>
      <c r="F194" s="3021">
        <f t="shared" si="60"/>
        <v>0</v>
      </c>
      <c r="G194" s="3059"/>
      <c r="H194" s="3060"/>
      <c r="I194" s="3061"/>
      <c r="J194" s="3061"/>
      <c r="K194" s="3061"/>
      <c r="L194" s="3061"/>
      <c r="M194" s="3061"/>
      <c r="N194" s="3061"/>
      <c r="O194" s="3061"/>
      <c r="P194" s="3061"/>
      <c r="Q194" s="3061"/>
      <c r="R194" s="3061"/>
      <c r="S194" s="3061"/>
      <c r="T194" s="3061"/>
      <c r="U194" s="3061"/>
      <c r="V194" s="3061"/>
      <c r="W194" s="3061"/>
      <c r="X194" s="3061"/>
      <c r="Y194" s="3061"/>
      <c r="Z194" s="3061"/>
      <c r="AA194" s="3061"/>
      <c r="AB194" s="3061"/>
      <c r="AC194" s="3061"/>
      <c r="AD194" s="3061"/>
      <c r="AE194" s="3061"/>
      <c r="AF194" s="3061"/>
      <c r="AG194" s="3061"/>
      <c r="AH194" s="3061"/>
      <c r="AI194" s="3061"/>
      <c r="AJ194" s="3061"/>
      <c r="AK194" s="3061"/>
      <c r="AL194" s="3061"/>
      <c r="AM194" s="3061"/>
      <c r="AN194" s="3061"/>
      <c r="AO194" s="3061"/>
      <c r="AP194" s="3061"/>
      <c r="AQ194" s="3061"/>
      <c r="AR194" s="3061"/>
      <c r="AS194" s="3061"/>
      <c r="AT194" s="3061"/>
      <c r="AU194" s="3061"/>
      <c r="AV194" s="3061"/>
      <c r="AW194" s="3061"/>
      <c r="AX194" s="3061"/>
      <c r="AY194" s="3061"/>
      <c r="AZ194" s="3061"/>
      <c r="BA194" s="3061"/>
      <c r="BB194" s="3061"/>
      <c r="BC194" s="3061"/>
      <c r="BD194" s="3061"/>
      <c r="BE194" s="3061"/>
      <c r="BF194" s="3061"/>
      <c r="BG194" s="3061"/>
      <c r="BH194" s="3061"/>
      <c r="BI194" s="3061"/>
      <c r="BJ194" s="3061"/>
      <c r="BK194" s="3061"/>
      <c r="BL194" s="3061"/>
      <c r="BM194" s="3061"/>
      <c r="BN194" s="3061"/>
      <c r="BO194" s="3061"/>
      <c r="BP194" s="3061"/>
      <c r="BQ194" s="3061"/>
      <c r="BR194" s="3061"/>
      <c r="BS194" s="3061"/>
      <c r="BT194" s="3061"/>
      <c r="BU194" s="3061"/>
      <c r="BV194" s="3061"/>
      <c r="BW194" s="3061"/>
      <c r="BX194" s="3061"/>
      <c r="BY194" s="3061"/>
      <c r="BZ194" s="3061"/>
      <c r="CA194" s="3061"/>
      <c r="CB194" s="3061"/>
      <c r="CC194" s="3061"/>
      <c r="CD194" s="3061"/>
      <c r="CE194" s="3061"/>
      <c r="CF194" s="3061"/>
      <c r="CG194" s="3061"/>
      <c r="CH194" s="3061"/>
      <c r="CI194" s="3061"/>
      <c r="CJ194" s="3061"/>
      <c r="CK194" s="3061"/>
      <c r="CL194" s="3061"/>
      <c r="CM194" s="3061"/>
      <c r="CN194" s="3061"/>
      <c r="CO194" s="3061"/>
      <c r="CP194" s="3061"/>
      <c r="CQ194" s="3061"/>
      <c r="CR194" s="3061"/>
      <c r="CS194" s="3062"/>
      <c r="CT194" s="3063"/>
      <c r="CU194" s="3064">
        <f t="shared" si="64"/>
        <v>1</v>
      </c>
      <c r="CV194" s="3022" t="str">
        <f>IF(OR(CT194="",CT194="None"),"-",DO194*CU194*SUMIF('Lighting Assumptions'!$G$3:$G$112,'6a - Lighting Counts'!G194,'Lighting Assumptions'!$J$3:$J$112))</f>
        <v>-</v>
      </c>
      <c r="CW194" s="3021"/>
      <c r="CX194" s="3021"/>
      <c r="CY194" s="3046"/>
      <c r="CZ194" s="2098">
        <f t="shared" si="65"/>
        <v>0</v>
      </c>
      <c r="DA194" s="2098" t="str">
        <f t="shared" si="66"/>
        <v>-</v>
      </c>
      <c r="DB194" s="2098">
        <f t="shared" si="67"/>
        <v>0</v>
      </c>
      <c r="DC194" s="3023" t="str">
        <f t="shared" si="68"/>
        <v>-</v>
      </c>
      <c r="DD194" s="3024" t="str">
        <f t="shared" si="69"/>
        <v/>
      </c>
      <c r="DE194" s="3025" t="str">
        <f t="shared" si="70"/>
        <v>-</v>
      </c>
      <c r="DF194" s="3024" t="str">
        <f t="shared" si="61"/>
        <v>-</v>
      </c>
      <c r="DG194" s="2098">
        <f t="shared" si="71"/>
        <v>0</v>
      </c>
      <c r="DH194" s="2098">
        <f t="array" ref="DH194">MIN(SUMPRODUCT(I194:CR194,IF($I$25:$CR$25="yes",1,0),$I$23:$CR$23),H194)</f>
        <v>0</v>
      </c>
      <c r="DI194" s="3026"/>
      <c r="DJ194" s="3021"/>
      <c r="DN194" s="917" t="str">
        <f>IF(CS194="","-",SUMIF('Lighting Assumptions'!$G$3:$G$112,'6a - Lighting Counts'!G194,'Lighting Assumptions'!$J$3:$J$112))</f>
        <v>-</v>
      </c>
      <c r="DO194" s="917" t="str">
        <f t="shared" si="62"/>
        <v>-</v>
      </c>
      <c r="DP194" s="917" t="str">
        <f t="shared" si="63"/>
        <v>-</v>
      </c>
      <c r="DQ194" s="917" t="str">
        <f>IF(LEFT(CELLformula(DF194),3)&lt;&gt;"=IF",1,"")</f>
        <v/>
      </c>
      <c r="DR194" s="917" t="str">
        <f>IF(LEFT(CELLformula(DD194),3)&lt;&gt;"=IF",1,"")</f>
        <v/>
      </c>
      <c r="DS194" s="3048">
        <f t="shared" si="72"/>
        <v>0</v>
      </c>
      <c r="DT194" s="3047" t="str">
        <f t="shared" si="73"/>
        <v/>
      </c>
      <c r="DU194" s="3047" t="str">
        <f>IFERROR(IF(G194="","",SUMIF('Lighting Assumptions'!$G$3:$G$112,'6a - Lighting Counts'!G194,'Lighting Assumptions'!$H$3:$H$112)*IF(SI_IP_Units="SI",10.76,1)),"")</f>
        <v/>
      </c>
      <c r="DV194" s="3047" t="str">
        <f>IFERROR(IF($CX194="","",IF(SI_IP_Units="SI",10.76,1)*SUMIF(BAMCategories,$CY194,'Lighting Assumptions'!$E$3:E$35)),"")</f>
        <v/>
      </c>
      <c r="DW194" s="3047" t="str">
        <f>IFERROR(IF($CX194="","",IF(SI_IP_Units="SI",10.76,1)*SUMIF(BAMCategories,$CY194,IF(bpf_reference="ACP",'Lighting Assumptions 90.1-2010'!$E$3:E$35,'Lighting Assumptions 90.1-2016'!$E$3:E$35))),"")</f>
        <v/>
      </c>
      <c r="EW194" s="855"/>
      <c r="EX194" s="855"/>
      <c r="EY194" s="855"/>
      <c r="EZ194" s="855"/>
    </row>
    <row r="195" spans="4:156" x14ac:dyDescent="0.25">
      <c r="D195" s="3019"/>
      <c r="E195" s="3020"/>
      <c r="F195" s="3021">
        <f t="shared" si="60"/>
        <v>0</v>
      </c>
      <c r="G195" s="3059"/>
      <c r="H195" s="3060"/>
      <c r="I195" s="3061"/>
      <c r="J195" s="3061"/>
      <c r="K195" s="3061"/>
      <c r="L195" s="3061"/>
      <c r="M195" s="3061"/>
      <c r="N195" s="3061"/>
      <c r="O195" s="3061"/>
      <c r="P195" s="3061"/>
      <c r="Q195" s="3061"/>
      <c r="R195" s="3061"/>
      <c r="S195" s="3061"/>
      <c r="T195" s="3061"/>
      <c r="U195" s="3061"/>
      <c r="V195" s="3061"/>
      <c r="W195" s="3061"/>
      <c r="X195" s="3061"/>
      <c r="Y195" s="3061"/>
      <c r="Z195" s="3061"/>
      <c r="AA195" s="3061"/>
      <c r="AB195" s="3061"/>
      <c r="AC195" s="3061"/>
      <c r="AD195" s="3061"/>
      <c r="AE195" s="3061"/>
      <c r="AF195" s="3061"/>
      <c r="AG195" s="3061"/>
      <c r="AH195" s="3061"/>
      <c r="AI195" s="3061"/>
      <c r="AJ195" s="3061"/>
      <c r="AK195" s="3061"/>
      <c r="AL195" s="3061"/>
      <c r="AM195" s="3061"/>
      <c r="AN195" s="3061"/>
      <c r="AO195" s="3061"/>
      <c r="AP195" s="3061"/>
      <c r="AQ195" s="3061"/>
      <c r="AR195" s="3061"/>
      <c r="AS195" s="3061"/>
      <c r="AT195" s="3061"/>
      <c r="AU195" s="3061"/>
      <c r="AV195" s="3061"/>
      <c r="AW195" s="3061"/>
      <c r="AX195" s="3061"/>
      <c r="AY195" s="3061"/>
      <c r="AZ195" s="3061"/>
      <c r="BA195" s="3061"/>
      <c r="BB195" s="3061"/>
      <c r="BC195" s="3061"/>
      <c r="BD195" s="3061"/>
      <c r="BE195" s="3061"/>
      <c r="BF195" s="3061"/>
      <c r="BG195" s="3061"/>
      <c r="BH195" s="3061"/>
      <c r="BI195" s="3061"/>
      <c r="BJ195" s="3061"/>
      <c r="BK195" s="3061"/>
      <c r="BL195" s="3061"/>
      <c r="BM195" s="3061"/>
      <c r="BN195" s="3061"/>
      <c r="BO195" s="3061"/>
      <c r="BP195" s="3061"/>
      <c r="BQ195" s="3061"/>
      <c r="BR195" s="3061"/>
      <c r="BS195" s="3061"/>
      <c r="BT195" s="3061"/>
      <c r="BU195" s="3061"/>
      <c r="BV195" s="3061"/>
      <c r="BW195" s="3061"/>
      <c r="BX195" s="3061"/>
      <c r="BY195" s="3061"/>
      <c r="BZ195" s="3061"/>
      <c r="CA195" s="3061"/>
      <c r="CB195" s="3061"/>
      <c r="CC195" s="3061"/>
      <c r="CD195" s="3061"/>
      <c r="CE195" s="3061"/>
      <c r="CF195" s="3061"/>
      <c r="CG195" s="3061"/>
      <c r="CH195" s="3061"/>
      <c r="CI195" s="3061"/>
      <c r="CJ195" s="3061"/>
      <c r="CK195" s="3061"/>
      <c r="CL195" s="3061"/>
      <c r="CM195" s="3061"/>
      <c r="CN195" s="3061"/>
      <c r="CO195" s="3061"/>
      <c r="CP195" s="3061"/>
      <c r="CQ195" s="3061"/>
      <c r="CR195" s="3061"/>
      <c r="CS195" s="3062"/>
      <c r="CT195" s="3063"/>
      <c r="CU195" s="3064">
        <f t="shared" si="64"/>
        <v>1</v>
      </c>
      <c r="CV195" s="3022" t="str">
        <f>IF(OR(CT195="",CT195="None"),"-",DO195*CU195*SUMIF('Lighting Assumptions'!$G$3:$G$112,'6a - Lighting Counts'!G195,'Lighting Assumptions'!$J$3:$J$112))</f>
        <v>-</v>
      </c>
      <c r="CW195" s="3021"/>
      <c r="CX195" s="3021"/>
      <c r="CY195" s="3046"/>
      <c r="CZ195" s="2098">
        <f t="shared" si="65"/>
        <v>0</v>
      </c>
      <c r="DA195" s="2098" t="str">
        <f t="shared" si="66"/>
        <v>-</v>
      </c>
      <c r="DB195" s="2098">
        <f t="shared" si="67"/>
        <v>0</v>
      </c>
      <c r="DC195" s="3023" t="str">
        <f t="shared" si="68"/>
        <v>-</v>
      </c>
      <c r="DD195" s="3024" t="str">
        <f t="shared" si="69"/>
        <v/>
      </c>
      <c r="DE195" s="3025" t="str">
        <f t="shared" si="70"/>
        <v>-</v>
      </c>
      <c r="DF195" s="3024" t="str">
        <f t="shared" si="61"/>
        <v>-</v>
      </c>
      <c r="DG195" s="2098">
        <f t="shared" si="71"/>
        <v>0</v>
      </c>
      <c r="DH195" s="2098">
        <f t="array" ref="DH195">MIN(SUMPRODUCT(I195:CR195,IF($I$25:$CR$25="yes",1,0),$I$23:$CR$23),H195)</f>
        <v>0</v>
      </c>
      <c r="DI195" s="3026"/>
      <c r="DJ195" s="3021"/>
      <c r="DN195" s="917" t="str">
        <f>IF(CS195="","-",SUMIF('Lighting Assumptions'!$G$3:$G$112,'6a - Lighting Counts'!G195,'Lighting Assumptions'!$J$3:$J$112))</f>
        <v>-</v>
      </c>
      <c r="DO195" s="917" t="str">
        <f t="shared" si="62"/>
        <v>-</v>
      </c>
      <c r="DP195" s="917" t="str">
        <f t="shared" si="63"/>
        <v>-</v>
      </c>
      <c r="DQ195" s="917" t="str">
        <f>IF(LEFT(CELLformula(DF195),3)&lt;&gt;"=IF",1,"")</f>
        <v/>
      </c>
      <c r="DR195" s="917" t="str">
        <f>IF(LEFT(CELLformula(DD195),3)&lt;&gt;"=IF",1,"")</f>
        <v/>
      </c>
      <c r="DS195" s="3048">
        <f t="shared" si="72"/>
        <v>0</v>
      </c>
      <c r="DT195" s="3047" t="str">
        <f t="shared" si="73"/>
        <v/>
      </c>
      <c r="DU195" s="3047" t="str">
        <f>IFERROR(IF(G195="","",SUMIF('Lighting Assumptions'!$G$3:$G$112,'6a - Lighting Counts'!G195,'Lighting Assumptions'!$H$3:$H$112)*IF(SI_IP_Units="SI",10.76,1)),"")</f>
        <v/>
      </c>
      <c r="DV195" s="3047" t="str">
        <f>IFERROR(IF($CX195="","",IF(SI_IP_Units="SI",10.76,1)*SUMIF(BAMCategories,$CY195,'Lighting Assumptions'!$E$3:E$35)),"")</f>
        <v/>
      </c>
      <c r="DW195" s="3047" t="str">
        <f>IFERROR(IF($CX195="","",IF(SI_IP_Units="SI",10.76,1)*SUMIF(BAMCategories,$CY195,IF(bpf_reference="ACP",'Lighting Assumptions 90.1-2010'!$E$3:E$35,'Lighting Assumptions 90.1-2016'!$E$3:E$35))),"")</f>
        <v/>
      </c>
      <c r="EW195" s="855"/>
      <c r="EX195" s="855"/>
      <c r="EY195" s="855"/>
      <c r="EZ195" s="855"/>
    </row>
    <row r="196" spans="4:156" x14ac:dyDescent="0.25">
      <c r="D196" s="3019"/>
      <c r="E196" s="3020"/>
      <c r="F196" s="3021">
        <f t="shared" si="60"/>
        <v>0</v>
      </c>
      <c r="G196" s="3059"/>
      <c r="H196" s="3060"/>
      <c r="I196" s="3061"/>
      <c r="J196" s="3061"/>
      <c r="K196" s="3061"/>
      <c r="L196" s="3061"/>
      <c r="M196" s="3061"/>
      <c r="N196" s="3061"/>
      <c r="O196" s="3061"/>
      <c r="P196" s="3061"/>
      <c r="Q196" s="3061"/>
      <c r="R196" s="3061"/>
      <c r="S196" s="3061"/>
      <c r="T196" s="3061"/>
      <c r="U196" s="3061"/>
      <c r="V196" s="3061"/>
      <c r="W196" s="3061"/>
      <c r="X196" s="3061"/>
      <c r="Y196" s="3061"/>
      <c r="Z196" s="3061"/>
      <c r="AA196" s="3061"/>
      <c r="AB196" s="3061"/>
      <c r="AC196" s="3061"/>
      <c r="AD196" s="3061"/>
      <c r="AE196" s="3061"/>
      <c r="AF196" s="3061"/>
      <c r="AG196" s="3061"/>
      <c r="AH196" s="3061"/>
      <c r="AI196" s="3061"/>
      <c r="AJ196" s="3061"/>
      <c r="AK196" s="3061"/>
      <c r="AL196" s="3061"/>
      <c r="AM196" s="3061"/>
      <c r="AN196" s="3061"/>
      <c r="AO196" s="3061"/>
      <c r="AP196" s="3061"/>
      <c r="AQ196" s="3061"/>
      <c r="AR196" s="3061"/>
      <c r="AS196" s="3061"/>
      <c r="AT196" s="3061"/>
      <c r="AU196" s="3061"/>
      <c r="AV196" s="3061"/>
      <c r="AW196" s="3061"/>
      <c r="AX196" s="3061"/>
      <c r="AY196" s="3061"/>
      <c r="AZ196" s="3061"/>
      <c r="BA196" s="3061"/>
      <c r="BB196" s="3061"/>
      <c r="BC196" s="3061"/>
      <c r="BD196" s="3061"/>
      <c r="BE196" s="3061"/>
      <c r="BF196" s="3061"/>
      <c r="BG196" s="3061"/>
      <c r="BH196" s="3061"/>
      <c r="BI196" s="3061"/>
      <c r="BJ196" s="3061"/>
      <c r="BK196" s="3061"/>
      <c r="BL196" s="3061"/>
      <c r="BM196" s="3061"/>
      <c r="BN196" s="3061"/>
      <c r="BO196" s="3061"/>
      <c r="BP196" s="3061"/>
      <c r="BQ196" s="3061"/>
      <c r="BR196" s="3061"/>
      <c r="BS196" s="3061"/>
      <c r="BT196" s="3061"/>
      <c r="BU196" s="3061"/>
      <c r="BV196" s="3061"/>
      <c r="BW196" s="3061"/>
      <c r="BX196" s="3061"/>
      <c r="BY196" s="3061"/>
      <c r="BZ196" s="3061"/>
      <c r="CA196" s="3061"/>
      <c r="CB196" s="3061"/>
      <c r="CC196" s="3061"/>
      <c r="CD196" s="3061"/>
      <c r="CE196" s="3061"/>
      <c r="CF196" s="3061"/>
      <c r="CG196" s="3061"/>
      <c r="CH196" s="3061"/>
      <c r="CI196" s="3061"/>
      <c r="CJ196" s="3061"/>
      <c r="CK196" s="3061"/>
      <c r="CL196" s="3061"/>
      <c r="CM196" s="3061"/>
      <c r="CN196" s="3061"/>
      <c r="CO196" s="3061"/>
      <c r="CP196" s="3061"/>
      <c r="CQ196" s="3061"/>
      <c r="CR196" s="3061"/>
      <c r="CS196" s="3062"/>
      <c r="CT196" s="3063"/>
      <c r="CU196" s="3064">
        <f t="shared" si="64"/>
        <v>1</v>
      </c>
      <c r="CV196" s="3022" t="str">
        <f>IF(OR(CT196="",CT196="None"),"-",DO196*CU196*SUMIF('Lighting Assumptions'!$G$3:$G$112,'6a - Lighting Counts'!G196,'Lighting Assumptions'!$J$3:$J$112))</f>
        <v>-</v>
      </c>
      <c r="CW196" s="3021"/>
      <c r="CX196" s="3021"/>
      <c r="CY196" s="3046"/>
      <c r="CZ196" s="2098">
        <f t="shared" si="65"/>
        <v>0</v>
      </c>
      <c r="DA196" s="2098" t="str">
        <f t="shared" si="66"/>
        <v>-</v>
      </c>
      <c r="DB196" s="2098">
        <f t="shared" si="67"/>
        <v>0</v>
      </c>
      <c r="DC196" s="3023" t="str">
        <f t="shared" si="68"/>
        <v>-</v>
      </c>
      <c r="DD196" s="3024" t="str">
        <f t="shared" si="69"/>
        <v/>
      </c>
      <c r="DE196" s="3025" t="str">
        <f t="shared" si="70"/>
        <v>-</v>
      </c>
      <c r="DF196" s="3024" t="str">
        <f t="shared" si="61"/>
        <v>-</v>
      </c>
      <c r="DG196" s="2098">
        <f t="shared" si="71"/>
        <v>0</v>
      </c>
      <c r="DH196" s="2098">
        <f t="array" ref="DH196">MIN(SUMPRODUCT(I196:CR196,IF($I$25:$CR$25="yes",1,0),$I$23:$CR$23),H196)</f>
        <v>0</v>
      </c>
      <c r="DI196" s="3026"/>
      <c r="DJ196" s="3021"/>
      <c r="DN196" s="917" t="str">
        <f>IF(CS196="","-",SUMIF('Lighting Assumptions'!$G$3:$G$112,'6a - Lighting Counts'!G196,'Lighting Assumptions'!$J$3:$J$112))</f>
        <v>-</v>
      </c>
      <c r="DO196" s="917" t="str">
        <f t="shared" si="62"/>
        <v>-</v>
      </c>
      <c r="DP196" s="917" t="str">
        <f t="shared" si="63"/>
        <v>-</v>
      </c>
      <c r="DQ196" s="917" t="str">
        <f>IF(LEFT(CELLformula(DF196),3)&lt;&gt;"=IF",1,"")</f>
        <v/>
      </c>
      <c r="DR196" s="917" t="str">
        <f>IF(LEFT(CELLformula(DD196),3)&lt;&gt;"=IF",1,"")</f>
        <v/>
      </c>
      <c r="DS196" s="3048">
        <f t="shared" si="72"/>
        <v>0</v>
      </c>
      <c r="DT196" s="3047" t="str">
        <f t="shared" si="73"/>
        <v/>
      </c>
      <c r="DU196" s="3047" t="str">
        <f>IFERROR(IF(G196="","",SUMIF('Lighting Assumptions'!$G$3:$G$112,'6a - Lighting Counts'!G196,'Lighting Assumptions'!$H$3:$H$112)*IF(SI_IP_Units="SI",10.76,1)),"")</f>
        <v/>
      </c>
      <c r="DV196" s="3047" t="str">
        <f>IFERROR(IF($CX196="","",IF(SI_IP_Units="SI",10.76,1)*SUMIF(BAMCategories,$CY196,'Lighting Assumptions'!$E$3:E$35)),"")</f>
        <v/>
      </c>
      <c r="DW196" s="3047" t="str">
        <f>IFERROR(IF($CX196="","",IF(SI_IP_Units="SI",10.76,1)*SUMIF(BAMCategories,$CY196,IF(bpf_reference="ACP",'Lighting Assumptions 90.1-2010'!$E$3:E$35,'Lighting Assumptions 90.1-2016'!$E$3:E$35))),"")</f>
        <v/>
      </c>
      <c r="EW196" s="855"/>
      <c r="EX196" s="855"/>
      <c r="EY196" s="855"/>
      <c r="EZ196" s="855"/>
    </row>
    <row r="197" spans="4:156" x14ac:dyDescent="0.25">
      <c r="D197" s="3019"/>
      <c r="E197" s="3020"/>
      <c r="F197" s="3021">
        <f t="shared" si="60"/>
        <v>0</v>
      </c>
      <c r="G197" s="3059"/>
      <c r="H197" s="3060"/>
      <c r="I197" s="3061"/>
      <c r="J197" s="3061"/>
      <c r="K197" s="3061"/>
      <c r="L197" s="3061"/>
      <c r="M197" s="3061"/>
      <c r="N197" s="3061"/>
      <c r="O197" s="3061"/>
      <c r="P197" s="3061"/>
      <c r="Q197" s="3061"/>
      <c r="R197" s="3061"/>
      <c r="S197" s="3061"/>
      <c r="T197" s="3061"/>
      <c r="U197" s="3061"/>
      <c r="V197" s="3061"/>
      <c r="W197" s="3061"/>
      <c r="X197" s="3061"/>
      <c r="Y197" s="3061"/>
      <c r="Z197" s="3061"/>
      <c r="AA197" s="3061"/>
      <c r="AB197" s="3061"/>
      <c r="AC197" s="3061"/>
      <c r="AD197" s="3061"/>
      <c r="AE197" s="3061"/>
      <c r="AF197" s="3061"/>
      <c r="AG197" s="3061"/>
      <c r="AH197" s="3061"/>
      <c r="AI197" s="3061"/>
      <c r="AJ197" s="3061"/>
      <c r="AK197" s="3061"/>
      <c r="AL197" s="3061"/>
      <c r="AM197" s="3061"/>
      <c r="AN197" s="3061"/>
      <c r="AO197" s="3061"/>
      <c r="AP197" s="3061"/>
      <c r="AQ197" s="3061"/>
      <c r="AR197" s="3061"/>
      <c r="AS197" s="3061"/>
      <c r="AT197" s="3061"/>
      <c r="AU197" s="3061"/>
      <c r="AV197" s="3061"/>
      <c r="AW197" s="3061"/>
      <c r="AX197" s="3061"/>
      <c r="AY197" s="3061"/>
      <c r="AZ197" s="3061"/>
      <c r="BA197" s="3061"/>
      <c r="BB197" s="3061"/>
      <c r="BC197" s="3061"/>
      <c r="BD197" s="3061"/>
      <c r="BE197" s="3061"/>
      <c r="BF197" s="3061"/>
      <c r="BG197" s="3061"/>
      <c r="BH197" s="3061"/>
      <c r="BI197" s="3061"/>
      <c r="BJ197" s="3061"/>
      <c r="BK197" s="3061"/>
      <c r="BL197" s="3061"/>
      <c r="BM197" s="3061"/>
      <c r="BN197" s="3061"/>
      <c r="BO197" s="3061"/>
      <c r="BP197" s="3061"/>
      <c r="BQ197" s="3061"/>
      <c r="BR197" s="3061"/>
      <c r="BS197" s="3061"/>
      <c r="BT197" s="3061"/>
      <c r="BU197" s="3061"/>
      <c r="BV197" s="3061"/>
      <c r="BW197" s="3061"/>
      <c r="BX197" s="3061"/>
      <c r="BY197" s="3061"/>
      <c r="BZ197" s="3061"/>
      <c r="CA197" s="3061"/>
      <c r="CB197" s="3061"/>
      <c r="CC197" s="3061"/>
      <c r="CD197" s="3061"/>
      <c r="CE197" s="3061"/>
      <c r="CF197" s="3061"/>
      <c r="CG197" s="3061"/>
      <c r="CH197" s="3061"/>
      <c r="CI197" s="3061"/>
      <c r="CJ197" s="3061"/>
      <c r="CK197" s="3061"/>
      <c r="CL197" s="3061"/>
      <c r="CM197" s="3061"/>
      <c r="CN197" s="3061"/>
      <c r="CO197" s="3061"/>
      <c r="CP197" s="3061"/>
      <c r="CQ197" s="3061"/>
      <c r="CR197" s="3061"/>
      <c r="CS197" s="3062"/>
      <c r="CT197" s="3063"/>
      <c r="CU197" s="3064">
        <f t="shared" si="64"/>
        <v>1</v>
      </c>
      <c r="CV197" s="3022" t="str">
        <f>IF(OR(CT197="",CT197="None"),"-",DO197*CU197*SUMIF('Lighting Assumptions'!$G$3:$G$112,'6a - Lighting Counts'!G197,'Lighting Assumptions'!$J$3:$J$112))</f>
        <v>-</v>
      </c>
      <c r="CW197" s="3021"/>
      <c r="CX197" s="3021"/>
      <c r="CY197" s="3046"/>
      <c r="CZ197" s="2098">
        <f t="shared" si="65"/>
        <v>0</v>
      </c>
      <c r="DA197" s="2098" t="str">
        <f t="shared" si="66"/>
        <v>-</v>
      </c>
      <c r="DB197" s="2098">
        <f t="shared" si="67"/>
        <v>0</v>
      </c>
      <c r="DC197" s="3023" t="str">
        <f t="shared" si="68"/>
        <v>-</v>
      </c>
      <c r="DD197" s="3024" t="str">
        <f t="shared" si="69"/>
        <v/>
      </c>
      <c r="DE197" s="3025" t="str">
        <f t="shared" si="70"/>
        <v>-</v>
      </c>
      <c r="DF197" s="3024" t="str">
        <f t="shared" si="61"/>
        <v>-</v>
      </c>
      <c r="DG197" s="2098">
        <f t="shared" si="71"/>
        <v>0</v>
      </c>
      <c r="DH197" s="2098">
        <f t="array" ref="DH197">MIN(SUMPRODUCT(I197:CR197,IF($I$25:$CR$25="yes",1,0),$I$23:$CR$23),H197)</f>
        <v>0</v>
      </c>
      <c r="DI197" s="3026"/>
      <c r="DJ197" s="3021"/>
      <c r="DN197" s="917" t="str">
        <f>IF(CS197="","-",SUMIF('Lighting Assumptions'!$G$3:$G$112,'6a - Lighting Counts'!G197,'Lighting Assumptions'!$J$3:$J$112))</f>
        <v>-</v>
      </c>
      <c r="DO197" s="917" t="str">
        <f t="shared" si="62"/>
        <v>-</v>
      </c>
      <c r="DP197" s="917" t="str">
        <f t="shared" si="63"/>
        <v>-</v>
      </c>
      <c r="DQ197" s="917" t="str">
        <f>IF(LEFT(CELLformula(DF197),3)&lt;&gt;"=IF",1,"")</f>
        <v/>
      </c>
      <c r="DR197" s="917" t="str">
        <f>IF(LEFT(CELLformula(DD197),3)&lt;&gt;"=IF",1,"")</f>
        <v/>
      </c>
      <c r="DS197" s="3048">
        <f t="shared" si="72"/>
        <v>0</v>
      </c>
      <c r="DT197" s="3047" t="str">
        <f t="shared" si="73"/>
        <v/>
      </c>
      <c r="DU197" s="3047" t="str">
        <f>IFERROR(IF(G197="","",SUMIF('Lighting Assumptions'!$G$3:$G$112,'6a - Lighting Counts'!G197,'Lighting Assumptions'!$H$3:$H$112)*IF(SI_IP_Units="SI",10.76,1)),"")</f>
        <v/>
      </c>
      <c r="DV197" s="3047" t="str">
        <f>IFERROR(IF($CX197="","",IF(SI_IP_Units="SI",10.76,1)*SUMIF(BAMCategories,$CY197,'Lighting Assumptions'!$E$3:E$35)),"")</f>
        <v/>
      </c>
      <c r="DW197" s="3047" t="str">
        <f>IFERROR(IF($CX197="","",IF(SI_IP_Units="SI",10.76,1)*SUMIF(BAMCategories,$CY197,IF(bpf_reference="ACP",'Lighting Assumptions 90.1-2010'!$E$3:E$35,'Lighting Assumptions 90.1-2016'!$E$3:E$35))),"")</f>
        <v/>
      </c>
      <c r="EW197" s="855"/>
      <c r="EX197" s="855"/>
      <c r="EY197" s="855"/>
      <c r="EZ197" s="855"/>
    </row>
    <row r="198" spans="4:156" x14ac:dyDescent="0.25">
      <c r="D198" s="3019"/>
      <c r="E198" s="3020"/>
      <c r="F198" s="3021">
        <f t="shared" si="60"/>
        <v>0</v>
      </c>
      <c r="G198" s="3059"/>
      <c r="H198" s="3060"/>
      <c r="I198" s="3061"/>
      <c r="J198" s="3061"/>
      <c r="K198" s="3061"/>
      <c r="L198" s="3061"/>
      <c r="M198" s="3061"/>
      <c r="N198" s="3061"/>
      <c r="O198" s="3061"/>
      <c r="P198" s="3061"/>
      <c r="Q198" s="3061"/>
      <c r="R198" s="3061"/>
      <c r="S198" s="3061"/>
      <c r="T198" s="3061"/>
      <c r="U198" s="3061"/>
      <c r="V198" s="3061"/>
      <c r="W198" s="3061"/>
      <c r="X198" s="3061"/>
      <c r="Y198" s="3061"/>
      <c r="Z198" s="3061"/>
      <c r="AA198" s="3061"/>
      <c r="AB198" s="3061"/>
      <c r="AC198" s="3061"/>
      <c r="AD198" s="3061"/>
      <c r="AE198" s="3061"/>
      <c r="AF198" s="3061"/>
      <c r="AG198" s="3061"/>
      <c r="AH198" s="3061"/>
      <c r="AI198" s="3061"/>
      <c r="AJ198" s="3061"/>
      <c r="AK198" s="3061"/>
      <c r="AL198" s="3061"/>
      <c r="AM198" s="3061"/>
      <c r="AN198" s="3061"/>
      <c r="AO198" s="3061"/>
      <c r="AP198" s="3061"/>
      <c r="AQ198" s="3061"/>
      <c r="AR198" s="3061"/>
      <c r="AS198" s="3061"/>
      <c r="AT198" s="3061"/>
      <c r="AU198" s="3061"/>
      <c r="AV198" s="3061"/>
      <c r="AW198" s="3061"/>
      <c r="AX198" s="3061"/>
      <c r="AY198" s="3061"/>
      <c r="AZ198" s="3061"/>
      <c r="BA198" s="3061"/>
      <c r="BB198" s="3061"/>
      <c r="BC198" s="3061"/>
      <c r="BD198" s="3061"/>
      <c r="BE198" s="3061"/>
      <c r="BF198" s="3061"/>
      <c r="BG198" s="3061"/>
      <c r="BH198" s="3061"/>
      <c r="BI198" s="3061"/>
      <c r="BJ198" s="3061"/>
      <c r="BK198" s="3061"/>
      <c r="BL198" s="3061"/>
      <c r="BM198" s="3061"/>
      <c r="BN198" s="3061"/>
      <c r="BO198" s="3061"/>
      <c r="BP198" s="3061"/>
      <c r="BQ198" s="3061"/>
      <c r="BR198" s="3061"/>
      <c r="BS198" s="3061"/>
      <c r="BT198" s="3061"/>
      <c r="BU198" s="3061"/>
      <c r="BV198" s="3061"/>
      <c r="BW198" s="3061"/>
      <c r="BX198" s="3061"/>
      <c r="BY198" s="3061"/>
      <c r="BZ198" s="3061"/>
      <c r="CA198" s="3061"/>
      <c r="CB198" s="3061"/>
      <c r="CC198" s="3061"/>
      <c r="CD198" s="3061"/>
      <c r="CE198" s="3061"/>
      <c r="CF198" s="3061"/>
      <c r="CG198" s="3061"/>
      <c r="CH198" s="3061"/>
      <c r="CI198" s="3061"/>
      <c r="CJ198" s="3061"/>
      <c r="CK198" s="3061"/>
      <c r="CL198" s="3061"/>
      <c r="CM198" s="3061"/>
      <c r="CN198" s="3061"/>
      <c r="CO198" s="3061"/>
      <c r="CP198" s="3061"/>
      <c r="CQ198" s="3061"/>
      <c r="CR198" s="3061"/>
      <c r="CS198" s="3062"/>
      <c r="CT198" s="3063"/>
      <c r="CU198" s="3064">
        <f t="shared" si="64"/>
        <v>1</v>
      </c>
      <c r="CV198" s="3022" t="str">
        <f>IF(OR(CT198="",CT198="None"),"-",DO198*CU198*SUMIF('Lighting Assumptions'!$G$3:$G$112,'6a - Lighting Counts'!G198,'Lighting Assumptions'!$J$3:$J$112))</f>
        <v>-</v>
      </c>
      <c r="CW198" s="3021"/>
      <c r="CX198" s="3021"/>
      <c r="CY198" s="3046"/>
      <c r="CZ198" s="2098">
        <f t="shared" si="65"/>
        <v>0</v>
      </c>
      <c r="DA198" s="2098" t="str">
        <f t="shared" si="66"/>
        <v>-</v>
      </c>
      <c r="DB198" s="2098">
        <f t="shared" si="67"/>
        <v>0</v>
      </c>
      <c r="DC198" s="3023" t="str">
        <f t="shared" si="68"/>
        <v>-</v>
      </c>
      <c r="DD198" s="3024" t="str">
        <f t="shared" si="69"/>
        <v/>
      </c>
      <c r="DE198" s="3025" t="str">
        <f t="shared" si="70"/>
        <v>-</v>
      </c>
      <c r="DF198" s="3024" t="str">
        <f t="shared" si="61"/>
        <v>-</v>
      </c>
      <c r="DG198" s="2098">
        <f t="shared" si="71"/>
        <v>0</v>
      </c>
      <c r="DH198" s="2098">
        <f t="array" ref="DH198">MIN(SUMPRODUCT(I198:CR198,IF($I$25:$CR$25="yes",1,0),$I$23:$CR$23),H198)</f>
        <v>0</v>
      </c>
      <c r="DI198" s="3026"/>
      <c r="DJ198" s="3021"/>
      <c r="DN198" s="917" t="str">
        <f>IF(CS198="","-",SUMIF('Lighting Assumptions'!$G$3:$G$112,'6a - Lighting Counts'!G198,'Lighting Assumptions'!$J$3:$J$112))</f>
        <v>-</v>
      </c>
      <c r="DO198" s="917" t="str">
        <f t="shared" si="62"/>
        <v>-</v>
      </c>
      <c r="DP198" s="917" t="str">
        <f t="shared" si="63"/>
        <v>-</v>
      </c>
      <c r="DQ198" s="917" t="str">
        <f>IF(LEFT(CELLformula(DF198),3)&lt;&gt;"=IF",1,"")</f>
        <v/>
      </c>
      <c r="DR198" s="917" t="str">
        <f>IF(LEFT(CELLformula(DD198),3)&lt;&gt;"=IF",1,"")</f>
        <v/>
      </c>
      <c r="DS198" s="3048">
        <f t="shared" si="72"/>
        <v>0</v>
      </c>
      <c r="DT198" s="3047" t="str">
        <f t="shared" si="73"/>
        <v/>
      </c>
      <c r="DU198" s="3047" t="str">
        <f>IFERROR(IF(G198="","",SUMIF('Lighting Assumptions'!$G$3:$G$112,'6a - Lighting Counts'!G198,'Lighting Assumptions'!$H$3:$H$112)*IF(SI_IP_Units="SI",10.76,1)),"")</f>
        <v/>
      </c>
      <c r="DV198" s="3047" t="str">
        <f>IFERROR(IF($CX198="","",IF(SI_IP_Units="SI",10.76,1)*SUMIF(BAMCategories,$CY198,'Lighting Assumptions'!$E$3:E$35)),"")</f>
        <v/>
      </c>
      <c r="DW198" s="3047" t="str">
        <f>IFERROR(IF($CX198="","",IF(SI_IP_Units="SI",10.76,1)*SUMIF(BAMCategories,$CY198,IF(bpf_reference="ACP",'Lighting Assumptions 90.1-2010'!$E$3:E$35,'Lighting Assumptions 90.1-2016'!$E$3:E$35))),"")</f>
        <v/>
      </c>
      <c r="EW198" s="855"/>
      <c r="EX198" s="855"/>
      <c r="EY198" s="855"/>
      <c r="EZ198" s="855"/>
    </row>
    <row r="199" spans="4:156" x14ac:dyDescent="0.25">
      <c r="D199" s="3019"/>
      <c r="E199" s="3020"/>
      <c r="F199" s="3021">
        <f t="shared" si="60"/>
        <v>0</v>
      </c>
      <c r="G199" s="3059"/>
      <c r="H199" s="3060"/>
      <c r="I199" s="3061"/>
      <c r="J199" s="3061"/>
      <c r="K199" s="3061"/>
      <c r="L199" s="3061"/>
      <c r="M199" s="3061"/>
      <c r="N199" s="3061"/>
      <c r="O199" s="3061"/>
      <c r="P199" s="3061"/>
      <c r="Q199" s="3061"/>
      <c r="R199" s="3061"/>
      <c r="S199" s="3061"/>
      <c r="T199" s="3061"/>
      <c r="U199" s="3061"/>
      <c r="V199" s="3061"/>
      <c r="W199" s="3061"/>
      <c r="X199" s="3061"/>
      <c r="Y199" s="3061"/>
      <c r="Z199" s="3061"/>
      <c r="AA199" s="3061"/>
      <c r="AB199" s="3061"/>
      <c r="AC199" s="3061"/>
      <c r="AD199" s="3061"/>
      <c r="AE199" s="3061"/>
      <c r="AF199" s="3061"/>
      <c r="AG199" s="3061"/>
      <c r="AH199" s="3061"/>
      <c r="AI199" s="3061"/>
      <c r="AJ199" s="3061"/>
      <c r="AK199" s="3061"/>
      <c r="AL199" s="3061"/>
      <c r="AM199" s="3061"/>
      <c r="AN199" s="3061"/>
      <c r="AO199" s="3061"/>
      <c r="AP199" s="3061"/>
      <c r="AQ199" s="3061"/>
      <c r="AR199" s="3061"/>
      <c r="AS199" s="3061"/>
      <c r="AT199" s="3061"/>
      <c r="AU199" s="3061"/>
      <c r="AV199" s="3061"/>
      <c r="AW199" s="3061"/>
      <c r="AX199" s="3061"/>
      <c r="AY199" s="3061"/>
      <c r="AZ199" s="3061"/>
      <c r="BA199" s="3061"/>
      <c r="BB199" s="3061"/>
      <c r="BC199" s="3061"/>
      <c r="BD199" s="3061"/>
      <c r="BE199" s="3061"/>
      <c r="BF199" s="3061"/>
      <c r="BG199" s="3061"/>
      <c r="BH199" s="3061"/>
      <c r="BI199" s="3061"/>
      <c r="BJ199" s="3061"/>
      <c r="BK199" s="3061"/>
      <c r="BL199" s="3061"/>
      <c r="BM199" s="3061"/>
      <c r="BN199" s="3061"/>
      <c r="BO199" s="3061"/>
      <c r="BP199" s="3061"/>
      <c r="BQ199" s="3061"/>
      <c r="BR199" s="3061"/>
      <c r="BS199" s="3061"/>
      <c r="BT199" s="3061"/>
      <c r="BU199" s="3061"/>
      <c r="BV199" s="3061"/>
      <c r="BW199" s="3061"/>
      <c r="BX199" s="3061"/>
      <c r="BY199" s="3061"/>
      <c r="BZ199" s="3061"/>
      <c r="CA199" s="3061"/>
      <c r="CB199" s="3061"/>
      <c r="CC199" s="3061"/>
      <c r="CD199" s="3061"/>
      <c r="CE199" s="3061"/>
      <c r="CF199" s="3061"/>
      <c r="CG199" s="3061"/>
      <c r="CH199" s="3061"/>
      <c r="CI199" s="3061"/>
      <c r="CJ199" s="3061"/>
      <c r="CK199" s="3061"/>
      <c r="CL199" s="3061"/>
      <c r="CM199" s="3061"/>
      <c r="CN199" s="3061"/>
      <c r="CO199" s="3061"/>
      <c r="CP199" s="3061"/>
      <c r="CQ199" s="3061"/>
      <c r="CR199" s="3061"/>
      <c r="CS199" s="3062"/>
      <c r="CT199" s="3063"/>
      <c r="CU199" s="3064">
        <f t="shared" si="64"/>
        <v>1</v>
      </c>
      <c r="CV199" s="3022" t="str">
        <f>IF(OR(CT199="",CT199="None"),"-",DO199*CU199*SUMIF('Lighting Assumptions'!$G$3:$G$112,'6a - Lighting Counts'!G199,'Lighting Assumptions'!$J$3:$J$112))</f>
        <v>-</v>
      </c>
      <c r="CW199" s="3021"/>
      <c r="CX199" s="3021"/>
      <c r="CY199" s="3046"/>
      <c r="CZ199" s="2098">
        <f t="shared" si="65"/>
        <v>0</v>
      </c>
      <c r="DA199" s="2098" t="str">
        <f t="shared" si="66"/>
        <v>-</v>
      </c>
      <c r="DB199" s="2098">
        <f t="shared" si="67"/>
        <v>0</v>
      </c>
      <c r="DC199" s="3023" t="str">
        <f t="shared" si="68"/>
        <v>-</v>
      </c>
      <c r="DD199" s="3024" t="str">
        <f t="shared" si="69"/>
        <v/>
      </c>
      <c r="DE199" s="3025" t="str">
        <f t="shared" si="70"/>
        <v>-</v>
      </c>
      <c r="DF199" s="3024" t="str">
        <f t="shared" si="61"/>
        <v>-</v>
      </c>
      <c r="DG199" s="2098">
        <f t="shared" si="71"/>
        <v>0</v>
      </c>
      <c r="DH199" s="2098">
        <f t="array" ref="DH199">MIN(SUMPRODUCT(I199:CR199,IF($I$25:$CR$25="yes",1,0),$I$23:$CR$23),H199)</f>
        <v>0</v>
      </c>
      <c r="DI199" s="3026"/>
      <c r="DJ199" s="3021"/>
      <c r="DN199" s="917" t="str">
        <f>IF(CS199="","-",SUMIF('Lighting Assumptions'!$G$3:$G$112,'6a - Lighting Counts'!G199,'Lighting Assumptions'!$J$3:$J$112))</f>
        <v>-</v>
      </c>
      <c r="DO199" s="917" t="str">
        <f t="shared" si="62"/>
        <v>-</v>
      </c>
      <c r="DP199" s="917" t="str">
        <f t="shared" si="63"/>
        <v>-</v>
      </c>
      <c r="DQ199" s="917" t="str">
        <f>IF(LEFT(CELLformula(DF199),3)&lt;&gt;"=IF",1,"")</f>
        <v/>
      </c>
      <c r="DR199" s="917" t="str">
        <f>IF(LEFT(CELLformula(DD199),3)&lt;&gt;"=IF",1,"")</f>
        <v/>
      </c>
      <c r="DS199" s="3048">
        <f t="shared" si="72"/>
        <v>0</v>
      </c>
      <c r="DT199" s="3047" t="str">
        <f t="shared" si="73"/>
        <v/>
      </c>
      <c r="DU199" s="3047" t="str">
        <f>IFERROR(IF(G199="","",SUMIF('Lighting Assumptions'!$G$3:$G$112,'6a - Lighting Counts'!G199,'Lighting Assumptions'!$H$3:$H$112)*IF(SI_IP_Units="SI",10.76,1)),"")</f>
        <v/>
      </c>
      <c r="DV199" s="3047" t="str">
        <f>IFERROR(IF($CX199="","",IF(SI_IP_Units="SI",10.76,1)*SUMIF(BAMCategories,$CY199,'Lighting Assumptions'!$E$3:E$35)),"")</f>
        <v/>
      </c>
      <c r="DW199" s="3047" t="str">
        <f>IFERROR(IF($CX199="","",IF(SI_IP_Units="SI",10.76,1)*SUMIF(BAMCategories,$CY199,IF(bpf_reference="ACP",'Lighting Assumptions 90.1-2010'!$E$3:E$35,'Lighting Assumptions 90.1-2016'!$E$3:E$35))),"")</f>
        <v/>
      </c>
      <c r="EW199" s="855"/>
      <c r="EX199" s="855"/>
      <c r="EY199" s="855"/>
      <c r="EZ199" s="855"/>
    </row>
    <row r="200" spans="4:156" x14ac:dyDescent="0.25">
      <c r="D200" s="3019"/>
      <c r="E200" s="3020"/>
      <c r="F200" s="3021">
        <f t="shared" si="60"/>
        <v>0</v>
      </c>
      <c r="G200" s="3059"/>
      <c r="H200" s="3060"/>
      <c r="I200" s="3061"/>
      <c r="J200" s="3061"/>
      <c r="K200" s="3061"/>
      <c r="L200" s="3061"/>
      <c r="M200" s="3061"/>
      <c r="N200" s="3061"/>
      <c r="O200" s="3061"/>
      <c r="P200" s="3061"/>
      <c r="Q200" s="3061"/>
      <c r="R200" s="3061"/>
      <c r="S200" s="3061"/>
      <c r="T200" s="3061"/>
      <c r="U200" s="3061"/>
      <c r="V200" s="3061"/>
      <c r="W200" s="3061"/>
      <c r="X200" s="3061"/>
      <c r="Y200" s="3061"/>
      <c r="Z200" s="3061"/>
      <c r="AA200" s="3061"/>
      <c r="AB200" s="3061"/>
      <c r="AC200" s="3061"/>
      <c r="AD200" s="3061"/>
      <c r="AE200" s="3061"/>
      <c r="AF200" s="3061"/>
      <c r="AG200" s="3061"/>
      <c r="AH200" s="3061"/>
      <c r="AI200" s="3061"/>
      <c r="AJ200" s="3061"/>
      <c r="AK200" s="3061"/>
      <c r="AL200" s="3061"/>
      <c r="AM200" s="3061"/>
      <c r="AN200" s="3061"/>
      <c r="AO200" s="3061"/>
      <c r="AP200" s="3061"/>
      <c r="AQ200" s="3061"/>
      <c r="AR200" s="3061"/>
      <c r="AS200" s="3061"/>
      <c r="AT200" s="3061"/>
      <c r="AU200" s="3061"/>
      <c r="AV200" s="3061"/>
      <c r="AW200" s="3061"/>
      <c r="AX200" s="3061"/>
      <c r="AY200" s="3061"/>
      <c r="AZ200" s="3061"/>
      <c r="BA200" s="3061"/>
      <c r="BB200" s="3061"/>
      <c r="BC200" s="3061"/>
      <c r="BD200" s="3061"/>
      <c r="BE200" s="3061"/>
      <c r="BF200" s="3061"/>
      <c r="BG200" s="3061"/>
      <c r="BH200" s="3061"/>
      <c r="BI200" s="3061"/>
      <c r="BJ200" s="3061"/>
      <c r="BK200" s="3061"/>
      <c r="BL200" s="3061"/>
      <c r="BM200" s="3061"/>
      <c r="BN200" s="3061"/>
      <c r="BO200" s="3061"/>
      <c r="BP200" s="3061"/>
      <c r="BQ200" s="3061"/>
      <c r="BR200" s="3061"/>
      <c r="BS200" s="3061"/>
      <c r="BT200" s="3061"/>
      <c r="BU200" s="3061"/>
      <c r="BV200" s="3061"/>
      <c r="BW200" s="3061"/>
      <c r="BX200" s="3061"/>
      <c r="BY200" s="3061"/>
      <c r="BZ200" s="3061"/>
      <c r="CA200" s="3061"/>
      <c r="CB200" s="3061"/>
      <c r="CC200" s="3061"/>
      <c r="CD200" s="3061"/>
      <c r="CE200" s="3061"/>
      <c r="CF200" s="3061"/>
      <c r="CG200" s="3061"/>
      <c r="CH200" s="3061"/>
      <c r="CI200" s="3061"/>
      <c r="CJ200" s="3061"/>
      <c r="CK200" s="3061"/>
      <c r="CL200" s="3061"/>
      <c r="CM200" s="3061"/>
      <c r="CN200" s="3061"/>
      <c r="CO200" s="3061"/>
      <c r="CP200" s="3061"/>
      <c r="CQ200" s="3061"/>
      <c r="CR200" s="3061"/>
      <c r="CS200" s="3062"/>
      <c r="CT200" s="3063"/>
      <c r="CU200" s="3064">
        <f t="shared" si="64"/>
        <v>1</v>
      </c>
      <c r="CV200" s="3022" t="str">
        <f>IF(OR(CT200="",CT200="None"),"-",DO200*CU200*SUMIF('Lighting Assumptions'!$G$3:$G$112,'6a - Lighting Counts'!G200,'Lighting Assumptions'!$J$3:$J$112))</f>
        <v>-</v>
      </c>
      <c r="CW200" s="3021"/>
      <c r="CX200" s="3021"/>
      <c r="CY200" s="3046"/>
      <c r="CZ200" s="2098">
        <f t="shared" si="65"/>
        <v>0</v>
      </c>
      <c r="DA200" s="2098" t="str">
        <f t="shared" si="66"/>
        <v>-</v>
      </c>
      <c r="DB200" s="2098">
        <f t="shared" si="67"/>
        <v>0</v>
      </c>
      <c r="DC200" s="3023" t="str">
        <f t="shared" si="68"/>
        <v>-</v>
      </c>
      <c r="DD200" s="3024" t="str">
        <f t="shared" si="69"/>
        <v/>
      </c>
      <c r="DE200" s="3025" t="str">
        <f t="shared" si="70"/>
        <v>-</v>
      </c>
      <c r="DF200" s="3024" t="str">
        <f t="shared" si="61"/>
        <v>-</v>
      </c>
      <c r="DG200" s="2098">
        <f t="shared" si="71"/>
        <v>0</v>
      </c>
      <c r="DH200" s="2098">
        <f t="array" ref="DH200">MIN(SUMPRODUCT(I200:CR200,IF($I$25:$CR$25="yes",1,0),$I$23:$CR$23),H200)</f>
        <v>0</v>
      </c>
      <c r="DI200" s="3026"/>
      <c r="DJ200" s="3021"/>
      <c r="DN200" s="917" t="str">
        <f>IF(CS200="","-",SUMIF('Lighting Assumptions'!$G$3:$G$112,'6a - Lighting Counts'!G200,'Lighting Assumptions'!$J$3:$J$112))</f>
        <v>-</v>
      </c>
      <c r="DO200" s="917" t="str">
        <f t="shared" si="62"/>
        <v>-</v>
      </c>
      <c r="DP200" s="917" t="str">
        <f t="shared" si="63"/>
        <v>-</v>
      </c>
      <c r="DQ200" s="917" t="str">
        <f>IF(LEFT(CELLformula(DF200),3)&lt;&gt;"=IF",1,"")</f>
        <v/>
      </c>
      <c r="DR200" s="917" t="str">
        <f>IF(LEFT(CELLformula(DD200),3)&lt;&gt;"=IF",1,"")</f>
        <v/>
      </c>
      <c r="DS200" s="3048">
        <f t="shared" si="72"/>
        <v>0</v>
      </c>
      <c r="DT200" s="3047" t="str">
        <f t="shared" si="73"/>
        <v/>
      </c>
      <c r="DU200" s="3047" t="str">
        <f>IFERROR(IF(G200="","",SUMIF('Lighting Assumptions'!$G$3:$G$112,'6a - Lighting Counts'!G200,'Lighting Assumptions'!$H$3:$H$112)*IF(SI_IP_Units="SI",10.76,1)),"")</f>
        <v/>
      </c>
      <c r="DV200" s="3047" t="str">
        <f>IFERROR(IF($CX200="","",IF(SI_IP_Units="SI",10.76,1)*SUMIF(BAMCategories,$CY200,'Lighting Assumptions'!$E$3:E$35)),"")</f>
        <v/>
      </c>
      <c r="DW200" s="3047" t="str">
        <f>IFERROR(IF($CX200="","",IF(SI_IP_Units="SI",10.76,1)*SUMIF(BAMCategories,$CY200,IF(bpf_reference="ACP",'Lighting Assumptions 90.1-2010'!$E$3:E$35,'Lighting Assumptions 90.1-2016'!$E$3:E$35))),"")</f>
        <v/>
      </c>
      <c r="EW200" s="855"/>
      <c r="EX200" s="855"/>
      <c r="EY200" s="855"/>
      <c r="EZ200" s="855"/>
    </row>
    <row r="201" spans="4:156" x14ac:dyDescent="0.25">
      <c r="D201" s="3019"/>
      <c r="E201" s="3020"/>
      <c r="F201" s="3021">
        <f t="shared" si="60"/>
        <v>0</v>
      </c>
      <c r="G201" s="3059"/>
      <c r="H201" s="3060"/>
      <c r="I201" s="3061"/>
      <c r="J201" s="3061"/>
      <c r="K201" s="3061"/>
      <c r="L201" s="3061"/>
      <c r="M201" s="3061"/>
      <c r="N201" s="3061"/>
      <c r="O201" s="3061"/>
      <c r="P201" s="3061"/>
      <c r="Q201" s="3061"/>
      <c r="R201" s="3061"/>
      <c r="S201" s="3061"/>
      <c r="T201" s="3061"/>
      <c r="U201" s="3061"/>
      <c r="V201" s="3061"/>
      <c r="W201" s="3061"/>
      <c r="X201" s="3061"/>
      <c r="Y201" s="3061"/>
      <c r="Z201" s="3061"/>
      <c r="AA201" s="3061"/>
      <c r="AB201" s="3061"/>
      <c r="AC201" s="3061"/>
      <c r="AD201" s="3061"/>
      <c r="AE201" s="3061"/>
      <c r="AF201" s="3061"/>
      <c r="AG201" s="3061"/>
      <c r="AH201" s="3061"/>
      <c r="AI201" s="3061"/>
      <c r="AJ201" s="3061"/>
      <c r="AK201" s="3061"/>
      <c r="AL201" s="3061"/>
      <c r="AM201" s="3061"/>
      <c r="AN201" s="3061"/>
      <c r="AO201" s="3061"/>
      <c r="AP201" s="3061"/>
      <c r="AQ201" s="3061"/>
      <c r="AR201" s="3061"/>
      <c r="AS201" s="3061"/>
      <c r="AT201" s="3061"/>
      <c r="AU201" s="3061"/>
      <c r="AV201" s="3061"/>
      <c r="AW201" s="3061"/>
      <c r="AX201" s="3061"/>
      <c r="AY201" s="3061"/>
      <c r="AZ201" s="3061"/>
      <c r="BA201" s="3061"/>
      <c r="BB201" s="3061"/>
      <c r="BC201" s="3061"/>
      <c r="BD201" s="3061"/>
      <c r="BE201" s="3061"/>
      <c r="BF201" s="3061"/>
      <c r="BG201" s="3061"/>
      <c r="BH201" s="3061"/>
      <c r="BI201" s="3061"/>
      <c r="BJ201" s="3061"/>
      <c r="BK201" s="3061"/>
      <c r="BL201" s="3061"/>
      <c r="BM201" s="3061"/>
      <c r="BN201" s="3061"/>
      <c r="BO201" s="3061"/>
      <c r="BP201" s="3061"/>
      <c r="BQ201" s="3061"/>
      <c r="BR201" s="3061"/>
      <c r="BS201" s="3061"/>
      <c r="BT201" s="3061"/>
      <c r="BU201" s="3061"/>
      <c r="BV201" s="3061"/>
      <c r="BW201" s="3061"/>
      <c r="BX201" s="3061"/>
      <c r="BY201" s="3061"/>
      <c r="BZ201" s="3061"/>
      <c r="CA201" s="3061"/>
      <c r="CB201" s="3061"/>
      <c r="CC201" s="3061"/>
      <c r="CD201" s="3061"/>
      <c r="CE201" s="3061"/>
      <c r="CF201" s="3061"/>
      <c r="CG201" s="3061"/>
      <c r="CH201" s="3061"/>
      <c r="CI201" s="3061"/>
      <c r="CJ201" s="3061"/>
      <c r="CK201" s="3061"/>
      <c r="CL201" s="3061"/>
      <c r="CM201" s="3061"/>
      <c r="CN201" s="3061"/>
      <c r="CO201" s="3061"/>
      <c r="CP201" s="3061"/>
      <c r="CQ201" s="3061"/>
      <c r="CR201" s="3061"/>
      <c r="CS201" s="3062"/>
      <c r="CT201" s="3063"/>
      <c r="CU201" s="3064">
        <f t="shared" si="64"/>
        <v>1</v>
      </c>
      <c r="CV201" s="3022" t="str">
        <f>IF(OR(CT201="",CT201="None"),"-",DO201*CU201*SUMIF('Lighting Assumptions'!$G$3:$G$112,'6a - Lighting Counts'!G201,'Lighting Assumptions'!$J$3:$J$112))</f>
        <v>-</v>
      </c>
      <c r="CW201" s="3021"/>
      <c r="CX201" s="3021"/>
      <c r="CY201" s="3046"/>
      <c r="CZ201" s="2098">
        <f t="shared" si="65"/>
        <v>0</v>
      </c>
      <c r="DA201" s="2098" t="str">
        <f t="shared" si="66"/>
        <v>-</v>
      </c>
      <c r="DB201" s="2098">
        <f t="shared" si="67"/>
        <v>0</v>
      </c>
      <c r="DC201" s="3023" t="str">
        <f t="shared" si="68"/>
        <v>-</v>
      </c>
      <c r="DD201" s="3024" t="str">
        <f t="shared" si="69"/>
        <v/>
      </c>
      <c r="DE201" s="3025" t="str">
        <f t="shared" si="70"/>
        <v>-</v>
      </c>
      <c r="DF201" s="3024" t="str">
        <f t="shared" si="61"/>
        <v>-</v>
      </c>
      <c r="DG201" s="2098">
        <f t="shared" si="71"/>
        <v>0</v>
      </c>
      <c r="DH201" s="2098">
        <f t="array" ref="DH201">MIN(SUMPRODUCT(I201:CR201,IF($I$25:$CR$25="yes",1,0),$I$23:$CR$23),H201)</f>
        <v>0</v>
      </c>
      <c r="DI201" s="3026"/>
      <c r="DJ201" s="3021"/>
      <c r="DN201" s="917" t="str">
        <f>IF(CS201="","-",SUMIF('Lighting Assumptions'!$G$3:$G$112,'6a - Lighting Counts'!G201,'Lighting Assumptions'!$J$3:$J$112))</f>
        <v>-</v>
      </c>
      <c r="DO201" s="917" t="str">
        <f t="shared" si="62"/>
        <v>-</v>
      </c>
      <c r="DP201" s="917" t="str">
        <f t="shared" si="63"/>
        <v>-</v>
      </c>
      <c r="DQ201" s="917" t="str">
        <f>IF(LEFT(CELLformula(DF201),3)&lt;&gt;"=IF",1,"")</f>
        <v/>
      </c>
      <c r="DR201" s="917" t="str">
        <f>IF(LEFT(CELLformula(DD201),3)&lt;&gt;"=IF",1,"")</f>
        <v/>
      </c>
      <c r="DS201" s="3048">
        <f t="shared" si="72"/>
        <v>0</v>
      </c>
      <c r="DT201" s="3047" t="str">
        <f t="shared" si="73"/>
        <v/>
      </c>
      <c r="DU201" s="3047" t="str">
        <f>IFERROR(IF(G201="","",SUMIF('Lighting Assumptions'!$G$3:$G$112,'6a - Lighting Counts'!G201,'Lighting Assumptions'!$H$3:$H$112)*IF(SI_IP_Units="SI",10.76,1)),"")</f>
        <v/>
      </c>
      <c r="DV201" s="3047" t="str">
        <f>IFERROR(IF($CX201="","",IF(SI_IP_Units="SI",10.76,1)*SUMIF(BAMCategories,$CY201,'Lighting Assumptions'!$E$3:E$35)),"")</f>
        <v/>
      </c>
      <c r="DW201" s="3047" t="str">
        <f>IFERROR(IF($CX201="","",IF(SI_IP_Units="SI",10.76,1)*SUMIF(BAMCategories,$CY201,IF(bpf_reference="ACP",'Lighting Assumptions 90.1-2010'!$E$3:E$35,'Lighting Assumptions 90.1-2016'!$E$3:E$35))),"")</f>
        <v/>
      </c>
      <c r="EW201" s="855"/>
      <c r="EX201" s="855"/>
      <c r="EY201" s="855"/>
      <c r="EZ201" s="855"/>
    </row>
    <row r="202" spans="4:156" x14ac:dyDescent="0.25">
      <c r="D202" s="3019"/>
      <c r="E202" s="3020"/>
      <c r="F202" s="3021">
        <f t="shared" si="60"/>
        <v>0</v>
      </c>
      <c r="G202" s="3059"/>
      <c r="H202" s="3060"/>
      <c r="I202" s="3061"/>
      <c r="J202" s="3061"/>
      <c r="K202" s="3061"/>
      <c r="L202" s="3061"/>
      <c r="M202" s="3061"/>
      <c r="N202" s="3061"/>
      <c r="O202" s="3061"/>
      <c r="P202" s="3061"/>
      <c r="Q202" s="3061"/>
      <c r="R202" s="3061"/>
      <c r="S202" s="3061"/>
      <c r="T202" s="3061"/>
      <c r="U202" s="3061"/>
      <c r="V202" s="3061"/>
      <c r="W202" s="3061"/>
      <c r="X202" s="3061"/>
      <c r="Y202" s="3061"/>
      <c r="Z202" s="3061"/>
      <c r="AA202" s="3061"/>
      <c r="AB202" s="3061"/>
      <c r="AC202" s="3061"/>
      <c r="AD202" s="3061"/>
      <c r="AE202" s="3061"/>
      <c r="AF202" s="3061"/>
      <c r="AG202" s="3061"/>
      <c r="AH202" s="3061"/>
      <c r="AI202" s="3061"/>
      <c r="AJ202" s="3061"/>
      <c r="AK202" s="3061"/>
      <c r="AL202" s="3061"/>
      <c r="AM202" s="3061"/>
      <c r="AN202" s="3061"/>
      <c r="AO202" s="3061"/>
      <c r="AP202" s="3061"/>
      <c r="AQ202" s="3061"/>
      <c r="AR202" s="3061"/>
      <c r="AS202" s="3061"/>
      <c r="AT202" s="3061"/>
      <c r="AU202" s="3061"/>
      <c r="AV202" s="3061"/>
      <c r="AW202" s="3061"/>
      <c r="AX202" s="3061"/>
      <c r="AY202" s="3061"/>
      <c r="AZ202" s="3061"/>
      <c r="BA202" s="3061"/>
      <c r="BB202" s="3061"/>
      <c r="BC202" s="3061"/>
      <c r="BD202" s="3061"/>
      <c r="BE202" s="3061"/>
      <c r="BF202" s="3061"/>
      <c r="BG202" s="3061"/>
      <c r="BH202" s="3061"/>
      <c r="BI202" s="3061"/>
      <c r="BJ202" s="3061"/>
      <c r="BK202" s="3061"/>
      <c r="BL202" s="3061"/>
      <c r="BM202" s="3061"/>
      <c r="BN202" s="3061"/>
      <c r="BO202" s="3061"/>
      <c r="BP202" s="3061"/>
      <c r="BQ202" s="3061"/>
      <c r="BR202" s="3061"/>
      <c r="BS202" s="3061"/>
      <c r="BT202" s="3061"/>
      <c r="BU202" s="3061"/>
      <c r="BV202" s="3061"/>
      <c r="BW202" s="3061"/>
      <c r="BX202" s="3061"/>
      <c r="BY202" s="3061"/>
      <c r="BZ202" s="3061"/>
      <c r="CA202" s="3061"/>
      <c r="CB202" s="3061"/>
      <c r="CC202" s="3061"/>
      <c r="CD202" s="3061"/>
      <c r="CE202" s="3061"/>
      <c r="CF202" s="3061"/>
      <c r="CG202" s="3061"/>
      <c r="CH202" s="3061"/>
      <c r="CI202" s="3061"/>
      <c r="CJ202" s="3061"/>
      <c r="CK202" s="3061"/>
      <c r="CL202" s="3061"/>
      <c r="CM202" s="3061"/>
      <c r="CN202" s="3061"/>
      <c r="CO202" s="3061"/>
      <c r="CP202" s="3061"/>
      <c r="CQ202" s="3061"/>
      <c r="CR202" s="3061"/>
      <c r="CS202" s="3062"/>
      <c r="CT202" s="3063"/>
      <c r="CU202" s="3064">
        <f t="shared" si="64"/>
        <v>1</v>
      </c>
      <c r="CV202" s="3022" t="str">
        <f>IF(OR(CT202="",CT202="None"),"-",DO202*CU202*SUMIF('Lighting Assumptions'!$G$3:$G$112,'6a - Lighting Counts'!G202,'Lighting Assumptions'!$J$3:$J$112))</f>
        <v>-</v>
      </c>
      <c r="CW202" s="3021"/>
      <c r="CX202" s="3021"/>
      <c r="CY202" s="3046"/>
      <c r="CZ202" s="2098">
        <f t="shared" si="65"/>
        <v>0</v>
      </c>
      <c r="DA202" s="2098" t="str">
        <f t="shared" si="66"/>
        <v>-</v>
      </c>
      <c r="DB202" s="2098">
        <f t="shared" si="67"/>
        <v>0</v>
      </c>
      <c r="DC202" s="3023" t="str">
        <f t="shared" si="68"/>
        <v>-</v>
      </c>
      <c r="DD202" s="3024" t="str">
        <f t="shared" si="69"/>
        <v/>
      </c>
      <c r="DE202" s="3025" t="str">
        <f t="shared" si="70"/>
        <v>-</v>
      </c>
      <c r="DF202" s="3024" t="str">
        <f t="shared" si="61"/>
        <v>-</v>
      </c>
      <c r="DG202" s="2098">
        <f t="shared" si="71"/>
        <v>0</v>
      </c>
      <c r="DH202" s="2098">
        <f t="array" ref="DH202">MIN(SUMPRODUCT(I202:CR202,IF($I$25:$CR$25="yes",1,0),$I$23:$CR$23),H202)</f>
        <v>0</v>
      </c>
      <c r="DI202" s="3026"/>
      <c r="DJ202" s="3021"/>
      <c r="DN202" s="917" t="str">
        <f>IF(CS202="","-",SUMIF('Lighting Assumptions'!$G$3:$G$112,'6a - Lighting Counts'!G202,'Lighting Assumptions'!$J$3:$J$112))</f>
        <v>-</v>
      </c>
      <c r="DO202" s="917" t="str">
        <f t="shared" si="62"/>
        <v>-</v>
      </c>
      <c r="DP202" s="917" t="str">
        <f t="shared" si="63"/>
        <v>-</v>
      </c>
      <c r="DQ202" s="917" t="str">
        <f>IF(LEFT(CELLformula(DF202),3)&lt;&gt;"=IF",1,"")</f>
        <v/>
      </c>
      <c r="DR202" s="917" t="str">
        <f>IF(LEFT(CELLformula(DD202),3)&lt;&gt;"=IF",1,"")</f>
        <v/>
      </c>
      <c r="DS202" s="3048">
        <f t="shared" si="72"/>
        <v>0</v>
      </c>
      <c r="DT202" s="3047" t="str">
        <f t="shared" si="73"/>
        <v/>
      </c>
      <c r="DU202" s="3047" t="str">
        <f>IFERROR(IF(G202="","",SUMIF('Lighting Assumptions'!$G$3:$G$112,'6a - Lighting Counts'!G202,'Lighting Assumptions'!$H$3:$H$112)*IF(SI_IP_Units="SI",10.76,1)),"")</f>
        <v/>
      </c>
      <c r="DV202" s="3047" t="str">
        <f>IFERROR(IF($CX202="","",IF(SI_IP_Units="SI",10.76,1)*SUMIF(BAMCategories,$CY202,'Lighting Assumptions'!$E$3:E$35)),"")</f>
        <v/>
      </c>
      <c r="DW202" s="3047" t="str">
        <f>IFERROR(IF($CX202="","",IF(SI_IP_Units="SI",10.76,1)*SUMIF(BAMCategories,$CY202,IF(bpf_reference="ACP",'Lighting Assumptions 90.1-2010'!$E$3:E$35,'Lighting Assumptions 90.1-2016'!$E$3:E$35))),"")</f>
        <v/>
      </c>
      <c r="EW202" s="855"/>
      <c r="EX202" s="855"/>
      <c r="EY202" s="855"/>
      <c r="EZ202" s="855"/>
    </row>
    <row r="203" spans="4:156" x14ac:dyDescent="0.25">
      <c r="D203" s="3019"/>
      <c r="E203" s="3020"/>
      <c r="F203" s="3021">
        <f t="shared" si="60"/>
        <v>0</v>
      </c>
      <c r="G203" s="3059"/>
      <c r="H203" s="3060"/>
      <c r="I203" s="3061"/>
      <c r="J203" s="3061"/>
      <c r="K203" s="3061"/>
      <c r="L203" s="3061"/>
      <c r="M203" s="3061"/>
      <c r="N203" s="3061"/>
      <c r="O203" s="3061"/>
      <c r="P203" s="3061"/>
      <c r="Q203" s="3061"/>
      <c r="R203" s="3061"/>
      <c r="S203" s="3061"/>
      <c r="T203" s="3061"/>
      <c r="U203" s="3061"/>
      <c r="V203" s="3061"/>
      <c r="W203" s="3061"/>
      <c r="X203" s="3061"/>
      <c r="Y203" s="3061"/>
      <c r="Z203" s="3061"/>
      <c r="AA203" s="3061"/>
      <c r="AB203" s="3061"/>
      <c r="AC203" s="3061"/>
      <c r="AD203" s="3061"/>
      <c r="AE203" s="3061"/>
      <c r="AF203" s="3061"/>
      <c r="AG203" s="3061"/>
      <c r="AH203" s="3061"/>
      <c r="AI203" s="3061"/>
      <c r="AJ203" s="3061"/>
      <c r="AK203" s="3061"/>
      <c r="AL203" s="3061"/>
      <c r="AM203" s="3061"/>
      <c r="AN203" s="3061"/>
      <c r="AO203" s="3061"/>
      <c r="AP203" s="3061"/>
      <c r="AQ203" s="3061"/>
      <c r="AR203" s="3061"/>
      <c r="AS203" s="3061"/>
      <c r="AT203" s="3061"/>
      <c r="AU203" s="3061"/>
      <c r="AV203" s="3061"/>
      <c r="AW203" s="3061"/>
      <c r="AX203" s="3061"/>
      <c r="AY203" s="3061"/>
      <c r="AZ203" s="3061"/>
      <c r="BA203" s="3061"/>
      <c r="BB203" s="3061"/>
      <c r="BC203" s="3061"/>
      <c r="BD203" s="3061"/>
      <c r="BE203" s="3061"/>
      <c r="BF203" s="3061"/>
      <c r="BG203" s="3061"/>
      <c r="BH203" s="3061"/>
      <c r="BI203" s="3061"/>
      <c r="BJ203" s="3061"/>
      <c r="BK203" s="3061"/>
      <c r="BL203" s="3061"/>
      <c r="BM203" s="3061"/>
      <c r="BN203" s="3061"/>
      <c r="BO203" s="3061"/>
      <c r="BP203" s="3061"/>
      <c r="BQ203" s="3061"/>
      <c r="BR203" s="3061"/>
      <c r="BS203" s="3061"/>
      <c r="BT203" s="3061"/>
      <c r="BU203" s="3061"/>
      <c r="BV203" s="3061"/>
      <c r="BW203" s="3061"/>
      <c r="BX203" s="3061"/>
      <c r="BY203" s="3061"/>
      <c r="BZ203" s="3061"/>
      <c r="CA203" s="3061"/>
      <c r="CB203" s="3061"/>
      <c r="CC203" s="3061"/>
      <c r="CD203" s="3061"/>
      <c r="CE203" s="3061"/>
      <c r="CF203" s="3061"/>
      <c r="CG203" s="3061"/>
      <c r="CH203" s="3061"/>
      <c r="CI203" s="3061"/>
      <c r="CJ203" s="3061"/>
      <c r="CK203" s="3061"/>
      <c r="CL203" s="3061"/>
      <c r="CM203" s="3061"/>
      <c r="CN203" s="3061"/>
      <c r="CO203" s="3061"/>
      <c r="CP203" s="3061"/>
      <c r="CQ203" s="3061"/>
      <c r="CR203" s="3061"/>
      <c r="CS203" s="3062"/>
      <c r="CT203" s="3063"/>
      <c r="CU203" s="3064">
        <f t="shared" si="64"/>
        <v>1</v>
      </c>
      <c r="CV203" s="3022" t="str">
        <f>IF(OR(CT203="",CT203="None"),"-",DO203*CU203*SUMIF('Lighting Assumptions'!$G$3:$G$112,'6a - Lighting Counts'!G203,'Lighting Assumptions'!$J$3:$J$112))</f>
        <v>-</v>
      </c>
      <c r="CW203" s="3021"/>
      <c r="CX203" s="3021"/>
      <c r="CY203" s="3046"/>
      <c r="CZ203" s="2098">
        <f t="shared" si="65"/>
        <v>0</v>
      </c>
      <c r="DA203" s="2098" t="str">
        <f t="shared" si="66"/>
        <v>-</v>
      </c>
      <c r="DB203" s="2098">
        <f t="shared" si="67"/>
        <v>0</v>
      </c>
      <c r="DC203" s="3023" t="str">
        <f t="shared" si="68"/>
        <v>-</v>
      </c>
      <c r="DD203" s="3024" t="str">
        <f t="shared" si="69"/>
        <v/>
      </c>
      <c r="DE203" s="3025" t="str">
        <f t="shared" si="70"/>
        <v>-</v>
      </c>
      <c r="DF203" s="3024" t="str">
        <f t="shared" si="61"/>
        <v>-</v>
      </c>
      <c r="DG203" s="2098">
        <f t="shared" si="71"/>
        <v>0</v>
      </c>
      <c r="DH203" s="2098">
        <f t="array" ref="DH203">MIN(SUMPRODUCT(I203:CR203,IF($I$25:$CR$25="yes",1,0),$I$23:$CR$23),H203)</f>
        <v>0</v>
      </c>
      <c r="DI203" s="3026"/>
      <c r="DJ203" s="3021"/>
      <c r="DN203" s="917" t="str">
        <f>IF(CS203="","-",SUMIF('Lighting Assumptions'!$G$3:$G$112,'6a - Lighting Counts'!G203,'Lighting Assumptions'!$J$3:$J$112))</f>
        <v>-</v>
      </c>
      <c r="DO203" s="917" t="str">
        <f t="shared" si="62"/>
        <v>-</v>
      </c>
      <c r="DP203" s="917" t="str">
        <f t="shared" si="63"/>
        <v>-</v>
      </c>
      <c r="DQ203" s="917" t="str">
        <f>IF(LEFT(CELLformula(DF203),3)&lt;&gt;"=IF",1,"")</f>
        <v/>
      </c>
      <c r="DR203" s="917" t="str">
        <f>IF(LEFT(CELLformula(DD203),3)&lt;&gt;"=IF",1,"")</f>
        <v/>
      </c>
      <c r="DS203" s="3048">
        <f t="shared" si="72"/>
        <v>0</v>
      </c>
      <c r="DT203" s="3047" t="str">
        <f t="shared" si="73"/>
        <v/>
      </c>
      <c r="DU203" s="3047" t="str">
        <f>IFERROR(IF(G203="","",SUMIF('Lighting Assumptions'!$G$3:$G$112,'6a - Lighting Counts'!G203,'Lighting Assumptions'!$H$3:$H$112)*IF(SI_IP_Units="SI",10.76,1)),"")</f>
        <v/>
      </c>
      <c r="DV203" s="3047" t="str">
        <f>IFERROR(IF($CX203="","",IF(SI_IP_Units="SI",10.76,1)*SUMIF(BAMCategories,$CY203,'Lighting Assumptions'!$E$3:E$35)),"")</f>
        <v/>
      </c>
      <c r="DW203" s="3047" t="str">
        <f>IFERROR(IF($CX203="","",IF(SI_IP_Units="SI",10.76,1)*SUMIF(BAMCategories,$CY203,IF(bpf_reference="ACP",'Lighting Assumptions 90.1-2010'!$E$3:E$35,'Lighting Assumptions 90.1-2016'!$E$3:E$35))),"")</f>
        <v/>
      </c>
      <c r="EW203" s="855"/>
      <c r="EX203" s="855"/>
      <c r="EY203" s="855"/>
      <c r="EZ203" s="855"/>
    </row>
    <row r="204" spans="4:156" x14ac:dyDescent="0.25">
      <c r="D204" s="3019"/>
      <c r="E204" s="3020"/>
      <c r="F204" s="3021">
        <f t="shared" si="60"/>
        <v>0</v>
      </c>
      <c r="G204" s="3059"/>
      <c r="H204" s="3060"/>
      <c r="I204" s="3061"/>
      <c r="J204" s="3061"/>
      <c r="K204" s="3061"/>
      <c r="L204" s="3061"/>
      <c r="M204" s="3061"/>
      <c r="N204" s="3061"/>
      <c r="O204" s="3061"/>
      <c r="P204" s="3061"/>
      <c r="Q204" s="3061"/>
      <c r="R204" s="3061"/>
      <c r="S204" s="3061"/>
      <c r="T204" s="3061"/>
      <c r="U204" s="3061"/>
      <c r="V204" s="3061"/>
      <c r="W204" s="3061"/>
      <c r="X204" s="3061"/>
      <c r="Y204" s="3061"/>
      <c r="Z204" s="3061"/>
      <c r="AA204" s="3061"/>
      <c r="AB204" s="3061"/>
      <c r="AC204" s="3061"/>
      <c r="AD204" s="3061"/>
      <c r="AE204" s="3061"/>
      <c r="AF204" s="3061"/>
      <c r="AG204" s="3061"/>
      <c r="AH204" s="3061"/>
      <c r="AI204" s="3061"/>
      <c r="AJ204" s="3061"/>
      <c r="AK204" s="3061"/>
      <c r="AL204" s="3061"/>
      <c r="AM204" s="3061"/>
      <c r="AN204" s="3061"/>
      <c r="AO204" s="3061"/>
      <c r="AP204" s="3061"/>
      <c r="AQ204" s="3061"/>
      <c r="AR204" s="3061"/>
      <c r="AS204" s="3061"/>
      <c r="AT204" s="3061"/>
      <c r="AU204" s="3061"/>
      <c r="AV204" s="3061"/>
      <c r="AW204" s="3061"/>
      <c r="AX204" s="3061"/>
      <c r="AY204" s="3061"/>
      <c r="AZ204" s="3061"/>
      <c r="BA204" s="3061"/>
      <c r="BB204" s="3061"/>
      <c r="BC204" s="3061"/>
      <c r="BD204" s="3061"/>
      <c r="BE204" s="3061"/>
      <c r="BF204" s="3061"/>
      <c r="BG204" s="3061"/>
      <c r="BH204" s="3061"/>
      <c r="BI204" s="3061"/>
      <c r="BJ204" s="3061"/>
      <c r="BK204" s="3061"/>
      <c r="BL204" s="3061"/>
      <c r="BM204" s="3061"/>
      <c r="BN204" s="3061"/>
      <c r="BO204" s="3061"/>
      <c r="BP204" s="3061"/>
      <c r="BQ204" s="3061"/>
      <c r="BR204" s="3061"/>
      <c r="BS204" s="3061"/>
      <c r="BT204" s="3061"/>
      <c r="BU204" s="3061"/>
      <c r="BV204" s="3061"/>
      <c r="BW204" s="3061"/>
      <c r="BX204" s="3061"/>
      <c r="BY204" s="3061"/>
      <c r="BZ204" s="3061"/>
      <c r="CA204" s="3061"/>
      <c r="CB204" s="3061"/>
      <c r="CC204" s="3061"/>
      <c r="CD204" s="3061"/>
      <c r="CE204" s="3061"/>
      <c r="CF204" s="3061"/>
      <c r="CG204" s="3061"/>
      <c r="CH204" s="3061"/>
      <c r="CI204" s="3061"/>
      <c r="CJ204" s="3061"/>
      <c r="CK204" s="3061"/>
      <c r="CL204" s="3061"/>
      <c r="CM204" s="3061"/>
      <c r="CN204" s="3061"/>
      <c r="CO204" s="3061"/>
      <c r="CP204" s="3061"/>
      <c r="CQ204" s="3061"/>
      <c r="CR204" s="3061"/>
      <c r="CS204" s="3062"/>
      <c r="CT204" s="3063"/>
      <c r="CU204" s="3064">
        <f t="shared" si="64"/>
        <v>1</v>
      </c>
      <c r="CV204" s="3022" t="str">
        <f>IF(OR(CT204="",CT204="None"),"-",DO204*CU204*SUMIF('Lighting Assumptions'!$G$3:$G$112,'6a - Lighting Counts'!G204,'Lighting Assumptions'!$J$3:$J$112))</f>
        <v>-</v>
      </c>
      <c r="CW204" s="3021"/>
      <c r="CX204" s="3021"/>
      <c r="CY204" s="3046"/>
      <c r="CZ204" s="2098">
        <f t="shared" si="65"/>
        <v>0</v>
      </c>
      <c r="DA204" s="2098" t="str">
        <f t="shared" si="66"/>
        <v>-</v>
      </c>
      <c r="DB204" s="2098">
        <f t="shared" si="67"/>
        <v>0</v>
      </c>
      <c r="DC204" s="3023" t="str">
        <f t="shared" si="68"/>
        <v>-</v>
      </c>
      <c r="DD204" s="3024" t="str">
        <f t="shared" si="69"/>
        <v/>
      </c>
      <c r="DE204" s="3025" t="str">
        <f t="shared" si="70"/>
        <v>-</v>
      </c>
      <c r="DF204" s="3024" t="str">
        <f t="shared" si="61"/>
        <v>-</v>
      </c>
      <c r="DG204" s="2098">
        <f t="shared" si="71"/>
        <v>0</v>
      </c>
      <c r="DH204" s="2098">
        <f t="array" ref="DH204">MIN(SUMPRODUCT(I204:CR204,IF($I$25:$CR$25="yes",1,0),$I$23:$CR$23),H204)</f>
        <v>0</v>
      </c>
      <c r="DI204" s="3026"/>
      <c r="DJ204" s="3021"/>
      <c r="DN204" s="917" t="str">
        <f>IF(CS204="","-",SUMIF('Lighting Assumptions'!$G$3:$G$112,'6a - Lighting Counts'!G204,'Lighting Assumptions'!$J$3:$J$112))</f>
        <v>-</v>
      </c>
      <c r="DO204" s="917" t="str">
        <f t="shared" si="62"/>
        <v>-</v>
      </c>
      <c r="DP204" s="917" t="str">
        <f t="shared" si="63"/>
        <v>-</v>
      </c>
      <c r="DQ204" s="917" t="str">
        <f>IF(LEFT(CELLformula(DF204),3)&lt;&gt;"=IF",1,"")</f>
        <v/>
      </c>
      <c r="DR204" s="917" t="str">
        <f>IF(LEFT(CELLformula(DD204),3)&lt;&gt;"=IF",1,"")</f>
        <v/>
      </c>
      <c r="DS204" s="3048">
        <f t="shared" si="72"/>
        <v>0</v>
      </c>
      <c r="DT204" s="3047" t="str">
        <f t="shared" si="73"/>
        <v/>
      </c>
      <c r="DU204" s="3047" t="str">
        <f>IFERROR(IF(G204="","",SUMIF('Lighting Assumptions'!$G$3:$G$112,'6a - Lighting Counts'!G204,'Lighting Assumptions'!$H$3:$H$112)*IF(SI_IP_Units="SI",10.76,1)),"")</f>
        <v/>
      </c>
      <c r="DV204" s="3047" t="str">
        <f>IFERROR(IF($CX204="","",IF(SI_IP_Units="SI",10.76,1)*SUMIF(BAMCategories,$CY204,'Lighting Assumptions'!$E$3:E$35)),"")</f>
        <v/>
      </c>
      <c r="DW204" s="3047" t="str">
        <f>IFERROR(IF($CX204="","",IF(SI_IP_Units="SI",10.76,1)*SUMIF(BAMCategories,$CY204,IF(bpf_reference="ACP",'Lighting Assumptions 90.1-2010'!$E$3:E$35,'Lighting Assumptions 90.1-2016'!$E$3:E$35))),"")</f>
        <v/>
      </c>
      <c r="EW204" s="855"/>
      <c r="EX204" s="855"/>
      <c r="EY204" s="855"/>
      <c r="EZ204" s="855"/>
    </row>
    <row r="205" spans="4:156" x14ac:dyDescent="0.25">
      <c r="D205" s="3019"/>
      <c r="E205" s="3020"/>
      <c r="F205" s="3021">
        <f t="shared" si="60"/>
        <v>0</v>
      </c>
      <c r="G205" s="3059"/>
      <c r="H205" s="3060"/>
      <c r="I205" s="3061"/>
      <c r="J205" s="3061"/>
      <c r="K205" s="3061"/>
      <c r="L205" s="3061"/>
      <c r="M205" s="3061"/>
      <c r="N205" s="3061"/>
      <c r="O205" s="3061"/>
      <c r="P205" s="3061"/>
      <c r="Q205" s="3061"/>
      <c r="R205" s="3061"/>
      <c r="S205" s="3061"/>
      <c r="T205" s="3061"/>
      <c r="U205" s="3061"/>
      <c r="V205" s="3061"/>
      <c r="W205" s="3061"/>
      <c r="X205" s="3061"/>
      <c r="Y205" s="3061"/>
      <c r="Z205" s="3061"/>
      <c r="AA205" s="3061"/>
      <c r="AB205" s="3061"/>
      <c r="AC205" s="3061"/>
      <c r="AD205" s="3061"/>
      <c r="AE205" s="3061"/>
      <c r="AF205" s="3061"/>
      <c r="AG205" s="3061"/>
      <c r="AH205" s="3061"/>
      <c r="AI205" s="3061"/>
      <c r="AJ205" s="3061"/>
      <c r="AK205" s="3061"/>
      <c r="AL205" s="3061"/>
      <c r="AM205" s="3061"/>
      <c r="AN205" s="3061"/>
      <c r="AO205" s="3061"/>
      <c r="AP205" s="3061"/>
      <c r="AQ205" s="3061"/>
      <c r="AR205" s="3061"/>
      <c r="AS205" s="3061"/>
      <c r="AT205" s="3061"/>
      <c r="AU205" s="3061"/>
      <c r="AV205" s="3061"/>
      <c r="AW205" s="3061"/>
      <c r="AX205" s="3061"/>
      <c r="AY205" s="3061"/>
      <c r="AZ205" s="3061"/>
      <c r="BA205" s="3061"/>
      <c r="BB205" s="3061"/>
      <c r="BC205" s="3061"/>
      <c r="BD205" s="3061"/>
      <c r="BE205" s="3061"/>
      <c r="BF205" s="3061"/>
      <c r="BG205" s="3061"/>
      <c r="BH205" s="3061"/>
      <c r="BI205" s="3061"/>
      <c r="BJ205" s="3061"/>
      <c r="BK205" s="3061"/>
      <c r="BL205" s="3061"/>
      <c r="BM205" s="3061"/>
      <c r="BN205" s="3061"/>
      <c r="BO205" s="3061"/>
      <c r="BP205" s="3061"/>
      <c r="BQ205" s="3061"/>
      <c r="BR205" s="3061"/>
      <c r="BS205" s="3061"/>
      <c r="BT205" s="3061"/>
      <c r="BU205" s="3061"/>
      <c r="BV205" s="3061"/>
      <c r="BW205" s="3061"/>
      <c r="BX205" s="3061"/>
      <c r="BY205" s="3061"/>
      <c r="BZ205" s="3061"/>
      <c r="CA205" s="3061"/>
      <c r="CB205" s="3061"/>
      <c r="CC205" s="3061"/>
      <c r="CD205" s="3061"/>
      <c r="CE205" s="3061"/>
      <c r="CF205" s="3061"/>
      <c r="CG205" s="3061"/>
      <c r="CH205" s="3061"/>
      <c r="CI205" s="3061"/>
      <c r="CJ205" s="3061"/>
      <c r="CK205" s="3061"/>
      <c r="CL205" s="3061"/>
      <c r="CM205" s="3061"/>
      <c r="CN205" s="3061"/>
      <c r="CO205" s="3061"/>
      <c r="CP205" s="3061"/>
      <c r="CQ205" s="3061"/>
      <c r="CR205" s="3061"/>
      <c r="CS205" s="3062"/>
      <c r="CT205" s="3063"/>
      <c r="CU205" s="3064">
        <f t="shared" si="64"/>
        <v>1</v>
      </c>
      <c r="CV205" s="3022" t="str">
        <f>IF(OR(CT205="",CT205="None"),"-",DO205*CU205*SUMIF('Lighting Assumptions'!$G$3:$G$112,'6a - Lighting Counts'!G205,'Lighting Assumptions'!$J$3:$J$112))</f>
        <v>-</v>
      </c>
      <c r="CW205" s="3021"/>
      <c r="CX205" s="3021"/>
      <c r="CY205" s="3046"/>
      <c r="CZ205" s="2098">
        <f t="shared" si="65"/>
        <v>0</v>
      </c>
      <c r="DA205" s="2098" t="str">
        <f t="shared" si="66"/>
        <v>-</v>
      </c>
      <c r="DB205" s="2098">
        <f t="shared" si="67"/>
        <v>0</v>
      </c>
      <c r="DC205" s="3023" t="str">
        <f t="shared" si="68"/>
        <v>-</v>
      </c>
      <c r="DD205" s="3024" t="str">
        <f t="shared" si="69"/>
        <v/>
      </c>
      <c r="DE205" s="3025" t="str">
        <f t="shared" si="70"/>
        <v>-</v>
      </c>
      <c r="DF205" s="3024" t="str">
        <f t="shared" si="61"/>
        <v>-</v>
      </c>
      <c r="DG205" s="2098">
        <f t="shared" si="71"/>
        <v>0</v>
      </c>
      <c r="DH205" s="2098">
        <f t="array" ref="DH205">MIN(SUMPRODUCT(I205:CR205,IF($I$25:$CR$25="yes",1,0),$I$23:$CR$23),H205)</f>
        <v>0</v>
      </c>
      <c r="DI205" s="3026"/>
      <c r="DJ205" s="3021"/>
      <c r="DN205" s="917" t="str">
        <f>IF(CS205="","-",SUMIF('Lighting Assumptions'!$G$3:$G$112,'6a - Lighting Counts'!G205,'Lighting Assumptions'!$J$3:$J$112))</f>
        <v>-</v>
      </c>
      <c r="DO205" s="917" t="str">
        <f t="shared" si="62"/>
        <v>-</v>
      </c>
      <c r="DP205" s="917" t="str">
        <f t="shared" si="63"/>
        <v>-</v>
      </c>
      <c r="DQ205" s="917" t="str">
        <f>IF(LEFT(CELLformula(DF205),3)&lt;&gt;"=IF",1,"")</f>
        <v/>
      </c>
      <c r="DR205" s="917" t="str">
        <f>IF(LEFT(CELLformula(DD205),3)&lt;&gt;"=IF",1,"")</f>
        <v/>
      </c>
      <c r="DS205" s="3048">
        <f t="shared" si="72"/>
        <v>0</v>
      </c>
      <c r="DT205" s="3047" t="str">
        <f t="shared" si="73"/>
        <v/>
      </c>
      <c r="DU205" s="3047" t="str">
        <f>IFERROR(IF(G205="","",SUMIF('Lighting Assumptions'!$G$3:$G$112,'6a - Lighting Counts'!G205,'Lighting Assumptions'!$H$3:$H$112)*IF(SI_IP_Units="SI",10.76,1)),"")</f>
        <v/>
      </c>
      <c r="DV205" s="3047" t="str">
        <f>IFERROR(IF($CX205="","",IF(SI_IP_Units="SI",10.76,1)*SUMIF(BAMCategories,$CY205,'Lighting Assumptions'!$E$3:E$35)),"")</f>
        <v/>
      </c>
      <c r="DW205" s="3047" t="str">
        <f>IFERROR(IF($CX205="","",IF(SI_IP_Units="SI",10.76,1)*SUMIF(BAMCategories,$CY205,IF(bpf_reference="ACP",'Lighting Assumptions 90.1-2010'!$E$3:E$35,'Lighting Assumptions 90.1-2016'!$E$3:E$35))),"")</f>
        <v/>
      </c>
      <c r="EW205" s="855"/>
      <c r="EX205" s="855"/>
      <c r="EY205" s="855"/>
      <c r="EZ205" s="855"/>
    </row>
    <row r="206" spans="4:156" x14ac:dyDescent="0.25">
      <c r="D206" s="3019"/>
      <c r="E206" s="3020"/>
      <c r="F206" s="3021">
        <f t="shared" si="60"/>
        <v>0</v>
      </c>
      <c r="G206" s="3059"/>
      <c r="H206" s="3060"/>
      <c r="I206" s="3061"/>
      <c r="J206" s="3061"/>
      <c r="K206" s="3061"/>
      <c r="L206" s="3061"/>
      <c r="M206" s="3061"/>
      <c r="N206" s="3061"/>
      <c r="O206" s="3061"/>
      <c r="P206" s="3061"/>
      <c r="Q206" s="3061"/>
      <c r="R206" s="3061"/>
      <c r="S206" s="3061"/>
      <c r="T206" s="3061"/>
      <c r="U206" s="3061"/>
      <c r="V206" s="3061"/>
      <c r="W206" s="3061"/>
      <c r="X206" s="3061"/>
      <c r="Y206" s="3061"/>
      <c r="Z206" s="3061"/>
      <c r="AA206" s="3061"/>
      <c r="AB206" s="3061"/>
      <c r="AC206" s="3061"/>
      <c r="AD206" s="3061"/>
      <c r="AE206" s="3061"/>
      <c r="AF206" s="3061"/>
      <c r="AG206" s="3061"/>
      <c r="AH206" s="3061"/>
      <c r="AI206" s="3061"/>
      <c r="AJ206" s="3061"/>
      <c r="AK206" s="3061"/>
      <c r="AL206" s="3061"/>
      <c r="AM206" s="3061"/>
      <c r="AN206" s="3061"/>
      <c r="AO206" s="3061"/>
      <c r="AP206" s="3061"/>
      <c r="AQ206" s="3061"/>
      <c r="AR206" s="3061"/>
      <c r="AS206" s="3061"/>
      <c r="AT206" s="3061"/>
      <c r="AU206" s="3061"/>
      <c r="AV206" s="3061"/>
      <c r="AW206" s="3061"/>
      <c r="AX206" s="3061"/>
      <c r="AY206" s="3061"/>
      <c r="AZ206" s="3061"/>
      <c r="BA206" s="3061"/>
      <c r="BB206" s="3061"/>
      <c r="BC206" s="3061"/>
      <c r="BD206" s="3061"/>
      <c r="BE206" s="3061"/>
      <c r="BF206" s="3061"/>
      <c r="BG206" s="3061"/>
      <c r="BH206" s="3061"/>
      <c r="BI206" s="3061"/>
      <c r="BJ206" s="3061"/>
      <c r="BK206" s="3061"/>
      <c r="BL206" s="3061"/>
      <c r="BM206" s="3061"/>
      <c r="BN206" s="3061"/>
      <c r="BO206" s="3061"/>
      <c r="BP206" s="3061"/>
      <c r="BQ206" s="3061"/>
      <c r="BR206" s="3061"/>
      <c r="BS206" s="3061"/>
      <c r="BT206" s="3061"/>
      <c r="BU206" s="3061"/>
      <c r="BV206" s="3061"/>
      <c r="BW206" s="3061"/>
      <c r="BX206" s="3061"/>
      <c r="BY206" s="3061"/>
      <c r="BZ206" s="3061"/>
      <c r="CA206" s="3061"/>
      <c r="CB206" s="3061"/>
      <c r="CC206" s="3061"/>
      <c r="CD206" s="3061"/>
      <c r="CE206" s="3061"/>
      <c r="CF206" s="3061"/>
      <c r="CG206" s="3061"/>
      <c r="CH206" s="3061"/>
      <c r="CI206" s="3061"/>
      <c r="CJ206" s="3061"/>
      <c r="CK206" s="3061"/>
      <c r="CL206" s="3061"/>
      <c r="CM206" s="3061"/>
      <c r="CN206" s="3061"/>
      <c r="CO206" s="3061"/>
      <c r="CP206" s="3061"/>
      <c r="CQ206" s="3061"/>
      <c r="CR206" s="3061"/>
      <c r="CS206" s="3062"/>
      <c r="CT206" s="3063"/>
      <c r="CU206" s="3064">
        <f t="shared" si="64"/>
        <v>1</v>
      </c>
      <c r="CV206" s="3022" t="str">
        <f>IF(OR(CT206="",CT206="None"),"-",DO206*CU206*SUMIF('Lighting Assumptions'!$G$3:$G$112,'6a - Lighting Counts'!G206,'Lighting Assumptions'!$J$3:$J$112))</f>
        <v>-</v>
      </c>
      <c r="CW206" s="3021"/>
      <c r="CX206" s="3021"/>
      <c r="CY206" s="3046"/>
      <c r="CZ206" s="2098">
        <f t="shared" si="65"/>
        <v>0</v>
      </c>
      <c r="DA206" s="2098" t="str">
        <f t="shared" si="66"/>
        <v>-</v>
      </c>
      <c r="DB206" s="2098">
        <f t="shared" si="67"/>
        <v>0</v>
      </c>
      <c r="DC206" s="3023" t="str">
        <f t="shared" si="68"/>
        <v>-</v>
      </c>
      <c r="DD206" s="3024" t="str">
        <f t="shared" si="69"/>
        <v/>
      </c>
      <c r="DE206" s="3025" t="str">
        <f t="shared" si="70"/>
        <v>-</v>
      </c>
      <c r="DF206" s="3024" t="str">
        <f t="shared" si="61"/>
        <v>-</v>
      </c>
      <c r="DG206" s="2098">
        <f t="shared" si="71"/>
        <v>0</v>
      </c>
      <c r="DH206" s="2098">
        <f t="array" ref="DH206">MIN(SUMPRODUCT(I206:CR206,IF($I$25:$CR$25="yes",1,0),$I$23:$CR$23),H206)</f>
        <v>0</v>
      </c>
      <c r="DI206" s="3026"/>
      <c r="DJ206" s="3021"/>
      <c r="DN206" s="917" t="str">
        <f>IF(CS206="","-",SUMIF('Lighting Assumptions'!$G$3:$G$112,'6a - Lighting Counts'!G206,'Lighting Assumptions'!$J$3:$J$112))</f>
        <v>-</v>
      </c>
      <c r="DO206" s="917" t="str">
        <f t="shared" si="62"/>
        <v>-</v>
      </c>
      <c r="DP206" s="917" t="str">
        <f t="shared" si="63"/>
        <v>-</v>
      </c>
      <c r="DQ206" s="917" t="str">
        <f>IF(LEFT(CELLformula(DF206),3)&lt;&gt;"=IF",1,"")</f>
        <v/>
      </c>
      <c r="DR206" s="917" t="str">
        <f>IF(LEFT(CELLformula(DD206),3)&lt;&gt;"=IF",1,"")</f>
        <v/>
      </c>
      <c r="DS206" s="3048">
        <f t="shared" si="72"/>
        <v>0</v>
      </c>
      <c r="DT206" s="3047" t="str">
        <f t="shared" si="73"/>
        <v/>
      </c>
      <c r="DU206" s="3047" t="str">
        <f>IFERROR(IF(G206="","",SUMIF('Lighting Assumptions'!$G$3:$G$112,'6a - Lighting Counts'!G206,'Lighting Assumptions'!$H$3:$H$112)*IF(SI_IP_Units="SI",10.76,1)),"")</f>
        <v/>
      </c>
      <c r="DV206" s="3047" t="str">
        <f>IFERROR(IF($CX206="","",IF(SI_IP_Units="SI",10.76,1)*SUMIF(BAMCategories,$CY206,'Lighting Assumptions'!$E$3:E$35)),"")</f>
        <v/>
      </c>
      <c r="DW206" s="3047" t="str">
        <f>IFERROR(IF($CX206="","",IF(SI_IP_Units="SI",10.76,1)*SUMIF(BAMCategories,$CY206,IF(bpf_reference="ACP",'Lighting Assumptions 90.1-2010'!$E$3:E$35,'Lighting Assumptions 90.1-2016'!$E$3:E$35))),"")</f>
        <v/>
      </c>
      <c r="EW206" s="855"/>
      <c r="EX206" s="855"/>
      <c r="EY206" s="855"/>
      <c r="EZ206" s="855"/>
    </row>
    <row r="207" spans="4:156" x14ac:dyDescent="0.25">
      <c r="D207" s="3019"/>
      <c r="E207" s="3020"/>
      <c r="F207" s="3021">
        <f t="shared" si="60"/>
        <v>0</v>
      </c>
      <c r="G207" s="3059"/>
      <c r="H207" s="3060"/>
      <c r="I207" s="3061"/>
      <c r="J207" s="3061"/>
      <c r="K207" s="3061"/>
      <c r="L207" s="3061"/>
      <c r="M207" s="3061"/>
      <c r="N207" s="3061"/>
      <c r="O207" s="3061"/>
      <c r="P207" s="3061"/>
      <c r="Q207" s="3061"/>
      <c r="R207" s="3061"/>
      <c r="S207" s="3061"/>
      <c r="T207" s="3061"/>
      <c r="U207" s="3061"/>
      <c r="V207" s="3061"/>
      <c r="W207" s="3061"/>
      <c r="X207" s="3061"/>
      <c r="Y207" s="3061"/>
      <c r="Z207" s="3061"/>
      <c r="AA207" s="3061"/>
      <c r="AB207" s="3061"/>
      <c r="AC207" s="3061"/>
      <c r="AD207" s="3061"/>
      <c r="AE207" s="3061"/>
      <c r="AF207" s="3061"/>
      <c r="AG207" s="3061"/>
      <c r="AH207" s="3061"/>
      <c r="AI207" s="3061"/>
      <c r="AJ207" s="3061"/>
      <c r="AK207" s="3061"/>
      <c r="AL207" s="3061"/>
      <c r="AM207" s="3061"/>
      <c r="AN207" s="3061"/>
      <c r="AO207" s="3061"/>
      <c r="AP207" s="3061"/>
      <c r="AQ207" s="3061"/>
      <c r="AR207" s="3061"/>
      <c r="AS207" s="3061"/>
      <c r="AT207" s="3061"/>
      <c r="AU207" s="3061"/>
      <c r="AV207" s="3061"/>
      <c r="AW207" s="3061"/>
      <c r="AX207" s="3061"/>
      <c r="AY207" s="3061"/>
      <c r="AZ207" s="3061"/>
      <c r="BA207" s="3061"/>
      <c r="BB207" s="3061"/>
      <c r="BC207" s="3061"/>
      <c r="BD207" s="3061"/>
      <c r="BE207" s="3061"/>
      <c r="BF207" s="3061"/>
      <c r="BG207" s="3061"/>
      <c r="BH207" s="3061"/>
      <c r="BI207" s="3061"/>
      <c r="BJ207" s="3061"/>
      <c r="BK207" s="3061"/>
      <c r="BL207" s="3061"/>
      <c r="BM207" s="3061"/>
      <c r="BN207" s="3061"/>
      <c r="BO207" s="3061"/>
      <c r="BP207" s="3061"/>
      <c r="BQ207" s="3061"/>
      <c r="BR207" s="3061"/>
      <c r="BS207" s="3061"/>
      <c r="BT207" s="3061"/>
      <c r="BU207" s="3061"/>
      <c r="BV207" s="3061"/>
      <c r="BW207" s="3061"/>
      <c r="BX207" s="3061"/>
      <c r="BY207" s="3061"/>
      <c r="BZ207" s="3061"/>
      <c r="CA207" s="3061"/>
      <c r="CB207" s="3061"/>
      <c r="CC207" s="3061"/>
      <c r="CD207" s="3061"/>
      <c r="CE207" s="3061"/>
      <c r="CF207" s="3061"/>
      <c r="CG207" s="3061"/>
      <c r="CH207" s="3061"/>
      <c r="CI207" s="3061"/>
      <c r="CJ207" s="3061"/>
      <c r="CK207" s="3061"/>
      <c r="CL207" s="3061"/>
      <c r="CM207" s="3061"/>
      <c r="CN207" s="3061"/>
      <c r="CO207" s="3061"/>
      <c r="CP207" s="3061"/>
      <c r="CQ207" s="3061"/>
      <c r="CR207" s="3061"/>
      <c r="CS207" s="3062"/>
      <c r="CT207" s="3063"/>
      <c r="CU207" s="3064">
        <f t="shared" si="64"/>
        <v>1</v>
      </c>
      <c r="CV207" s="3022" t="str">
        <f>IF(OR(CT207="",CT207="None"),"-",DO207*CU207*SUMIF('Lighting Assumptions'!$G$3:$G$112,'6a - Lighting Counts'!G207,'Lighting Assumptions'!$J$3:$J$112))</f>
        <v>-</v>
      </c>
      <c r="CW207" s="3021"/>
      <c r="CX207" s="3021"/>
      <c r="CY207" s="3046"/>
      <c r="CZ207" s="2098">
        <f t="shared" si="65"/>
        <v>0</v>
      </c>
      <c r="DA207" s="2098" t="str">
        <f t="shared" si="66"/>
        <v>-</v>
      </c>
      <c r="DB207" s="2098">
        <f t="shared" si="67"/>
        <v>0</v>
      </c>
      <c r="DC207" s="3023" t="str">
        <f t="shared" si="68"/>
        <v>-</v>
      </c>
      <c r="DD207" s="3024" t="str">
        <f t="shared" si="69"/>
        <v/>
      </c>
      <c r="DE207" s="3025" t="str">
        <f t="shared" si="70"/>
        <v>-</v>
      </c>
      <c r="DF207" s="3024" t="str">
        <f t="shared" si="61"/>
        <v>-</v>
      </c>
      <c r="DG207" s="2098">
        <f t="shared" si="71"/>
        <v>0</v>
      </c>
      <c r="DH207" s="2098">
        <f t="array" ref="DH207">MIN(SUMPRODUCT(I207:CR207,IF($I$25:$CR$25="yes",1,0),$I$23:$CR$23),H207)</f>
        <v>0</v>
      </c>
      <c r="DI207" s="3026"/>
      <c r="DJ207" s="3021"/>
      <c r="DN207" s="917" t="str">
        <f>IF(CS207="","-",SUMIF('Lighting Assumptions'!$G$3:$G$112,'6a - Lighting Counts'!G207,'Lighting Assumptions'!$J$3:$J$112))</f>
        <v>-</v>
      </c>
      <c r="DO207" s="917" t="str">
        <f t="shared" si="62"/>
        <v>-</v>
      </c>
      <c r="DP207" s="917" t="str">
        <f t="shared" si="63"/>
        <v>-</v>
      </c>
      <c r="DQ207" s="917" t="str">
        <f>IF(LEFT(CELLformula(DF207),3)&lt;&gt;"=IF",1,"")</f>
        <v/>
      </c>
      <c r="DR207" s="917" t="str">
        <f>IF(LEFT(CELLformula(DD207),3)&lt;&gt;"=IF",1,"")</f>
        <v/>
      </c>
      <c r="DS207" s="3048">
        <f t="shared" si="72"/>
        <v>0</v>
      </c>
      <c r="DT207" s="3047" t="str">
        <f t="shared" si="73"/>
        <v/>
      </c>
      <c r="DU207" s="3047" t="str">
        <f>IFERROR(IF(G207="","",SUMIF('Lighting Assumptions'!$G$3:$G$112,'6a - Lighting Counts'!G207,'Lighting Assumptions'!$H$3:$H$112)*IF(SI_IP_Units="SI",10.76,1)),"")</f>
        <v/>
      </c>
      <c r="DV207" s="3047" t="str">
        <f>IFERROR(IF($CX207="","",IF(SI_IP_Units="SI",10.76,1)*SUMIF(BAMCategories,$CY207,'Lighting Assumptions'!$E$3:E$35)),"")</f>
        <v/>
      </c>
      <c r="DW207" s="3047" t="str">
        <f>IFERROR(IF($CX207="","",IF(SI_IP_Units="SI",10.76,1)*SUMIF(BAMCategories,$CY207,IF(bpf_reference="ACP",'Lighting Assumptions 90.1-2010'!$E$3:E$35,'Lighting Assumptions 90.1-2016'!$E$3:E$35))),"")</f>
        <v/>
      </c>
      <c r="EW207" s="855"/>
      <c r="EX207" s="855"/>
      <c r="EY207" s="855"/>
      <c r="EZ207" s="855"/>
    </row>
    <row r="208" spans="4:156" x14ac:dyDescent="0.25">
      <c r="D208" s="3019"/>
      <c r="E208" s="3020"/>
      <c r="F208" s="3021">
        <f t="shared" si="60"/>
        <v>0</v>
      </c>
      <c r="G208" s="3059"/>
      <c r="H208" s="3060"/>
      <c r="I208" s="3061"/>
      <c r="J208" s="3061"/>
      <c r="K208" s="3061"/>
      <c r="L208" s="3061"/>
      <c r="M208" s="3061"/>
      <c r="N208" s="3061"/>
      <c r="O208" s="3061"/>
      <c r="P208" s="3061"/>
      <c r="Q208" s="3061"/>
      <c r="R208" s="3061"/>
      <c r="S208" s="3061"/>
      <c r="T208" s="3061"/>
      <c r="U208" s="3061"/>
      <c r="V208" s="3061"/>
      <c r="W208" s="3061"/>
      <c r="X208" s="3061"/>
      <c r="Y208" s="3061"/>
      <c r="Z208" s="3061"/>
      <c r="AA208" s="3061"/>
      <c r="AB208" s="3061"/>
      <c r="AC208" s="3061"/>
      <c r="AD208" s="3061"/>
      <c r="AE208" s="3061"/>
      <c r="AF208" s="3061"/>
      <c r="AG208" s="3061"/>
      <c r="AH208" s="3061"/>
      <c r="AI208" s="3061"/>
      <c r="AJ208" s="3061"/>
      <c r="AK208" s="3061"/>
      <c r="AL208" s="3061"/>
      <c r="AM208" s="3061"/>
      <c r="AN208" s="3061"/>
      <c r="AO208" s="3061"/>
      <c r="AP208" s="3061"/>
      <c r="AQ208" s="3061"/>
      <c r="AR208" s="3061"/>
      <c r="AS208" s="3061"/>
      <c r="AT208" s="3061"/>
      <c r="AU208" s="3061"/>
      <c r="AV208" s="3061"/>
      <c r="AW208" s="3061"/>
      <c r="AX208" s="3061"/>
      <c r="AY208" s="3061"/>
      <c r="AZ208" s="3061"/>
      <c r="BA208" s="3061"/>
      <c r="BB208" s="3061"/>
      <c r="BC208" s="3061"/>
      <c r="BD208" s="3061"/>
      <c r="BE208" s="3061"/>
      <c r="BF208" s="3061"/>
      <c r="BG208" s="3061"/>
      <c r="BH208" s="3061"/>
      <c r="BI208" s="3061"/>
      <c r="BJ208" s="3061"/>
      <c r="BK208" s="3061"/>
      <c r="BL208" s="3061"/>
      <c r="BM208" s="3061"/>
      <c r="BN208" s="3061"/>
      <c r="BO208" s="3061"/>
      <c r="BP208" s="3061"/>
      <c r="BQ208" s="3061"/>
      <c r="BR208" s="3061"/>
      <c r="BS208" s="3061"/>
      <c r="BT208" s="3061"/>
      <c r="BU208" s="3061"/>
      <c r="BV208" s="3061"/>
      <c r="BW208" s="3061"/>
      <c r="BX208" s="3061"/>
      <c r="BY208" s="3061"/>
      <c r="BZ208" s="3061"/>
      <c r="CA208" s="3061"/>
      <c r="CB208" s="3061"/>
      <c r="CC208" s="3061"/>
      <c r="CD208" s="3061"/>
      <c r="CE208" s="3061"/>
      <c r="CF208" s="3061"/>
      <c r="CG208" s="3061"/>
      <c r="CH208" s="3061"/>
      <c r="CI208" s="3061"/>
      <c r="CJ208" s="3061"/>
      <c r="CK208" s="3061"/>
      <c r="CL208" s="3061"/>
      <c r="CM208" s="3061"/>
      <c r="CN208" s="3061"/>
      <c r="CO208" s="3061"/>
      <c r="CP208" s="3061"/>
      <c r="CQ208" s="3061"/>
      <c r="CR208" s="3061"/>
      <c r="CS208" s="3062"/>
      <c r="CT208" s="3063"/>
      <c r="CU208" s="3064">
        <f t="shared" si="64"/>
        <v>1</v>
      </c>
      <c r="CV208" s="3022" t="str">
        <f>IF(OR(CT208="",CT208="None"),"-",DO208*CU208*SUMIF('Lighting Assumptions'!$G$3:$G$112,'6a - Lighting Counts'!G208,'Lighting Assumptions'!$J$3:$J$112))</f>
        <v>-</v>
      </c>
      <c r="CW208" s="3021"/>
      <c r="CX208" s="3021"/>
      <c r="CY208" s="3046"/>
      <c r="CZ208" s="2098">
        <f t="shared" si="65"/>
        <v>0</v>
      </c>
      <c r="DA208" s="2098" t="str">
        <f t="shared" si="66"/>
        <v>-</v>
      </c>
      <c r="DB208" s="2098">
        <f t="shared" si="67"/>
        <v>0</v>
      </c>
      <c r="DC208" s="3023" t="str">
        <f t="shared" si="68"/>
        <v>-</v>
      </c>
      <c r="DD208" s="3024" t="str">
        <f t="shared" si="69"/>
        <v/>
      </c>
      <c r="DE208" s="3025" t="str">
        <f t="shared" si="70"/>
        <v>-</v>
      </c>
      <c r="DF208" s="3024" t="str">
        <f t="shared" si="61"/>
        <v>-</v>
      </c>
      <c r="DG208" s="2098">
        <f t="shared" si="71"/>
        <v>0</v>
      </c>
      <c r="DH208" s="2098">
        <f t="array" ref="DH208">MIN(SUMPRODUCT(I208:CR208,IF($I$25:$CR$25="yes",1,0),$I$23:$CR$23),H208)</f>
        <v>0</v>
      </c>
      <c r="DI208" s="3026"/>
      <c r="DJ208" s="3021"/>
      <c r="DN208" s="917" t="str">
        <f>IF(CS208="","-",SUMIF('Lighting Assumptions'!$G$3:$G$112,'6a - Lighting Counts'!G208,'Lighting Assumptions'!$J$3:$J$112))</f>
        <v>-</v>
      </c>
      <c r="DO208" s="917" t="str">
        <f t="shared" si="62"/>
        <v>-</v>
      </c>
      <c r="DP208" s="917" t="str">
        <f t="shared" si="63"/>
        <v>-</v>
      </c>
      <c r="DQ208" s="917" t="str">
        <f>IF(LEFT(CELLformula(DF208),3)&lt;&gt;"=IF",1,"")</f>
        <v/>
      </c>
      <c r="DR208" s="917" t="str">
        <f>IF(LEFT(CELLformula(DD208),3)&lt;&gt;"=IF",1,"")</f>
        <v/>
      </c>
      <c r="DS208" s="3048">
        <f t="shared" si="72"/>
        <v>0</v>
      </c>
      <c r="DT208" s="3047" t="str">
        <f t="shared" si="73"/>
        <v/>
      </c>
      <c r="DU208" s="3047" t="str">
        <f>IFERROR(IF(G208="","",SUMIF('Lighting Assumptions'!$G$3:$G$112,'6a - Lighting Counts'!G208,'Lighting Assumptions'!$H$3:$H$112)*IF(SI_IP_Units="SI",10.76,1)),"")</f>
        <v/>
      </c>
      <c r="DV208" s="3047" t="str">
        <f>IFERROR(IF($CX208="","",IF(SI_IP_Units="SI",10.76,1)*SUMIF(BAMCategories,$CY208,'Lighting Assumptions'!$E$3:E$35)),"")</f>
        <v/>
      </c>
      <c r="DW208" s="3047" t="str">
        <f>IFERROR(IF($CX208="","",IF(SI_IP_Units="SI",10.76,1)*SUMIF(BAMCategories,$CY208,IF(bpf_reference="ACP",'Lighting Assumptions 90.1-2010'!$E$3:E$35,'Lighting Assumptions 90.1-2016'!$E$3:E$35))),"")</f>
        <v/>
      </c>
      <c r="EW208" s="855"/>
      <c r="EX208" s="855"/>
      <c r="EY208" s="855"/>
      <c r="EZ208" s="855"/>
    </row>
    <row r="209" spans="4:156" x14ac:dyDescent="0.25">
      <c r="D209" s="3019"/>
      <c r="E209" s="3020"/>
      <c r="F209" s="3021">
        <f t="shared" si="60"/>
        <v>0</v>
      </c>
      <c r="G209" s="3059"/>
      <c r="H209" s="3060"/>
      <c r="I209" s="3061"/>
      <c r="J209" s="3061"/>
      <c r="K209" s="3061"/>
      <c r="L209" s="3061"/>
      <c r="M209" s="3061"/>
      <c r="N209" s="3061"/>
      <c r="O209" s="3061"/>
      <c r="P209" s="3061"/>
      <c r="Q209" s="3061"/>
      <c r="R209" s="3061"/>
      <c r="S209" s="3061"/>
      <c r="T209" s="3061"/>
      <c r="U209" s="3061"/>
      <c r="V209" s="3061"/>
      <c r="W209" s="3061"/>
      <c r="X209" s="3061"/>
      <c r="Y209" s="3061"/>
      <c r="Z209" s="3061"/>
      <c r="AA209" s="3061"/>
      <c r="AB209" s="3061"/>
      <c r="AC209" s="3061"/>
      <c r="AD209" s="3061"/>
      <c r="AE209" s="3061"/>
      <c r="AF209" s="3061"/>
      <c r="AG209" s="3061"/>
      <c r="AH209" s="3061"/>
      <c r="AI209" s="3061"/>
      <c r="AJ209" s="3061"/>
      <c r="AK209" s="3061"/>
      <c r="AL209" s="3061"/>
      <c r="AM209" s="3061"/>
      <c r="AN209" s="3061"/>
      <c r="AO209" s="3061"/>
      <c r="AP209" s="3061"/>
      <c r="AQ209" s="3061"/>
      <c r="AR209" s="3061"/>
      <c r="AS209" s="3061"/>
      <c r="AT209" s="3061"/>
      <c r="AU209" s="3061"/>
      <c r="AV209" s="3061"/>
      <c r="AW209" s="3061"/>
      <c r="AX209" s="3061"/>
      <c r="AY209" s="3061"/>
      <c r="AZ209" s="3061"/>
      <c r="BA209" s="3061"/>
      <c r="BB209" s="3061"/>
      <c r="BC209" s="3061"/>
      <c r="BD209" s="3061"/>
      <c r="BE209" s="3061"/>
      <c r="BF209" s="3061"/>
      <c r="BG209" s="3061"/>
      <c r="BH209" s="3061"/>
      <c r="BI209" s="3061"/>
      <c r="BJ209" s="3061"/>
      <c r="BK209" s="3061"/>
      <c r="BL209" s="3061"/>
      <c r="BM209" s="3061"/>
      <c r="BN209" s="3061"/>
      <c r="BO209" s="3061"/>
      <c r="BP209" s="3061"/>
      <c r="BQ209" s="3061"/>
      <c r="BR209" s="3061"/>
      <c r="BS209" s="3061"/>
      <c r="BT209" s="3061"/>
      <c r="BU209" s="3061"/>
      <c r="BV209" s="3061"/>
      <c r="BW209" s="3061"/>
      <c r="BX209" s="3061"/>
      <c r="BY209" s="3061"/>
      <c r="BZ209" s="3061"/>
      <c r="CA209" s="3061"/>
      <c r="CB209" s="3061"/>
      <c r="CC209" s="3061"/>
      <c r="CD209" s="3061"/>
      <c r="CE209" s="3061"/>
      <c r="CF209" s="3061"/>
      <c r="CG209" s="3061"/>
      <c r="CH209" s="3061"/>
      <c r="CI209" s="3061"/>
      <c r="CJ209" s="3061"/>
      <c r="CK209" s="3061"/>
      <c r="CL209" s="3061"/>
      <c r="CM209" s="3061"/>
      <c r="CN209" s="3061"/>
      <c r="CO209" s="3061"/>
      <c r="CP209" s="3061"/>
      <c r="CQ209" s="3061"/>
      <c r="CR209" s="3061"/>
      <c r="CS209" s="3062"/>
      <c r="CT209" s="3063"/>
      <c r="CU209" s="3064">
        <f t="shared" si="64"/>
        <v>1</v>
      </c>
      <c r="CV209" s="3022" t="str">
        <f>IF(OR(CT209="",CT209="None"),"-",DO209*CU209*SUMIF('Lighting Assumptions'!$G$3:$G$112,'6a - Lighting Counts'!G209,'Lighting Assumptions'!$J$3:$J$112))</f>
        <v>-</v>
      </c>
      <c r="CW209" s="3021"/>
      <c r="CX209" s="3021"/>
      <c r="CY209" s="3046"/>
      <c r="CZ209" s="2098">
        <f t="shared" si="65"/>
        <v>0</v>
      </c>
      <c r="DA209" s="2098" t="str">
        <f t="shared" si="66"/>
        <v>-</v>
      </c>
      <c r="DB209" s="2098">
        <f t="shared" si="67"/>
        <v>0</v>
      </c>
      <c r="DC209" s="3023" t="str">
        <f t="shared" si="68"/>
        <v>-</v>
      </c>
      <c r="DD209" s="3024" t="str">
        <f t="shared" si="69"/>
        <v/>
      </c>
      <c r="DE209" s="3025" t="str">
        <f t="shared" si="70"/>
        <v>-</v>
      </c>
      <c r="DF209" s="3024" t="str">
        <f t="shared" si="61"/>
        <v>-</v>
      </c>
      <c r="DG209" s="2098">
        <f t="shared" si="71"/>
        <v>0</v>
      </c>
      <c r="DH209" s="2098">
        <f t="array" ref="DH209">MIN(SUMPRODUCT(I209:CR209,IF($I$25:$CR$25="yes",1,0),$I$23:$CR$23),H209)</f>
        <v>0</v>
      </c>
      <c r="DI209" s="3026"/>
      <c r="DJ209" s="3021"/>
      <c r="DN209" s="917" t="str">
        <f>IF(CS209="","-",SUMIF('Lighting Assumptions'!$G$3:$G$112,'6a - Lighting Counts'!G209,'Lighting Assumptions'!$J$3:$J$112))</f>
        <v>-</v>
      </c>
      <c r="DO209" s="917" t="str">
        <f t="shared" si="62"/>
        <v>-</v>
      </c>
      <c r="DP209" s="917" t="str">
        <f t="shared" si="63"/>
        <v>-</v>
      </c>
      <c r="DQ209" s="917" t="str">
        <f>IF(LEFT(CELLformula(DF209),3)&lt;&gt;"=IF",1,"")</f>
        <v/>
      </c>
      <c r="DR209" s="917" t="str">
        <f>IF(LEFT(CELLformula(DD209),3)&lt;&gt;"=IF",1,"")</f>
        <v/>
      </c>
      <c r="DS209" s="3048">
        <f t="shared" si="72"/>
        <v>0</v>
      </c>
      <c r="DT209" s="3047" t="str">
        <f t="shared" si="73"/>
        <v/>
      </c>
      <c r="DU209" s="3047" t="str">
        <f>IFERROR(IF(G209="","",SUMIF('Lighting Assumptions'!$G$3:$G$112,'6a - Lighting Counts'!G209,'Lighting Assumptions'!$H$3:$H$112)*IF(SI_IP_Units="SI",10.76,1)),"")</f>
        <v/>
      </c>
      <c r="DV209" s="3047" t="str">
        <f>IFERROR(IF($CX209="","",IF(SI_IP_Units="SI",10.76,1)*SUMIF(BAMCategories,$CY209,'Lighting Assumptions'!$E$3:E$35)),"")</f>
        <v/>
      </c>
      <c r="DW209" s="3047" t="str">
        <f>IFERROR(IF($CX209="","",IF(SI_IP_Units="SI",10.76,1)*SUMIF(BAMCategories,$CY209,IF(bpf_reference="ACP",'Lighting Assumptions 90.1-2010'!$E$3:E$35,'Lighting Assumptions 90.1-2016'!$E$3:E$35))),"")</f>
        <v/>
      </c>
      <c r="EW209" s="855"/>
      <c r="EX209" s="855"/>
      <c r="EY209" s="855"/>
      <c r="EZ209" s="855"/>
    </row>
    <row r="210" spans="4:156" x14ac:dyDescent="0.25">
      <c r="D210" s="3019"/>
      <c r="E210" s="3020"/>
      <c r="F210" s="3021">
        <f t="shared" si="60"/>
        <v>0</v>
      </c>
      <c r="G210" s="3059"/>
      <c r="H210" s="3060"/>
      <c r="I210" s="3061"/>
      <c r="J210" s="3061"/>
      <c r="K210" s="3061"/>
      <c r="L210" s="3061"/>
      <c r="M210" s="3061"/>
      <c r="N210" s="3061"/>
      <c r="O210" s="3061"/>
      <c r="P210" s="3061"/>
      <c r="Q210" s="3061"/>
      <c r="R210" s="3061"/>
      <c r="S210" s="3061"/>
      <c r="T210" s="3061"/>
      <c r="U210" s="3061"/>
      <c r="V210" s="3061"/>
      <c r="W210" s="3061"/>
      <c r="X210" s="3061"/>
      <c r="Y210" s="3061"/>
      <c r="Z210" s="3061"/>
      <c r="AA210" s="3061"/>
      <c r="AB210" s="3061"/>
      <c r="AC210" s="3061"/>
      <c r="AD210" s="3061"/>
      <c r="AE210" s="3061"/>
      <c r="AF210" s="3061"/>
      <c r="AG210" s="3061"/>
      <c r="AH210" s="3061"/>
      <c r="AI210" s="3061"/>
      <c r="AJ210" s="3061"/>
      <c r="AK210" s="3061"/>
      <c r="AL210" s="3061"/>
      <c r="AM210" s="3061"/>
      <c r="AN210" s="3061"/>
      <c r="AO210" s="3061"/>
      <c r="AP210" s="3061"/>
      <c r="AQ210" s="3061"/>
      <c r="AR210" s="3061"/>
      <c r="AS210" s="3061"/>
      <c r="AT210" s="3061"/>
      <c r="AU210" s="3061"/>
      <c r="AV210" s="3061"/>
      <c r="AW210" s="3061"/>
      <c r="AX210" s="3061"/>
      <c r="AY210" s="3061"/>
      <c r="AZ210" s="3061"/>
      <c r="BA210" s="3061"/>
      <c r="BB210" s="3061"/>
      <c r="BC210" s="3061"/>
      <c r="BD210" s="3061"/>
      <c r="BE210" s="3061"/>
      <c r="BF210" s="3061"/>
      <c r="BG210" s="3061"/>
      <c r="BH210" s="3061"/>
      <c r="BI210" s="3061"/>
      <c r="BJ210" s="3061"/>
      <c r="BK210" s="3061"/>
      <c r="BL210" s="3061"/>
      <c r="BM210" s="3061"/>
      <c r="BN210" s="3061"/>
      <c r="BO210" s="3061"/>
      <c r="BP210" s="3061"/>
      <c r="BQ210" s="3061"/>
      <c r="BR210" s="3061"/>
      <c r="BS210" s="3061"/>
      <c r="BT210" s="3061"/>
      <c r="BU210" s="3061"/>
      <c r="BV210" s="3061"/>
      <c r="BW210" s="3061"/>
      <c r="BX210" s="3061"/>
      <c r="BY210" s="3061"/>
      <c r="BZ210" s="3061"/>
      <c r="CA210" s="3061"/>
      <c r="CB210" s="3061"/>
      <c r="CC210" s="3061"/>
      <c r="CD210" s="3061"/>
      <c r="CE210" s="3061"/>
      <c r="CF210" s="3061"/>
      <c r="CG210" s="3061"/>
      <c r="CH210" s="3061"/>
      <c r="CI210" s="3061"/>
      <c r="CJ210" s="3061"/>
      <c r="CK210" s="3061"/>
      <c r="CL210" s="3061"/>
      <c r="CM210" s="3061"/>
      <c r="CN210" s="3061"/>
      <c r="CO210" s="3061"/>
      <c r="CP210" s="3061"/>
      <c r="CQ210" s="3061"/>
      <c r="CR210" s="3061"/>
      <c r="CS210" s="3062"/>
      <c r="CT210" s="3063"/>
      <c r="CU210" s="3064">
        <f t="shared" si="64"/>
        <v>1</v>
      </c>
      <c r="CV210" s="3022" t="str">
        <f>IF(OR(CT210="",CT210="None"),"-",DO210*CU210*SUMIF('Lighting Assumptions'!$G$3:$G$112,'6a - Lighting Counts'!G210,'Lighting Assumptions'!$J$3:$J$112))</f>
        <v>-</v>
      </c>
      <c r="CW210" s="3021"/>
      <c r="CX210" s="3021"/>
      <c r="CY210" s="3046"/>
      <c r="CZ210" s="2098">
        <f t="shared" si="65"/>
        <v>0</v>
      </c>
      <c r="DA210" s="2098" t="str">
        <f t="shared" si="66"/>
        <v>-</v>
      </c>
      <c r="DB210" s="2098">
        <f t="shared" si="67"/>
        <v>0</v>
      </c>
      <c r="DC210" s="3023" t="str">
        <f t="shared" si="68"/>
        <v>-</v>
      </c>
      <c r="DD210" s="3024" t="str">
        <f t="shared" si="69"/>
        <v/>
      </c>
      <c r="DE210" s="3025" t="str">
        <f t="shared" si="70"/>
        <v>-</v>
      </c>
      <c r="DF210" s="3024" t="str">
        <f t="shared" si="61"/>
        <v>-</v>
      </c>
      <c r="DG210" s="2098">
        <f t="shared" si="71"/>
        <v>0</v>
      </c>
      <c r="DH210" s="2098">
        <f t="array" ref="DH210">MIN(SUMPRODUCT(I210:CR210,IF($I$25:$CR$25="yes",1,0),$I$23:$CR$23),H210)</f>
        <v>0</v>
      </c>
      <c r="DI210" s="3026"/>
      <c r="DJ210" s="3021"/>
      <c r="DN210" s="917" t="str">
        <f>IF(CS210="","-",SUMIF('Lighting Assumptions'!$G$3:$G$112,'6a - Lighting Counts'!G210,'Lighting Assumptions'!$J$3:$J$112))</f>
        <v>-</v>
      </c>
      <c r="DO210" s="917" t="str">
        <f t="shared" si="62"/>
        <v>-</v>
      </c>
      <c r="DP210" s="917" t="str">
        <f t="shared" si="63"/>
        <v>-</v>
      </c>
      <c r="DQ210" s="917" t="str">
        <f>IF(LEFT(CELLformula(DF210),3)&lt;&gt;"=IF",1,"")</f>
        <v/>
      </c>
      <c r="DR210" s="917" t="str">
        <f>IF(LEFT(CELLformula(DD210),3)&lt;&gt;"=IF",1,"")</f>
        <v/>
      </c>
      <c r="DS210" s="3048">
        <f t="shared" si="72"/>
        <v>0</v>
      </c>
      <c r="DT210" s="3047" t="str">
        <f t="shared" si="73"/>
        <v/>
      </c>
      <c r="DU210" s="3047" t="str">
        <f>IFERROR(IF(G210="","",SUMIF('Lighting Assumptions'!$G$3:$G$112,'6a - Lighting Counts'!G210,'Lighting Assumptions'!$H$3:$H$112)*IF(SI_IP_Units="SI",10.76,1)),"")</f>
        <v/>
      </c>
      <c r="DV210" s="3047" t="str">
        <f>IFERROR(IF($CX210="","",IF(SI_IP_Units="SI",10.76,1)*SUMIF(BAMCategories,$CY210,'Lighting Assumptions'!$E$3:E$35)),"")</f>
        <v/>
      </c>
      <c r="DW210" s="3047" t="str">
        <f>IFERROR(IF($CX210="","",IF(SI_IP_Units="SI",10.76,1)*SUMIF(BAMCategories,$CY210,IF(bpf_reference="ACP",'Lighting Assumptions 90.1-2010'!$E$3:E$35,'Lighting Assumptions 90.1-2016'!$E$3:E$35))),"")</f>
        <v/>
      </c>
      <c r="EW210" s="855"/>
      <c r="EX210" s="855"/>
      <c r="EY210" s="855"/>
      <c r="EZ210" s="855"/>
    </row>
    <row r="211" spans="4:156" x14ac:dyDescent="0.25">
      <c r="D211" s="3019"/>
      <c r="E211" s="3020"/>
      <c r="F211" s="3021">
        <f t="shared" si="60"/>
        <v>0</v>
      </c>
      <c r="G211" s="3059"/>
      <c r="H211" s="3060"/>
      <c r="I211" s="3061"/>
      <c r="J211" s="3061"/>
      <c r="K211" s="3061"/>
      <c r="L211" s="3061"/>
      <c r="M211" s="3061"/>
      <c r="N211" s="3061"/>
      <c r="O211" s="3061"/>
      <c r="P211" s="3061"/>
      <c r="Q211" s="3061"/>
      <c r="R211" s="3061"/>
      <c r="S211" s="3061"/>
      <c r="T211" s="3061"/>
      <c r="U211" s="3061"/>
      <c r="V211" s="3061"/>
      <c r="W211" s="3061"/>
      <c r="X211" s="3061"/>
      <c r="Y211" s="3061"/>
      <c r="Z211" s="3061"/>
      <c r="AA211" s="3061"/>
      <c r="AB211" s="3061"/>
      <c r="AC211" s="3061"/>
      <c r="AD211" s="3061"/>
      <c r="AE211" s="3061"/>
      <c r="AF211" s="3061"/>
      <c r="AG211" s="3061"/>
      <c r="AH211" s="3061"/>
      <c r="AI211" s="3061"/>
      <c r="AJ211" s="3061"/>
      <c r="AK211" s="3061"/>
      <c r="AL211" s="3061"/>
      <c r="AM211" s="3061"/>
      <c r="AN211" s="3061"/>
      <c r="AO211" s="3061"/>
      <c r="AP211" s="3061"/>
      <c r="AQ211" s="3061"/>
      <c r="AR211" s="3061"/>
      <c r="AS211" s="3061"/>
      <c r="AT211" s="3061"/>
      <c r="AU211" s="3061"/>
      <c r="AV211" s="3061"/>
      <c r="AW211" s="3061"/>
      <c r="AX211" s="3061"/>
      <c r="AY211" s="3061"/>
      <c r="AZ211" s="3061"/>
      <c r="BA211" s="3061"/>
      <c r="BB211" s="3061"/>
      <c r="BC211" s="3061"/>
      <c r="BD211" s="3061"/>
      <c r="BE211" s="3061"/>
      <c r="BF211" s="3061"/>
      <c r="BG211" s="3061"/>
      <c r="BH211" s="3061"/>
      <c r="BI211" s="3061"/>
      <c r="BJ211" s="3061"/>
      <c r="BK211" s="3061"/>
      <c r="BL211" s="3061"/>
      <c r="BM211" s="3061"/>
      <c r="BN211" s="3061"/>
      <c r="BO211" s="3061"/>
      <c r="BP211" s="3061"/>
      <c r="BQ211" s="3061"/>
      <c r="BR211" s="3061"/>
      <c r="BS211" s="3061"/>
      <c r="BT211" s="3061"/>
      <c r="BU211" s="3061"/>
      <c r="BV211" s="3061"/>
      <c r="BW211" s="3061"/>
      <c r="BX211" s="3061"/>
      <c r="BY211" s="3061"/>
      <c r="BZ211" s="3061"/>
      <c r="CA211" s="3061"/>
      <c r="CB211" s="3061"/>
      <c r="CC211" s="3061"/>
      <c r="CD211" s="3061"/>
      <c r="CE211" s="3061"/>
      <c r="CF211" s="3061"/>
      <c r="CG211" s="3061"/>
      <c r="CH211" s="3061"/>
      <c r="CI211" s="3061"/>
      <c r="CJ211" s="3061"/>
      <c r="CK211" s="3061"/>
      <c r="CL211" s="3061"/>
      <c r="CM211" s="3061"/>
      <c r="CN211" s="3061"/>
      <c r="CO211" s="3061"/>
      <c r="CP211" s="3061"/>
      <c r="CQ211" s="3061"/>
      <c r="CR211" s="3061"/>
      <c r="CS211" s="3062"/>
      <c r="CT211" s="3063"/>
      <c r="CU211" s="3064">
        <f t="shared" si="64"/>
        <v>1</v>
      </c>
      <c r="CV211" s="3022" t="str">
        <f>IF(OR(CT211="",CT211="None"),"-",DO211*CU211*SUMIF('Lighting Assumptions'!$G$3:$G$112,'6a - Lighting Counts'!G211,'Lighting Assumptions'!$J$3:$J$112))</f>
        <v>-</v>
      </c>
      <c r="CW211" s="3021"/>
      <c r="CX211" s="3021"/>
      <c r="CY211" s="3046"/>
      <c r="CZ211" s="2098">
        <f t="shared" si="65"/>
        <v>0</v>
      </c>
      <c r="DA211" s="2098" t="str">
        <f t="shared" si="66"/>
        <v>-</v>
      </c>
      <c r="DB211" s="2098">
        <f t="shared" si="67"/>
        <v>0</v>
      </c>
      <c r="DC211" s="3023" t="str">
        <f t="shared" si="68"/>
        <v>-</v>
      </c>
      <c r="DD211" s="3024" t="str">
        <f t="shared" si="69"/>
        <v/>
      </c>
      <c r="DE211" s="3025" t="str">
        <f t="shared" si="70"/>
        <v>-</v>
      </c>
      <c r="DF211" s="3024" t="str">
        <f t="shared" si="61"/>
        <v>-</v>
      </c>
      <c r="DG211" s="2098">
        <f t="shared" si="71"/>
        <v>0</v>
      </c>
      <c r="DH211" s="2098">
        <f t="array" ref="DH211">MIN(SUMPRODUCT(I211:CR211,IF($I$25:$CR$25="yes",1,0),$I$23:$CR$23),H211)</f>
        <v>0</v>
      </c>
      <c r="DI211" s="3026"/>
      <c r="DJ211" s="3021"/>
      <c r="DN211" s="917" t="str">
        <f>IF(CS211="","-",SUMIF('Lighting Assumptions'!$G$3:$G$112,'6a - Lighting Counts'!G211,'Lighting Assumptions'!$J$3:$J$112))</f>
        <v>-</v>
      </c>
      <c r="DO211" s="917" t="str">
        <f t="shared" si="62"/>
        <v>-</v>
      </c>
      <c r="DP211" s="917" t="str">
        <f t="shared" si="63"/>
        <v>-</v>
      </c>
      <c r="DQ211" s="917" t="str">
        <f>IF(LEFT(CELLformula(DF211),3)&lt;&gt;"=IF",1,"")</f>
        <v/>
      </c>
      <c r="DR211" s="917" t="str">
        <f>IF(LEFT(CELLformula(DD211),3)&lt;&gt;"=IF",1,"")</f>
        <v/>
      </c>
      <c r="DS211" s="3048">
        <f t="shared" si="72"/>
        <v>0</v>
      </c>
      <c r="DT211" s="3047" t="str">
        <f t="shared" si="73"/>
        <v/>
      </c>
      <c r="DU211" s="3047" t="str">
        <f>IFERROR(IF(G211="","",SUMIF('Lighting Assumptions'!$G$3:$G$112,'6a - Lighting Counts'!G211,'Lighting Assumptions'!$H$3:$H$112)*IF(SI_IP_Units="SI",10.76,1)),"")</f>
        <v/>
      </c>
      <c r="DV211" s="3047" t="str">
        <f>IFERROR(IF($CX211="","",IF(SI_IP_Units="SI",10.76,1)*SUMIF(BAMCategories,$CY211,'Lighting Assumptions'!$E$3:E$35)),"")</f>
        <v/>
      </c>
      <c r="DW211" s="3047" t="str">
        <f>IFERROR(IF($CX211="","",IF(SI_IP_Units="SI",10.76,1)*SUMIF(BAMCategories,$CY211,IF(bpf_reference="ACP",'Lighting Assumptions 90.1-2010'!$E$3:E$35,'Lighting Assumptions 90.1-2016'!$E$3:E$35))),"")</f>
        <v/>
      </c>
      <c r="EW211" s="855"/>
      <c r="EX211" s="855"/>
      <c r="EY211" s="855"/>
      <c r="EZ211" s="855"/>
    </row>
    <row r="212" spans="4:156" x14ac:dyDescent="0.25">
      <c r="D212" s="3019"/>
      <c r="E212" s="3020"/>
      <c r="F212" s="3021">
        <f t="shared" si="60"/>
        <v>0</v>
      </c>
      <c r="G212" s="3059"/>
      <c r="H212" s="3060"/>
      <c r="I212" s="3061"/>
      <c r="J212" s="3061"/>
      <c r="K212" s="3061"/>
      <c r="L212" s="3061"/>
      <c r="M212" s="3061"/>
      <c r="N212" s="3061"/>
      <c r="O212" s="3061"/>
      <c r="P212" s="3061"/>
      <c r="Q212" s="3061"/>
      <c r="R212" s="3061"/>
      <c r="S212" s="3061"/>
      <c r="T212" s="3061"/>
      <c r="U212" s="3061"/>
      <c r="V212" s="3061"/>
      <c r="W212" s="3061"/>
      <c r="X212" s="3061"/>
      <c r="Y212" s="3061"/>
      <c r="Z212" s="3061"/>
      <c r="AA212" s="3061"/>
      <c r="AB212" s="3061"/>
      <c r="AC212" s="3061"/>
      <c r="AD212" s="3061"/>
      <c r="AE212" s="3061"/>
      <c r="AF212" s="3061"/>
      <c r="AG212" s="3061"/>
      <c r="AH212" s="3061"/>
      <c r="AI212" s="3061"/>
      <c r="AJ212" s="3061"/>
      <c r="AK212" s="3061"/>
      <c r="AL212" s="3061"/>
      <c r="AM212" s="3061"/>
      <c r="AN212" s="3061"/>
      <c r="AO212" s="3061"/>
      <c r="AP212" s="3061"/>
      <c r="AQ212" s="3061"/>
      <c r="AR212" s="3061"/>
      <c r="AS212" s="3061"/>
      <c r="AT212" s="3061"/>
      <c r="AU212" s="3061"/>
      <c r="AV212" s="3061"/>
      <c r="AW212" s="3061"/>
      <c r="AX212" s="3061"/>
      <c r="AY212" s="3061"/>
      <c r="AZ212" s="3061"/>
      <c r="BA212" s="3061"/>
      <c r="BB212" s="3061"/>
      <c r="BC212" s="3061"/>
      <c r="BD212" s="3061"/>
      <c r="BE212" s="3061"/>
      <c r="BF212" s="3061"/>
      <c r="BG212" s="3061"/>
      <c r="BH212" s="3061"/>
      <c r="BI212" s="3061"/>
      <c r="BJ212" s="3061"/>
      <c r="BK212" s="3061"/>
      <c r="BL212" s="3061"/>
      <c r="BM212" s="3061"/>
      <c r="BN212" s="3061"/>
      <c r="BO212" s="3061"/>
      <c r="BP212" s="3061"/>
      <c r="BQ212" s="3061"/>
      <c r="BR212" s="3061"/>
      <c r="BS212" s="3061"/>
      <c r="BT212" s="3061"/>
      <c r="BU212" s="3061"/>
      <c r="BV212" s="3061"/>
      <c r="BW212" s="3061"/>
      <c r="BX212" s="3061"/>
      <c r="BY212" s="3061"/>
      <c r="BZ212" s="3061"/>
      <c r="CA212" s="3061"/>
      <c r="CB212" s="3061"/>
      <c r="CC212" s="3061"/>
      <c r="CD212" s="3061"/>
      <c r="CE212" s="3061"/>
      <c r="CF212" s="3061"/>
      <c r="CG212" s="3061"/>
      <c r="CH212" s="3061"/>
      <c r="CI212" s="3061"/>
      <c r="CJ212" s="3061"/>
      <c r="CK212" s="3061"/>
      <c r="CL212" s="3061"/>
      <c r="CM212" s="3061"/>
      <c r="CN212" s="3061"/>
      <c r="CO212" s="3061"/>
      <c r="CP212" s="3061"/>
      <c r="CQ212" s="3061"/>
      <c r="CR212" s="3061"/>
      <c r="CS212" s="3062"/>
      <c r="CT212" s="3063"/>
      <c r="CU212" s="3064">
        <f t="shared" si="64"/>
        <v>1</v>
      </c>
      <c r="CV212" s="3022" t="str">
        <f>IF(OR(CT212="",CT212="None"),"-",DO212*CU212*SUMIF('Lighting Assumptions'!$G$3:$G$112,'6a - Lighting Counts'!G212,'Lighting Assumptions'!$J$3:$J$112))</f>
        <v>-</v>
      </c>
      <c r="CW212" s="3021"/>
      <c r="CX212" s="3021"/>
      <c r="CY212" s="3046"/>
      <c r="CZ212" s="2098">
        <f t="shared" si="65"/>
        <v>0</v>
      </c>
      <c r="DA212" s="2098" t="str">
        <f t="shared" si="66"/>
        <v>-</v>
      </c>
      <c r="DB212" s="2098">
        <f t="shared" si="67"/>
        <v>0</v>
      </c>
      <c r="DC212" s="3023" t="str">
        <f t="shared" si="68"/>
        <v>-</v>
      </c>
      <c r="DD212" s="3024" t="str">
        <f t="shared" si="69"/>
        <v/>
      </c>
      <c r="DE212" s="3025" t="str">
        <f t="shared" si="70"/>
        <v>-</v>
      </c>
      <c r="DF212" s="3024" t="str">
        <f t="shared" si="61"/>
        <v>-</v>
      </c>
      <c r="DG212" s="2098">
        <f t="shared" si="71"/>
        <v>0</v>
      </c>
      <c r="DH212" s="2098">
        <f t="array" ref="DH212">MIN(SUMPRODUCT(I212:CR212,IF($I$25:$CR$25="yes",1,0),$I$23:$CR$23),H212)</f>
        <v>0</v>
      </c>
      <c r="DI212" s="3026"/>
      <c r="DJ212" s="3021"/>
      <c r="DN212" s="917" t="str">
        <f>IF(CS212="","-",SUMIF('Lighting Assumptions'!$G$3:$G$112,'6a - Lighting Counts'!G212,'Lighting Assumptions'!$J$3:$J$112))</f>
        <v>-</v>
      </c>
      <c r="DO212" s="917" t="str">
        <f t="shared" si="62"/>
        <v>-</v>
      </c>
      <c r="DP212" s="917" t="str">
        <f t="shared" si="63"/>
        <v>-</v>
      </c>
      <c r="DQ212" s="917" t="str">
        <f>IF(LEFT(CELLformula(DF212),3)&lt;&gt;"=IF",1,"")</f>
        <v/>
      </c>
      <c r="DR212" s="917" t="str">
        <f>IF(LEFT(CELLformula(DD212),3)&lt;&gt;"=IF",1,"")</f>
        <v/>
      </c>
      <c r="DS212" s="3048">
        <f t="shared" si="72"/>
        <v>0</v>
      </c>
      <c r="DT212" s="3047" t="str">
        <f t="shared" si="73"/>
        <v/>
      </c>
      <c r="DU212" s="3047" t="str">
        <f>IFERROR(IF(G212="","",SUMIF('Lighting Assumptions'!$G$3:$G$112,'6a - Lighting Counts'!G212,'Lighting Assumptions'!$H$3:$H$112)*IF(SI_IP_Units="SI",10.76,1)),"")</f>
        <v/>
      </c>
      <c r="DV212" s="3047" t="str">
        <f>IFERROR(IF($CX212="","",IF(SI_IP_Units="SI",10.76,1)*SUMIF(BAMCategories,$CY212,'Lighting Assumptions'!$E$3:E$35)),"")</f>
        <v/>
      </c>
      <c r="DW212" s="3047" t="str">
        <f>IFERROR(IF($CX212="","",IF(SI_IP_Units="SI",10.76,1)*SUMIF(BAMCategories,$CY212,IF(bpf_reference="ACP",'Lighting Assumptions 90.1-2010'!$E$3:E$35,'Lighting Assumptions 90.1-2016'!$E$3:E$35))),"")</f>
        <v/>
      </c>
      <c r="EW212" s="855"/>
      <c r="EX212" s="855"/>
      <c r="EY212" s="855"/>
      <c r="EZ212" s="855"/>
    </row>
    <row r="213" spans="4:156" x14ac:dyDescent="0.25">
      <c r="D213" s="3019"/>
      <c r="E213" s="3020"/>
      <c r="F213" s="3021">
        <f t="shared" si="60"/>
        <v>0</v>
      </c>
      <c r="G213" s="3059"/>
      <c r="H213" s="3060"/>
      <c r="I213" s="3061"/>
      <c r="J213" s="3061"/>
      <c r="K213" s="3061"/>
      <c r="L213" s="3061"/>
      <c r="M213" s="3061"/>
      <c r="N213" s="3061"/>
      <c r="O213" s="3061"/>
      <c r="P213" s="3061"/>
      <c r="Q213" s="3061"/>
      <c r="R213" s="3061"/>
      <c r="S213" s="3061"/>
      <c r="T213" s="3061"/>
      <c r="U213" s="3061"/>
      <c r="V213" s="3061"/>
      <c r="W213" s="3061"/>
      <c r="X213" s="3061"/>
      <c r="Y213" s="3061"/>
      <c r="Z213" s="3061"/>
      <c r="AA213" s="3061"/>
      <c r="AB213" s="3061"/>
      <c r="AC213" s="3061"/>
      <c r="AD213" s="3061"/>
      <c r="AE213" s="3061"/>
      <c r="AF213" s="3061"/>
      <c r="AG213" s="3061"/>
      <c r="AH213" s="3061"/>
      <c r="AI213" s="3061"/>
      <c r="AJ213" s="3061"/>
      <c r="AK213" s="3061"/>
      <c r="AL213" s="3061"/>
      <c r="AM213" s="3061"/>
      <c r="AN213" s="3061"/>
      <c r="AO213" s="3061"/>
      <c r="AP213" s="3061"/>
      <c r="AQ213" s="3061"/>
      <c r="AR213" s="3061"/>
      <c r="AS213" s="3061"/>
      <c r="AT213" s="3061"/>
      <c r="AU213" s="3061"/>
      <c r="AV213" s="3061"/>
      <c r="AW213" s="3061"/>
      <c r="AX213" s="3061"/>
      <c r="AY213" s="3061"/>
      <c r="AZ213" s="3061"/>
      <c r="BA213" s="3061"/>
      <c r="BB213" s="3061"/>
      <c r="BC213" s="3061"/>
      <c r="BD213" s="3061"/>
      <c r="BE213" s="3061"/>
      <c r="BF213" s="3061"/>
      <c r="BG213" s="3061"/>
      <c r="BH213" s="3061"/>
      <c r="BI213" s="3061"/>
      <c r="BJ213" s="3061"/>
      <c r="BK213" s="3061"/>
      <c r="BL213" s="3061"/>
      <c r="BM213" s="3061"/>
      <c r="BN213" s="3061"/>
      <c r="BO213" s="3061"/>
      <c r="BP213" s="3061"/>
      <c r="BQ213" s="3061"/>
      <c r="BR213" s="3061"/>
      <c r="BS213" s="3061"/>
      <c r="BT213" s="3061"/>
      <c r="BU213" s="3061"/>
      <c r="BV213" s="3061"/>
      <c r="BW213" s="3061"/>
      <c r="BX213" s="3061"/>
      <c r="BY213" s="3061"/>
      <c r="BZ213" s="3061"/>
      <c r="CA213" s="3061"/>
      <c r="CB213" s="3061"/>
      <c r="CC213" s="3061"/>
      <c r="CD213" s="3061"/>
      <c r="CE213" s="3061"/>
      <c r="CF213" s="3061"/>
      <c r="CG213" s="3061"/>
      <c r="CH213" s="3061"/>
      <c r="CI213" s="3061"/>
      <c r="CJ213" s="3061"/>
      <c r="CK213" s="3061"/>
      <c r="CL213" s="3061"/>
      <c r="CM213" s="3061"/>
      <c r="CN213" s="3061"/>
      <c r="CO213" s="3061"/>
      <c r="CP213" s="3061"/>
      <c r="CQ213" s="3061"/>
      <c r="CR213" s="3061"/>
      <c r="CS213" s="3062"/>
      <c r="CT213" s="3063"/>
      <c r="CU213" s="3064">
        <f t="shared" si="64"/>
        <v>1</v>
      </c>
      <c r="CV213" s="3022" t="str">
        <f>IF(OR(CT213="",CT213="None"),"-",DO213*CU213*SUMIF('Lighting Assumptions'!$G$3:$G$112,'6a - Lighting Counts'!G213,'Lighting Assumptions'!$J$3:$J$112))</f>
        <v>-</v>
      </c>
      <c r="CW213" s="3021"/>
      <c r="CX213" s="3021"/>
      <c r="CY213" s="3046"/>
      <c r="CZ213" s="2098">
        <f t="shared" si="65"/>
        <v>0</v>
      </c>
      <c r="DA213" s="2098" t="str">
        <f t="shared" si="66"/>
        <v>-</v>
      </c>
      <c r="DB213" s="2098">
        <f t="shared" si="67"/>
        <v>0</v>
      </c>
      <c r="DC213" s="3023" t="str">
        <f t="shared" si="68"/>
        <v>-</v>
      </c>
      <c r="DD213" s="3024" t="str">
        <f t="shared" si="69"/>
        <v/>
      </c>
      <c r="DE213" s="3025" t="str">
        <f t="shared" si="70"/>
        <v>-</v>
      </c>
      <c r="DF213" s="3024" t="str">
        <f t="shared" si="61"/>
        <v>-</v>
      </c>
      <c r="DG213" s="2098">
        <f t="shared" si="71"/>
        <v>0</v>
      </c>
      <c r="DH213" s="2098">
        <f t="array" ref="DH213">MIN(SUMPRODUCT(I213:CR213,IF($I$25:$CR$25="yes",1,0),$I$23:$CR$23),H213)</f>
        <v>0</v>
      </c>
      <c r="DI213" s="3026"/>
      <c r="DJ213" s="3021"/>
      <c r="DN213" s="917" t="str">
        <f>IF(CS213="","-",SUMIF('Lighting Assumptions'!$G$3:$G$112,'6a - Lighting Counts'!G213,'Lighting Assumptions'!$J$3:$J$112))</f>
        <v>-</v>
      </c>
      <c r="DO213" s="917" t="str">
        <f t="shared" si="62"/>
        <v>-</v>
      </c>
      <c r="DP213" s="917" t="str">
        <f t="shared" si="63"/>
        <v>-</v>
      </c>
      <c r="DQ213" s="917" t="str">
        <f>IF(LEFT(CELLformula(DF213),3)&lt;&gt;"=IF",1,"")</f>
        <v/>
      </c>
      <c r="DR213" s="917" t="str">
        <f>IF(LEFT(CELLformula(DD213),3)&lt;&gt;"=IF",1,"")</f>
        <v/>
      </c>
      <c r="DS213" s="3048">
        <f t="shared" si="72"/>
        <v>0</v>
      </c>
      <c r="DT213" s="3047" t="str">
        <f t="shared" si="73"/>
        <v/>
      </c>
      <c r="DU213" s="3047" t="str">
        <f>IFERROR(IF(G213="","",SUMIF('Lighting Assumptions'!$G$3:$G$112,'6a - Lighting Counts'!G213,'Lighting Assumptions'!$H$3:$H$112)*IF(SI_IP_Units="SI",10.76,1)),"")</f>
        <v/>
      </c>
      <c r="DV213" s="3047" t="str">
        <f>IFERROR(IF($CX213="","",IF(SI_IP_Units="SI",10.76,1)*SUMIF(BAMCategories,$CY213,'Lighting Assumptions'!$E$3:E$35)),"")</f>
        <v/>
      </c>
      <c r="DW213" s="3047" t="str">
        <f>IFERROR(IF($CX213="","",IF(SI_IP_Units="SI",10.76,1)*SUMIF(BAMCategories,$CY213,IF(bpf_reference="ACP",'Lighting Assumptions 90.1-2010'!$E$3:E$35,'Lighting Assumptions 90.1-2016'!$E$3:E$35))),"")</f>
        <v/>
      </c>
      <c r="EW213" s="855"/>
      <c r="EX213" s="855"/>
      <c r="EY213" s="855"/>
      <c r="EZ213" s="855"/>
    </row>
    <row r="214" spans="4:156" x14ac:dyDescent="0.25">
      <c r="D214" s="3019"/>
      <c r="E214" s="3020"/>
      <c r="F214" s="3021">
        <f t="shared" si="60"/>
        <v>0</v>
      </c>
      <c r="G214" s="3059"/>
      <c r="H214" s="3060"/>
      <c r="I214" s="3061"/>
      <c r="J214" s="3061"/>
      <c r="K214" s="3061"/>
      <c r="L214" s="3061"/>
      <c r="M214" s="3061"/>
      <c r="N214" s="3061"/>
      <c r="O214" s="3061"/>
      <c r="P214" s="3061"/>
      <c r="Q214" s="3061"/>
      <c r="R214" s="3061"/>
      <c r="S214" s="3061"/>
      <c r="T214" s="3061"/>
      <c r="U214" s="3061"/>
      <c r="V214" s="3061"/>
      <c r="W214" s="3061"/>
      <c r="X214" s="3061"/>
      <c r="Y214" s="3061"/>
      <c r="Z214" s="3061"/>
      <c r="AA214" s="3061"/>
      <c r="AB214" s="3061"/>
      <c r="AC214" s="3061"/>
      <c r="AD214" s="3061"/>
      <c r="AE214" s="3061"/>
      <c r="AF214" s="3061"/>
      <c r="AG214" s="3061"/>
      <c r="AH214" s="3061"/>
      <c r="AI214" s="3061"/>
      <c r="AJ214" s="3061"/>
      <c r="AK214" s="3061"/>
      <c r="AL214" s="3061"/>
      <c r="AM214" s="3061"/>
      <c r="AN214" s="3061"/>
      <c r="AO214" s="3061"/>
      <c r="AP214" s="3061"/>
      <c r="AQ214" s="3061"/>
      <c r="AR214" s="3061"/>
      <c r="AS214" s="3061"/>
      <c r="AT214" s="3061"/>
      <c r="AU214" s="3061"/>
      <c r="AV214" s="3061"/>
      <c r="AW214" s="3061"/>
      <c r="AX214" s="3061"/>
      <c r="AY214" s="3061"/>
      <c r="AZ214" s="3061"/>
      <c r="BA214" s="3061"/>
      <c r="BB214" s="3061"/>
      <c r="BC214" s="3061"/>
      <c r="BD214" s="3061"/>
      <c r="BE214" s="3061"/>
      <c r="BF214" s="3061"/>
      <c r="BG214" s="3061"/>
      <c r="BH214" s="3061"/>
      <c r="BI214" s="3061"/>
      <c r="BJ214" s="3061"/>
      <c r="BK214" s="3061"/>
      <c r="BL214" s="3061"/>
      <c r="BM214" s="3061"/>
      <c r="BN214" s="3061"/>
      <c r="BO214" s="3061"/>
      <c r="BP214" s="3061"/>
      <c r="BQ214" s="3061"/>
      <c r="BR214" s="3061"/>
      <c r="BS214" s="3061"/>
      <c r="BT214" s="3061"/>
      <c r="BU214" s="3061"/>
      <c r="BV214" s="3061"/>
      <c r="BW214" s="3061"/>
      <c r="BX214" s="3061"/>
      <c r="BY214" s="3061"/>
      <c r="BZ214" s="3061"/>
      <c r="CA214" s="3061"/>
      <c r="CB214" s="3061"/>
      <c r="CC214" s="3061"/>
      <c r="CD214" s="3061"/>
      <c r="CE214" s="3061"/>
      <c r="CF214" s="3061"/>
      <c r="CG214" s="3061"/>
      <c r="CH214" s="3061"/>
      <c r="CI214" s="3061"/>
      <c r="CJ214" s="3061"/>
      <c r="CK214" s="3061"/>
      <c r="CL214" s="3061"/>
      <c r="CM214" s="3061"/>
      <c r="CN214" s="3061"/>
      <c r="CO214" s="3061"/>
      <c r="CP214" s="3061"/>
      <c r="CQ214" s="3061"/>
      <c r="CR214" s="3061"/>
      <c r="CS214" s="3062"/>
      <c r="CT214" s="3063"/>
      <c r="CU214" s="3064">
        <f t="shared" si="64"/>
        <v>1</v>
      </c>
      <c r="CV214" s="3022" t="str">
        <f>IF(OR(CT214="",CT214="None"),"-",DO214*CU214*SUMIF('Lighting Assumptions'!$G$3:$G$112,'6a - Lighting Counts'!G214,'Lighting Assumptions'!$J$3:$J$112))</f>
        <v>-</v>
      </c>
      <c r="CW214" s="3021"/>
      <c r="CX214" s="3021"/>
      <c r="CY214" s="3046"/>
      <c r="CZ214" s="2098">
        <f t="shared" si="65"/>
        <v>0</v>
      </c>
      <c r="DA214" s="2098" t="str">
        <f t="shared" si="66"/>
        <v>-</v>
      </c>
      <c r="DB214" s="2098">
        <f t="shared" si="67"/>
        <v>0</v>
      </c>
      <c r="DC214" s="3023" t="str">
        <f t="shared" si="68"/>
        <v>-</v>
      </c>
      <c r="DD214" s="3024" t="str">
        <f t="shared" si="69"/>
        <v/>
      </c>
      <c r="DE214" s="3025" t="str">
        <f t="shared" si="70"/>
        <v>-</v>
      </c>
      <c r="DF214" s="3024" t="str">
        <f t="shared" si="61"/>
        <v>-</v>
      </c>
      <c r="DG214" s="2098">
        <f t="shared" si="71"/>
        <v>0</v>
      </c>
      <c r="DH214" s="2098">
        <f t="array" ref="DH214">MIN(SUMPRODUCT(I214:CR214,IF($I$25:$CR$25="yes",1,0),$I$23:$CR$23),H214)</f>
        <v>0</v>
      </c>
      <c r="DI214" s="3026"/>
      <c r="DJ214" s="3021"/>
      <c r="DN214" s="917" t="str">
        <f>IF(CS214="","-",SUMIF('Lighting Assumptions'!$G$3:$G$112,'6a - Lighting Counts'!G214,'Lighting Assumptions'!$J$3:$J$112))</f>
        <v>-</v>
      </c>
      <c r="DO214" s="917" t="str">
        <f t="shared" si="62"/>
        <v>-</v>
      </c>
      <c r="DP214" s="917" t="str">
        <f t="shared" si="63"/>
        <v>-</v>
      </c>
      <c r="DQ214" s="917" t="str">
        <f>IF(LEFT(CELLformula(DF214),3)&lt;&gt;"=IF",1,"")</f>
        <v/>
      </c>
      <c r="DR214" s="917" t="str">
        <f>IF(LEFT(CELLformula(DD214),3)&lt;&gt;"=IF",1,"")</f>
        <v/>
      </c>
      <c r="DS214" s="3048">
        <f t="shared" si="72"/>
        <v>0</v>
      </c>
      <c r="DT214" s="3047" t="str">
        <f t="shared" si="73"/>
        <v/>
      </c>
      <c r="DU214" s="3047" t="str">
        <f>IFERROR(IF(G214="","",SUMIF('Lighting Assumptions'!$G$3:$G$112,'6a - Lighting Counts'!G214,'Lighting Assumptions'!$H$3:$H$112)*IF(SI_IP_Units="SI",10.76,1)),"")</f>
        <v/>
      </c>
      <c r="DV214" s="3047" t="str">
        <f>IFERROR(IF($CX214="","",IF(SI_IP_Units="SI",10.76,1)*SUMIF(BAMCategories,$CY214,'Lighting Assumptions'!$E$3:E$35)),"")</f>
        <v/>
      </c>
      <c r="DW214" s="3047" t="str">
        <f>IFERROR(IF($CX214="","",IF(SI_IP_Units="SI",10.76,1)*SUMIF(BAMCategories,$CY214,IF(bpf_reference="ACP",'Lighting Assumptions 90.1-2010'!$E$3:E$35,'Lighting Assumptions 90.1-2016'!$E$3:E$35))),"")</f>
        <v/>
      </c>
      <c r="EW214" s="855"/>
      <c r="EX214" s="855"/>
      <c r="EY214" s="855"/>
      <c r="EZ214" s="855"/>
    </row>
    <row r="215" spans="4:156" x14ac:dyDescent="0.25">
      <c r="D215" s="3019"/>
      <c r="E215" s="3020"/>
      <c r="F215" s="3021">
        <f t="shared" si="60"/>
        <v>0</v>
      </c>
      <c r="G215" s="3059"/>
      <c r="H215" s="3060"/>
      <c r="I215" s="3061"/>
      <c r="J215" s="3061"/>
      <c r="K215" s="3061"/>
      <c r="L215" s="3061"/>
      <c r="M215" s="3061"/>
      <c r="N215" s="3061"/>
      <c r="O215" s="3061"/>
      <c r="P215" s="3061"/>
      <c r="Q215" s="3061"/>
      <c r="R215" s="3061"/>
      <c r="S215" s="3061"/>
      <c r="T215" s="3061"/>
      <c r="U215" s="3061"/>
      <c r="V215" s="3061"/>
      <c r="W215" s="3061"/>
      <c r="X215" s="3061"/>
      <c r="Y215" s="3061"/>
      <c r="Z215" s="3061"/>
      <c r="AA215" s="3061"/>
      <c r="AB215" s="3061"/>
      <c r="AC215" s="3061"/>
      <c r="AD215" s="3061"/>
      <c r="AE215" s="3061"/>
      <c r="AF215" s="3061"/>
      <c r="AG215" s="3061"/>
      <c r="AH215" s="3061"/>
      <c r="AI215" s="3061"/>
      <c r="AJ215" s="3061"/>
      <c r="AK215" s="3061"/>
      <c r="AL215" s="3061"/>
      <c r="AM215" s="3061"/>
      <c r="AN215" s="3061"/>
      <c r="AO215" s="3061"/>
      <c r="AP215" s="3061"/>
      <c r="AQ215" s="3061"/>
      <c r="AR215" s="3061"/>
      <c r="AS215" s="3061"/>
      <c r="AT215" s="3061"/>
      <c r="AU215" s="3061"/>
      <c r="AV215" s="3061"/>
      <c r="AW215" s="3061"/>
      <c r="AX215" s="3061"/>
      <c r="AY215" s="3061"/>
      <c r="AZ215" s="3061"/>
      <c r="BA215" s="3061"/>
      <c r="BB215" s="3061"/>
      <c r="BC215" s="3061"/>
      <c r="BD215" s="3061"/>
      <c r="BE215" s="3061"/>
      <c r="BF215" s="3061"/>
      <c r="BG215" s="3061"/>
      <c r="BH215" s="3061"/>
      <c r="BI215" s="3061"/>
      <c r="BJ215" s="3061"/>
      <c r="BK215" s="3061"/>
      <c r="BL215" s="3061"/>
      <c r="BM215" s="3061"/>
      <c r="BN215" s="3061"/>
      <c r="BO215" s="3061"/>
      <c r="BP215" s="3061"/>
      <c r="BQ215" s="3061"/>
      <c r="BR215" s="3061"/>
      <c r="BS215" s="3061"/>
      <c r="BT215" s="3061"/>
      <c r="BU215" s="3061"/>
      <c r="BV215" s="3061"/>
      <c r="BW215" s="3061"/>
      <c r="BX215" s="3061"/>
      <c r="BY215" s="3061"/>
      <c r="BZ215" s="3061"/>
      <c r="CA215" s="3061"/>
      <c r="CB215" s="3061"/>
      <c r="CC215" s="3061"/>
      <c r="CD215" s="3061"/>
      <c r="CE215" s="3061"/>
      <c r="CF215" s="3061"/>
      <c r="CG215" s="3061"/>
      <c r="CH215" s="3061"/>
      <c r="CI215" s="3061"/>
      <c r="CJ215" s="3061"/>
      <c r="CK215" s="3061"/>
      <c r="CL215" s="3061"/>
      <c r="CM215" s="3061"/>
      <c r="CN215" s="3061"/>
      <c r="CO215" s="3061"/>
      <c r="CP215" s="3061"/>
      <c r="CQ215" s="3061"/>
      <c r="CR215" s="3061"/>
      <c r="CS215" s="3062"/>
      <c r="CT215" s="3063"/>
      <c r="CU215" s="3064">
        <f t="shared" si="64"/>
        <v>1</v>
      </c>
      <c r="CV215" s="3022" t="str">
        <f>IF(OR(CT215="",CT215="None"),"-",DO215*CU215*SUMIF('Lighting Assumptions'!$G$3:$G$112,'6a - Lighting Counts'!G215,'Lighting Assumptions'!$J$3:$J$112))</f>
        <v>-</v>
      </c>
      <c r="CW215" s="3021"/>
      <c r="CX215" s="3021"/>
      <c r="CY215" s="3046"/>
      <c r="CZ215" s="2098">
        <f t="shared" si="65"/>
        <v>0</v>
      </c>
      <c r="DA215" s="2098" t="str">
        <f t="shared" si="66"/>
        <v>-</v>
      </c>
      <c r="DB215" s="2098">
        <f t="shared" si="67"/>
        <v>0</v>
      </c>
      <c r="DC215" s="3023" t="str">
        <f t="shared" si="68"/>
        <v>-</v>
      </c>
      <c r="DD215" s="3024" t="str">
        <f t="shared" si="69"/>
        <v/>
      </c>
      <c r="DE215" s="3025" t="str">
        <f t="shared" si="70"/>
        <v>-</v>
      </c>
      <c r="DF215" s="3024" t="str">
        <f t="shared" si="61"/>
        <v>-</v>
      </c>
      <c r="DG215" s="2098">
        <f t="shared" si="71"/>
        <v>0</v>
      </c>
      <c r="DH215" s="2098">
        <f t="array" ref="DH215">MIN(SUMPRODUCT(I215:CR215,IF($I$25:$CR$25="yes",1,0),$I$23:$CR$23),H215)</f>
        <v>0</v>
      </c>
      <c r="DI215" s="3026"/>
      <c r="DJ215" s="3021"/>
      <c r="DN215" s="917" t="str">
        <f>IF(CS215="","-",SUMIF('Lighting Assumptions'!$G$3:$G$112,'6a - Lighting Counts'!G215,'Lighting Assumptions'!$J$3:$J$112))</f>
        <v>-</v>
      </c>
      <c r="DO215" s="917" t="str">
        <f t="shared" si="62"/>
        <v>-</v>
      </c>
      <c r="DP215" s="917" t="str">
        <f t="shared" si="63"/>
        <v>-</v>
      </c>
      <c r="DQ215" s="917" t="str">
        <f>IF(LEFT(CELLformula(DF215),3)&lt;&gt;"=IF",1,"")</f>
        <v/>
      </c>
      <c r="DR215" s="917" t="str">
        <f>IF(LEFT(CELLformula(DD215),3)&lt;&gt;"=IF",1,"")</f>
        <v/>
      </c>
      <c r="DS215" s="3048">
        <f t="shared" si="72"/>
        <v>0</v>
      </c>
      <c r="DT215" s="3047" t="str">
        <f t="shared" si="73"/>
        <v/>
      </c>
      <c r="DU215" s="3047" t="str">
        <f>IFERROR(IF(G215="","",SUMIF('Lighting Assumptions'!$G$3:$G$112,'6a - Lighting Counts'!G215,'Lighting Assumptions'!$H$3:$H$112)*IF(SI_IP_Units="SI",10.76,1)),"")</f>
        <v/>
      </c>
      <c r="DV215" s="3047" t="str">
        <f>IFERROR(IF($CX215="","",IF(SI_IP_Units="SI",10.76,1)*SUMIF(BAMCategories,$CY215,'Lighting Assumptions'!$E$3:E$35)),"")</f>
        <v/>
      </c>
      <c r="DW215" s="3047" t="str">
        <f>IFERROR(IF($CX215="","",IF(SI_IP_Units="SI",10.76,1)*SUMIF(BAMCategories,$CY215,IF(bpf_reference="ACP",'Lighting Assumptions 90.1-2010'!$E$3:E$35,'Lighting Assumptions 90.1-2016'!$E$3:E$35))),"")</f>
        <v/>
      </c>
      <c r="EW215" s="855"/>
      <c r="EX215" s="855"/>
      <c r="EY215" s="855"/>
      <c r="EZ215" s="855"/>
    </row>
    <row r="216" spans="4:156" x14ac:dyDescent="0.25">
      <c r="D216" s="3019"/>
      <c r="E216" s="3020"/>
      <c r="F216" s="3021">
        <f t="shared" si="60"/>
        <v>0</v>
      </c>
      <c r="G216" s="3059"/>
      <c r="H216" s="3060"/>
      <c r="I216" s="3061"/>
      <c r="J216" s="3061"/>
      <c r="K216" s="3061"/>
      <c r="L216" s="3061"/>
      <c r="M216" s="3061"/>
      <c r="N216" s="3061"/>
      <c r="O216" s="3061"/>
      <c r="P216" s="3061"/>
      <c r="Q216" s="3061"/>
      <c r="R216" s="3061"/>
      <c r="S216" s="3061"/>
      <c r="T216" s="3061"/>
      <c r="U216" s="3061"/>
      <c r="V216" s="3061"/>
      <c r="W216" s="3061"/>
      <c r="X216" s="3061"/>
      <c r="Y216" s="3061"/>
      <c r="Z216" s="3061"/>
      <c r="AA216" s="3061"/>
      <c r="AB216" s="3061"/>
      <c r="AC216" s="3061"/>
      <c r="AD216" s="3061"/>
      <c r="AE216" s="3061"/>
      <c r="AF216" s="3061"/>
      <c r="AG216" s="3061"/>
      <c r="AH216" s="3061"/>
      <c r="AI216" s="3061"/>
      <c r="AJ216" s="3061"/>
      <c r="AK216" s="3061"/>
      <c r="AL216" s="3061"/>
      <c r="AM216" s="3061"/>
      <c r="AN216" s="3061"/>
      <c r="AO216" s="3061"/>
      <c r="AP216" s="3061"/>
      <c r="AQ216" s="3061"/>
      <c r="AR216" s="3061"/>
      <c r="AS216" s="3061"/>
      <c r="AT216" s="3061"/>
      <c r="AU216" s="3061"/>
      <c r="AV216" s="3061"/>
      <c r="AW216" s="3061"/>
      <c r="AX216" s="3061"/>
      <c r="AY216" s="3061"/>
      <c r="AZ216" s="3061"/>
      <c r="BA216" s="3061"/>
      <c r="BB216" s="3061"/>
      <c r="BC216" s="3061"/>
      <c r="BD216" s="3061"/>
      <c r="BE216" s="3061"/>
      <c r="BF216" s="3061"/>
      <c r="BG216" s="3061"/>
      <c r="BH216" s="3061"/>
      <c r="BI216" s="3061"/>
      <c r="BJ216" s="3061"/>
      <c r="BK216" s="3061"/>
      <c r="BL216" s="3061"/>
      <c r="BM216" s="3061"/>
      <c r="BN216" s="3061"/>
      <c r="BO216" s="3061"/>
      <c r="BP216" s="3061"/>
      <c r="BQ216" s="3061"/>
      <c r="BR216" s="3061"/>
      <c r="BS216" s="3061"/>
      <c r="BT216" s="3061"/>
      <c r="BU216" s="3061"/>
      <c r="BV216" s="3061"/>
      <c r="BW216" s="3061"/>
      <c r="BX216" s="3061"/>
      <c r="BY216" s="3061"/>
      <c r="BZ216" s="3061"/>
      <c r="CA216" s="3061"/>
      <c r="CB216" s="3061"/>
      <c r="CC216" s="3061"/>
      <c r="CD216" s="3061"/>
      <c r="CE216" s="3061"/>
      <c r="CF216" s="3061"/>
      <c r="CG216" s="3061"/>
      <c r="CH216" s="3061"/>
      <c r="CI216" s="3061"/>
      <c r="CJ216" s="3061"/>
      <c r="CK216" s="3061"/>
      <c r="CL216" s="3061"/>
      <c r="CM216" s="3061"/>
      <c r="CN216" s="3061"/>
      <c r="CO216" s="3061"/>
      <c r="CP216" s="3061"/>
      <c r="CQ216" s="3061"/>
      <c r="CR216" s="3061"/>
      <c r="CS216" s="3062"/>
      <c r="CT216" s="3063"/>
      <c r="CU216" s="3064">
        <f t="shared" si="64"/>
        <v>1</v>
      </c>
      <c r="CV216" s="3022" t="str">
        <f>IF(OR(CT216="",CT216="None"),"-",DO216*CU216*SUMIF('Lighting Assumptions'!$G$3:$G$112,'6a - Lighting Counts'!G216,'Lighting Assumptions'!$J$3:$J$112))</f>
        <v>-</v>
      </c>
      <c r="CW216" s="3021"/>
      <c r="CX216" s="3021"/>
      <c r="CY216" s="3046"/>
      <c r="CZ216" s="2098">
        <f t="shared" si="65"/>
        <v>0</v>
      </c>
      <c r="DA216" s="2098" t="str">
        <f t="shared" si="66"/>
        <v>-</v>
      </c>
      <c r="DB216" s="2098">
        <f t="shared" si="67"/>
        <v>0</v>
      </c>
      <c r="DC216" s="3023" t="str">
        <f t="shared" si="68"/>
        <v>-</v>
      </c>
      <c r="DD216" s="3024" t="str">
        <f t="shared" si="69"/>
        <v/>
      </c>
      <c r="DE216" s="3025" t="str">
        <f t="shared" si="70"/>
        <v>-</v>
      </c>
      <c r="DF216" s="3024" t="str">
        <f t="shared" si="61"/>
        <v>-</v>
      </c>
      <c r="DG216" s="2098">
        <f t="shared" si="71"/>
        <v>0</v>
      </c>
      <c r="DH216" s="2098">
        <f t="array" ref="DH216">MIN(SUMPRODUCT(I216:CR216,IF($I$25:$CR$25="yes",1,0),$I$23:$CR$23),H216)</f>
        <v>0</v>
      </c>
      <c r="DI216" s="3026"/>
      <c r="DJ216" s="3021"/>
      <c r="DN216" s="917" t="str">
        <f>IF(CS216="","-",SUMIF('Lighting Assumptions'!$G$3:$G$112,'6a - Lighting Counts'!G216,'Lighting Assumptions'!$J$3:$J$112))</f>
        <v>-</v>
      </c>
      <c r="DO216" s="917" t="str">
        <f t="shared" si="62"/>
        <v>-</v>
      </c>
      <c r="DP216" s="917" t="str">
        <f t="shared" si="63"/>
        <v>-</v>
      </c>
      <c r="DQ216" s="917" t="str">
        <f>IF(LEFT(CELLformula(DF216),3)&lt;&gt;"=IF",1,"")</f>
        <v/>
      </c>
      <c r="DR216" s="917" t="str">
        <f>IF(LEFT(CELLformula(DD216),3)&lt;&gt;"=IF",1,"")</f>
        <v/>
      </c>
      <c r="DS216" s="3048">
        <f t="shared" si="72"/>
        <v>0</v>
      </c>
      <c r="DT216" s="3047" t="str">
        <f t="shared" si="73"/>
        <v/>
      </c>
      <c r="DU216" s="3047" t="str">
        <f>IFERROR(IF(G216="","",SUMIF('Lighting Assumptions'!$G$3:$G$112,'6a - Lighting Counts'!G216,'Lighting Assumptions'!$H$3:$H$112)*IF(SI_IP_Units="SI",10.76,1)),"")</f>
        <v/>
      </c>
      <c r="DV216" s="3047" t="str">
        <f>IFERROR(IF($CX216="","",IF(SI_IP_Units="SI",10.76,1)*SUMIF(BAMCategories,$CY216,'Lighting Assumptions'!$E$3:E$35)),"")</f>
        <v/>
      </c>
      <c r="DW216" s="3047" t="str">
        <f>IFERROR(IF($CX216="","",IF(SI_IP_Units="SI",10.76,1)*SUMIF(BAMCategories,$CY216,IF(bpf_reference="ACP",'Lighting Assumptions 90.1-2010'!$E$3:E$35,'Lighting Assumptions 90.1-2016'!$E$3:E$35))),"")</f>
        <v/>
      </c>
      <c r="EW216" s="855"/>
      <c r="EX216" s="855"/>
      <c r="EY216" s="855"/>
      <c r="EZ216" s="855"/>
    </row>
    <row r="217" spans="4:156" x14ac:dyDescent="0.25">
      <c r="D217" s="3019"/>
      <c r="E217" s="3020"/>
      <c r="F217" s="3021">
        <f t="shared" si="60"/>
        <v>0</v>
      </c>
      <c r="G217" s="3059"/>
      <c r="H217" s="3060"/>
      <c r="I217" s="3061"/>
      <c r="J217" s="3061"/>
      <c r="K217" s="3061"/>
      <c r="L217" s="3061"/>
      <c r="M217" s="3061"/>
      <c r="N217" s="3061"/>
      <c r="O217" s="3061"/>
      <c r="P217" s="3061"/>
      <c r="Q217" s="3061"/>
      <c r="R217" s="3061"/>
      <c r="S217" s="3061"/>
      <c r="T217" s="3061"/>
      <c r="U217" s="3061"/>
      <c r="V217" s="3061"/>
      <c r="W217" s="3061"/>
      <c r="X217" s="3061"/>
      <c r="Y217" s="3061"/>
      <c r="Z217" s="3061"/>
      <c r="AA217" s="3061"/>
      <c r="AB217" s="3061"/>
      <c r="AC217" s="3061"/>
      <c r="AD217" s="3061"/>
      <c r="AE217" s="3061"/>
      <c r="AF217" s="3061"/>
      <c r="AG217" s="3061"/>
      <c r="AH217" s="3061"/>
      <c r="AI217" s="3061"/>
      <c r="AJ217" s="3061"/>
      <c r="AK217" s="3061"/>
      <c r="AL217" s="3061"/>
      <c r="AM217" s="3061"/>
      <c r="AN217" s="3061"/>
      <c r="AO217" s="3061"/>
      <c r="AP217" s="3061"/>
      <c r="AQ217" s="3061"/>
      <c r="AR217" s="3061"/>
      <c r="AS217" s="3061"/>
      <c r="AT217" s="3061"/>
      <c r="AU217" s="3061"/>
      <c r="AV217" s="3061"/>
      <c r="AW217" s="3061"/>
      <c r="AX217" s="3061"/>
      <c r="AY217" s="3061"/>
      <c r="AZ217" s="3061"/>
      <c r="BA217" s="3061"/>
      <c r="BB217" s="3061"/>
      <c r="BC217" s="3061"/>
      <c r="BD217" s="3061"/>
      <c r="BE217" s="3061"/>
      <c r="BF217" s="3061"/>
      <c r="BG217" s="3061"/>
      <c r="BH217" s="3061"/>
      <c r="BI217" s="3061"/>
      <c r="BJ217" s="3061"/>
      <c r="BK217" s="3061"/>
      <c r="BL217" s="3061"/>
      <c r="BM217" s="3061"/>
      <c r="BN217" s="3061"/>
      <c r="BO217" s="3061"/>
      <c r="BP217" s="3061"/>
      <c r="BQ217" s="3061"/>
      <c r="BR217" s="3061"/>
      <c r="BS217" s="3061"/>
      <c r="BT217" s="3061"/>
      <c r="BU217" s="3061"/>
      <c r="BV217" s="3061"/>
      <c r="BW217" s="3061"/>
      <c r="BX217" s="3061"/>
      <c r="BY217" s="3061"/>
      <c r="BZ217" s="3061"/>
      <c r="CA217" s="3061"/>
      <c r="CB217" s="3061"/>
      <c r="CC217" s="3061"/>
      <c r="CD217" s="3061"/>
      <c r="CE217" s="3061"/>
      <c r="CF217" s="3061"/>
      <c r="CG217" s="3061"/>
      <c r="CH217" s="3061"/>
      <c r="CI217" s="3061"/>
      <c r="CJ217" s="3061"/>
      <c r="CK217" s="3061"/>
      <c r="CL217" s="3061"/>
      <c r="CM217" s="3061"/>
      <c r="CN217" s="3061"/>
      <c r="CO217" s="3061"/>
      <c r="CP217" s="3061"/>
      <c r="CQ217" s="3061"/>
      <c r="CR217" s="3061"/>
      <c r="CS217" s="3062"/>
      <c r="CT217" s="3063"/>
      <c r="CU217" s="3064">
        <f t="shared" si="64"/>
        <v>1</v>
      </c>
      <c r="CV217" s="3022" t="str">
        <f>IF(OR(CT217="",CT217="None"),"-",DO217*CU217*SUMIF('Lighting Assumptions'!$G$3:$G$112,'6a - Lighting Counts'!G217,'Lighting Assumptions'!$J$3:$J$112))</f>
        <v>-</v>
      </c>
      <c r="CW217" s="3021"/>
      <c r="CX217" s="3021"/>
      <c r="CY217" s="3046"/>
      <c r="CZ217" s="2098">
        <f t="shared" si="65"/>
        <v>0</v>
      </c>
      <c r="DA217" s="2098" t="str">
        <f t="shared" si="66"/>
        <v>-</v>
      </c>
      <c r="DB217" s="2098">
        <f t="shared" si="67"/>
        <v>0</v>
      </c>
      <c r="DC217" s="3023" t="str">
        <f t="shared" si="68"/>
        <v>-</v>
      </c>
      <c r="DD217" s="3024" t="str">
        <f t="shared" si="69"/>
        <v/>
      </c>
      <c r="DE217" s="3025" t="str">
        <f t="shared" si="70"/>
        <v>-</v>
      </c>
      <c r="DF217" s="3024" t="str">
        <f t="shared" si="61"/>
        <v>-</v>
      </c>
      <c r="DG217" s="2098">
        <f t="shared" si="71"/>
        <v>0</v>
      </c>
      <c r="DH217" s="2098">
        <f t="array" ref="DH217">MIN(SUMPRODUCT(I217:CR217,IF($I$25:$CR$25="yes",1,0),$I$23:$CR$23),H217)</f>
        <v>0</v>
      </c>
      <c r="DI217" s="3026"/>
      <c r="DJ217" s="3021"/>
      <c r="DN217" s="917" t="str">
        <f>IF(CS217="","-",SUMIF('Lighting Assumptions'!$G$3:$G$112,'6a - Lighting Counts'!G217,'Lighting Assumptions'!$J$3:$J$112))</f>
        <v>-</v>
      </c>
      <c r="DO217" s="917" t="str">
        <f t="shared" si="62"/>
        <v>-</v>
      </c>
      <c r="DP217" s="917" t="str">
        <f t="shared" si="63"/>
        <v>-</v>
      </c>
      <c r="DQ217" s="917" t="str">
        <f>IF(LEFT(CELLformula(DF217),3)&lt;&gt;"=IF",1,"")</f>
        <v/>
      </c>
      <c r="DR217" s="917" t="str">
        <f>IF(LEFT(CELLformula(DD217),3)&lt;&gt;"=IF",1,"")</f>
        <v/>
      </c>
      <c r="DS217" s="3048">
        <f t="shared" si="72"/>
        <v>0</v>
      </c>
      <c r="DT217" s="3047" t="str">
        <f t="shared" si="73"/>
        <v/>
      </c>
      <c r="DU217" s="3047" t="str">
        <f>IFERROR(IF(G217="","",SUMIF('Lighting Assumptions'!$G$3:$G$112,'6a - Lighting Counts'!G217,'Lighting Assumptions'!$H$3:$H$112)*IF(SI_IP_Units="SI",10.76,1)),"")</f>
        <v/>
      </c>
      <c r="DV217" s="3047" t="str">
        <f>IFERROR(IF($CX217="","",IF(SI_IP_Units="SI",10.76,1)*SUMIF(BAMCategories,$CY217,'Lighting Assumptions'!$E$3:E$35)),"")</f>
        <v/>
      </c>
      <c r="DW217" s="3047" t="str">
        <f>IFERROR(IF($CX217="","",IF(SI_IP_Units="SI",10.76,1)*SUMIF(BAMCategories,$CY217,IF(bpf_reference="ACP",'Lighting Assumptions 90.1-2010'!$E$3:E$35,'Lighting Assumptions 90.1-2016'!$E$3:E$35))),"")</f>
        <v/>
      </c>
      <c r="EW217" s="855"/>
      <c r="EX217" s="855"/>
      <c r="EY217" s="855"/>
      <c r="EZ217" s="855"/>
    </row>
    <row r="218" spans="4:156" x14ac:dyDescent="0.25">
      <c r="D218" s="3019"/>
      <c r="E218" s="3020"/>
      <c r="F218" s="3021">
        <f t="shared" si="60"/>
        <v>0</v>
      </c>
      <c r="G218" s="3059"/>
      <c r="H218" s="3060"/>
      <c r="I218" s="3061"/>
      <c r="J218" s="3061"/>
      <c r="K218" s="3061"/>
      <c r="L218" s="3061"/>
      <c r="M218" s="3061"/>
      <c r="N218" s="3061"/>
      <c r="O218" s="3061"/>
      <c r="P218" s="3061"/>
      <c r="Q218" s="3061"/>
      <c r="R218" s="3061"/>
      <c r="S218" s="3061"/>
      <c r="T218" s="3061"/>
      <c r="U218" s="3061"/>
      <c r="V218" s="3061"/>
      <c r="W218" s="3061"/>
      <c r="X218" s="3061"/>
      <c r="Y218" s="3061"/>
      <c r="Z218" s="3061"/>
      <c r="AA218" s="3061"/>
      <c r="AB218" s="3061"/>
      <c r="AC218" s="3061"/>
      <c r="AD218" s="3061"/>
      <c r="AE218" s="3061"/>
      <c r="AF218" s="3061"/>
      <c r="AG218" s="3061"/>
      <c r="AH218" s="3061"/>
      <c r="AI218" s="3061"/>
      <c r="AJ218" s="3061"/>
      <c r="AK218" s="3061"/>
      <c r="AL218" s="3061"/>
      <c r="AM218" s="3061"/>
      <c r="AN218" s="3061"/>
      <c r="AO218" s="3061"/>
      <c r="AP218" s="3061"/>
      <c r="AQ218" s="3061"/>
      <c r="AR218" s="3061"/>
      <c r="AS218" s="3061"/>
      <c r="AT218" s="3061"/>
      <c r="AU218" s="3061"/>
      <c r="AV218" s="3061"/>
      <c r="AW218" s="3061"/>
      <c r="AX218" s="3061"/>
      <c r="AY218" s="3061"/>
      <c r="AZ218" s="3061"/>
      <c r="BA218" s="3061"/>
      <c r="BB218" s="3061"/>
      <c r="BC218" s="3061"/>
      <c r="BD218" s="3061"/>
      <c r="BE218" s="3061"/>
      <c r="BF218" s="3061"/>
      <c r="BG218" s="3061"/>
      <c r="BH218" s="3061"/>
      <c r="BI218" s="3061"/>
      <c r="BJ218" s="3061"/>
      <c r="BK218" s="3061"/>
      <c r="BL218" s="3061"/>
      <c r="BM218" s="3061"/>
      <c r="BN218" s="3061"/>
      <c r="BO218" s="3061"/>
      <c r="BP218" s="3061"/>
      <c r="BQ218" s="3061"/>
      <c r="BR218" s="3061"/>
      <c r="BS218" s="3061"/>
      <c r="BT218" s="3061"/>
      <c r="BU218" s="3061"/>
      <c r="BV218" s="3061"/>
      <c r="BW218" s="3061"/>
      <c r="BX218" s="3061"/>
      <c r="BY218" s="3061"/>
      <c r="BZ218" s="3061"/>
      <c r="CA218" s="3061"/>
      <c r="CB218" s="3061"/>
      <c r="CC218" s="3061"/>
      <c r="CD218" s="3061"/>
      <c r="CE218" s="3061"/>
      <c r="CF218" s="3061"/>
      <c r="CG218" s="3061"/>
      <c r="CH218" s="3061"/>
      <c r="CI218" s="3061"/>
      <c r="CJ218" s="3061"/>
      <c r="CK218" s="3061"/>
      <c r="CL218" s="3061"/>
      <c r="CM218" s="3061"/>
      <c r="CN218" s="3061"/>
      <c r="CO218" s="3061"/>
      <c r="CP218" s="3061"/>
      <c r="CQ218" s="3061"/>
      <c r="CR218" s="3061"/>
      <c r="CS218" s="3062"/>
      <c r="CT218" s="3063"/>
      <c r="CU218" s="3064">
        <f t="shared" si="64"/>
        <v>1</v>
      </c>
      <c r="CV218" s="3022" t="str">
        <f>IF(OR(CT218="",CT218="None"),"-",DO218*CU218*SUMIF('Lighting Assumptions'!$G$3:$G$112,'6a - Lighting Counts'!G218,'Lighting Assumptions'!$J$3:$J$112))</f>
        <v>-</v>
      </c>
      <c r="CW218" s="3021"/>
      <c r="CX218" s="3021"/>
      <c r="CY218" s="3046"/>
      <c r="CZ218" s="2098">
        <f t="shared" si="65"/>
        <v>0</v>
      </c>
      <c r="DA218" s="2098" t="str">
        <f t="shared" si="66"/>
        <v>-</v>
      </c>
      <c r="DB218" s="2098">
        <f t="shared" si="67"/>
        <v>0</v>
      </c>
      <c r="DC218" s="3023" t="str">
        <f t="shared" si="68"/>
        <v>-</v>
      </c>
      <c r="DD218" s="3024" t="str">
        <f t="shared" si="69"/>
        <v/>
      </c>
      <c r="DE218" s="3025" t="str">
        <f t="shared" si="70"/>
        <v>-</v>
      </c>
      <c r="DF218" s="3024" t="str">
        <f t="shared" si="61"/>
        <v>-</v>
      </c>
      <c r="DG218" s="2098">
        <f t="shared" si="71"/>
        <v>0</v>
      </c>
      <c r="DH218" s="2098">
        <f t="array" ref="DH218">MIN(SUMPRODUCT(I218:CR218,IF($I$25:$CR$25="yes",1,0),$I$23:$CR$23),H218)</f>
        <v>0</v>
      </c>
      <c r="DI218" s="3026"/>
      <c r="DJ218" s="3021"/>
      <c r="DN218" s="917" t="str">
        <f>IF(CS218="","-",SUMIF('Lighting Assumptions'!$G$3:$G$112,'6a - Lighting Counts'!G218,'Lighting Assumptions'!$J$3:$J$112))</f>
        <v>-</v>
      </c>
      <c r="DO218" s="917" t="str">
        <f t="shared" si="62"/>
        <v>-</v>
      </c>
      <c r="DP218" s="917" t="str">
        <f t="shared" si="63"/>
        <v>-</v>
      </c>
      <c r="DQ218" s="917" t="str">
        <f>IF(LEFT(CELLformula(DF218),3)&lt;&gt;"=IF",1,"")</f>
        <v/>
      </c>
      <c r="DR218" s="917" t="str">
        <f>IF(LEFT(CELLformula(DD218),3)&lt;&gt;"=IF",1,"")</f>
        <v/>
      </c>
      <c r="DS218" s="3048">
        <f t="shared" si="72"/>
        <v>0</v>
      </c>
      <c r="DT218" s="3047" t="str">
        <f t="shared" si="73"/>
        <v/>
      </c>
      <c r="DU218" s="3047" t="str">
        <f>IFERROR(IF(G218="","",SUMIF('Lighting Assumptions'!$G$3:$G$112,'6a - Lighting Counts'!G218,'Lighting Assumptions'!$H$3:$H$112)*IF(SI_IP_Units="SI",10.76,1)),"")</f>
        <v/>
      </c>
      <c r="DV218" s="3047" t="str">
        <f>IFERROR(IF($CX218="","",IF(SI_IP_Units="SI",10.76,1)*SUMIF(BAMCategories,$CY218,'Lighting Assumptions'!$E$3:E$35)),"")</f>
        <v/>
      </c>
      <c r="DW218" s="3047" t="str">
        <f>IFERROR(IF($CX218="","",IF(SI_IP_Units="SI",10.76,1)*SUMIF(BAMCategories,$CY218,IF(bpf_reference="ACP",'Lighting Assumptions 90.1-2010'!$E$3:E$35,'Lighting Assumptions 90.1-2016'!$E$3:E$35))),"")</f>
        <v/>
      </c>
      <c r="EW218" s="855"/>
      <c r="EX218" s="855"/>
      <c r="EY218" s="855"/>
      <c r="EZ218" s="855"/>
    </row>
    <row r="219" spans="4:156" x14ac:dyDescent="0.25">
      <c r="D219" s="3019"/>
      <c r="E219" s="3020"/>
      <c r="F219" s="3021">
        <f t="shared" si="60"/>
        <v>0</v>
      </c>
      <c r="G219" s="3059"/>
      <c r="H219" s="3060"/>
      <c r="I219" s="3061"/>
      <c r="J219" s="3061"/>
      <c r="K219" s="3061"/>
      <c r="L219" s="3061"/>
      <c r="M219" s="3061"/>
      <c r="N219" s="3061"/>
      <c r="O219" s="3061"/>
      <c r="P219" s="3061"/>
      <c r="Q219" s="3061"/>
      <c r="R219" s="3061"/>
      <c r="S219" s="3061"/>
      <c r="T219" s="3061"/>
      <c r="U219" s="3061"/>
      <c r="V219" s="3061"/>
      <c r="W219" s="3061"/>
      <c r="X219" s="3061"/>
      <c r="Y219" s="3061"/>
      <c r="Z219" s="3061"/>
      <c r="AA219" s="3061"/>
      <c r="AB219" s="3061"/>
      <c r="AC219" s="3061"/>
      <c r="AD219" s="3061"/>
      <c r="AE219" s="3061"/>
      <c r="AF219" s="3061"/>
      <c r="AG219" s="3061"/>
      <c r="AH219" s="3061"/>
      <c r="AI219" s="3061"/>
      <c r="AJ219" s="3061"/>
      <c r="AK219" s="3061"/>
      <c r="AL219" s="3061"/>
      <c r="AM219" s="3061"/>
      <c r="AN219" s="3061"/>
      <c r="AO219" s="3061"/>
      <c r="AP219" s="3061"/>
      <c r="AQ219" s="3061"/>
      <c r="AR219" s="3061"/>
      <c r="AS219" s="3061"/>
      <c r="AT219" s="3061"/>
      <c r="AU219" s="3061"/>
      <c r="AV219" s="3061"/>
      <c r="AW219" s="3061"/>
      <c r="AX219" s="3061"/>
      <c r="AY219" s="3061"/>
      <c r="AZ219" s="3061"/>
      <c r="BA219" s="3061"/>
      <c r="BB219" s="3061"/>
      <c r="BC219" s="3061"/>
      <c r="BD219" s="3061"/>
      <c r="BE219" s="3061"/>
      <c r="BF219" s="3061"/>
      <c r="BG219" s="3061"/>
      <c r="BH219" s="3061"/>
      <c r="BI219" s="3061"/>
      <c r="BJ219" s="3061"/>
      <c r="BK219" s="3061"/>
      <c r="BL219" s="3061"/>
      <c r="BM219" s="3061"/>
      <c r="BN219" s="3061"/>
      <c r="BO219" s="3061"/>
      <c r="BP219" s="3061"/>
      <c r="BQ219" s="3061"/>
      <c r="BR219" s="3061"/>
      <c r="BS219" s="3061"/>
      <c r="BT219" s="3061"/>
      <c r="BU219" s="3061"/>
      <c r="BV219" s="3061"/>
      <c r="BW219" s="3061"/>
      <c r="BX219" s="3061"/>
      <c r="BY219" s="3061"/>
      <c r="BZ219" s="3061"/>
      <c r="CA219" s="3061"/>
      <c r="CB219" s="3061"/>
      <c r="CC219" s="3061"/>
      <c r="CD219" s="3061"/>
      <c r="CE219" s="3061"/>
      <c r="CF219" s="3061"/>
      <c r="CG219" s="3061"/>
      <c r="CH219" s="3061"/>
      <c r="CI219" s="3061"/>
      <c r="CJ219" s="3061"/>
      <c r="CK219" s="3061"/>
      <c r="CL219" s="3061"/>
      <c r="CM219" s="3061"/>
      <c r="CN219" s="3061"/>
      <c r="CO219" s="3061"/>
      <c r="CP219" s="3061"/>
      <c r="CQ219" s="3061"/>
      <c r="CR219" s="3061"/>
      <c r="CS219" s="3062"/>
      <c r="CT219" s="3063"/>
      <c r="CU219" s="3064">
        <f t="shared" si="64"/>
        <v>1</v>
      </c>
      <c r="CV219" s="3022" t="str">
        <f>IF(OR(CT219="",CT219="None"),"-",DO219*CU219*SUMIF('Lighting Assumptions'!$G$3:$G$112,'6a - Lighting Counts'!G219,'Lighting Assumptions'!$J$3:$J$112))</f>
        <v>-</v>
      </c>
      <c r="CW219" s="3021"/>
      <c r="CX219" s="3021"/>
      <c r="CY219" s="3046"/>
      <c r="CZ219" s="2098">
        <f t="shared" si="65"/>
        <v>0</v>
      </c>
      <c r="DA219" s="2098" t="str">
        <f t="shared" si="66"/>
        <v>-</v>
      </c>
      <c r="DB219" s="2098">
        <f t="shared" si="67"/>
        <v>0</v>
      </c>
      <c r="DC219" s="3023" t="str">
        <f t="shared" si="68"/>
        <v>-</v>
      </c>
      <c r="DD219" s="3024" t="str">
        <f t="shared" si="69"/>
        <v/>
      </c>
      <c r="DE219" s="3025" t="str">
        <f t="shared" si="70"/>
        <v>-</v>
      </c>
      <c r="DF219" s="3024" t="str">
        <f t="shared" si="61"/>
        <v>-</v>
      </c>
      <c r="DG219" s="2098">
        <f t="shared" si="71"/>
        <v>0</v>
      </c>
      <c r="DH219" s="2098">
        <f t="array" ref="DH219">MIN(SUMPRODUCT(I219:CR219,IF($I$25:$CR$25="yes",1,0),$I$23:$CR$23),H219)</f>
        <v>0</v>
      </c>
      <c r="DI219" s="3026"/>
      <c r="DJ219" s="3021"/>
      <c r="DN219" s="917" t="str">
        <f>IF(CS219="","-",SUMIF('Lighting Assumptions'!$G$3:$G$112,'6a - Lighting Counts'!G219,'Lighting Assumptions'!$J$3:$J$112))</f>
        <v>-</v>
      </c>
      <c r="DO219" s="917" t="str">
        <f t="shared" si="62"/>
        <v>-</v>
      </c>
      <c r="DP219" s="917" t="str">
        <f t="shared" si="63"/>
        <v>-</v>
      </c>
      <c r="DQ219" s="917" t="str">
        <f>IF(LEFT(CELLformula(DF219),3)&lt;&gt;"=IF",1,"")</f>
        <v/>
      </c>
      <c r="DR219" s="917" t="str">
        <f>IF(LEFT(CELLformula(DD219),3)&lt;&gt;"=IF",1,"")</f>
        <v/>
      </c>
      <c r="DS219" s="3048">
        <f t="shared" si="72"/>
        <v>0</v>
      </c>
      <c r="DT219" s="3047" t="str">
        <f t="shared" si="73"/>
        <v/>
      </c>
      <c r="DU219" s="3047" t="str">
        <f>IFERROR(IF(G219="","",SUMIF('Lighting Assumptions'!$G$3:$G$112,'6a - Lighting Counts'!G219,'Lighting Assumptions'!$H$3:$H$112)*IF(SI_IP_Units="SI",10.76,1)),"")</f>
        <v/>
      </c>
      <c r="DV219" s="3047" t="str">
        <f>IFERROR(IF($CX219="","",IF(SI_IP_Units="SI",10.76,1)*SUMIF(BAMCategories,$CY219,'Lighting Assumptions'!$E$3:E$35)),"")</f>
        <v/>
      </c>
      <c r="DW219" s="3047" t="str">
        <f>IFERROR(IF($CX219="","",IF(SI_IP_Units="SI",10.76,1)*SUMIF(BAMCategories,$CY219,IF(bpf_reference="ACP",'Lighting Assumptions 90.1-2010'!$E$3:E$35,'Lighting Assumptions 90.1-2016'!$E$3:E$35))),"")</f>
        <v/>
      </c>
      <c r="EW219" s="855"/>
      <c r="EX219" s="855"/>
      <c r="EY219" s="855"/>
      <c r="EZ219" s="855"/>
    </row>
    <row r="220" spans="4:156" x14ac:dyDescent="0.25">
      <c r="D220" s="3019"/>
      <c r="E220" s="3020"/>
      <c r="F220" s="3021">
        <f t="shared" si="60"/>
        <v>0</v>
      </c>
      <c r="G220" s="3059"/>
      <c r="H220" s="3060"/>
      <c r="I220" s="3061"/>
      <c r="J220" s="3061"/>
      <c r="K220" s="3061"/>
      <c r="L220" s="3061"/>
      <c r="M220" s="3061"/>
      <c r="N220" s="3061"/>
      <c r="O220" s="3061"/>
      <c r="P220" s="3061"/>
      <c r="Q220" s="3061"/>
      <c r="R220" s="3061"/>
      <c r="S220" s="3061"/>
      <c r="T220" s="3061"/>
      <c r="U220" s="3061"/>
      <c r="V220" s="3061"/>
      <c r="W220" s="3061"/>
      <c r="X220" s="3061"/>
      <c r="Y220" s="3061"/>
      <c r="Z220" s="3061"/>
      <c r="AA220" s="3061"/>
      <c r="AB220" s="3061"/>
      <c r="AC220" s="3061"/>
      <c r="AD220" s="3061"/>
      <c r="AE220" s="3061"/>
      <c r="AF220" s="3061"/>
      <c r="AG220" s="3061"/>
      <c r="AH220" s="3061"/>
      <c r="AI220" s="3061"/>
      <c r="AJ220" s="3061"/>
      <c r="AK220" s="3061"/>
      <c r="AL220" s="3061"/>
      <c r="AM220" s="3061"/>
      <c r="AN220" s="3061"/>
      <c r="AO220" s="3061"/>
      <c r="AP220" s="3061"/>
      <c r="AQ220" s="3061"/>
      <c r="AR220" s="3061"/>
      <c r="AS220" s="3061"/>
      <c r="AT220" s="3061"/>
      <c r="AU220" s="3061"/>
      <c r="AV220" s="3061"/>
      <c r="AW220" s="3061"/>
      <c r="AX220" s="3061"/>
      <c r="AY220" s="3061"/>
      <c r="AZ220" s="3061"/>
      <c r="BA220" s="3061"/>
      <c r="BB220" s="3061"/>
      <c r="BC220" s="3061"/>
      <c r="BD220" s="3061"/>
      <c r="BE220" s="3061"/>
      <c r="BF220" s="3061"/>
      <c r="BG220" s="3061"/>
      <c r="BH220" s="3061"/>
      <c r="BI220" s="3061"/>
      <c r="BJ220" s="3061"/>
      <c r="BK220" s="3061"/>
      <c r="BL220" s="3061"/>
      <c r="BM220" s="3061"/>
      <c r="BN220" s="3061"/>
      <c r="BO220" s="3061"/>
      <c r="BP220" s="3061"/>
      <c r="BQ220" s="3061"/>
      <c r="BR220" s="3061"/>
      <c r="BS220" s="3061"/>
      <c r="BT220" s="3061"/>
      <c r="BU220" s="3061"/>
      <c r="BV220" s="3061"/>
      <c r="BW220" s="3061"/>
      <c r="BX220" s="3061"/>
      <c r="BY220" s="3061"/>
      <c r="BZ220" s="3061"/>
      <c r="CA220" s="3061"/>
      <c r="CB220" s="3061"/>
      <c r="CC220" s="3061"/>
      <c r="CD220" s="3061"/>
      <c r="CE220" s="3061"/>
      <c r="CF220" s="3061"/>
      <c r="CG220" s="3061"/>
      <c r="CH220" s="3061"/>
      <c r="CI220" s="3061"/>
      <c r="CJ220" s="3061"/>
      <c r="CK220" s="3061"/>
      <c r="CL220" s="3061"/>
      <c r="CM220" s="3061"/>
      <c r="CN220" s="3061"/>
      <c r="CO220" s="3061"/>
      <c r="CP220" s="3061"/>
      <c r="CQ220" s="3061"/>
      <c r="CR220" s="3061"/>
      <c r="CS220" s="3062"/>
      <c r="CT220" s="3063"/>
      <c r="CU220" s="3064">
        <f t="shared" si="64"/>
        <v>1</v>
      </c>
      <c r="CV220" s="3022" t="str">
        <f>IF(OR(CT220="",CT220="None"),"-",DO220*CU220*SUMIF('Lighting Assumptions'!$G$3:$G$112,'6a - Lighting Counts'!G220,'Lighting Assumptions'!$J$3:$J$112))</f>
        <v>-</v>
      </c>
      <c r="CW220" s="3021"/>
      <c r="CX220" s="3021"/>
      <c r="CY220" s="3046"/>
      <c r="CZ220" s="2098">
        <f t="shared" si="65"/>
        <v>0</v>
      </c>
      <c r="DA220" s="2098" t="str">
        <f t="shared" si="66"/>
        <v>-</v>
      </c>
      <c r="DB220" s="2098">
        <f t="shared" si="67"/>
        <v>0</v>
      </c>
      <c r="DC220" s="3023" t="str">
        <f t="shared" si="68"/>
        <v>-</v>
      </c>
      <c r="DD220" s="3024" t="str">
        <f t="shared" si="69"/>
        <v/>
      </c>
      <c r="DE220" s="3025" t="str">
        <f t="shared" si="70"/>
        <v>-</v>
      </c>
      <c r="DF220" s="3024" t="str">
        <f t="shared" si="61"/>
        <v>-</v>
      </c>
      <c r="DG220" s="2098">
        <f t="shared" si="71"/>
        <v>0</v>
      </c>
      <c r="DH220" s="2098">
        <f t="array" ref="DH220">MIN(SUMPRODUCT(I220:CR220,IF($I$25:$CR$25="yes",1,0),$I$23:$CR$23),H220)</f>
        <v>0</v>
      </c>
      <c r="DI220" s="3026"/>
      <c r="DJ220" s="3021"/>
      <c r="DN220" s="917" t="str">
        <f>IF(CS220="","-",SUMIF('Lighting Assumptions'!$G$3:$G$112,'6a - Lighting Counts'!G220,'Lighting Assumptions'!$J$3:$J$112))</f>
        <v>-</v>
      </c>
      <c r="DO220" s="917" t="str">
        <f t="shared" si="62"/>
        <v>-</v>
      </c>
      <c r="DP220" s="917" t="str">
        <f t="shared" si="63"/>
        <v>-</v>
      </c>
      <c r="DQ220" s="917" t="str">
        <f>IF(LEFT(CELLformula(DF220),3)&lt;&gt;"=IF",1,"")</f>
        <v/>
      </c>
      <c r="DR220" s="917" t="str">
        <f>IF(LEFT(CELLformula(DD220),3)&lt;&gt;"=IF",1,"")</f>
        <v/>
      </c>
      <c r="DS220" s="3048">
        <f t="shared" si="72"/>
        <v>0</v>
      </c>
      <c r="DT220" s="3047" t="str">
        <f t="shared" si="73"/>
        <v/>
      </c>
      <c r="DU220" s="3047" t="str">
        <f>IFERROR(IF(G220="","",SUMIF('Lighting Assumptions'!$G$3:$G$112,'6a - Lighting Counts'!G220,'Lighting Assumptions'!$H$3:$H$112)*IF(SI_IP_Units="SI",10.76,1)),"")</f>
        <v/>
      </c>
      <c r="DV220" s="3047" t="str">
        <f>IFERROR(IF($CX220="","",IF(SI_IP_Units="SI",10.76,1)*SUMIF(BAMCategories,$CY220,'Lighting Assumptions'!$E$3:E$35)),"")</f>
        <v/>
      </c>
      <c r="DW220" s="3047" t="str">
        <f>IFERROR(IF($CX220="","",IF(SI_IP_Units="SI",10.76,1)*SUMIF(BAMCategories,$CY220,IF(bpf_reference="ACP",'Lighting Assumptions 90.1-2010'!$E$3:E$35,'Lighting Assumptions 90.1-2016'!$E$3:E$35))),"")</f>
        <v/>
      </c>
      <c r="EW220" s="855"/>
      <c r="EX220" s="855"/>
      <c r="EY220" s="855"/>
      <c r="EZ220" s="855"/>
    </row>
    <row r="221" spans="4:156" x14ac:dyDescent="0.25">
      <c r="D221" s="3019"/>
      <c r="E221" s="3020"/>
      <c r="F221" s="3021">
        <f t="shared" ref="F221:F284" si="74">IF(ISBLANK(D221)=FALSE,1,0)</f>
        <v>0</v>
      </c>
      <c r="G221" s="3059"/>
      <c r="H221" s="3060"/>
      <c r="I221" s="3061"/>
      <c r="J221" s="3061"/>
      <c r="K221" s="3061"/>
      <c r="L221" s="3061"/>
      <c r="M221" s="3061"/>
      <c r="N221" s="3061"/>
      <c r="O221" s="3061"/>
      <c r="P221" s="3061"/>
      <c r="Q221" s="3061"/>
      <c r="R221" s="3061"/>
      <c r="S221" s="3061"/>
      <c r="T221" s="3061"/>
      <c r="U221" s="3061"/>
      <c r="V221" s="3061"/>
      <c r="W221" s="3061"/>
      <c r="X221" s="3061"/>
      <c r="Y221" s="3061"/>
      <c r="Z221" s="3061"/>
      <c r="AA221" s="3061"/>
      <c r="AB221" s="3061"/>
      <c r="AC221" s="3061"/>
      <c r="AD221" s="3061"/>
      <c r="AE221" s="3061"/>
      <c r="AF221" s="3061"/>
      <c r="AG221" s="3061"/>
      <c r="AH221" s="3061"/>
      <c r="AI221" s="3061"/>
      <c r="AJ221" s="3061"/>
      <c r="AK221" s="3061"/>
      <c r="AL221" s="3061"/>
      <c r="AM221" s="3061"/>
      <c r="AN221" s="3061"/>
      <c r="AO221" s="3061"/>
      <c r="AP221" s="3061"/>
      <c r="AQ221" s="3061"/>
      <c r="AR221" s="3061"/>
      <c r="AS221" s="3061"/>
      <c r="AT221" s="3061"/>
      <c r="AU221" s="3061"/>
      <c r="AV221" s="3061"/>
      <c r="AW221" s="3061"/>
      <c r="AX221" s="3061"/>
      <c r="AY221" s="3061"/>
      <c r="AZ221" s="3061"/>
      <c r="BA221" s="3061"/>
      <c r="BB221" s="3061"/>
      <c r="BC221" s="3061"/>
      <c r="BD221" s="3061"/>
      <c r="BE221" s="3061"/>
      <c r="BF221" s="3061"/>
      <c r="BG221" s="3061"/>
      <c r="BH221" s="3061"/>
      <c r="BI221" s="3061"/>
      <c r="BJ221" s="3061"/>
      <c r="BK221" s="3061"/>
      <c r="BL221" s="3061"/>
      <c r="BM221" s="3061"/>
      <c r="BN221" s="3061"/>
      <c r="BO221" s="3061"/>
      <c r="BP221" s="3061"/>
      <c r="BQ221" s="3061"/>
      <c r="BR221" s="3061"/>
      <c r="BS221" s="3061"/>
      <c r="BT221" s="3061"/>
      <c r="BU221" s="3061"/>
      <c r="BV221" s="3061"/>
      <c r="BW221" s="3061"/>
      <c r="BX221" s="3061"/>
      <c r="BY221" s="3061"/>
      <c r="BZ221" s="3061"/>
      <c r="CA221" s="3061"/>
      <c r="CB221" s="3061"/>
      <c r="CC221" s="3061"/>
      <c r="CD221" s="3061"/>
      <c r="CE221" s="3061"/>
      <c r="CF221" s="3061"/>
      <c r="CG221" s="3061"/>
      <c r="CH221" s="3061"/>
      <c r="CI221" s="3061"/>
      <c r="CJ221" s="3061"/>
      <c r="CK221" s="3061"/>
      <c r="CL221" s="3061"/>
      <c r="CM221" s="3061"/>
      <c r="CN221" s="3061"/>
      <c r="CO221" s="3061"/>
      <c r="CP221" s="3061"/>
      <c r="CQ221" s="3061"/>
      <c r="CR221" s="3061"/>
      <c r="CS221" s="3062"/>
      <c r="CT221" s="3063"/>
      <c r="CU221" s="3064">
        <f t="shared" si="64"/>
        <v>1</v>
      </c>
      <c r="CV221" s="3022" t="str">
        <f>IF(OR(CT221="",CT221="None"),"-",DO221*CU221*SUMIF('Lighting Assumptions'!$G$3:$G$112,'6a - Lighting Counts'!G221,'Lighting Assumptions'!$J$3:$J$112))</f>
        <v>-</v>
      </c>
      <c r="CW221" s="3021"/>
      <c r="CX221" s="3021"/>
      <c r="CY221" s="3046"/>
      <c r="CZ221" s="2098">
        <f t="shared" si="65"/>
        <v>0</v>
      </c>
      <c r="DA221" s="2098" t="str">
        <f t="shared" si="66"/>
        <v>-</v>
      </c>
      <c r="DB221" s="2098">
        <f t="shared" si="67"/>
        <v>0</v>
      </c>
      <c r="DC221" s="3023" t="str">
        <f t="shared" si="68"/>
        <v>-</v>
      </c>
      <c r="DD221" s="3024" t="str">
        <f t="shared" si="69"/>
        <v/>
      </c>
      <c r="DE221" s="3025" t="str">
        <f t="shared" si="70"/>
        <v>-</v>
      </c>
      <c r="DF221" s="3024" t="str">
        <f t="shared" ref="DF221:DF284" si="75">IF(ISBLANK(H221)=FALSE,(CZ221-IF(ISNUMBER(CV221)=TRUE,CV221,0)*CS221)/H221,"-")</f>
        <v>-</v>
      </c>
      <c r="DG221" s="2098">
        <f t="shared" si="71"/>
        <v>0</v>
      </c>
      <c r="DH221" s="2098">
        <f t="array" ref="DH221">MIN(SUMPRODUCT(I221:CR221,IF($I$25:$CR$25="yes",1,0),$I$23:$CR$23),H221)</f>
        <v>0</v>
      </c>
      <c r="DI221" s="3026"/>
      <c r="DJ221" s="3021"/>
      <c r="DN221" s="917" t="str">
        <f>IF(CS221="","-",SUMIF('Lighting Assumptions'!$G$3:$G$112,'6a - Lighting Counts'!G221,'Lighting Assumptions'!$J$3:$J$112))</f>
        <v>-</v>
      </c>
      <c r="DO221" s="917" t="str">
        <f t="shared" ref="DO221:DO284" si="76">IF(CT221="","-",IF(CT221="Other",1,1.25))</f>
        <v>-</v>
      </c>
      <c r="DP221" s="917" t="str">
        <f t="shared" ref="DP221:DP284" si="77">IF(DO221="-","-",DO221*CV221)</f>
        <v>-</v>
      </c>
      <c r="DQ221" s="917" t="str">
        <f>IF(LEFT(CELLformula(DF221),3)&lt;&gt;"=IF",1,"")</f>
        <v/>
      </c>
      <c r="DR221" s="917" t="str">
        <f>IF(LEFT(CELLformula(DD221),3)&lt;&gt;"=IF",1,"")</f>
        <v/>
      </c>
      <c r="DS221" s="3048">
        <f t="shared" si="72"/>
        <v>0</v>
      </c>
      <c r="DT221" s="3047" t="str">
        <f t="shared" si="73"/>
        <v/>
      </c>
      <c r="DU221" s="3047" t="str">
        <f>IFERROR(IF(G221="","",SUMIF('Lighting Assumptions'!$G$3:$G$112,'6a - Lighting Counts'!G221,'Lighting Assumptions'!$H$3:$H$112)*IF(SI_IP_Units="SI",10.76,1)),"")</f>
        <v/>
      </c>
      <c r="DV221" s="3047" t="str">
        <f>IFERROR(IF($CX221="","",IF(SI_IP_Units="SI",10.76,1)*SUMIF(BAMCategories,$CY221,'Lighting Assumptions'!$E$3:E$35)),"")</f>
        <v/>
      </c>
      <c r="DW221" s="3047" t="str">
        <f>IFERROR(IF($CX221="","",IF(SI_IP_Units="SI",10.76,1)*SUMIF(BAMCategories,$CY221,IF(bpf_reference="ACP",'Lighting Assumptions 90.1-2010'!$E$3:E$35,'Lighting Assumptions 90.1-2016'!$E$3:E$35))),"")</f>
        <v/>
      </c>
      <c r="EW221" s="855"/>
      <c r="EX221" s="855"/>
      <c r="EY221" s="855"/>
      <c r="EZ221" s="855"/>
    </row>
    <row r="222" spans="4:156" x14ac:dyDescent="0.25">
      <c r="D222" s="3019"/>
      <c r="E222" s="3020"/>
      <c r="F222" s="3021">
        <f t="shared" si="74"/>
        <v>0</v>
      </c>
      <c r="G222" s="3059"/>
      <c r="H222" s="3060"/>
      <c r="I222" s="3061"/>
      <c r="J222" s="3061"/>
      <c r="K222" s="3061"/>
      <c r="L222" s="3061"/>
      <c r="M222" s="3061"/>
      <c r="N222" s="3061"/>
      <c r="O222" s="3061"/>
      <c r="P222" s="3061"/>
      <c r="Q222" s="3061"/>
      <c r="R222" s="3061"/>
      <c r="S222" s="3061"/>
      <c r="T222" s="3061"/>
      <c r="U222" s="3061"/>
      <c r="V222" s="3061"/>
      <c r="W222" s="3061"/>
      <c r="X222" s="3061"/>
      <c r="Y222" s="3061"/>
      <c r="Z222" s="3061"/>
      <c r="AA222" s="3061"/>
      <c r="AB222" s="3061"/>
      <c r="AC222" s="3061"/>
      <c r="AD222" s="3061"/>
      <c r="AE222" s="3061"/>
      <c r="AF222" s="3061"/>
      <c r="AG222" s="3061"/>
      <c r="AH222" s="3061"/>
      <c r="AI222" s="3061"/>
      <c r="AJ222" s="3061"/>
      <c r="AK222" s="3061"/>
      <c r="AL222" s="3061"/>
      <c r="AM222" s="3061"/>
      <c r="AN222" s="3061"/>
      <c r="AO222" s="3061"/>
      <c r="AP222" s="3061"/>
      <c r="AQ222" s="3061"/>
      <c r="AR222" s="3061"/>
      <c r="AS222" s="3061"/>
      <c r="AT222" s="3061"/>
      <c r="AU222" s="3061"/>
      <c r="AV222" s="3061"/>
      <c r="AW222" s="3061"/>
      <c r="AX222" s="3061"/>
      <c r="AY222" s="3061"/>
      <c r="AZ222" s="3061"/>
      <c r="BA222" s="3061"/>
      <c r="BB222" s="3061"/>
      <c r="BC222" s="3061"/>
      <c r="BD222" s="3061"/>
      <c r="BE222" s="3061"/>
      <c r="BF222" s="3061"/>
      <c r="BG222" s="3061"/>
      <c r="BH222" s="3061"/>
      <c r="BI222" s="3061"/>
      <c r="BJ222" s="3061"/>
      <c r="BK222" s="3061"/>
      <c r="BL222" s="3061"/>
      <c r="BM222" s="3061"/>
      <c r="BN222" s="3061"/>
      <c r="BO222" s="3061"/>
      <c r="BP222" s="3061"/>
      <c r="BQ222" s="3061"/>
      <c r="BR222" s="3061"/>
      <c r="BS222" s="3061"/>
      <c r="BT222" s="3061"/>
      <c r="BU222" s="3061"/>
      <c r="BV222" s="3061"/>
      <c r="BW222" s="3061"/>
      <c r="BX222" s="3061"/>
      <c r="BY222" s="3061"/>
      <c r="BZ222" s="3061"/>
      <c r="CA222" s="3061"/>
      <c r="CB222" s="3061"/>
      <c r="CC222" s="3061"/>
      <c r="CD222" s="3061"/>
      <c r="CE222" s="3061"/>
      <c r="CF222" s="3061"/>
      <c r="CG222" s="3061"/>
      <c r="CH222" s="3061"/>
      <c r="CI222" s="3061"/>
      <c r="CJ222" s="3061"/>
      <c r="CK222" s="3061"/>
      <c r="CL222" s="3061"/>
      <c r="CM222" s="3061"/>
      <c r="CN222" s="3061"/>
      <c r="CO222" s="3061"/>
      <c r="CP222" s="3061"/>
      <c r="CQ222" s="3061"/>
      <c r="CR222" s="3061"/>
      <c r="CS222" s="3062"/>
      <c r="CT222" s="3063"/>
      <c r="CU222" s="3064">
        <f t="shared" ref="CU222:CU285" si="78">IF(OR(CT222="Manual-On Individual Workstation",CT222="Partial-Auto-On Individual Workstation",CT222="Other Individual Workstation"),1.3,1)</f>
        <v>1</v>
      </c>
      <c r="CV222" s="3022" t="str">
        <f>IF(OR(CT222="",CT222="None"),"-",DO222*CU222*SUMIF('Lighting Assumptions'!$G$3:$G$112,'6a - Lighting Counts'!G222,'Lighting Assumptions'!$J$3:$J$112))</f>
        <v>-</v>
      </c>
      <c r="CW222" s="3021"/>
      <c r="CX222" s="3021"/>
      <c r="CY222" s="3046"/>
      <c r="CZ222" s="2098">
        <f t="shared" ref="CZ222:CZ285" si="79">IFERROR(SUMPRODUCT(I222:CR222,$I$23:$CR$23),0)+IFERROR(DW222*CX222,0)</f>
        <v>0</v>
      </c>
      <c r="DA222" s="2098" t="str">
        <f t="shared" ref="DA222:DA285" si="80">IF(DD222="","-",IF(H222="",0,DD222*H222))</f>
        <v>-</v>
      </c>
      <c r="DB222" s="2098">
        <f t="shared" ref="DB222:DB285" si="81">SUMPRODUCT(I222:CR222,$I$24:$CR$24)</f>
        <v>0</v>
      </c>
      <c r="DC222" s="3023" t="str">
        <f t="shared" ref="DC222:DC285" si="82">IF(ISBLANK(H222)=FALSE,CZ222/H222,"-")</f>
        <v>-</v>
      </c>
      <c r="DD222" s="3024" t="str">
        <f t="shared" ref="DD222:DD285" si="83">IFERROR(DS222/H222,"")</f>
        <v/>
      </c>
      <c r="DE222" s="3025" t="str">
        <f t="shared" ref="DE222:DE285" si="84">IF(ISBLANK(H222)=FALSE,DB222/H222,"-")</f>
        <v>-</v>
      </c>
      <c r="DF222" s="3024" t="str">
        <f t="shared" si="75"/>
        <v>-</v>
      </c>
      <c r="DG222" s="2098">
        <f t="shared" ref="DG222:DG285" si="85">IFERROR(DF222*H222,0)</f>
        <v>0</v>
      </c>
      <c r="DH222" s="2098">
        <f t="array" ref="DH222">MIN(SUMPRODUCT(I222:CR222,IF($I$25:$CR$25="yes",1,0),$I$23:$CR$23),H222)</f>
        <v>0</v>
      </c>
      <c r="DI222" s="3026"/>
      <c r="DJ222" s="3021"/>
      <c r="DN222" s="917" t="str">
        <f>IF(CS222="","-",SUMIF('Lighting Assumptions'!$G$3:$G$112,'6a - Lighting Counts'!G222,'Lighting Assumptions'!$J$3:$J$112))</f>
        <v>-</v>
      </c>
      <c r="DO222" s="917" t="str">
        <f t="shared" si="76"/>
        <v>-</v>
      </c>
      <c r="DP222" s="917" t="str">
        <f t="shared" si="77"/>
        <v>-</v>
      </c>
      <c r="DQ222" s="917" t="str">
        <f>IF(LEFT(CELLformula(DF222),3)&lt;&gt;"=IF",1,"")</f>
        <v/>
      </c>
      <c r="DR222" s="917" t="str">
        <f>IF(LEFT(CELLformula(DD222),3)&lt;&gt;"=IF",1,"")</f>
        <v/>
      </c>
      <c r="DS222" s="3048">
        <f t="shared" ref="DS222:DS285" si="86">IFERROR(DU222*MAX(H222-CX222,0),0)+(IFERROR(DV222*MAX(0,CX222),0))</f>
        <v>0</v>
      </c>
      <c r="DT222" s="3047" t="str">
        <f t="shared" ref="DT222:DT285" si="87">IFERROR(DS222/H222,"")</f>
        <v/>
      </c>
      <c r="DU222" s="3047" t="str">
        <f>IFERROR(IF(G222="","",SUMIF('Lighting Assumptions'!$G$3:$G$112,'6a - Lighting Counts'!G222,'Lighting Assumptions'!$H$3:$H$112)*IF(SI_IP_Units="SI",10.76,1)),"")</f>
        <v/>
      </c>
      <c r="DV222" s="3047" t="str">
        <f>IFERROR(IF($CX222="","",IF(SI_IP_Units="SI",10.76,1)*SUMIF(BAMCategories,$CY222,'Lighting Assumptions'!$E$3:E$35)),"")</f>
        <v/>
      </c>
      <c r="DW222" s="3047" t="str">
        <f>IFERROR(IF($CX222="","",IF(SI_IP_Units="SI",10.76,1)*SUMIF(BAMCategories,$CY222,IF(bpf_reference="ACP",'Lighting Assumptions 90.1-2010'!$E$3:E$35,'Lighting Assumptions 90.1-2016'!$E$3:E$35))),"")</f>
        <v/>
      </c>
      <c r="EW222" s="855"/>
      <c r="EX222" s="855"/>
      <c r="EY222" s="855"/>
      <c r="EZ222" s="855"/>
    </row>
    <row r="223" spans="4:156" x14ac:dyDescent="0.25">
      <c r="D223" s="3019"/>
      <c r="E223" s="3020"/>
      <c r="F223" s="3021">
        <f t="shared" si="74"/>
        <v>0</v>
      </c>
      <c r="G223" s="3059"/>
      <c r="H223" s="3060"/>
      <c r="I223" s="3061"/>
      <c r="J223" s="3061"/>
      <c r="K223" s="3061"/>
      <c r="L223" s="3061"/>
      <c r="M223" s="3061"/>
      <c r="N223" s="3061"/>
      <c r="O223" s="3061"/>
      <c r="P223" s="3061"/>
      <c r="Q223" s="3061"/>
      <c r="R223" s="3061"/>
      <c r="S223" s="3061"/>
      <c r="T223" s="3061"/>
      <c r="U223" s="3061"/>
      <c r="V223" s="3061"/>
      <c r="W223" s="3061"/>
      <c r="X223" s="3061"/>
      <c r="Y223" s="3061"/>
      <c r="Z223" s="3061"/>
      <c r="AA223" s="3061"/>
      <c r="AB223" s="3061"/>
      <c r="AC223" s="3061"/>
      <c r="AD223" s="3061"/>
      <c r="AE223" s="3061"/>
      <c r="AF223" s="3061"/>
      <c r="AG223" s="3061"/>
      <c r="AH223" s="3061"/>
      <c r="AI223" s="3061"/>
      <c r="AJ223" s="3061"/>
      <c r="AK223" s="3061"/>
      <c r="AL223" s="3061"/>
      <c r="AM223" s="3061"/>
      <c r="AN223" s="3061"/>
      <c r="AO223" s="3061"/>
      <c r="AP223" s="3061"/>
      <c r="AQ223" s="3061"/>
      <c r="AR223" s="3061"/>
      <c r="AS223" s="3061"/>
      <c r="AT223" s="3061"/>
      <c r="AU223" s="3061"/>
      <c r="AV223" s="3061"/>
      <c r="AW223" s="3061"/>
      <c r="AX223" s="3061"/>
      <c r="AY223" s="3061"/>
      <c r="AZ223" s="3061"/>
      <c r="BA223" s="3061"/>
      <c r="BB223" s="3061"/>
      <c r="BC223" s="3061"/>
      <c r="BD223" s="3061"/>
      <c r="BE223" s="3061"/>
      <c r="BF223" s="3061"/>
      <c r="BG223" s="3061"/>
      <c r="BH223" s="3061"/>
      <c r="BI223" s="3061"/>
      <c r="BJ223" s="3061"/>
      <c r="BK223" s="3061"/>
      <c r="BL223" s="3061"/>
      <c r="BM223" s="3061"/>
      <c r="BN223" s="3061"/>
      <c r="BO223" s="3061"/>
      <c r="BP223" s="3061"/>
      <c r="BQ223" s="3061"/>
      <c r="BR223" s="3061"/>
      <c r="BS223" s="3061"/>
      <c r="BT223" s="3061"/>
      <c r="BU223" s="3061"/>
      <c r="BV223" s="3061"/>
      <c r="BW223" s="3061"/>
      <c r="BX223" s="3061"/>
      <c r="BY223" s="3061"/>
      <c r="BZ223" s="3061"/>
      <c r="CA223" s="3061"/>
      <c r="CB223" s="3061"/>
      <c r="CC223" s="3061"/>
      <c r="CD223" s="3061"/>
      <c r="CE223" s="3061"/>
      <c r="CF223" s="3061"/>
      <c r="CG223" s="3061"/>
      <c r="CH223" s="3061"/>
      <c r="CI223" s="3061"/>
      <c r="CJ223" s="3061"/>
      <c r="CK223" s="3061"/>
      <c r="CL223" s="3061"/>
      <c r="CM223" s="3061"/>
      <c r="CN223" s="3061"/>
      <c r="CO223" s="3061"/>
      <c r="CP223" s="3061"/>
      <c r="CQ223" s="3061"/>
      <c r="CR223" s="3061"/>
      <c r="CS223" s="3062"/>
      <c r="CT223" s="3063"/>
      <c r="CU223" s="3064">
        <f t="shared" si="78"/>
        <v>1</v>
      </c>
      <c r="CV223" s="3022" t="str">
        <f>IF(OR(CT223="",CT223="None"),"-",DO223*CU223*SUMIF('Lighting Assumptions'!$G$3:$G$112,'6a - Lighting Counts'!G223,'Lighting Assumptions'!$J$3:$J$112))</f>
        <v>-</v>
      </c>
      <c r="CW223" s="3021"/>
      <c r="CX223" s="3021"/>
      <c r="CY223" s="3046"/>
      <c r="CZ223" s="2098">
        <f t="shared" si="79"/>
        <v>0</v>
      </c>
      <c r="DA223" s="2098" t="str">
        <f t="shared" si="80"/>
        <v>-</v>
      </c>
      <c r="DB223" s="2098">
        <f t="shared" si="81"/>
        <v>0</v>
      </c>
      <c r="DC223" s="3023" t="str">
        <f t="shared" si="82"/>
        <v>-</v>
      </c>
      <c r="DD223" s="3024" t="str">
        <f t="shared" si="83"/>
        <v/>
      </c>
      <c r="DE223" s="3025" t="str">
        <f t="shared" si="84"/>
        <v>-</v>
      </c>
      <c r="DF223" s="3024" t="str">
        <f t="shared" si="75"/>
        <v>-</v>
      </c>
      <c r="DG223" s="2098">
        <f t="shared" si="85"/>
        <v>0</v>
      </c>
      <c r="DH223" s="2098">
        <f t="array" ref="DH223">MIN(SUMPRODUCT(I223:CR223,IF($I$25:$CR$25="yes",1,0),$I$23:$CR$23),H223)</f>
        <v>0</v>
      </c>
      <c r="DI223" s="3026"/>
      <c r="DJ223" s="3021"/>
      <c r="DN223" s="917" t="str">
        <f>IF(CS223="","-",SUMIF('Lighting Assumptions'!$G$3:$G$112,'6a - Lighting Counts'!G223,'Lighting Assumptions'!$J$3:$J$112))</f>
        <v>-</v>
      </c>
      <c r="DO223" s="917" t="str">
        <f t="shared" si="76"/>
        <v>-</v>
      </c>
      <c r="DP223" s="917" t="str">
        <f t="shared" si="77"/>
        <v>-</v>
      </c>
      <c r="DQ223" s="917" t="str">
        <f>IF(LEFT(CELLformula(DF223),3)&lt;&gt;"=IF",1,"")</f>
        <v/>
      </c>
      <c r="DR223" s="917" t="str">
        <f>IF(LEFT(CELLformula(DD223),3)&lt;&gt;"=IF",1,"")</f>
        <v/>
      </c>
      <c r="DS223" s="3048">
        <f t="shared" si="86"/>
        <v>0</v>
      </c>
      <c r="DT223" s="3047" t="str">
        <f t="shared" si="87"/>
        <v/>
      </c>
      <c r="DU223" s="3047" t="str">
        <f>IFERROR(IF(G223="","",SUMIF('Lighting Assumptions'!$G$3:$G$112,'6a - Lighting Counts'!G223,'Lighting Assumptions'!$H$3:$H$112)*IF(SI_IP_Units="SI",10.76,1)),"")</f>
        <v/>
      </c>
      <c r="DV223" s="3047" t="str">
        <f>IFERROR(IF($CX223="","",IF(SI_IP_Units="SI",10.76,1)*SUMIF(BAMCategories,$CY223,'Lighting Assumptions'!$E$3:E$35)),"")</f>
        <v/>
      </c>
      <c r="DW223" s="3047" t="str">
        <f>IFERROR(IF($CX223="","",IF(SI_IP_Units="SI",10.76,1)*SUMIF(BAMCategories,$CY223,IF(bpf_reference="ACP",'Lighting Assumptions 90.1-2010'!$E$3:E$35,'Lighting Assumptions 90.1-2016'!$E$3:E$35))),"")</f>
        <v/>
      </c>
      <c r="EW223" s="855"/>
      <c r="EX223" s="855"/>
      <c r="EY223" s="855"/>
      <c r="EZ223" s="855"/>
    </row>
    <row r="224" spans="4:156" x14ac:dyDescent="0.25">
      <c r="D224" s="3019"/>
      <c r="E224" s="3020"/>
      <c r="F224" s="3021">
        <f t="shared" si="74"/>
        <v>0</v>
      </c>
      <c r="G224" s="3059"/>
      <c r="H224" s="3060"/>
      <c r="I224" s="3061"/>
      <c r="J224" s="3061"/>
      <c r="K224" s="3061"/>
      <c r="L224" s="3061"/>
      <c r="M224" s="3061"/>
      <c r="N224" s="3061"/>
      <c r="O224" s="3061"/>
      <c r="P224" s="3061"/>
      <c r="Q224" s="3061"/>
      <c r="R224" s="3061"/>
      <c r="S224" s="3061"/>
      <c r="T224" s="3061"/>
      <c r="U224" s="3061"/>
      <c r="V224" s="3061"/>
      <c r="W224" s="3061"/>
      <c r="X224" s="3061"/>
      <c r="Y224" s="3061"/>
      <c r="Z224" s="3061"/>
      <c r="AA224" s="3061"/>
      <c r="AB224" s="3061"/>
      <c r="AC224" s="3061"/>
      <c r="AD224" s="3061"/>
      <c r="AE224" s="3061"/>
      <c r="AF224" s="3061"/>
      <c r="AG224" s="3061"/>
      <c r="AH224" s="3061"/>
      <c r="AI224" s="3061"/>
      <c r="AJ224" s="3061"/>
      <c r="AK224" s="3061"/>
      <c r="AL224" s="3061"/>
      <c r="AM224" s="3061"/>
      <c r="AN224" s="3061"/>
      <c r="AO224" s="3061"/>
      <c r="AP224" s="3061"/>
      <c r="AQ224" s="3061"/>
      <c r="AR224" s="3061"/>
      <c r="AS224" s="3061"/>
      <c r="AT224" s="3061"/>
      <c r="AU224" s="3061"/>
      <c r="AV224" s="3061"/>
      <c r="AW224" s="3061"/>
      <c r="AX224" s="3061"/>
      <c r="AY224" s="3061"/>
      <c r="AZ224" s="3061"/>
      <c r="BA224" s="3061"/>
      <c r="BB224" s="3061"/>
      <c r="BC224" s="3061"/>
      <c r="BD224" s="3061"/>
      <c r="BE224" s="3061"/>
      <c r="BF224" s="3061"/>
      <c r="BG224" s="3061"/>
      <c r="BH224" s="3061"/>
      <c r="BI224" s="3061"/>
      <c r="BJ224" s="3061"/>
      <c r="BK224" s="3061"/>
      <c r="BL224" s="3061"/>
      <c r="BM224" s="3061"/>
      <c r="BN224" s="3061"/>
      <c r="BO224" s="3061"/>
      <c r="BP224" s="3061"/>
      <c r="BQ224" s="3061"/>
      <c r="BR224" s="3061"/>
      <c r="BS224" s="3061"/>
      <c r="BT224" s="3061"/>
      <c r="BU224" s="3061"/>
      <c r="BV224" s="3061"/>
      <c r="BW224" s="3061"/>
      <c r="BX224" s="3061"/>
      <c r="BY224" s="3061"/>
      <c r="BZ224" s="3061"/>
      <c r="CA224" s="3061"/>
      <c r="CB224" s="3061"/>
      <c r="CC224" s="3061"/>
      <c r="CD224" s="3061"/>
      <c r="CE224" s="3061"/>
      <c r="CF224" s="3061"/>
      <c r="CG224" s="3061"/>
      <c r="CH224" s="3061"/>
      <c r="CI224" s="3061"/>
      <c r="CJ224" s="3061"/>
      <c r="CK224" s="3061"/>
      <c r="CL224" s="3061"/>
      <c r="CM224" s="3061"/>
      <c r="CN224" s="3061"/>
      <c r="CO224" s="3061"/>
      <c r="CP224" s="3061"/>
      <c r="CQ224" s="3061"/>
      <c r="CR224" s="3061"/>
      <c r="CS224" s="3062"/>
      <c r="CT224" s="3063"/>
      <c r="CU224" s="3064">
        <f t="shared" si="78"/>
        <v>1</v>
      </c>
      <c r="CV224" s="3022" t="str">
        <f>IF(OR(CT224="",CT224="None"),"-",DO224*CU224*SUMIF('Lighting Assumptions'!$G$3:$G$112,'6a - Lighting Counts'!G224,'Lighting Assumptions'!$J$3:$J$112))</f>
        <v>-</v>
      </c>
      <c r="CW224" s="3021"/>
      <c r="CX224" s="3021"/>
      <c r="CY224" s="3046"/>
      <c r="CZ224" s="2098">
        <f t="shared" si="79"/>
        <v>0</v>
      </c>
      <c r="DA224" s="2098" t="str">
        <f t="shared" si="80"/>
        <v>-</v>
      </c>
      <c r="DB224" s="2098">
        <f t="shared" si="81"/>
        <v>0</v>
      </c>
      <c r="DC224" s="3023" t="str">
        <f t="shared" si="82"/>
        <v>-</v>
      </c>
      <c r="DD224" s="3024" t="str">
        <f t="shared" si="83"/>
        <v/>
      </c>
      <c r="DE224" s="3025" t="str">
        <f t="shared" si="84"/>
        <v>-</v>
      </c>
      <c r="DF224" s="3024" t="str">
        <f t="shared" si="75"/>
        <v>-</v>
      </c>
      <c r="DG224" s="2098">
        <f t="shared" si="85"/>
        <v>0</v>
      </c>
      <c r="DH224" s="2098">
        <f t="array" ref="DH224">MIN(SUMPRODUCT(I224:CR224,IF($I$25:$CR$25="yes",1,0),$I$23:$CR$23),H224)</f>
        <v>0</v>
      </c>
      <c r="DI224" s="3026"/>
      <c r="DJ224" s="3021"/>
      <c r="DN224" s="917" t="str">
        <f>IF(CS224="","-",SUMIF('Lighting Assumptions'!$G$3:$G$112,'6a - Lighting Counts'!G224,'Lighting Assumptions'!$J$3:$J$112))</f>
        <v>-</v>
      </c>
      <c r="DO224" s="917" t="str">
        <f t="shared" si="76"/>
        <v>-</v>
      </c>
      <c r="DP224" s="917" t="str">
        <f t="shared" si="77"/>
        <v>-</v>
      </c>
      <c r="DQ224" s="917" t="str">
        <f>IF(LEFT(CELLformula(DF224),3)&lt;&gt;"=IF",1,"")</f>
        <v/>
      </c>
      <c r="DR224" s="917" t="str">
        <f>IF(LEFT(CELLformula(DD224),3)&lt;&gt;"=IF",1,"")</f>
        <v/>
      </c>
      <c r="DS224" s="3048">
        <f t="shared" si="86"/>
        <v>0</v>
      </c>
      <c r="DT224" s="3047" t="str">
        <f t="shared" si="87"/>
        <v/>
      </c>
      <c r="DU224" s="3047" t="str">
        <f>IFERROR(IF(G224="","",SUMIF('Lighting Assumptions'!$G$3:$G$112,'6a - Lighting Counts'!G224,'Lighting Assumptions'!$H$3:$H$112)*IF(SI_IP_Units="SI",10.76,1)),"")</f>
        <v/>
      </c>
      <c r="DV224" s="3047" t="str">
        <f>IFERROR(IF($CX224="","",IF(SI_IP_Units="SI",10.76,1)*SUMIF(BAMCategories,$CY224,'Lighting Assumptions'!$E$3:E$35)),"")</f>
        <v/>
      </c>
      <c r="DW224" s="3047" t="str">
        <f>IFERROR(IF($CX224="","",IF(SI_IP_Units="SI",10.76,1)*SUMIF(BAMCategories,$CY224,IF(bpf_reference="ACP",'Lighting Assumptions 90.1-2010'!$E$3:E$35,'Lighting Assumptions 90.1-2016'!$E$3:E$35))),"")</f>
        <v/>
      </c>
      <c r="EW224" s="855"/>
      <c r="EX224" s="855"/>
      <c r="EY224" s="855"/>
      <c r="EZ224" s="855"/>
    </row>
    <row r="225" spans="4:156" x14ac:dyDescent="0.25">
      <c r="D225" s="3019"/>
      <c r="E225" s="3020"/>
      <c r="F225" s="3021">
        <f t="shared" si="74"/>
        <v>0</v>
      </c>
      <c r="G225" s="3059"/>
      <c r="H225" s="3060"/>
      <c r="I225" s="3061"/>
      <c r="J225" s="3061"/>
      <c r="K225" s="3061"/>
      <c r="L225" s="3061"/>
      <c r="M225" s="3061"/>
      <c r="N225" s="3061"/>
      <c r="O225" s="3061"/>
      <c r="P225" s="3061"/>
      <c r="Q225" s="3061"/>
      <c r="R225" s="3061"/>
      <c r="S225" s="3061"/>
      <c r="T225" s="3061"/>
      <c r="U225" s="3061"/>
      <c r="V225" s="3061"/>
      <c r="W225" s="3061"/>
      <c r="X225" s="3061"/>
      <c r="Y225" s="3061"/>
      <c r="Z225" s="3061"/>
      <c r="AA225" s="3061"/>
      <c r="AB225" s="3061"/>
      <c r="AC225" s="3061"/>
      <c r="AD225" s="3061"/>
      <c r="AE225" s="3061"/>
      <c r="AF225" s="3061"/>
      <c r="AG225" s="3061"/>
      <c r="AH225" s="3061"/>
      <c r="AI225" s="3061"/>
      <c r="AJ225" s="3061"/>
      <c r="AK225" s="3061"/>
      <c r="AL225" s="3061"/>
      <c r="AM225" s="3061"/>
      <c r="AN225" s="3061"/>
      <c r="AO225" s="3061"/>
      <c r="AP225" s="3061"/>
      <c r="AQ225" s="3061"/>
      <c r="AR225" s="3061"/>
      <c r="AS225" s="3061"/>
      <c r="AT225" s="3061"/>
      <c r="AU225" s="3061"/>
      <c r="AV225" s="3061"/>
      <c r="AW225" s="3061"/>
      <c r="AX225" s="3061"/>
      <c r="AY225" s="3061"/>
      <c r="AZ225" s="3061"/>
      <c r="BA225" s="3061"/>
      <c r="BB225" s="3061"/>
      <c r="BC225" s="3061"/>
      <c r="BD225" s="3061"/>
      <c r="BE225" s="3061"/>
      <c r="BF225" s="3061"/>
      <c r="BG225" s="3061"/>
      <c r="BH225" s="3061"/>
      <c r="BI225" s="3061"/>
      <c r="BJ225" s="3061"/>
      <c r="BK225" s="3061"/>
      <c r="BL225" s="3061"/>
      <c r="BM225" s="3061"/>
      <c r="BN225" s="3061"/>
      <c r="BO225" s="3061"/>
      <c r="BP225" s="3061"/>
      <c r="BQ225" s="3061"/>
      <c r="BR225" s="3061"/>
      <c r="BS225" s="3061"/>
      <c r="BT225" s="3061"/>
      <c r="BU225" s="3061"/>
      <c r="BV225" s="3061"/>
      <c r="BW225" s="3061"/>
      <c r="BX225" s="3061"/>
      <c r="BY225" s="3061"/>
      <c r="BZ225" s="3061"/>
      <c r="CA225" s="3061"/>
      <c r="CB225" s="3061"/>
      <c r="CC225" s="3061"/>
      <c r="CD225" s="3061"/>
      <c r="CE225" s="3061"/>
      <c r="CF225" s="3061"/>
      <c r="CG225" s="3061"/>
      <c r="CH225" s="3061"/>
      <c r="CI225" s="3061"/>
      <c r="CJ225" s="3061"/>
      <c r="CK225" s="3061"/>
      <c r="CL225" s="3061"/>
      <c r="CM225" s="3061"/>
      <c r="CN225" s="3061"/>
      <c r="CO225" s="3061"/>
      <c r="CP225" s="3061"/>
      <c r="CQ225" s="3061"/>
      <c r="CR225" s="3061"/>
      <c r="CS225" s="3062"/>
      <c r="CT225" s="3063"/>
      <c r="CU225" s="3064">
        <f t="shared" si="78"/>
        <v>1</v>
      </c>
      <c r="CV225" s="3022" t="str">
        <f>IF(OR(CT225="",CT225="None"),"-",DO225*CU225*SUMIF('Lighting Assumptions'!$G$3:$G$112,'6a - Lighting Counts'!G225,'Lighting Assumptions'!$J$3:$J$112))</f>
        <v>-</v>
      </c>
      <c r="CW225" s="3021"/>
      <c r="CX225" s="3021"/>
      <c r="CY225" s="3046"/>
      <c r="CZ225" s="2098">
        <f t="shared" si="79"/>
        <v>0</v>
      </c>
      <c r="DA225" s="2098" t="str">
        <f t="shared" si="80"/>
        <v>-</v>
      </c>
      <c r="DB225" s="2098">
        <f t="shared" si="81"/>
        <v>0</v>
      </c>
      <c r="DC225" s="3023" t="str">
        <f t="shared" si="82"/>
        <v>-</v>
      </c>
      <c r="DD225" s="3024" t="str">
        <f t="shared" si="83"/>
        <v/>
      </c>
      <c r="DE225" s="3025" t="str">
        <f t="shared" si="84"/>
        <v>-</v>
      </c>
      <c r="DF225" s="3024" t="str">
        <f t="shared" si="75"/>
        <v>-</v>
      </c>
      <c r="DG225" s="2098">
        <f t="shared" si="85"/>
        <v>0</v>
      </c>
      <c r="DH225" s="2098">
        <f t="array" ref="DH225">MIN(SUMPRODUCT(I225:CR225,IF($I$25:$CR$25="yes",1,0),$I$23:$CR$23),H225)</f>
        <v>0</v>
      </c>
      <c r="DI225" s="3026"/>
      <c r="DJ225" s="3021"/>
      <c r="DN225" s="917" t="str">
        <f>IF(CS225="","-",SUMIF('Lighting Assumptions'!$G$3:$G$112,'6a - Lighting Counts'!G225,'Lighting Assumptions'!$J$3:$J$112))</f>
        <v>-</v>
      </c>
      <c r="DO225" s="917" t="str">
        <f t="shared" si="76"/>
        <v>-</v>
      </c>
      <c r="DP225" s="917" t="str">
        <f t="shared" si="77"/>
        <v>-</v>
      </c>
      <c r="DQ225" s="917" t="str">
        <f>IF(LEFT(CELLformula(DF225),3)&lt;&gt;"=IF",1,"")</f>
        <v/>
      </c>
      <c r="DR225" s="917" t="str">
        <f>IF(LEFT(CELLformula(DD225),3)&lt;&gt;"=IF",1,"")</f>
        <v/>
      </c>
      <c r="DS225" s="3048">
        <f t="shared" si="86"/>
        <v>0</v>
      </c>
      <c r="DT225" s="3047" t="str">
        <f t="shared" si="87"/>
        <v/>
      </c>
      <c r="DU225" s="3047" t="str">
        <f>IFERROR(IF(G225="","",SUMIF('Lighting Assumptions'!$G$3:$G$112,'6a - Lighting Counts'!G225,'Lighting Assumptions'!$H$3:$H$112)*IF(SI_IP_Units="SI",10.76,1)),"")</f>
        <v/>
      </c>
      <c r="DV225" s="3047" t="str">
        <f>IFERROR(IF($CX225="","",IF(SI_IP_Units="SI",10.76,1)*SUMIF(BAMCategories,$CY225,'Lighting Assumptions'!$E$3:E$35)),"")</f>
        <v/>
      </c>
      <c r="DW225" s="3047" t="str">
        <f>IFERROR(IF($CX225="","",IF(SI_IP_Units="SI",10.76,1)*SUMIF(BAMCategories,$CY225,IF(bpf_reference="ACP",'Lighting Assumptions 90.1-2010'!$E$3:E$35,'Lighting Assumptions 90.1-2016'!$E$3:E$35))),"")</f>
        <v/>
      </c>
      <c r="EW225" s="855"/>
      <c r="EX225" s="855"/>
      <c r="EY225" s="855"/>
      <c r="EZ225" s="855"/>
    </row>
    <row r="226" spans="4:156" x14ac:dyDescent="0.25">
      <c r="D226" s="3019"/>
      <c r="E226" s="3020"/>
      <c r="F226" s="3021">
        <f t="shared" si="74"/>
        <v>0</v>
      </c>
      <c r="G226" s="3059"/>
      <c r="H226" s="3060"/>
      <c r="I226" s="3061"/>
      <c r="J226" s="3061"/>
      <c r="K226" s="3061"/>
      <c r="L226" s="3061"/>
      <c r="M226" s="3061"/>
      <c r="N226" s="3061"/>
      <c r="O226" s="3061"/>
      <c r="P226" s="3061"/>
      <c r="Q226" s="3061"/>
      <c r="R226" s="3061"/>
      <c r="S226" s="3061"/>
      <c r="T226" s="3061"/>
      <c r="U226" s="3061"/>
      <c r="V226" s="3061"/>
      <c r="W226" s="3061"/>
      <c r="X226" s="3061"/>
      <c r="Y226" s="3061"/>
      <c r="Z226" s="3061"/>
      <c r="AA226" s="3061"/>
      <c r="AB226" s="3061"/>
      <c r="AC226" s="3061"/>
      <c r="AD226" s="3061"/>
      <c r="AE226" s="3061"/>
      <c r="AF226" s="3061"/>
      <c r="AG226" s="3061"/>
      <c r="AH226" s="3061"/>
      <c r="AI226" s="3061"/>
      <c r="AJ226" s="3061"/>
      <c r="AK226" s="3061"/>
      <c r="AL226" s="3061"/>
      <c r="AM226" s="3061"/>
      <c r="AN226" s="3061"/>
      <c r="AO226" s="3061"/>
      <c r="AP226" s="3061"/>
      <c r="AQ226" s="3061"/>
      <c r="AR226" s="3061"/>
      <c r="AS226" s="3061"/>
      <c r="AT226" s="3061"/>
      <c r="AU226" s="3061"/>
      <c r="AV226" s="3061"/>
      <c r="AW226" s="3061"/>
      <c r="AX226" s="3061"/>
      <c r="AY226" s="3061"/>
      <c r="AZ226" s="3061"/>
      <c r="BA226" s="3061"/>
      <c r="BB226" s="3061"/>
      <c r="BC226" s="3061"/>
      <c r="BD226" s="3061"/>
      <c r="BE226" s="3061"/>
      <c r="BF226" s="3061"/>
      <c r="BG226" s="3061"/>
      <c r="BH226" s="3061"/>
      <c r="BI226" s="3061"/>
      <c r="BJ226" s="3061"/>
      <c r="BK226" s="3061"/>
      <c r="BL226" s="3061"/>
      <c r="BM226" s="3061"/>
      <c r="BN226" s="3061"/>
      <c r="BO226" s="3061"/>
      <c r="BP226" s="3061"/>
      <c r="BQ226" s="3061"/>
      <c r="BR226" s="3061"/>
      <c r="BS226" s="3061"/>
      <c r="BT226" s="3061"/>
      <c r="BU226" s="3061"/>
      <c r="BV226" s="3061"/>
      <c r="BW226" s="3061"/>
      <c r="BX226" s="3061"/>
      <c r="BY226" s="3061"/>
      <c r="BZ226" s="3061"/>
      <c r="CA226" s="3061"/>
      <c r="CB226" s="3061"/>
      <c r="CC226" s="3061"/>
      <c r="CD226" s="3061"/>
      <c r="CE226" s="3061"/>
      <c r="CF226" s="3061"/>
      <c r="CG226" s="3061"/>
      <c r="CH226" s="3061"/>
      <c r="CI226" s="3061"/>
      <c r="CJ226" s="3061"/>
      <c r="CK226" s="3061"/>
      <c r="CL226" s="3061"/>
      <c r="CM226" s="3061"/>
      <c r="CN226" s="3061"/>
      <c r="CO226" s="3061"/>
      <c r="CP226" s="3061"/>
      <c r="CQ226" s="3061"/>
      <c r="CR226" s="3061"/>
      <c r="CS226" s="3062"/>
      <c r="CT226" s="3063"/>
      <c r="CU226" s="3064">
        <f t="shared" si="78"/>
        <v>1</v>
      </c>
      <c r="CV226" s="3022" t="str">
        <f>IF(OR(CT226="",CT226="None"),"-",DO226*CU226*SUMIF('Lighting Assumptions'!$G$3:$G$112,'6a - Lighting Counts'!G226,'Lighting Assumptions'!$J$3:$J$112))</f>
        <v>-</v>
      </c>
      <c r="CW226" s="3021"/>
      <c r="CX226" s="3021"/>
      <c r="CY226" s="3046"/>
      <c r="CZ226" s="2098">
        <f t="shared" si="79"/>
        <v>0</v>
      </c>
      <c r="DA226" s="2098" t="str">
        <f t="shared" si="80"/>
        <v>-</v>
      </c>
      <c r="DB226" s="2098">
        <f t="shared" si="81"/>
        <v>0</v>
      </c>
      <c r="DC226" s="3023" t="str">
        <f t="shared" si="82"/>
        <v>-</v>
      </c>
      <c r="DD226" s="3024" t="str">
        <f t="shared" si="83"/>
        <v/>
      </c>
      <c r="DE226" s="3025" t="str">
        <f t="shared" si="84"/>
        <v>-</v>
      </c>
      <c r="DF226" s="3024" t="str">
        <f t="shared" si="75"/>
        <v>-</v>
      </c>
      <c r="DG226" s="2098">
        <f t="shared" si="85"/>
        <v>0</v>
      </c>
      <c r="DH226" s="2098">
        <f t="array" ref="DH226">MIN(SUMPRODUCT(I226:CR226,IF($I$25:$CR$25="yes",1,0),$I$23:$CR$23),H226)</f>
        <v>0</v>
      </c>
      <c r="DI226" s="3026"/>
      <c r="DJ226" s="3021"/>
      <c r="DN226" s="917" t="str">
        <f>IF(CS226="","-",SUMIF('Lighting Assumptions'!$G$3:$G$112,'6a - Lighting Counts'!G226,'Lighting Assumptions'!$J$3:$J$112))</f>
        <v>-</v>
      </c>
      <c r="DO226" s="917" t="str">
        <f t="shared" si="76"/>
        <v>-</v>
      </c>
      <c r="DP226" s="917" t="str">
        <f t="shared" si="77"/>
        <v>-</v>
      </c>
      <c r="DQ226" s="917" t="str">
        <f>IF(LEFT(CELLformula(DF226),3)&lt;&gt;"=IF",1,"")</f>
        <v/>
      </c>
      <c r="DR226" s="917" t="str">
        <f>IF(LEFT(CELLformula(DD226),3)&lt;&gt;"=IF",1,"")</f>
        <v/>
      </c>
      <c r="DS226" s="3048">
        <f t="shared" si="86"/>
        <v>0</v>
      </c>
      <c r="DT226" s="3047" t="str">
        <f t="shared" si="87"/>
        <v/>
      </c>
      <c r="DU226" s="3047" t="str">
        <f>IFERROR(IF(G226="","",SUMIF('Lighting Assumptions'!$G$3:$G$112,'6a - Lighting Counts'!G226,'Lighting Assumptions'!$H$3:$H$112)*IF(SI_IP_Units="SI",10.76,1)),"")</f>
        <v/>
      </c>
      <c r="DV226" s="3047" t="str">
        <f>IFERROR(IF($CX226="","",IF(SI_IP_Units="SI",10.76,1)*SUMIF(BAMCategories,$CY226,'Lighting Assumptions'!$E$3:E$35)),"")</f>
        <v/>
      </c>
      <c r="DW226" s="3047" t="str">
        <f>IFERROR(IF($CX226="","",IF(SI_IP_Units="SI",10.76,1)*SUMIF(BAMCategories,$CY226,IF(bpf_reference="ACP",'Lighting Assumptions 90.1-2010'!$E$3:E$35,'Lighting Assumptions 90.1-2016'!$E$3:E$35))),"")</f>
        <v/>
      </c>
      <c r="EW226" s="855"/>
      <c r="EX226" s="855"/>
      <c r="EY226" s="855"/>
      <c r="EZ226" s="855"/>
    </row>
    <row r="227" spans="4:156" x14ac:dyDescent="0.25">
      <c r="D227" s="3019"/>
      <c r="E227" s="3020"/>
      <c r="F227" s="3021">
        <f t="shared" si="74"/>
        <v>0</v>
      </c>
      <c r="G227" s="3059"/>
      <c r="H227" s="3060"/>
      <c r="I227" s="3061"/>
      <c r="J227" s="3061"/>
      <c r="K227" s="3061"/>
      <c r="L227" s="3061"/>
      <c r="M227" s="3061"/>
      <c r="N227" s="3061"/>
      <c r="O227" s="3061"/>
      <c r="P227" s="3061"/>
      <c r="Q227" s="3061"/>
      <c r="R227" s="3061"/>
      <c r="S227" s="3061"/>
      <c r="T227" s="3061"/>
      <c r="U227" s="3061"/>
      <c r="V227" s="3061"/>
      <c r="W227" s="3061"/>
      <c r="X227" s="3061"/>
      <c r="Y227" s="3061"/>
      <c r="Z227" s="3061"/>
      <c r="AA227" s="3061"/>
      <c r="AB227" s="3061"/>
      <c r="AC227" s="3061"/>
      <c r="AD227" s="3061"/>
      <c r="AE227" s="3061"/>
      <c r="AF227" s="3061"/>
      <c r="AG227" s="3061"/>
      <c r="AH227" s="3061"/>
      <c r="AI227" s="3061"/>
      <c r="AJ227" s="3061"/>
      <c r="AK227" s="3061"/>
      <c r="AL227" s="3061"/>
      <c r="AM227" s="3061"/>
      <c r="AN227" s="3061"/>
      <c r="AO227" s="3061"/>
      <c r="AP227" s="3061"/>
      <c r="AQ227" s="3061"/>
      <c r="AR227" s="3061"/>
      <c r="AS227" s="3061"/>
      <c r="AT227" s="3061"/>
      <c r="AU227" s="3061"/>
      <c r="AV227" s="3061"/>
      <c r="AW227" s="3061"/>
      <c r="AX227" s="3061"/>
      <c r="AY227" s="3061"/>
      <c r="AZ227" s="3061"/>
      <c r="BA227" s="3061"/>
      <c r="BB227" s="3061"/>
      <c r="BC227" s="3061"/>
      <c r="BD227" s="3061"/>
      <c r="BE227" s="3061"/>
      <c r="BF227" s="3061"/>
      <c r="BG227" s="3061"/>
      <c r="BH227" s="3061"/>
      <c r="BI227" s="3061"/>
      <c r="BJ227" s="3061"/>
      <c r="BK227" s="3061"/>
      <c r="BL227" s="3061"/>
      <c r="BM227" s="3061"/>
      <c r="BN227" s="3061"/>
      <c r="BO227" s="3061"/>
      <c r="BP227" s="3061"/>
      <c r="BQ227" s="3061"/>
      <c r="BR227" s="3061"/>
      <c r="BS227" s="3061"/>
      <c r="BT227" s="3061"/>
      <c r="BU227" s="3061"/>
      <c r="BV227" s="3061"/>
      <c r="BW227" s="3061"/>
      <c r="BX227" s="3061"/>
      <c r="BY227" s="3061"/>
      <c r="BZ227" s="3061"/>
      <c r="CA227" s="3061"/>
      <c r="CB227" s="3061"/>
      <c r="CC227" s="3061"/>
      <c r="CD227" s="3061"/>
      <c r="CE227" s="3061"/>
      <c r="CF227" s="3061"/>
      <c r="CG227" s="3061"/>
      <c r="CH227" s="3061"/>
      <c r="CI227" s="3061"/>
      <c r="CJ227" s="3061"/>
      <c r="CK227" s="3061"/>
      <c r="CL227" s="3061"/>
      <c r="CM227" s="3061"/>
      <c r="CN227" s="3061"/>
      <c r="CO227" s="3061"/>
      <c r="CP227" s="3061"/>
      <c r="CQ227" s="3061"/>
      <c r="CR227" s="3061"/>
      <c r="CS227" s="3062"/>
      <c r="CT227" s="3063"/>
      <c r="CU227" s="3064">
        <f t="shared" si="78"/>
        <v>1</v>
      </c>
      <c r="CV227" s="3022" t="str">
        <f>IF(OR(CT227="",CT227="None"),"-",DO227*CU227*SUMIF('Lighting Assumptions'!$G$3:$G$112,'6a - Lighting Counts'!G227,'Lighting Assumptions'!$J$3:$J$112))</f>
        <v>-</v>
      </c>
      <c r="CW227" s="3021"/>
      <c r="CX227" s="3021"/>
      <c r="CY227" s="3046"/>
      <c r="CZ227" s="2098">
        <f t="shared" si="79"/>
        <v>0</v>
      </c>
      <c r="DA227" s="2098" t="str">
        <f t="shared" si="80"/>
        <v>-</v>
      </c>
      <c r="DB227" s="2098">
        <f t="shared" si="81"/>
        <v>0</v>
      </c>
      <c r="DC227" s="3023" t="str">
        <f t="shared" si="82"/>
        <v>-</v>
      </c>
      <c r="DD227" s="3024" t="str">
        <f t="shared" si="83"/>
        <v/>
      </c>
      <c r="DE227" s="3025" t="str">
        <f t="shared" si="84"/>
        <v>-</v>
      </c>
      <c r="DF227" s="3024" t="str">
        <f t="shared" si="75"/>
        <v>-</v>
      </c>
      <c r="DG227" s="2098">
        <f t="shared" si="85"/>
        <v>0</v>
      </c>
      <c r="DH227" s="2098">
        <f t="array" ref="DH227">MIN(SUMPRODUCT(I227:CR227,IF($I$25:$CR$25="yes",1,0),$I$23:$CR$23),H227)</f>
        <v>0</v>
      </c>
      <c r="DI227" s="3026"/>
      <c r="DJ227" s="3021"/>
      <c r="DN227" s="917" t="str">
        <f>IF(CS227="","-",SUMIF('Lighting Assumptions'!$G$3:$G$112,'6a - Lighting Counts'!G227,'Lighting Assumptions'!$J$3:$J$112))</f>
        <v>-</v>
      </c>
      <c r="DO227" s="917" t="str">
        <f t="shared" si="76"/>
        <v>-</v>
      </c>
      <c r="DP227" s="917" t="str">
        <f t="shared" si="77"/>
        <v>-</v>
      </c>
      <c r="DQ227" s="917" t="str">
        <f>IF(LEFT(CELLformula(DF227),3)&lt;&gt;"=IF",1,"")</f>
        <v/>
      </c>
      <c r="DR227" s="917" t="str">
        <f>IF(LEFT(CELLformula(DD227),3)&lt;&gt;"=IF",1,"")</f>
        <v/>
      </c>
      <c r="DS227" s="3048">
        <f t="shared" si="86"/>
        <v>0</v>
      </c>
      <c r="DT227" s="3047" t="str">
        <f t="shared" si="87"/>
        <v/>
      </c>
      <c r="DU227" s="3047" t="str">
        <f>IFERROR(IF(G227="","",SUMIF('Lighting Assumptions'!$G$3:$G$112,'6a - Lighting Counts'!G227,'Lighting Assumptions'!$H$3:$H$112)*IF(SI_IP_Units="SI",10.76,1)),"")</f>
        <v/>
      </c>
      <c r="DV227" s="3047" t="str">
        <f>IFERROR(IF($CX227="","",IF(SI_IP_Units="SI",10.76,1)*SUMIF(BAMCategories,$CY227,'Lighting Assumptions'!$E$3:E$35)),"")</f>
        <v/>
      </c>
      <c r="DW227" s="3047" t="str">
        <f>IFERROR(IF($CX227="","",IF(SI_IP_Units="SI",10.76,1)*SUMIF(BAMCategories,$CY227,IF(bpf_reference="ACP",'Lighting Assumptions 90.1-2010'!$E$3:E$35,'Lighting Assumptions 90.1-2016'!$E$3:E$35))),"")</f>
        <v/>
      </c>
      <c r="EW227" s="855"/>
      <c r="EX227" s="855"/>
      <c r="EY227" s="855"/>
      <c r="EZ227" s="855"/>
    </row>
    <row r="228" spans="4:156" x14ac:dyDescent="0.25">
      <c r="D228" s="3019"/>
      <c r="E228" s="3020"/>
      <c r="F228" s="3021">
        <f t="shared" si="74"/>
        <v>0</v>
      </c>
      <c r="G228" s="3059"/>
      <c r="H228" s="3060"/>
      <c r="I228" s="3061"/>
      <c r="J228" s="3061"/>
      <c r="K228" s="3061"/>
      <c r="L228" s="3061"/>
      <c r="M228" s="3061"/>
      <c r="N228" s="3061"/>
      <c r="O228" s="3061"/>
      <c r="P228" s="3061"/>
      <c r="Q228" s="3061"/>
      <c r="R228" s="3061"/>
      <c r="S228" s="3061"/>
      <c r="T228" s="3061"/>
      <c r="U228" s="3061"/>
      <c r="V228" s="3061"/>
      <c r="W228" s="3061"/>
      <c r="X228" s="3061"/>
      <c r="Y228" s="3061"/>
      <c r="Z228" s="3061"/>
      <c r="AA228" s="3061"/>
      <c r="AB228" s="3061"/>
      <c r="AC228" s="3061"/>
      <c r="AD228" s="3061"/>
      <c r="AE228" s="3061"/>
      <c r="AF228" s="3061"/>
      <c r="AG228" s="3061"/>
      <c r="AH228" s="3061"/>
      <c r="AI228" s="3061"/>
      <c r="AJ228" s="3061"/>
      <c r="AK228" s="3061"/>
      <c r="AL228" s="3061"/>
      <c r="AM228" s="3061"/>
      <c r="AN228" s="3061"/>
      <c r="AO228" s="3061"/>
      <c r="AP228" s="3061"/>
      <c r="AQ228" s="3061"/>
      <c r="AR228" s="3061"/>
      <c r="AS228" s="3061"/>
      <c r="AT228" s="3061"/>
      <c r="AU228" s="3061"/>
      <c r="AV228" s="3061"/>
      <c r="AW228" s="3061"/>
      <c r="AX228" s="3061"/>
      <c r="AY228" s="3061"/>
      <c r="AZ228" s="3061"/>
      <c r="BA228" s="3061"/>
      <c r="BB228" s="3061"/>
      <c r="BC228" s="3061"/>
      <c r="BD228" s="3061"/>
      <c r="BE228" s="3061"/>
      <c r="BF228" s="3061"/>
      <c r="BG228" s="3061"/>
      <c r="BH228" s="3061"/>
      <c r="BI228" s="3061"/>
      <c r="BJ228" s="3061"/>
      <c r="BK228" s="3061"/>
      <c r="BL228" s="3061"/>
      <c r="BM228" s="3061"/>
      <c r="BN228" s="3061"/>
      <c r="BO228" s="3061"/>
      <c r="BP228" s="3061"/>
      <c r="BQ228" s="3061"/>
      <c r="BR228" s="3061"/>
      <c r="BS228" s="3061"/>
      <c r="BT228" s="3061"/>
      <c r="BU228" s="3061"/>
      <c r="BV228" s="3061"/>
      <c r="BW228" s="3061"/>
      <c r="BX228" s="3061"/>
      <c r="BY228" s="3061"/>
      <c r="BZ228" s="3061"/>
      <c r="CA228" s="3061"/>
      <c r="CB228" s="3061"/>
      <c r="CC228" s="3061"/>
      <c r="CD228" s="3061"/>
      <c r="CE228" s="3061"/>
      <c r="CF228" s="3061"/>
      <c r="CG228" s="3061"/>
      <c r="CH228" s="3061"/>
      <c r="CI228" s="3061"/>
      <c r="CJ228" s="3061"/>
      <c r="CK228" s="3061"/>
      <c r="CL228" s="3061"/>
      <c r="CM228" s="3061"/>
      <c r="CN228" s="3061"/>
      <c r="CO228" s="3061"/>
      <c r="CP228" s="3061"/>
      <c r="CQ228" s="3061"/>
      <c r="CR228" s="3061"/>
      <c r="CS228" s="3062"/>
      <c r="CT228" s="3063"/>
      <c r="CU228" s="3064">
        <f t="shared" si="78"/>
        <v>1</v>
      </c>
      <c r="CV228" s="3022" t="str">
        <f>IF(OR(CT228="",CT228="None"),"-",DO228*CU228*SUMIF('Lighting Assumptions'!$G$3:$G$112,'6a - Lighting Counts'!G228,'Lighting Assumptions'!$J$3:$J$112))</f>
        <v>-</v>
      </c>
      <c r="CW228" s="3021"/>
      <c r="CX228" s="3021"/>
      <c r="CY228" s="3046"/>
      <c r="CZ228" s="2098">
        <f t="shared" si="79"/>
        <v>0</v>
      </c>
      <c r="DA228" s="2098" t="str">
        <f t="shared" si="80"/>
        <v>-</v>
      </c>
      <c r="DB228" s="2098">
        <f t="shared" si="81"/>
        <v>0</v>
      </c>
      <c r="DC228" s="3023" t="str">
        <f t="shared" si="82"/>
        <v>-</v>
      </c>
      <c r="DD228" s="3024" t="str">
        <f t="shared" si="83"/>
        <v/>
      </c>
      <c r="DE228" s="3025" t="str">
        <f t="shared" si="84"/>
        <v>-</v>
      </c>
      <c r="DF228" s="3024" t="str">
        <f t="shared" si="75"/>
        <v>-</v>
      </c>
      <c r="DG228" s="2098">
        <f t="shared" si="85"/>
        <v>0</v>
      </c>
      <c r="DH228" s="2098">
        <f t="array" ref="DH228">MIN(SUMPRODUCT(I228:CR228,IF($I$25:$CR$25="yes",1,0),$I$23:$CR$23),H228)</f>
        <v>0</v>
      </c>
      <c r="DI228" s="3026"/>
      <c r="DJ228" s="3021"/>
      <c r="DN228" s="917" t="str">
        <f>IF(CS228="","-",SUMIF('Lighting Assumptions'!$G$3:$G$112,'6a - Lighting Counts'!G228,'Lighting Assumptions'!$J$3:$J$112))</f>
        <v>-</v>
      </c>
      <c r="DO228" s="917" t="str">
        <f t="shared" si="76"/>
        <v>-</v>
      </c>
      <c r="DP228" s="917" t="str">
        <f t="shared" si="77"/>
        <v>-</v>
      </c>
      <c r="DQ228" s="917" t="str">
        <f>IF(LEFT(CELLformula(DF228),3)&lt;&gt;"=IF",1,"")</f>
        <v/>
      </c>
      <c r="DR228" s="917" t="str">
        <f>IF(LEFT(CELLformula(DD228),3)&lt;&gt;"=IF",1,"")</f>
        <v/>
      </c>
      <c r="DS228" s="3048">
        <f t="shared" si="86"/>
        <v>0</v>
      </c>
      <c r="DT228" s="3047" t="str">
        <f t="shared" si="87"/>
        <v/>
      </c>
      <c r="DU228" s="3047" t="str">
        <f>IFERROR(IF(G228="","",SUMIF('Lighting Assumptions'!$G$3:$G$112,'6a - Lighting Counts'!G228,'Lighting Assumptions'!$H$3:$H$112)*IF(SI_IP_Units="SI",10.76,1)),"")</f>
        <v/>
      </c>
      <c r="DV228" s="3047" t="str">
        <f>IFERROR(IF($CX228="","",IF(SI_IP_Units="SI",10.76,1)*SUMIF(BAMCategories,$CY228,'Lighting Assumptions'!$E$3:E$35)),"")</f>
        <v/>
      </c>
      <c r="DW228" s="3047" t="str">
        <f>IFERROR(IF($CX228="","",IF(SI_IP_Units="SI",10.76,1)*SUMIF(BAMCategories,$CY228,IF(bpf_reference="ACP",'Lighting Assumptions 90.1-2010'!$E$3:E$35,'Lighting Assumptions 90.1-2016'!$E$3:E$35))),"")</f>
        <v/>
      </c>
      <c r="EW228" s="855"/>
      <c r="EX228" s="855"/>
      <c r="EY228" s="855"/>
      <c r="EZ228" s="855"/>
    </row>
    <row r="229" spans="4:156" x14ac:dyDescent="0.25">
      <c r="D229" s="3019"/>
      <c r="E229" s="3020"/>
      <c r="F229" s="3021">
        <f t="shared" si="74"/>
        <v>0</v>
      </c>
      <c r="G229" s="3059"/>
      <c r="H229" s="3060"/>
      <c r="I229" s="3061"/>
      <c r="J229" s="3061"/>
      <c r="K229" s="3061"/>
      <c r="L229" s="3061"/>
      <c r="M229" s="3061"/>
      <c r="N229" s="3061"/>
      <c r="O229" s="3061"/>
      <c r="P229" s="3061"/>
      <c r="Q229" s="3061"/>
      <c r="R229" s="3061"/>
      <c r="S229" s="3061"/>
      <c r="T229" s="3061"/>
      <c r="U229" s="3061"/>
      <c r="V229" s="3061"/>
      <c r="W229" s="3061"/>
      <c r="X229" s="3061"/>
      <c r="Y229" s="3061"/>
      <c r="Z229" s="3061"/>
      <c r="AA229" s="3061"/>
      <c r="AB229" s="3061"/>
      <c r="AC229" s="3061"/>
      <c r="AD229" s="3061"/>
      <c r="AE229" s="3061"/>
      <c r="AF229" s="3061"/>
      <c r="AG229" s="3061"/>
      <c r="AH229" s="3061"/>
      <c r="AI229" s="3061"/>
      <c r="AJ229" s="3061"/>
      <c r="AK229" s="3061"/>
      <c r="AL229" s="3061"/>
      <c r="AM229" s="3061"/>
      <c r="AN229" s="3061"/>
      <c r="AO229" s="3061"/>
      <c r="AP229" s="3061"/>
      <c r="AQ229" s="3061"/>
      <c r="AR229" s="3061"/>
      <c r="AS229" s="3061"/>
      <c r="AT229" s="3061"/>
      <c r="AU229" s="3061"/>
      <c r="AV229" s="3061"/>
      <c r="AW229" s="3061"/>
      <c r="AX229" s="3061"/>
      <c r="AY229" s="3061"/>
      <c r="AZ229" s="3061"/>
      <c r="BA229" s="3061"/>
      <c r="BB229" s="3061"/>
      <c r="BC229" s="3061"/>
      <c r="BD229" s="3061"/>
      <c r="BE229" s="3061"/>
      <c r="BF229" s="3061"/>
      <c r="BG229" s="3061"/>
      <c r="BH229" s="3061"/>
      <c r="BI229" s="3061"/>
      <c r="BJ229" s="3061"/>
      <c r="BK229" s="3061"/>
      <c r="BL229" s="3061"/>
      <c r="BM229" s="3061"/>
      <c r="BN229" s="3061"/>
      <c r="BO229" s="3061"/>
      <c r="BP229" s="3061"/>
      <c r="BQ229" s="3061"/>
      <c r="BR229" s="3061"/>
      <c r="BS229" s="3061"/>
      <c r="BT229" s="3061"/>
      <c r="BU229" s="3061"/>
      <c r="BV229" s="3061"/>
      <c r="BW229" s="3061"/>
      <c r="BX229" s="3061"/>
      <c r="BY229" s="3061"/>
      <c r="BZ229" s="3061"/>
      <c r="CA229" s="3061"/>
      <c r="CB229" s="3061"/>
      <c r="CC229" s="3061"/>
      <c r="CD229" s="3061"/>
      <c r="CE229" s="3061"/>
      <c r="CF229" s="3061"/>
      <c r="CG229" s="3061"/>
      <c r="CH229" s="3061"/>
      <c r="CI229" s="3061"/>
      <c r="CJ229" s="3061"/>
      <c r="CK229" s="3061"/>
      <c r="CL229" s="3061"/>
      <c r="CM229" s="3061"/>
      <c r="CN229" s="3061"/>
      <c r="CO229" s="3061"/>
      <c r="CP229" s="3061"/>
      <c r="CQ229" s="3061"/>
      <c r="CR229" s="3061"/>
      <c r="CS229" s="3062"/>
      <c r="CT229" s="3063"/>
      <c r="CU229" s="3064">
        <f t="shared" si="78"/>
        <v>1</v>
      </c>
      <c r="CV229" s="3022" t="str">
        <f>IF(OR(CT229="",CT229="None"),"-",DO229*CU229*SUMIF('Lighting Assumptions'!$G$3:$G$112,'6a - Lighting Counts'!G229,'Lighting Assumptions'!$J$3:$J$112))</f>
        <v>-</v>
      </c>
      <c r="CW229" s="3021"/>
      <c r="CX229" s="3021"/>
      <c r="CY229" s="3046"/>
      <c r="CZ229" s="2098">
        <f t="shared" si="79"/>
        <v>0</v>
      </c>
      <c r="DA229" s="2098" t="str">
        <f t="shared" si="80"/>
        <v>-</v>
      </c>
      <c r="DB229" s="2098">
        <f t="shared" si="81"/>
        <v>0</v>
      </c>
      <c r="DC229" s="3023" t="str">
        <f t="shared" si="82"/>
        <v>-</v>
      </c>
      <c r="DD229" s="3024" t="str">
        <f t="shared" si="83"/>
        <v/>
      </c>
      <c r="DE229" s="3025" t="str">
        <f t="shared" si="84"/>
        <v>-</v>
      </c>
      <c r="DF229" s="3024" t="str">
        <f t="shared" si="75"/>
        <v>-</v>
      </c>
      <c r="DG229" s="2098">
        <f t="shared" si="85"/>
        <v>0</v>
      </c>
      <c r="DH229" s="2098">
        <f t="array" ref="DH229">MIN(SUMPRODUCT(I229:CR229,IF($I$25:$CR$25="yes",1,0),$I$23:$CR$23),H229)</f>
        <v>0</v>
      </c>
      <c r="DI229" s="3026"/>
      <c r="DJ229" s="3021"/>
      <c r="DN229" s="917" t="str">
        <f>IF(CS229="","-",SUMIF('Lighting Assumptions'!$G$3:$G$112,'6a - Lighting Counts'!G229,'Lighting Assumptions'!$J$3:$J$112))</f>
        <v>-</v>
      </c>
      <c r="DO229" s="917" t="str">
        <f t="shared" si="76"/>
        <v>-</v>
      </c>
      <c r="DP229" s="917" t="str">
        <f t="shared" si="77"/>
        <v>-</v>
      </c>
      <c r="DQ229" s="917" t="str">
        <f>IF(LEFT(CELLformula(DF229),3)&lt;&gt;"=IF",1,"")</f>
        <v/>
      </c>
      <c r="DR229" s="917" t="str">
        <f>IF(LEFT(CELLformula(DD229),3)&lt;&gt;"=IF",1,"")</f>
        <v/>
      </c>
      <c r="DS229" s="3048">
        <f t="shared" si="86"/>
        <v>0</v>
      </c>
      <c r="DT229" s="3047" t="str">
        <f t="shared" si="87"/>
        <v/>
      </c>
      <c r="DU229" s="3047" t="str">
        <f>IFERROR(IF(G229="","",SUMIF('Lighting Assumptions'!$G$3:$G$112,'6a - Lighting Counts'!G229,'Lighting Assumptions'!$H$3:$H$112)*IF(SI_IP_Units="SI",10.76,1)),"")</f>
        <v/>
      </c>
      <c r="DV229" s="3047" t="str">
        <f>IFERROR(IF($CX229="","",IF(SI_IP_Units="SI",10.76,1)*SUMIF(BAMCategories,$CY229,'Lighting Assumptions'!$E$3:E$35)),"")</f>
        <v/>
      </c>
      <c r="DW229" s="3047" t="str">
        <f>IFERROR(IF($CX229="","",IF(SI_IP_Units="SI",10.76,1)*SUMIF(BAMCategories,$CY229,IF(bpf_reference="ACP",'Lighting Assumptions 90.1-2010'!$E$3:E$35,'Lighting Assumptions 90.1-2016'!$E$3:E$35))),"")</f>
        <v/>
      </c>
      <c r="EW229" s="855"/>
      <c r="EX229" s="855"/>
      <c r="EY229" s="855"/>
      <c r="EZ229" s="855"/>
    </row>
    <row r="230" spans="4:156" x14ac:dyDescent="0.25">
      <c r="D230" s="3019"/>
      <c r="E230" s="3020"/>
      <c r="F230" s="3021">
        <f t="shared" si="74"/>
        <v>0</v>
      </c>
      <c r="G230" s="3059"/>
      <c r="H230" s="3060"/>
      <c r="I230" s="3061"/>
      <c r="J230" s="3061"/>
      <c r="K230" s="3061"/>
      <c r="L230" s="3061"/>
      <c r="M230" s="3061"/>
      <c r="N230" s="3061"/>
      <c r="O230" s="3061"/>
      <c r="P230" s="3061"/>
      <c r="Q230" s="3061"/>
      <c r="R230" s="3061"/>
      <c r="S230" s="3061"/>
      <c r="T230" s="3061"/>
      <c r="U230" s="3061"/>
      <c r="V230" s="3061"/>
      <c r="W230" s="3061"/>
      <c r="X230" s="3061"/>
      <c r="Y230" s="3061"/>
      <c r="Z230" s="3061"/>
      <c r="AA230" s="3061"/>
      <c r="AB230" s="3061"/>
      <c r="AC230" s="3061"/>
      <c r="AD230" s="3061"/>
      <c r="AE230" s="3061"/>
      <c r="AF230" s="3061"/>
      <c r="AG230" s="3061"/>
      <c r="AH230" s="3061"/>
      <c r="AI230" s="3061"/>
      <c r="AJ230" s="3061"/>
      <c r="AK230" s="3061"/>
      <c r="AL230" s="3061"/>
      <c r="AM230" s="3061"/>
      <c r="AN230" s="3061"/>
      <c r="AO230" s="3061"/>
      <c r="AP230" s="3061"/>
      <c r="AQ230" s="3061"/>
      <c r="AR230" s="3061"/>
      <c r="AS230" s="3061"/>
      <c r="AT230" s="3061"/>
      <c r="AU230" s="3061"/>
      <c r="AV230" s="3061"/>
      <c r="AW230" s="3061"/>
      <c r="AX230" s="3061"/>
      <c r="AY230" s="3061"/>
      <c r="AZ230" s="3061"/>
      <c r="BA230" s="3061"/>
      <c r="BB230" s="3061"/>
      <c r="BC230" s="3061"/>
      <c r="BD230" s="3061"/>
      <c r="BE230" s="3061"/>
      <c r="BF230" s="3061"/>
      <c r="BG230" s="3061"/>
      <c r="BH230" s="3061"/>
      <c r="BI230" s="3061"/>
      <c r="BJ230" s="3061"/>
      <c r="BK230" s="3061"/>
      <c r="BL230" s="3061"/>
      <c r="BM230" s="3061"/>
      <c r="BN230" s="3061"/>
      <c r="BO230" s="3061"/>
      <c r="BP230" s="3061"/>
      <c r="BQ230" s="3061"/>
      <c r="BR230" s="3061"/>
      <c r="BS230" s="3061"/>
      <c r="BT230" s="3061"/>
      <c r="BU230" s="3061"/>
      <c r="BV230" s="3061"/>
      <c r="BW230" s="3061"/>
      <c r="BX230" s="3061"/>
      <c r="BY230" s="3061"/>
      <c r="BZ230" s="3061"/>
      <c r="CA230" s="3061"/>
      <c r="CB230" s="3061"/>
      <c r="CC230" s="3061"/>
      <c r="CD230" s="3061"/>
      <c r="CE230" s="3061"/>
      <c r="CF230" s="3061"/>
      <c r="CG230" s="3061"/>
      <c r="CH230" s="3061"/>
      <c r="CI230" s="3061"/>
      <c r="CJ230" s="3061"/>
      <c r="CK230" s="3061"/>
      <c r="CL230" s="3061"/>
      <c r="CM230" s="3061"/>
      <c r="CN230" s="3061"/>
      <c r="CO230" s="3061"/>
      <c r="CP230" s="3061"/>
      <c r="CQ230" s="3061"/>
      <c r="CR230" s="3061"/>
      <c r="CS230" s="3062"/>
      <c r="CT230" s="3063"/>
      <c r="CU230" s="3064">
        <f t="shared" si="78"/>
        <v>1</v>
      </c>
      <c r="CV230" s="3022" t="str">
        <f>IF(OR(CT230="",CT230="None"),"-",DO230*CU230*SUMIF('Lighting Assumptions'!$G$3:$G$112,'6a - Lighting Counts'!G230,'Lighting Assumptions'!$J$3:$J$112))</f>
        <v>-</v>
      </c>
      <c r="CW230" s="3021"/>
      <c r="CX230" s="3021"/>
      <c r="CY230" s="3046"/>
      <c r="CZ230" s="2098">
        <f t="shared" si="79"/>
        <v>0</v>
      </c>
      <c r="DA230" s="2098" t="str">
        <f t="shared" si="80"/>
        <v>-</v>
      </c>
      <c r="DB230" s="2098">
        <f t="shared" si="81"/>
        <v>0</v>
      </c>
      <c r="DC230" s="3023" t="str">
        <f t="shared" si="82"/>
        <v>-</v>
      </c>
      <c r="DD230" s="3024" t="str">
        <f t="shared" si="83"/>
        <v/>
      </c>
      <c r="DE230" s="3025" t="str">
        <f t="shared" si="84"/>
        <v>-</v>
      </c>
      <c r="DF230" s="3024" t="str">
        <f t="shared" si="75"/>
        <v>-</v>
      </c>
      <c r="DG230" s="2098">
        <f t="shared" si="85"/>
        <v>0</v>
      </c>
      <c r="DH230" s="2098">
        <f t="array" ref="DH230">MIN(SUMPRODUCT(I230:CR230,IF($I$25:$CR$25="yes",1,0),$I$23:$CR$23),H230)</f>
        <v>0</v>
      </c>
      <c r="DI230" s="3026"/>
      <c r="DJ230" s="3021"/>
      <c r="DN230" s="917" t="str">
        <f>IF(CS230="","-",SUMIF('Lighting Assumptions'!$G$3:$G$112,'6a - Lighting Counts'!G230,'Lighting Assumptions'!$J$3:$J$112))</f>
        <v>-</v>
      </c>
      <c r="DO230" s="917" t="str">
        <f t="shared" si="76"/>
        <v>-</v>
      </c>
      <c r="DP230" s="917" t="str">
        <f t="shared" si="77"/>
        <v>-</v>
      </c>
      <c r="DQ230" s="917" t="str">
        <f>IF(LEFT(CELLformula(DF230),3)&lt;&gt;"=IF",1,"")</f>
        <v/>
      </c>
      <c r="DR230" s="917" t="str">
        <f>IF(LEFT(CELLformula(DD230),3)&lt;&gt;"=IF",1,"")</f>
        <v/>
      </c>
      <c r="DS230" s="3048">
        <f t="shared" si="86"/>
        <v>0</v>
      </c>
      <c r="DT230" s="3047" t="str">
        <f t="shared" si="87"/>
        <v/>
      </c>
      <c r="DU230" s="3047" t="str">
        <f>IFERROR(IF(G230="","",SUMIF('Lighting Assumptions'!$G$3:$G$112,'6a - Lighting Counts'!G230,'Lighting Assumptions'!$H$3:$H$112)*IF(SI_IP_Units="SI",10.76,1)),"")</f>
        <v/>
      </c>
      <c r="DV230" s="3047" t="str">
        <f>IFERROR(IF($CX230="","",IF(SI_IP_Units="SI",10.76,1)*SUMIF(BAMCategories,$CY230,'Lighting Assumptions'!$E$3:E$35)),"")</f>
        <v/>
      </c>
      <c r="DW230" s="3047" t="str">
        <f>IFERROR(IF($CX230="","",IF(SI_IP_Units="SI",10.76,1)*SUMIF(BAMCategories,$CY230,IF(bpf_reference="ACP",'Lighting Assumptions 90.1-2010'!$E$3:E$35,'Lighting Assumptions 90.1-2016'!$E$3:E$35))),"")</f>
        <v/>
      </c>
      <c r="EW230" s="855"/>
      <c r="EX230" s="855"/>
      <c r="EY230" s="855"/>
      <c r="EZ230" s="855"/>
    </row>
    <row r="231" spans="4:156" x14ac:dyDescent="0.25">
      <c r="D231" s="3019"/>
      <c r="E231" s="3020"/>
      <c r="F231" s="3021">
        <f t="shared" si="74"/>
        <v>0</v>
      </c>
      <c r="G231" s="3059"/>
      <c r="H231" s="3060"/>
      <c r="I231" s="3061"/>
      <c r="J231" s="3061"/>
      <c r="K231" s="3061"/>
      <c r="L231" s="3061"/>
      <c r="M231" s="3061"/>
      <c r="N231" s="3061"/>
      <c r="O231" s="3061"/>
      <c r="P231" s="3061"/>
      <c r="Q231" s="3061"/>
      <c r="R231" s="3061"/>
      <c r="S231" s="3061"/>
      <c r="T231" s="3061"/>
      <c r="U231" s="3061"/>
      <c r="V231" s="3061"/>
      <c r="W231" s="3061"/>
      <c r="X231" s="3061"/>
      <c r="Y231" s="3061"/>
      <c r="Z231" s="3061"/>
      <c r="AA231" s="3061"/>
      <c r="AB231" s="3061"/>
      <c r="AC231" s="3061"/>
      <c r="AD231" s="3061"/>
      <c r="AE231" s="3061"/>
      <c r="AF231" s="3061"/>
      <c r="AG231" s="3061"/>
      <c r="AH231" s="3061"/>
      <c r="AI231" s="3061"/>
      <c r="AJ231" s="3061"/>
      <c r="AK231" s="3061"/>
      <c r="AL231" s="3061"/>
      <c r="AM231" s="3061"/>
      <c r="AN231" s="3061"/>
      <c r="AO231" s="3061"/>
      <c r="AP231" s="3061"/>
      <c r="AQ231" s="3061"/>
      <c r="AR231" s="3061"/>
      <c r="AS231" s="3061"/>
      <c r="AT231" s="3061"/>
      <c r="AU231" s="3061"/>
      <c r="AV231" s="3061"/>
      <c r="AW231" s="3061"/>
      <c r="AX231" s="3061"/>
      <c r="AY231" s="3061"/>
      <c r="AZ231" s="3061"/>
      <c r="BA231" s="3061"/>
      <c r="BB231" s="3061"/>
      <c r="BC231" s="3061"/>
      <c r="BD231" s="3061"/>
      <c r="BE231" s="3061"/>
      <c r="BF231" s="3061"/>
      <c r="BG231" s="3061"/>
      <c r="BH231" s="3061"/>
      <c r="BI231" s="3061"/>
      <c r="BJ231" s="3061"/>
      <c r="BK231" s="3061"/>
      <c r="BL231" s="3061"/>
      <c r="BM231" s="3061"/>
      <c r="BN231" s="3061"/>
      <c r="BO231" s="3061"/>
      <c r="BP231" s="3061"/>
      <c r="BQ231" s="3061"/>
      <c r="BR231" s="3061"/>
      <c r="BS231" s="3061"/>
      <c r="BT231" s="3061"/>
      <c r="BU231" s="3061"/>
      <c r="BV231" s="3061"/>
      <c r="BW231" s="3061"/>
      <c r="BX231" s="3061"/>
      <c r="BY231" s="3061"/>
      <c r="BZ231" s="3061"/>
      <c r="CA231" s="3061"/>
      <c r="CB231" s="3061"/>
      <c r="CC231" s="3061"/>
      <c r="CD231" s="3061"/>
      <c r="CE231" s="3061"/>
      <c r="CF231" s="3061"/>
      <c r="CG231" s="3061"/>
      <c r="CH231" s="3061"/>
      <c r="CI231" s="3061"/>
      <c r="CJ231" s="3061"/>
      <c r="CK231" s="3061"/>
      <c r="CL231" s="3061"/>
      <c r="CM231" s="3061"/>
      <c r="CN231" s="3061"/>
      <c r="CO231" s="3061"/>
      <c r="CP231" s="3061"/>
      <c r="CQ231" s="3061"/>
      <c r="CR231" s="3061"/>
      <c r="CS231" s="3062"/>
      <c r="CT231" s="3063"/>
      <c r="CU231" s="3064">
        <f t="shared" si="78"/>
        <v>1</v>
      </c>
      <c r="CV231" s="3022" t="str">
        <f>IF(OR(CT231="",CT231="None"),"-",DO231*CU231*SUMIF('Lighting Assumptions'!$G$3:$G$112,'6a - Lighting Counts'!G231,'Lighting Assumptions'!$J$3:$J$112))</f>
        <v>-</v>
      </c>
      <c r="CW231" s="3021"/>
      <c r="CX231" s="3021"/>
      <c r="CY231" s="3046"/>
      <c r="CZ231" s="2098">
        <f t="shared" si="79"/>
        <v>0</v>
      </c>
      <c r="DA231" s="2098" t="str">
        <f t="shared" si="80"/>
        <v>-</v>
      </c>
      <c r="DB231" s="2098">
        <f t="shared" si="81"/>
        <v>0</v>
      </c>
      <c r="DC231" s="3023" t="str">
        <f t="shared" si="82"/>
        <v>-</v>
      </c>
      <c r="DD231" s="3024" t="str">
        <f t="shared" si="83"/>
        <v/>
      </c>
      <c r="DE231" s="3025" t="str">
        <f t="shared" si="84"/>
        <v>-</v>
      </c>
      <c r="DF231" s="3024" t="str">
        <f t="shared" si="75"/>
        <v>-</v>
      </c>
      <c r="DG231" s="2098">
        <f t="shared" si="85"/>
        <v>0</v>
      </c>
      <c r="DH231" s="2098">
        <f t="array" ref="DH231">MIN(SUMPRODUCT(I231:CR231,IF($I$25:$CR$25="yes",1,0),$I$23:$CR$23),H231)</f>
        <v>0</v>
      </c>
      <c r="DI231" s="3026"/>
      <c r="DJ231" s="3021"/>
      <c r="DN231" s="917" t="str">
        <f>IF(CS231="","-",SUMIF('Lighting Assumptions'!$G$3:$G$112,'6a - Lighting Counts'!G231,'Lighting Assumptions'!$J$3:$J$112))</f>
        <v>-</v>
      </c>
      <c r="DO231" s="917" t="str">
        <f t="shared" si="76"/>
        <v>-</v>
      </c>
      <c r="DP231" s="917" t="str">
        <f t="shared" si="77"/>
        <v>-</v>
      </c>
      <c r="DQ231" s="917" t="str">
        <f>IF(LEFT(CELLformula(DF231),3)&lt;&gt;"=IF",1,"")</f>
        <v/>
      </c>
      <c r="DR231" s="917" t="str">
        <f>IF(LEFT(CELLformula(DD231),3)&lt;&gt;"=IF",1,"")</f>
        <v/>
      </c>
      <c r="DS231" s="3048">
        <f t="shared" si="86"/>
        <v>0</v>
      </c>
      <c r="DT231" s="3047" t="str">
        <f t="shared" si="87"/>
        <v/>
      </c>
      <c r="DU231" s="3047" t="str">
        <f>IFERROR(IF(G231="","",SUMIF('Lighting Assumptions'!$G$3:$G$112,'6a - Lighting Counts'!G231,'Lighting Assumptions'!$H$3:$H$112)*IF(SI_IP_Units="SI",10.76,1)),"")</f>
        <v/>
      </c>
      <c r="DV231" s="3047" t="str">
        <f>IFERROR(IF($CX231="","",IF(SI_IP_Units="SI",10.76,1)*SUMIF(BAMCategories,$CY231,'Lighting Assumptions'!$E$3:E$35)),"")</f>
        <v/>
      </c>
      <c r="DW231" s="3047" t="str">
        <f>IFERROR(IF($CX231="","",IF(SI_IP_Units="SI",10.76,1)*SUMIF(BAMCategories,$CY231,IF(bpf_reference="ACP",'Lighting Assumptions 90.1-2010'!$E$3:E$35,'Lighting Assumptions 90.1-2016'!$E$3:E$35))),"")</f>
        <v/>
      </c>
      <c r="EW231" s="855"/>
      <c r="EX231" s="855"/>
      <c r="EY231" s="855"/>
      <c r="EZ231" s="855"/>
    </row>
    <row r="232" spans="4:156" x14ac:dyDescent="0.25">
      <c r="D232" s="3019"/>
      <c r="E232" s="3020"/>
      <c r="F232" s="3021">
        <f t="shared" si="74"/>
        <v>0</v>
      </c>
      <c r="G232" s="3059"/>
      <c r="H232" s="3060"/>
      <c r="I232" s="3061"/>
      <c r="J232" s="3061"/>
      <c r="K232" s="3061"/>
      <c r="L232" s="3061"/>
      <c r="M232" s="3061"/>
      <c r="N232" s="3061"/>
      <c r="O232" s="3061"/>
      <c r="P232" s="3061"/>
      <c r="Q232" s="3061"/>
      <c r="R232" s="3061"/>
      <c r="S232" s="3061"/>
      <c r="T232" s="3061"/>
      <c r="U232" s="3061"/>
      <c r="V232" s="3061"/>
      <c r="W232" s="3061"/>
      <c r="X232" s="3061"/>
      <c r="Y232" s="3061"/>
      <c r="Z232" s="3061"/>
      <c r="AA232" s="3061"/>
      <c r="AB232" s="3061"/>
      <c r="AC232" s="3061"/>
      <c r="AD232" s="3061"/>
      <c r="AE232" s="3061"/>
      <c r="AF232" s="3061"/>
      <c r="AG232" s="3061"/>
      <c r="AH232" s="3061"/>
      <c r="AI232" s="3061"/>
      <c r="AJ232" s="3061"/>
      <c r="AK232" s="3061"/>
      <c r="AL232" s="3061"/>
      <c r="AM232" s="3061"/>
      <c r="AN232" s="3061"/>
      <c r="AO232" s="3061"/>
      <c r="AP232" s="3061"/>
      <c r="AQ232" s="3061"/>
      <c r="AR232" s="3061"/>
      <c r="AS232" s="3061"/>
      <c r="AT232" s="3061"/>
      <c r="AU232" s="3061"/>
      <c r="AV232" s="3061"/>
      <c r="AW232" s="3061"/>
      <c r="AX232" s="3061"/>
      <c r="AY232" s="3061"/>
      <c r="AZ232" s="3061"/>
      <c r="BA232" s="3061"/>
      <c r="BB232" s="3061"/>
      <c r="BC232" s="3061"/>
      <c r="BD232" s="3061"/>
      <c r="BE232" s="3061"/>
      <c r="BF232" s="3061"/>
      <c r="BG232" s="3061"/>
      <c r="BH232" s="3061"/>
      <c r="BI232" s="3061"/>
      <c r="BJ232" s="3061"/>
      <c r="BK232" s="3061"/>
      <c r="BL232" s="3061"/>
      <c r="BM232" s="3061"/>
      <c r="BN232" s="3061"/>
      <c r="BO232" s="3061"/>
      <c r="BP232" s="3061"/>
      <c r="BQ232" s="3061"/>
      <c r="BR232" s="3061"/>
      <c r="BS232" s="3061"/>
      <c r="BT232" s="3061"/>
      <c r="BU232" s="3061"/>
      <c r="BV232" s="3061"/>
      <c r="BW232" s="3061"/>
      <c r="BX232" s="3061"/>
      <c r="BY232" s="3061"/>
      <c r="BZ232" s="3061"/>
      <c r="CA232" s="3061"/>
      <c r="CB232" s="3061"/>
      <c r="CC232" s="3061"/>
      <c r="CD232" s="3061"/>
      <c r="CE232" s="3061"/>
      <c r="CF232" s="3061"/>
      <c r="CG232" s="3061"/>
      <c r="CH232" s="3061"/>
      <c r="CI232" s="3061"/>
      <c r="CJ232" s="3061"/>
      <c r="CK232" s="3061"/>
      <c r="CL232" s="3061"/>
      <c r="CM232" s="3061"/>
      <c r="CN232" s="3061"/>
      <c r="CO232" s="3061"/>
      <c r="CP232" s="3061"/>
      <c r="CQ232" s="3061"/>
      <c r="CR232" s="3061"/>
      <c r="CS232" s="3062"/>
      <c r="CT232" s="3063"/>
      <c r="CU232" s="3064">
        <f t="shared" si="78"/>
        <v>1</v>
      </c>
      <c r="CV232" s="3022" t="str">
        <f>IF(OR(CT232="",CT232="None"),"-",DO232*CU232*SUMIF('Lighting Assumptions'!$G$3:$G$112,'6a - Lighting Counts'!G232,'Lighting Assumptions'!$J$3:$J$112))</f>
        <v>-</v>
      </c>
      <c r="CW232" s="3021"/>
      <c r="CX232" s="3021"/>
      <c r="CY232" s="3046"/>
      <c r="CZ232" s="2098">
        <f t="shared" si="79"/>
        <v>0</v>
      </c>
      <c r="DA232" s="2098" t="str">
        <f t="shared" si="80"/>
        <v>-</v>
      </c>
      <c r="DB232" s="2098">
        <f t="shared" si="81"/>
        <v>0</v>
      </c>
      <c r="DC232" s="3023" t="str">
        <f t="shared" si="82"/>
        <v>-</v>
      </c>
      <c r="DD232" s="3024" t="str">
        <f t="shared" si="83"/>
        <v/>
      </c>
      <c r="DE232" s="3025" t="str">
        <f t="shared" si="84"/>
        <v>-</v>
      </c>
      <c r="DF232" s="3024" t="str">
        <f t="shared" si="75"/>
        <v>-</v>
      </c>
      <c r="DG232" s="2098">
        <f t="shared" si="85"/>
        <v>0</v>
      </c>
      <c r="DH232" s="2098">
        <f t="array" ref="DH232">MIN(SUMPRODUCT(I232:CR232,IF($I$25:$CR$25="yes",1,0),$I$23:$CR$23),H232)</f>
        <v>0</v>
      </c>
      <c r="DI232" s="3026"/>
      <c r="DJ232" s="3021"/>
      <c r="DN232" s="917" t="str">
        <f>IF(CS232="","-",SUMIF('Lighting Assumptions'!$G$3:$G$112,'6a - Lighting Counts'!G232,'Lighting Assumptions'!$J$3:$J$112))</f>
        <v>-</v>
      </c>
      <c r="DO232" s="917" t="str">
        <f t="shared" si="76"/>
        <v>-</v>
      </c>
      <c r="DP232" s="917" t="str">
        <f t="shared" si="77"/>
        <v>-</v>
      </c>
      <c r="DQ232" s="917" t="str">
        <f>IF(LEFT(CELLformula(DF232),3)&lt;&gt;"=IF",1,"")</f>
        <v/>
      </c>
      <c r="DR232" s="917" t="str">
        <f>IF(LEFT(CELLformula(DD232),3)&lt;&gt;"=IF",1,"")</f>
        <v/>
      </c>
      <c r="DS232" s="3048">
        <f t="shared" si="86"/>
        <v>0</v>
      </c>
      <c r="DT232" s="3047" t="str">
        <f t="shared" si="87"/>
        <v/>
      </c>
      <c r="DU232" s="3047" t="str">
        <f>IFERROR(IF(G232="","",SUMIF('Lighting Assumptions'!$G$3:$G$112,'6a - Lighting Counts'!G232,'Lighting Assumptions'!$H$3:$H$112)*IF(SI_IP_Units="SI",10.76,1)),"")</f>
        <v/>
      </c>
      <c r="DV232" s="3047" t="str">
        <f>IFERROR(IF($CX232="","",IF(SI_IP_Units="SI",10.76,1)*SUMIF(BAMCategories,$CY232,'Lighting Assumptions'!$E$3:E$35)),"")</f>
        <v/>
      </c>
      <c r="DW232" s="3047" t="str">
        <f>IFERROR(IF($CX232="","",IF(SI_IP_Units="SI",10.76,1)*SUMIF(BAMCategories,$CY232,IF(bpf_reference="ACP",'Lighting Assumptions 90.1-2010'!$E$3:E$35,'Lighting Assumptions 90.1-2016'!$E$3:E$35))),"")</f>
        <v/>
      </c>
      <c r="EW232" s="855"/>
      <c r="EX232" s="855"/>
      <c r="EY232" s="855"/>
      <c r="EZ232" s="855"/>
    </row>
    <row r="233" spans="4:156" x14ac:dyDescent="0.25">
      <c r="D233" s="3019"/>
      <c r="E233" s="3020"/>
      <c r="F233" s="3021">
        <f t="shared" si="74"/>
        <v>0</v>
      </c>
      <c r="G233" s="3059"/>
      <c r="H233" s="3060"/>
      <c r="I233" s="3061"/>
      <c r="J233" s="3061"/>
      <c r="K233" s="3061"/>
      <c r="L233" s="3061"/>
      <c r="M233" s="3061"/>
      <c r="N233" s="3061"/>
      <c r="O233" s="3061"/>
      <c r="P233" s="3061"/>
      <c r="Q233" s="3061"/>
      <c r="R233" s="3061"/>
      <c r="S233" s="3061"/>
      <c r="T233" s="3061"/>
      <c r="U233" s="3061"/>
      <c r="V233" s="3061"/>
      <c r="W233" s="3061"/>
      <c r="X233" s="3061"/>
      <c r="Y233" s="3061"/>
      <c r="Z233" s="3061"/>
      <c r="AA233" s="3061"/>
      <c r="AB233" s="3061"/>
      <c r="AC233" s="3061"/>
      <c r="AD233" s="3061"/>
      <c r="AE233" s="3061"/>
      <c r="AF233" s="3061"/>
      <c r="AG233" s="3061"/>
      <c r="AH233" s="3061"/>
      <c r="AI233" s="3061"/>
      <c r="AJ233" s="3061"/>
      <c r="AK233" s="3061"/>
      <c r="AL233" s="3061"/>
      <c r="AM233" s="3061"/>
      <c r="AN233" s="3061"/>
      <c r="AO233" s="3061"/>
      <c r="AP233" s="3061"/>
      <c r="AQ233" s="3061"/>
      <c r="AR233" s="3061"/>
      <c r="AS233" s="3061"/>
      <c r="AT233" s="3061"/>
      <c r="AU233" s="3061"/>
      <c r="AV233" s="3061"/>
      <c r="AW233" s="3061"/>
      <c r="AX233" s="3061"/>
      <c r="AY233" s="3061"/>
      <c r="AZ233" s="3061"/>
      <c r="BA233" s="3061"/>
      <c r="BB233" s="3061"/>
      <c r="BC233" s="3061"/>
      <c r="BD233" s="3061"/>
      <c r="BE233" s="3061"/>
      <c r="BF233" s="3061"/>
      <c r="BG233" s="3061"/>
      <c r="BH233" s="3061"/>
      <c r="BI233" s="3061"/>
      <c r="BJ233" s="3061"/>
      <c r="BK233" s="3061"/>
      <c r="BL233" s="3061"/>
      <c r="BM233" s="3061"/>
      <c r="BN233" s="3061"/>
      <c r="BO233" s="3061"/>
      <c r="BP233" s="3061"/>
      <c r="BQ233" s="3061"/>
      <c r="BR233" s="3061"/>
      <c r="BS233" s="3061"/>
      <c r="BT233" s="3061"/>
      <c r="BU233" s="3061"/>
      <c r="BV233" s="3061"/>
      <c r="BW233" s="3061"/>
      <c r="BX233" s="3061"/>
      <c r="BY233" s="3061"/>
      <c r="BZ233" s="3061"/>
      <c r="CA233" s="3061"/>
      <c r="CB233" s="3061"/>
      <c r="CC233" s="3061"/>
      <c r="CD233" s="3061"/>
      <c r="CE233" s="3061"/>
      <c r="CF233" s="3061"/>
      <c r="CG233" s="3061"/>
      <c r="CH233" s="3061"/>
      <c r="CI233" s="3061"/>
      <c r="CJ233" s="3061"/>
      <c r="CK233" s="3061"/>
      <c r="CL233" s="3061"/>
      <c r="CM233" s="3061"/>
      <c r="CN233" s="3061"/>
      <c r="CO233" s="3061"/>
      <c r="CP233" s="3061"/>
      <c r="CQ233" s="3061"/>
      <c r="CR233" s="3061"/>
      <c r="CS233" s="3062"/>
      <c r="CT233" s="3063"/>
      <c r="CU233" s="3064">
        <f t="shared" si="78"/>
        <v>1</v>
      </c>
      <c r="CV233" s="3022" t="str">
        <f>IF(OR(CT233="",CT233="None"),"-",DO233*CU233*SUMIF('Lighting Assumptions'!$G$3:$G$112,'6a - Lighting Counts'!G233,'Lighting Assumptions'!$J$3:$J$112))</f>
        <v>-</v>
      </c>
      <c r="CW233" s="3021"/>
      <c r="CX233" s="3021"/>
      <c r="CY233" s="3046"/>
      <c r="CZ233" s="2098">
        <f t="shared" si="79"/>
        <v>0</v>
      </c>
      <c r="DA233" s="2098" t="str">
        <f t="shared" si="80"/>
        <v>-</v>
      </c>
      <c r="DB233" s="2098">
        <f t="shared" si="81"/>
        <v>0</v>
      </c>
      <c r="DC233" s="3023" t="str">
        <f t="shared" si="82"/>
        <v>-</v>
      </c>
      <c r="DD233" s="3024" t="str">
        <f t="shared" si="83"/>
        <v/>
      </c>
      <c r="DE233" s="3025" t="str">
        <f t="shared" si="84"/>
        <v>-</v>
      </c>
      <c r="DF233" s="3024" t="str">
        <f t="shared" si="75"/>
        <v>-</v>
      </c>
      <c r="DG233" s="2098">
        <f t="shared" si="85"/>
        <v>0</v>
      </c>
      <c r="DH233" s="2098">
        <f t="array" ref="DH233">MIN(SUMPRODUCT(I233:CR233,IF($I$25:$CR$25="yes",1,0),$I$23:$CR$23),H233)</f>
        <v>0</v>
      </c>
      <c r="DI233" s="3026"/>
      <c r="DJ233" s="3021"/>
      <c r="DN233" s="917" t="str">
        <f>IF(CS233="","-",SUMIF('Lighting Assumptions'!$G$3:$G$112,'6a - Lighting Counts'!G233,'Lighting Assumptions'!$J$3:$J$112))</f>
        <v>-</v>
      </c>
      <c r="DO233" s="917" t="str">
        <f t="shared" si="76"/>
        <v>-</v>
      </c>
      <c r="DP233" s="917" t="str">
        <f t="shared" si="77"/>
        <v>-</v>
      </c>
      <c r="DQ233" s="917" t="str">
        <f>IF(LEFT(CELLformula(DF233),3)&lt;&gt;"=IF",1,"")</f>
        <v/>
      </c>
      <c r="DR233" s="917" t="str">
        <f>IF(LEFT(CELLformula(DD233),3)&lt;&gt;"=IF",1,"")</f>
        <v/>
      </c>
      <c r="DS233" s="3048">
        <f t="shared" si="86"/>
        <v>0</v>
      </c>
      <c r="DT233" s="3047" t="str">
        <f t="shared" si="87"/>
        <v/>
      </c>
      <c r="DU233" s="3047" t="str">
        <f>IFERROR(IF(G233="","",SUMIF('Lighting Assumptions'!$G$3:$G$112,'6a - Lighting Counts'!G233,'Lighting Assumptions'!$H$3:$H$112)*IF(SI_IP_Units="SI",10.76,1)),"")</f>
        <v/>
      </c>
      <c r="DV233" s="3047" t="str">
        <f>IFERROR(IF($CX233="","",IF(SI_IP_Units="SI",10.76,1)*SUMIF(BAMCategories,$CY233,'Lighting Assumptions'!$E$3:E$35)),"")</f>
        <v/>
      </c>
      <c r="DW233" s="3047" t="str">
        <f>IFERROR(IF($CX233="","",IF(SI_IP_Units="SI",10.76,1)*SUMIF(BAMCategories,$CY233,IF(bpf_reference="ACP",'Lighting Assumptions 90.1-2010'!$E$3:E$35,'Lighting Assumptions 90.1-2016'!$E$3:E$35))),"")</f>
        <v/>
      </c>
      <c r="EW233" s="855"/>
      <c r="EX233" s="855"/>
      <c r="EY233" s="855"/>
      <c r="EZ233" s="855"/>
    </row>
    <row r="234" spans="4:156" x14ac:dyDescent="0.25">
      <c r="D234" s="3019"/>
      <c r="E234" s="3020"/>
      <c r="F234" s="3021">
        <f t="shared" si="74"/>
        <v>0</v>
      </c>
      <c r="G234" s="3059"/>
      <c r="H234" s="3060"/>
      <c r="I234" s="3061"/>
      <c r="J234" s="3061"/>
      <c r="K234" s="3061"/>
      <c r="L234" s="3061"/>
      <c r="M234" s="3061"/>
      <c r="N234" s="3061"/>
      <c r="O234" s="3061"/>
      <c r="P234" s="3061"/>
      <c r="Q234" s="3061"/>
      <c r="R234" s="3061"/>
      <c r="S234" s="3061"/>
      <c r="T234" s="3061"/>
      <c r="U234" s="3061"/>
      <c r="V234" s="3061"/>
      <c r="W234" s="3061"/>
      <c r="X234" s="3061"/>
      <c r="Y234" s="3061"/>
      <c r="Z234" s="3061"/>
      <c r="AA234" s="3061"/>
      <c r="AB234" s="3061"/>
      <c r="AC234" s="3061"/>
      <c r="AD234" s="3061"/>
      <c r="AE234" s="3061"/>
      <c r="AF234" s="3061"/>
      <c r="AG234" s="3061"/>
      <c r="AH234" s="3061"/>
      <c r="AI234" s="3061"/>
      <c r="AJ234" s="3061"/>
      <c r="AK234" s="3061"/>
      <c r="AL234" s="3061"/>
      <c r="AM234" s="3061"/>
      <c r="AN234" s="3061"/>
      <c r="AO234" s="3061"/>
      <c r="AP234" s="3061"/>
      <c r="AQ234" s="3061"/>
      <c r="AR234" s="3061"/>
      <c r="AS234" s="3061"/>
      <c r="AT234" s="3061"/>
      <c r="AU234" s="3061"/>
      <c r="AV234" s="3061"/>
      <c r="AW234" s="3061"/>
      <c r="AX234" s="3061"/>
      <c r="AY234" s="3061"/>
      <c r="AZ234" s="3061"/>
      <c r="BA234" s="3061"/>
      <c r="BB234" s="3061"/>
      <c r="BC234" s="3061"/>
      <c r="BD234" s="3061"/>
      <c r="BE234" s="3061"/>
      <c r="BF234" s="3061"/>
      <c r="BG234" s="3061"/>
      <c r="BH234" s="3061"/>
      <c r="BI234" s="3061"/>
      <c r="BJ234" s="3061"/>
      <c r="BK234" s="3061"/>
      <c r="BL234" s="3061"/>
      <c r="BM234" s="3061"/>
      <c r="BN234" s="3061"/>
      <c r="BO234" s="3061"/>
      <c r="BP234" s="3061"/>
      <c r="BQ234" s="3061"/>
      <c r="BR234" s="3061"/>
      <c r="BS234" s="3061"/>
      <c r="BT234" s="3061"/>
      <c r="BU234" s="3061"/>
      <c r="BV234" s="3061"/>
      <c r="BW234" s="3061"/>
      <c r="BX234" s="3061"/>
      <c r="BY234" s="3061"/>
      <c r="BZ234" s="3061"/>
      <c r="CA234" s="3061"/>
      <c r="CB234" s="3061"/>
      <c r="CC234" s="3061"/>
      <c r="CD234" s="3061"/>
      <c r="CE234" s="3061"/>
      <c r="CF234" s="3061"/>
      <c r="CG234" s="3061"/>
      <c r="CH234" s="3061"/>
      <c r="CI234" s="3061"/>
      <c r="CJ234" s="3061"/>
      <c r="CK234" s="3061"/>
      <c r="CL234" s="3061"/>
      <c r="CM234" s="3061"/>
      <c r="CN234" s="3061"/>
      <c r="CO234" s="3061"/>
      <c r="CP234" s="3061"/>
      <c r="CQ234" s="3061"/>
      <c r="CR234" s="3061"/>
      <c r="CS234" s="3062"/>
      <c r="CT234" s="3063"/>
      <c r="CU234" s="3064">
        <f t="shared" si="78"/>
        <v>1</v>
      </c>
      <c r="CV234" s="3022" t="str">
        <f>IF(OR(CT234="",CT234="None"),"-",DO234*CU234*SUMIF('Lighting Assumptions'!$G$3:$G$112,'6a - Lighting Counts'!G234,'Lighting Assumptions'!$J$3:$J$112))</f>
        <v>-</v>
      </c>
      <c r="CW234" s="3021"/>
      <c r="CX234" s="3021"/>
      <c r="CY234" s="3046"/>
      <c r="CZ234" s="2098">
        <f t="shared" si="79"/>
        <v>0</v>
      </c>
      <c r="DA234" s="2098" t="str">
        <f t="shared" si="80"/>
        <v>-</v>
      </c>
      <c r="DB234" s="2098">
        <f t="shared" si="81"/>
        <v>0</v>
      </c>
      <c r="DC234" s="3023" t="str">
        <f t="shared" si="82"/>
        <v>-</v>
      </c>
      <c r="DD234" s="3024" t="str">
        <f t="shared" si="83"/>
        <v/>
      </c>
      <c r="DE234" s="3025" t="str">
        <f t="shared" si="84"/>
        <v>-</v>
      </c>
      <c r="DF234" s="3024" t="str">
        <f t="shared" si="75"/>
        <v>-</v>
      </c>
      <c r="DG234" s="2098">
        <f t="shared" si="85"/>
        <v>0</v>
      </c>
      <c r="DH234" s="2098">
        <f t="array" ref="DH234">MIN(SUMPRODUCT(I234:CR234,IF($I$25:$CR$25="yes",1,0),$I$23:$CR$23),H234)</f>
        <v>0</v>
      </c>
      <c r="DI234" s="3026"/>
      <c r="DJ234" s="3021"/>
      <c r="DN234" s="917" t="str">
        <f>IF(CS234="","-",SUMIF('Lighting Assumptions'!$G$3:$G$112,'6a - Lighting Counts'!G234,'Lighting Assumptions'!$J$3:$J$112))</f>
        <v>-</v>
      </c>
      <c r="DO234" s="917" t="str">
        <f t="shared" si="76"/>
        <v>-</v>
      </c>
      <c r="DP234" s="917" t="str">
        <f t="shared" si="77"/>
        <v>-</v>
      </c>
      <c r="DQ234" s="917" t="str">
        <f>IF(LEFT(CELLformula(DF234),3)&lt;&gt;"=IF",1,"")</f>
        <v/>
      </c>
      <c r="DR234" s="917" t="str">
        <f>IF(LEFT(CELLformula(DD234),3)&lt;&gt;"=IF",1,"")</f>
        <v/>
      </c>
      <c r="DS234" s="3048">
        <f t="shared" si="86"/>
        <v>0</v>
      </c>
      <c r="DT234" s="3047" t="str">
        <f t="shared" si="87"/>
        <v/>
      </c>
      <c r="DU234" s="3047" t="str">
        <f>IFERROR(IF(G234="","",SUMIF('Lighting Assumptions'!$G$3:$G$112,'6a - Lighting Counts'!G234,'Lighting Assumptions'!$H$3:$H$112)*IF(SI_IP_Units="SI",10.76,1)),"")</f>
        <v/>
      </c>
      <c r="DV234" s="3047" t="str">
        <f>IFERROR(IF($CX234="","",IF(SI_IP_Units="SI",10.76,1)*SUMIF(BAMCategories,$CY234,'Lighting Assumptions'!$E$3:E$35)),"")</f>
        <v/>
      </c>
      <c r="DW234" s="3047" t="str">
        <f>IFERROR(IF($CX234="","",IF(SI_IP_Units="SI",10.76,1)*SUMIF(BAMCategories,$CY234,IF(bpf_reference="ACP",'Lighting Assumptions 90.1-2010'!$E$3:E$35,'Lighting Assumptions 90.1-2016'!$E$3:E$35))),"")</f>
        <v/>
      </c>
      <c r="EW234" s="855"/>
      <c r="EX234" s="855"/>
      <c r="EY234" s="855"/>
      <c r="EZ234" s="855"/>
    </row>
    <row r="235" spans="4:156" x14ac:dyDescent="0.25">
      <c r="D235" s="3019"/>
      <c r="E235" s="3020"/>
      <c r="F235" s="3021">
        <f t="shared" si="74"/>
        <v>0</v>
      </c>
      <c r="G235" s="3059"/>
      <c r="H235" s="3060"/>
      <c r="I235" s="3061"/>
      <c r="J235" s="3061"/>
      <c r="K235" s="3061"/>
      <c r="L235" s="3061"/>
      <c r="M235" s="3061"/>
      <c r="N235" s="3061"/>
      <c r="O235" s="3061"/>
      <c r="P235" s="3061"/>
      <c r="Q235" s="3061"/>
      <c r="R235" s="3061"/>
      <c r="S235" s="3061"/>
      <c r="T235" s="3061"/>
      <c r="U235" s="3061"/>
      <c r="V235" s="3061"/>
      <c r="W235" s="3061"/>
      <c r="X235" s="3061"/>
      <c r="Y235" s="3061"/>
      <c r="Z235" s="3061"/>
      <c r="AA235" s="3061"/>
      <c r="AB235" s="3061"/>
      <c r="AC235" s="3061"/>
      <c r="AD235" s="3061"/>
      <c r="AE235" s="3061"/>
      <c r="AF235" s="3061"/>
      <c r="AG235" s="3061"/>
      <c r="AH235" s="3061"/>
      <c r="AI235" s="3061"/>
      <c r="AJ235" s="3061"/>
      <c r="AK235" s="3061"/>
      <c r="AL235" s="3061"/>
      <c r="AM235" s="3061"/>
      <c r="AN235" s="3061"/>
      <c r="AO235" s="3061"/>
      <c r="AP235" s="3061"/>
      <c r="AQ235" s="3061"/>
      <c r="AR235" s="3061"/>
      <c r="AS235" s="3061"/>
      <c r="AT235" s="3061"/>
      <c r="AU235" s="3061"/>
      <c r="AV235" s="3061"/>
      <c r="AW235" s="3061"/>
      <c r="AX235" s="3061"/>
      <c r="AY235" s="3061"/>
      <c r="AZ235" s="3061"/>
      <c r="BA235" s="3061"/>
      <c r="BB235" s="3061"/>
      <c r="BC235" s="3061"/>
      <c r="BD235" s="3061"/>
      <c r="BE235" s="3061"/>
      <c r="BF235" s="3061"/>
      <c r="BG235" s="3061"/>
      <c r="BH235" s="3061"/>
      <c r="BI235" s="3061"/>
      <c r="BJ235" s="3061"/>
      <c r="BK235" s="3061"/>
      <c r="BL235" s="3061"/>
      <c r="BM235" s="3061"/>
      <c r="BN235" s="3061"/>
      <c r="BO235" s="3061"/>
      <c r="BP235" s="3061"/>
      <c r="BQ235" s="3061"/>
      <c r="BR235" s="3061"/>
      <c r="BS235" s="3061"/>
      <c r="BT235" s="3061"/>
      <c r="BU235" s="3061"/>
      <c r="BV235" s="3061"/>
      <c r="BW235" s="3061"/>
      <c r="BX235" s="3061"/>
      <c r="BY235" s="3061"/>
      <c r="BZ235" s="3061"/>
      <c r="CA235" s="3061"/>
      <c r="CB235" s="3061"/>
      <c r="CC235" s="3061"/>
      <c r="CD235" s="3061"/>
      <c r="CE235" s="3061"/>
      <c r="CF235" s="3061"/>
      <c r="CG235" s="3061"/>
      <c r="CH235" s="3061"/>
      <c r="CI235" s="3061"/>
      <c r="CJ235" s="3061"/>
      <c r="CK235" s="3061"/>
      <c r="CL235" s="3061"/>
      <c r="CM235" s="3061"/>
      <c r="CN235" s="3061"/>
      <c r="CO235" s="3061"/>
      <c r="CP235" s="3061"/>
      <c r="CQ235" s="3061"/>
      <c r="CR235" s="3061"/>
      <c r="CS235" s="3062"/>
      <c r="CT235" s="3063"/>
      <c r="CU235" s="3064">
        <f t="shared" si="78"/>
        <v>1</v>
      </c>
      <c r="CV235" s="3022" t="str">
        <f>IF(OR(CT235="",CT235="None"),"-",DO235*CU235*SUMIF('Lighting Assumptions'!$G$3:$G$112,'6a - Lighting Counts'!G235,'Lighting Assumptions'!$J$3:$J$112))</f>
        <v>-</v>
      </c>
      <c r="CW235" s="3021"/>
      <c r="CX235" s="3021"/>
      <c r="CY235" s="3046"/>
      <c r="CZ235" s="2098">
        <f t="shared" si="79"/>
        <v>0</v>
      </c>
      <c r="DA235" s="2098" t="str">
        <f t="shared" si="80"/>
        <v>-</v>
      </c>
      <c r="DB235" s="2098">
        <f t="shared" si="81"/>
        <v>0</v>
      </c>
      <c r="DC235" s="3023" t="str">
        <f t="shared" si="82"/>
        <v>-</v>
      </c>
      <c r="DD235" s="3024" t="str">
        <f t="shared" si="83"/>
        <v/>
      </c>
      <c r="DE235" s="3025" t="str">
        <f t="shared" si="84"/>
        <v>-</v>
      </c>
      <c r="DF235" s="3024" t="str">
        <f t="shared" si="75"/>
        <v>-</v>
      </c>
      <c r="DG235" s="2098">
        <f t="shared" si="85"/>
        <v>0</v>
      </c>
      <c r="DH235" s="2098">
        <f t="array" ref="DH235">MIN(SUMPRODUCT(I235:CR235,IF($I$25:$CR$25="yes",1,0),$I$23:$CR$23),H235)</f>
        <v>0</v>
      </c>
      <c r="DI235" s="3026"/>
      <c r="DJ235" s="3021"/>
      <c r="DN235" s="917" t="str">
        <f>IF(CS235="","-",SUMIF('Lighting Assumptions'!$G$3:$G$112,'6a - Lighting Counts'!G235,'Lighting Assumptions'!$J$3:$J$112))</f>
        <v>-</v>
      </c>
      <c r="DO235" s="917" t="str">
        <f t="shared" si="76"/>
        <v>-</v>
      </c>
      <c r="DP235" s="917" t="str">
        <f t="shared" si="77"/>
        <v>-</v>
      </c>
      <c r="DQ235" s="917" t="str">
        <f>IF(LEFT(CELLformula(DF235),3)&lt;&gt;"=IF",1,"")</f>
        <v/>
      </c>
      <c r="DR235" s="917" t="str">
        <f>IF(LEFT(CELLformula(DD235),3)&lt;&gt;"=IF",1,"")</f>
        <v/>
      </c>
      <c r="DS235" s="3048">
        <f t="shared" si="86"/>
        <v>0</v>
      </c>
      <c r="DT235" s="3047" t="str">
        <f t="shared" si="87"/>
        <v/>
      </c>
      <c r="DU235" s="3047" t="str">
        <f>IFERROR(IF(G235="","",SUMIF('Lighting Assumptions'!$G$3:$G$112,'6a - Lighting Counts'!G235,'Lighting Assumptions'!$H$3:$H$112)*IF(SI_IP_Units="SI",10.76,1)),"")</f>
        <v/>
      </c>
      <c r="DV235" s="3047" t="str">
        <f>IFERROR(IF($CX235="","",IF(SI_IP_Units="SI",10.76,1)*SUMIF(BAMCategories,$CY235,'Lighting Assumptions'!$E$3:E$35)),"")</f>
        <v/>
      </c>
      <c r="DW235" s="3047" t="str">
        <f>IFERROR(IF($CX235="","",IF(SI_IP_Units="SI",10.76,1)*SUMIF(BAMCategories,$CY235,IF(bpf_reference="ACP",'Lighting Assumptions 90.1-2010'!$E$3:E$35,'Lighting Assumptions 90.1-2016'!$E$3:E$35))),"")</f>
        <v/>
      </c>
      <c r="EW235" s="855"/>
      <c r="EX235" s="855"/>
      <c r="EY235" s="855"/>
      <c r="EZ235" s="855"/>
    </row>
    <row r="236" spans="4:156" x14ac:dyDescent="0.25">
      <c r="D236" s="3019"/>
      <c r="E236" s="3020"/>
      <c r="F236" s="3021">
        <f t="shared" si="74"/>
        <v>0</v>
      </c>
      <c r="G236" s="3059"/>
      <c r="H236" s="3060"/>
      <c r="I236" s="3061"/>
      <c r="J236" s="3061"/>
      <c r="K236" s="3061"/>
      <c r="L236" s="3061"/>
      <c r="M236" s="3061"/>
      <c r="N236" s="3061"/>
      <c r="O236" s="3061"/>
      <c r="P236" s="3061"/>
      <c r="Q236" s="3061"/>
      <c r="R236" s="3061"/>
      <c r="S236" s="3061"/>
      <c r="T236" s="3061"/>
      <c r="U236" s="3061"/>
      <c r="V236" s="3061"/>
      <c r="W236" s="3061"/>
      <c r="X236" s="3061"/>
      <c r="Y236" s="3061"/>
      <c r="Z236" s="3061"/>
      <c r="AA236" s="3061"/>
      <c r="AB236" s="3061"/>
      <c r="AC236" s="3061"/>
      <c r="AD236" s="3061"/>
      <c r="AE236" s="3061"/>
      <c r="AF236" s="3061"/>
      <c r="AG236" s="3061"/>
      <c r="AH236" s="3061"/>
      <c r="AI236" s="3061"/>
      <c r="AJ236" s="3061"/>
      <c r="AK236" s="3061"/>
      <c r="AL236" s="3061"/>
      <c r="AM236" s="3061"/>
      <c r="AN236" s="3061"/>
      <c r="AO236" s="3061"/>
      <c r="AP236" s="3061"/>
      <c r="AQ236" s="3061"/>
      <c r="AR236" s="3061"/>
      <c r="AS236" s="3061"/>
      <c r="AT236" s="3061"/>
      <c r="AU236" s="3061"/>
      <c r="AV236" s="3061"/>
      <c r="AW236" s="3061"/>
      <c r="AX236" s="3061"/>
      <c r="AY236" s="3061"/>
      <c r="AZ236" s="3061"/>
      <c r="BA236" s="3061"/>
      <c r="BB236" s="3061"/>
      <c r="BC236" s="3061"/>
      <c r="BD236" s="3061"/>
      <c r="BE236" s="3061"/>
      <c r="BF236" s="3061"/>
      <c r="BG236" s="3061"/>
      <c r="BH236" s="3061"/>
      <c r="BI236" s="3061"/>
      <c r="BJ236" s="3061"/>
      <c r="BK236" s="3061"/>
      <c r="BL236" s="3061"/>
      <c r="BM236" s="3061"/>
      <c r="BN236" s="3061"/>
      <c r="BO236" s="3061"/>
      <c r="BP236" s="3061"/>
      <c r="BQ236" s="3061"/>
      <c r="BR236" s="3061"/>
      <c r="BS236" s="3061"/>
      <c r="BT236" s="3061"/>
      <c r="BU236" s="3061"/>
      <c r="BV236" s="3061"/>
      <c r="BW236" s="3061"/>
      <c r="BX236" s="3061"/>
      <c r="BY236" s="3061"/>
      <c r="BZ236" s="3061"/>
      <c r="CA236" s="3061"/>
      <c r="CB236" s="3061"/>
      <c r="CC236" s="3061"/>
      <c r="CD236" s="3061"/>
      <c r="CE236" s="3061"/>
      <c r="CF236" s="3061"/>
      <c r="CG236" s="3061"/>
      <c r="CH236" s="3061"/>
      <c r="CI236" s="3061"/>
      <c r="CJ236" s="3061"/>
      <c r="CK236" s="3061"/>
      <c r="CL236" s="3061"/>
      <c r="CM236" s="3061"/>
      <c r="CN236" s="3061"/>
      <c r="CO236" s="3061"/>
      <c r="CP236" s="3061"/>
      <c r="CQ236" s="3061"/>
      <c r="CR236" s="3061"/>
      <c r="CS236" s="3062"/>
      <c r="CT236" s="3063"/>
      <c r="CU236" s="3064">
        <f t="shared" si="78"/>
        <v>1</v>
      </c>
      <c r="CV236" s="3022" t="str">
        <f>IF(OR(CT236="",CT236="None"),"-",DO236*CU236*SUMIF('Lighting Assumptions'!$G$3:$G$112,'6a - Lighting Counts'!G236,'Lighting Assumptions'!$J$3:$J$112))</f>
        <v>-</v>
      </c>
      <c r="CW236" s="3021"/>
      <c r="CX236" s="3021"/>
      <c r="CY236" s="3046"/>
      <c r="CZ236" s="2098">
        <f t="shared" si="79"/>
        <v>0</v>
      </c>
      <c r="DA236" s="2098" t="str">
        <f t="shared" si="80"/>
        <v>-</v>
      </c>
      <c r="DB236" s="2098">
        <f t="shared" si="81"/>
        <v>0</v>
      </c>
      <c r="DC236" s="3023" t="str">
        <f t="shared" si="82"/>
        <v>-</v>
      </c>
      <c r="DD236" s="3024" t="str">
        <f t="shared" si="83"/>
        <v/>
      </c>
      <c r="DE236" s="3025" t="str">
        <f t="shared" si="84"/>
        <v>-</v>
      </c>
      <c r="DF236" s="3024" t="str">
        <f t="shared" si="75"/>
        <v>-</v>
      </c>
      <c r="DG236" s="2098">
        <f t="shared" si="85"/>
        <v>0</v>
      </c>
      <c r="DH236" s="2098">
        <f t="array" ref="DH236">MIN(SUMPRODUCT(I236:CR236,IF($I$25:$CR$25="yes",1,0),$I$23:$CR$23),H236)</f>
        <v>0</v>
      </c>
      <c r="DI236" s="3026"/>
      <c r="DJ236" s="3021"/>
      <c r="DN236" s="917" t="str">
        <f>IF(CS236="","-",SUMIF('Lighting Assumptions'!$G$3:$G$112,'6a - Lighting Counts'!G236,'Lighting Assumptions'!$J$3:$J$112))</f>
        <v>-</v>
      </c>
      <c r="DO236" s="917" t="str">
        <f t="shared" si="76"/>
        <v>-</v>
      </c>
      <c r="DP236" s="917" t="str">
        <f t="shared" si="77"/>
        <v>-</v>
      </c>
      <c r="DQ236" s="917" t="str">
        <f>IF(LEFT(CELLformula(DF236),3)&lt;&gt;"=IF",1,"")</f>
        <v/>
      </c>
      <c r="DR236" s="917" t="str">
        <f>IF(LEFT(CELLformula(DD236),3)&lt;&gt;"=IF",1,"")</f>
        <v/>
      </c>
      <c r="DS236" s="3048">
        <f t="shared" si="86"/>
        <v>0</v>
      </c>
      <c r="DT236" s="3047" t="str">
        <f t="shared" si="87"/>
        <v/>
      </c>
      <c r="DU236" s="3047" t="str">
        <f>IFERROR(IF(G236="","",SUMIF('Lighting Assumptions'!$G$3:$G$112,'6a - Lighting Counts'!G236,'Lighting Assumptions'!$H$3:$H$112)*IF(SI_IP_Units="SI",10.76,1)),"")</f>
        <v/>
      </c>
      <c r="DV236" s="3047" t="str">
        <f>IFERROR(IF($CX236="","",IF(SI_IP_Units="SI",10.76,1)*SUMIF(BAMCategories,$CY236,'Lighting Assumptions'!$E$3:E$35)),"")</f>
        <v/>
      </c>
      <c r="DW236" s="3047" t="str">
        <f>IFERROR(IF($CX236="","",IF(SI_IP_Units="SI",10.76,1)*SUMIF(BAMCategories,$CY236,IF(bpf_reference="ACP",'Lighting Assumptions 90.1-2010'!$E$3:E$35,'Lighting Assumptions 90.1-2016'!$E$3:E$35))),"")</f>
        <v/>
      </c>
      <c r="EW236" s="855"/>
      <c r="EX236" s="855"/>
      <c r="EY236" s="855"/>
      <c r="EZ236" s="855"/>
    </row>
    <row r="237" spans="4:156" x14ac:dyDescent="0.25">
      <c r="D237" s="3019"/>
      <c r="E237" s="3020"/>
      <c r="F237" s="3021">
        <f t="shared" si="74"/>
        <v>0</v>
      </c>
      <c r="G237" s="3059"/>
      <c r="H237" s="3060"/>
      <c r="I237" s="3061"/>
      <c r="J237" s="3061"/>
      <c r="K237" s="3061"/>
      <c r="L237" s="3061"/>
      <c r="M237" s="3061"/>
      <c r="N237" s="3061"/>
      <c r="O237" s="3061"/>
      <c r="P237" s="3061"/>
      <c r="Q237" s="3061"/>
      <c r="R237" s="3061"/>
      <c r="S237" s="3061"/>
      <c r="T237" s="3061"/>
      <c r="U237" s="3061"/>
      <c r="V237" s="3061"/>
      <c r="W237" s="3061"/>
      <c r="X237" s="3061"/>
      <c r="Y237" s="3061"/>
      <c r="Z237" s="3061"/>
      <c r="AA237" s="3061"/>
      <c r="AB237" s="3061"/>
      <c r="AC237" s="3061"/>
      <c r="AD237" s="3061"/>
      <c r="AE237" s="3061"/>
      <c r="AF237" s="3061"/>
      <c r="AG237" s="3061"/>
      <c r="AH237" s="3061"/>
      <c r="AI237" s="3061"/>
      <c r="AJ237" s="3061"/>
      <c r="AK237" s="3061"/>
      <c r="AL237" s="3061"/>
      <c r="AM237" s="3061"/>
      <c r="AN237" s="3061"/>
      <c r="AO237" s="3061"/>
      <c r="AP237" s="3061"/>
      <c r="AQ237" s="3061"/>
      <c r="AR237" s="3061"/>
      <c r="AS237" s="3061"/>
      <c r="AT237" s="3061"/>
      <c r="AU237" s="3061"/>
      <c r="AV237" s="3061"/>
      <c r="AW237" s="3061"/>
      <c r="AX237" s="3061"/>
      <c r="AY237" s="3061"/>
      <c r="AZ237" s="3061"/>
      <c r="BA237" s="3061"/>
      <c r="BB237" s="3061"/>
      <c r="BC237" s="3061"/>
      <c r="BD237" s="3061"/>
      <c r="BE237" s="3061"/>
      <c r="BF237" s="3061"/>
      <c r="BG237" s="3061"/>
      <c r="BH237" s="3061"/>
      <c r="BI237" s="3061"/>
      <c r="BJ237" s="3061"/>
      <c r="BK237" s="3061"/>
      <c r="BL237" s="3061"/>
      <c r="BM237" s="3061"/>
      <c r="BN237" s="3061"/>
      <c r="BO237" s="3061"/>
      <c r="BP237" s="3061"/>
      <c r="BQ237" s="3061"/>
      <c r="BR237" s="3061"/>
      <c r="BS237" s="3061"/>
      <c r="BT237" s="3061"/>
      <c r="BU237" s="3061"/>
      <c r="BV237" s="3061"/>
      <c r="BW237" s="3061"/>
      <c r="BX237" s="3061"/>
      <c r="BY237" s="3061"/>
      <c r="BZ237" s="3061"/>
      <c r="CA237" s="3061"/>
      <c r="CB237" s="3061"/>
      <c r="CC237" s="3061"/>
      <c r="CD237" s="3061"/>
      <c r="CE237" s="3061"/>
      <c r="CF237" s="3061"/>
      <c r="CG237" s="3061"/>
      <c r="CH237" s="3061"/>
      <c r="CI237" s="3061"/>
      <c r="CJ237" s="3061"/>
      <c r="CK237" s="3061"/>
      <c r="CL237" s="3061"/>
      <c r="CM237" s="3061"/>
      <c r="CN237" s="3061"/>
      <c r="CO237" s="3061"/>
      <c r="CP237" s="3061"/>
      <c r="CQ237" s="3061"/>
      <c r="CR237" s="3061"/>
      <c r="CS237" s="3062"/>
      <c r="CT237" s="3063"/>
      <c r="CU237" s="3064">
        <f t="shared" si="78"/>
        <v>1</v>
      </c>
      <c r="CV237" s="3022" t="str">
        <f>IF(OR(CT237="",CT237="None"),"-",DO237*CU237*SUMIF('Lighting Assumptions'!$G$3:$G$112,'6a - Lighting Counts'!G237,'Lighting Assumptions'!$J$3:$J$112))</f>
        <v>-</v>
      </c>
      <c r="CW237" s="3021"/>
      <c r="CX237" s="3021"/>
      <c r="CY237" s="3046"/>
      <c r="CZ237" s="2098">
        <f t="shared" si="79"/>
        <v>0</v>
      </c>
      <c r="DA237" s="2098" t="str">
        <f t="shared" si="80"/>
        <v>-</v>
      </c>
      <c r="DB237" s="2098">
        <f t="shared" si="81"/>
        <v>0</v>
      </c>
      <c r="DC237" s="3023" t="str">
        <f t="shared" si="82"/>
        <v>-</v>
      </c>
      <c r="DD237" s="3024" t="str">
        <f t="shared" si="83"/>
        <v/>
      </c>
      <c r="DE237" s="3025" t="str">
        <f t="shared" si="84"/>
        <v>-</v>
      </c>
      <c r="DF237" s="3024" t="str">
        <f t="shared" si="75"/>
        <v>-</v>
      </c>
      <c r="DG237" s="2098">
        <f t="shared" si="85"/>
        <v>0</v>
      </c>
      <c r="DH237" s="2098">
        <f t="array" ref="DH237">MIN(SUMPRODUCT(I237:CR237,IF($I$25:$CR$25="yes",1,0),$I$23:$CR$23),H237)</f>
        <v>0</v>
      </c>
      <c r="DI237" s="3026"/>
      <c r="DJ237" s="3021"/>
      <c r="DN237" s="917" t="str">
        <f>IF(CS237="","-",SUMIF('Lighting Assumptions'!$G$3:$G$112,'6a - Lighting Counts'!G237,'Lighting Assumptions'!$J$3:$J$112))</f>
        <v>-</v>
      </c>
      <c r="DO237" s="917" t="str">
        <f t="shared" si="76"/>
        <v>-</v>
      </c>
      <c r="DP237" s="917" t="str">
        <f t="shared" si="77"/>
        <v>-</v>
      </c>
      <c r="DQ237" s="917" t="str">
        <f>IF(LEFT(CELLformula(DF237),3)&lt;&gt;"=IF",1,"")</f>
        <v/>
      </c>
      <c r="DR237" s="917" t="str">
        <f>IF(LEFT(CELLformula(DD237),3)&lt;&gt;"=IF",1,"")</f>
        <v/>
      </c>
      <c r="DS237" s="3048">
        <f t="shared" si="86"/>
        <v>0</v>
      </c>
      <c r="DT237" s="3047" t="str">
        <f t="shared" si="87"/>
        <v/>
      </c>
      <c r="DU237" s="3047" t="str">
        <f>IFERROR(IF(G237="","",SUMIF('Lighting Assumptions'!$G$3:$G$112,'6a - Lighting Counts'!G237,'Lighting Assumptions'!$H$3:$H$112)*IF(SI_IP_Units="SI",10.76,1)),"")</f>
        <v/>
      </c>
      <c r="DV237" s="3047" t="str">
        <f>IFERROR(IF($CX237="","",IF(SI_IP_Units="SI",10.76,1)*SUMIF(BAMCategories,$CY237,'Lighting Assumptions'!$E$3:E$35)),"")</f>
        <v/>
      </c>
      <c r="DW237" s="3047" t="str">
        <f>IFERROR(IF($CX237="","",IF(SI_IP_Units="SI",10.76,1)*SUMIF(BAMCategories,$CY237,IF(bpf_reference="ACP",'Lighting Assumptions 90.1-2010'!$E$3:E$35,'Lighting Assumptions 90.1-2016'!$E$3:E$35))),"")</f>
        <v/>
      </c>
      <c r="EW237" s="855"/>
      <c r="EX237" s="855"/>
      <c r="EY237" s="855"/>
      <c r="EZ237" s="855"/>
    </row>
    <row r="238" spans="4:156" x14ac:dyDescent="0.25">
      <c r="D238" s="3019"/>
      <c r="E238" s="3020"/>
      <c r="F238" s="3021">
        <f t="shared" si="74"/>
        <v>0</v>
      </c>
      <c r="G238" s="3059"/>
      <c r="H238" s="3060"/>
      <c r="I238" s="3061"/>
      <c r="J238" s="3061"/>
      <c r="K238" s="3061"/>
      <c r="L238" s="3061"/>
      <c r="M238" s="3061"/>
      <c r="N238" s="3061"/>
      <c r="O238" s="3061"/>
      <c r="P238" s="3061"/>
      <c r="Q238" s="3061"/>
      <c r="R238" s="3061"/>
      <c r="S238" s="3061"/>
      <c r="T238" s="3061"/>
      <c r="U238" s="3061"/>
      <c r="V238" s="3061"/>
      <c r="W238" s="3061"/>
      <c r="X238" s="3061"/>
      <c r="Y238" s="3061"/>
      <c r="Z238" s="3061"/>
      <c r="AA238" s="3061"/>
      <c r="AB238" s="3061"/>
      <c r="AC238" s="3061"/>
      <c r="AD238" s="3061"/>
      <c r="AE238" s="3061"/>
      <c r="AF238" s="3061"/>
      <c r="AG238" s="3061"/>
      <c r="AH238" s="3061"/>
      <c r="AI238" s="3061"/>
      <c r="AJ238" s="3061"/>
      <c r="AK238" s="3061"/>
      <c r="AL238" s="3061"/>
      <c r="AM238" s="3061"/>
      <c r="AN238" s="3061"/>
      <c r="AO238" s="3061"/>
      <c r="AP238" s="3061"/>
      <c r="AQ238" s="3061"/>
      <c r="AR238" s="3061"/>
      <c r="AS238" s="3061"/>
      <c r="AT238" s="3061"/>
      <c r="AU238" s="3061"/>
      <c r="AV238" s="3061"/>
      <c r="AW238" s="3061"/>
      <c r="AX238" s="3061"/>
      <c r="AY238" s="3061"/>
      <c r="AZ238" s="3061"/>
      <c r="BA238" s="3061"/>
      <c r="BB238" s="3061"/>
      <c r="BC238" s="3061"/>
      <c r="BD238" s="3061"/>
      <c r="BE238" s="3061"/>
      <c r="BF238" s="3061"/>
      <c r="BG238" s="3061"/>
      <c r="BH238" s="3061"/>
      <c r="BI238" s="3061"/>
      <c r="BJ238" s="3061"/>
      <c r="BK238" s="3061"/>
      <c r="BL238" s="3061"/>
      <c r="BM238" s="3061"/>
      <c r="BN238" s="3061"/>
      <c r="BO238" s="3061"/>
      <c r="BP238" s="3061"/>
      <c r="BQ238" s="3061"/>
      <c r="BR238" s="3061"/>
      <c r="BS238" s="3061"/>
      <c r="BT238" s="3061"/>
      <c r="BU238" s="3061"/>
      <c r="BV238" s="3061"/>
      <c r="BW238" s="3061"/>
      <c r="BX238" s="3061"/>
      <c r="BY238" s="3061"/>
      <c r="BZ238" s="3061"/>
      <c r="CA238" s="3061"/>
      <c r="CB238" s="3061"/>
      <c r="CC238" s="3061"/>
      <c r="CD238" s="3061"/>
      <c r="CE238" s="3061"/>
      <c r="CF238" s="3061"/>
      <c r="CG238" s="3061"/>
      <c r="CH238" s="3061"/>
      <c r="CI238" s="3061"/>
      <c r="CJ238" s="3061"/>
      <c r="CK238" s="3061"/>
      <c r="CL238" s="3061"/>
      <c r="CM238" s="3061"/>
      <c r="CN238" s="3061"/>
      <c r="CO238" s="3061"/>
      <c r="CP238" s="3061"/>
      <c r="CQ238" s="3061"/>
      <c r="CR238" s="3061"/>
      <c r="CS238" s="3062"/>
      <c r="CT238" s="3063"/>
      <c r="CU238" s="3064">
        <f t="shared" si="78"/>
        <v>1</v>
      </c>
      <c r="CV238" s="3022" t="str">
        <f>IF(OR(CT238="",CT238="None"),"-",DO238*CU238*SUMIF('Lighting Assumptions'!$G$3:$G$112,'6a - Lighting Counts'!G238,'Lighting Assumptions'!$J$3:$J$112))</f>
        <v>-</v>
      </c>
      <c r="CW238" s="3021"/>
      <c r="CX238" s="3021"/>
      <c r="CY238" s="3046"/>
      <c r="CZ238" s="2098">
        <f t="shared" si="79"/>
        <v>0</v>
      </c>
      <c r="DA238" s="2098" t="str">
        <f t="shared" si="80"/>
        <v>-</v>
      </c>
      <c r="DB238" s="2098">
        <f t="shared" si="81"/>
        <v>0</v>
      </c>
      <c r="DC238" s="3023" t="str">
        <f t="shared" si="82"/>
        <v>-</v>
      </c>
      <c r="DD238" s="3024" t="str">
        <f t="shared" si="83"/>
        <v/>
      </c>
      <c r="DE238" s="3025" t="str">
        <f t="shared" si="84"/>
        <v>-</v>
      </c>
      <c r="DF238" s="3024" t="str">
        <f t="shared" si="75"/>
        <v>-</v>
      </c>
      <c r="DG238" s="2098">
        <f t="shared" si="85"/>
        <v>0</v>
      </c>
      <c r="DH238" s="2098">
        <f t="array" ref="DH238">MIN(SUMPRODUCT(I238:CR238,IF($I$25:$CR$25="yes",1,0),$I$23:$CR$23),H238)</f>
        <v>0</v>
      </c>
      <c r="DI238" s="3026"/>
      <c r="DJ238" s="3021"/>
      <c r="DN238" s="917" t="str">
        <f>IF(CS238="","-",SUMIF('Lighting Assumptions'!$G$3:$G$112,'6a - Lighting Counts'!G238,'Lighting Assumptions'!$J$3:$J$112))</f>
        <v>-</v>
      </c>
      <c r="DO238" s="917" t="str">
        <f t="shared" si="76"/>
        <v>-</v>
      </c>
      <c r="DP238" s="917" t="str">
        <f t="shared" si="77"/>
        <v>-</v>
      </c>
      <c r="DQ238" s="917" t="str">
        <f>IF(LEFT(CELLformula(DF238),3)&lt;&gt;"=IF",1,"")</f>
        <v/>
      </c>
      <c r="DR238" s="917" t="str">
        <f>IF(LEFT(CELLformula(DD238),3)&lt;&gt;"=IF",1,"")</f>
        <v/>
      </c>
      <c r="DS238" s="3048">
        <f t="shared" si="86"/>
        <v>0</v>
      </c>
      <c r="DT238" s="3047" t="str">
        <f t="shared" si="87"/>
        <v/>
      </c>
      <c r="DU238" s="3047" t="str">
        <f>IFERROR(IF(G238="","",SUMIF('Lighting Assumptions'!$G$3:$G$112,'6a - Lighting Counts'!G238,'Lighting Assumptions'!$H$3:$H$112)*IF(SI_IP_Units="SI",10.76,1)),"")</f>
        <v/>
      </c>
      <c r="DV238" s="3047" t="str">
        <f>IFERROR(IF($CX238="","",IF(SI_IP_Units="SI",10.76,1)*SUMIF(BAMCategories,$CY238,'Lighting Assumptions'!$E$3:E$35)),"")</f>
        <v/>
      </c>
      <c r="DW238" s="3047" t="str">
        <f>IFERROR(IF($CX238="","",IF(SI_IP_Units="SI",10.76,1)*SUMIF(BAMCategories,$CY238,IF(bpf_reference="ACP",'Lighting Assumptions 90.1-2010'!$E$3:E$35,'Lighting Assumptions 90.1-2016'!$E$3:E$35))),"")</f>
        <v/>
      </c>
      <c r="EW238" s="855"/>
      <c r="EX238" s="855"/>
      <c r="EY238" s="855"/>
      <c r="EZ238" s="855"/>
    </row>
    <row r="239" spans="4:156" x14ac:dyDescent="0.25">
      <c r="D239" s="3019"/>
      <c r="E239" s="3020"/>
      <c r="F239" s="3021">
        <f t="shared" si="74"/>
        <v>0</v>
      </c>
      <c r="G239" s="3059"/>
      <c r="H239" s="3060"/>
      <c r="I239" s="3061"/>
      <c r="J239" s="3061"/>
      <c r="K239" s="3061"/>
      <c r="L239" s="3061"/>
      <c r="M239" s="3061"/>
      <c r="N239" s="3061"/>
      <c r="O239" s="3061"/>
      <c r="P239" s="3061"/>
      <c r="Q239" s="3061"/>
      <c r="R239" s="3061"/>
      <c r="S239" s="3061"/>
      <c r="T239" s="3061"/>
      <c r="U239" s="3061"/>
      <c r="V239" s="3061"/>
      <c r="W239" s="3061"/>
      <c r="X239" s="3061"/>
      <c r="Y239" s="3061"/>
      <c r="Z239" s="3061"/>
      <c r="AA239" s="3061"/>
      <c r="AB239" s="3061"/>
      <c r="AC239" s="3061"/>
      <c r="AD239" s="3061"/>
      <c r="AE239" s="3061"/>
      <c r="AF239" s="3061"/>
      <c r="AG239" s="3061"/>
      <c r="AH239" s="3061"/>
      <c r="AI239" s="3061"/>
      <c r="AJ239" s="3061"/>
      <c r="AK239" s="3061"/>
      <c r="AL239" s="3061"/>
      <c r="AM239" s="3061"/>
      <c r="AN239" s="3061"/>
      <c r="AO239" s="3061"/>
      <c r="AP239" s="3061"/>
      <c r="AQ239" s="3061"/>
      <c r="AR239" s="3061"/>
      <c r="AS239" s="3061"/>
      <c r="AT239" s="3061"/>
      <c r="AU239" s="3061"/>
      <c r="AV239" s="3061"/>
      <c r="AW239" s="3061"/>
      <c r="AX239" s="3061"/>
      <c r="AY239" s="3061"/>
      <c r="AZ239" s="3061"/>
      <c r="BA239" s="3061"/>
      <c r="BB239" s="3061"/>
      <c r="BC239" s="3061"/>
      <c r="BD239" s="3061"/>
      <c r="BE239" s="3061"/>
      <c r="BF239" s="3061"/>
      <c r="BG239" s="3061"/>
      <c r="BH239" s="3061"/>
      <c r="BI239" s="3061"/>
      <c r="BJ239" s="3061"/>
      <c r="BK239" s="3061"/>
      <c r="BL239" s="3061"/>
      <c r="BM239" s="3061"/>
      <c r="BN239" s="3061"/>
      <c r="BO239" s="3061"/>
      <c r="BP239" s="3061"/>
      <c r="BQ239" s="3061"/>
      <c r="BR239" s="3061"/>
      <c r="BS239" s="3061"/>
      <c r="BT239" s="3061"/>
      <c r="BU239" s="3061"/>
      <c r="BV239" s="3061"/>
      <c r="BW239" s="3061"/>
      <c r="BX239" s="3061"/>
      <c r="BY239" s="3061"/>
      <c r="BZ239" s="3061"/>
      <c r="CA239" s="3061"/>
      <c r="CB239" s="3061"/>
      <c r="CC239" s="3061"/>
      <c r="CD239" s="3061"/>
      <c r="CE239" s="3061"/>
      <c r="CF239" s="3061"/>
      <c r="CG239" s="3061"/>
      <c r="CH239" s="3061"/>
      <c r="CI239" s="3061"/>
      <c r="CJ239" s="3061"/>
      <c r="CK239" s="3061"/>
      <c r="CL239" s="3061"/>
      <c r="CM239" s="3061"/>
      <c r="CN239" s="3061"/>
      <c r="CO239" s="3061"/>
      <c r="CP239" s="3061"/>
      <c r="CQ239" s="3061"/>
      <c r="CR239" s="3061"/>
      <c r="CS239" s="3062"/>
      <c r="CT239" s="3063"/>
      <c r="CU239" s="3064">
        <f t="shared" si="78"/>
        <v>1</v>
      </c>
      <c r="CV239" s="3022" t="str">
        <f>IF(OR(CT239="",CT239="None"),"-",DO239*CU239*SUMIF('Lighting Assumptions'!$G$3:$G$112,'6a - Lighting Counts'!G239,'Lighting Assumptions'!$J$3:$J$112))</f>
        <v>-</v>
      </c>
      <c r="CW239" s="3021"/>
      <c r="CX239" s="3021"/>
      <c r="CY239" s="3046"/>
      <c r="CZ239" s="2098">
        <f t="shared" si="79"/>
        <v>0</v>
      </c>
      <c r="DA239" s="2098" t="str">
        <f t="shared" si="80"/>
        <v>-</v>
      </c>
      <c r="DB239" s="2098">
        <f t="shared" si="81"/>
        <v>0</v>
      </c>
      <c r="DC239" s="3023" t="str">
        <f t="shared" si="82"/>
        <v>-</v>
      </c>
      <c r="DD239" s="3024" t="str">
        <f t="shared" si="83"/>
        <v/>
      </c>
      <c r="DE239" s="3025" t="str">
        <f t="shared" si="84"/>
        <v>-</v>
      </c>
      <c r="DF239" s="3024" t="str">
        <f t="shared" si="75"/>
        <v>-</v>
      </c>
      <c r="DG239" s="2098">
        <f t="shared" si="85"/>
        <v>0</v>
      </c>
      <c r="DH239" s="2098">
        <f t="array" ref="DH239">MIN(SUMPRODUCT(I239:CR239,IF($I$25:$CR$25="yes",1,0),$I$23:$CR$23),H239)</f>
        <v>0</v>
      </c>
      <c r="DI239" s="3026"/>
      <c r="DJ239" s="3021"/>
      <c r="DN239" s="917" t="str">
        <f>IF(CS239="","-",SUMIF('Lighting Assumptions'!$G$3:$G$112,'6a - Lighting Counts'!G239,'Lighting Assumptions'!$J$3:$J$112))</f>
        <v>-</v>
      </c>
      <c r="DO239" s="917" t="str">
        <f t="shared" si="76"/>
        <v>-</v>
      </c>
      <c r="DP239" s="917" t="str">
        <f t="shared" si="77"/>
        <v>-</v>
      </c>
      <c r="DQ239" s="917" t="str">
        <f>IF(LEFT(CELLformula(DF239),3)&lt;&gt;"=IF",1,"")</f>
        <v/>
      </c>
      <c r="DR239" s="917" t="str">
        <f>IF(LEFT(CELLformula(DD239),3)&lt;&gt;"=IF",1,"")</f>
        <v/>
      </c>
      <c r="DS239" s="3048">
        <f t="shared" si="86"/>
        <v>0</v>
      </c>
      <c r="DT239" s="3047" t="str">
        <f t="shared" si="87"/>
        <v/>
      </c>
      <c r="DU239" s="3047" t="str">
        <f>IFERROR(IF(G239="","",SUMIF('Lighting Assumptions'!$G$3:$G$112,'6a - Lighting Counts'!G239,'Lighting Assumptions'!$H$3:$H$112)*IF(SI_IP_Units="SI",10.76,1)),"")</f>
        <v/>
      </c>
      <c r="DV239" s="3047" t="str">
        <f>IFERROR(IF($CX239="","",IF(SI_IP_Units="SI",10.76,1)*SUMIF(BAMCategories,$CY239,'Lighting Assumptions'!$E$3:E$35)),"")</f>
        <v/>
      </c>
      <c r="DW239" s="3047" t="str">
        <f>IFERROR(IF($CX239="","",IF(SI_IP_Units="SI",10.76,1)*SUMIF(BAMCategories,$CY239,IF(bpf_reference="ACP",'Lighting Assumptions 90.1-2010'!$E$3:E$35,'Lighting Assumptions 90.1-2016'!$E$3:E$35))),"")</f>
        <v/>
      </c>
      <c r="EW239" s="855"/>
      <c r="EX239" s="855"/>
      <c r="EY239" s="855"/>
      <c r="EZ239" s="855"/>
    </row>
    <row r="240" spans="4:156" x14ac:dyDescent="0.25">
      <c r="D240" s="3019"/>
      <c r="E240" s="3020"/>
      <c r="F240" s="3021">
        <f t="shared" si="74"/>
        <v>0</v>
      </c>
      <c r="G240" s="3059"/>
      <c r="H240" s="3060"/>
      <c r="I240" s="3061"/>
      <c r="J240" s="3061"/>
      <c r="K240" s="3061"/>
      <c r="L240" s="3061"/>
      <c r="M240" s="3061"/>
      <c r="N240" s="3061"/>
      <c r="O240" s="3061"/>
      <c r="P240" s="3061"/>
      <c r="Q240" s="3061"/>
      <c r="R240" s="3061"/>
      <c r="S240" s="3061"/>
      <c r="T240" s="3061"/>
      <c r="U240" s="3061"/>
      <c r="V240" s="3061"/>
      <c r="W240" s="3061"/>
      <c r="X240" s="3061"/>
      <c r="Y240" s="3061"/>
      <c r="Z240" s="3061"/>
      <c r="AA240" s="3061"/>
      <c r="AB240" s="3061"/>
      <c r="AC240" s="3061"/>
      <c r="AD240" s="3061"/>
      <c r="AE240" s="3061"/>
      <c r="AF240" s="3061"/>
      <c r="AG240" s="3061"/>
      <c r="AH240" s="3061"/>
      <c r="AI240" s="3061"/>
      <c r="AJ240" s="3061"/>
      <c r="AK240" s="3061"/>
      <c r="AL240" s="3061"/>
      <c r="AM240" s="3061"/>
      <c r="AN240" s="3061"/>
      <c r="AO240" s="3061"/>
      <c r="AP240" s="3061"/>
      <c r="AQ240" s="3061"/>
      <c r="AR240" s="3061"/>
      <c r="AS240" s="3061"/>
      <c r="AT240" s="3061"/>
      <c r="AU240" s="3061"/>
      <c r="AV240" s="3061"/>
      <c r="AW240" s="3061"/>
      <c r="AX240" s="3061"/>
      <c r="AY240" s="3061"/>
      <c r="AZ240" s="3061"/>
      <c r="BA240" s="3061"/>
      <c r="BB240" s="3061"/>
      <c r="BC240" s="3061"/>
      <c r="BD240" s="3061"/>
      <c r="BE240" s="3061"/>
      <c r="BF240" s="3061"/>
      <c r="BG240" s="3061"/>
      <c r="BH240" s="3061"/>
      <c r="BI240" s="3061"/>
      <c r="BJ240" s="3061"/>
      <c r="BK240" s="3061"/>
      <c r="BL240" s="3061"/>
      <c r="BM240" s="3061"/>
      <c r="BN240" s="3061"/>
      <c r="BO240" s="3061"/>
      <c r="BP240" s="3061"/>
      <c r="BQ240" s="3061"/>
      <c r="BR240" s="3061"/>
      <c r="BS240" s="3061"/>
      <c r="BT240" s="3061"/>
      <c r="BU240" s="3061"/>
      <c r="BV240" s="3061"/>
      <c r="BW240" s="3061"/>
      <c r="BX240" s="3061"/>
      <c r="BY240" s="3061"/>
      <c r="BZ240" s="3061"/>
      <c r="CA240" s="3061"/>
      <c r="CB240" s="3061"/>
      <c r="CC240" s="3061"/>
      <c r="CD240" s="3061"/>
      <c r="CE240" s="3061"/>
      <c r="CF240" s="3061"/>
      <c r="CG240" s="3061"/>
      <c r="CH240" s="3061"/>
      <c r="CI240" s="3061"/>
      <c r="CJ240" s="3061"/>
      <c r="CK240" s="3061"/>
      <c r="CL240" s="3061"/>
      <c r="CM240" s="3061"/>
      <c r="CN240" s="3061"/>
      <c r="CO240" s="3061"/>
      <c r="CP240" s="3061"/>
      <c r="CQ240" s="3061"/>
      <c r="CR240" s="3061"/>
      <c r="CS240" s="3062"/>
      <c r="CT240" s="3063"/>
      <c r="CU240" s="3064">
        <f t="shared" si="78"/>
        <v>1</v>
      </c>
      <c r="CV240" s="3022" t="str">
        <f>IF(OR(CT240="",CT240="None"),"-",DO240*CU240*SUMIF('Lighting Assumptions'!$G$3:$G$112,'6a - Lighting Counts'!G240,'Lighting Assumptions'!$J$3:$J$112))</f>
        <v>-</v>
      </c>
      <c r="CW240" s="3021"/>
      <c r="CX240" s="3021"/>
      <c r="CY240" s="3046"/>
      <c r="CZ240" s="2098">
        <f t="shared" si="79"/>
        <v>0</v>
      </c>
      <c r="DA240" s="2098" t="str">
        <f t="shared" si="80"/>
        <v>-</v>
      </c>
      <c r="DB240" s="2098">
        <f t="shared" si="81"/>
        <v>0</v>
      </c>
      <c r="DC240" s="3023" t="str">
        <f t="shared" si="82"/>
        <v>-</v>
      </c>
      <c r="DD240" s="3024" t="str">
        <f t="shared" si="83"/>
        <v/>
      </c>
      <c r="DE240" s="3025" t="str">
        <f t="shared" si="84"/>
        <v>-</v>
      </c>
      <c r="DF240" s="3024" t="str">
        <f t="shared" si="75"/>
        <v>-</v>
      </c>
      <c r="DG240" s="2098">
        <f t="shared" si="85"/>
        <v>0</v>
      </c>
      <c r="DH240" s="2098">
        <f t="array" ref="DH240">MIN(SUMPRODUCT(I240:CR240,IF($I$25:$CR$25="yes",1,0),$I$23:$CR$23),H240)</f>
        <v>0</v>
      </c>
      <c r="DI240" s="3026"/>
      <c r="DJ240" s="3021"/>
      <c r="DN240" s="917" t="str">
        <f>IF(CS240="","-",SUMIF('Lighting Assumptions'!$G$3:$G$112,'6a - Lighting Counts'!G240,'Lighting Assumptions'!$J$3:$J$112))</f>
        <v>-</v>
      </c>
      <c r="DO240" s="917" t="str">
        <f t="shared" si="76"/>
        <v>-</v>
      </c>
      <c r="DP240" s="917" t="str">
        <f t="shared" si="77"/>
        <v>-</v>
      </c>
      <c r="DQ240" s="917" t="str">
        <f>IF(LEFT(CELLformula(DF240),3)&lt;&gt;"=IF",1,"")</f>
        <v/>
      </c>
      <c r="DR240" s="917" t="str">
        <f>IF(LEFT(CELLformula(DD240),3)&lt;&gt;"=IF",1,"")</f>
        <v/>
      </c>
      <c r="DS240" s="3048">
        <f t="shared" si="86"/>
        <v>0</v>
      </c>
      <c r="DT240" s="3047" t="str">
        <f t="shared" si="87"/>
        <v/>
      </c>
      <c r="DU240" s="3047" t="str">
        <f>IFERROR(IF(G240="","",SUMIF('Lighting Assumptions'!$G$3:$G$112,'6a - Lighting Counts'!G240,'Lighting Assumptions'!$H$3:$H$112)*IF(SI_IP_Units="SI",10.76,1)),"")</f>
        <v/>
      </c>
      <c r="DV240" s="3047" t="str">
        <f>IFERROR(IF($CX240="","",IF(SI_IP_Units="SI",10.76,1)*SUMIF(BAMCategories,$CY240,'Lighting Assumptions'!$E$3:E$35)),"")</f>
        <v/>
      </c>
      <c r="DW240" s="3047" t="str">
        <f>IFERROR(IF($CX240="","",IF(SI_IP_Units="SI",10.76,1)*SUMIF(BAMCategories,$CY240,IF(bpf_reference="ACP",'Lighting Assumptions 90.1-2010'!$E$3:E$35,'Lighting Assumptions 90.1-2016'!$E$3:E$35))),"")</f>
        <v/>
      </c>
      <c r="EW240" s="855"/>
      <c r="EX240" s="855"/>
      <c r="EY240" s="855"/>
      <c r="EZ240" s="855"/>
    </row>
    <row r="241" spans="4:156" x14ac:dyDescent="0.25">
      <c r="D241" s="3019"/>
      <c r="E241" s="3020"/>
      <c r="F241" s="3021">
        <f t="shared" si="74"/>
        <v>0</v>
      </c>
      <c r="G241" s="3059"/>
      <c r="H241" s="3060"/>
      <c r="I241" s="3061"/>
      <c r="J241" s="3061"/>
      <c r="K241" s="3061"/>
      <c r="L241" s="3061"/>
      <c r="M241" s="3061"/>
      <c r="N241" s="3061"/>
      <c r="O241" s="3061"/>
      <c r="P241" s="3061"/>
      <c r="Q241" s="3061"/>
      <c r="R241" s="3061"/>
      <c r="S241" s="3061"/>
      <c r="T241" s="3061"/>
      <c r="U241" s="3061"/>
      <c r="V241" s="3061"/>
      <c r="W241" s="3061"/>
      <c r="X241" s="3061"/>
      <c r="Y241" s="3061"/>
      <c r="Z241" s="3061"/>
      <c r="AA241" s="3061"/>
      <c r="AB241" s="3061"/>
      <c r="AC241" s="3061"/>
      <c r="AD241" s="3061"/>
      <c r="AE241" s="3061"/>
      <c r="AF241" s="3061"/>
      <c r="AG241" s="3061"/>
      <c r="AH241" s="3061"/>
      <c r="AI241" s="3061"/>
      <c r="AJ241" s="3061"/>
      <c r="AK241" s="3061"/>
      <c r="AL241" s="3061"/>
      <c r="AM241" s="3061"/>
      <c r="AN241" s="3061"/>
      <c r="AO241" s="3061"/>
      <c r="AP241" s="3061"/>
      <c r="AQ241" s="3061"/>
      <c r="AR241" s="3061"/>
      <c r="AS241" s="3061"/>
      <c r="AT241" s="3061"/>
      <c r="AU241" s="3061"/>
      <c r="AV241" s="3061"/>
      <c r="AW241" s="3061"/>
      <c r="AX241" s="3061"/>
      <c r="AY241" s="3061"/>
      <c r="AZ241" s="3061"/>
      <c r="BA241" s="3061"/>
      <c r="BB241" s="3061"/>
      <c r="BC241" s="3061"/>
      <c r="BD241" s="3061"/>
      <c r="BE241" s="3061"/>
      <c r="BF241" s="3061"/>
      <c r="BG241" s="3061"/>
      <c r="BH241" s="3061"/>
      <c r="BI241" s="3061"/>
      <c r="BJ241" s="3061"/>
      <c r="BK241" s="3061"/>
      <c r="BL241" s="3061"/>
      <c r="BM241" s="3061"/>
      <c r="BN241" s="3061"/>
      <c r="BO241" s="3061"/>
      <c r="BP241" s="3061"/>
      <c r="BQ241" s="3061"/>
      <c r="BR241" s="3061"/>
      <c r="BS241" s="3061"/>
      <c r="BT241" s="3061"/>
      <c r="BU241" s="3061"/>
      <c r="BV241" s="3061"/>
      <c r="BW241" s="3061"/>
      <c r="BX241" s="3061"/>
      <c r="BY241" s="3061"/>
      <c r="BZ241" s="3061"/>
      <c r="CA241" s="3061"/>
      <c r="CB241" s="3061"/>
      <c r="CC241" s="3061"/>
      <c r="CD241" s="3061"/>
      <c r="CE241" s="3061"/>
      <c r="CF241" s="3061"/>
      <c r="CG241" s="3061"/>
      <c r="CH241" s="3061"/>
      <c r="CI241" s="3061"/>
      <c r="CJ241" s="3061"/>
      <c r="CK241" s="3061"/>
      <c r="CL241" s="3061"/>
      <c r="CM241" s="3061"/>
      <c r="CN241" s="3061"/>
      <c r="CO241" s="3061"/>
      <c r="CP241" s="3061"/>
      <c r="CQ241" s="3061"/>
      <c r="CR241" s="3061"/>
      <c r="CS241" s="3062"/>
      <c r="CT241" s="3063"/>
      <c r="CU241" s="3064">
        <f t="shared" si="78"/>
        <v>1</v>
      </c>
      <c r="CV241" s="3022" t="str">
        <f>IF(OR(CT241="",CT241="None"),"-",DO241*CU241*SUMIF('Lighting Assumptions'!$G$3:$G$112,'6a - Lighting Counts'!G241,'Lighting Assumptions'!$J$3:$J$112))</f>
        <v>-</v>
      </c>
      <c r="CW241" s="3021"/>
      <c r="CX241" s="3021"/>
      <c r="CY241" s="3046"/>
      <c r="CZ241" s="2098">
        <f t="shared" si="79"/>
        <v>0</v>
      </c>
      <c r="DA241" s="2098" t="str">
        <f t="shared" si="80"/>
        <v>-</v>
      </c>
      <c r="DB241" s="2098">
        <f t="shared" si="81"/>
        <v>0</v>
      </c>
      <c r="DC241" s="3023" t="str">
        <f t="shared" si="82"/>
        <v>-</v>
      </c>
      <c r="DD241" s="3024" t="str">
        <f t="shared" si="83"/>
        <v/>
      </c>
      <c r="DE241" s="3025" t="str">
        <f t="shared" si="84"/>
        <v>-</v>
      </c>
      <c r="DF241" s="3024" t="str">
        <f t="shared" si="75"/>
        <v>-</v>
      </c>
      <c r="DG241" s="2098">
        <f t="shared" si="85"/>
        <v>0</v>
      </c>
      <c r="DH241" s="2098">
        <f t="array" ref="DH241">MIN(SUMPRODUCT(I241:CR241,IF($I$25:$CR$25="yes",1,0),$I$23:$CR$23),H241)</f>
        <v>0</v>
      </c>
      <c r="DI241" s="3026"/>
      <c r="DJ241" s="3021"/>
      <c r="DN241" s="917" t="str">
        <f>IF(CS241="","-",SUMIF('Lighting Assumptions'!$G$3:$G$112,'6a - Lighting Counts'!G241,'Lighting Assumptions'!$J$3:$J$112))</f>
        <v>-</v>
      </c>
      <c r="DO241" s="917" t="str">
        <f t="shared" si="76"/>
        <v>-</v>
      </c>
      <c r="DP241" s="917" t="str">
        <f t="shared" si="77"/>
        <v>-</v>
      </c>
      <c r="DQ241" s="917" t="str">
        <f>IF(LEFT(CELLformula(DF241),3)&lt;&gt;"=IF",1,"")</f>
        <v/>
      </c>
      <c r="DR241" s="917" t="str">
        <f>IF(LEFT(CELLformula(DD241),3)&lt;&gt;"=IF",1,"")</f>
        <v/>
      </c>
      <c r="DS241" s="3048">
        <f t="shared" si="86"/>
        <v>0</v>
      </c>
      <c r="DT241" s="3047" t="str">
        <f t="shared" si="87"/>
        <v/>
      </c>
      <c r="DU241" s="3047" t="str">
        <f>IFERROR(IF(G241="","",SUMIF('Lighting Assumptions'!$G$3:$G$112,'6a - Lighting Counts'!G241,'Lighting Assumptions'!$H$3:$H$112)*IF(SI_IP_Units="SI",10.76,1)),"")</f>
        <v/>
      </c>
      <c r="DV241" s="3047" t="str">
        <f>IFERROR(IF($CX241="","",IF(SI_IP_Units="SI",10.76,1)*SUMIF(BAMCategories,$CY241,'Lighting Assumptions'!$E$3:E$35)),"")</f>
        <v/>
      </c>
      <c r="DW241" s="3047" t="str">
        <f>IFERROR(IF($CX241="","",IF(SI_IP_Units="SI",10.76,1)*SUMIF(BAMCategories,$CY241,IF(bpf_reference="ACP",'Lighting Assumptions 90.1-2010'!$E$3:E$35,'Lighting Assumptions 90.1-2016'!$E$3:E$35))),"")</f>
        <v/>
      </c>
      <c r="EW241" s="855"/>
      <c r="EX241" s="855"/>
      <c r="EY241" s="855"/>
      <c r="EZ241" s="855"/>
    </row>
    <row r="242" spans="4:156" x14ac:dyDescent="0.25">
      <c r="D242" s="3019"/>
      <c r="E242" s="3020"/>
      <c r="F242" s="3021">
        <f t="shared" si="74"/>
        <v>0</v>
      </c>
      <c r="G242" s="3059"/>
      <c r="H242" s="3060"/>
      <c r="I242" s="3061"/>
      <c r="J242" s="3061"/>
      <c r="K242" s="3061"/>
      <c r="L242" s="3061"/>
      <c r="M242" s="3061"/>
      <c r="N242" s="3061"/>
      <c r="O242" s="3061"/>
      <c r="P242" s="3061"/>
      <c r="Q242" s="3061"/>
      <c r="R242" s="3061"/>
      <c r="S242" s="3061"/>
      <c r="T242" s="3061"/>
      <c r="U242" s="3061"/>
      <c r="V242" s="3061"/>
      <c r="W242" s="3061"/>
      <c r="X242" s="3061"/>
      <c r="Y242" s="3061"/>
      <c r="Z242" s="3061"/>
      <c r="AA242" s="3061"/>
      <c r="AB242" s="3061"/>
      <c r="AC242" s="3061"/>
      <c r="AD242" s="3061"/>
      <c r="AE242" s="3061"/>
      <c r="AF242" s="3061"/>
      <c r="AG242" s="3061"/>
      <c r="AH242" s="3061"/>
      <c r="AI242" s="3061"/>
      <c r="AJ242" s="3061"/>
      <c r="AK242" s="3061"/>
      <c r="AL242" s="3061"/>
      <c r="AM242" s="3061"/>
      <c r="AN242" s="3061"/>
      <c r="AO242" s="3061"/>
      <c r="AP242" s="3061"/>
      <c r="AQ242" s="3061"/>
      <c r="AR242" s="3061"/>
      <c r="AS242" s="3061"/>
      <c r="AT242" s="3061"/>
      <c r="AU242" s="3061"/>
      <c r="AV242" s="3061"/>
      <c r="AW242" s="3061"/>
      <c r="AX242" s="3061"/>
      <c r="AY242" s="3061"/>
      <c r="AZ242" s="3061"/>
      <c r="BA242" s="3061"/>
      <c r="BB242" s="3061"/>
      <c r="BC242" s="3061"/>
      <c r="BD242" s="3061"/>
      <c r="BE242" s="3061"/>
      <c r="BF242" s="3061"/>
      <c r="BG242" s="3061"/>
      <c r="BH242" s="3061"/>
      <c r="BI242" s="3061"/>
      <c r="BJ242" s="3061"/>
      <c r="BK242" s="3061"/>
      <c r="BL242" s="3061"/>
      <c r="BM242" s="3061"/>
      <c r="BN242" s="3061"/>
      <c r="BO242" s="3061"/>
      <c r="BP242" s="3061"/>
      <c r="BQ242" s="3061"/>
      <c r="BR242" s="3061"/>
      <c r="BS242" s="3061"/>
      <c r="BT242" s="3061"/>
      <c r="BU242" s="3061"/>
      <c r="BV242" s="3061"/>
      <c r="BW242" s="3061"/>
      <c r="BX242" s="3061"/>
      <c r="BY242" s="3061"/>
      <c r="BZ242" s="3061"/>
      <c r="CA242" s="3061"/>
      <c r="CB242" s="3061"/>
      <c r="CC242" s="3061"/>
      <c r="CD242" s="3061"/>
      <c r="CE242" s="3061"/>
      <c r="CF242" s="3061"/>
      <c r="CG242" s="3061"/>
      <c r="CH242" s="3061"/>
      <c r="CI242" s="3061"/>
      <c r="CJ242" s="3061"/>
      <c r="CK242" s="3061"/>
      <c r="CL242" s="3061"/>
      <c r="CM242" s="3061"/>
      <c r="CN242" s="3061"/>
      <c r="CO242" s="3061"/>
      <c r="CP242" s="3061"/>
      <c r="CQ242" s="3061"/>
      <c r="CR242" s="3061"/>
      <c r="CS242" s="3062"/>
      <c r="CT242" s="3063"/>
      <c r="CU242" s="3064">
        <f t="shared" si="78"/>
        <v>1</v>
      </c>
      <c r="CV242" s="3022" t="str">
        <f>IF(OR(CT242="",CT242="None"),"-",DO242*CU242*SUMIF('Lighting Assumptions'!$G$3:$G$112,'6a - Lighting Counts'!G242,'Lighting Assumptions'!$J$3:$J$112))</f>
        <v>-</v>
      </c>
      <c r="CW242" s="3021"/>
      <c r="CX242" s="3021"/>
      <c r="CY242" s="3046"/>
      <c r="CZ242" s="2098">
        <f t="shared" si="79"/>
        <v>0</v>
      </c>
      <c r="DA242" s="2098" t="str">
        <f t="shared" si="80"/>
        <v>-</v>
      </c>
      <c r="DB242" s="2098">
        <f t="shared" si="81"/>
        <v>0</v>
      </c>
      <c r="DC242" s="3023" t="str">
        <f t="shared" si="82"/>
        <v>-</v>
      </c>
      <c r="DD242" s="3024" t="str">
        <f t="shared" si="83"/>
        <v/>
      </c>
      <c r="DE242" s="3025" t="str">
        <f t="shared" si="84"/>
        <v>-</v>
      </c>
      <c r="DF242" s="3024" t="str">
        <f t="shared" si="75"/>
        <v>-</v>
      </c>
      <c r="DG242" s="2098">
        <f t="shared" si="85"/>
        <v>0</v>
      </c>
      <c r="DH242" s="2098">
        <f t="array" ref="DH242">MIN(SUMPRODUCT(I242:CR242,IF($I$25:$CR$25="yes",1,0),$I$23:$CR$23),H242)</f>
        <v>0</v>
      </c>
      <c r="DI242" s="3026"/>
      <c r="DJ242" s="3021"/>
      <c r="DN242" s="917" t="str">
        <f>IF(CS242="","-",SUMIF('Lighting Assumptions'!$G$3:$G$112,'6a - Lighting Counts'!G242,'Lighting Assumptions'!$J$3:$J$112))</f>
        <v>-</v>
      </c>
      <c r="DO242" s="917" t="str">
        <f t="shared" si="76"/>
        <v>-</v>
      </c>
      <c r="DP242" s="917" t="str">
        <f t="shared" si="77"/>
        <v>-</v>
      </c>
      <c r="DQ242" s="917" t="str">
        <f>IF(LEFT(CELLformula(DF242),3)&lt;&gt;"=IF",1,"")</f>
        <v/>
      </c>
      <c r="DR242" s="917" t="str">
        <f>IF(LEFT(CELLformula(DD242),3)&lt;&gt;"=IF",1,"")</f>
        <v/>
      </c>
      <c r="DS242" s="3048">
        <f t="shared" si="86"/>
        <v>0</v>
      </c>
      <c r="DT242" s="3047" t="str">
        <f t="shared" si="87"/>
        <v/>
      </c>
      <c r="DU242" s="3047" t="str">
        <f>IFERROR(IF(G242="","",SUMIF('Lighting Assumptions'!$G$3:$G$112,'6a - Lighting Counts'!G242,'Lighting Assumptions'!$H$3:$H$112)*IF(SI_IP_Units="SI",10.76,1)),"")</f>
        <v/>
      </c>
      <c r="DV242" s="3047" t="str">
        <f>IFERROR(IF($CX242="","",IF(SI_IP_Units="SI",10.76,1)*SUMIF(BAMCategories,$CY242,'Lighting Assumptions'!$E$3:E$35)),"")</f>
        <v/>
      </c>
      <c r="DW242" s="3047" t="str">
        <f>IFERROR(IF($CX242="","",IF(SI_IP_Units="SI",10.76,1)*SUMIF(BAMCategories,$CY242,IF(bpf_reference="ACP",'Lighting Assumptions 90.1-2010'!$E$3:E$35,'Lighting Assumptions 90.1-2016'!$E$3:E$35))),"")</f>
        <v/>
      </c>
      <c r="EW242" s="855"/>
      <c r="EX242" s="855"/>
      <c r="EY242" s="855"/>
      <c r="EZ242" s="855"/>
    </row>
    <row r="243" spans="4:156" x14ac:dyDescent="0.25">
      <c r="D243" s="3019"/>
      <c r="E243" s="3020"/>
      <c r="F243" s="3021">
        <f t="shared" si="74"/>
        <v>0</v>
      </c>
      <c r="G243" s="3059"/>
      <c r="H243" s="3060"/>
      <c r="I243" s="3061"/>
      <c r="J243" s="3061"/>
      <c r="K243" s="3061"/>
      <c r="L243" s="3061"/>
      <c r="M243" s="3061"/>
      <c r="N243" s="3061"/>
      <c r="O243" s="3061"/>
      <c r="P243" s="3061"/>
      <c r="Q243" s="3061"/>
      <c r="R243" s="3061"/>
      <c r="S243" s="3061"/>
      <c r="T243" s="3061"/>
      <c r="U243" s="3061"/>
      <c r="V243" s="3061"/>
      <c r="W243" s="3061"/>
      <c r="X243" s="3061"/>
      <c r="Y243" s="3061"/>
      <c r="Z243" s="3061"/>
      <c r="AA243" s="3061"/>
      <c r="AB243" s="3061"/>
      <c r="AC243" s="3061"/>
      <c r="AD243" s="3061"/>
      <c r="AE243" s="3061"/>
      <c r="AF243" s="3061"/>
      <c r="AG243" s="3061"/>
      <c r="AH243" s="3061"/>
      <c r="AI243" s="3061"/>
      <c r="AJ243" s="3061"/>
      <c r="AK243" s="3061"/>
      <c r="AL243" s="3061"/>
      <c r="AM243" s="3061"/>
      <c r="AN243" s="3061"/>
      <c r="AO243" s="3061"/>
      <c r="AP243" s="3061"/>
      <c r="AQ243" s="3061"/>
      <c r="AR243" s="3061"/>
      <c r="AS243" s="3061"/>
      <c r="AT243" s="3061"/>
      <c r="AU243" s="3061"/>
      <c r="AV243" s="3061"/>
      <c r="AW243" s="3061"/>
      <c r="AX243" s="3061"/>
      <c r="AY243" s="3061"/>
      <c r="AZ243" s="3061"/>
      <c r="BA243" s="3061"/>
      <c r="BB243" s="3061"/>
      <c r="BC243" s="3061"/>
      <c r="BD243" s="3061"/>
      <c r="BE243" s="3061"/>
      <c r="BF243" s="3061"/>
      <c r="BG243" s="3061"/>
      <c r="BH243" s="3061"/>
      <c r="BI243" s="3061"/>
      <c r="BJ243" s="3061"/>
      <c r="BK243" s="3061"/>
      <c r="BL243" s="3061"/>
      <c r="BM243" s="3061"/>
      <c r="BN243" s="3061"/>
      <c r="BO243" s="3061"/>
      <c r="BP243" s="3061"/>
      <c r="BQ243" s="3061"/>
      <c r="BR243" s="3061"/>
      <c r="BS243" s="3061"/>
      <c r="BT243" s="3061"/>
      <c r="BU243" s="3061"/>
      <c r="BV243" s="3061"/>
      <c r="BW243" s="3061"/>
      <c r="BX243" s="3061"/>
      <c r="BY243" s="3061"/>
      <c r="BZ243" s="3061"/>
      <c r="CA243" s="3061"/>
      <c r="CB243" s="3061"/>
      <c r="CC243" s="3061"/>
      <c r="CD243" s="3061"/>
      <c r="CE243" s="3061"/>
      <c r="CF243" s="3061"/>
      <c r="CG243" s="3061"/>
      <c r="CH243" s="3061"/>
      <c r="CI243" s="3061"/>
      <c r="CJ243" s="3061"/>
      <c r="CK243" s="3061"/>
      <c r="CL243" s="3061"/>
      <c r="CM243" s="3061"/>
      <c r="CN243" s="3061"/>
      <c r="CO243" s="3061"/>
      <c r="CP243" s="3061"/>
      <c r="CQ243" s="3061"/>
      <c r="CR243" s="3061"/>
      <c r="CS243" s="3062"/>
      <c r="CT243" s="3063"/>
      <c r="CU243" s="3064">
        <f t="shared" si="78"/>
        <v>1</v>
      </c>
      <c r="CV243" s="3022" t="str">
        <f>IF(OR(CT243="",CT243="None"),"-",DO243*CU243*SUMIF('Lighting Assumptions'!$G$3:$G$112,'6a - Lighting Counts'!G243,'Lighting Assumptions'!$J$3:$J$112))</f>
        <v>-</v>
      </c>
      <c r="CW243" s="3021"/>
      <c r="CX243" s="3021"/>
      <c r="CY243" s="3046"/>
      <c r="CZ243" s="2098">
        <f t="shared" si="79"/>
        <v>0</v>
      </c>
      <c r="DA243" s="2098" t="str">
        <f t="shared" si="80"/>
        <v>-</v>
      </c>
      <c r="DB243" s="2098">
        <f t="shared" si="81"/>
        <v>0</v>
      </c>
      <c r="DC243" s="3023" t="str">
        <f t="shared" si="82"/>
        <v>-</v>
      </c>
      <c r="DD243" s="3024" t="str">
        <f t="shared" si="83"/>
        <v/>
      </c>
      <c r="DE243" s="3025" t="str">
        <f t="shared" si="84"/>
        <v>-</v>
      </c>
      <c r="DF243" s="3024" t="str">
        <f t="shared" si="75"/>
        <v>-</v>
      </c>
      <c r="DG243" s="2098">
        <f t="shared" si="85"/>
        <v>0</v>
      </c>
      <c r="DH243" s="2098">
        <f t="array" ref="DH243">MIN(SUMPRODUCT(I243:CR243,IF($I$25:$CR$25="yes",1,0),$I$23:$CR$23),H243)</f>
        <v>0</v>
      </c>
      <c r="DI243" s="3026"/>
      <c r="DJ243" s="3021"/>
      <c r="DN243" s="917" t="str">
        <f>IF(CS243="","-",SUMIF('Lighting Assumptions'!$G$3:$G$112,'6a - Lighting Counts'!G243,'Lighting Assumptions'!$J$3:$J$112))</f>
        <v>-</v>
      </c>
      <c r="DO243" s="917" t="str">
        <f t="shared" si="76"/>
        <v>-</v>
      </c>
      <c r="DP243" s="917" t="str">
        <f t="shared" si="77"/>
        <v>-</v>
      </c>
      <c r="DQ243" s="917" t="str">
        <f>IF(LEFT(CELLformula(DF243),3)&lt;&gt;"=IF",1,"")</f>
        <v/>
      </c>
      <c r="DR243" s="917" t="str">
        <f>IF(LEFT(CELLformula(DD243),3)&lt;&gt;"=IF",1,"")</f>
        <v/>
      </c>
      <c r="DS243" s="3048">
        <f t="shared" si="86"/>
        <v>0</v>
      </c>
      <c r="DT243" s="3047" t="str">
        <f t="shared" si="87"/>
        <v/>
      </c>
      <c r="DU243" s="3047" t="str">
        <f>IFERROR(IF(G243="","",SUMIF('Lighting Assumptions'!$G$3:$G$112,'6a - Lighting Counts'!G243,'Lighting Assumptions'!$H$3:$H$112)*IF(SI_IP_Units="SI",10.76,1)),"")</f>
        <v/>
      </c>
      <c r="DV243" s="3047" t="str">
        <f>IFERROR(IF($CX243="","",IF(SI_IP_Units="SI",10.76,1)*SUMIF(BAMCategories,$CY243,'Lighting Assumptions'!$E$3:E$35)),"")</f>
        <v/>
      </c>
      <c r="DW243" s="3047" t="str">
        <f>IFERROR(IF($CX243="","",IF(SI_IP_Units="SI",10.76,1)*SUMIF(BAMCategories,$CY243,IF(bpf_reference="ACP",'Lighting Assumptions 90.1-2010'!$E$3:E$35,'Lighting Assumptions 90.1-2016'!$E$3:E$35))),"")</f>
        <v/>
      </c>
      <c r="EW243" s="855"/>
      <c r="EX243" s="855"/>
      <c r="EY243" s="855"/>
      <c r="EZ243" s="855"/>
    </row>
    <row r="244" spans="4:156" x14ac:dyDescent="0.25">
      <c r="D244" s="3019"/>
      <c r="E244" s="3020"/>
      <c r="F244" s="3021">
        <f t="shared" si="74"/>
        <v>0</v>
      </c>
      <c r="G244" s="3059"/>
      <c r="H244" s="3060"/>
      <c r="I244" s="3061"/>
      <c r="J244" s="3061"/>
      <c r="K244" s="3061"/>
      <c r="L244" s="3061"/>
      <c r="M244" s="3061"/>
      <c r="N244" s="3061"/>
      <c r="O244" s="3061"/>
      <c r="P244" s="3061"/>
      <c r="Q244" s="3061"/>
      <c r="R244" s="3061"/>
      <c r="S244" s="3061"/>
      <c r="T244" s="3061"/>
      <c r="U244" s="3061"/>
      <c r="V244" s="3061"/>
      <c r="W244" s="3061"/>
      <c r="X244" s="3061"/>
      <c r="Y244" s="3061"/>
      <c r="Z244" s="3061"/>
      <c r="AA244" s="3061"/>
      <c r="AB244" s="3061"/>
      <c r="AC244" s="3061"/>
      <c r="AD244" s="3061"/>
      <c r="AE244" s="3061"/>
      <c r="AF244" s="3061"/>
      <c r="AG244" s="3061"/>
      <c r="AH244" s="3061"/>
      <c r="AI244" s="3061"/>
      <c r="AJ244" s="3061"/>
      <c r="AK244" s="3061"/>
      <c r="AL244" s="3061"/>
      <c r="AM244" s="3061"/>
      <c r="AN244" s="3061"/>
      <c r="AO244" s="3061"/>
      <c r="AP244" s="3061"/>
      <c r="AQ244" s="3061"/>
      <c r="AR244" s="3061"/>
      <c r="AS244" s="3061"/>
      <c r="AT244" s="3061"/>
      <c r="AU244" s="3061"/>
      <c r="AV244" s="3061"/>
      <c r="AW244" s="3061"/>
      <c r="AX244" s="3061"/>
      <c r="AY244" s="3061"/>
      <c r="AZ244" s="3061"/>
      <c r="BA244" s="3061"/>
      <c r="BB244" s="3061"/>
      <c r="BC244" s="3061"/>
      <c r="BD244" s="3061"/>
      <c r="BE244" s="3061"/>
      <c r="BF244" s="3061"/>
      <c r="BG244" s="3061"/>
      <c r="BH244" s="3061"/>
      <c r="BI244" s="3061"/>
      <c r="BJ244" s="3061"/>
      <c r="BK244" s="3061"/>
      <c r="BL244" s="3061"/>
      <c r="BM244" s="3061"/>
      <c r="BN244" s="3061"/>
      <c r="BO244" s="3061"/>
      <c r="BP244" s="3061"/>
      <c r="BQ244" s="3061"/>
      <c r="BR244" s="3061"/>
      <c r="BS244" s="3061"/>
      <c r="BT244" s="3061"/>
      <c r="BU244" s="3061"/>
      <c r="BV244" s="3061"/>
      <c r="BW244" s="3061"/>
      <c r="BX244" s="3061"/>
      <c r="BY244" s="3061"/>
      <c r="BZ244" s="3061"/>
      <c r="CA244" s="3061"/>
      <c r="CB244" s="3061"/>
      <c r="CC244" s="3061"/>
      <c r="CD244" s="3061"/>
      <c r="CE244" s="3061"/>
      <c r="CF244" s="3061"/>
      <c r="CG244" s="3061"/>
      <c r="CH244" s="3061"/>
      <c r="CI244" s="3061"/>
      <c r="CJ244" s="3061"/>
      <c r="CK244" s="3061"/>
      <c r="CL244" s="3061"/>
      <c r="CM244" s="3061"/>
      <c r="CN244" s="3061"/>
      <c r="CO244" s="3061"/>
      <c r="CP244" s="3061"/>
      <c r="CQ244" s="3061"/>
      <c r="CR244" s="3061"/>
      <c r="CS244" s="3062"/>
      <c r="CT244" s="3063"/>
      <c r="CU244" s="3064">
        <f t="shared" si="78"/>
        <v>1</v>
      </c>
      <c r="CV244" s="3022" t="str">
        <f>IF(OR(CT244="",CT244="None"),"-",DO244*CU244*SUMIF('Lighting Assumptions'!$G$3:$G$112,'6a - Lighting Counts'!G244,'Lighting Assumptions'!$J$3:$J$112))</f>
        <v>-</v>
      </c>
      <c r="CW244" s="3021"/>
      <c r="CX244" s="3021"/>
      <c r="CY244" s="3046"/>
      <c r="CZ244" s="2098">
        <f t="shared" si="79"/>
        <v>0</v>
      </c>
      <c r="DA244" s="2098" t="str">
        <f t="shared" si="80"/>
        <v>-</v>
      </c>
      <c r="DB244" s="2098">
        <f t="shared" si="81"/>
        <v>0</v>
      </c>
      <c r="DC244" s="3023" t="str">
        <f t="shared" si="82"/>
        <v>-</v>
      </c>
      <c r="DD244" s="3024" t="str">
        <f t="shared" si="83"/>
        <v/>
      </c>
      <c r="DE244" s="3025" t="str">
        <f t="shared" si="84"/>
        <v>-</v>
      </c>
      <c r="DF244" s="3024" t="str">
        <f t="shared" si="75"/>
        <v>-</v>
      </c>
      <c r="DG244" s="2098">
        <f t="shared" si="85"/>
        <v>0</v>
      </c>
      <c r="DH244" s="2098">
        <f t="array" ref="DH244">MIN(SUMPRODUCT(I244:CR244,IF($I$25:$CR$25="yes",1,0),$I$23:$CR$23),H244)</f>
        <v>0</v>
      </c>
      <c r="DI244" s="3026"/>
      <c r="DJ244" s="3021"/>
      <c r="DN244" s="917" t="str">
        <f>IF(CS244="","-",SUMIF('Lighting Assumptions'!$G$3:$G$112,'6a - Lighting Counts'!G244,'Lighting Assumptions'!$J$3:$J$112))</f>
        <v>-</v>
      </c>
      <c r="DO244" s="917" t="str">
        <f t="shared" si="76"/>
        <v>-</v>
      </c>
      <c r="DP244" s="917" t="str">
        <f t="shared" si="77"/>
        <v>-</v>
      </c>
      <c r="DQ244" s="917" t="str">
        <f>IF(LEFT(CELLformula(DF244),3)&lt;&gt;"=IF",1,"")</f>
        <v/>
      </c>
      <c r="DR244" s="917" t="str">
        <f>IF(LEFT(CELLformula(DD244),3)&lt;&gt;"=IF",1,"")</f>
        <v/>
      </c>
      <c r="DS244" s="3048">
        <f t="shared" si="86"/>
        <v>0</v>
      </c>
      <c r="DT244" s="3047" t="str">
        <f t="shared" si="87"/>
        <v/>
      </c>
      <c r="DU244" s="3047" t="str">
        <f>IFERROR(IF(G244="","",SUMIF('Lighting Assumptions'!$G$3:$G$112,'6a - Lighting Counts'!G244,'Lighting Assumptions'!$H$3:$H$112)*IF(SI_IP_Units="SI",10.76,1)),"")</f>
        <v/>
      </c>
      <c r="DV244" s="3047" t="str">
        <f>IFERROR(IF($CX244="","",IF(SI_IP_Units="SI",10.76,1)*SUMIF(BAMCategories,$CY244,'Lighting Assumptions'!$E$3:E$35)),"")</f>
        <v/>
      </c>
      <c r="DW244" s="3047" t="str">
        <f>IFERROR(IF($CX244="","",IF(SI_IP_Units="SI",10.76,1)*SUMIF(BAMCategories,$CY244,IF(bpf_reference="ACP",'Lighting Assumptions 90.1-2010'!$E$3:E$35,'Lighting Assumptions 90.1-2016'!$E$3:E$35))),"")</f>
        <v/>
      </c>
      <c r="EW244" s="855"/>
      <c r="EX244" s="855"/>
      <c r="EY244" s="855"/>
      <c r="EZ244" s="855"/>
    </row>
    <row r="245" spans="4:156" x14ac:dyDescent="0.25">
      <c r="D245" s="3019"/>
      <c r="E245" s="3020"/>
      <c r="F245" s="3021">
        <f t="shared" si="74"/>
        <v>0</v>
      </c>
      <c r="G245" s="3059"/>
      <c r="H245" s="3060"/>
      <c r="I245" s="3061"/>
      <c r="J245" s="3061"/>
      <c r="K245" s="3061"/>
      <c r="L245" s="3061"/>
      <c r="M245" s="3061"/>
      <c r="N245" s="3061"/>
      <c r="O245" s="3061"/>
      <c r="P245" s="3061"/>
      <c r="Q245" s="3061"/>
      <c r="R245" s="3061"/>
      <c r="S245" s="3061"/>
      <c r="T245" s="3061"/>
      <c r="U245" s="3061"/>
      <c r="V245" s="3061"/>
      <c r="W245" s="3061"/>
      <c r="X245" s="3061"/>
      <c r="Y245" s="3061"/>
      <c r="Z245" s="3061"/>
      <c r="AA245" s="3061"/>
      <c r="AB245" s="3061"/>
      <c r="AC245" s="3061"/>
      <c r="AD245" s="3061"/>
      <c r="AE245" s="3061"/>
      <c r="AF245" s="3061"/>
      <c r="AG245" s="3061"/>
      <c r="AH245" s="3061"/>
      <c r="AI245" s="3061"/>
      <c r="AJ245" s="3061"/>
      <c r="AK245" s="3061"/>
      <c r="AL245" s="3061"/>
      <c r="AM245" s="3061"/>
      <c r="AN245" s="3061"/>
      <c r="AO245" s="3061"/>
      <c r="AP245" s="3061"/>
      <c r="AQ245" s="3061"/>
      <c r="AR245" s="3061"/>
      <c r="AS245" s="3061"/>
      <c r="AT245" s="3061"/>
      <c r="AU245" s="3061"/>
      <c r="AV245" s="3061"/>
      <c r="AW245" s="3061"/>
      <c r="AX245" s="3061"/>
      <c r="AY245" s="3061"/>
      <c r="AZ245" s="3061"/>
      <c r="BA245" s="3061"/>
      <c r="BB245" s="3061"/>
      <c r="BC245" s="3061"/>
      <c r="BD245" s="3061"/>
      <c r="BE245" s="3061"/>
      <c r="BF245" s="3061"/>
      <c r="BG245" s="3061"/>
      <c r="BH245" s="3061"/>
      <c r="BI245" s="3061"/>
      <c r="BJ245" s="3061"/>
      <c r="BK245" s="3061"/>
      <c r="BL245" s="3061"/>
      <c r="BM245" s="3061"/>
      <c r="BN245" s="3061"/>
      <c r="BO245" s="3061"/>
      <c r="BP245" s="3061"/>
      <c r="BQ245" s="3061"/>
      <c r="BR245" s="3061"/>
      <c r="BS245" s="3061"/>
      <c r="BT245" s="3061"/>
      <c r="BU245" s="3061"/>
      <c r="BV245" s="3061"/>
      <c r="BW245" s="3061"/>
      <c r="BX245" s="3061"/>
      <c r="BY245" s="3061"/>
      <c r="BZ245" s="3061"/>
      <c r="CA245" s="3061"/>
      <c r="CB245" s="3061"/>
      <c r="CC245" s="3061"/>
      <c r="CD245" s="3061"/>
      <c r="CE245" s="3061"/>
      <c r="CF245" s="3061"/>
      <c r="CG245" s="3061"/>
      <c r="CH245" s="3061"/>
      <c r="CI245" s="3061"/>
      <c r="CJ245" s="3061"/>
      <c r="CK245" s="3061"/>
      <c r="CL245" s="3061"/>
      <c r="CM245" s="3061"/>
      <c r="CN245" s="3061"/>
      <c r="CO245" s="3061"/>
      <c r="CP245" s="3061"/>
      <c r="CQ245" s="3061"/>
      <c r="CR245" s="3061"/>
      <c r="CS245" s="3062"/>
      <c r="CT245" s="3063"/>
      <c r="CU245" s="3064">
        <f t="shared" si="78"/>
        <v>1</v>
      </c>
      <c r="CV245" s="3022" t="str">
        <f>IF(OR(CT245="",CT245="None"),"-",DO245*CU245*SUMIF('Lighting Assumptions'!$G$3:$G$112,'6a - Lighting Counts'!G245,'Lighting Assumptions'!$J$3:$J$112))</f>
        <v>-</v>
      </c>
      <c r="CW245" s="3021"/>
      <c r="CX245" s="3021"/>
      <c r="CY245" s="3046"/>
      <c r="CZ245" s="2098">
        <f t="shared" si="79"/>
        <v>0</v>
      </c>
      <c r="DA245" s="2098" t="str">
        <f t="shared" si="80"/>
        <v>-</v>
      </c>
      <c r="DB245" s="2098">
        <f t="shared" si="81"/>
        <v>0</v>
      </c>
      <c r="DC245" s="3023" t="str">
        <f t="shared" si="82"/>
        <v>-</v>
      </c>
      <c r="DD245" s="3024" t="str">
        <f t="shared" si="83"/>
        <v/>
      </c>
      <c r="DE245" s="3025" t="str">
        <f t="shared" si="84"/>
        <v>-</v>
      </c>
      <c r="DF245" s="3024" t="str">
        <f t="shared" si="75"/>
        <v>-</v>
      </c>
      <c r="DG245" s="2098">
        <f t="shared" si="85"/>
        <v>0</v>
      </c>
      <c r="DH245" s="2098">
        <f t="array" ref="DH245">MIN(SUMPRODUCT(I245:CR245,IF($I$25:$CR$25="yes",1,0),$I$23:$CR$23),H245)</f>
        <v>0</v>
      </c>
      <c r="DI245" s="3026"/>
      <c r="DJ245" s="3021"/>
      <c r="DN245" s="917" t="str">
        <f>IF(CS245="","-",SUMIF('Lighting Assumptions'!$G$3:$G$112,'6a - Lighting Counts'!G245,'Lighting Assumptions'!$J$3:$J$112))</f>
        <v>-</v>
      </c>
      <c r="DO245" s="917" t="str">
        <f t="shared" si="76"/>
        <v>-</v>
      </c>
      <c r="DP245" s="917" t="str">
        <f t="shared" si="77"/>
        <v>-</v>
      </c>
      <c r="DQ245" s="917" t="str">
        <f>IF(LEFT(CELLformula(DF245),3)&lt;&gt;"=IF",1,"")</f>
        <v/>
      </c>
      <c r="DR245" s="917" t="str">
        <f>IF(LEFT(CELLformula(DD245),3)&lt;&gt;"=IF",1,"")</f>
        <v/>
      </c>
      <c r="DS245" s="3048">
        <f t="shared" si="86"/>
        <v>0</v>
      </c>
      <c r="DT245" s="3047" t="str">
        <f t="shared" si="87"/>
        <v/>
      </c>
      <c r="DU245" s="3047" t="str">
        <f>IFERROR(IF(G245="","",SUMIF('Lighting Assumptions'!$G$3:$G$112,'6a - Lighting Counts'!G245,'Lighting Assumptions'!$H$3:$H$112)*IF(SI_IP_Units="SI",10.76,1)),"")</f>
        <v/>
      </c>
      <c r="DV245" s="3047" t="str">
        <f>IFERROR(IF($CX245="","",IF(SI_IP_Units="SI",10.76,1)*SUMIF(BAMCategories,$CY245,'Lighting Assumptions'!$E$3:E$35)),"")</f>
        <v/>
      </c>
      <c r="DW245" s="3047" t="str">
        <f>IFERROR(IF($CX245="","",IF(SI_IP_Units="SI",10.76,1)*SUMIF(BAMCategories,$CY245,IF(bpf_reference="ACP",'Lighting Assumptions 90.1-2010'!$E$3:E$35,'Lighting Assumptions 90.1-2016'!$E$3:E$35))),"")</f>
        <v/>
      </c>
      <c r="EW245" s="855"/>
      <c r="EX245" s="855"/>
      <c r="EY245" s="855"/>
      <c r="EZ245" s="855"/>
    </row>
    <row r="246" spans="4:156" x14ac:dyDescent="0.25">
      <c r="D246" s="3019"/>
      <c r="E246" s="3020"/>
      <c r="F246" s="3021">
        <f t="shared" si="74"/>
        <v>0</v>
      </c>
      <c r="G246" s="3059"/>
      <c r="H246" s="3060"/>
      <c r="I246" s="3061"/>
      <c r="J246" s="3061"/>
      <c r="K246" s="3061"/>
      <c r="L246" s="3061"/>
      <c r="M246" s="3061"/>
      <c r="N246" s="3061"/>
      <c r="O246" s="3061"/>
      <c r="P246" s="3061"/>
      <c r="Q246" s="3061"/>
      <c r="R246" s="3061"/>
      <c r="S246" s="3061"/>
      <c r="T246" s="3061"/>
      <c r="U246" s="3061"/>
      <c r="V246" s="3061"/>
      <c r="W246" s="3061"/>
      <c r="X246" s="3061"/>
      <c r="Y246" s="3061"/>
      <c r="Z246" s="3061"/>
      <c r="AA246" s="3061"/>
      <c r="AB246" s="3061"/>
      <c r="AC246" s="3061"/>
      <c r="AD246" s="3061"/>
      <c r="AE246" s="3061"/>
      <c r="AF246" s="3061"/>
      <c r="AG246" s="3061"/>
      <c r="AH246" s="3061"/>
      <c r="AI246" s="3061"/>
      <c r="AJ246" s="3061"/>
      <c r="AK246" s="3061"/>
      <c r="AL246" s="3061"/>
      <c r="AM246" s="3061"/>
      <c r="AN246" s="3061"/>
      <c r="AO246" s="3061"/>
      <c r="AP246" s="3061"/>
      <c r="AQ246" s="3061"/>
      <c r="AR246" s="3061"/>
      <c r="AS246" s="3061"/>
      <c r="AT246" s="3061"/>
      <c r="AU246" s="3061"/>
      <c r="AV246" s="3061"/>
      <c r="AW246" s="3061"/>
      <c r="AX246" s="3061"/>
      <c r="AY246" s="3061"/>
      <c r="AZ246" s="3061"/>
      <c r="BA246" s="3061"/>
      <c r="BB246" s="3061"/>
      <c r="BC246" s="3061"/>
      <c r="BD246" s="3061"/>
      <c r="BE246" s="3061"/>
      <c r="BF246" s="3061"/>
      <c r="BG246" s="3061"/>
      <c r="BH246" s="3061"/>
      <c r="BI246" s="3061"/>
      <c r="BJ246" s="3061"/>
      <c r="BK246" s="3061"/>
      <c r="BL246" s="3061"/>
      <c r="BM246" s="3061"/>
      <c r="BN246" s="3061"/>
      <c r="BO246" s="3061"/>
      <c r="BP246" s="3061"/>
      <c r="BQ246" s="3061"/>
      <c r="BR246" s="3061"/>
      <c r="BS246" s="3061"/>
      <c r="BT246" s="3061"/>
      <c r="BU246" s="3061"/>
      <c r="BV246" s="3061"/>
      <c r="BW246" s="3061"/>
      <c r="BX246" s="3061"/>
      <c r="BY246" s="3061"/>
      <c r="BZ246" s="3061"/>
      <c r="CA246" s="3061"/>
      <c r="CB246" s="3061"/>
      <c r="CC246" s="3061"/>
      <c r="CD246" s="3061"/>
      <c r="CE246" s="3061"/>
      <c r="CF246" s="3061"/>
      <c r="CG246" s="3061"/>
      <c r="CH246" s="3061"/>
      <c r="CI246" s="3061"/>
      <c r="CJ246" s="3061"/>
      <c r="CK246" s="3061"/>
      <c r="CL246" s="3061"/>
      <c r="CM246" s="3061"/>
      <c r="CN246" s="3061"/>
      <c r="CO246" s="3061"/>
      <c r="CP246" s="3061"/>
      <c r="CQ246" s="3061"/>
      <c r="CR246" s="3061"/>
      <c r="CS246" s="3062"/>
      <c r="CT246" s="3063"/>
      <c r="CU246" s="3064">
        <f t="shared" si="78"/>
        <v>1</v>
      </c>
      <c r="CV246" s="3022" t="str">
        <f>IF(OR(CT246="",CT246="None"),"-",DO246*CU246*SUMIF('Lighting Assumptions'!$G$3:$G$112,'6a - Lighting Counts'!G246,'Lighting Assumptions'!$J$3:$J$112))</f>
        <v>-</v>
      </c>
      <c r="CW246" s="3021"/>
      <c r="CX246" s="3021"/>
      <c r="CY246" s="3046"/>
      <c r="CZ246" s="2098">
        <f t="shared" si="79"/>
        <v>0</v>
      </c>
      <c r="DA246" s="2098" t="str">
        <f t="shared" si="80"/>
        <v>-</v>
      </c>
      <c r="DB246" s="2098">
        <f t="shared" si="81"/>
        <v>0</v>
      </c>
      <c r="DC246" s="3023" t="str">
        <f t="shared" si="82"/>
        <v>-</v>
      </c>
      <c r="DD246" s="3024" t="str">
        <f t="shared" si="83"/>
        <v/>
      </c>
      <c r="DE246" s="3025" t="str">
        <f t="shared" si="84"/>
        <v>-</v>
      </c>
      <c r="DF246" s="3024" t="str">
        <f t="shared" si="75"/>
        <v>-</v>
      </c>
      <c r="DG246" s="2098">
        <f t="shared" si="85"/>
        <v>0</v>
      </c>
      <c r="DH246" s="2098">
        <f t="array" ref="DH246">MIN(SUMPRODUCT(I246:CR246,IF($I$25:$CR$25="yes",1,0),$I$23:$CR$23),H246)</f>
        <v>0</v>
      </c>
      <c r="DI246" s="3026"/>
      <c r="DJ246" s="3021"/>
      <c r="DN246" s="917" t="str">
        <f>IF(CS246="","-",SUMIF('Lighting Assumptions'!$G$3:$G$112,'6a - Lighting Counts'!G246,'Lighting Assumptions'!$J$3:$J$112))</f>
        <v>-</v>
      </c>
      <c r="DO246" s="917" t="str">
        <f t="shared" si="76"/>
        <v>-</v>
      </c>
      <c r="DP246" s="917" t="str">
        <f t="shared" si="77"/>
        <v>-</v>
      </c>
      <c r="DQ246" s="917" t="str">
        <f>IF(LEFT(CELLformula(DF246),3)&lt;&gt;"=IF",1,"")</f>
        <v/>
      </c>
      <c r="DR246" s="917" t="str">
        <f>IF(LEFT(CELLformula(DD246),3)&lt;&gt;"=IF",1,"")</f>
        <v/>
      </c>
      <c r="DS246" s="3048">
        <f t="shared" si="86"/>
        <v>0</v>
      </c>
      <c r="DT246" s="3047" t="str">
        <f t="shared" si="87"/>
        <v/>
      </c>
      <c r="DU246" s="3047" t="str">
        <f>IFERROR(IF(G246="","",SUMIF('Lighting Assumptions'!$G$3:$G$112,'6a - Lighting Counts'!G246,'Lighting Assumptions'!$H$3:$H$112)*IF(SI_IP_Units="SI",10.76,1)),"")</f>
        <v/>
      </c>
      <c r="DV246" s="3047" t="str">
        <f>IFERROR(IF($CX246="","",IF(SI_IP_Units="SI",10.76,1)*SUMIF(BAMCategories,$CY246,'Lighting Assumptions'!$E$3:E$35)),"")</f>
        <v/>
      </c>
      <c r="DW246" s="3047" t="str">
        <f>IFERROR(IF($CX246="","",IF(SI_IP_Units="SI",10.76,1)*SUMIF(BAMCategories,$CY246,IF(bpf_reference="ACP",'Lighting Assumptions 90.1-2010'!$E$3:E$35,'Lighting Assumptions 90.1-2016'!$E$3:E$35))),"")</f>
        <v/>
      </c>
      <c r="EW246" s="855"/>
      <c r="EX246" s="855"/>
      <c r="EY246" s="855"/>
      <c r="EZ246" s="855"/>
    </row>
    <row r="247" spans="4:156" x14ac:dyDescent="0.25">
      <c r="D247" s="3019"/>
      <c r="E247" s="3020"/>
      <c r="F247" s="3021">
        <f t="shared" si="74"/>
        <v>0</v>
      </c>
      <c r="G247" s="3059"/>
      <c r="H247" s="3060"/>
      <c r="I247" s="3061"/>
      <c r="J247" s="3061"/>
      <c r="K247" s="3061"/>
      <c r="L247" s="3061"/>
      <c r="M247" s="3061"/>
      <c r="N247" s="3061"/>
      <c r="O247" s="3061"/>
      <c r="P247" s="3061"/>
      <c r="Q247" s="3061"/>
      <c r="R247" s="3061"/>
      <c r="S247" s="3061"/>
      <c r="T247" s="3061"/>
      <c r="U247" s="3061"/>
      <c r="V247" s="3061"/>
      <c r="W247" s="3061"/>
      <c r="X247" s="3061"/>
      <c r="Y247" s="3061"/>
      <c r="Z247" s="3061"/>
      <c r="AA247" s="3061"/>
      <c r="AB247" s="3061"/>
      <c r="AC247" s="3061"/>
      <c r="AD247" s="3061"/>
      <c r="AE247" s="3061"/>
      <c r="AF247" s="3061"/>
      <c r="AG247" s="3061"/>
      <c r="AH247" s="3061"/>
      <c r="AI247" s="3061"/>
      <c r="AJ247" s="3061"/>
      <c r="AK247" s="3061"/>
      <c r="AL247" s="3061"/>
      <c r="AM247" s="3061"/>
      <c r="AN247" s="3061"/>
      <c r="AO247" s="3061"/>
      <c r="AP247" s="3061"/>
      <c r="AQ247" s="3061"/>
      <c r="AR247" s="3061"/>
      <c r="AS247" s="3061"/>
      <c r="AT247" s="3061"/>
      <c r="AU247" s="3061"/>
      <c r="AV247" s="3061"/>
      <c r="AW247" s="3061"/>
      <c r="AX247" s="3061"/>
      <c r="AY247" s="3061"/>
      <c r="AZ247" s="3061"/>
      <c r="BA247" s="3061"/>
      <c r="BB247" s="3061"/>
      <c r="BC247" s="3061"/>
      <c r="BD247" s="3061"/>
      <c r="BE247" s="3061"/>
      <c r="BF247" s="3061"/>
      <c r="BG247" s="3061"/>
      <c r="BH247" s="3061"/>
      <c r="BI247" s="3061"/>
      <c r="BJ247" s="3061"/>
      <c r="BK247" s="3061"/>
      <c r="BL247" s="3061"/>
      <c r="BM247" s="3061"/>
      <c r="BN247" s="3061"/>
      <c r="BO247" s="3061"/>
      <c r="BP247" s="3061"/>
      <c r="BQ247" s="3061"/>
      <c r="BR247" s="3061"/>
      <c r="BS247" s="3061"/>
      <c r="BT247" s="3061"/>
      <c r="BU247" s="3061"/>
      <c r="BV247" s="3061"/>
      <c r="BW247" s="3061"/>
      <c r="BX247" s="3061"/>
      <c r="BY247" s="3061"/>
      <c r="BZ247" s="3061"/>
      <c r="CA247" s="3061"/>
      <c r="CB247" s="3061"/>
      <c r="CC247" s="3061"/>
      <c r="CD247" s="3061"/>
      <c r="CE247" s="3061"/>
      <c r="CF247" s="3061"/>
      <c r="CG247" s="3061"/>
      <c r="CH247" s="3061"/>
      <c r="CI247" s="3061"/>
      <c r="CJ247" s="3061"/>
      <c r="CK247" s="3061"/>
      <c r="CL247" s="3061"/>
      <c r="CM247" s="3061"/>
      <c r="CN247" s="3061"/>
      <c r="CO247" s="3061"/>
      <c r="CP247" s="3061"/>
      <c r="CQ247" s="3061"/>
      <c r="CR247" s="3061"/>
      <c r="CS247" s="3062"/>
      <c r="CT247" s="3063"/>
      <c r="CU247" s="3064">
        <f t="shared" si="78"/>
        <v>1</v>
      </c>
      <c r="CV247" s="3022" t="str">
        <f>IF(OR(CT247="",CT247="None"),"-",DO247*CU247*SUMIF('Lighting Assumptions'!$G$3:$G$112,'6a - Lighting Counts'!G247,'Lighting Assumptions'!$J$3:$J$112))</f>
        <v>-</v>
      </c>
      <c r="CW247" s="3021"/>
      <c r="CX247" s="3021"/>
      <c r="CY247" s="3046"/>
      <c r="CZ247" s="2098">
        <f t="shared" si="79"/>
        <v>0</v>
      </c>
      <c r="DA247" s="2098" t="str">
        <f t="shared" si="80"/>
        <v>-</v>
      </c>
      <c r="DB247" s="2098">
        <f t="shared" si="81"/>
        <v>0</v>
      </c>
      <c r="DC247" s="3023" t="str">
        <f t="shared" si="82"/>
        <v>-</v>
      </c>
      <c r="DD247" s="3024" t="str">
        <f t="shared" si="83"/>
        <v/>
      </c>
      <c r="DE247" s="3025" t="str">
        <f t="shared" si="84"/>
        <v>-</v>
      </c>
      <c r="DF247" s="3024" t="str">
        <f t="shared" si="75"/>
        <v>-</v>
      </c>
      <c r="DG247" s="2098">
        <f t="shared" si="85"/>
        <v>0</v>
      </c>
      <c r="DH247" s="2098">
        <f t="array" ref="DH247">MIN(SUMPRODUCT(I247:CR247,IF($I$25:$CR$25="yes",1,0),$I$23:$CR$23),H247)</f>
        <v>0</v>
      </c>
      <c r="DI247" s="3026"/>
      <c r="DJ247" s="3021"/>
      <c r="DN247" s="917" t="str">
        <f>IF(CS247="","-",SUMIF('Lighting Assumptions'!$G$3:$G$112,'6a - Lighting Counts'!G247,'Lighting Assumptions'!$J$3:$J$112))</f>
        <v>-</v>
      </c>
      <c r="DO247" s="917" t="str">
        <f t="shared" si="76"/>
        <v>-</v>
      </c>
      <c r="DP247" s="917" t="str">
        <f t="shared" si="77"/>
        <v>-</v>
      </c>
      <c r="DQ247" s="917" t="str">
        <f>IF(LEFT(CELLformula(DF247),3)&lt;&gt;"=IF",1,"")</f>
        <v/>
      </c>
      <c r="DR247" s="917" t="str">
        <f>IF(LEFT(CELLformula(DD247),3)&lt;&gt;"=IF",1,"")</f>
        <v/>
      </c>
      <c r="DS247" s="3048">
        <f t="shared" si="86"/>
        <v>0</v>
      </c>
      <c r="DT247" s="3047" t="str">
        <f t="shared" si="87"/>
        <v/>
      </c>
      <c r="DU247" s="3047" t="str">
        <f>IFERROR(IF(G247="","",SUMIF('Lighting Assumptions'!$G$3:$G$112,'6a - Lighting Counts'!G247,'Lighting Assumptions'!$H$3:$H$112)*IF(SI_IP_Units="SI",10.76,1)),"")</f>
        <v/>
      </c>
      <c r="DV247" s="3047" t="str">
        <f>IFERROR(IF($CX247="","",IF(SI_IP_Units="SI",10.76,1)*SUMIF(BAMCategories,$CY247,'Lighting Assumptions'!$E$3:E$35)),"")</f>
        <v/>
      </c>
      <c r="DW247" s="3047" t="str">
        <f>IFERROR(IF($CX247="","",IF(SI_IP_Units="SI",10.76,1)*SUMIF(BAMCategories,$CY247,IF(bpf_reference="ACP",'Lighting Assumptions 90.1-2010'!$E$3:E$35,'Lighting Assumptions 90.1-2016'!$E$3:E$35))),"")</f>
        <v/>
      </c>
      <c r="EW247" s="855"/>
      <c r="EX247" s="855"/>
      <c r="EY247" s="855"/>
      <c r="EZ247" s="855"/>
    </row>
    <row r="248" spans="4:156" x14ac:dyDescent="0.25">
      <c r="D248" s="3019"/>
      <c r="E248" s="3020"/>
      <c r="F248" s="3021">
        <f t="shared" si="74"/>
        <v>0</v>
      </c>
      <c r="G248" s="3059"/>
      <c r="H248" s="3060"/>
      <c r="I248" s="3061"/>
      <c r="J248" s="3061"/>
      <c r="K248" s="3061"/>
      <c r="L248" s="3061"/>
      <c r="M248" s="3061"/>
      <c r="N248" s="3061"/>
      <c r="O248" s="3061"/>
      <c r="P248" s="3061"/>
      <c r="Q248" s="3061"/>
      <c r="R248" s="3061"/>
      <c r="S248" s="3061"/>
      <c r="T248" s="3061"/>
      <c r="U248" s="3061"/>
      <c r="V248" s="3061"/>
      <c r="W248" s="3061"/>
      <c r="X248" s="3061"/>
      <c r="Y248" s="3061"/>
      <c r="Z248" s="3061"/>
      <c r="AA248" s="3061"/>
      <c r="AB248" s="3061"/>
      <c r="AC248" s="3061"/>
      <c r="AD248" s="3061"/>
      <c r="AE248" s="3061"/>
      <c r="AF248" s="3061"/>
      <c r="AG248" s="3061"/>
      <c r="AH248" s="3061"/>
      <c r="AI248" s="3061"/>
      <c r="AJ248" s="3061"/>
      <c r="AK248" s="3061"/>
      <c r="AL248" s="3061"/>
      <c r="AM248" s="3061"/>
      <c r="AN248" s="3061"/>
      <c r="AO248" s="3061"/>
      <c r="AP248" s="3061"/>
      <c r="AQ248" s="3061"/>
      <c r="AR248" s="3061"/>
      <c r="AS248" s="3061"/>
      <c r="AT248" s="3061"/>
      <c r="AU248" s="3061"/>
      <c r="AV248" s="3061"/>
      <c r="AW248" s="3061"/>
      <c r="AX248" s="3061"/>
      <c r="AY248" s="3061"/>
      <c r="AZ248" s="3061"/>
      <c r="BA248" s="3061"/>
      <c r="BB248" s="3061"/>
      <c r="BC248" s="3061"/>
      <c r="BD248" s="3061"/>
      <c r="BE248" s="3061"/>
      <c r="BF248" s="3061"/>
      <c r="BG248" s="3061"/>
      <c r="BH248" s="3061"/>
      <c r="BI248" s="3061"/>
      <c r="BJ248" s="3061"/>
      <c r="BK248" s="3061"/>
      <c r="BL248" s="3061"/>
      <c r="BM248" s="3061"/>
      <c r="BN248" s="3061"/>
      <c r="BO248" s="3061"/>
      <c r="BP248" s="3061"/>
      <c r="BQ248" s="3061"/>
      <c r="BR248" s="3061"/>
      <c r="BS248" s="3061"/>
      <c r="BT248" s="3061"/>
      <c r="BU248" s="3061"/>
      <c r="BV248" s="3061"/>
      <c r="BW248" s="3061"/>
      <c r="BX248" s="3061"/>
      <c r="BY248" s="3061"/>
      <c r="BZ248" s="3061"/>
      <c r="CA248" s="3061"/>
      <c r="CB248" s="3061"/>
      <c r="CC248" s="3061"/>
      <c r="CD248" s="3061"/>
      <c r="CE248" s="3061"/>
      <c r="CF248" s="3061"/>
      <c r="CG248" s="3061"/>
      <c r="CH248" s="3061"/>
      <c r="CI248" s="3061"/>
      <c r="CJ248" s="3061"/>
      <c r="CK248" s="3061"/>
      <c r="CL248" s="3061"/>
      <c r="CM248" s="3061"/>
      <c r="CN248" s="3061"/>
      <c r="CO248" s="3061"/>
      <c r="CP248" s="3061"/>
      <c r="CQ248" s="3061"/>
      <c r="CR248" s="3061"/>
      <c r="CS248" s="3062"/>
      <c r="CT248" s="3063"/>
      <c r="CU248" s="3064">
        <f t="shared" si="78"/>
        <v>1</v>
      </c>
      <c r="CV248" s="3022" t="str">
        <f>IF(OR(CT248="",CT248="None"),"-",DO248*CU248*SUMIF('Lighting Assumptions'!$G$3:$G$112,'6a - Lighting Counts'!G248,'Lighting Assumptions'!$J$3:$J$112))</f>
        <v>-</v>
      </c>
      <c r="CW248" s="3021"/>
      <c r="CX248" s="3021"/>
      <c r="CY248" s="3046"/>
      <c r="CZ248" s="2098">
        <f t="shared" si="79"/>
        <v>0</v>
      </c>
      <c r="DA248" s="2098" t="str">
        <f t="shared" si="80"/>
        <v>-</v>
      </c>
      <c r="DB248" s="2098">
        <f t="shared" si="81"/>
        <v>0</v>
      </c>
      <c r="DC248" s="3023" t="str">
        <f t="shared" si="82"/>
        <v>-</v>
      </c>
      <c r="DD248" s="3024" t="str">
        <f t="shared" si="83"/>
        <v/>
      </c>
      <c r="DE248" s="3025" t="str">
        <f t="shared" si="84"/>
        <v>-</v>
      </c>
      <c r="DF248" s="3024" t="str">
        <f t="shared" si="75"/>
        <v>-</v>
      </c>
      <c r="DG248" s="2098">
        <f t="shared" si="85"/>
        <v>0</v>
      </c>
      <c r="DH248" s="2098">
        <f t="array" ref="DH248">MIN(SUMPRODUCT(I248:CR248,IF($I$25:$CR$25="yes",1,0),$I$23:$CR$23),H248)</f>
        <v>0</v>
      </c>
      <c r="DI248" s="3026"/>
      <c r="DJ248" s="3021"/>
      <c r="DN248" s="917" t="str">
        <f>IF(CS248="","-",SUMIF('Lighting Assumptions'!$G$3:$G$112,'6a - Lighting Counts'!G248,'Lighting Assumptions'!$J$3:$J$112))</f>
        <v>-</v>
      </c>
      <c r="DO248" s="917" t="str">
        <f t="shared" si="76"/>
        <v>-</v>
      </c>
      <c r="DP248" s="917" t="str">
        <f t="shared" si="77"/>
        <v>-</v>
      </c>
      <c r="DQ248" s="917" t="str">
        <f>IF(LEFT(CELLformula(DF248),3)&lt;&gt;"=IF",1,"")</f>
        <v/>
      </c>
      <c r="DR248" s="917" t="str">
        <f>IF(LEFT(CELLformula(DD248),3)&lt;&gt;"=IF",1,"")</f>
        <v/>
      </c>
      <c r="DS248" s="3048">
        <f t="shared" si="86"/>
        <v>0</v>
      </c>
      <c r="DT248" s="3047" t="str">
        <f t="shared" si="87"/>
        <v/>
      </c>
      <c r="DU248" s="3047" t="str">
        <f>IFERROR(IF(G248="","",SUMIF('Lighting Assumptions'!$G$3:$G$112,'6a - Lighting Counts'!G248,'Lighting Assumptions'!$H$3:$H$112)*IF(SI_IP_Units="SI",10.76,1)),"")</f>
        <v/>
      </c>
      <c r="DV248" s="3047" t="str">
        <f>IFERROR(IF($CX248="","",IF(SI_IP_Units="SI",10.76,1)*SUMIF(BAMCategories,$CY248,'Lighting Assumptions'!$E$3:E$35)),"")</f>
        <v/>
      </c>
      <c r="DW248" s="3047" t="str">
        <f>IFERROR(IF($CX248="","",IF(SI_IP_Units="SI",10.76,1)*SUMIF(BAMCategories,$CY248,IF(bpf_reference="ACP",'Lighting Assumptions 90.1-2010'!$E$3:E$35,'Lighting Assumptions 90.1-2016'!$E$3:E$35))),"")</f>
        <v/>
      </c>
      <c r="EW248" s="855"/>
      <c r="EX248" s="855"/>
      <c r="EY248" s="855"/>
      <c r="EZ248" s="855"/>
    </row>
    <row r="249" spans="4:156" x14ac:dyDescent="0.25">
      <c r="D249" s="3019"/>
      <c r="E249" s="3020"/>
      <c r="F249" s="3021">
        <f t="shared" si="74"/>
        <v>0</v>
      </c>
      <c r="G249" s="3059"/>
      <c r="H249" s="3060"/>
      <c r="I249" s="3061"/>
      <c r="J249" s="3061"/>
      <c r="K249" s="3061"/>
      <c r="L249" s="3061"/>
      <c r="M249" s="3061"/>
      <c r="N249" s="3061"/>
      <c r="O249" s="3061"/>
      <c r="P249" s="3061"/>
      <c r="Q249" s="3061"/>
      <c r="R249" s="3061"/>
      <c r="S249" s="3061"/>
      <c r="T249" s="3061"/>
      <c r="U249" s="3061"/>
      <c r="V249" s="3061"/>
      <c r="W249" s="3061"/>
      <c r="X249" s="3061"/>
      <c r="Y249" s="3061"/>
      <c r="Z249" s="3061"/>
      <c r="AA249" s="3061"/>
      <c r="AB249" s="3061"/>
      <c r="AC249" s="3061"/>
      <c r="AD249" s="3061"/>
      <c r="AE249" s="3061"/>
      <c r="AF249" s="3061"/>
      <c r="AG249" s="3061"/>
      <c r="AH249" s="3061"/>
      <c r="AI249" s="3061"/>
      <c r="AJ249" s="3061"/>
      <c r="AK249" s="3061"/>
      <c r="AL249" s="3061"/>
      <c r="AM249" s="3061"/>
      <c r="AN249" s="3061"/>
      <c r="AO249" s="3061"/>
      <c r="AP249" s="3061"/>
      <c r="AQ249" s="3061"/>
      <c r="AR249" s="3061"/>
      <c r="AS249" s="3061"/>
      <c r="AT249" s="3061"/>
      <c r="AU249" s="3061"/>
      <c r="AV249" s="3061"/>
      <c r="AW249" s="3061"/>
      <c r="AX249" s="3061"/>
      <c r="AY249" s="3061"/>
      <c r="AZ249" s="3061"/>
      <c r="BA249" s="3061"/>
      <c r="BB249" s="3061"/>
      <c r="BC249" s="3061"/>
      <c r="BD249" s="3061"/>
      <c r="BE249" s="3061"/>
      <c r="BF249" s="3061"/>
      <c r="BG249" s="3061"/>
      <c r="BH249" s="3061"/>
      <c r="BI249" s="3061"/>
      <c r="BJ249" s="3061"/>
      <c r="BK249" s="3061"/>
      <c r="BL249" s="3061"/>
      <c r="BM249" s="3061"/>
      <c r="BN249" s="3061"/>
      <c r="BO249" s="3061"/>
      <c r="BP249" s="3061"/>
      <c r="BQ249" s="3061"/>
      <c r="BR249" s="3061"/>
      <c r="BS249" s="3061"/>
      <c r="BT249" s="3061"/>
      <c r="BU249" s="3061"/>
      <c r="BV249" s="3061"/>
      <c r="BW249" s="3061"/>
      <c r="BX249" s="3061"/>
      <c r="BY249" s="3061"/>
      <c r="BZ249" s="3061"/>
      <c r="CA249" s="3061"/>
      <c r="CB249" s="3061"/>
      <c r="CC249" s="3061"/>
      <c r="CD249" s="3061"/>
      <c r="CE249" s="3061"/>
      <c r="CF249" s="3061"/>
      <c r="CG249" s="3061"/>
      <c r="CH249" s="3061"/>
      <c r="CI249" s="3061"/>
      <c r="CJ249" s="3061"/>
      <c r="CK249" s="3061"/>
      <c r="CL249" s="3061"/>
      <c r="CM249" s="3061"/>
      <c r="CN249" s="3061"/>
      <c r="CO249" s="3061"/>
      <c r="CP249" s="3061"/>
      <c r="CQ249" s="3061"/>
      <c r="CR249" s="3061"/>
      <c r="CS249" s="3062"/>
      <c r="CT249" s="3063"/>
      <c r="CU249" s="3064">
        <f t="shared" si="78"/>
        <v>1</v>
      </c>
      <c r="CV249" s="3022" t="str">
        <f>IF(OR(CT249="",CT249="None"),"-",DO249*CU249*SUMIF('Lighting Assumptions'!$G$3:$G$112,'6a - Lighting Counts'!G249,'Lighting Assumptions'!$J$3:$J$112))</f>
        <v>-</v>
      </c>
      <c r="CW249" s="3021"/>
      <c r="CX249" s="3021"/>
      <c r="CY249" s="3046"/>
      <c r="CZ249" s="2098">
        <f t="shared" si="79"/>
        <v>0</v>
      </c>
      <c r="DA249" s="2098" t="str">
        <f t="shared" si="80"/>
        <v>-</v>
      </c>
      <c r="DB249" s="2098">
        <f t="shared" si="81"/>
        <v>0</v>
      </c>
      <c r="DC249" s="3023" t="str">
        <f t="shared" si="82"/>
        <v>-</v>
      </c>
      <c r="DD249" s="3024" t="str">
        <f t="shared" si="83"/>
        <v/>
      </c>
      <c r="DE249" s="3025" t="str">
        <f t="shared" si="84"/>
        <v>-</v>
      </c>
      <c r="DF249" s="3024" t="str">
        <f t="shared" si="75"/>
        <v>-</v>
      </c>
      <c r="DG249" s="2098">
        <f t="shared" si="85"/>
        <v>0</v>
      </c>
      <c r="DH249" s="2098">
        <f t="array" ref="DH249">MIN(SUMPRODUCT(I249:CR249,IF($I$25:$CR$25="yes",1,0),$I$23:$CR$23),H249)</f>
        <v>0</v>
      </c>
      <c r="DI249" s="3026"/>
      <c r="DJ249" s="3021"/>
      <c r="DN249" s="917" t="str">
        <f>IF(CS249="","-",SUMIF('Lighting Assumptions'!$G$3:$G$112,'6a - Lighting Counts'!G249,'Lighting Assumptions'!$J$3:$J$112))</f>
        <v>-</v>
      </c>
      <c r="DO249" s="917" t="str">
        <f t="shared" si="76"/>
        <v>-</v>
      </c>
      <c r="DP249" s="917" t="str">
        <f t="shared" si="77"/>
        <v>-</v>
      </c>
      <c r="DQ249" s="917" t="str">
        <f>IF(LEFT(CELLformula(DF249),3)&lt;&gt;"=IF",1,"")</f>
        <v/>
      </c>
      <c r="DR249" s="917" t="str">
        <f>IF(LEFT(CELLformula(DD249),3)&lt;&gt;"=IF",1,"")</f>
        <v/>
      </c>
      <c r="DS249" s="3048">
        <f t="shared" si="86"/>
        <v>0</v>
      </c>
      <c r="DT249" s="3047" t="str">
        <f t="shared" si="87"/>
        <v/>
      </c>
      <c r="DU249" s="3047" t="str">
        <f>IFERROR(IF(G249="","",SUMIF('Lighting Assumptions'!$G$3:$G$112,'6a - Lighting Counts'!G249,'Lighting Assumptions'!$H$3:$H$112)*IF(SI_IP_Units="SI",10.76,1)),"")</f>
        <v/>
      </c>
      <c r="DV249" s="3047" t="str">
        <f>IFERROR(IF($CX249="","",IF(SI_IP_Units="SI",10.76,1)*SUMIF(BAMCategories,$CY249,'Lighting Assumptions'!$E$3:E$35)),"")</f>
        <v/>
      </c>
      <c r="DW249" s="3047" t="str">
        <f>IFERROR(IF($CX249="","",IF(SI_IP_Units="SI",10.76,1)*SUMIF(BAMCategories,$CY249,IF(bpf_reference="ACP",'Lighting Assumptions 90.1-2010'!$E$3:E$35,'Lighting Assumptions 90.1-2016'!$E$3:E$35))),"")</f>
        <v/>
      </c>
      <c r="EW249" s="855"/>
      <c r="EX249" s="855"/>
      <c r="EY249" s="855"/>
      <c r="EZ249" s="855"/>
    </row>
    <row r="250" spans="4:156" x14ac:dyDescent="0.25">
      <c r="D250" s="3019"/>
      <c r="E250" s="3020"/>
      <c r="F250" s="3021">
        <f t="shared" si="74"/>
        <v>0</v>
      </c>
      <c r="G250" s="3059"/>
      <c r="H250" s="3060"/>
      <c r="I250" s="3061"/>
      <c r="J250" s="3061"/>
      <c r="K250" s="3061"/>
      <c r="L250" s="3061"/>
      <c r="M250" s="3061"/>
      <c r="N250" s="3061"/>
      <c r="O250" s="3061"/>
      <c r="P250" s="3061"/>
      <c r="Q250" s="3061"/>
      <c r="R250" s="3061"/>
      <c r="S250" s="3061"/>
      <c r="T250" s="3061"/>
      <c r="U250" s="3061"/>
      <c r="V250" s="3061"/>
      <c r="W250" s="3061"/>
      <c r="X250" s="3061"/>
      <c r="Y250" s="3061"/>
      <c r="Z250" s="3061"/>
      <c r="AA250" s="3061"/>
      <c r="AB250" s="3061"/>
      <c r="AC250" s="3061"/>
      <c r="AD250" s="3061"/>
      <c r="AE250" s="3061"/>
      <c r="AF250" s="3061"/>
      <c r="AG250" s="3061"/>
      <c r="AH250" s="3061"/>
      <c r="AI250" s="3061"/>
      <c r="AJ250" s="3061"/>
      <c r="AK250" s="3061"/>
      <c r="AL250" s="3061"/>
      <c r="AM250" s="3061"/>
      <c r="AN250" s="3061"/>
      <c r="AO250" s="3061"/>
      <c r="AP250" s="3061"/>
      <c r="AQ250" s="3061"/>
      <c r="AR250" s="3061"/>
      <c r="AS250" s="3061"/>
      <c r="AT250" s="3061"/>
      <c r="AU250" s="3061"/>
      <c r="AV250" s="3061"/>
      <c r="AW250" s="3061"/>
      <c r="AX250" s="3061"/>
      <c r="AY250" s="3061"/>
      <c r="AZ250" s="3061"/>
      <c r="BA250" s="3061"/>
      <c r="BB250" s="3061"/>
      <c r="BC250" s="3061"/>
      <c r="BD250" s="3061"/>
      <c r="BE250" s="3061"/>
      <c r="BF250" s="3061"/>
      <c r="BG250" s="3061"/>
      <c r="BH250" s="3061"/>
      <c r="BI250" s="3061"/>
      <c r="BJ250" s="3061"/>
      <c r="BK250" s="3061"/>
      <c r="BL250" s="3061"/>
      <c r="BM250" s="3061"/>
      <c r="BN250" s="3061"/>
      <c r="BO250" s="3061"/>
      <c r="BP250" s="3061"/>
      <c r="BQ250" s="3061"/>
      <c r="BR250" s="3061"/>
      <c r="BS250" s="3061"/>
      <c r="BT250" s="3061"/>
      <c r="BU250" s="3061"/>
      <c r="BV250" s="3061"/>
      <c r="BW250" s="3061"/>
      <c r="BX250" s="3061"/>
      <c r="BY250" s="3061"/>
      <c r="BZ250" s="3061"/>
      <c r="CA250" s="3061"/>
      <c r="CB250" s="3061"/>
      <c r="CC250" s="3061"/>
      <c r="CD250" s="3061"/>
      <c r="CE250" s="3061"/>
      <c r="CF250" s="3061"/>
      <c r="CG250" s="3061"/>
      <c r="CH250" s="3061"/>
      <c r="CI250" s="3061"/>
      <c r="CJ250" s="3061"/>
      <c r="CK250" s="3061"/>
      <c r="CL250" s="3061"/>
      <c r="CM250" s="3061"/>
      <c r="CN250" s="3061"/>
      <c r="CO250" s="3061"/>
      <c r="CP250" s="3061"/>
      <c r="CQ250" s="3061"/>
      <c r="CR250" s="3061"/>
      <c r="CS250" s="3062"/>
      <c r="CT250" s="3063"/>
      <c r="CU250" s="3064">
        <f t="shared" si="78"/>
        <v>1</v>
      </c>
      <c r="CV250" s="3022" t="str">
        <f>IF(OR(CT250="",CT250="None"),"-",DO250*CU250*SUMIF('Lighting Assumptions'!$G$3:$G$112,'6a - Lighting Counts'!G250,'Lighting Assumptions'!$J$3:$J$112))</f>
        <v>-</v>
      </c>
      <c r="CW250" s="3021"/>
      <c r="CX250" s="3021"/>
      <c r="CY250" s="3046"/>
      <c r="CZ250" s="2098">
        <f t="shared" si="79"/>
        <v>0</v>
      </c>
      <c r="DA250" s="2098" t="str">
        <f t="shared" si="80"/>
        <v>-</v>
      </c>
      <c r="DB250" s="2098">
        <f t="shared" si="81"/>
        <v>0</v>
      </c>
      <c r="DC250" s="3023" t="str">
        <f t="shared" si="82"/>
        <v>-</v>
      </c>
      <c r="DD250" s="3024" t="str">
        <f t="shared" si="83"/>
        <v/>
      </c>
      <c r="DE250" s="3025" t="str">
        <f t="shared" si="84"/>
        <v>-</v>
      </c>
      <c r="DF250" s="3024" t="str">
        <f t="shared" si="75"/>
        <v>-</v>
      </c>
      <c r="DG250" s="2098">
        <f t="shared" si="85"/>
        <v>0</v>
      </c>
      <c r="DH250" s="2098">
        <f t="array" ref="DH250">MIN(SUMPRODUCT(I250:CR250,IF($I$25:$CR$25="yes",1,0),$I$23:$CR$23),H250)</f>
        <v>0</v>
      </c>
      <c r="DI250" s="3026"/>
      <c r="DJ250" s="3021"/>
      <c r="DN250" s="917" t="str">
        <f>IF(CS250="","-",SUMIF('Lighting Assumptions'!$G$3:$G$112,'6a - Lighting Counts'!G250,'Lighting Assumptions'!$J$3:$J$112))</f>
        <v>-</v>
      </c>
      <c r="DO250" s="917" t="str">
        <f t="shared" si="76"/>
        <v>-</v>
      </c>
      <c r="DP250" s="917" t="str">
        <f t="shared" si="77"/>
        <v>-</v>
      </c>
      <c r="DQ250" s="917" t="str">
        <f>IF(LEFT(CELLformula(DF250),3)&lt;&gt;"=IF",1,"")</f>
        <v/>
      </c>
      <c r="DR250" s="917" t="str">
        <f>IF(LEFT(CELLformula(DD250),3)&lt;&gt;"=IF",1,"")</f>
        <v/>
      </c>
      <c r="DS250" s="3048">
        <f t="shared" si="86"/>
        <v>0</v>
      </c>
      <c r="DT250" s="3047" t="str">
        <f t="shared" si="87"/>
        <v/>
      </c>
      <c r="DU250" s="3047" t="str">
        <f>IFERROR(IF(G250="","",SUMIF('Lighting Assumptions'!$G$3:$G$112,'6a - Lighting Counts'!G250,'Lighting Assumptions'!$H$3:$H$112)*IF(SI_IP_Units="SI",10.76,1)),"")</f>
        <v/>
      </c>
      <c r="DV250" s="3047" t="str">
        <f>IFERROR(IF($CX250="","",IF(SI_IP_Units="SI",10.76,1)*SUMIF(BAMCategories,$CY250,'Lighting Assumptions'!$E$3:E$35)),"")</f>
        <v/>
      </c>
      <c r="DW250" s="3047" t="str">
        <f>IFERROR(IF($CX250="","",IF(SI_IP_Units="SI",10.76,1)*SUMIF(BAMCategories,$CY250,IF(bpf_reference="ACP",'Lighting Assumptions 90.1-2010'!$E$3:E$35,'Lighting Assumptions 90.1-2016'!$E$3:E$35))),"")</f>
        <v/>
      </c>
      <c r="EW250" s="855"/>
      <c r="EX250" s="855"/>
      <c r="EY250" s="855"/>
      <c r="EZ250" s="855"/>
    </row>
    <row r="251" spans="4:156" x14ac:dyDescent="0.25">
      <c r="D251" s="3019"/>
      <c r="E251" s="3020"/>
      <c r="F251" s="3021">
        <f t="shared" si="74"/>
        <v>0</v>
      </c>
      <c r="G251" s="3059"/>
      <c r="H251" s="3060"/>
      <c r="I251" s="3061"/>
      <c r="J251" s="3061"/>
      <c r="K251" s="3061"/>
      <c r="L251" s="3061"/>
      <c r="M251" s="3061"/>
      <c r="N251" s="3061"/>
      <c r="O251" s="3061"/>
      <c r="P251" s="3061"/>
      <c r="Q251" s="3061"/>
      <c r="R251" s="3061"/>
      <c r="S251" s="3061"/>
      <c r="T251" s="3061"/>
      <c r="U251" s="3061"/>
      <c r="V251" s="3061"/>
      <c r="W251" s="3061"/>
      <c r="X251" s="3061"/>
      <c r="Y251" s="3061"/>
      <c r="Z251" s="3061"/>
      <c r="AA251" s="3061"/>
      <c r="AB251" s="3061"/>
      <c r="AC251" s="3061"/>
      <c r="AD251" s="3061"/>
      <c r="AE251" s="3061"/>
      <c r="AF251" s="3061"/>
      <c r="AG251" s="3061"/>
      <c r="AH251" s="3061"/>
      <c r="AI251" s="3061"/>
      <c r="AJ251" s="3061"/>
      <c r="AK251" s="3061"/>
      <c r="AL251" s="3061"/>
      <c r="AM251" s="3061"/>
      <c r="AN251" s="3061"/>
      <c r="AO251" s="3061"/>
      <c r="AP251" s="3061"/>
      <c r="AQ251" s="3061"/>
      <c r="AR251" s="3061"/>
      <c r="AS251" s="3061"/>
      <c r="AT251" s="3061"/>
      <c r="AU251" s="3061"/>
      <c r="AV251" s="3061"/>
      <c r="AW251" s="3061"/>
      <c r="AX251" s="3061"/>
      <c r="AY251" s="3061"/>
      <c r="AZ251" s="3061"/>
      <c r="BA251" s="3061"/>
      <c r="BB251" s="3061"/>
      <c r="BC251" s="3061"/>
      <c r="BD251" s="3061"/>
      <c r="BE251" s="3061"/>
      <c r="BF251" s="3061"/>
      <c r="BG251" s="3061"/>
      <c r="BH251" s="3061"/>
      <c r="BI251" s="3061"/>
      <c r="BJ251" s="3061"/>
      <c r="BK251" s="3061"/>
      <c r="BL251" s="3061"/>
      <c r="BM251" s="3061"/>
      <c r="BN251" s="3061"/>
      <c r="BO251" s="3061"/>
      <c r="BP251" s="3061"/>
      <c r="BQ251" s="3061"/>
      <c r="BR251" s="3061"/>
      <c r="BS251" s="3061"/>
      <c r="BT251" s="3061"/>
      <c r="BU251" s="3061"/>
      <c r="BV251" s="3061"/>
      <c r="BW251" s="3061"/>
      <c r="BX251" s="3061"/>
      <c r="BY251" s="3061"/>
      <c r="BZ251" s="3061"/>
      <c r="CA251" s="3061"/>
      <c r="CB251" s="3061"/>
      <c r="CC251" s="3061"/>
      <c r="CD251" s="3061"/>
      <c r="CE251" s="3061"/>
      <c r="CF251" s="3061"/>
      <c r="CG251" s="3061"/>
      <c r="CH251" s="3061"/>
      <c r="CI251" s="3061"/>
      <c r="CJ251" s="3061"/>
      <c r="CK251" s="3061"/>
      <c r="CL251" s="3061"/>
      <c r="CM251" s="3061"/>
      <c r="CN251" s="3061"/>
      <c r="CO251" s="3061"/>
      <c r="CP251" s="3061"/>
      <c r="CQ251" s="3061"/>
      <c r="CR251" s="3061"/>
      <c r="CS251" s="3062"/>
      <c r="CT251" s="3063"/>
      <c r="CU251" s="3064">
        <f t="shared" si="78"/>
        <v>1</v>
      </c>
      <c r="CV251" s="3022" t="str">
        <f>IF(OR(CT251="",CT251="None"),"-",DO251*CU251*SUMIF('Lighting Assumptions'!$G$3:$G$112,'6a - Lighting Counts'!G251,'Lighting Assumptions'!$J$3:$J$112))</f>
        <v>-</v>
      </c>
      <c r="CW251" s="3021"/>
      <c r="CX251" s="3021"/>
      <c r="CY251" s="3046"/>
      <c r="CZ251" s="2098">
        <f t="shared" si="79"/>
        <v>0</v>
      </c>
      <c r="DA251" s="2098" t="str">
        <f t="shared" si="80"/>
        <v>-</v>
      </c>
      <c r="DB251" s="2098">
        <f t="shared" si="81"/>
        <v>0</v>
      </c>
      <c r="DC251" s="3023" t="str">
        <f t="shared" si="82"/>
        <v>-</v>
      </c>
      <c r="DD251" s="3024" t="str">
        <f t="shared" si="83"/>
        <v/>
      </c>
      <c r="DE251" s="3025" t="str">
        <f t="shared" si="84"/>
        <v>-</v>
      </c>
      <c r="DF251" s="3024" t="str">
        <f t="shared" si="75"/>
        <v>-</v>
      </c>
      <c r="DG251" s="2098">
        <f t="shared" si="85"/>
        <v>0</v>
      </c>
      <c r="DH251" s="2098">
        <f t="array" ref="DH251">MIN(SUMPRODUCT(I251:CR251,IF($I$25:$CR$25="yes",1,0),$I$23:$CR$23),H251)</f>
        <v>0</v>
      </c>
      <c r="DI251" s="3026"/>
      <c r="DJ251" s="3021"/>
      <c r="DN251" s="917" t="str">
        <f>IF(CS251="","-",SUMIF('Lighting Assumptions'!$G$3:$G$112,'6a - Lighting Counts'!G251,'Lighting Assumptions'!$J$3:$J$112))</f>
        <v>-</v>
      </c>
      <c r="DO251" s="917" t="str">
        <f t="shared" si="76"/>
        <v>-</v>
      </c>
      <c r="DP251" s="917" t="str">
        <f t="shared" si="77"/>
        <v>-</v>
      </c>
      <c r="DQ251" s="917" t="str">
        <f>IF(LEFT(CELLformula(DF251),3)&lt;&gt;"=IF",1,"")</f>
        <v/>
      </c>
      <c r="DR251" s="917" t="str">
        <f>IF(LEFT(CELLformula(DD251),3)&lt;&gt;"=IF",1,"")</f>
        <v/>
      </c>
      <c r="DS251" s="3048">
        <f t="shared" si="86"/>
        <v>0</v>
      </c>
      <c r="DT251" s="3047" t="str">
        <f t="shared" si="87"/>
        <v/>
      </c>
      <c r="DU251" s="3047" t="str">
        <f>IFERROR(IF(G251="","",SUMIF('Lighting Assumptions'!$G$3:$G$112,'6a - Lighting Counts'!G251,'Lighting Assumptions'!$H$3:$H$112)*IF(SI_IP_Units="SI",10.76,1)),"")</f>
        <v/>
      </c>
      <c r="DV251" s="3047" t="str">
        <f>IFERROR(IF($CX251="","",IF(SI_IP_Units="SI",10.76,1)*SUMIF(BAMCategories,$CY251,'Lighting Assumptions'!$E$3:E$35)),"")</f>
        <v/>
      </c>
      <c r="DW251" s="3047" t="str">
        <f>IFERROR(IF($CX251="","",IF(SI_IP_Units="SI",10.76,1)*SUMIF(BAMCategories,$CY251,IF(bpf_reference="ACP",'Lighting Assumptions 90.1-2010'!$E$3:E$35,'Lighting Assumptions 90.1-2016'!$E$3:E$35))),"")</f>
        <v/>
      </c>
      <c r="EW251" s="855"/>
      <c r="EX251" s="855"/>
      <c r="EY251" s="855"/>
      <c r="EZ251" s="855"/>
    </row>
    <row r="252" spans="4:156" x14ac:dyDescent="0.25">
      <c r="D252" s="3019"/>
      <c r="E252" s="3020"/>
      <c r="F252" s="3021">
        <f t="shared" si="74"/>
        <v>0</v>
      </c>
      <c r="G252" s="3059"/>
      <c r="H252" s="3060"/>
      <c r="I252" s="3061"/>
      <c r="J252" s="3061"/>
      <c r="K252" s="3061"/>
      <c r="L252" s="3061"/>
      <c r="M252" s="3061"/>
      <c r="N252" s="3061"/>
      <c r="O252" s="3061"/>
      <c r="P252" s="3061"/>
      <c r="Q252" s="3061"/>
      <c r="R252" s="3061"/>
      <c r="S252" s="3061"/>
      <c r="T252" s="3061"/>
      <c r="U252" s="3061"/>
      <c r="V252" s="3061"/>
      <c r="W252" s="3061"/>
      <c r="X252" s="3061"/>
      <c r="Y252" s="3061"/>
      <c r="Z252" s="3061"/>
      <c r="AA252" s="3061"/>
      <c r="AB252" s="3061"/>
      <c r="AC252" s="3061"/>
      <c r="AD252" s="3061"/>
      <c r="AE252" s="3061"/>
      <c r="AF252" s="3061"/>
      <c r="AG252" s="3061"/>
      <c r="AH252" s="3061"/>
      <c r="AI252" s="3061"/>
      <c r="AJ252" s="3061"/>
      <c r="AK252" s="3061"/>
      <c r="AL252" s="3061"/>
      <c r="AM252" s="3061"/>
      <c r="AN252" s="3061"/>
      <c r="AO252" s="3061"/>
      <c r="AP252" s="3061"/>
      <c r="AQ252" s="3061"/>
      <c r="AR252" s="3061"/>
      <c r="AS252" s="3061"/>
      <c r="AT252" s="3061"/>
      <c r="AU252" s="3061"/>
      <c r="AV252" s="3061"/>
      <c r="AW252" s="3061"/>
      <c r="AX252" s="3061"/>
      <c r="AY252" s="3061"/>
      <c r="AZ252" s="3061"/>
      <c r="BA252" s="3061"/>
      <c r="BB252" s="3061"/>
      <c r="BC252" s="3061"/>
      <c r="BD252" s="3061"/>
      <c r="BE252" s="3061"/>
      <c r="BF252" s="3061"/>
      <c r="BG252" s="3061"/>
      <c r="BH252" s="3061"/>
      <c r="BI252" s="3061"/>
      <c r="BJ252" s="3061"/>
      <c r="BK252" s="3061"/>
      <c r="BL252" s="3061"/>
      <c r="BM252" s="3061"/>
      <c r="BN252" s="3061"/>
      <c r="BO252" s="3061"/>
      <c r="BP252" s="3061"/>
      <c r="BQ252" s="3061"/>
      <c r="BR252" s="3061"/>
      <c r="BS252" s="3061"/>
      <c r="BT252" s="3061"/>
      <c r="BU252" s="3061"/>
      <c r="BV252" s="3061"/>
      <c r="BW252" s="3061"/>
      <c r="BX252" s="3061"/>
      <c r="BY252" s="3061"/>
      <c r="BZ252" s="3061"/>
      <c r="CA252" s="3061"/>
      <c r="CB252" s="3061"/>
      <c r="CC252" s="3061"/>
      <c r="CD252" s="3061"/>
      <c r="CE252" s="3061"/>
      <c r="CF252" s="3061"/>
      <c r="CG252" s="3061"/>
      <c r="CH252" s="3061"/>
      <c r="CI252" s="3061"/>
      <c r="CJ252" s="3061"/>
      <c r="CK252" s="3061"/>
      <c r="CL252" s="3061"/>
      <c r="CM252" s="3061"/>
      <c r="CN252" s="3061"/>
      <c r="CO252" s="3061"/>
      <c r="CP252" s="3061"/>
      <c r="CQ252" s="3061"/>
      <c r="CR252" s="3061"/>
      <c r="CS252" s="3062"/>
      <c r="CT252" s="3063"/>
      <c r="CU252" s="3064">
        <f t="shared" si="78"/>
        <v>1</v>
      </c>
      <c r="CV252" s="3022" t="str">
        <f>IF(OR(CT252="",CT252="None"),"-",DO252*CU252*SUMIF('Lighting Assumptions'!$G$3:$G$112,'6a - Lighting Counts'!G252,'Lighting Assumptions'!$J$3:$J$112))</f>
        <v>-</v>
      </c>
      <c r="CW252" s="3021"/>
      <c r="CX252" s="3021"/>
      <c r="CY252" s="3046"/>
      <c r="CZ252" s="2098">
        <f t="shared" si="79"/>
        <v>0</v>
      </c>
      <c r="DA252" s="2098" t="str">
        <f t="shared" si="80"/>
        <v>-</v>
      </c>
      <c r="DB252" s="2098">
        <f t="shared" si="81"/>
        <v>0</v>
      </c>
      <c r="DC252" s="3023" t="str">
        <f t="shared" si="82"/>
        <v>-</v>
      </c>
      <c r="DD252" s="3024" t="str">
        <f t="shared" si="83"/>
        <v/>
      </c>
      <c r="DE252" s="3025" t="str">
        <f t="shared" si="84"/>
        <v>-</v>
      </c>
      <c r="DF252" s="3024" t="str">
        <f t="shared" si="75"/>
        <v>-</v>
      </c>
      <c r="DG252" s="2098">
        <f t="shared" si="85"/>
        <v>0</v>
      </c>
      <c r="DH252" s="2098">
        <f t="array" ref="DH252">MIN(SUMPRODUCT(I252:CR252,IF($I$25:$CR$25="yes",1,0),$I$23:$CR$23),H252)</f>
        <v>0</v>
      </c>
      <c r="DI252" s="3026"/>
      <c r="DJ252" s="3021"/>
      <c r="DN252" s="917" t="str">
        <f>IF(CS252="","-",SUMIF('Lighting Assumptions'!$G$3:$G$112,'6a - Lighting Counts'!G252,'Lighting Assumptions'!$J$3:$J$112))</f>
        <v>-</v>
      </c>
      <c r="DO252" s="917" t="str">
        <f t="shared" si="76"/>
        <v>-</v>
      </c>
      <c r="DP252" s="917" t="str">
        <f t="shared" si="77"/>
        <v>-</v>
      </c>
      <c r="DQ252" s="917" t="str">
        <f>IF(LEFT(CELLformula(DF252),3)&lt;&gt;"=IF",1,"")</f>
        <v/>
      </c>
      <c r="DR252" s="917" t="str">
        <f>IF(LEFT(CELLformula(DD252),3)&lt;&gt;"=IF",1,"")</f>
        <v/>
      </c>
      <c r="DS252" s="3048">
        <f t="shared" si="86"/>
        <v>0</v>
      </c>
      <c r="DT252" s="3047" t="str">
        <f t="shared" si="87"/>
        <v/>
      </c>
      <c r="DU252" s="3047" t="str">
        <f>IFERROR(IF(G252="","",SUMIF('Lighting Assumptions'!$G$3:$G$112,'6a - Lighting Counts'!G252,'Lighting Assumptions'!$H$3:$H$112)*IF(SI_IP_Units="SI",10.76,1)),"")</f>
        <v/>
      </c>
      <c r="DV252" s="3047" t="str">
        <f>IFERROR(IF($CX252="","",IF(SI_IP_Units="SI",10.76,1)*SUMIF(BAMCategories,$CY252,'Lighting Assumptions'!$E$3:E$35)),"")</f>
        <v/>
      </c>
      <c r="DW252" s="3047" t="str">
        <f>IFERROR(IF($CX252="","",IF(SI_IP_Units="SI",10.76,1)*SUMIF(BAMCategories,$CY252,IF(bpf_reference="ACP",'Lighting Assumptions 90.1-2010'!$E$3:E$35,'Lighting Assumptions 90.1-2016'!$E$3:E$35))),"")</f>
        <v/>
      </c>
      <c r="EW252" s="855"/>
      <c r="EX252" s="855"/>
      <c r="EY252" s="855"/>
      <c r="EZ252" s="855"/>
    </row>
    <row r="253" spans="4:156" x14ac:dyDescent="0.25">
      <c r="D253" s="3019"/>
      <c r="E253" s="3020"/>
      <c r="F253" s="3021">
        <f t="shared" si="74"/>
        <v>0</v>
      </c>
      <c r="G253" s="3059"/>
      <c r="H253" s="3060"/>
      <c r="I253" s="3061"/>
      <c r="J253" s="3061"/>
      <c r="K253" s="3061"/>
      <c r="L253" s="3061"/>
      <c r="M253" s="3061"/>
      <c r="N253" s="3061"/>
      <c r="O253" s="3061"/>
      <c r="P253" s="3061"/>
      <c r="Q253" s="3061"/>
      <c r="R253" s="3061"/>
      <c r="S253" s="3061"/>
      <c r="T253" s="3061"/>
      <c r="U253" s="3061"/>
      <c r="V253" s="3061"/>
      <c r="W253" s="3061"/>
      <c r="X253" s="3061"/>
      <c r="Y253" s="3061"/>
      <c r="Z253" s="3061"/>
      <c r="AA253" s="3061"/>
      <c r="AB253" s="3061"/>
      <c r="AC253" s="3061"/>
      <c r="AD253" s="3061"/>
      <c r="AE253" s="3061"/>
      <c r="AF253" s="3061"/>
      <c r="AG253" s="3061"/>
      <c r="AH253" s="3061"/>
      <c r="AI253" s="3061"/>
      <c r="AJ253" s="3061"/>
      <c r="AK253" s="3061"/>
      <c r="AL253" s="3061"/>
      <c r="AM253" s="3061"/>
      <c r="AN253" s="3061"/>
      <c r="AO253" s="3061"/>
      <c r="AP253" s="3061"/>
      <c r="AQ253" s="3061"/>
      <c r="AR253" s="3061"/>
      <c r="AS253" s="3061"/>
      <c r="AT253" s="3061"/>
      <c r="AU253" s="3061"/>
      <c r="AV253" s="3061"/>
      <c r="AW253" s="3061"/>
      <c r="AX253" s="3061"/>
      <c r="AY253" s="3061"/>
      <c r="AZ253" s="3061"/>
      <c r="BA253" s="3061"/>
      <c r="BB253" s="3061"/>
      <c r="BC253" s="3061"/>
      <c r="BD253" s="3061"/>
      <c r="BE253" s="3061"/>
      <c r="BF253" s="3061"/>
      <c r="BG253" s="3061"/>
      <c r="BH253" s="3061"/>
      <c r="BI253" s="3061"/>
      <c r="BJ253" s="3061"/>
      <c r="BK253" s="3061"/>
      <c r="BL253" s="3061"/>
      <c r="BM253" s="3061"/>
      <c r="BN253" s="3061"/>
      <c r="BO253" s="3061"/>
      <c r="BP253" s="3061"/>
      <c r="BQ253" s="3061"/>
      <c r="BR253" s="3061"/>
      <c r="BS253" s="3061"/>
      <c r="BT253" s="3061"/>
      <c r="BU253" s="3061"/>
      <c r="BV253" s="3061"/>
      <c r="BW253" s="3061"/>
      <c r="BX253" s="3061"/>
      <c r="BY253" s="3061"/>
      <c r="BZ253" s="3061"/>
      <c r="CA253" s="3061"/>
      <c r="CB253" s="3061"/>
      <c r="CC253" s="3061"/>
      <c r="CD253" s="3061"/>
      <c r="CE253" s="3061"/>
      <c r="CF253" s="3061"/>
      <c r="CG253" s="3061"/>
      <c r="CH253" s="3061"/>
      <c r="CI253" s="3061"/>
      <c r="CJ253" s="3061"/>
      <c r="CK253" s="3061"/>
      <c r="CL253" s="3061"/>
      <c r="CM253" s="3061"/>
      <c r="CN253" s="3061"/>
      <c r="CO253" s="3061"/>
      <c r="CP253" s="3061"/>
      <c r="CQ253" s="3061"/>
      <c r="CR253" s="3061"/>
      <c r="CS253" s="3062"/>
      <c r="CT253" s="3063"/>
      <c r="CU253" s="3064">
        <f t="shared" si="78"/>
        <v>1</v>
      </c>
      <c r="CV253" s="3022" t="str">
        <f>IF(OR(CT253="",CT253="None"),"-",DO253*CU253*SUMIF('Lighting Assumptions'!$G$3:$G$112,'6a - Lighting Counts'!G253,'Lighting Assumptions'!$J$3:$J$112))</f>
        <v>-</v>
      </c>
      <c r="CW253" s="3021"/>
      <c r="CX253" s="3021"/>
      <c r="CY253" s="3046"/>
      <c r="CZ253" s="2098">
        <f t="shared" si="79"/>
        <v>0</v>
      </c>
      <c r="DA253" s="2098" t="str">
        <f t="shared" si="80"/>
        <v>-</v>
      </c>
      <c r="DB253" s="2098">
        <f t="shared" si="81"/>
        <v>0</v>
      </c>
      <c r="DC253" s="3023" t="str">
        <f t="shared" si="82"/>
        <v>-</v>
      </c>
      <c r="DD253" s="3024" t="str">
        <f t="shared" si="83"/>
        <v/>
      </c>
      <c r="DE253" s="3025" t="str">
        <f t="shared" si="84"/>
        <v>-</v>
      </c>
      <c r="DF253" s="3024" t="str">
        <f t="shared" si="75"/>
        <v>-</v>
      </c>
      <c r="DG253" s="2098">
        <f t="shared" si="85"/>
        <v>0</v>
      </c>
      <c r="DH253" s="2098">
        <f t="array" ref="DH253">MIN(SUMPRODUCT(I253:CR253,IF($I$25:$CR$25="yes",1,0),$I$23:$CR$23),H253)</f>
        <v>0</v>
      </c>
      <c r="DI253" s="3026"/>
      <c r="DJ253" s="3021"/>
      <c r="DN253" s="917" t="str">
        <f>IF(CS253="","-",SUMIF('Lighting Assumptions'!$G$3:$G$112,'6a - Lighting Counts'!G253,'Lighting Assumptions'!$J$3:$J$112))</f>
        <v>-</v>
      </c>
      <c r="DO253" s="917" t="str">
        <f t="shared" si="76"/>
        <v>-</v>
      </c>
      <c r="DP253" s="917" t="str">
        <f t="shared" si="77"/>
        <v>-</v>
      </c>
      <c r="DQ253" s="917" t="str">
        <f>IF(LEFT(CELLformula(DF253),3)&lt;&gt;"=IF",1,"")</f>
        <v/>
      </c>
      <c r="DR253" s="917" t="str">
        <f>IF(LEFT(CELLformula(DD253),3)&lt;&gt;"=IF",1,"")</f>
        <v/>
      </c>
      <c r="DS253" s="3048">
        <f t="shared" si="86"/>
        <v>0</v>
      </c>
      <c r="DT253" s="3047" t="str">
        <f t="shared" si="87"/>
        <v/>
      </c>
      <c r="DU253" s="3047" t="str">
        <f>IFERROR(IF(G253="","",SUMIF('Lighting Assumptions'!$G$3:$G$112,'6a - Lighting Counts'!G253,'Lighting Assumptions'!$H$3:$H$112)*IF(SI_IP_Units="SI",10.76,1)),"")</f>
        <v/>
      </c>
      <c r="DV253" s="3047" t="str">
        <f>IFERROR(IF($CX253="","",IF(SI_IP_Units="SI",10.76,1)*SUMIF(BAMCategories,$CY253,'Lighting Assumptions'!$E$3:E$35)),"")</f>
        <v/>
      </c>
      <c r="DW253" s="3047" t="str">
        <f>IFERROR(IF($CX253="","",IF(SI_IP_Units="SI",10.76,1)*SUMIF(BAMCategories,$CY253,IF(bpf_reference="ACP",'Lighting Assumptions 90.1-2010'!$E$3:E$35,'Lighting Assumptions 90.1-2016'!$E$3:E$35))),"")</f>
        <v/>
      </c>
      <c r="EW253" s="855"/>
      <c r="EX253" s="855"/>
      <c r="EY253" s="855"/>
      <c r="EZ253" s="855"/>
    </row>
    <row r="254" spans="4:156" x14ac:dyDescent="0.25">
      <c r="D254" s="3019"/>
      <c r="E254" s="3020"/>
      <c r="F254" s="3021">
        <f t="shared" si="74"/>
        <v>0</v>
      </c>
      <c r="G254" s="3059"/>
      <c r="H254" s="3060"/>
      <c r="I254" s="3061"/>
      <c r="J254" s="3061"/>
      <c r="K254" s="3061"/>
      <c r="L254" s="3061"/>
      <c r="M254" s="3061"/>
      <c r="N254" s="3061"/>
      <c r="O254" s="3061"/>
      <c r="P254" s="3061"/>
      <c r="Q254" s="3061"/>
      <c r="R254" s="3061"/>
      <c r="S254" s="3061"/>
      <c r="T254" s="3061"/>
      <c r="U254" s="3061"/>
      <c r="V254" s="3061"/>
      <c r="W254" s="3061"/>
      <c r="X254" s="3061"/>
      <c r="Y254" s="3061"/>
      <c r="Z254" s="3061"/>
      <c r="AA254" s="3061"/>
      <c r="AB254" s="3061"/>
      <c r="AC254" s="3061"/>
      <c r="AD254" s="3061"/>
      <c r="AE254" s="3061"/>
      <c r="AF254" s="3061"/>
      <c r="AG254" s="3061"/>
      <c r="AH254" s="3061"/>
      <c r="AI254" s="3061"/>
      <c r="AJ254" s="3061"/>
      <c r="AK254" s="3061"/>
      <c r="AL254" s="3061"/>
      <c r="AM254" s="3061"/>
      <c r="AN254" s="3061"/>
      <c r="AO254" s="3061"/>
      <c r="AP254" s="3061"/>
      <c r="AQ254" s="3061"/>
      <c r="AR254" s="3061"/>
      <c r="AS254" s="3061"/>
      <c r="AT254" s="3061"/>
      <c r="AU254" s="3061"/>
      <c r="AV254" s="3061"/>
      <c r="AW254" s="3061"/>
      <c r="AX254" s="3061"/>
      <c r="AY254" s="3061"/>
      <c r="AZ254" s="3061"/>
      <c r="BA254" s="3061"/>
      <c r="BB254" s="3061"/>
      <c r="BC254" s="3061"/>
      <c r="BD254" s="3061"/>
      <c r="BE254" s="3061"/>
      <c r="BF254" s="3061"/>
      <c r="BG254" s="3061"/>
      <c r="BH254" s="3061"/>
      <c r="BI254" s="3061"/>
      <c r="BJ254" s="3061"/>
      <c r="BK254" s="3061"/>
      <c r="BL254" s="3061"/>
      <c r="BM254" s="3061"/>
      <c r="BN254" s="3061"/>
      <c r="BO254" s="3061"/>
      <c r="BP254" s="3061"/>
      <c r="BQ254" s="3061"/>
      <c r="BR254" s="3061"/>
      <c r="BS254" s="3061"/>
      <c r="BT254" s="3061"/>
      <c r="BU254" s="3061"/>
      <c r="BV254" s="3061"/>
      <c r="BW254" s="3061"/>
      <c r="BX254" s="3061"/>
      <c r="BY254" s="3061"/>
      <c r="BZ254" s="3061"/>
      <c r="CA254" s="3061"/>
      <c r="CB254" s="3061"/>
      <c r="CC254" s="3061"/>
      <c r="CD254" s="3061"/>
      <c r="CE254" s="3061"/>
      <c r="CF254" s="3061"/>
      <c r="CG254" s="3061"/>
      <c r="CH254" s="3061"/>
      <c r="CI254" s="3061"/>
      <c r="CJ254" s="3061"/>
      <c r="CK254" s="3061"/>
      <c r="CL254" s="3061"/>
      <c r="CM254" s="3061"/>
      <c r="CN254" s="3061"/>
      <c r="CO254" s="3061"/>
      <c r="CP254" s="3061"/>
      <c r="CQ254" s="3061"/>
      <c r="CR254" s="3061"/>
      <c r="CS254" s="3062"/>
      <c r="CT254" s="3063"/>
      <c r="CU254" s="3064">
        <f t="shared" si="78"/>
        <v>1</v>
      </c>
      <c r="CV254" s="3022" t="str">
        <f>IF(OR(CT254="",CT254="None"),"-",DO254*CU254*SUMIF('Lighting Assumptions'!$G$3:$G$112,'6a - Lighting Counts'!G254,'Lighting Assumptions'!$J$3:$J$112))</f>
        <v>-</v>
      </c>
      <c r="CW254" s="3021"/>
      <c r="CX254" s="3021"/>
      <c r="CY254" s="3046"/>
      <c r="CZ254" s="2098">
        <f t="shared" si="79"/>
        <v>0</v>
      </c>
      <c r="DA254" s="2098" t="str">
        <f t="shared" si="80"/>
        <v>-</v>
      </c>
      <c r="DB254" s="2098">
        <f t="shared" si="81"/>
        <v>0</v>
      </c>
      <c r="DC254" s="3023" t="str">
        <f t="shared" si="82"/>
        <v>-</v>
      </c>
      <c r="DD254" s="3024" t="str">
        <f t="shared" si="83"/>
        <v/>
      </c>
      <c r="DE254" s="3025" t="str">
        <f t="shared" si="84"/>
        <v>-</v>
      </c>
      <c r="DF254" s="3024" t="str">
        <f t="shared" si="75"/>
        <v>-</v>
      </c>
      <c r="DG254" s="2098">
        <f t="shared" si="85"/>
        <v>0</v>
      </c>
      <c r="DH254" s="2098">
        <f t="array" ref="DH254">MIN(SUMPRODUCT(I254:CR254,IF($I$25:$CR$25="yes",1,0),$I$23:$CR$23),H254)</f>
        <v>0</v>
      </c>
      <c r="DI254" s="3026"/>
      <c r="DJ254" s="3021"/>
      <c r="DN254" s="917" t="str">
        <f>IF(CS254="","-",SUMIF('Lighting Assumptions'!$G$3:$G$112,'6a - Lighting Counts'!G254,'Lighting Assumptions'!$J$3:$J$112))</f>
        <v>-</v>
      </c>
      <c r="DO254" s="917" t="str">
        <f t="shared" si="76"/>
        <v>-</v>
      </c>
      <c r="DP254" s="917" t="str">
        <f t="shared" si="77"/>
        <v>-</v>
      </c>
      <c r="DQ254" s="917" t="str">
        <f>IF(LEFT(CELLformula(DF254),3)&lt;&gt;"=IF",1,"")</f>
        <v/>
      </c>
      <c r="DR254" s="917" t="str">
        <f>IF(LEFT(CELLformula(DD254),3)&lt;&gt;"=IF",1,"")</f>
        <v/>
      </c>
      <c r="DS254" s="3048">
        <f t="shared" si="86"/>
        <v>0</v>
      </c>
      <c r="DT254" s="3047" t="str">
        <f t="shared" si="87"/>
        <v/>
      </c>
      <c r="DU254" s="3047" t="str">
        <f>IFERROR(IF(G254="","",SUMIF('Lighting Assumptions'!$G$3:$G$112,'6a - Lighting Counts'!G254,'Lighting Assumptions'!$H$3:$H$112)*IF(SI_IP_Units="SI",10.76,1)),"")</f>
        <v/>
      </c>
      <c r="DV254" s="3047" t="str">
        <f>IFERROR(IF($CX254="","",IF(SI_IP_Units="SI",10.76,1)*SUMIF(BAMCategories,$CY254,'Lighting Assumptions'!$E$3:E$35)),"")</f>
        <v/>
      </c>
      <c r="DW254" s="3047" t="str">
        <f>IFERROR(IF($CX254="","",IF(SI_IP_Units="SI",10.76,1)*SUMIF(BAMCategories,$CY254,IF(bpf_reference="ACP",'Lighting Assumptions 90.1-2010'!$E$3:E$35,'Lighting Assumptions 90.1-2016'!$E$3:E$35))),"")</f>
        <v/>
      </c>
      <c r="EW254" s="855"/>
      <c r="EX254" s="855"/>
      <c r="EY254" s="855"/>
      <c r="EZ254" s="855"/>
    </row>
    <row r="255" spans="4:156" x14ac:dyDescent="0.25">
      <c r="D255" s="3019"/>
      <c r="E255" s="3020"/>
      <c r="F255" s="3021">
        <f t="shared" si="74"/>
        <v>0</v>
      </c>
      <c r="G255" s="3059"/>
      <c r="H255" s="3060"/>
      <c r="I255" s="3061"/>
      <c r="J255" s="3061"/>
      <c r="K255" s="3061"/>
      <c r="L255" s="3061"/>
      <c r="M255" s="3061"/>
      <c r="N255" s="3061"/>
      <c r="O255" s="3061"/>
      <c r="P255" s="3061"/>
      <c r="Q255" s="3061"/>
      <c r="R255" s="3061"/>
      <c r="S255" s="3061"/>
      <c r="T255" s="3061"/>
      <c r="U255" s="3061"/>
      <c r="V255" s="3061"/>
      <c r="W255" s="3061"/>
      <c r="X255" s="3061"/>
      <c r="Y255" s="3061"/>
      <c r="Z255" s="3061"/>
      <c r="AA255" s="3061"/>
      <c r="AB255" s="3061"/>
      <c r="AC255" s="3061"/>
      <c r="AD255" s="3061"/>
      <c r="AE255" s="3061"/>
      <c r="AF255" s="3061"/>
      <c r="AG255" s="3061"/>
      <c r="AH255" s="3061"/>
      <c r="AI255" s="3061"/>
      <c r="AJ255" s="3061"/>
      <c r="AK255" s="3061"/>
      <c r="AL255" s="3061"/>
      <c r="AM255" s="3061"/>
      <c r="AN255" s="3061"/>
      <c r="AO255" s="3061"/>
      <c r="AP255" s="3061"/>
      <c r="AQ255" s="3061"/>
      <c r="AR255" s="3061"/>
      <c r="AS255" s="3061"/>
      <c r="AT255" s="3061"/>
      <c r="AU255" s="3061"/>
      <c r="AV255" s="3061"/>
      <c r="AW255" s="3061"/>
      <c r="AX255" s="3061"/>
      <c r="AY255" s="3061"/>
      <c r="AZ255" s="3061"/>
      <c r="BA255" s="3061"/>
      <c r="BB255" s="3061"/>
      <c r="BC255" s="3061"/>
      <c r="BD255" s="3061"/>
      <c r="BE255" s="3061"/>
      <c r="BF255" s="3061"/>
      <c r="BG255" s="3061"/>
      <c r="BH255" s="3061"/>
      <c r="BI255" s="3061"/>
      <c r="BJ255" s="3061"/>
      <c r="BK255" s="3061"/>
      <c r="BL255" s="3061"/>
      <c r="BM255" s="3061"/>
      <c r="BN255" s="3061"/>
      <c r="BO255" s="3061"/>
      <c r="BP255" s="3061"/>
      <c r="BQ255" s="3061"/>
      <c r="BR255" s="3061"/>
      <c r="BS255" s="3061"/>
      <c r="BT255" s="3061"/>
      <c r="BU255" s="3061"/>
      <c r="BV255" s="3061"/>
      <c r="BW255" s="3061"/>
      <c r="BX255" s="3061"/>
      <c r="BY255" s="3061"/>
      <c r="BZ255" s="3061"/>
      <c r="CA255" s="3061"/>
      <c r="CB255" s="3061"/>
      <c r="CC255" s="3061"/>
      <c r="CD255" s="3061"/>
      <c r="CE255" s="3061"/>
      <c r="CF255" s="3061"/>
      <c r="CG255" s="3061"/>
      <c r="CH255" s="3061"/>
      <c r="CI255" s="3061"/>
      <c r="CJ255" s="3061"/>
      <c r="CK255" s="3061"/>
      <c r="CL255" s="3061"/>
      <c r="CM255" s="3061"/>
      <c r="CN255" s="3061"/>
      <c r="CO255" s="3061"/>
      <c r="CP255" s="3061"/>
      <c r="CQ255" s="3061"/>
      <c r="CR255" s="3061"/>
      <c r="CS255" s="3062"/>
      <c r="CT255" s="3063"/>
      <c r="CU255" s="3064">
        <f t="shared" si="78"/>
        <v>1</v>
      </c>
      <c r="CV255" s="3022" t="str">
        <f>IF(OR(CT255="",CT255="None"),"-",DO255*CU255*SUMIF('Lighting Assumptions'!$G$3:$G$112,'6a - Lighting Counts'!G255,'Lighting Assumptions'!$J$3:$J$112))</f>
        <v>-</v>
      </c>
      <c r="CW255" s="3021"/>
      <c r="CX255" s="3021"/>
      <c r="CY255" s="3046"/>
      <c r="CZ255" s="2098">
        <f t="shared" si="79"/>
        <v>0</v>
      </c>
      <c r="DA255" s="2098" t="str">
        <f t="shared" si="80"/>
        <v>-</v>
      </c>
      <c r="DB255" s="2098">
        <f t="shared" si="81"/>
        <v>0</v>
      </c>
      <c r="DC255" s="3023" t="str">
        <f t="shared" si="82"/>
        <v>-</v>
      </c>
      <c r="DD255" s="3024" t="str">
        <f t="shared" si="83"/>
        <v/>
      </c>
      <c r="DE255" s="3025" t="str">
        <f t="shared" si="84"/>
        <v>-</v>
      </c>
      <c r="DF255" s="3024" t="str">
        <f t="shared" si="75"/>
        <v>-</v>
      </c>
      <c r="DG255" s="2098">
        <f t="shared" si="85"/>
        <v>0</v>
      </c>
      <c r="DH255" s="2098">
        <f t="array" ref="DH255">MIN(SUMPRODUCT(I255:CR255,IF($I$25:$CR$25="yes",1,0),$I$23:$CR$23),H255)</f>
        <v>0</v>
      </c>
      <c r="DI255" s="3026"/>
      <c r="DJ255" s="3021"/>
      <c r="DN255" s="917" t="str">
        <f>IF(CS255="","-",SUMIF('Lighting Assumptions'!$G$3:$G$112,'6a - Lighting Counts'!G255,'Lighting Assumptions'!$J$3:$J$112))</f>
        <v>-</v>
      </c>
      <c r="DO255" s="917" t="str">
        <f t="shared" si="76"/>
        <v>-</v>
      </c>
      <c r="DP255" s="917" t="str">
        <f t="shared" si="77"/>
        <v>-</v>
      </c>
      <c r="DQ255" s="917" t="str">
        <f>IF(LEFT(CELLformula(DF255),3)&lt;&gt;"=IF",1,"")</f>
        <v/>
      </c>
      <c r="DR255" s="917" t="str">
        <f>IF(LEFT(CELLformula(DD255),3)&lt;&gt;"=IF",1,"")</f>
        <v/>
      </c>
      <c r="DS255" s="3048">
        <f t="shared" si="86"/>
        <v>0</v>
      </c>
      <c r="DT255" s="3047" t="str">
        <f t="shared" si="87"/>
        <v/>
      </c>
      <c r="DU255" s="3047" t="str">
        <f>IFERROR(IF(G255="","",SUMIF('Lighting Assumptions'!$G$3:$G$112,'6a - Lighting Counts'!G255,'Lighting Assumptions'!$H$3:$H$112)*IF(SI_IP_Units="SI",10.76,1)),"")</f>
        <v/>
      </c>
      <c r="DV255" s="3047" t="str">
        <f>IFERROR(IF($CX255="","",IF(SI_IP_Units="SI",10.76,1)*SUMIF(BAMCategories,$CY255,'Lighting Assumptions'!$E$3:E$35)),"")</f>
        <v/>
      </c>
      <c r="DW255" s="3047" t="str">
        <f>IFERROR(IF($CX255="","",IF(SI_IP_Units="SI",10.76,1)*SUMIF(BAMCategories,$CY255,IF(bpf_reference="ACP",'Lighting Assumptions 90.1-2010'!$E$3:E$35,'Lighting Assumptions 90.1-2016'!$E$3:E$35))),"")</f>
        <v/>
      </c>
      <c r="EW255" s="855"/>
      <c r="EX255" s="855"/>
      <c r="EY255" s="855"/>
      <c r="EZ255" s="855"/>
    </row>
    <row r="256" spans="4:156" x14ac:dyDescent="0.25">
      <c r="D256" s="3019"/>
      <c r="E256" s="3020"/>
      <c r="F256" s="3021">
        <f t="shared" si="74"/>
        <v>0</v>
      </c>
      <c r="G256" s="3059"/>
      <c r="H256" s="3060"/>
      <c r="I256" s="3061"/>
      <c r="J256" s="3061"/>
      <c r="K256" s="3061"/>
      <c r="L256" s="3061"/>
      <c r="M256" s="3061"/>
      <c r="N256" s="3061"/>
      <c r="O256" s="3061"/>
      <c r="P256" s="3061"/>
      <c r="Q256" s="3061"/>
      <c r="R256" s="3061"/>
      <c r="S256" s="3061"/>
      <c r="T256" s="3061"/>
      <c r="U256" s="3061"/>
      <c r="V256" s="3061"/>
      <c r="W256" s="3061"/>
      <c r="X256" s="3061"/>
      <c r="Y256" s="3061"/>
      <c r="Z256" s="3061"/>
      <c r="AA256" s="3061"/>
      <c r="AB256" s="3061"/>
      <c r="AC256" s="3061"/>
      <c r="AD256" s="3061"/>
      <c r="AE256" s="3061"/>
      <c r="AF256" s="3061"/>
      <c r="AG256" s="3061"/>
      <c r="AH256" s="3061"/>
      <c r="AI256" s="3061"/>
      <c r="AJ256" s="3061"/>
      <c r="AK256" s="3061"/>
      <c r="AL256" s="3061"/>
      <c r="AM256" s="3061"/>
      <c r="AN256" s="3061"/>
      <c r="AO256" s="3061"/>
      <c r="AP256" s="3061"/>
      <c r="AQ256" s="3061"/>
      <c r="AR256" s="3061"/>
      <c r="AS256" s="3061"/>
      <c r="AT256" s="3061"/>
      <c r="AU256" s="3061"/>
      <c r="AV256" s="3061"/>
      <c r="AW256" s="3061"/>
      <c r="AX256" s="3061"/>
      <c r="AY256" s="3061"/>
      <c r="AZ256" s="3061"/>
      <c r="BA256" s="3061"/>
      <c r="BB256" s="3061"/>
      <c r="BC256" s="3061"/>
      <c r="BD256" s="3061"/>
      <c r="BE256" s="3061"/>
      <c r="BF256" s="3061"/>
      <c r="BG256" s="3061"/>
      <c r="BH256" s="3061"/>
      <c r="BI256" s="3061"/>
      <c r="BJ256" s="3061"/>
      <c r="BK256" s="3061"/>
      <c r="BL256" s="3061"/>
      <c r="BM256" s="3061"/>
      <c r="BN256" s="3061"/>
      <c r="BO256" s="3061"/>
      <c r="BP256" s="3061"/>
      <c r="BQ256" s="3061"/>
      <c r="BR256" s="3061"/>
      <c r="BS256" s="3061"/>
      <c r="BT256" s="3061"/>
      <c r="BU256" s="3061"/>
      <c r="BV256" s="3061"/>
      <c r="BW256" s="3061"/>
      <c r="BX256" s="3061"/>
      <c r="BY256" s="3061"/>
      <c r="BZ256" s="3061"/>
      <c r="CA256" s="3061"/>
      <c r="CB256" s="3061"/>
      <c r="CC256" s="3061"/>
      <c r="CD256" s="3061"/>
      <c r="CE256" s="3061"/>
      <c r="CF256" s="3061"/>
      <c r="CG256" s="3061"/>
      <c r="CH256" s="3061"/>
      <c r="CI256" s="3061"/>
      <c r="CJ256" s="3061"/>
      <c r="CK256" s="3061"/>
      <c r="CL256" s="3061"/>
      <c r="CM256" s="3061"/>
      <c r="CN256" s="3061"/>
      <c r="CO256" s="3061"/>
      <c r="CP256" s="3061"/>
      <c r="CQ256" s="3061"/>
      <c r="CR256" s="3061"/>
      <c r="CS256" s="3062"/>
      <c r="CT256" s="3063"/>
      <c r="CU256" s="3064">
        <f t="shared" si="78"/>
        <v>1</v>
      </c>
      <c r="CV256" s="3022" t="str">
        <f>IF(OR(CT256="",CT256="None"),"-",DO256*CU256*SUMIF('Lighting Assumptions'!$G$3:$G$112,'6a - Lighting Counts'!G256,'Lighting Assumptions'!$J$3:$J$112))</f>
        <v>-</v>
      </c>
      <c r="CW256" s="3021"/>
      <c r="CX256" s="3021"/>
      <c r="CY256" s="3046"/>
      <c r="CZ256" s="2098">
        <f t="shared" si="79"/>
        <v>0</v>
      </c>
      <c r="DA256" s="2098" t="str">
        <f t="shared" si="80"/>
        <v>-</v>
      </c>
      <c r="DB256" s="2098">
        <f t="shared" si="81"/>
        <v>0</v>
      </c>
      <c r="DC256" s="3023" t="str">
        <f t="shared" si="82"/>
        <v>-</v>
      </c>
      <c r="DD256" s="3024" t="str">
        <f t="shared" si="83"/>
        <v/>
      </c>
      <c r="DE256" s="3025" t="str">
        <f t="shared" si="84"/>
        <v>-</v>
      </c>
      <c r="DF256" s="3024" t="str">
        <f t="shared" si="75"/>
        <v>-</v>
      </c>
      <c r="DG256" s="2098">
        <f t="shared" si="85"/>
        <v>0</v>
      </c>
      <c r="DH256" s="2098">
        <f t="array" ref="DH256">MIN(SUMPRODUCT(I256:CR256,IF($I$25:$CR$25="yes",1,0),$I$23:$CR$23),H256)</f>
        <v>0</v>
      </c>
      <c r="DI256" s="3026"/>
      <c r="DJ256" s="3021"/>
      <c r="DN256" s="917" t="str">
        <f>IF(CS256="","-",SUMIF('Lighting Assumptions'!$G$3:$G$112,'6a - Lighting Counts'!G256,'Lighting Assumptions'!$J$3:$J$112))</f>
        <v>-</v>
      </c>
      <c r="DO256" s="917" t="str">
        <f t="shared" si="76"/>
        <v>-</v>
      </c>
      <c r="DP256" s="917" t="str">
        <f t="shared" si="77"/>
        <v>-</v>
      </c>
      <c r="DQ256" s="917" t="str">
        <f>IF(LEFT(CELLformula(DF256),3)&lt;&gt;"=IF",1,"")</f>
        <v/>
      </c>
      <c r="DR256" s="917" t="str">
        <f>IF(LEFT(CELLformula(DD256),3)&lt;&gt;"=IF",1,"")</f>
        <v/>
      </c>
      <c r="DS256" s="3048">
        <f t="shared" si="86"/>
        <v>0</v>
      </c>
      <c r="DT256" s="3047" t="str">
        <f t="shared" si="87"/>
        <v/>
      </c>
      <c r="DU256" s="3047" t="str">
        <f>IFERROR(IF(G256="","",SUMIF('Lighting Assumptions'!$G$3:$G$112,'6a - Lighting Counts'!G256,'Lighting Assumptions'!$H$3:$H$112)*IF(SI_IP_Units="SI",10.76,1)),"")</f>
        <v/>
      </c>
      <c r="DV256" s="3047" t="str">
        <f>IFERROR(IF($CX256="","",IF(SI_IP_Units="SI",10.76,1)*SUMIF(BAMCategories,$CY256,'Lighting Assumptions'!$E$3:E$35)),"")</f>
        <v/>
      </c>
      <c r="DW256" s="3047" t="str">
        <f>IFERROR(IF($CX256="","",IF(SI_IP_Units="SI",10.76,1)*SUMIF(BAMCategories,$CY256,IF(bpf_reference="ACP",'Lighting Assumptions 90.1-2010'!$E$3:E$35,'Lighting Assumptions 90.1-2016'!$E$3:E$35))),"")</f>
        <v/>
      </c>
      <c r="EW256" s="855"/>
      <c r="EX256" s="855"/>
      <c r="EY256" s="855"/>
      <c r="EZ256" s="855"/>
    </row>
    <row r="257" spans="4:156" x14ac:dyDescent="0.25">
      <c r="D257" s="3019"/>
      <c r="E257" s="3020"/>
      <c r="F257" s="3021">
        <f t="shared" si="74"/>
        <v>0</v>
      </c>
      <c r="G257" s="3059"/>
      <c r="H257" s="3060"/>
      <c r="I257" s="3061"/>
      <c r="J257" s="3061"/>
      <c r="K257" s="3061"/>
      <c r="L257" s="3061"/>
      <c r="M257" s="3061"/>
      <c r="N257" s="3061"/>
      <c r="O257" s="3061"/>
      <c r="P257" s="3061"/>
      <c r="Q257" s="3061"/>
      <c r="R257" s="3061"/>
      <c r="S257" s="3061"/>
      <c r="T257" s="3061"/>
      <c r="U257" s="3061"/>
      <c r="V257" s="3061"/>
      <c r="W257" s="3061"/>
      <c r="X257" s="3061"/>
      <c r="Y257" s="3061"/>
      <c r="Z257" s="3061"/>
      <c r="AA257" s="3061"/>
      <c r="AB257" s="3061"/>
      <c r="AC257" s="3061"/>
      <c r="AD257" s="3061"/>
      <c r="AE257" s="3061"/>
      <c r="AF257" s="3061"/>
      <c r="AG257" s="3061"/>
      <c r="AH257" s="3061"/>
      <c r="AI257" s="3061"/>
      <c r="AJ257" s="3061"/>
      <c r="AK257" s="3061"/>
      <c r="AL257" s="3061"/>
      <c r="AM257" s="3061"/>
      <c r="AN257" s="3061"/>
      <c r="AO257" s="3061"/>
      <c r="AP257" s="3061"/>
      <c r="AQ257" s="3061"/>
      <c r="AR257" s="3061"/>
      <c r="AS257" s="3061"/>
      <c r="AT257" s="3061"/>
      <c r="AU257" s="3061"/>
      <c r="AV257" s="3061"/>
      <c r="AW257" s="3061"/>
      <c r="AX257" s="3061"/>
      <c r="AY257" s="3061"/>
      <c r="AZ257" s="3061"/>
      <c r="BA257" s="3061"/>
      <c r="BB257" s="3061"/>
      <c r="BC257" s="3061"/>
      <c r="BD257" s="3061"/>
      <c r="BE257" s="3061"/>
      <c r="BF257" s="3061"/>
      <c r="BG257" s="3061"/>
      <c r="BH257" s="3061"/>
      <c r="BI257" s="3061"/>
      <c r="BJ257" s="3061"/>
      <c r="BK257" s="3061"/>
      <c r="BL257" s="3061"/>
      <c r="BM257" s="3061"/>
      <c r="BN257" s="3061"/>
      <c r="BO257" s="3061"/>
      <c r="BP257" s="3061"/>
      <c r="BQ257" s="3061"/>
      <c r="BR257" s="3061"/>
      <c r="BS257" s="3061"/>
      <c r="BT257" s="3061"/>
      <c r="BU257" s="3061"/>
      <c r="BV257" s="3061"/>
      <c r="BW257" s="3061"/>
      <c r="BX257" s="3061"/>
      <c r="BY257" s="3061"/>
      <c r="BZ257" s="3061"/>
      <c r="CA257" s="3061"/>
      <c r="CB257" s="3061"/>
      <c r="CC257" s="3061"/>
      <c r="CD257" s="3061"/>
      <c r="CE257" s="3061"/>
      <c r="CF257" s="3061"/>
      <c r="CG257" s="3061"/>
      <c r="CH257" s="3061"/>
      <c r="CI257" s="3061"/>
      <c r="CJ257" s="3061"/>
      <c r="CK257" s="3061"/>
      <c r="CL257" s="3061"/>
      <c r="CM257" s="3061"/>
      <c r="CN257" s="3061"/>
      <c r="CO257" s="3061"/>
      <c r="CP257" s="3061"/>
      <c r="CQ257" s="3061"/>
      <c r="CR257" s="3061"/>
      <c r="CS257" s="3062"/>
      <c r="CT257" s="3063"/>
      <c r="CU257" s="3064">
        <f t="shared" si="78"/>
        <v>1</v>
      </c>
      <c r="CV257" s="3022" t="str">
        <f>IF(OR(CT257="",CT257="None"),"-",DO257*CU257*SUMIF('Lighting Assumptions'!$G$3:$G$112,'6a - Lighting Counts'!G257,'Lighting Assumptions'!$J$3:$J$112))</f>
        <v>-</v>
      </c>
      <c r="CW257" s="3021"/>
      <c r="CX257" s="3021"/>
      <c r="CY257" s="3046"/>
      <c r="CZ257" s="2098">
        <f t="shared" si="79"/>
        <v>0</v>
      </c>
      <c r="DA257" s="2098" t="str">
        <f t="shared" si="80"/>
        <v>-</v>
      </c>
      <c r="DB257" s="2098">
        <f t="shared" si="81"/>
        <v>0</v>
      </c>
      <c r="DC257" s="3023" t="str">
        <f t="shared" si="82"/>
        <v>-</v>
      </c>
      <c r="DD257" s="3024" t="str">
        <f t="shared" si="83"/>
        <v/>
      </c>
      <c r="DE257" s="3025" t="str">
        <f t="shared" si="84"/>
        <v>-</v>
      </c>
      <c r="DF257" s="3024" t="str">
        <f t="shared" si="75"/>
        <v>-</v>
      </c>
      <c r="DG257" s="2098">
        <f t="shared" si="85"/>
        <v>0</v>
      </c>
      <c r="DH257" s="2098">
        <f t="array" ref="DH257">MIN(SUMPRODUCT(I257:CR257,IF($I$25:$CR$25="yes",1,0),$I$23:$CR$23),H257)</f>
        <v>0</v>
      </c>
      <c r="DI257" s="3026"/>
      <c r="DJ257" s="3021"/>
      <c r="DN257" s="917" t="str">
        <f>IF(CS257="","-",SUMIF('Lighting Assumptions'!$G$3:$G$112,'6a - Lighting Counts'!G257,'Lighting Assumptions'!$J$3:$J$112))</f>
        <v>-</v>
      </c>
      <c r="DO257" s="917" t="str">
        <f t="shared" si="76"/>
        <v>-</v>
      </c>
      <c r="DP257" s="917" t="str">
        <f t="shared" si="77"/>
        <v>-</v>
      </c>
      <c r="DQ257" s="917" t="str">
        <f>IF(LEFT(CELLformula(DF257),3)&lt;&gt;"=IF",1,"")</f>
        <v/>
      </c>
      <c r="DR257" s="917" t="str">
        <f>IF(LEFT(CELLformula(DD257),3)&lt;&gt;"=IF",1,"")</f>
        <v/>
      </c>
      <c r="DS257" s="3048">
        <f t="shared" si="86"/>
        <v>0</v>
      </c>
      <c r="DT257" s="3047" t="str">
        <f t="shared" si="87"/>
        <v/>
      </c>
      <c r="DU257" s="3047" t="str">
        <f>IFERROR(IF(G257="","",SUMIF('Lighting Assumptions'!$G$3:$G$112,'6a - Lighting Counts'!G257,'Lighting Assumptions'!$H$3:$H$112)*IF(SI_IP_Units="SI",10.76,1)),"")</f>
        <v/>
      </c>
      <c r="DV257" s="3047" t="str">
        <f>IFERROR(IF($CX257="","",IF(SI_IP_Units="SI",10.76,1)*SUMIF(BAMCategories,$CY257,'Lighting Assumptions'!$E$3:E$35)),"")</f>
        <v/>
      </c>
      <c r="DW257" s="3047" t="str">
        <f>IFERROR(IF($CX257="","",IF(SI_IP_Units="SI",10.76,1)*SUMIF(BAMCategories,$CY257,IF(bpf_reference="ACP",'Lighting Assumptions 90.1-2010'!$E$3:E$35,'Lighting Assumptions 90.1-2016'!$E$3:E$35))),"")</f>
        <v/>
      </c>
      <c r="EW257" s="855"/>
      <c r="EX257" s="855"/>
      <c r="EY257" s="855"/>
      <c r="EZ257" s="855"/>
    </row>
    <row r="258" spans="4:156" x14ac:dyDescent="0.25">
      <c r="D258" s="3019"/>
      <c r="E258" s="3020"/>
      <c r="F258" s="3021">
        <f t="shared" si="74"/>
        <v>0</v>
      </c>
      <c r="G258" s="3059"/>
      <c r="H258" s="3060"/>
      <c r="I258" s="3061"/>
      <c r="J258" s="3061"/>
      <c r="K258" s="3061"/>
      <c r="L258" s="3061"/>
      <c r="M258" s="3061"/>
      <c r="N258" s="3061"/>
      <c r="O258" s="3061"/>
      <c r="P258" s="3061"/>
      <c r="Q258" s="3061"/>
      <c r="R258" s="3061"/>
      <c r="S258" s="3061"/>
      <c r="T258" s="3061"/>
      <c r="U258" s="3061"/>
      <c r="V258" s="3061"/>
      <c r="W258" s="3061"/>
      <c r="X258" s="3061"/>
      <c r="Y258" s="3061"/>
      <c r="Z258" s="3061"/>
      <c r="AA258" s="3061"/>
      <c r="AB258" s="3061"/>
      <c r="AC258" s="3061"/>
      <c r="AD258" s="3061"/>
      <c r="AE258" s="3061"/>
      <c r="AF258" s="3061"/>
      <c r="AG258" s="3061"/>
      <c r="AH258" s="3061"/>
      <c r="AI258" s="3061"/>
      <c r="AJ258" s="3061"/>
      <c r="AK258" s="3061"/>
      <c r="AL258" s="3061"/>
      <c r="AM258" s="3061"/>
      <c r="AN258" s="3061"/>
      <c r="AO258" s="3061"/>
      <c r="AP258" s="3061"/>
      <c r="AQ258" s="3061"/>
      <c r="AR258" s="3061"/>
      <c r="AS258" s="3061"/>
      <c r="AT258" s="3061"/>
      <c r="AU258" s="3061"/>
      <c r="AV258" s="3061"/>
      <c r="AW258" s="3061"/>
      <c r="AX258" s="3061"/>
      <c r="AY258" s="3061"/>
      <c r="AZ258" s="3061"/>
      <c r="BA258" s="3061"/>
      <c r="BB258" s="3061"/>
      <c r="BC258" s="3061"/>
      <c r="BD258" s="3061"/>
      <c r="BE258" s="3061"/>
      <c r="BF258" s="3061"/>
      <c r="BG258" s="3061"/>
      <c r="BH258" s="3061"/>
      <c r="BI258" s="3061"/>
      <c r="BJ258" s="3061"/>
      <c r="BK258" s="3061"/>
      <c r="BL258" s="3061"/>
      <c r="BM258" s="3061"/>
      <c r="BN258" s="3061"/>
      <c r="BO258" s="3061"/>
      <c r="BP258" s="3061"/>
      <c r="BQ258" s="3061"/>
      <c r="BR258" s="3061"/>
      <c r="BS258" s="3061"/>
      <c r="BT258" s="3061"/>
      <c r="BU258" s="3061"/>
      <c r="BV258" s="3061"/>
      <c r="BW258" s="3061"/>
      <c r="BX258" s="3061"/>
      <c r="BY258" s="3061"/>
      <c r="BZ258" s="3061"/>
      <c r="CA258" s="3061"/>
      <c r="CB258" s="3061"/>
      <c r="CC258" s="3061"/>
      <c r="CD258" s="3061"/>
      <c r="CE258" s="3061"/>
      <c r="CF258" s="3061"/>
      <c r="CG258" s="3061"/>
      <c r="CH258" s="3061"/>
      <c r="CI258" s="3061"/>
      <c r="CJ258" s="3061"/>
      <c r="CK258" s="3061"/>
      <c r="CL258" s="3061"/>
      <c r="CM258" s="3061"/>
      <c r="CN258" s="3061"/>
      <c r="CO258" s="3061"/>
      <c r="CP258" s="3061"/>
      <c r="CQ258" s="3061"/>
      <c r="CR258" s="3061"/>
      <c r="CS258" s="3062"/>
      <c r="CT258" s="3063"/>
      <c r="CU258" s="3064">
        <f t="shared" si="78"/>
        <v>1</v>
      </c>
      <c r="CV258" s="3022" t="str">
        <f>IF(OR(CT258="",CT258="None"),"-",DO258*CU258*SUMIF('Lighting Assumptions'!$G$3:$G$112,'6a - Lighting Counts'!G258,'Lighting Assumptions'!$J$3:$J$112))</f>
        <v>-</v>
      </c>
      <c r="CW258" s="3021"/>
      <c r="CX258" s="3021"/>
      <c r="CY258" s="3046"/>
      <c r="CZ258" s="2098">
        <f t="shared" si="79"/>
        <v>0</v>
      </c>
      <c r="DA258" s="2098" t="str">
        <f t="shared" si="80"/>
        <v>-</v>
      </c>
      <c r="DB258" s="2098">
        <f t="shared" si="81"/>
        <v>0</v>
      </c>
      <c r="DC258" s="3023" t="str">
        <f t="shared" si="82"/>
        <v>-</v>
      </c>
      <c r="DD258" s="3024" t="str">
        <f t="shared" si="83"/>
        <v/>
      </c>
      <c r="DE258" s="3025" t="str">
        <f t="shared" si="84"/>
        <v>-</v>
      </c>
      <c r="DF258" s="3024" t="str">
        <f t="shared" si="75"/>
        <v>-</v>
      </c>
      <c r="DG258" s="2098">
        <f t="shared" si="85"/>
        <v>0</v>
      </c>
      <c r="DH258" s="2098">
        <f t="array" ref="DH258">MIN(SUMPRODUCT(I258:CR258,IF($I$25:$CR$25="yes",1,0),$I$23:$CR$23),H258)</f>
        <v>0</v>
      </c>
      <c r="DI258" s="3026"/>
      <c r="DJ258" s="3021"/>
      <c r="DN258" s="917" t="str">
        <f>IF(CS258="","-",SUMIF('Lighting Assumptions'!$G$3:$G$112,'6a - Lighting Counts'!G258,'Lighting Assumptions'!$J$3:$J$112))</f>
        <v>-</v>
      </c>
      <c r="DO258" s="917" t="str">
        <f t="shared" si="76"/>
        <v>-</v>
      </c>
      <c r="DP258" s="917" t="str">
        <f t="shared" si="77"/>
        <v>-</v>
      </c>
      <c r="DQ258" s="917" t="str">
        <f>IF(LEFT(CELLformula(DF258),3)&lt;&gt;"=IF",1,"")</f>
        <v/>
      </c>
      <c r="DR258" s="917" t="str">
        <f>IF(LEFT(CELLformula(DD258),3)&lt;&gt;"=IF",1,"")</f>
        <v/>
      </c>
      <c r="DS258" s="3048">
        <f t="shared" si="86"/>
        <v>0</v>
      </c>
      <c r="DT258" s="3047" t="str">
        <f t="shared" si="87"/>
        <v/>
      </c>
      <c r="DU258" s="3047" t="str">
        <f>IFERROR(IF(G258="","",SUMIF('Lighting Assumptions'!$G$3:$G$112,'6a - Lighting Counts'!G258,'Lighting Assumptions'!$H$3:$H$112)*IF(SI_IP_Units="SI",10.76,1)),"")</f>
        <v/>
      </c>
      <c r="DV258" s="3047" t="str">
        <f>IFERROR(IF($CX258="","",IF(SI_IP_Units="SI",10.76,1)*SUMIF(BAMCategories,$CY258,'Lighting Assumptions'!$E$3:E$35)),"")</f>
        <v/>
      </c>
      <c r="DW258" s="3047" t="str">
        <f>IFERROR(IF($CX258="","",IF(SI_IP_Units="SI",10.76,1)*SUMIF(BAMCategories,$CY258,IF(bpf_reference="ACP",'Lighting Assumptions 90.1-2010'!$E$3:E$35,'Lighting Assumptions 90.1-2016'!$E$3:E$35))),"")</f>
        <v/>
      </c>
      <c r="EW258" s="855"/>
      <c r="EX258" s="855"/>
      <c r="EY258" s="855"/>
      <c r="EZ258" s="855"/>
    </row>
    <row r="259" spans="4:156" x14ac:dyDescent="0.25">
      <c r="D259" s="3019"/>
      <c r="E259" s="3020"/>
      <c r="F259" s="3021">
        <f t="shared" si="74"/>
        <v>0</v>
      </c>
      <c r="G259" s="3059"/>
      <c r="H259" s="3060"/>
      <c r="I259" s="3061"/>
      <c r="J259" s="3061"/>
      <c r="K259" s="3061"/>
      <c r="L259" s="3061"/>
      <c r="M259" s="3061"/>
      <c r="N259" s="3061"/>
      <c r="O259" s="3061"/>
      <c r="P259" s="3061"/>
      <c r="Q259" s="3061"/>
      <c r="R259" s="3061"/>
      <c r="S259" s="3061"/>
      <c r="T259" s="3061"/>
      <c r="U259" s="3061"/>
      <c r="V259" s="3061"/>
      <c r="W259" s="3061"/>
      <c r="X259" s="3061"/>
      <c r="Y259" s="3061"/>
      <c r="Z259" s="3061"/>
      <c r="AA259" s="3061"/>
      <c r="AB259" s="3061"/>
      <c r="AC259" s="3061"/>
      <c r="AD259" s="3061"/>
      <c r="AE259" s="3061"/>
      <c r="AF259" s="3061"/>
      <c r="AG259" s="3061"/>
      <c r="AH259" s="3061"/>
      <c r="AI259" s="3061"/>
      <c r="AJ259" s="3061"/>
      <c r="AK259" s="3061"/>
      <c r="AL259" s="3061"/>
      <c r="AM259" s="3061"/>
      <c r="AN259" s="3061"/>
      <c r="AO259" s="3061"/>
      <c r="AP259" s="3061"/>
      <c r="AQ259" s="3061"/>
      <c r="AR259" s="3061"/>
      <c r="AS259" s="3061"/>
      <c r="AT259" s="3061"/>
      <c r="AU259" s="3061"/>
      <c r="AV259" s="3061"/>
      <c r="AW259" s="3061"/>
      <c r="AX259" s="3061"/>
      <c r="AY259" s="3061"/>
      <c r="AZ259" s="3061"/>
      <c r="BA259" s="3061"/>
      <c r="BB259" s="3061"/>
      <c r="BC259" s="3061"/>
      <c r="BD259" s="3061"/>
      <c r="BE259" s="3061"/>
      <c r="BF259" s="3061"/>
      <c r="BG259" s="3061"/>
      <c r="BH259" s="3061"/>
      <c r="BI259" s="3061"/>
      <c r="BJ259" s="3061"/>
      <c r="BK259" s="3061"/>
      <c r="BL259" s="3061"/>
      <c r="BM259" s="3061"/>
      <c r="BN259" s="3061"/>
      <c r="BO259" s="3061"/>
      <c r="BP259" s="3061"/>
      <c r="BQ259" s="3061"/>
      <c r="BR259" s="3061"/>
      <c r="BS259" s="3061"/>
      <c r="BT259" s="3061"/>
      <c r="BU259" s="3061"/>
      <c r="BV259" s="3061"/>
      <c r="BW259" s="3061"/>
      <c r="BX259" s="3061"/>
      <c r="BY259" s="3061"/>
      <c r="BZ259" s="3061"/>
      <c r="CA259" s="3061"/>
      <c r="CB259" s="3061"/>
      <c r="CC259" s="3061"/>
      <c r="CD259" s="3061"/>
      <c r="CE259" s="3061"/>
      <c r="CF259" s="3061"/>
      <c r="CG259" s="3061"/>
      <c r="CH259" s="3061"/>
      <c r="CI259" s="3061"/>
      <c r="CJ259" s="3061"/>
      <c r="CK259" s="3061"/>
      <c r="CL259" s="3061"/>
      <c r="CM259" s="3061"/>
      <c r="CN259" s="3061"/>
      <c r="CO259" s="3061"/>
      <c r="CP259" s="3061"/>
      <c r="CQ259" s="3061"/>
      <c r="CR259" s="3061"/>
      <c r="CS259" s="3062"/>
      <c r="CT259" s="3063"/>
      <c r="CU259" s="3064">
        <f t="shared" si="78"/>
        <v>1</v>
      </c>
      <c r="CV259" s="3022" t="str">
        <f>IF(OR(CT259="",CT259="None"),"-",DO259*CU259*SUMIF('Lighting Assumptions'!$G$3:$G$112,'6a - Lighting Counts'!G259,'Lighting Assumptions'!$J$3:$J$112))</f>
        <v>-</v>
      </c>
      <c r="CW259" s="3021"/>
      <c r="CX259" s="3021"/>
      <c r="CY259" s="3046"/>
      <c r="CZ259" s="2098">
        <f t="shared" si="79"/>
        <v>0</v>
      </c>
      <c r="DA259" s="2098" t="str">
        <f t="shared" si="80"/>
        <v>-</v>
      </c>
      <c r="DB259" s="2098">
        <f t="shared" si="81"/>
        <v>0</v>
      </c>
      <c r="DC259" s="3023" t="str">
        <f t="shared" si="82"/>
        <v>-</v>
      </c>
      <c r="DD259" s="3024" t="str">
        <f t="shared" si="83"/>
        <v/>
      </c>
      <c r="DE259" s="3025" t="str">
        <f t="shared" si="84"/>
        <v>-</v>
      </c>
      <c r="DF259" s="3024" t="str">
        <f t="shared" si="75"/>
        <v>-</v>
      </c>
      <c r="DG259" s="2098">
        <f t="shared" si="85"/>
        <v>0</v>
      </c>
      <c r="DH259" s="2098">
        <f t="array" ref="DH259">MIN(SUMPRODUCT(I259:CR259,IF($I$25:$CR$25="yes",1,0),$I$23:$CR$23),H259)</f>
        <v>0</v>
      </c>
      <c r="DI259" s="3026"/>
      <c r="DJ259" s="3021"/>
      <c r="DN259" s="917" t="str">
        <f>IF(CS259="","-",SUMIF('Lighting Assumptions'!$G$3:$G$112,'6a - Lighting Counts'!G259,'Lighting Assumptions'!$J$3:$J$112))</f>
        <v>-</v>
      </c>
      <c r="DO259" s="917" t="str">
        <f t="shared" si="76"/>
        <v>-</v>
      </c>
      <c r="DP259" s="917" t="str">
        <f t="shared" si="77"/>
        <v>-</v>
      </c>
      <c r="DQ259" s="917" t="str">
        <f>IF(LEFT(CELLformula(DF259),3)&lt;&gt;"=IF",1,"")</f>
        <v/>
      </c>
      <c r="DR259" s="917" t="str">
        <f>IF(LEFT(CELLformula(DD259),3)&lt;&gt;"=IF",1,"")</f>
        <v/>
      </c>
      <c r="DS259" s="3048">
        <f t="shared" si="86"/>
        <v>0</v>
      </c>
      <c r="DT259" s="3047" t="str">
        <f t="shared" si="87"/>
        <v/>
      </c>
      <c r="DU259" s="3047" t="str">
        <f>IFERROR(IF(G259="","",SUMIF('Lighting Assumptions'!$G$3:$G$112,'6a - Lighting Counts'!G259,'Lighting Assumptions'!$H$3:$H$112)*IF(SI_IP_Units="SI",10.76,1)),"")</f>
        <v/>
      </c>
      <c r="DV259" s="3047" t="str">
        <f>IFERROR(IF($CX259="","",IF(SI_IP_Units="SI",10.76,1)*SUMIF(BAMCategories,$CY259,'Lighting Assumptions'!$E$3:E$35)),"")</f>
        <v/>
      </c>
      <c r="DW259" s="3047" t="str">
        <f>IFERROR(IF($CX259="","",IF(SI_IP_Units="SI",10.76,1)*SUMIF(BAMCategories,$CY259,IF(bpf_reference="ACP",'Lighting Assumptions 90.1-2010'!$E$3:E$35,'Lighting Assumptions 90.1-2016'!$E$3:E$35))),"")</f>
        <v/>
      </c>
      <c r="EW259" s="855"/>
      <c r="EX259" s="855"/>
      <c r="EY259" s="855"/>
      <c r="EZ259" s="855"/>
    </row>
    <row r="260" spans="4:156" x14ac:dyDescent="0.25">
      <c r="D260" s="3019"/>
      <c r="E260" s="3020"/>
      <c r="F260" s="3021">
        <f t="shared" si="74"/>
        <v>0</v>
      </c>
      <c r="G260" s="3059"/>
      <c r="H260" s="3060"/>
      <c r="I260" s="3061"/>
      <c r="J260" s="3061"/>
      <c r="K260" s="3061"/>
      <c r="L260" s="3061"/>
      <c r="M260" s="3061"/>
      <c r="N260" s="3061"/>
      <c r="O260" s="3061"/>
      <c r="P260" s="3061"/>
      <c r="Q260" s="3061"/>
      <c r="R260" s="3061"/>
      <c r="S260" s="3061"/>
      <c r="T260" s="3061"/>
      <c r="U260" s="3061"/>
      <c r="V260" s="3061"/>
      <c r="W260" s="3061"/>
      <c r="X260" s="3061"/>
      <c r="Y260" s="3061"/>
      <c r="Z260" s="3061"/>
      <c r="AA260" s="3061"/>
      <c r="AB260" s="3061"/>
      <c r="AC260" s="3061"/>
      <c r="AD260" s="3061"/>
      <c r="AE260" s="3061"/>
      <c r="AF260" s="3061"/>
      <c r="AG260" s="3061"/>
      <c r="AH260" s="3061"/>
      <c r="AI260" s="3061"/>
      <c r="AJ260" s="3061"/>
      <c r="AK260" s="3061"/>
      <c r="AL260" s="3061"/>
      <c r="AM260" s="3061"/>
      <c r="AN260" s="3061"/>
      <c r="AO260" s="3061"/>
      <c r="AP260" s="3061"/>
      <c r="AQ260" s="3061"/>
      <c r="AR260" s="3061"/>
      <c r="AS260" s="3061"/>
      <c r="AT260" s="3061"/>
      <c r="AU260" s="3061"/>
      <c r="AV260" s="3061"/>
      <c r="AW260" s="3061"/>
      <c r="AX260" s="3061"/>
      <c r="AY260" s="3061"/>
      <c r="AZ260" s="3061"/>
      <c r="BA260" s="3061"/>
      <c r="BB260" s="3061"/>
      <c r="BC260" s="3061"/>
      <c r="BD260" s="3061"/>
      <c r="BE260" s="3061"/>
      <c r="BF260" s="3061"/>
      <c r="BG260" s="3061"/>
      <c r="BH260" s="3061"/>
      <c r="BI260" s="3061"/>
      <c r="BJ260" s="3061"/>
      <c r="BK260" s="3061"/>
      <c r="BL260" s="3061"/>
      <c r="BM260" s="3061"/>
      <c r="BN260" s="3061"/>
      <c r="BO260" s="3061"/>
      <c r="BP260" s="3061"/>
      <c r="BQ260" s="3061"/>
      <c r="BR260" s="3061"/>
      <c r="BS260" s="3061"/>
      <c r="BT260" s="3061"/>
      <c r="BU260" s="3061"/>
      <c r="BV260" s="3061"/>
      <c r="BW260" s="3061"/>
      <c r="BX260" s="3061"/>
      <c r="BY260" s="3061"/>
      <c r="BZ260" s="3061"/>
      <c r="CA260" s="3061"/>
      <c r="CB260" s="3061"/>
      <c r="CC260" s="3061"/>
      <c r="CD260" s="3061"/>
      <c r="CE260" s="3061"/>
      <c r="CF260" s="3061"/>
      <c r="CG260" s="3061"/>
      <c r="CH260" s="3061"/>
      <c r="CI260" s="3061"/>
      <c r="CJ260" s="3061"/>
      <c r="CK260" s="3061"/>
      <c r="CL260" s="3061"/>
      <c r="CM260" s="3061"/>
      <c r="CN260" s="3061"/>
      <c r="CO260" s="3061"/>
      <c r="CP260" s="3061"/>
      <c r="CQ260" s="3061"/>
      <c r="CR260" s="3061"/>
      <c r="CS260" s="3062"/>
      <c r="CT260" s="3063"/>
      <c r="CU260" s="3064">
        <f t="shared" si="78"/>
        <v>1</v>
      </c>
      <c r="CV260" s="3022" t="str">
        <f>IF(OR(CT260="",CT260="None"),"-",DO260*CU260*SUMIF('Lighting Assumptions'!$G$3:$G$112,'6a - Lighting Counts'!G260,'Lighting Assumptions'!$J$3:$J$112))</f>
        <v>-</v>
      </c>
      <c r="CW260" s="3021"/>
      <c r="CX260" s="3021"/>
      <c r="CY260" s="3046"/>
      <c r="CZ260" s="2098">
        <f t="shared" si="79"/>
        <v>0</v>
      </c>
      <c r="DA260" s="2098" t="str">
        <f t="shared" si="80"/>
        <v>-</v>
      </c>
      <c r="DB260" s="2098">
        <f t="shared" si="81"/>
        <v>0</v>
      </c>
      <c r="DC260" s="3023" t="str">
        <f t="shared" si="82"/>
        <v>-</v>
      </c>
      <c r="DD260" s="3024" t="str">
        <f t="shared" si="83"/>
        <v/>
      </c>
      <c r="DE260" s="3025" t="str">
        <f t="shared" si="84"/>
        <v>-</v>
      </c>
      <c r="DF260" s="3024" t="str">
        <f t="shared" si="75"/>
        <v>-</v>
      </c>
      <c r="DG260" s="2098">
        <f t="shared" si="85"/>
        <v>0</v>
      </c>
      <c r="DH260" s="2098">
        <f t="array" ref="DH260">MIN(SUMPRODUCT(I260:CR260,IF($I$25:$CR$25="yes",1,0),$I$23:$CR$23),H260)</f>
        <v>0</v>
      </c>
      <c r="DI260" s="3026"/>
      <c r="DJ260" s="3021"/>
      <c r="DN260" s="917" t="str">
        <f>IF(CS260="","-",SUMIF('Lighting Assumptions'!$G$3:$G$112,'6a - Lighting Counts'!G260,'Lighting Assumptions'!$J$3:$J$112))</f>
        <v>-</v>
      </c>
      <c r="DO260" s="917" t="str">
        <f t="shared" si="76"/>
        <v>-</v>
      </c>
      <c r="DP260" s="917" t="str">
        <f t="shared" si="77"/>
        <v>-</v>
      </c>
      <c r="DQ260" s="917" t="str">
        <f>IF(LEFT(CELLformula(DF260),3)&lt;&gt;"=IF",1,"")</f>
        <v/>
      </c>
      <c r="DR260" s="917" t="str">
        <f>IF(LEFT(CELLformula(DD260),3)&lt;&gt;"=IF",1,"")</f>
        <v/>
      </c>
      <c r="DS260" s="3048">
        <f t="shared" si="86"/>
        <v>0</v>
      </c>
      <c r="DT260" s="3047" t="str">
        <f t="shared" si="87"/>
        <v/>
      </c>
      <c r="DU260" s="3047" t="str">
        <f>IFERROR(IF(G260="","",SUMIF('Lighting Assumptions'!$G$3:$G$112,'6a - Lighting Counts'!G260,'Lighting Assumptions'!$H$3:$H$112)*IF(SI_IP_Units="SI",10.76,1)),"")</f>
        <v/>
      </c>
      <c r="DV260" s="3047" t="str">
        <f>IFERROR(IF($CX260="","",IF(SI_IP_Units="SI",10.76,1)*SUMIF(BAMCategories,$CY260,'Lighting Assumptions'!$E$3:E$35)),"")</f>
        <v/>
      </c>
      <c r="DW260" s="3047" t="str">
        <f>IFERROR(IF($CX260="","",IF(SI_IP_Units="SI",10.76,1)*SUMIF(BAMCategories,$CY260,IF(bpf_reference="ACP",'Lighting Assumptions 90.1-2010'!$E$3:E$35,'Lighting Assumptions 90.1-2016'!$E$3:E$35))),"")</f>
        <v/>
      </c>
      <c r="EW260" s="855"/>
      <c r="EX260" s="855"/>
      <c r="EY260" s="855"/>
      <c r="EZ260" s="855"/>
    </row>
    <row r="261" spans="4:156" x14ac:dyDescent="0.25">
      <c r="D261" s="3019"/>
      <c r="E261" s="3020"/>
      <c r="F261" s="3021">
        <f t="shared" si="74"/>
        <v>0</v>
      </c>
      <c r="G261" s="3059"/>
      <c r="H261" s="3060"/>
      <c r="I261" s="3061"/>
      <c r="J261" s="3061"/>
      <c r="K261" s="3061"/>
      <c r="L261" s="3061"/>
      <c r="M261" s="3061"/>
      <c r="N261" s="3061"/>
      <c r="O261" s="3061"/>
      <c r="P261" s="3061"/>
      <c r="Q261" s="3061"/>
      <c r="R261" s="3061"/>
      <c r="S261" s="3061"/>
      <c r="T261" s="3061"/>
      <c r="U261" s="3061"/>
      <c r="V261" s="3061"/>
      <c r="W261" s="3061"/>
      <c r="X261" s="3061"/>
      <c r="Y261" s="3061"/>
      <c r="Z261" s="3061"/>
      <c r="AA261" s="3061"/>
      <c r="AB261" s="3061"/>
      <c r="AC261" s="3061"/>
      <c r="AD261" s="3061"/>
      <c r="AE261" s="3061"/>
      <c r="AF261" s="3061"/>
      <c r="AG261" s="3061"/>
      <c r="AH261" s="3061"/>
      <c r="AI261" s="3061"/>
      <c r="AJ261" s="3061"/>
      <c r="AK261" s="3061"/>
      <c r="AL261" s="3061"/>
      <c r="AM261" s="3061"/>
      <c r="AN261" s="3061"/>
      <c r="AO261" s="3061"/>
      <c r="AP261" s="3061"/>
      <c r="AQ261" s="3061"/>
      <c r="AR261" s="3061"/>
      <c r="AS261" s="3061"/>
      <c r="AT261" s="3061"/>
      <c r="AU261" s="3061"/>
      <c r="AV261" s="3061"/>
      <c r="AW261" s="3061"/>
      <c r="AX261" s="3061"/>
      <c r="AY261" s="3061"/>
      <c r="AZ261" s="3061"/>
      <c r="BA261" s="3061"/>
      <c r="BB261" s="3061"/>
      <c r="BC261" s="3061"/>
      <c r="BD261" s="3061"/>
      <c r="BE261" s="3061"/>
      <c r="BF261" s="3061"/>
      <c r="BG261" s="3061"/>
      <c r="BH261" s="3061"/>
      <c r="BI261" s="3061"/>
      <c r="BJ261" s="3061"/>
      <c r="BK261" s="3061"/>
      <c r="BL261" s="3061"/>
      <c r="BM261" s="3061"/>
      <c r="BN261" s="3061"/>
      <c r="BO261" s="3061"/>
      <c r="BP261" s="3061"/>
      <c r="BQ261" s="3061"/>
      <c r="BR261" s="3061"/>
      <c r="BS261" s="3061"/>
      <c r="BT261" s="3061"/>
      <c r="BU261" s="3061"/>
      <c r="BV261" s="3061"/>
      <c r="BW261" s="3061"/>
      <c r="BX261" s="3061"/>
      <c r="BY261" s="3061"/>
      <c r="BZ261" s="3061"/>
      <c r="CA261" s="3061"/>
      <c r="CB261" s="3061"/>
      <c r="CC261" s="3061"/>
      <c r="CD261" s="3061"/>
      <c r="CE261" s="3061"/>
      <c r="CF261" s="3061"/>
      <c r="CG261" s="3061"/>
      <c r="CH261" s="3061"/>
      <c r="CI261" s="3061"/>
      <c r="CJ261" s="3061"/>
      <c r="CK261" s="3061"/>
      <c r="CL261" s="3061"/>
      <c r="CM261" s="3061"/>
      <c r="CN261" s="3061"/>
      <c r="CO261" s="3061"/>
      <c r="CP261" s="3061"/>
      <c r="CQ261" s="3061"/>
      <c r="CR261" s="3061"/>
      <c r="CS261" s="3062"/>
      <c r="CT261" s="3063"/>
      <c r="CU261" s="3064">
        <f t="shared" si="78"/>
        <v>1</v>
      </c>
      <c r="CV261" s="3022" t="str">
        <f>IF(OR(CT261="",CT261="None"),"-",DO261*CU261*SUMIF('Lighting Assumptions'!$G$3:$G$112,'6a - Lighting Counts'!G261,'Lighting Assumptions'!$J$3:$J$112))</f>
        <v>-</v>
      </c>
      <c r="CW261" s="3021"/>
      <c r="CX261" s="3021"/>
      <c r="CY261" s="3046"/>
      <c r="CZ261" s="2098">
        <f t="shared" si="79"/>
        <v>0</v>
      </c>
      <c r="DA261" s="2098" t="str">
        <f t="shared" si="80"/>
        <v>-</v>
      </c>
      <c r="DB261" s="2098">
        <f t="shared" si="81"/>
        <v>0</v>
      </c>
      <c r="DC261" s="3023" t="str">
        <f t="shared" si="82"/>
        <v>-</v>
      </c>
      <c r="DD261" s="3024" t="str">
        <f t="shared" si="83"/>
        <v/>
      </c>
      <c r="DE261" s="3025" t="str">
        <f t="shared" si="84"/>
        <v>-</v>
      </c>
      <c r="DF261" s="3024" t="str">
        <f t="shared" si="75"/>
        <v>-</v>
      </c>
      <c r="DG261" s="2098">
        <f t="shared" si="85"/>
        <v>0</v>
      </c>
      <c r="DH261" s="2098">
        <f t="array" ref="DH261">MIN(SUMPRODUCT(I261:CR261,IF($I$25:$CR$25="yes",1,0),$I$23:$CR$23),H261)</f>
        <v>0</v>
      </c>
      <c r="DI261" s="3026"/>
      <c r="DJ261" s="3021"/>
      <c r="DN261" s="917" t="str">
        <f>IF(CS261="","-",SUMIF('Lighting Assumptions'!$G$3:$G$112,'6a - Lighting Counts'!G261,'Lighting Assumptions'!$J$3:$J$112))</f>
        <v>-</v>
      </c>
      <c r="DO261" s="917" t="str">
        <f t="shared" si="76"/>
        <v>-</v>
      </c>
      <c r="DP261" s="917" t="str">
        <f t="shared" si="77"/>
        <v>-</v>
      </c>
      <c r="DQ261" s="917" t="str">
        <f>IF(LEFT(CELLformula(DF261),3)&lt;&gt;"=IF",1,"")</f>
        <v/>
      </c>
      <c r="DR261" s="917" t="str">
        <f>IF(LEFT(CELLformula(DD261),3)&lt;&gt;"=IF",1,"")</f>
        <v/>
      </c>
      <c r="DS261" s="3048">
        <f t="shared" si="86"/>
        <v>0</v>
      </c>
      <c r="DT261" s="3047" t="str">
        <f t="shared" si="87"/>
        <v/>
      </c>
      <c r="DU261" s="3047" t="str">
        <f>IFERROR(IF(G261="","",SUMIF('Lighting Assumptions'!$G$3:$G$112,'6a - Lighting Counts'!G261,'Lighting Assumptions'!$H$3:$H$112)*IF(SI_IP_Units="SI",10.76,1)),"")</f>
        <v/>
      </c>
      <c r="DV261" s="3047" t="str">
        <f>IFERROR(IF($CX261="","",IF(SI_IP_Units="SI",10.76,1)*SUMIF(BAMCategories,$CY261,'Lighting Assumptions'!$E$3:E$35)),"")</f>
        <v/>
      </c>
      <c r="DW261" s="3047" t="str">
        <f>IFERROR(IF($CX261="","",IF(SI_IP_Units="SI",10.76,1)*SUMIF(BAMCategories,$CY261,IF(bpf_reference="ACP",'Lighting Assumptions 90.1-2010'!$E$3:E$35,'Lighting Assumptions 90.1-2016'!$E$3:E$35))),"")</f>
        <v/>
      </c>
      <c r="EW261" s="855"/>
      <c r="EX261" s="855"/>
      <c r="EY261" s="855"/>
      <c r="EZ261" s="855"/>
    </row>
    <row r="262" spans="4:156" x14ac:dyDescent="0.25">
      <c r="D262" s="3019"/>
      <c r="E262" s="3020"/>
      <c r="F262" s="3021">
        <f t="shared" si="74"/>
        <v>0</v>
      </c>
      <c r="G262" s="3059"/>
      <c r="H262" s="3060"/>
      <c r="I262" s="3061"/>
      <c r="J262" s="3061"/>
      <c r="K262" s="3061"/>
      <c r="L262" s="3061"/>
      <c r="M262" s="3061"/>
      <c r="N262" s="3061"/>
      <c r="O262" s="3061"/>
      <c r="P262" s="3061"/>
      <c r="Q262" s="3061"/>
      <c r="R262" s="3061"/>
      <c r="S262" s="3061"/>
      <c r="T262" s="3061"/>
      <c r="U262" s="3061"/>
      <c r="V262" s="3061"/>
      <c r="W262" s="3061"/>
      <c r="X262" s="3061"/>
      <c r="Y262" s="3061"/>
      <c r="Z262" s="3061"/>
      <c r="AA262" s="3061"/>
      <c r="AB262" s="3061"/>
      <c r="AC262" s="3061"/>
      <c r="AD262" s="3061"/>
      <c r="AE262" s="3061"/>
      <c r="AF262" s="3061"/>
      <c r="AG262" s="3061"/>
      <c r="AH262" s="3061"/>
      <c r="AI262" s="3061"/>
      <c r="AJ262" s="3061"/>
      <c r="AK262" s="3061"/>
      <c r="AL262" s="3061"/>
      <c r="AM262" s="3061"/>
      <c r="AN262" s="3061"/>
      <c r="AO262" s="3061"/>
      <c r="AP262" s="3061"/>
      <c r="AQ262" s="3061"/>
      <c r="AR262" s="3061"/>
      <c r="AS262" s="3061"/>
      <c r="AT262" s="3061"/>
      <c r="AU262" s="3061"/>
      <c r="AV262" s="3061"/>
      <c r="AW262" s="3061"/>
      <c r="AX262" s="3061"/>
      <c r="AY262" s="3061"/>
      <c r="AZ262" s="3061"/>
      <c r="BA262" s="3061"/>
      <c r="BB262" s="3061"/>
      <c r="BC262" s="3061"/>
      <c r="BD262" s="3061"/>
      <c r="BE262" s="3061"/>
      <c r="BF262" s="3061"/>
      <c r="BG262" s="3061"/>
      <c r="BH262" s="3061"/>
      <c r="BI262" s="3061"/>
      <c r="BJ262" s="3061"/>
      <c r="BK262" s="3061"/>
      <c r="BL262" s="3061"/>
      <c r="BM262" s="3061"/>
      <c r="BN262" s="3061"/>
      <c r="BO262" s="3061"/>
      <c r="BP262" s="3061"/>
      <c r="BQ262" s="3061"/>
      <c r="BR262" s="3061"/>
      <c r="BS262" s="3061"/>
      <c r="BT262" s="3061"/>
      <c r="BU262" s="3061"/>
      <c r="BV262" s="3061"/>
      <c r="BW262" s="3061"/>
      <c r="BX262" s="3061"/>
      <c r="BY262" s="3061"/>
      <c r="BZ262" s="3061"/>
      <c r="CA262" s="3061"/>
      <c r="CB262" s="3061"/>
      <c r="CC262" s="3061"/>
      <c r="CD262" s="3061"/>
      <c r="CE262" s="3061"/>
      <c r="CF262" s="3061"/>
      <c r="CG262" s="3061"/>
      <c r="CH262" s="3061"/>
      <c r="CI262" s="3061"/>
      <c r="CJ262" s="3061"/>
      <c r="CK262" s="3061"/>
      <c r="CL262" s="3061"/>
      <c r="CM262" s="3061"/>
      <c r="CN262" s="3061"/>
      <c r="CO262" s="3061"/>
      <c r="CP262" s="3061"/>
      <c r="CQ262" s="3061"/>
      <c r="CR262" s="3061"/>
      <c r="CS262" s="3062"/>
      <c r="CT262" s="3063"/>
      <c r="CU262" s="3064">
        <f t="shared" si="78"/>
        <v>1</v>
      </c>
      <c r="CV262" s="3022" t="str">
        <f>IF(OR(CT262="",CT262="None"),"-",DO262*CU262*SUMIF('Lighting Assumptions'!$G$3:$G$112,'6a - Lighting Counts'!G262,'Lighting Assumptions'!$J$3:$J$112))</f>
        <v>-</v>
      </c>
      <c r="CW262" s="3021"/>
      <c r="CX262" s="3021"/>
      <c r="CY262" s="3046"/>
      <c r="CZ262" s="2098">
        <f t="shared" si="79"/>
        <v>0</v>
      </c>
      <c r="DA262" s="2098" t="str">
        <f t="shared" si="80"/>
        <v>-</v>
      </c>
      <c r="DB262" s="2098">
        <f t="shared" si="81"/>
        <v>0</v>
      </c>
      <c r="DC262" s="3023" t="str">
        <f t="shared" si="82"/>
        <v>-</v>
      </c>
      <c r="DD262" s="3024" t="str">
        <f t="shared" si="83"/>
        <v/>
      </c>
      <c r="DE262" s="3025" t="str">
        <f t="shared" si="84"/>
        <v>-</v>
      </c>
      <c r="DF262" s="3024" t="str">
        <f t="shared" si="75"/>
        <v>-</v>
      </c>
      <c r="DG262" s="2098">
        <f t="shared" si="85"/>
        <v>0</v>
      </c>
      <c r="DH262" s="2098">
        <f t="array" ref="DH262">MIN(SUMPRODUCT(I262:CR262,IF($I$25:$CR$25="yes",1,0),$I$23:$CR$23),H262)</f>
        <v>0</v>
      </c>
      <c r="DI262" s="3026"/>
      <c r="DJ262" s="3021"/>
      <c r="DN262" s="917" t="str">
        <f>IF(CS262="","-",SUMIF('Lighting Assumptions'!$G$3:$G$112,'6a - Lighting Counts'!G262,'Lighting Assumptions'!$J$3:$J$112))</f>
        <v>-</v>
      </c>
      <c r="DO262" s="917" t="str">
        <f t="shared" si="76"/>
        <v>-</v>
      </c>
      <c r="DP262" s="917" t="str">
        <f t="shared" si="77"/>
        <v>-</v>
      </c>
      <c r="DQ262" s="917" t="str">
        <f>IF(LEFT(CELLformula(DF262),3)&lt;&gt;"=IF",1,"")</f>
        <v/>
      </c>
      <c r="DR262" s="917" t="str">
        <f>IF(LEFT(CELLformula(DD262),3)&lt;&gt;"=IF",1,"")</f>
        <v/>
      </c>
      <c r="DS262" s="3048">
        <f t="shared" si="86"/>
        <v>0</v>
      </c>
      <c r="DT262" s="3047" t="str">
        <f t="shared" si="87"/>
        <v/>
      </c>
      <c r="DU262" s="3047" t="str">
        <f>IFERROR(IF(G262="","",SUMIF('Lighting Assumptions'!$G$3:$G$112,'6a - Lighting Counts'!G262,'Lighting Assumptions'!$H$3:$H$112)*IF(SI_IP_Units="SI",10.76,1)),"")</f>
        <v/>
      </c>
      <c r="DV262" s="3047" t="str">
        <f>IFERROR(IF($CX262="","",IF(SI_IP_Units="SI",10.76,1)*SUMIF(BAMCategories,$CY262,'Lighting Assumptions'!$E$3:E$35)),"")</f>
        <v/>
      </c>
      <c r="DW262" s="3047" t="str">
        <f>IFERROR(IF($CX262="","",IF(SI_IP_Units="SI",10.76,1)*SUMIF(BAMCategories,$CY262,IF(bpf_reference="ACP",'Lighting Assumptions 90.1-2010'!$E$3:E$35,'Lighting Assumptions 90.1-2016'!$E$3:E$35))),"")</f>
        <v/>
      </c>
      <c r="EW262" s="855"/>
      <c r="EX262" s="855"/>
      <c r="EY262" s="855"/>
      <c r="EZ262" s="855"/>
    </row>
    <row r="263" spans="4:156" x14ac:dyDescent="0.25">
      <c r="D263" s="3019"/>
      <c r="E263" s="3020"/>
      <c r="F263" s="3021">
        <f t="shared" si="74"/>
        <v>0</v>
      </c>
      <c r="G263" s="3059"/>
      <c r="H263" s="3060"/>
      <c r="I263" s="3061"/>
      <c r="J263" s="3061"/>
      <c r="K263" s="3061"/>
      <c r="L263" s="3061"/>
      <c r="M263" s="3061"/>
      <c r="N263" s="3061"/>
      <c r="O263" s="3061"/>
      <c r="P263" s="3061"/>
      <c r="Q263" s="3061"/>
      <c r="R263" s="3061"/>
      <c r="S263" s="3061"/>
      <c r="T263" s="3061"/>
      <c r="U263" s="3061"/>
      <c r="V263" s="3061"/>
      <c r="W263" s="3061"/>
      <c r="X263" s="3061"/>
      <c r="Y263" s="3061"/>
      <c r="Z263" s="3061"/>
      <c r="AA263" s="3061"/>
      <c r="AB263" s="3061"/>
      <c r="AC263" s="3061"/>
      <c r="AD263" s="3061"/>
      <c r="AE263" s="3061"/>
      <c r="AF263" s="3061"/>
      <c r="AG263" s="3061"/>
      <c r="AH263" s="3061"/>
      <c r="AI263" s="3061"/>
      <c r="AJ263" s="3061"/>
      <c r="AK263" s="3061"/>
      <c r="AL263" s="3061"/>
      <c r="AM263" s="3061"/>
      <c r="AN263" s="3061"/>
      <c r="AO263" s="3061"/>
      <c r="AP263" s="3061"/>
      <c r="AQ263" s="3061"/>
      <c r="AR263" s="3061"/>
      <c r="AS263" s="3061"/>
      <c r="AT263" s="3061"/>
      <c r="AU263" s="3061"/>
      <c r="AV263" s="3061"/>
      <c r="AW263" s="3061"/>
      <c r="AX263" s="3061"/>
      <c r="AY263" s="3061"/>
      <c r="AZ263" s="3061"/>
      <c r="BA263" s="3061"/>
      <c r="BB263" s="3061"/>
      <c r="BC263" s="3061"/>
      <c r="BD263" s="3061"/>
      <c r="BE263" s="3061"/>
      <c r="BF263" s="3061"/>
      <c r="BG263" s="3061"/>
      <c r="BH263" s="3061"/>
      <c r="BI263" s="3061"/>
      <c r="BJ263" s="3061"/>
      <c r="BK263" s="3061"/>
      <c r="BL263" s="3061"/>
      <c r="BM263" s="3061"/>
      <c r="BN263" s="3061"/>
      <c r="BO263" s="3061"/>
      <c r="BP263" s="3061"/>
      <c r="BQ263" s="3061"/>
      <c r="BR263" s="3061"/>
      <c r="BS263" s="3061"/>
      <c r="BT263" s="3061"/>
      <c r="BU263" s="3061"/>
      <c r="BV263" s="3061"/>
      <c r="BW263" s="3061"/>
      <c r="BX263" s="3061"/>
      <c r="BY263" s="3061"/>
      <c r="BZ263" s="3061"/>
      <c r="CA263" s="3061"/>
      <c r="CB263" s="3061"/>
      <c r="CC263" s="3061"/>
      <c r="CD263" s="3061"/>
      <c r="CE263" s="3061"/>
      <c r="CF263" s="3061"/>
      <c r="CG263" s="3061"/>
      <c r="CH263" s="3061"/>
      <c r="CI263" s="3061"/>
      <c r="CJ263" s="3061"/>
      <c r="CK263" s="3061"/>
      <c r="CL263" s="3061"/>
      <c r="CM263" s="3061"/>
      <c r="CN263" s="3061"/>
      <c r="CO263" s="3061"/>
      <c r="CP263" s="3061"/>
      <c r="CQ263" s="3061"/>
      <c r="CR263" s="3061"/>
      <c r="CS263" s="3062"/>
      <c r="CT263" s="3063"/>
      <c r="CU263" s="3064">
        <f t="shared" si="78"/>
        <v>1</v>
      </c>
      <c r="CV263" s="3022" t="str">
        <f>IF(OR(CT263="",CT263="None"),"-",DO263*CU263*SUMIF('Lighting Assumptions'!$G$3:$G$112,'6a - Lighting Counts'!G263,'Lighting Assumptions'!$J$3:$J$112))</f>
        <v>-</v>
      </c>
      <c r="CW263" s="3021"/>
      <c r="CX263" s="3021"/>
      <c r="CY263" s="3046"/>
      <c r="CZ263" s="2098">
        <f t="shared" si="79"/>
        <v>0</v>
      </c>
      <c r="DA263" s="2098" t="str">
        <f t="shared" si="80"/>
        <v>-</v>
      </c>
      <c r="DB263" s="2098">
        <f t="shared" si="81"/>
        <v>0</v>
      </c>
      <c r="DC263" s="3023" t="str">
        <f t="shared" si="82"/>
        <v>-</v>
      </c>
      <c r="DD263" s="3024" t="str">
        <f t="shared" si="83"/>
        <v/>
      </c>
      <c r="DE263" s="3025" t="str">
        <f t="shared" si="84"/>
        <v>-</v>
      </c>
      <c r="DF263" s="3024" t="str">
        <f t="shared" si="75"/>
        <v>-</v>
      </c>
      <c r="DG263" s="2098">
        <f t="shared" si="85"/>
        <v>0</v>
      </c>
      <c r="DH263" s="2098">
        <f t="array" ref="DH263">MIN(SUMPRODUCT(I263:CR263,IF($I$25:$CR$25="yes",1,0),$I$23:$CR$23),H263)</f>
        <v>0</v>
      </c>
      <c r="DI263" s="3026"/>
      <c r="DJ263" s="3021"/>
      <c r="DN263" s="917" t="str">
        <f>IF(CS263="","-",SUMIF('Lighting Assumptions'!$G$3:$G$112,'6a - Lighting Counts'!G263,'Lighting Assumptions'!$J$3:$J$112))</f>
        <v>-</v>
      </c>
      <c r="DO263" s="917" t="str">
        <f t="shared" si="76"/>
        <v>-</v>
      </c>
      <c r="DP263" s="917" t="str">
        <f t="shared" si="77"/>
        <v>-</v>
      </c>
      <c r="DQ263" s="917" t="str">
        <f>IF(LEFT(CELLformula(DF263),3)&lt;&gt;"=IF",1,"")</f>
        <v/>
      </c>
      <c r="DR263" s="917" t="str">
        <f>IF(LEFT(CELLformula(DD263),3)&lt;&gt;"=IF",1,"")</f>
        <v/>
      </c>
      <c r="DS263" s="3048">
        <f t="shared" si="86"/>
        <v>0</v>
      </c>
      <c r="DT263" s="3047" t="str">
        <f t="shared" si="87"/>
        <v/>
      </c>
      <c r="DU263" s="3047" t="str">
        <f>IFERROR(IF(G263="","",SUMIF('Lighting Assumptions'!$G$3:$G$112,'6a - Lighting Counts'!G263,'Lighting Assumptions'!$H$3:$H$112)*IF(SI_IP_Units="SI",10.76,1)),"")</f>
        <v/>
      </c>
      <c r="DV263" s="3047" t="str">
        <f>IFERROR(IF($CX263="","",IF(SI_IP_Units="SI",10.76,1)*SUMIF(BAMCategories,$CY263,'Lighting Assumptions'!$E$3:E$35)),"")</f>
        <v/>
      </c>
      <c r="DW263" s="3047" t="str">
        <f>IFERROR(IF($CX263="","",IF(SI_IP_Units="SI",10.76,1)*SUMIF(BAMCategories,$CY263,IF(bpf_reference="ACP",'Lighting Assumptions 90.1-2010'!$E$3:E$35,'Lighting Assumptions 90.1-2016'!$E$3:E$35))),"")</f>
        <v/>
      </c>
      <c r="EW263" s="855"/>
      <c r="EX263" s="855"/>
      <c r="EY263" s="855"/>
      <c r="EZ263" s="855"/>
    </row>
    <row r="264" spans="4:156" x14ac:dyDescent="0.25">
      <c r="D264" s="3019"/>
      <c r="E264" s="3020"/>
      <c r="F264" s="3021">
        <f t="shared" si="74"/>
        <v>0</v>
      </c>
      <c r="G264" s="3059"/>
      <c r="H264" s="3060"/>
      <c r="I264" s="3061"/>
      <c r="J264" s="3061"/>
      <c r="K264" s="3061"/>
      <c r="L264" s="3061"/>
      <c r="M264" s="3061"/>
      <c r="N264" s="3061"/>
      <c r="O264" s="3061"/>
      <c r="P264" s="3061"/>
      <c r="Q264" s="3061"/>
      <c r="R264" s="3061"/>
      <c r="S264" s="3061"/>
      <c r="T264" s="3061"/>
      <c r="U264" s="3061"/>
      <c r="V264" s="3061"/>
      <c r="W264" s="3061"/>
      <c r="X264" s="3061"/>
      <c r="Y264" s="3061"/>
      <c r="Z264" s="3061"/>
      <c r="AA264" s="3061"/>
      <c r="AB264" s="3061"/>
      <c r="AC264" s="3061"/>
      <c r="AD264" s="3061"/>
      <c r="AE264" s="3061"/>
      <c r="AF264" s="3061"/>
      <c r="AG264" s="3061"/>
      <c r="AH264" s="3061"/>
      <c r="AI264" s="3061"/>
      <c r="AJ264" s="3061"/>
      <c r="AK264" s="3061"/>
      <c r="AL264" s="3061"/>
      <c r="AM264" s="3061"/>
      <c r="AN264" s="3061"/>
      <c r="AO264" s="3061"/>
      <c r="AP264" s="3061"/>
      <c r="AQ264" s="3061"/>
      <c r="AR264" s="3061"/>
      <c r="AS264" s="3061"/>
      <c r="AT264" s="3061"/>
      <c r="AU264" s="3061"/>
      <c r="AV264" s="3061"/>
      <c r="AW264" s="3061"/>
      <c r="AX264" s="3061"/>
      <c r="AY264" s="3061"/>
      <c r="AZ264" s="3061"/>
      <c r="BA264" s="3061"/>
      <c r="BB264" s="3061"/>
      <c r="BC264" s="3061"/>
      <c r="BD264" s="3061"/>
      <c r="BE264" s="3061"/>
      <c r="BF264" s="3061"/>
      <c r="BG264" s="3061"/>
      <c r="BH264" s="3061"/>
      <c r="BI264" s="3061"/>
      <c r="BJ264" s="3061"/>
      <c r="BK264" s="3061"/>
      <c r="BL264" s="3061"/>
      <c r="BM264" s="3061"/>
      <c r="BN264" s="3061"/>
      <c r="BO264" s="3061"/>
      <c r="BP264" s="3061"/>
      <c r="BQ264" s="3061"/>
      <c r="BR264" s="3061"/>
      <c r="BS264" s="3061"/>
      <c r="BT264" s="3061"/>
      <c r="BU264" s="3061"/>
      <c r="BV264" s="3061"/>
      <c r="BW264" s="3061"/>
      <c r="BX264" s="3061"/>
      <c r="BY264" s="3061"/>
      <c r="BZ264" s="3061"/>
      <c r="CA264" s="3061"/>
      <c r="CB264" s="3061"/>
      <c r="CC264" s="3061"/>
      <c r="CD264" s="3061"/>
      <c r="CE264" s="3061"/>
      <c r="CF264" s="3061"/>
      <c r="CG264" s="3061"/>
      <c r="CH264" s="3061"/>
      <c r="CI264" s="3061"/>
      <c r="CJ264" s="3061"/>
      <c r="CK264" s="3061"/>
      <c r="CL264" s="3061"/>
      <c r="CM264" s="3061"/>
      <c r="CN264" s="3061"/>
      <c r="CO264" s="3061"/>
      <c r="CP264" s="3061"/>
      <c r="CQ264" s="3061"/>
      <c r="CR264" s="3061"/>
      <c r="CS264" s="3062"/>
      <c r="CT264" s="3063"/>
      <c r="CU264" s="3064">
        <f t="shared" si="78"/>
        <v>1</v>
      </c>
      <c r="CV264" s="3022" t="str">
        <f>IF(OR(CT264="",CT264="None"),"-",DO264*CU264*SUMIF('Lighting Assumptions'!$G$3:$G$112,'6a - Lighting Counts'!G264,'Lighting Assumptions'!$J$3:$J$112))</f>
        <v>-</v>
      </c>
      <c r="CW264" s="3021"/>
      <c r="CX264" s="3021"/>
      <c r="CY264" s="3046"/>
      <c r="CZ264" s="2098">
        <f t="shared" si="79"/>
        <v>0</v>
      </c>
      <c r="DA264" s="2098" t="str">
        <f t="shared" si="80"/>
        <v>-</v>
      </c>
      <c r="DB264" s="2098">
        <f t="shared" si="81"/>
        <v>0</v>
      </c>
      <c r="DC264" s="3023" t="str">
        <f t="shared" si="82"/>
        <v>-</v>
      </c>
      <c r="DD264" s="3024" t="str">
        <f t="shared" si="83"/>
        <v/>
      </c>
      <c r="DE264" s="3025" t="str">
        <f t="shared" si="84"/>
        <v>-</v>
      </c>
      <c r="DF264" s="3024" t="str">
        <f t="shared" si="75"/>
        <v>-</v>
      </c>
      <c r="DG264" s="2098">
        <f t="shared" si="85"/>
        <v>0</v>
      </c>
      <c r="DH264" s="2098">
        <f t="array" ref="DH264">MIN(SUMPRODUCT(I264:CR264,IF($I$25:$CR$25="yes",1,0),$I$23:$CR$23),H264)</f>
        <v>0</v>
      </c>
      <c r="DI264" s="3026"/>
      <c r="DJ264" s="3021"/>
      <c r="DN264" s="917" t="str">
        <f>IF(CS264="","-",SUMIF('Lighting Assumptions'!$G$3:$G$112,'6a - Lighting Counts'!G264,'Lighting Assumptions'!$J$3:$J$112))</f>
        <v>-</v>
      </c>
      <c r="DO264" s="917" t="str">
        <f t="shared" si="76"/>
        <v>-</v>
      </c>
      <c r="DP264" s="917" t="str">
        <f t="shared" si="77"/>
        <v>-</v>
      </c>
      <c r="DQ264" s="917" t="str">
        <f>IF(LEFT(CELLformula(DF264),3)&lt;&gt;"=IF",1,"")</f>
        <v/>
      </c>
      <c r="DR264" s="917" t="str">
        <f>IF(LEFT(CELLformula(DD264),3)&lt;&gt;"=IF",1,"")</f>
        <v/>
      </c>
      <c r="DS264" s="3048">
        <f t="shared" si="86"/>
        <v>0</v>
      </c>
      <c r="DT264" s="3047" t="str">
        <f t="shared" si="87"/>
        <v/>
      </c>
      <c r="DU264" s="3047" t="str">
        <f>IFERROR(IF(G264="","",SUMIF('Lighting Assumptions'!$G$3:$G$112,'6a - Lighting Counts'!G264,'Lighting Assumptions'!$H$3:$H$112)*IF(SI_IP_Units="SI",10.76,1)),"")</f>
        <v/>
      </c>
      <c r="DV264" s="3047" t="str">
        <f>IFERROR(IF($CX264="","",IF(SI_IP_Units="SI",10.76,1)*SUMIF(BAMCategories,$CY264,'Lighting Assumptions'!$E$3:E$35)),"")</f>
        <v/>
      </c>
      <c r="DW264" s="3047" t="str">
        <f>IFERROR(IF($CX264="","",IF(SI_IP_Units="SI",10.76,1)*SUMIF(BAMCategories,$CY264,IF(bpf_reference="ACP",'Lighting Assumptions 90.1-2010'!$E$3:E$35,'Lighting Assumptions 90.1-2016'!$E$3:E$35))),"")</f>
        <v/>
      </c>
      <c r="EW264" s="855"/>
      <c r="EX264" s="855"/>
      <c r="EY264" s="855"/>
      <c r="EZ264" s="855"/>
    </row>
    <row r="265" spans="4:156" x14ac:dyDescent="0.25">
      <c r="D265" s="3019"/>
      <c r="E265" s="3020"/>
      <c r="F265" s="3021">
        <f t="shared" si="74"/>
        <v>0</v>
      </c>
      <c r="G265" s="3059"/>
      <c r="H265" s="3060"/>
      <c r="I265" s="3061"/>
      <c r="J265" s="3061"/>
      <c r="K265" s="3061"/>
      <c r="L265" s="3061"/>
      <c r="M265" s="3061"/>
      <c r="N265" s="3061"/>
      <c r="O265" s="3061"/>
      <c r="P265" s="3061"/>
      <c r="Q265" s="3061"/>
      <c r="R265" s="3061"/>
      <c r="S265" s="3061"/>
      <c r="T265" s="3061"/>
      <c r="U265" s="3061"/>
      <c r="V265" s="3061"/>
      <c r="W265" s="3061"/>
      <c r="X265" s="3061"/>
      <c r="Y265" s="3061"/>
      <c r="Z265" s="3061"/>
      <c r="AA265" s="3061"/>
      <c r="AB265" s="3061"/>
      <c r="AC265" s="3061"/>
      <c r="AD265" s="3061"/>
      <c r="AE265" s="3061"/>
      <c r="AF265" s="3061"/>
      <c r="AG265" s="3061"/>
      <c r="AH265" s="3061"/>
      <c r="AI265" s="3061"/>
      <c r="AJ265" s="3061"/>
      <c r="AK265" s="3061"/>
      <c r="AL265" s="3061"/>
      <c r="AM265" s="3061"/>
      <c r="AN265" s="3061"/>
      <c r="AO265" s="3061"/>
      <c r="AP265" s="3061"/>
      <c r="AQ265" s="3061"/>
      <c r="AR265" s="3061"/>
      <c r="AS265" s="3061"/>
      <c r="AT265" s="3061"/>
      <c r="AU265" s="3061"/>
      <c r="AV265" s="3061"/>
      <c r="AW265" s="3061"/>
      <c r="AX265" s="3061"/>
      <c r="AY265" s="3061"/>
      <c r="AZ265" s="3061"/>
      <c r="BA265" s="3061"/>
      <c r="BB265" s="3061"/>
      <c r="BC265" s="3061"/>
      <c r="BD265" s="3061"/>
      <c r="BE265" s="3061"/>
      <c r="BF265" s="3061"/>
      <c r="BG265" s="3061"/>
      <c r="BH265" s="3061"/>
      <c r="BI265" s="3061"/>
      <c r="BJ265" s="3061"/>
      <c r="BK265" s="3061"/>
      <c r="BL265" s="3061"/>
      <c r="BM265" s="3061"/>
      <c r="BN265" s="3061"/>
      <c r="BO265" s="3061"/>
      <c r="BP265" s="3061"/>
      <c r="BQ265" s="3061"/>
      <c r="BR265" s="3061"/>
      <c r="BS265" s="3061"/>
      <c r="BT265" s="3061"/>
      <c r="BU265" s="3061"/>
      <c r="BV265" s="3061"/>
      <c r="BW265" s="3061"/>
      <c r="BX265" s="3061"/>
      <c r="BY265" s="3061"/>
      <c r="BZ265" s="3061"/>
      <c r="CA265" s="3061"/>
      <c r="CB265" s="3061"/>
      <c r="CC265" s="3061"/>
      <c r="CD265" s="3061"/>
      <c r="CE265" s="3061"/>
      <c r="CF265" s="3061"/>
      <c r="CG265" s="3061"/>
      <c r="CH265" s="3061"/>
      <c r="CI265" s="3061"/>
      <c r="CJ265" s="3061"/>
      <c r="CK265" s="3061"/>
      <c r="CL265" s="3061"/>
      <c r="CM265" s="3061"/>
      <c r="CN265" s="3061"/>
      <c r="CO265" s="3061"/>
      <c r="CP265" s="3061"/>
      <c r="CQ265" s="3061"/>
      <c r="CR265" s="3061"/>
      <c r="CS265" s="3062"/>
      <c r="CT265" s="3063"/>
      <c r="CU265" s="3064">
        <f t="shared" si="78"/>
        <v>1</v>
      </c>
      <c r="CV265" s="3022" t="str">
        <f>IF(OR(CT265="",CT265="None"),"-",DO265*CU265*SUMIF('Lighting Assumptions'!$G$3:$G$112,'6a - Lighting Counts'!G265,'Lighting Assumptions'!$J$3:$J$112))</f>
        <v>-</v>
      </c>
      <c r="CW265" s="3021"/>
      <c r="CX265" s="3021"/>
      <c r="CY265" s="3046"/>
      <c r="CZ265" s="2098">
        <f t="shared" si="79"/>
        <v>0</v>
      </c>
      <c r="DA265" s="2098" t="str">
        <f t="shared" si="80"/>
        <v>-</v>
      </c>
      <c r="DB265" s="2098">
        <f t="shared" si="81"/>
        <v>0</v>
      </c>
      <c r="DC265" s="3023" t="str">
        <f t="shared" si="82"/>
        <v>-</v>
      </c>
      <c r="DD265" s="3024" t="str">
        <f t="shared" si="83"/>
        <v/>
      </c>
      <c r="DE265" s="3025" t="str">
        <f t="shared" si="84"/>
        <v>-</v>
      </c>
      <c r="DF265" s="3024" t="str">
        <f t="shared" si="75"/>
        <v>-</v>
      </c>
      <c r="DG265" s="2098">
        <f t="shared" si="85"/>
        <v>0</v>
      </c>
      <c r="DH265" s="2098">
        <f t="array" ref="DH265">MIN(SUMPRODUCT(I265:CR265,IF($I$25:$CR$25="yes",1,0),$I$23:$CR$23),H265)</f>
        <v>0</v>
      </c>
      <c r="DI265" s="3026"/>
      <c r="DJ265" s="3021"/>
      <c r="DN265" s="917" t="str">
        <f>IF(CS265="","-",SUMIF('Lighting Assumptions'!$G$3:$G$112,'6a - Lighting Counts'!G265,'Lighting Assumptions'!$J$3:$J$112))</f>
        <v>-</v>
      </c>
      <c r="DO265" s="917" t="str">
        <f t="shared" si="76"/>
        <v>-</v>
      </c>
      <c r="DP265" s="917" t="str">
        <f t="shared" si="77"/>
        <v>-</v>
      </c>
      <c r="DQ265" s="917" t="str">
        <f>IF(LEFT(CELLformula(DF265),3)&lt;&gt;"=IF",1,"")</f>
        <v/>
      </c>
      <c r="DR265" s="917" t="str">
        <f>IF(LEFT(CELLformula(DD265),3)&lt;&gt;"=IF",1,"")</f>
        <v/>
      </c>
      <c r="DS265" s="3048">
        <f t="shared" si="86"/>
        <v>0</v>
      </c>
      <c r="DT265" s="3047" t="str">
        <f t="shared" si="87"/>
        <v/>
      </c>
      <c r="DU265" s="3047" t="str">
        <f>IFERROR(IF(G265="","",SUMIF('Lighting Assumptions'!$G$3:$G$112,'6a - Lighting Counts'!G265,'Lighting Assumptions'!$H$3:$H$112)*IF(SI_IP_Units="SI",10.76,1)),"")</f>
        <v/>
      </c>
      <c r="DV265" s="3047" t="str">
        <f>IFERROR(IF($CX265="","",IF(SI_IP_Units="SI",10.76,1)*SUMIF(BAMCategories,$CY265,'Lighting Assumptions'!$E$3:E$35)),"")</f>
        <v/>
      </c>
      <c r="DW265" s="3047" t="str">
        <f>IFERROR(IF($CX265="","",IF(SI_IP_Units="SI",10.76,1)*SUMIF(BAMCategories,$CY265,IF(bpf_reference="ACP",'Lighting Assumptions 90.1-2010'!$E$3:E$35,'Lighting Assumptions 90.1-2016'!$E$3:E$35))),"")</f>
        <v/>
      </c>
      <c r="EW265" s="855"/>
      <c r="EX265" s="855"/>
      <c r="EY265" s="855"/>
      <c r="EZ265" s="855"/>
    </row>
    <row r="266" spans="4:156" x14ac:dyDescent="0.25">
      <c r="D266" s="3019"/>
      <c r="E266" s="3020"/>
      <c r="F266" s="3021">
        <f t="shared" si="74"/>
        <v>0</v>
      </c>
      <c r="G266" s="3059"/>
      <c r="H266" s="3060"/>
      <c r="I266" s="3061"/>
      <c r="J266" s="3061"/>
      <c r="K266" s="3061"/>
      <c r="L266" s="3061"/>
      <c r="M266" s="3061"/>
      <c r="N266" s="3061"/>
      <c r="O266" s="3061"/>
      <c r="P266" s="3061"/>
      <c r="Q266" s="3061"/>
      <c r="R266" s="3061"/>
      <c r="S266" s="3061"/>
      <c r="T266" s="3061"/>
      <c r="U266" s="3061"/>
      <c r="V266" s="3061"/>
      <c r="W266" s="3061"/>
      <c r="X266" s="3061"/>
      <c r="Y266" s="3061"/>
      <c r="Z266" s="3061"/>
      <c r="AA266" s="3061"/>
      <c r="AB266" s="3061"/>
      <c r="AC266" s="3061"/>
      <c r="AD266" s="3061"/>
      <c r="AE266" s="3061"/>
      <c r="AF266" s="3061"/>
      <c r="AG266" s="3061"/>
      <c r="AH266" s="3061"/>
      <c r="AI266" s="3061"/>
      <c r="AJ266" s="3061"/>
      <c r="AK266" s="3061"/>
      <c r="AL266" s="3061"/>
      <c r="AM266" s="3061"/>
      <c r="AN266" s="3061"/>
      <c r="AO266" s="3061"/>
      <c r="AP266" s="3061"/>
      <c r="AQ266" s="3061"/>
      <c r="AR266" s="3061"/>
      <c r="AS266" s="3061"/>
      <c r="AT266" s="3061"/>
      <c r="AU266" s="3061"/>
      <c r="AV266" s="3061"/>
      <c r="AW266" s="3061"/>
      <c r="AX266" s="3061"/>
      <c r="AY266" s="3061"/>
      <c r="AZ266" s="3061"/>
      <c r="BA266" s="3061"/>
      <c r="BB266" s="3061"/>
      <c r="BC266" s="3061"/>
      <c r="BD266" s="3061"/>
      <c r="BE266" s="3061"/>
      <c r="BF266" s="3061"/>
      <c r="BG266" s="3061"/>
      <c r="BH266" s="3061"/>
      <c r="BI266" s="3061"/>
      <c r="BJ266" s="3061"/>
      <c r="BK266" s="3061"/>
      <c r="BL266" s="3061"/>
      <c r="BM266" s="3061"/>
      <c r="BN266" s="3061"/>
      <c r="BO266" s="3061"/>
      <c r="BP266" s="3061"/>
      <c r="BQ266" s="3061"/>
      <c r="BR266" s="3061"/>
      <c r="BS266" s="3061"/>
      <c r="BT266" s="3061"/>
      <c r="BU266" s="3061"/>
      <c r="BV266" s="3061"/>
      <c r="BW266" s="3061"/>
      <c r="BX266" s="3061"/>
      <c r="BY266" s="3061"/>
      <c r="BZ266" s="3061"/>
      <c r="CA266" s="3061"/>
      <c r="CB266" s="3061"/>
      <c r="CC266" s="3061"/>
      <c r="CD266" s="3061"/>
      <c r="CE266" s="3061"/>
      <c r="CF266" s="3061"/>
      <c r="CG266" s="3061"/>
      <c r="CH266" s="3061"/>
      <c r="CI266" s="3061"/>
      <c r="CJ266" s="3061"/>
      <c r="CK266" s="3061"/>
      <c r="CL266" s="3061"/>
      <c r="CM266" s="3061"/>
      <c r="CN266" s="3061"/>
      <c r="CO266" s="3061"/>
      <c r="CP266" s="3061"/>
      <c r="CQ266" s="3061"/>
      <c r="CR266" s="3061"/>
      <c r="CS266" s="3062"/>
      <c r="CT266" s="3063"/>
      <c r="CU266" s="3064">
        <f t="shared" si="78"/>
        <v>1</v>
      </c>
      <c r="CV266" s="3022" t="str">
        <f>IF(OR(CT266="",CT266="None"),"-",DO266*CU266*SUMIF('Lighting Assumptions'!$G$3:$G$112,'6a - Lighting Counts'!G266,'Lighting Assumptions'!$J$3:$J$112))</f>
        <v>-</v>
      </c>
      <c r="CW266" s="3021"/>
      <c r="CX266" s="3021"/>
      <c r="CY266" s="3046"/>
      <c r="CZ266" s="2098">
        <f t="shared" si="79"/>
        <v>0</v>
      </c>
      <c r="DA266" s="2098" t="str">
        <f t="shared" si="80"/>
        <v>-</v>
      </c>
      <c r="DB266" s="2098">
        <f t="shared" si="81"/>
        <v>0</v>
      </c>
      <c r="DC266" s="3023" t="str">
        <f t="shared" si="82"/>
        <v>-</v>
      </c>
      <c r="DD266" s="3024" t="str">
        <f t="shared" si="83"/>
        <v/>
      </c>
      <c r="DE266" s="3025" t="str">
        <f t="shared" si="84"/>
        <v>-</v>
      </c>
      <c r="DF266" s="3024" t="str">
        <f t="shared" si="75"/>
        <v>-</v>
      </c>
      <c r="DG266" s="2098">
        <f t="shared" si="85"/>
        <v>0</v>
      </c>
      <c r="DH266" s="2098">
        <f t="array" ref="DH266">MIN(SUMPRODUCT(I266:CR266,IF($I$25:$CR$25="yes",1,0),$I$23:$CR$23),H266)</f>
        <v>0</v>
      </c>
      <c r="DI266" s="3026"/>
      <c r="DJ266" s="3021"/>
      <c r="DN266" s="917" t="str">
        <f>IF(CS266="","-",SUMIF('Lighting Assumptions'!$G$3:$G$112,'6a - Lighting Counts'!G266,'Lighting Assumptions'!$J$3:$J$112))</f>
        <v>-</v>
      </c>
      <c r="DO266" s="917" t="str">
        <f t="shared" si="76"/>
        <v>-</v>
      </c>
      <c r="DP266" s="917" t="str">
        <f t="shared" si="77"/>
        <v>-</v>
      </c>
      <c r="DQ266" s="917" t="str">
        <f>IF(LEFT(CELLformula(DF266),3)&lt;&gt;"=IF",1,"")</f>
        <v/>
      </c>
      <c r="DR266" s="917" t="str">
        <f>IF(LEFT(CELLformula(DD266),3)&lt;&gt;"=IF",1,"")</f>
        <v/>
      </c>
      <c r="DS266" s="3048">
        <f t="shared" si="86"/>
        <v>0</v>
      </c>
      <c r="DT266" s="3047" t="str">
        <f t="shared" si="87"/>
        <v/>
      </c>
      <c r="DU266" s="3047" t="str">
        <f>IFERROR(IF(G266="","",SUMIF('Lighting Assumptions'!$G$3:$G$112,'6a - Lighting Counts'!G266,'Lighting Assumptions'!$H$3:$H$112)*IF(SI_IP_Units="SI",10.76,1)),"")</f>
        <v/>
      </c>
      <c r="DV266" s="3047" t="str">
        <f>IFERROR(IF($CX266="","",IF(SI_IP_Units="SI",10.76,1)*SUMIF(BAMCategories,$CY266,'Lighting Assumptions'!$E$3:E$35)),"")</f>
        <v/>
      </c>
      <c r="DW266" s="3047" t="str">
        <f>IFERROR(IF($CX266="","",IF(SI_IP_Units="SI",10.76,1)*SUMIF(BAMCategories,$CY266,IF(bpf_reference="ACP",'Lighting Assumptions 90.1-2010'!$E$3:E$35,'Lighting Assumptions 90.1-2016'!$E$3:E$35))),"")</f>
        <v/>
      </c>
      <c r="EW266" s="855"/>
      <c r="EX266" s="855"/>
      <c r="EY266" s="855"/>
      <c r="EZ266" s="855"/>
    </row>
    <row r="267" spans="4:156" x14ac:dyDescent="0.25">
      <c r="D267" s="3019"/>
      <c r="E267" s="3020"/>
      <c r="F267" s="3021">
        <f t="shared" si="74"/>
        <v>0</v>
      </c>
      <c r="G267" s="3059"/>
      <c r="H267" s="3060"/>
      <c r="I267" s="3061"/>
      <c r="J267" s="3061"/>
      <c r="K267" s="3061"/>
      <c r="L267" s="3061"/>
      <c r="M267" s="3061"/>
      <c r="N267" s="3061"/>
      <c r="O267" s="3061"/>
      <c r="P267" s="3061"/>
      <c r="Q267" s="3061"/>
      <c r="R267" s="3061"/>
      <c r="S267" s="3061"/>
      <c r="T267" s="3061"/>
      <c r="U267" s="3061"/>
      <c r="V267" s="3061"/>
      <c r="W267" s="3061"/>
      <c r="X267" s="3061"/>
      <c r="Y267" s="3061"/>
      <c r="Z267" s="3061"/>
      <c r="AA267" s="3061"/>
      <c r="AB267" s="3061"/>
      <c r="AC267" s="3061"/>
      <c r="AD267" s="3061"/>
      <c r="AE267" s="3061"/>
      <c r="AF267" s="3061"/>
      <c r="AG267" s="3061"/>
      <c r="AH267" s="3061"/>
      <c r="AI267" s="3061"/>
      <c r="AJ267" s="3061"/>
      <c r="AK267" s="3061"/>
      <c r="AL267" s="3061"/>
      <c r="AM267" s="3061"/>
      <c r="AN267" s="3061"/>
      <c r="AO267" s="3061"/>
      <c r="AP267" s="3061"/>
      <c r="AQ267" s="3061"/>
      <c r="AR267" s="3061"/>
      <c r="AS267" s="3061"/>
      <c r="AT267" s="3061"/>
      <c r="AU267" s="3061"/>
      <c r="AV267" s="3061"/>
      <c r="AW267" s="3061"/>
      <c r="AX267" s="3061"/>
      <c r="AY267" s="3061"/>
      <c r="AZ267" s="3061"/>
      <c r="BA267" s="3061"/>
      <c r="BB267" s="3061"/>
      <c r="BC267" s="3061"/>
      <c r="BD267" s="3061"/>
      <c r="BE267" s="3061"/>
      <c r="BF267" s="3061"/>
      <c r="BG267" s="3061"/>
      <c r="BH267" s="3061"/>
      <c r="BI267" s="3061"/>
      <c r="BJ267" s="3061"/>
      <c r="BK267" s="3061"/>
      <c r="BL267" s="3061"/>
      <c r="BM267" s="3061"/>
      <c r="BN267" s="3061"/>
      <c r="BO267" s="3061"/>
      <c r="BP267" s="3061"/>
      <c r="BQ267" s="3061"/>
      <c r="BR267" s="3061"/>
      <c r="BS267" s="3061"/>
      <c r="BT267" s="3061"/>
      <c r="BU267" s="3061"/>
      <c r="BV267" s="3061"/>
      <c r="BW267" s="3061"/>
      <c r="BX267" s="3061"/>
      <c r="BY267" s="3061"/>
      <c r="BZ267" s="3061"/>
      <c r="CA267" s="3061"/>
      <c r="CB267" s="3061"/>
      <c r="CC267" s="3061"/>
      <c r="CD267" s="3061"/>
      <c r="CE267" s="3061"/>
      <c r="CF267" s="3061"/>
      <c r="CG267" s="3061"/>
      <c r="CH267" s="3061"/>
      <c r="CI267" s="3061"/>
      <c r="CJ267" s="3061"/>
      <c r="CK267" s="3061"/>
      <c r="CL267" s="3061"/>
      <c r="CM267" s="3061"/>
      <c r="CN267" s="3061"/>
      <c r="CO267" s="3061"/>
      <c r="CP267" s="3061"/>
      <c r="CQ267" s="3061"/>
      <c r="CR267" s="3061"/>
      <c r="CS267" s="3062"/>
      <c r="CT267" s="3063"/>
      <c r="CU267" s="3064">
        <f t="shared" si="78"/>
        <v>1</v>
      </c>
      <c r="CV267" s="3022" t="str">
        <f>IF(OR(CT267="",CT267="None"),"-",DO267*CU267*SUMIF('Lighting Assumptions'!$G$3:$G$112,'6a - Lighting Counts'!G267,'Lighting Assumptions'!$J$3:$J$112))</f>
        <v>-</v>
      </c>
      <c r="CW267" s="3021"/>
      <c r="CX267" s="3021"/>
      <c r="CY267" s="3046"/>
      <c r="CZ267" s="2098">
        <f t="shared" si="79"/>
        <v>0</v>
      </c>
      <c r="DA267" s="2098" t="str">
        <f t="shared" si="80"/>
        <v>-</v>
      </c>
      <c r="DB267" s="2098">
        <f t="shared" si="81"/>
        <v>0</v>
      </c>
      <c r="DC267" s="3023" t="str">
        <f t="shared" si="82"/>
        <v>-</v>
      </c>
      <c r="DD267" s="3024" t="str">
        <f t="shared" si="83"/>
        <v/>
      </c>
      <c r="DE267" s="3025" t="str">
        <f t="shared" si="84"/>
        <v>-</v>
      </c>
      <c r="DF267" s="3024" t="str">
        <f t="shared" si="75"/>
        <v>-</v>
      </c>
      <c r="DG267" s="2098">
        <f t="shared" si="85"/>
        <v>0</v>
      </c>
      <c r="DH267" s="2098">
        <f t="array" ref="DH267">MIN(SUMPRODUCT(I267:CR267,IF($I$25:$CR$25="yes",1,0),$I$23:$CR$23),H267)</f>
        <v>0</v>
      </c>
      <c r="DI267" s="3026"/>
      <c r="DJ267" s="3021"/>
      <c r="DN267" s="917" t="str">
        <f>IF(CS267="","-",SUMIF('Lighting Assumptions'!$G$3:$G$112,'6a - Lighting Counts'!G267,'Lighting Assumptions'!$J$3:$J$112))</f>
        <v>-</v>
      </c>
      <c r="DO267" s="917" t="str">
        <f t="shared" si="76"/>
        <v>-</v>
      </c>
      <c r="DP267" s="917" t="str">
        <f t="shared" si="77"/>
        <v>-</v>
      </c>
      <c r="DQ267" s="917" t="str">
        <f>IF(LEFT(CELLformula(DF267),3)&lt;&gt;"=IF",1,"")</f>
        <v/>
      </c>
      <c r="DR267" s="917" t="str">
        <f>IF(LEFT(CELLformula(DD267),3)&lt;&gt;"=IF",1,"")</f>
        <v/>
      </c>
      <c r="DS267" s="3048">
        <f t="shared" si="86"/>
        <v>0</v>
      </c>
      <c r="DT267" s="3047" t="str">
        <f t="shared" si="87"/>
        <v/>
      </c>
      <c r="DU267" s="3047" t="str">
        <f>IFERROR(IF(G267="","",SUMIF('Lighting Assumptions'!$G$3:$G$112,'6a - Lighting Counts'!G267,'Lighting Assumptions'!$H$3:$H$112)*IF(SI_IP_Units="SI",10.76,1)),"")</f>
        <v/>
      </c>
      <c r="DV267" s="3047" t="str">
        <f>IFERROR(IF($CX267="","",IF(SI_IP_Units="SI",10.76,1)*SUMIF(BAMCategories,$CY267,'Lighting Assumptions'!$E$3:E$35)),"")</f>
        <v/>
      </c>
      <c r="DW267" s="3047" t="str">
        <f>IFERROR(IF($CX267="","",IF(SI_IP_Units="SI",10.76,1)*SUMIF(BAMCategories,$CY267,IF(bpf_reference="ACP",'Lighting Assumptions 90.1-2010'!$E$3:E$35,'Lighting Assumptions 90.1-2016'!$E$3:E$35))),"")</f>
        <v/>
      </c>
      <c r="EW267" s="855"/>
      <c r="EX267" s="855"/>
      <c r="EY267" s="855"/>
      <c r="EZ267" s="855"/>
    </row>
    <row r="268" spans="4:156" x14ac:dyDescent="0.25">
      <c r="D268" s="3019"/>
      <c r="E268" s="3020"/>
      <c r="F268" s="3021">
        <f t="shared" si="74"/>
        <v>0</v>
      </c>
      <c r="G268" s="3059"/>
      <c r="H268" s="3060"/>
      <c r="I268" s="3061"/>
      <c r="J268" s="3061"/>
      <c r="K268" s="3061"/>
      <c r="L268" s="3061"/>
      <c r="M268" s="3061"/>
      <c r="N268" s="3061"/>
      <c r="O268" s="3061"/>
      <c r="P268" s="3061"/>
      <c r="Q268" s="3061"/>
      <c r="R268" s="3061"/>
      <c r="S268" s="3061"/>
      <c r="T268" s="3061"/>
      <c r="U268" s="3061"/>
      <c r="V268" s="3061"/>
      <c r="W268" s="3061"/>
      <c r="X268" s="3061"/>
      <c r="Y268" s="3061"/>
      <c r="Z268" s="3061"/>
      <c r="AA268" s="3061"/>
      <c r="AB268" s="3061"/>
      <c r="AC268" s="3061"/>
      <c r="AD268" s="3061"/>
      <c r="AE268" s="3061"/>
      <c r="AF268" s="3061"/>
      <c r="AG268" s="3061"/>
      <c r="AH268" s="3061"/>
      <c r="AI268" s="3061"/>
      <c r="AJ268" s="3061"/>
      <c r="AK268" s="3061"/>
      <c r="AL268" s="3061"/>
      <c r="AM268" s="3061"/>
      <c r="AN268" s="3061"/>
      <c r="AO268" s="3061"/>
      <c r="AP268" s="3061"/>
      <c r="AQ268" s="3061"/>
      <c r="AR268" s="3061"/>
      <c r="AS268" s="3061"/>
      <c r="AT268" s="3061"/>
      <c r="AU268" s="3061"/>
      <c r="AV268" s="3061"/>
      <c r="AW268" s="3061"/>
      <c r="AX268" s="3061"/>
      <c r="AY268" s="3061"/>
      <c r="AZ268" s="3061"/>
      <c r="BA268" s="3061"/>
      <c r="BB268" s="3061"/>
      <c r="BC268" s="3061"/>
      <c r="BD268" s="3061"/>
      <c r="BE268" s="3061"/>
      <c r="BF268" s="3061"/>
      <c r="BG268" s="3061"/>
      <c r="BH268" s="3061"/>
      <c r="BI268" s="3061"/>
      <c r="BJ268" s="3061"/>
      <c r="BK268" s="3061"/>
      <c r="BL268" s="3061"/>
      <c r="BM268" s="3061"/>
      <c r="BN268" s="3061"/>
      <c r="BO268" s="3061"/>
      <c r="BP268" s="3061"/>
      <c r="BQ268" s="3061"/>
      <c r="BR268" s="3061"/>
      <c r="BS268" s="3061"/>
      <c r="BT268" s="3061"/>
      <c r="BU268" s="3061"/>
      <c r="BV268" s="3061"/>
      <c r="BW268" s="3061"/>
      <c r="BX268" s="3061"/>
      <c r="BY268" s="3061"/>
      <c r="BZ268" s="3061"/>
      <c r="CA268" s="3061"/>
      <c r="CB268" s="3061"/>
      <c r="CC268" s="3061"/>
      <c r="CD268" s="3061"/>
      <c r="CE268" s="3061"/>
      <c r="CF268" s="3061"/>
      <c r="CG268" s="3061"/>
      <c r="CH268" s="3061"/>
      <c r="CI268" s="3061"/>
      <c r="CJ268" s="3061"/>
      <c r="CK268" s="3061"/>
      <c r="CL268" s="3061"/>
      <c r="CM268" s="3061"/>
      <c r="CN268" s="3061"/>
      <c r="CO268" s="3061"/>
      <c r="CP268" s="3061"/>
      <c r="CQ268" s="3061"/>
      <c r="CR268" s="3061"/>
      <c r="CS268" s="3062"/>
      <c r="CT268" s="3063"/>
      <c r="CU268" s="3064">
        <f t="shared" si="78"/>
        <v>1</v>
      </c>
      <c r="CV268" s="3022" t="str">
        <f>IF(OR(CT268="",CT268="None"),"-",DO268*CU268*SUMIF('Lighting Assumptions'!$G$3:$G$112,'6a - Lighting Counts'!G268,'Lighting Assumptions'!$J$3:$J$112))</f>
        <v>-</v>
      </c>
      <c r="CW268" s="3021"/>
      <c r="CX268" s="3021"/>
      <c r="CY268" s="3046"/>
      <c r="CZ268" s="2098">
        <f t="shared" si="79"/>
        <v>0</v>
      </c>
      <c r="DA268" s="2098" t="str">
        <f t="shared" si="80"/>
        <v>-</v>
      </c>
      <c r="DB268" s="2098">
        <f t="shared" si="81"/>
        <v>0</v>
      </c>
      <c r="DC268" s="3023" t="str">
        <f t="shared" si="82"/>
        <v>-</v>
      </c>
      <c r="DD268" s="3024" t="str">
        <f t="shared" si="83"/>
        <v/>
      </c>
      <c r="DE268" s="3025" t="str">
        <f t="shared" si="84"/>
        <v>-</v>
      </c>
      <c r="DF268" s="3024" t="str">
        <f t="shared" si="75"/>
        <v>-</v>
      </c>
      <c r="DG268" s="2098">
        <f t="shared" si="85"/>
        <v>0</v>
      </c>
      <c r="DH268" s="2098">
        <f t="array" ref="DH268">MIN(SUMPRODUCT(I268:CR268,IF($I$25:$CR$25="yes",1,0),$I$23:$CR$23),H268)</f>
        <v>0</v>
      </c>
      <c r="DI268" s="3026"/>
      <c r="DJ268" s="3021"/>
      <c r="DN268" s="917" t="str">
        <f>IF(CS268="","-",SUMIF('Lighting Assumptions'!$G$3:$G$112,'6a - Lighting Counts'!G268,'Lighting Assumptions'!$J$3:$J$112))</f>
        <v>-</v>
      </c>
      <c r="DO268" s="917" t="str">
        <f t="shared" si="76"/>
        <v>-</v>
      </c>
      <c r="DP268" s="917" t="str">
        <f t="shared" si="77"/>
        <v>-</v>
      </c>
      <c r="DQ268" s="917" t="str">
        <f>IF(LEFT(CELLformula(DF268),3)&lt;&gt;"=IF",1,"")</f>
        <v/>
      </c>
      <c r="DR268" s="917" t="str">
        <f>IF(LEFT(CELLformula(DD268),3)&lt;&gt;"=IF",1,"")</f>
        <v/>
      </c>
      <c r="DS268" s="3048">
        <f t="shared" si="86"/>
        <v>0</v>
      </c>
      <c r="DT268" s="3047" t="str">
        <f t="shared" si="87"/>
        <v/>
      </c>
      <c r="DU268" s="3047" t="str">
        <f>IFERROR(IF(G268="","",SUMIF('Lighting Assumptions'!$G$3:$G$112,'6a - Lighting Counts'!G268,'Lighting Assumptions'!$H$3:$H$112)*IF(SI_IP_Units="SI",10.76,1)),"")</f>
        <v/>
      </c>
      <c r="DV268" s="3047" t="str">
        <f>IFERROR(IF($CX268="","",IF(SI_IP_Units="SI",10.76,1)*SUMIF(BAMCategories,$CY268,'Lighting Assumptions'!$E$3:E$35)),"")</f>
        <v/>
      </c>
      <c r="DW268" s="3047" t="str">
        <f>IFERROR(IF($CX268="","",IF(SI_IP_Units="SI",10.76,1)*SUMIF(BAMCategories,$CY268,IF(bpf_reference="ACP",'Lighting Assumptions 90.1-2010'!$E$3:E$35,'Lighting Assumptions 90.1-2016'!$E$3:E$35))),"")</f>
        <v/>
      </c>
      <c r="EW268" s="855"/>
      <c r="EX268" s="855"/>
      <c r="EY268" s="855"/>
      <c r="EZ268" s="855"/>
    </row>
    <row r="269" spans="4:156" x14ac:dyDescent="0.25">
      <c r="D269" s="3019"/>
      <c r="E269" s="3020"/>
      <c r="F269" s="3021">
        <f t="shared" si="74"/>
        <v>0</v>
      </c>
      <c r="G269" s="3059"/>
      <c r="H269" s="3060"/>
      <c r="I269" s="3061"/>
      <c r="J269" s="3061"/>
      <c r="K269" s="3061"/>
      <c r="L269" s="3061"/>
      <c r="M269" s="3061"/>
      <c r="N269" s="3061"/>
      <c r="O269" s="3061"/>
      <c r="P269" s="3061"/>
      <c r="Q269" s="3061"/>
      <c r="R269" s="3061"/>
      <c r="S269" s="3061"/>
      <c r="T269" s="3061"/>
      <c r="U269" s="3061"/>
      <c r="V269" s="3061"/>
      <c r="W269" s="3061"/>
      <c r="X269" s="3061"/>
      <c r="Y269" s="3061"/>
      <c r="Z269" s="3061"/>
      <c r="AA269" s="3061"/>
      <c r="AB269" s="3061"/>
      <c r="AC269" s="3061"/>
      <c r="AD269" s="3061"/>
      <c r="AE269" s="3061"/>
      <c r="AF269" s="3061"/>
      <c r="AG269" s="3061"/>
      <c r="AH269" s="3061"/>
      <c r="AI269" s="3061"/>
      <c r="AJ269" s="3061"/>
      <c r="AK269" s="3061"/>
      <c r="AL269" s="3061"/>
      <c r="AM269" s="3061"/>
      <c r="AN269" s="3061"/>
      <c r="AO269" s="3061"/>
      <c r="AP269" s="3061"/>
      <c r="AQ269" s="3061"/>
      <c r="AR269" s="3061"/>
      <c r="AS269" s="3061"/>
      <c r="AT269" s="3061"/>
      <c r="AU269" s="3061"/>
      <c r="AV269" s="3061"/>
      <c r="AW269" s="3061"/>
      <c r="AX269" s="3061"/>
      <c r="AY269" s="3061"/>
      <c r="AZ269" s="3061"/>
      <c r="BA269" s="3061"/>
      <c r="BB269" s="3061"/>
      <c r="BC269" s="3061"/>
      <c r="BD269" s="3061"/>
      <c r="BE269" s="3061"/>
      <c r="BF269" s="3061"/>
      <c r="BG269" s="3061"/>
      <c r="BH269" s="3061"/>
      <c r="BI269" s="3061"/>
      <c r="BJ269" s="3061"/>
      <c r="BK269" s="3061"/>
      <c r="BL269" s="3061"/>
      <c r="BM269" s="3061"/>
      <c r="BN269" s="3061"/>
      <c r="BO269" s="3061"/>
      <c r="BP269" s="3061"/>
      <c r="BQ269" s="3061"/>
      <c r="BR269" s="3061"/>
      <c r="BS269" s="3061"/>
      <c r="BT269" s="3061"/>
      <c r="BU269" s="3061"/>
      <c r="BV269" s="3061"/>
      <c r="BW269" s="3061"/>
      <c r="BX269" s="3061"/>
      <c r="BY269" s="3061"/>
      <c r="BZ269" s="3061"/>
      <c r="CA269" s="3061"/>
      <c r="CB269" s="3061"/>
      <c r="CC269" s="3061"/>
      <c r="CD269" s="3061"/>
      <c r="CE269" s="3061"/>
      <c r="CF269" s="3061"/>
      <c r="CG269" s="3061"/>
      <c r="CH269" s="3061"/>
      <c r="CI269" s="3061"/>
      <c r="CJ269" s="3061"/>
      <c r="CK269" s="3061"/>
      <c r="CL269" s="3061"/>
      <c r="CM269" s="3061"/>
      <c r="CN269" s="3061"/>
      <c r="CO269" s="3061"/>
      <c r="CP269" s="3061"/>
      <c r="CQ269" s="3061"/>
      <c r="CR269" s="3061"/>
      <c r="CS269" s="3062"/>
      <c r="CT269" s="3063"/>
      <c r="CU269" s="3064">
        <f t="shared" si="78"/>
        <v>1</v>
      </c>
      <c r="CV269" s="3022" t="str">
        <f>IF(OR(CT269="",CT269="None"),"-",DO269*CU269*SUMIF('Lighting Assumptions'!$G$3:$G$112,'6a - Lighting Counts'!G269,'Lighting Assumptions'!$J$3:$J$112))</f>
        <v>-</v>
      </c>
      <c r="CW269" s="3021"/>
      <c r="CX269" s="3021"/>
      <c r="CY269" s="3046"/>
      <c r="CZ269" s="2098">
        <f t="shared" si="79"/>
        <v>0</v>
      </c>
      <c r="DA269" s="2098" t="str">
        <f t="shared" si="80"/>
        <v>-</v>
      </c>
      <c r="DB269" s="2098">
        <f t="shared" si="81"/>
        <v>0</v>
      </c>
      <c r="DC269" s="3023" t="str">
        <f t="shared" si="82"/>
        <v>-</v>
      </c>
      <c r="DD269" s="3024" t="str">
        <f t="shared" si="83"/>
        <v/>
      </c>
      <c r="DE269" s="3025" t="str">
        <f t="shared" si="84"/>
        <v>-</v>
      </c>
      <c r="DF269" s="3024" t="str">
        <f t="shared" si="75"/>
        <v>-</v>
      </c>
      <c r="DG269" s="2098">
        <f t="shared" si="85"/>
        <v>0</v>
      </c>
      <c r="DH269" s="2098">
        <f t="array" ref="DH269">MIN(SUMPRODUCT(I269:CR269,IF($I$25:$CR$25="yes",1,0),$I$23:$CR$23),H269)</f>
        <v>0</v>
      </c>
      <c r="DI269" s="3026"/>
      <c r="DJ269" s="3021"/>
      <c r="DN269" s="917" t="str">
        <f>IF(CS269="","-",SUMIF('Lighting Assumptions'!$G$3:$G$112,'6a - Lighting Counts'!G269,'Lighting Assumptions'!$J$3:$J$112))</f>
        <v>-</v>
      </c>
      <c r="DO269" s="917" t="str">
        <f t="shared" si="76"/>
        <v>-</v>
      </c>
      <c r="DP269" s="917" t="str">
        <f t="shared" si="77"/>
        <v>-</v>
      </c>
      <c r="DQ269" s="917" t="str">
        <f>IF(LEFT(CELLformula(DF269),3)&lt;&gt;"=IF",1,"")</f>
        <v/>
      </c>
      <c r="DR269" s="917" t="str">
        <f>IF(LEFT(CELLformula(DD269),3)&lt;&gt;"=IF",1,"")</f>
        <v/>
      </c>
      <c r="DS269" s="3048">
        <f t="shared" si="86"/>
        <v>0</v>
      </c>
      <c r="DT269" s="3047" t="str">
        <f t="shared" si="87"/>
        <v/>
      </c>
      <c r="DU269" s="3047" t="str">
        <f>IFERROR(IF(G269="","",SUMIF('Lighting Assumptions'!$G$3:$G$112,'6a - Lighting Counts'!G269,'Lighting Assumptions'!$H$3:$H$112)*IF(SI_IP_Units="SI",10.76,1)),"")</f>
        <v/>
      </c>
      <c r="DV269" s="3047" t="str">
        <f>IFERROR(IF($CX269="","",IF(SI_IP_Units="SI",10.76,1)*SUMIF(BAMCategories,$CY269,'Lighting Assumptions'!$E$3:E$35)),"")</f>
        <v/>
      </c>
      <c r="DW269" s="3047" t="str">
        <f>IFERROR(IF($CX269="","",IF(SI_IP_Units="SI",10.76,1)*SUMIF(BAMCategories,$CY269,IF(bpf_reference="ACP",'Lighting Assumptions 90.1-2010'!$E$3:E$35,'Lighting Assumptions 90.1-2016'!$E$3:E$35))),"")</f>
        <v/>
      </c>
      <c r="EW269" s="855"/>
      <c r="EX269" s="855"/>
      <c r="EY269" s="855"/>
      <c r="EZ269" s="855"/>
    </row>
    <row r="270" spans="4:156" x14ac:dyDescent="0.25">
      <c r="D270" s="3019"/>
      <c r="E270" s="3020"/>
      <c r="F270" s="3021">
        <f t="shared" si="74"/>
        <v>0</v>
      </c>
      <c r="G270" s="3059"/>
      <c r="H270" s="3060"/>
      <c r="I270" s="3061"/>
      <c r="J270" s="3061"/>
      <c r="K270" s="3061"/>
      <c r="L270" s="3061"/>
      <c r="M270" s="3061"/>
      <c r="N270" s="3061"/>
      <c r="O270" s="3061"/>
      <c r="P270" s="3061"/>
      <c r="Q270" s="3061"/>
      <c r="R270" s="3061"/>
      <c r="S270" s="3061"/>
      <c r="T270" s="3061"/>
      <c r="U270" s="3061"/>
      <c r="V270" s="3061"/>
      <c r="W270" s="3061"/>
      <c r="X270" s="3061"/>
      <c r="Y270" s="3061"/>
      <c r="Z270" s="3061"/>
      <c r="AA270" s="3061"/>
      <c r="AB270" s="3061"/>
      <c r="AC270" s="3061"/>
      <c r="AD270" s="3061"/>
      <c r="AE270" s="3061"/>
      <c r="AF270" s="3061"/>
      <c r="AG270" s="3061"/>
      <c r="AH270" s="3061"/>
      <c r="AI270" s="3061"/>
      <c r="AJ270" s="3061"/>
      <c r="AK270" s="3061"/>
      <c r="AL270" s="3061"/>
      <c r="AM270" s="3061"/>
      <c r="AN270" s="3061"/>
      <c r="AO270" s="3061"/>
      <c r="AP270" s="3061"/>
      <c r="AQ270" s="3061"/>
      <c r="AR270" s="3061"/>
      <c r="AS270" s="3061"/>
      <c r="AT270" s="3061"/>
      <c r="AU270" s="3061"/>
      <c r="AV270" s="3061"/>
      <c r="AW270" s="3061"/>
      <c r="AX270" s="3061"/>
      <c r="AY270" s="3061"/>
      <c r="AZ270" s="3061"/>
      <c r="BA270" s="3061"/>
      <c r="BB270" s="3061"/>
      <c r="BC270" s="3061"/>
      <c r="BD270" s="3061"/>
      <c r="BE270" s="3061"/>
      <c r="BF270" s="3061"/>
      <c r="BG270" s="3061"/>
      <c r="BH270" s="3061"/>
      <c r="BI270" s="3061"/>
      <c r="BJ270" s="3061"/>
      <c r="BK270" s="3061"/>
      <c r="BL270" s="3061"/>
      <c r="BM270" s="3061"/>
      <c r="BN270" s="3061"/>
      <c r="BO270" s="3061"/>
      <c r="BP270" s="3061"/>
      <c r="BQ270" s="3061"/>
      <c r="BR270" s="3061"/>
      <c r="BS270" s="3061"/>
      <c r="BT270" s="3061"/>
      <c r="BU270" s="3061"/>
      <c r="BV270" s="3061"/>
      <c r="BW270" s="3061"/>
      <c r="BX270" s="3061"/>
      <c r="BY270" s="3061"/>
      <c r="BZ270" s="3061"/>
      <c r="CA270" s="3061"/>
      <c r="CB270" s="3061"/>
      <c r="CC270" s="3061"/>
      <c r="CD270" s="3061"/>
      <c r="CE270" s="3061"/>
      <c r="CF270" s="3061"/>
      <c r="CG270" s="3061"/>
      <c r="CH270" s="3061"/>
      <c r="CI270" s="3061"/>
      <c r="CJ270" s="3061"/>
      <c r="CK270" s="3061"/>
      <c r="CL270" s="3061"/>
      <c r="CM270" s="3061"/>
      <c r="CN270" s="3061"/>
      <c r="CO270" s="3061"/>
      <c r="CP270" s="3061"/>
      <c r="CQ270" s="3061"/>
      <c r="CR270" s="3061"/>
      <c r="CS270" s="3062"/>
      <c r="CT270" s="3063"/>
      <c r="CU270" s="3064">
        <f t="shared" si="78"/>
        <v>1</v>
      </c>
      <c r="CV270" s="3022" t="str">
        <f>IF(OR(CT270="",CT270="None"),"-",DO270*CU270*SUMIF('Lighting Assumptions'!$G$3:$G$112,'6a - Lighting Counts'!G270,'Lighting Assumptions'!$J$3:$J$112))</f>
        <v>-</v>
      </c>
      <c r="CW270" s="3021"/>
      <c r="CX270" s="3021"/>
      <c r="CY270" s="3046"/>
      <c r="CZ270" s="2098">
        <f t="shared" si="79"/>
        <v>0</v>
      </c>
      <c r="DA270" s="2098" t="str">
        <f t="shared" si="80"/>
        <v>-</v>
      </c>
      <c r="DB270" s="2098">
        <f t="shared" si="81"/>
        <v>0</v>
      </c>
      <c r="DC270" s="3023" t="str">
        <f t="shared" si="82"/>
        <v>-</v>
      </c>
      <c r="DD270" s="3024" t="str">
        <f t="shared" si="83"/>
        <v/>
      </c>
      <c r="DE270" s="3025" t="str">
        <f t="shared" si="84"/>
        <v>-</v>
      </c>
      <c r="DF270" s="3024" t="str">
        <f t="shared" si="75"/>
        <v>-</v>
      </c>
      <c r="DG270" s="2098">
        <f t="shared" si="85"/>
        <v>0</v>
      </c>
      <c r="DH270" s="2098">
        <f t="array" ref="DH270">MIN(SUMPRODUCT(I270:CR270,IF($I$25:$CR$25="yes",1,0),$I$23:$CR$23),H270)</f>
        <v>0</v>
      </c>
      <c r="DI270" s="3026"/>
      <c r="DJ270" s="3021"/>
      <c r="DN270" s="917" t="str">
        <f>IF(CS270="","-",SUMIF('Lighting Assumptions'!$G$3:$G$112,'6a - Lighting Counts'!G270,'Lighting Assumptions'!$J$3:$J$112))</f>
        <v>-</v>
      </c>
      <c r="DO270" s="917" t="str">
        <f t="shared" si="76"/>
        <v>-</v>
      </c>
      <c r="DP270" s="917" t="str">
        <f t="shared" si="77"/>
        <v>-</v>
      </c>
      <c r="DQ270" s="917" t="str">
        <f>IF(LEFT(CELLformula(DF270),3)&lt;&gt;"=IF",1,"")</f>
        <v/>
      </c>
      <c r="DR270" s="917" t="str">
        <f>IF(LEFT(CELLformula(DD270),3)&lt;&gt;"=IF",1,"")</f>
        <v/>
      </c>
      <c r="DS270" s="3048">
        <f t="shared" si="86"/>
        <v>0</v>
      </c>
      <c r="DT270" s="3047" t="str">
        <f t="shared" si="87"/>
        <v/>
      </c>
      <c r="DU270" s="3047" t="str">
        <f>IFERROR(IF(G270="","",SUMIF('Lighting Assumptions'!$G$3:$G$112,'6a - Lighting Counts'!G270,'Lighting Assumptions'!$H$3:$H$112)*IF(SI_IP_Units="SI",10.76,1)),"")</f>
        <v/>
      </c>
      <c r="DV270" s="3047" t="str">
        <f>IFERROR(IF($CX270="","",IF(SI_IP_Units="SI",10.76,1)*SUMIF(BAMCategories,$CY270,'Lighting Assumptions'!$E$3:E$35)),"")</f>
        <v/>
      </c>
      <c r="DW270" s="3047" t="str">
        <f>IFERROR(IF($CX270="","",IF(SI_IP_Units="SI",10.76,1)*SUMIF(BAMCategories,$CY270,IF(bpf_reference="ACP",'Lighting Assumptions 90.1-2010'!$E$3:E$35,'Lighting Assumptions 90.1-2016'!$E$3:E$35))),"")</f>
        <v/>
      </c>
      <c r="EW270" s="855"/>
      <c r="EX270" s="855"/>
      <c r="EY270" s="855"/>
      <c r="EZ270" s="855"/>
    </row>
    <row r="271" spans="4:156" x14ac:dyDescent="0.25">
      <c r="D271" s="3019"/>
      <c r="E271" s="3020"/>
      <c r="F271" s="3021">
        <f t="shared" si="74"/>
        <v>0</v>
      </c>
      <c r="G271" s="3059"/>
      <c r="H271" s="3060"/>
      <c r="I271" s="3061"/>
      <c r="J271" s="3061"/>
      <c r="K271" s="3061"/>
      <c r="L271" s="3061"/>
      <c r="M271" s="3061"/>
      <c r="N271" s="3061"/>
      <c r="O271" s="3061"/>
      <c r="P271" s="3061"/>
      <c r="Q271" s="3061"/>
      <c r="R271" s="3061"/>
      <c r="S271" s="3061"/>
      <c r="T271" s="3061"/>
      <c r="U271" s="3061"/>
      <c r="V271" s="3061"/>
      <c r="W271" s="3061"/>
      <c r="X271" s="3061"/>
      <c r="Y271" s="3061"/>
      <c r="Z271" s="3061"/>
      <c r="AA271" s="3061"/>
      <c r="AB271" s="3061"/>
      <c r="AC271" s="3061"/>
      <c r="AD271" s="3061"/>
      <c r="AE271" s="3061"/>
      <c r="AF271" s="3061"/>
      <c r="AG271" s="3061"/>
      <c r="AH271" s="3061"/>
      <c r="AI271" s="3061"/>
      <c r="AJ271" s="3061"/>
      <c r="AK271" s="3061"/>
      <c r="AL271" s="3061"/>
      <c r="AM271" s="3061"/>
      <c r="AN271" s="3061"/>
      <c r="AO271" s="3061"/>
      <c r="AP271" s="3061"/>
      <c r="AQ271" s="3061"/>
      <c r="AR271" s="3061"/>
      <c r="AS271" s="3061"/>
      <c r="AT271" s="3061"/>
      <c r="AU271" s="3061"/>
      <c r="AV271" s="3061"/>
      <c r="AW271" s="3061"/>
      <c r="AX271" s="3061"/>
      <c r="AY271" s="3061"/>
      <c r="AZ271" s="3061"/>
      <c r="BA271" s="3061"/>
      <c r="BB271" s="3061"/>
      <c r="BC271" s="3061"/>
      <c r="BD271" s="3061"/>
      <c r="BE271" s="3061"/>
      <c r="BF271" s="3061"/>
      <c r="BG271" s="3061"/>
      <c r="BH271" s="3061"/>
      <c r="BI271" s="3061"/>
      <c r="BJ271" s="3061"/>
      <c r="BK271" s="3061"/>
      <c r="BL271" s="3061"/>
      <c r="BM271" s="3061"/>
      <c r="BN271" s="3061"/>
      <c r="BO271" s="3061"/>
      <c r="BP271" s="3061"/>
      <c r="BQ271" s="3061"/>
      <c r="BR271" s="3061"/>
      <c r="BS271" s="3061"/>
      <c r="BT271" s="3061"/>
      <c r="BU271" s="3061"/>
      <c r="BV271" s="3061"/>
      <c r="BW271" s="3061"/>
      <c r="BX271" s="3061"/>
      <c r="BY271" s="3061"/>
      <c r="BZ271" s="3061"/>
      <c r="CA271" s="3061"/>
      <c r="CB271" s="3061"/>
      <c r="CC271" s="3061"/>
      <c r="CD271" s="3061"/>
      <c r="CE271" s="3061"/>
      <c r="CF271" s="3061"/>
      <c r="CG271" s="3061"/>
      <c r="CH271" s="3061"/>
      <c r="CI271" s="3061"/>
      <c r="CJ271" s="3061"/>
      <c r="CK271" s="3061"/>
      <c r="CL271" s="3061"/>
      <c r="CM271" s="3061"/>
      <c r="CN271" s="3061"/>
      <c r="CO271" s="3061"/>
      <c r="CP271" s="3061"/>
      <c r="CQ271" s="3061"/>
      <c r="CR271" s="3061"/>
      <c r="CS271" s="3062"/>
      <c r="CT271" s="3063"/>
      <c r="CU271" s="3064">
        <f t="shared" si="78"/>
        <v>1</v>
      </c>
      <c r="CV271" s="3022" t="str">
        <f>IF(OR(CT271="",CT271="None"),"-",DO271*CU271*SUMIF('Lighting Assumptions'!$G$3:$G$112,'6a - Lighting Counts'!G271,'Lighting Assumptions'!$J$3:$J$112))</f>
        <v>-</v>
      </c>
      <c r="CW271" s="3021"/>
      <c r="CX271" s="3021"/>
      <c r="CY271" s="3046"/>
      <c r="CZ271" s="2098">
        <f t="shared" si="79"/>
        <v>0</v>
      </c>
      <c r="DA271" s="2098" t="str">
        <f t="shared" si="80"/>
        <v>-</v>
      </c>
      <c r="DB271" s="2098">
        <f t="shared" si="81"/>
        <v>0</v>
      </c>
      <c r="DC271" s="3023" t="str">
        <f t="shared" si="82"/>
        <v>-</v>
      </c>
      <c r="DD271" s="3024" t="str">
        <f t="shared" si="83"/>
        <v/>
      </c>
      <c r="DE271" s="3025" t="str">
        <f t="shared" si="84"/>
        <v>-</v>
      </c>
      <c r="DF271" s="3024" t="str">
        <f t="shared" si="75"/>
        <v>-</v>
      </c>
      <c r="DG271" s="2098">
        <f t="shared" si="85"/>
        <v>0</v>
      </c>
      <c r="DH271" s="2098">
        <f t="array" ref="DH271">MIN(SUMPRODUCT(I271:CR271,IF($I$25:$CR$25="yes",1,0),$I$23:$CR$23),H271)</f>
        <v>0</v>
      </c>
      <c r="DI271" s="3026"/>
      <c r="DJ271" s="3021"/>
      <c r="DN271" s="917" t="str">
        <f>IF(CS271="","-",SUMIF('Lighting Assumptions'!$G$3:$G$112,'6a - Lighting Counts'!G271,'Lighting Assumptions'!$J$3:$J$112))</f>
        <v>-</v>
      </c>
      <c r="DO271" s="917" t="str">
        <f t="shared" si="76"/>
        <v>-</v>
      </c>
      <c r="DP271" s="917" t="str">
        <f t="shared" si="77"/>
        <v>-</v>
      </c>
      <c r="DQ271" s="917" t="str">
        <f>IF(LEFT(CELLformula(DF271),3)&lt;&gt;"=IF",1,"")</f>
        <v/>
      </c>
      <c r="DR271" s="917" t="str">
        <f>IF(LEFT(CELLformula(DD271),3)&lt;&gt;"=IF",1,"")</f>
        <v/>
      </c>
      <c r="DS271" s="3048">
        <f t="shared" si="86"/>
        <v>0</v>
      </c>
      <c r="DT271" s="3047" t="str">
        <f t="shared" si="87"/>
        <v/>
      </c>
      <c r="DU271" s="3047" t="str">
        <f>IFERROR(IF(G271="","",SUMIF('Lighting Assumptions'!$G$3:$G$112,'6a - Lighting Counts'!G271,'Lighting Assumptions'!$H$3:$H$112)*IF(SI_IP_Units="SI",10.76,1)),"")</f>
        <v/>
      </c>
      <c r="DV271" s="3047" t="str">
        <f>IFERROR(IF($CX271="","",IF(SI_IP_Units="SI",10.76,1)*SUMIF(BAMCategories,$CY271,'Lighting Assumptions'!$E$3:E$35)),"")</f>
        <v/>
      </c>
      <c r="DW271" s="3047" t="str">
        <f>IFERROR(IF($CX271="","",IF(SI_IP_Units="SI",10.76,1)*SUMIF(BAMCategories,$CY271,IF(bpf_reference="ACP",'Lighting Assumptions 90.1-2010'!$E$3:E$35,'Lighting Assumptions 90.1-2016'!$E$3:E$35))),"")</f>
        <v/>
      </c>
      <c r="EW271" s="855"/>
      <c r="EX271" s="855"/>
      <c r="EY271" s="855"/>
      <c r="EZ271" s="855"/>
    </row>
    <row r="272" spans="4:156" x14ac:dyDescent="0.25">
      <c r="D272" s="3019"/>
      <c r="E272" s="3020"/>
      <c r="F272" s="3021">
        <f t="shared" si="74"/>
        <v>0</v>
      </c>
      <c r="G272" s="3059"/>
      <c r="H272" s="3060"/>
      <c r="I272" s="3061"/>
      <c r="J272" s="3061"/>
      <c r="K272" s="3061"/>
      <c r="L272" s="3061"/>
      <c r="M272" s="3061"/>
      <c r="N272" s="3061"/>
      <c r="O272" s="3061"/>
      <c r="P272" s="3061"/>
      <c r="Q272" s="3061"/>
      <c r="R272" s="3061"/>
      <c r="S272" s="3061"/>
      <c r="T272" s="3061"/>
      <c r="U272" s="3061"/>
      <c r="V272" s="3061"/>
      <c r="W272" s="3061"/>
      <c r="X272" s="3061"/>
      <c r="Y272" s="3061"/>
      <c r="Z272" s="3061"/>
      <c r="AA272" s="3061"/>
      <c r="AB272" s="3061"/>
      <c r="AC272" s="3061"/>
      <c r="AD272" s="3061"/>
      <c r="AE272" s="3061"/>
      <c r="AF272" s="3061"/>
      <c r="AG272" s="3061"/>
      <c r="AH272" s="3061"/>
      <c r="AI272" s="3061"/>
      <c r="AJ272" s="3061"/>
      <c r="AK272" s="3061"/>
      <c r="AL272" s="3061"/>
      <c r="AM272" s="3061"/>
      <c r="AN272" s="3061"/>
      <c r="AO272" s="3061"/>
      <c r="AP272" s="3061"/>
      <c r="AQ272" s="3061"/>
      <c r="AR272" s="3061"/>
      <c r="AS272" s="3061"/>
      <c r="AT272" s="3061"/>
      <c r="AU272" s="3061"/>
      <c r="AV272" s="3061"/>
      <c r="AW272" s="3061"/>
      <c r="AX272" s="3061"/>
      <c r="AY272" s="3061"/>
      <c r="AZ272" s="3061"/>
      <c r="BA272" s="3061"/>
      <c r="BB272" s="3061"/>
      <c r="BC272" s="3061"/>
      <c r="BD272" s="3061"/>
      <c r="BE272" s="3061"/>
      <c r="BF272" s="3061"/>
      <c r="BG272" s="3061"/>
      <c r="BH272" s="3061"/>
      <c r="BI272" s="3061"/>
      <c r="BJ272" s="3061"/>
      <c r="BK272" s="3061"/>
      <c r="BL272" s="3061"/>
      <c r="BM272" s="3061"/>
      <c r="BN272" s="3061"/>
      <c r="BO272" s="3061"/>
      <c r="BP272" s="3061"/>
      <c r="BQ272" s="3061"/>
      <c r="BR272" s="3061"/>
      <c r="BS272" s="3061"/>
      <c r="BT272" s="3061"/>
      <c r="BU272" s="3061"/>
      <c r="BV272" s="3061"/>
      <c r="BW272" s="3061"/>
      <c r="BX272" s="3061"/>
      <c r="BY272" s="3061"/>
      <c r="BZ272" s="3061"/>
      <c r="CA272" s="3061"/>
      <c r="CB272" s="3061"/>
      <c r="CC272" s="3061"/>
      <c r="CD272" s="3061"/>
      <c r="CE272" s="3061"/>
      <c r="CF272" s="3061"/>
      <c r="CG272" s="3061"/>
      <c r="CH272" s="3061"/>
      <c r="CI272" s="3061"/>
      <c r="CJ272" s="3061"/>
      <c r="CK272" s="3061"/>
      <c r="CL272" s="3061"/>
      <c r="CM272" s="3061"/>
      <c r="CN272" s="3061"/>
      <c r="CO272" s="3061"/>
      <c r="CP272" s="3061"/>
      <c r="CQ272" s="3061"/>
      <c r="CR272" s="3061"/>
      <c r="CS272" s="3062"/>
      <c r="CT272" s="3063"/>
      <c r="CU272" s="3064">
        <f t="shared" si="78"/>
        <v>1</v>
      </c>
      <c r="CV272" s="3022" t="str">
        <f>IF(OR(CT272="",CT272="None"),"-",DO272*CU272*SUMIF('Lighting Assumptions'!$G$3:$G$112,'6a - Lighting Counts'!G272,'Lighting Assumptions'!$J$3:$J$112))</f>
        <v>-</v>
      </c>
      <c r="CW272" s="3021"/>
      <c r="CX272" s="3021"/>
      <c r="CY272" s="3046"/>
      <c r="CZ272" s="2098">
        <f t="shared" si="79"/>
        <v>0</v>
      </c>
      <c r="DA272" s="2098" t="str">
        <f t="shared" si="80"/>
        <v>-</v>
      </c>
      <c r="DB272" s="2098">
        <f t="shared" si="81"/>
        <v>0</v>
      </c>
      <c r="DC272" s="3023" t="str">
        <f t="shared" si="82"/>
        <v>-</v>
      </c>
      <c r="DD272" s="3024" t="str">
        <f t="shared" si="83"/>
        <v/>
      </c>
      <c r="DE272" s="3025" t="str">
        <f t="shared" si="84"/>
        <v>-</v>
      </c>
      <c r="DF272" s="3024" t="str">
        <f t="shared" si="75"/>
        <v>-</v>
      </c>
      <c r="DG272" s="2098">
        <f t="shared" si="85"/>
        <v>0</v>
      </c>
      <c r="DH272" s="2098">
        <f t="array" ref="DH272">MIN(SUMPRODUCT(I272:CR272,IF($I$25:$CR$25="yes",1,0),$I$23:$CR$23),H272)</f>
        <v>0</v>
      </c>
      <c r="DI272" s="3026"/>
      <c r="DJ272" s="3021"/>
      <c r="DN272" s="917" t="str">
        <f>IF(CS272="","-",SUMIF('Lighting Assumptions'!$G$3:$G$112,'6a - Lighting Counts'!G272,'Lighting Assumptions'!$J$3:$J$112))</f>
        <v>-</v>
      </c>
      <c r="DO272" s="917" t="str">
        <f t="shared" si="76"/>
        <v>-</v>
      </c>
      <c r="DP272" s="917" t="str">
        <f t="shared" si="77"/>
        <v>-</v>
      </c>
      <c r="DQ272" s="917" t="str">
        <f>IF(LEFT(CELLformula(DF272),3)&lt;&gt;"=IF",1,"")</f>
        <v/>
      </c>
      <c r="DR272" s="917" t="str">
        <f>IF(LEFT(CELLformula(DD272),3)&lt;&gt;"=IF",1,"")</f>
        <v/>
      </c>
      <c r="DS272" s="3048">
        <f t="shared" si="86"/>
        <v>0</v>
      </c>
      <c r="DT272" s="3047" t="str">
        <f t="shared" si="87"/>
        <v/>
      </c>
      <c r="DU272" s="3047" t="str">
        <f>IFERROR(IF(G272="","",SUMIF('Lighting Assumptions'!$G$3:$G$112,'6a - Lighting Counts'!G272,'Lighting Assumptions'!$H$3:$H$112)*IF(SI_IP_Units="SI",10.76,1)),"")</f>
        <v/>
      </c>
      <c r="DV272" s="3047" t="str">
        <f>IFERROR(IF($CX272="","",IF(SI_IP_Units="SI",10.76,1)*SUMIF(BAMCategories,$CY272,'Lighting Assumptions'!$E$3:E$35)),"")</f>
        <v/>
      </c>
      <c r="DW272" s="3047" t="str">
        <f>IFERROR(IF($CX272="","",IF(SI_IP_Units="SI",10.76,1)*SUMIF(BAMCategories,$CY272,IF(bpf_reference="ACP",'Lighting Assumptions 90.1-2010'!$E$3:E$35,'Lighting Assumptions 90.1-2016'!$E$3:E$35))),"")</f>
        <v/>
      </c>
      <c r="EW272" s="855"/>
      <c r="EX272" s="855"/>
      <c r="EY272" s="855"/>
      <c r="EZ272" s="855"/>
    </row>
    <row r="273" spans="4:156" x14ac:dyDescent="0.25">
      <c r="D273" s="3019"/>
      <c r="E273" s="3020"/>
      <c r="F273" s="3021">
        <f t="shared" si="74"/>
        <v>0</v>
      </c>
      <c r="G273" s="3059"/>
      <c r="H273" s="3060"/>
      <c r="I273" s="3061"/>
      <c r="J273" s="3061"/>
      <c r="K273" s="3061"/>
      <c r="L273" s="3061"/>
      <c r="M273" s="3061"/>
      <c r="N273" s="3061"/>
      <c r="O273" s="3061"/>
      <c r="P273" s="3061"/>
      <c r="Q273" s="3061"/>
      <c r="R273" s="3061"/>
      <c r="S273" s="3061"/>
      <c r="T273" s="3061"/>
      <c r="U273" s="3061"/>
      <c r="V273" s="3061"/>
      <c r="W273" s="3061"/>
      <c r="X273" s="3061"/>
      <c r="Y273" s="3061"/>
      <c r="Z273" s="3061"/>
      <c r="AA273" s="3061"/>
      <c r="AB273" s="3061"/>
      <c r="AC273" s="3061"/>
      <c r="AD273" s="3061"/>
      <c r="AE273" s="3061"/>
      <c r="AF273" s="3061"/>
      <c r="AG273" s="3061"/>
      <c r="AH273" s="3061"/>
      <c r="AI273" s="3061"/>
      <c r="AJ273" s="3061"/>
      <c r="AK273" s="3061"/>
      <c r="AL273" s="3061"/>
      <c r="AM273" s="3061"/>
      <c r="AN273" s="3061"/>
      <c r="AO273" s="3061"/>
      <c r="AP273" s="3061"/>
      <c r="AQ273" s="3061"/>
      <c r="AR273" s="3061"/>
      <c r="AS273" s="3061"/>
      <c r="AT273" s="3061"/>
      <c r="AU273" s="3061"/>
      <c r="AV273" s="3061"/>
      <c r="AW273" s="3061"/>
      <c r="AX273" s="3061"/>
      <c r="AY273" s="3061"/>
      <c r="AZ273" s="3061"/>
      <c r="BA273" s="3061"/>
      <c r="BB273" s="3061"/>
      <c r="BC273" s="3061"/>
      <c r="BD273" s="3061"/>
      <c r="BE273" s="3061"/>
      <c r="BF273" s="3061"/>
      <c r="BG273" s="3061"/>
      <c r="BH273" s="3061"/>
      <c r="BI273" s="3061"/>
      <c r="BJ273" s="3061"/>
      <c r="BK273" s="3061"/>
      <c r="BL273" s="3061"/>
      <c r="BM273" s="3061"/>
      <c r="BN273" s="3061"/>
      <c r="BO273" s="3061"/>
      <c r="BP273" s="3061"/>
      <c r="BQ273" s="3061"/>
      <c r="BR273" s="3061"/>
      <c r="BS273" s="3061"/>
      <c r="BT273" s="3061"/>
      <c r="BU273" s="3061"/>
      <c r="BV273" s="3061"/>
      <c r="BW273" s="3061"/>
      <c r="BX273" s="3061"/>
      <c r="BY273" s="3061"/>
      <c r="BZ273" s="3061"/>
      <c r="CA273" s="3061"/>
      <c r="CB273" s="3061"/>
      <c r="CC273" s="3061"/>
      <c r="CD273" s="3061"/>
      <c r="CE273" s="3061"/>
      <c r="CF273" s="3061"/>
      <c r="CG273" s="3061"/>
      <c r="CH273" s="3061"/>
      <c r="CI273" s="3061"/>
      <c r="CJ273" s="3061"/>
      <c r="CK273" s="3061"/>
      <c r="CL273" s="3061"/>
      <c r="CM273" s="3061"/>
      <c r="CN273" s="3061"/>
      <c r="CO273" s="3061"/>
      <c r="CP273" s="3061"/>
      <c r="CQ273" s="3061"/>
      <c r="CR273" s="3061"/>
      <c r="CS273" s="3062"/>
      <c r="CT273" s="3063"/>
      <c r="CU273" s="3064">
        <f t="shared" si="78"/>
        <v>1</v>
      </c>
      <c r="CV273" s="3022" t="str">
        <f>IF(OR(CT273="",CT273="None"),"-",DO273*CU273*SUMIF('Lighting Assumptions'!$G$3:$G$112,'6a - Lighting Counts'!G273,'Lighting Assumptions'!$J$3:$J$112))</f>
        <v>-</v>
      </c>
      <c r="CW273" s="3021"/>
      <c r="CX273" s="3021"/>
      <c r="CY273" s="3046"/>
      <c r="CZ273" s="2098">
        <f t="shared" si="79"/>
        <v>0</v>
      </c>
      <c r="DA273" s="2098" t="str">
        <f t="shared" si="80"/>
        <v>-</v>
      </c>
      <c r="DB273" s="2098">
        <f t="shared" si="81"/>
        <v>0</v>
      </c>
      <c r="DC273" s="3023" t="str">
        <f t="shared" si="82"/>
        <v>-</v>
      </c>
      <c r="DD273" s="3024" t="str">
        <f t="shared" si="83"/>
        <v/>
      </c>
      <c r="DE273" s="3025" t="str">
        <f t="shared" si="84"/>
        <v>-</v>
      </c>
      <c r="DF273" s="3024" t="str">
        <f t="shared" si="75"/>
        <v>-</v>
      </c>
      <c r="DG273" s="2098">
        <f t="shared" si="85"/>
        <v>0</v>
      </c>
      <c r="DH273" s="2098">
        <f t="array" ref="DH273">MIN(SUMPRODUCT(I273:CR273,IF($I$25:$CR$25="yes",1,0),$I$23:$CR$23),H273)</f>
        <v>0</v>
      </c>
      <c r="DI273" s="3026"/>
      <c r="DJ273" s="3021"/>
      <c r="DN273" s="917" t="str">
        <f>IF(CS273="","-",SUMIF('Lighting Assumptions'!$G$3:$G$112,'6a - Lighting Counts'!G273,'Lighting Assumptions'!$J$3:$J$112))</f>
        <v>-</v>
      </c>
      <c r="DO273" s="917" t="str">
        <f t="shared" si="76"/>
        <v>-</v>
      </c>
      <c r="DP273" s="917" t="str">
        <f t="shared" si="77"/>
        <v>-</v>
      </c>
      <c r="DQ273" s="917" t="str">
        <f>IF(LEFT(CELLformula(DF273),3)&lt;&gt;"=IF",1,"")</f>
        <v/>
      </c>
      <c r="DR273" s="917" t="str">
        <f>IF(LEFT(CELLformula(DD273),3)&lt;&gt;"=IF",1,"")</f>
        <v/>
      </c>
      <c r="DS273" s="3048">
        <f t="shared" si="86"/>
        <v>0</v>
      </c>
      <c r="DT273" s="3047" t="str">
        <f t="shared" si="87"/>
        <v/>
      </c>
      <c r="DU273" s="3047" t="str">
        <f>IFERROR(IF(G273="","",SUMIF('Lighting Assumptions'!$G$3:$G$112,'6a - Lighting Counts'!G273,'Lighting Assumptions'!$H$3:$H$112)*IF(SI_IP_Units="SI",10.76,1)),"")</f>
        <v/>
      </c>
      <c r="DV273" s="3047" t="str">
        <f>IFERROR(IF($CX273="","",IF(SI_IP_Units="SI",10.76,1)*SUMIF(BAMCategories,$CY273,'Lighting Assumptions'!$E$3:E$35)),"")</f>
        <v/>
      </c>
      <c r="DW273" s="3047" t="str">
        <f>IFERROR(IF($CX273="","",IF(SI_IP_Units="SI",10.76,1)*SUMIF(BAMCategories,$CY273,IF(bpf_reference="ACP",'Lighting Assumptions 90.1-2010'!$E$3:E$35,'Lighting Assumptions 90.1-2016'!$E$3:E$35))),"")</f>
        <v/>
      </c>
      <c r="EW273" s="855"/>
      <c r="EX273" s="855"/>
      <c r="EY273" s="855"/>
      <c r="EZ273" s="855"/>
    </row>
    <row r="274" spans="4:156" x14ac:dyDescent="0.25">
      <c r="D274" s="3019"/>
      <c r="E274" s="3020"/>
      <c r="F274" s="3021">
        <f t="shared" si="74"/>
        <v>0</v>
      </c>
      <c r="G274" s="3059"/>
      <c r="H274" s="3060"/>
      <c r="I274" s="3061"/>
      <c r="J274" s="3061"/>
      <c r="K274" s="3061"/>
      <c r="L274" s="3061"/>
      <c r="M274" s="3061"/>
      <c r="N274" s="3061"/>
      <c r="O274" s="3061"/>
      <c r="P274" s="3061"/>
      <c r="Q274" s="3061"/>
      <c r="R274" s="3061"/>
      <c r="S274" s="3061"/>
      <c r="T274" s="3061"/>
      <c r="U274" s="3061"/>
      <c r="V274" s="3061"/>
      <c r="W274" s="3061"/>
      <c r="X274" s="3061"/>
      <c r="Y274" s="3061"/>
      <c r="Z274" s="3061"/>
      <c r="AA274" s="3061"/>
      <c r="AB274" s="3061"/>
      <c r="AC274" s="3061"/>
      <c r="AD274" s="3061"/>
      <c r="AE274" s="3061"/>
      <c r="AF274" s="3061"/>
      <c r="AG274" s="3061"/>
      <c r="AH274" s="3061"/>
      <c r="AI274" s="3061"/>
      <c r="AJ274" s="3061"/>
      <c r="AK274" s="3061"/>
      <c r="AL274" s="3061"/>
      <c r="AM274" s="3061"/>
      <c r="AN274" s="3061"/>
      <c r="AO274" s="3061"/>
      <c r="AP274" s="3061"/>
      <c r="AQ274" s="3061"/>
      <c r="AR274" s="3061"/>
      <c r="AS274" s="3061"/>
      <c r="AT274" s="3061"/>
      <c r="AU274" s="3061"/>
      <c r="AV274" s="3061"/>
      <c r="AW274" s="3061"/>
      <c r="AX274" s="3061"/>
      <c r="AY274" s="3061"/>
      <c r="AZ274" s="3061"/>
      <c r="BA274" s="3061"/>
      <c r="BB274" s="3061"/>
      <c r="BC274" s="3061"/>
      <c r="BD274" s="3061"/>
      <c r="BE274" s="3061"/>
      <c r="BF274" s="3061"/>
      <c r="BG274" s="3061"/>
      <c r="BH274" s="3061"/>
      <c r="BI274" s="3061"/>
      <c r="BJ274" s="3061"/>
      <c r="BK274" s="3061"/>
      <c r="BL274" s="3061"/>
      <c r="BM274" s="3061"/>
      <c r="BN274" s="3061"/>
      <c r="BO274" s="3061"/>
      <c r="BP274" s="3061"/>
      <c r="BQ274" s="3061"/>
      <c r="BR274" s="3061"/>
      <c r="BS274" s="3061"/>
      <c r="BT274" s="3061"/>
      <c r="BU274" s="3061"/>
      <c r="BV274" s="3061"/>
      <c r="BW274" s="3061"/>
      <c r="BX274" s="3061"/>
      <c r="BY274" s="3061"/>
      <c r="BZ274" s="3061"/>
      <c r="CA274" s="3061"/>
      <c r="CB274" s="3061"/>
      <c r="CC274" s="3061"/>
      <c r="CD274" s="3061"/>
      <c r="CE274" s="3061"/>
      <c r="CF274" s="3061"/>
      <c r="CG274" s="3061"/>
      <c r="CH274" s="3061"/>
      <c r="CI274" s="3061"/>
      <c r="CJ274" s="3061"/>
      <c r="CK274" s="3061"/>
      <c r="CL274" s="3061"/>
      <c r="CM274" s="3061"/>
      <c r="CN274" s="3061"/>
      <c r="CO274" s="3061"/>
      <c r="CP274" s="3061"/>
      <c r="CQ274" s="3061"/>
      <c r="CR274" s="3061"/>
      <c r="CS274" s="3062"/>
      <c r="CT274" s="3063"/>
      <c r="CU274" s="3064">
        <f t="shared" si="78"/>
        <v>1</v>
      </c>
      <c r="CV274" s="3022" t="str">
        <f>IF(OR(CT274="",CT274="None"),"-",DO274*CU274*SUMIF('Lighting Assumptions'!$G$3:$G$112,'6a - Lighting Counts'!G274,'Lighting Assumptions'!$J$3:$J$112))</f>
        <v>-</v>
      </c>
      <c r="CW274" s="3021"/>
      <c r="CX274" s="3021"/>
      <c r="CY274" s="3046"/>
      <c r="CZ274" s="2098">
        <f t="shared" si="79"/>
        <v>0</v>
      </c>
      <c r="DA274" s="2098" t="str">
        <f t="shared" si="80"/>
        <v>-</v>
      </c>
      <c r="DB274" s="2098">
        <f t="shared" si="81"/>
        <v>0</v>
      </c>
      <c r="DC274" s="3023" t="str">
        <f t="shared" si="82"/>
        <v>-</v>
      </c>
      <c r="DD274" s="3024" t="str">
        <f t="shared" si="83"/>
        <v/>
      </c>
      <c r="DE274" s="3025" t="str">
        <f t="shared" si="84"/>
        <v>-</v>
      </c>
      <c r="DF274" s="3024" t="str">
        <f t="shared" si="75"/>
        <v>-</v>
      </c>
      <c r="DG274" s="2098">
        <f t="shared" si="85"/>
        <v>0</v>
      </c>
      <c r="DH274" s="2098">
        <f t="array" ref="DH274">MIN(SUMPRODUCT(I274:CR274,IF($I$25:$CR$25="yes",1,0),$I$23:$CR$23),H274)</f>
        <v>0</v>
      </c>
      <c r="DI274" s="3026"/>
      <c r="DJ274" s="3021"/>
      <c r="DN274" s="917" t="str">
        <f>IF(CS274="","-",SUMIF('Lighting Assumptions'!$G$3:$G$112,'6a - Lighting Counts'!G274,'Lighting Assumptions'!$J$3:$J$112))</f>
        <v>-</v>
      </c>
      <c r="DO274" s="917" t="str">
        <f t="shared" si="76"/>
        <v>-</v>
      </c>
      <c r="DP274" s="917" t="str">
        <f t="shared" si="77"/>
        <v>-</v>
      </c>
      <c r="DQ274" s="917" t="str">
        <f>IF(LEFT(CELLformula(DF274),3)&lt;&gt;"=IF",1,"")</f>
        <v/>
      </c>
      <c r="DR274" s="917" t="str">
        <f>IF(LEFT(CELLformula(DD274),3)&lt;&gt;"=IF",1,"")</f>
        <v/>
      </c>
      <c r="DS274" s="3048">
        <f t="shared" si="86"/>
        <v>0</v>
      </c>
      <c r="DT274" s="3047" t="str">
        <f t="shared" si="87"/>
        <v/>
      </c>
      <c r="DU274" s="3047" t="str">
        <f>IFERROR(IF(G274="","",SUMIF('Lighting Assumptions'!$G$3:$G$112,'6a - Lighting Counts'!G274,'Lighting Assumptions'!$H$3:$H$112)*IF(SI_IP_Units="SI",10.76,1)),"")</f>
        <v/>
      </c>
      <c r="DV274" s="3047" t="str">
        <f>IFERROR(IF($CX274="","",IF(SI_IP_Units="SI",10.76,1)*SUMIF(BAMCategories,$CY274,'Lighting Assumptions'!$E$3:E$35)),"")</f>
        <v/>
      </c>
      <c r="DW274" s="3047" t="str">
        <f>IFERROR(IF($CX274="","",IF(SI_IP_Units="SI",10.76,1)*SUMIF(BAMCategories,$CY274,IF(bpf_reference="ACP",'Lighting Assumptions 90.1-2010'!$E$3:E$35,'Lighting Assumptions 90.1-2016'!$E$3:E$35))),"")</f>
        <v/>
      </c>
      <c r="EW274" s="855"/>
      <c r="EX274" s="855"/>
      <c r="EY274" s="855"/>
      <c r="EZ274" s="855"/>
    </row>
    <row r="275" spans="4:156" x14ac:dyDescent="0.25">
      <c r="D275" s="3019"/>
      <c r="E275" s="3020"/>
      <c r="F275" s="3021">
        <f t="shared" si="74"/>
        <v>0</v>
      </c>
      <c r="G275" s="3059"/>
      <c r="H275" s="3060"/>
      <c r="I275" s="3061"/>
      <c r="J275" s="3061"/>
      <c r="K275" s="3061"/>
      <c r="L275" s="3061"/>
      <c r="M275" s="3061"/>
      <c r="N275" s="3061"/>
      <c r="O275" s="3061"/>
      <c r="P275" s="3061"/>
      <c r="Q275" s="3061"/>
      <c r="R275" s="3061"/>
      <c r="S275" s="3061"/>
      <c r="T275" s="3061"/>
      <c r="U275" s="3061"/>
      <c r="V275" s="3061"/>
      <c r="W275" s="3061"/>
      <c r="X275" s="3061"/>
      <c r="Y275" s="3061"/>
      <c r="Z275" s="3061"/>
      <c r="AA275" s="3061"/>
      <c r="AB275" s="3061"/>
      <c r="AC275" s="3061"/>
      <c r="AD275" s="3061"/>
      <c r="AE275" s="3061"/>
      <c r="AF275" s="3061"/>
      <c r="AG275" s="3061"/>
      <c r="AH275" s="3061"/>
      <c r="AI275" s="3061"/>
      <c r="AJ275" s="3061"/>
      <c r="AK275" s="3061"/>
      <c r="AL275" s="3061"/>
      <c r="AM275" s="3061"/>
      <c r="AN275" s="3061"/>
      <c r="AO275" s="3061"/>
      <c r="AP275" s="3061"/>
      <c r="AQ275" s="3061"/>
      <c r="AR275" s="3061"/>
      <c r="AS275" s="3061"/>
      <c r="AT275" s="3061"/>
      <c r="AU275" s="3061"/>
      <c r="AV275" s="3061"/>
      <c r="AW275" s="3061"/>
      <c r="AX275" s="3061"/>
      <c r="AY275" s="3061"/>
      <c r="AZ275" s="3061"/>
      <c r="BA275" s="3061"/>
      <c r="BB275" s="3061"/>
      <c r="BC275" s="3061"/>
      <c r="BD275" s="3061"/>
      <c r="BE275" s="3061"/>
      <c r="BF275" s="3061"/>
      <c r="BG275" s="3061"/>
      <c r="BH275" s="3061"/>
      <c r="BI275" s="3061"/>
      <c r="BJ275" s="3061"/>
      <c r="BK275" s="3061"/>
      <c r="BL275" s="3061"/>
      <c r="BM275" s="3061"/>
      <c r="BN275" s="3061"/>
      <c r="BO275" s="3061"/>
      <c r="BP275" s="3061"/>
      <c r="BQ275" s="3061"/>
      <c r="BR275" s="3061"/>
      <c r="BS275" s="3061"/>
      <c r="BT275" s="3061"/>
      <c r="BU275" s="3061"/>
      <c r="BV275" s="3061"/>
      <c r="BW275" s="3061"/>
      <c r="BX275" s="3061"/>
      <c r="BY275" s="3061"/>
      <c r="BZ275" s="3061"/>
      <c r="CA275" s="3061"/>
      <c r="CB275" s="3061"/>
      <c r="CC275" s="3061"/>
      <c r="CD275" s="3061"/>
      <c r="CE275" s="3061"/>
      <c r="CF275" s="3061"/>
      <c r="CG275" s="3061"/>
      <c r="CH275" s="3061"/>
      <c r="CI275" s="3061"/>
      <c r="CJ275" s="3061"/>
      <c r="CK275" s="3061"/>
      <c r="CL275" s="3061"/>
      <c r="CM275" s="3061"/>
      <c r="CN275" s="3061"/>
      <c r="CO275" s="3061"/>
      <c r="CP275" s="3061"/>
      <c r="CQ275" s="3061"/>
      <c r="CR275" s="3061"/>
      <c r="CS275" s="3062"/>
      <c r="CT275" s="3063"/>
      <c r="CU275" s="3064">
        <f t="shared" si="78"/>
        <v>1</v>
      </c>
      <c r="CV275" s="3022" t="str">
        <f>IF(OR(CT275="",CT275="None"),"-",DO275*CU275*SUMIF('Lighting Assumptions'!$G$3:$G$112,'6a - Lighting Counts'!G275,'Lighting Assumptions'!$J$3:$J$112))</f>
        <v>-</v>
      </c>
      <c r="CW275" s="3021"/>
      <c r="CX275" s="3021"/>
      <c r="CY275" s="3046"/>
      <c r="CZ275" s="2098">
        <f t="shared" si="79"/>
        <v>0</v>
      </c>
      <c r="DA275" s="2098" t="str">
        <f t="shared" si="80"/>
        <v>-</v>
      </c>
      <c r="DB275" s="2098">
        <f t="shared" si="81"/>
        <v>0</v>
      </c>
      <c r="DC275" s="3023" t="str">
        <f t="shared" si="82"/>
        <v>-</v>
      </c>
      <c r="DD275" s="3024" t="str">
        <f t="shared" si="83"/>
        <v/>
      </c>
      <c r="DE275" s="3025" t="str">
        <f t="shared" si="84"/>
        <v>-</v>
      </c>
      <c r="DF275" s="3024" t="str">
        <f t="shared" si="75"/>
        <v>-</v>
      </c>
      <c r="DG275" s="2098">
        <f t="shared" si="85"/>
        <v>0</v>
      </c>
      <c r="DH275" s="2098">
        <f t="array" ref="DH275">MIN(SUMPRODUCT(I275:CR275,IF($I$25:$CR$25="yes",1,0),$I$23:$CR$23),H275)</f>
        <v>0</v>
      </c>
      <c r="DI275" s="3026"/>
      <c r="DJ275" s="3021"/>
      <c r="DN275" s="917" t="str">
        <f>IF(CS275="","-",SUMIF('Lighting Assumptions'!$G$3:$G$112,'6a - Lighting Counts'!G275,'Lighting Assumptions'!$J$3:$J$112))</f>
        <v>-</v>
      </c>
      <c r="DO275" s="917" t="str">
        <f t="shared" si="76"/>
        <v>-</v>
      </c>
      <c r="DP275" s="917" t="str">
        <f t="shared" si="77"/>
        <v>-</v>
      </c>
      <c r="DQ275" s="917" t="str">
        <f>IF(LEFT(CELLformula(DF275),3)&lt;&gt;"=IF",1,"")</f>
        <v/>
      </c>
      <c r="DR275" s="917" t="str">
        <f>IF(LEFT(CELLformula(DD275),3)&lt;&gt;"=IF",1,"")</f>
        <v/>
      </c>
      <c r="DS275" s="3048">
        <f t="shared" si="86"/>
        <v>0</v>
      </c>
      <c r="DT275" s="3047" t="str">
        <f t="shared" si="87"/>
        <v/>
      </c>
      <c r="DU275" s="3047" t="str">
        <f>IFERROR(IF(G275="","",SUMIF('Lighting Assumptions'!$G$3:$G$112,'6a - Lighting Counts'!G275,'Lighting Assumptions'!$H$3:$H$112)*IF(SI_IP_Units="SI",10.76,1)),"")</f>
        <v/>
      </c>
      <c r="DV275" s="3047" t="str">
        <f>IFERROR(IF($CX275="","",IF(SI_IP_Units="SI",10.76,1)*SUMIF(BAMCategories,$CY275,'Lighting Assumptions'!$E$3:E$35)),"")</f>
        <v/>
      </c>
      <c r="DW275" s="3047" t="str">
        <f>IFERROR(IF($CX275="","",IF(SI_IP_Units="SI",10.76,1)*SUMIF(BAMCategories,$CY275,IF(bpf_reference="ACP",'Lighting Assumptions 90.1-2010'!$E$3:E$35,'Lighting Assumptions 90.1-2016'!$E$3:E$35))),"")</f>
        <v/>
      </c>
      <c r="EW275" s="855"/>
      <c r="EX275" s="855"/>
      <c r="EY275" s="855"/>
      <c r="EZ275" s="855"/>
    </row>
    <row r="276" spans="4:156" x14ac:dyDescent="0.25">
      <c r="D276" s="3019"/>
      <c r="E276" s="3020"/>
      <c r="F276" s="3021">
        <f t="shared" si="74"/>
        <v>0</v>
      </c>
      <c r="G276" s="3059"/>
      <c r="H276" s="3060"/>
      <c r="I276" s="3061"/>
      <c r="J276" s="3061"/>
      <c r="K276" s="3061"/>
      <c r="L276" s="3061"/>
      <c r="M276" s="3061"/>
      <c r="N276" s="3061"/>
      <c r="O276" s="3061"/>
      <c r="P276" s="3061"/>
      <c r="Q276" s="3061"/>
      <c r="R276" s="3061"/>
      <c r="S276" s="3061"/>
      <c r="T276" s="3061"/>
      <c r="U276" s="3061"/>
      <c r="V276" s="3061"/>
      <c r="W276" s="3061"/>
      <c r="X276" s="3061"/>
      <c r="Y276" s="3061"/>
      <c r="Z276" s="3061"/>
      <c r="AA276" s="3061"/>
      <c r="AB276" s="3061"/>
      <c r="AC276" s="3061"/>
      <c r="AD276" s="3061"/>
      <c r="AE276" s="3061"/>
      <c r="AF276" s="3061"/>
      <c r="AG276" s="3061"/>
      <c r="AH276" s="3061"/>
      <c r="AI276" s="3061"/>
      <c r="AJ276" s="3061"/>
      <c r="AK276" s="3061"/>
      <c r="AL276" s="3061"/>
      <c r="AM276" s="3061"/>
      <c r="AN276" s="3061"/>
      <c r="AO276" s="3061"/>
      <c r="AP276" s="3061"/>
      <c r="AQ276" s="3061"/>
      <c r="AR276" s="3061"/>
      <c r="AS276" s="3061"/>
      <c r="AT276" s="3061"/>
      <c r="AU276" s="3061"/>
      <c r="AV276" s="3061"/>
      <c r="AW276" s="3061"/>
      <c r="AX276" s="3061"/>
      <c r="AY276" s="3061"/>
      <c r="AZ276" s="3061"/>
      <c r="BA276" s="3061"/>
      <c r="BB276" s="3061"/>
      <c r="BC276" s="3061"/>
      <c r="BD276" s="3061"/>
      <c r="BE276" s="3061"/>
      <c r="BF276" s="3061"/>
      <c r="BG276" s="3061"/>
      <c r="BH276" s="3061"/>
      <c r="BI276" s="3061"/>
      <c r="BJ276" s="3061"/>
      <c r="BK276" s="3061"/>
      <c r="BL276" s="3061"/>
      <c r="BM276" s="3061"/>
      <c r="BN276" s="3061"/>
      <c r="BO276" s="3061"/>
      <c r="BP276" s="3061"/>
      <c r="BQ276" s="3061"/>
      <c r="BR276" s="3061"/>
      <c r="BS276" s="3061"/>
      <c r="BT276" s="3061"/>
      <c r="BU276" s="3061"/>
      <c r="BV276" s="3061"/>
      <c r="BW276" s="3061"/>
      <c r="BX276" s="3061"/>
      <c r="BY276" s="3061"/>
      <c r="BZ276" s="3061"/>
      <c r="CA276" s="3061"/>
      <c r="CB276" s="3061"/>
      <c r="CC276" s="3061"/>
      <c r="CD276" s="3061"/>
      <c r="CE276" s="3061"/>
      <c r="CF276" s="3061"/>
      <c r="CG276" s="3061"/>
      <c r="CH276" s="3061"/>
      <c r="CI276" s="3061"/>
      <c r="CJ276" s="3061"/>
      <c r="CK276" s="3061"/>
      <c r="CL276" s="3061"/>
      <c r="CM276" s="3061"/>
      <c r="CN276" s="3061"/>
      <c r="CO276" s="3061"/>
      <c r="CP276" s="3061"/>
      <c r="CQ276" s="3061"/>
      <c r="CR276" s="3061"/>
      <c r="CS276" s="3062"/>
      <c r="CT276" s="3063"/>
      <c r="CU276" s="3064">
        <f t="shared" si="78"/>
        <v>1</v>
      </c>
      <c r="CV276" s="3022" t="str">
        <f>IF(OR(CT276="",CT276="None"),"-",DO276*CU276*SUMIF('Lighting Assumptions'!$G$3:$G$112,'6a - Lighting Counts'!G276,'Lighting Assumptions'!$J$3:$J$112))</f>
        <v>-</v>
      </c>
      <c r="CW276" s="3021"/>
      <c r="CX276" s="3021"/>
      <c r="CY276" s="3046"/>
      <c r="CZ276" s="2098">
        <f t="shared" si="79"/>
        <v>0</v>
      </c>
      <c r="DA276" s="2098" t="str">
        <f t="shared" si="80"/>
        <v>-</v>
      </c>
      <c r="DB276" s="2098">
        <f t="shared" si="81"/>
        <v>0</v>
      </c>
      <c r="DC276" s="3023" t="str">
        <f t="shared" si="82"/>
        <v>-</v>
      </c>
      <c r="DD276" s="3024" t="str">
        <f t="shared" si="83"/>
        <v/>
      </c>
      <c r="DE276" s="3025" t="str">
        <f t="shared" si="84"/>
        <v>-</v>
      </c>
      <c r="DF276" s="3024" t="str">
        <f t="shared" si="75"/>
        <v>-</v>
      </c>
      <c r="DG276" s="2098">
        <f t="shared" si="85"/>
        <v>0</v>
      </c>
      <c r="DH276" s="2098">
        <f t="array" ref="DH276">MIN(SUMPRODUCT(I276:CR276,IF($I$25:$CR$25="yes",1,0),$I$23:$CR$23),H276)</f>
        <v>0</v>
      </c>
      <c r="DI276" s="3026"/>
      <c r="DJ276" s="3021"/>
      <c r="DN276" s="917" t="str">
        <f>IF(CS276="","-",SUMIF('Lighting Assumptions'!$G$3:$G$112,'6a - Lighting Counts'!G276,'Lighting Assumptions'!$J$3:$J$112))</f>
        <v>-</v>
      </c>
      <c r="DO276" s="917" t="str">
        <f t="shared" si="76"/>
        <v>-</v>
      </c>
      <c r="DP276" s="917" t="str">
        <f t="shared" si="77"/>
        <v>-</v>
      </c>
      <c r="DQ276" s="917" t="str">
        <f>IF(LEFT(CELLformula(DF276),3)&lt;&gt;"=IF",1,"")</f>
        <v/>
      </c>
      <c r="DR276" s="917" t="str">
        <f>IF(LEFT(CELLformula(DD276),3)&lt;&gt;"=IF",1,"")</f>
        <v/>
      </c>
      <c r="DS276" s="3048">
        <f t="shared" si="86"/>
        <v>0</v>
      </c>
      <c r="DT276" s="3047" t="str">
        <f t="shared" si="87"/>
        <v/>
      </c>
      <c r="DU276" s="3047" t="str">
        <f>IFERROR(IF(G276="","",SUMIF('Lighting Assumptions'!$G$3:$G$112,'6a - Lighting Counts'!G276,'Lighting Assumptions'!$H$3:$H$112)*IF(SI_IP_Units="SI",10.76,1)),"")</f>
        <v/>
      </c>
      <c r="DV276" s="3047" t="str">
        <f>IFERROR(IF($CX276="","",IF(SI_IP_Units="SI",10.76,1)*SUMIF(BAMCategories,$CY276,'Lighting Assumptions'!$E$3:E$35)),"")</f>
        <v/>
      </c>
      <c r="DW276" s="3047" t="str">
        <f>IFERROR(IF($CX276="","",IF(SI_IP_Units="SI",10.76,1)*SUMIF(BAMCategories,$CY276,IF(bpf_reference="ACP",'Lighting Assumptions 90.1-2010'!$E$3:E$35,'Lighting Assumptions 90.1-2016'!$E$3:E$35))),"")</f>
        <v/>
      </c>
      <c r="EW276" s="855"/>
      <c r="EX276" s="855"/>
      <c r="EY276" s="855"/>
      <c r="EZ276" s="855"/>
    </row>
    <row r="277" spans="4:156" x14ac:dyDescent="0.25">
      <c r="D277" s="3019"/>
      <c r="E277" s="3020"/>
      <c r="F277" s="3021">
        <f t="shared" si="74"/>
        <v>0</v>
      </c>
      <c r="G277" s="3059"/>
      <c r="H277" s="3060"/>
      <c r="I277" s="3061"/>
      <c r="J277" s="3061"/>
      <c r="K277" s="3061"/>
      <c r="L277" s="3061"/>
      <c r="M277" s="3061"/>
      <c r="N277" s="3061"/>
      <c r="O277" s="3061"/>
      <c r="P277" s="3061"/>
      <c r="Q277" s="3061"/>
      <c r="R277" s="3061"/>
      <c r="S277" s="3061"/>
      <c r="T277" s="3061"/>
      <c r="U277" s="3061"/>
      <c r="V277" s="3061"/>
      <c r="W277" s="3061"/>
      <c r="X277" s="3061"/>
      <c r="Y277" s="3061"/>
      <c r="Z277" s="3061"/>
      <c r="AA277" s="3061"/>
      <c r="AB277" s="3061"/>
      <c r="AC277" s="3061"/>
      <c r="AD277" s="3061"/>
      <c r="AE277" s="3061"/>
      <c r="AF277" s="3061"/>
      <c r="AG277" s="3061"/>
      <c r="AH277" s="3061"/>
      <c r="AI277" s="3061"/>
      <c r="AJ277" s="3061"/>
      <c r="AK277" s="3061"/>
      <c r="AL277" s="3061"/>
      <c r="AM277" s="3061"/>
      <c r="AN277" s="3061"/>
      <c r="AO277" s="3061"/>
      <c r="AP277" s="3061"/>
      <c r="AQ277" s="3061"/>
      <c r="AR277" s="3061"/>
      <c r="AS277" s="3061"/>
      <c r="AT277" s="3061"/>
      <c r="AU277" s="3061"/>
      <c r="AV277" s="3061"/>
      <c r="AW277" s="3061"/>
      <c r="AX277" s="3061"/>
      <c r="AY277" s="3061"/>
      <c r="AZ277" s="3061"/>
      <c r="BA277" s="3061"/>
      <c r="BB277" s="3061"/>
      <c r="BC277" s="3061"/>
      <c r="BD277" s="3061"/>
      <c r="BE277" s="3061"/>
      <c r="BF277" s="3061"/>
      <c r="BG277" s="3061"/>
      <c r="BH277" s="3061"/>
      <c r="BI277" s="3061"/>
      <c r="BJ277" s="3061"/>
      <c r="BK277" s="3061"/>
      <c r="BL277" s="3061"/>
      <c r="BM277" s="3061"/>
      <c r="BN277" s="3061"/>
      <c r="BO277" s="3061"/>
      <c r="BP277" s="3061"/>
      <c r="BQ277" s="3061"/>
      <c r="BR277" s="3061"/>
      <c r="BS277" s="3061"/>
      <c r="BT277" s="3061"/>
      <c r="BU277" s="3061"/>
      <c r="BV277" s="3061"/>
      <c r="BW277" s="3061"/>
      <c r="BX277" s="3061"/>
      <c r="BY277" s="3061"/>
      <c r="BZ277" s="3061"/>
      <c r="CA277" s="3061"/>
      <c r="CB277" s="3061"/>
      <c r="CC277" s="3061"/>
      <c r="CD277" s="3061"/>
      <c r="CE277" s="3061"/>
      <c r="CF277" s="3061"/>
      <c r="CG277" s="3061"/>
      <c r="CH277" s="3061"/>
      <c r="CI277" s="3061"/>
      <c r="CJ277" s="3061"/>
      <c r="CK277" s="3061"/>
      <c r="CL277" s="3061"/>
      <c r="CM277" s="3061"/>
      <c r="CN277" s="3061"/>
      <c r="CO277" s="3061"/>
      <c r="CP277" s="3061"/>
      <c r="CQ277" s="3061"/>
      <c r="CR277" s="3061"/>
      <c r="CS277" s="3062"/>
      <c r="CT277" s="3063"/>
      <c r="CU277" s="3064">
        <f t="shared" si="78"/>
        <v>1</v>
      </c>
      <c r="CV277" s="3022" t="str">
        <f>IF(OR(CT277="",CT277="None"),"-",DO277*CU277*SUMIF('Lighting Assumptions'!$G$3:$G$112,'6a - Lighting Counts'!G277,'Lighting Assumptions'!$J$3:$J$112))</f>
        <v>-</v>
      </c>
      <c r="CW277" s="3021"/>
      <c r="CX277" s="3021"/>
      <c r="CY277" s="3046"/>
      <c r="CZ277" s="2098">
        <f t="shared" si="79"/>
        <v>0</v>
      </c>
      <c r="DA277" s="2098" t="str">
        <f t="shared" si="80"/>
        <v>-</v>
      </c>
      <c r="DB277" s="2098">
        <f t="shared" si="81"/>
        <v>0</v>
      </c>
      <c r="DC277" s="3023" t="str">
        <f t="shared" si="82"/>
        <v>-</v>
      </c>
      <c r="DD277" s="3024" t="str">
        <f t="shared" si="83"/>
        <v/>
      </c>
      <c r="DE277" s="3025" t="str">
        <f t="shared" si="84"/>
        <v>-</v>
      </c>
      <c r="DF277" s="3024" t="str">
        <f t="shared" si="75"/>
        <v>-</v>
      </c>
      <c r="DG277" s="2098">
        <f t="shared" si="85"/>
        <v>0</v>
      </c>
      <c r="DH277" s="2098">
        <f t="array" ref="DH277">MIN(SUMPRODUCT(I277:CR277,IF($I$25:$CR$25="yes",1,0),$I$23:$CR$23),H277)</f>
        <v>0</v>
      </c>
      <c r="DI277" s="3026"/>
      <c r="DJ277" s="3021"/>
      <c r="DN277" s="917" t="str">
        <f>IF(CS277="","-",SUMIF('Lighting Assumptions'!$G$3:$G$112,'6a - Lighting Counts'!G277,'Lighting Assumptions'!$J$3:$J$112))</f>
        <v>-</v>
      </c>
      <c r="DO277" s="917" t="str">
        <f t="shared" si="76"/>
        <v>-</v>
      </c>
      <c r="DP277" s="917" t="str">
        <f t="shared" si="77"/>
        <v>-</v>
      </c>
      <c r="DQ277" s="917" t="str">
        <f>IF(LEFT(CELLformula(DF277),3)&lt;&gt;"=IF",1,"")</f>
        <v/>
      </c>
      <c r="DR277" s="917" t="str">
        <f>IF(LEFT(CELLformula(DD277),3)&lt;&gt;"=IF",1,"")</f>
        <v/>
      </c>
      <c r="DS277" s="3048">
        <f t="shared" si="86"/>
        <v>0</v>
      </c>
      <c r="DT277" s="3047" t="str">
        <f t="shared" si="87"/>
        <v/>
      </c>
      <c r="DU277" s="3047" t="str">
        <f>IFERROR(IF(G277="","",SUMIF('Lighting Assumptions'!$G$3:$G$112,'6a - Lighting Counts'!G277,'Lighting Assumptions'!$H$3:$H$112)*IF(SI_IP_Units="SI",10.76,1)),"")</f>
        <v/>
      </c>
      <c r="DV277" s="3047" t="str">
        <f>IFERROR(IF($CX277="","",IF(SI_IP_Units="SI",10.76,1)*SUMIF(BAMCategories,$CY277,'Lighting Assumptions'!$E$3:E$35)),"")</f>
        <v/>
      </c>
      <c r="DW277" s="3047" t="str">
        <f>IFERROR(IF($CX277="","",IF(SI_IP_Units="SI",10.76,1)*SUMIF(BAMCategories,$CY277,IF(bpf_reference="ACP",'Lighting Assumptions 90.1-2010'!$E$3:E$35,'Lighting Assumptions 90.1-2016'!$E$3:E$35))),"")</f>
        <v/>
      </c>
      <c r="EW277" s="855"/>
      <c r="EX277" s="855"/>
      <c r="EY277" s="855"/>
      <c r="EZ277" s="855"/>
    </row>
    <row r="278" spans="4:156" x14ac:dyDescent="0.25">
      <c r="D278" s="3019"/>
      <c r="E278" s="3020"/>
      <c r="F278" s="3021">
        <f t="shared" si="74"/>
        <v>0</v>
      </c>
      <c r="G278" s="3059"/>
      <c r="H278" s="3060"/>
      <c r="I278" s="3061"/>
      <c r="J278" s="3061"/>
      <c r="K278" s="3061"/>
      <c r="L278" s="3061"/>
      <c r="M278" s="3061"/>
      <c r="N278" s="3061"/>
      <c r="O278" s="3061"/>
      <c r="P278" s="3061"/>
      <c r="Q278" s="3061"/>
      <c r="R278" s="3061"/>
      <c r="S278" s="3061"/>
      <c r="T278" s="3061"/>
      <c r="U278" s="3061"/>
      <c r="V278" s="3061"/>
      <c r="W278" s="3061"/>
      <c r="X278" s="3061"/>
      <c r="Y278" s="3061"/>
      <c r="Z278" s="3061"/>
      <c r="AA278" s="3061"/>
      <c r="AB278" s="3061"/>
      <c r="AC278" s="3061"/>
      <c r="AD278" s="3061"/>
      <c r="AE278" s="3061"/>
      <c r="AF278" s="3061"/>
      <c r="AG278" s="3061"/>
      <c r="AH278" s="3061"/>
      <c r="AI278" s="3061"/>
      <c r="AJ278" s="3061"/>
      <c r="AK278" s="3061"/>
      <c r="AL278" s="3061"/>
      <c r="AM278" s="3061"/>
      <c r="AN278" s="3061"/>
      <c r="AO278" s="3061"/>
      <c r="AP278" s="3061"/>
      <c r="AQ278" s="3061"/>
      <c r="AR278" s="3061"/>
      <c r="AS278" s="3061"/>
      <c r="AT278" s="3061"/>
      <c r="AU278" s="3061"/>
      <c r="AV278" s="3061"/>
      <c r="AW278" s="3061"/>
      <c r="AX278" s="3061"/>
      <c r="AY278" s="3061"/>
      <c r="AZ278" s="3061"/>
      <c r="BA278" s="3061"/>
      <c r="BB278" s="3061"/>
      <c r="BC278" s="3061"/>
      <c r="BD278" s="3061"/>
      <c r="BE278" s="3061"/>
      <c r="BF278" s="3061"/>
      <c r="BG278" s="3061"/>
      <c r="BH278" s="3061"/>
      <c r="BI278" s="3061"/>
      <c r="BJ278" s="3061"/>
      <c r="BK278" s="3061"/>
      <c r="BL278" s="3061"/>
      <c r="BM278" s="3061"/>
      <c r="BN278" s="3061"/>
      <c r="BO278" s="3061"/>
      <c r="BP278" s="3061"/>
      <c r="BQ278" s="3061"/>
      <c r="BR278" s="3061"/>
      <c r="BS278" s="3061"/>
      <c r="BT278" s="3061"/>
      <c r="BU278" s="3061"/>
      <c r="BV278" s="3061"/>
      <c r="BW278" s="3061"/>
      <c r="BX278" s="3061"/>
      <c r="BY278" s="3061"/>
      <c r="BZ278" s="3061"/>
      <c r="CA278" s="3061"/>
      <c r="CB278" s="3061"/>
      <c r="CC278" s="3061"/>
      <c r="CD278" s="3061"/>
      <c r="CE278" s="3061"/>
      <c r="CF278" s="3061"/>
      <c r="CG278" s="3061"/>
      <c r="CH278" s="3061"/>
      <c r="CI278" s="3061"/>
      <c r="CJ278" s="3061"/>
      <c r="CK278" s="3061"/>
      <c r="CL278" s="3061"/>
      <c r="CM278" s="3061"/>
      <c r="CN278" s="3061"/>
      <c r="CO278" s="3061"/>
      <c r="CP278" s="3061"/>
      <c r="CQ278" s="3061"/>
      <c r="CR278" s="3061"/>
      <c r="CS278" s="3062"/>
      <c r="CT278" s="3063"/>
      <c r="CU278" s="3064">
        <f t="shared" si="78"/>
        <v>1</v>
      </c>
      <c r="CV278" s="3022" t="str">
        <f>IF(OR(CT278="",CT278="None"),"-",DO278*CU278*SUMIF('Lighting Assumptions'!$G$3:$G$112,'6a - Lighting Counts'!G278,'Lighting Assumptions'!$J$3:$J$112))</f>
        <v>-</v>
      </c>
      <c r="CW278" s="3021"/>
      <c r="CX278" s="3021"/>
      <c r="CY278" s="3046"/>
      <c r="CZ278" s="2098">
        <f t="shared" si="79"/>
        <v>0</v>
      </c>
      <c r="DA278" s="2098" t="str">
        <f t="shared" si="80"/>
        <v>-</v>
      </c>
      <c r="DB278" s="2098">
        <f t="shared" si="81"/>
        <v>0</v>
      </c>
      <c r="DC278" s="3023" t="str">
        <f t="shared" si="82"/>
        <v>-</v>
      </c>
      <c r="DD278" s="3024" t="str">
        <f t="shared" si="83"/>
        <v/>
      </c>
      <c r="DE278" s="3025" t="str">
        <f t="shared" si="84"/>
        <v>-</v>
      </c>
      <c r="DF278" s="3024" t="str">
        <f t="shared" si="75"/>
        <v>-</v>
      </c>
      <c r="DG278" s="2098">
        <f t="shared" si="85"/>
        <v>0</v>
      </c>
      <c r="DH278" s="2098">
        <f t="array" ref="DH278">MIN(SUMPRODUCT(I278:CR278,IF($I$25:$CR$25="yes",1,0),$I$23:$CR$23),H278)</f>
        <v>0</v>
      </c>
      <c r="DI278" s="3026"/>
      <c r="DJ278" s="3021"/>
      <c r="DN278" s="917" t="str">
        <f>IF(CS278="","-",SUMIF('Lighting Assumptions'!$G$3:$G$112,'6a - Lighting Counts'!G278,'Lighting Assumptions'!$J$3:$J$112))</f>
        <v>-</v>
      </c>
      <c r="DO278" s="917" t="str">
        <f t="shared" si="76"/>
        <v>-</v>
      </c>
      <c r="DP278" s="917" t="str">
        <f t="shared" si="77"/>
        <v>-</v>
      </c>
      <c r="DQ278" s="917" t="str">
        <f>IF(LEFT(CELLformula(DF278),3)&lt;&gt;"=IF",1,"")</f>
        <v/>
      </c>
      <c r="DR278" s="917" t="str">
        <f>IF(LEFT(CELLformula(DD278),3)&lt;&gt;"=IF",1,"")</f>
        <v/>
      </c>
      <c r="DS278" s="3048">
        <f t="shared" si="86"/>
        <v>0</v>
      </c>
      <c r="DT278" s="3047" t="str">
        <f t="shared" si="87"/>
        <v/>
      </c>
      <c r="DU278" s="3047" t="str">
        <f>IFERROR(IF(G278="","",SUMIF('Lighting Assumptions'!$G$3:$G$112,'6a - Lighting Counts'!G278,'Lighting Assumptions'!$H$3:$H$112)*IF(SI_IP_Units="SI",10.76,1)),"")</f>
        <v/>
      </c>
      <c r="DV278" s="3047" t="str">
        <f>IFERROR(IF($CX278="","",IF(SI_IP_Units="SI",10.76,1)*SUMIF(BAMCategories,$CY278,'Lighting Assumptions'!$E$3:E$35)),"")</f>
        <v/>
      </c>
      <c r="DW278" s="3047" t="str">
        <f>IFERROR(IF($CX278="","",IF(SI_IP_Units="SI",10.76,1)*SUMIF(BAMCategories,$CY278,IF(bpf_reference="ACP",'Lighting Assumptions 90.1-2010'!$E$3:E$35,'Lighting Assumptions 90.1-2016'!$E$3:E$35))),"")</f>
        <v/>
      </c>
      <c r="EW278" s="855"/>
      <c r="EX278" s="855"/>
      <c r="EY278" s="855"/>
      <c r="EZ278" s="855"/>
    </row>
    <row r="279" spans="4:156" x14ac:dyDescent="0.25">
      <c r="D279" s="3019"/>
      <c r="E279" s="3020"/>
      <c r="F279" s="3021">
        <f t="shared" si="74"/>
        <v>0</v>
      </c>
      <c r="G279" s="3059"/>
      <c r="H279" s="3060"/>
      <c r="I279" s="3061"/>
      <c r="J279" s="3061"/>
      <c r="K279" s="3061"/>
      <c r="L279" s="3061"/>
      <c r="M279" s="3061"/>
      <c r="N279" s="3061"/>
      <c r="O279" s="3061"/>
      <c r="P279" s="3061"/>
      <c r="Q279" s="3061"/>
      <c r="R279" s="3061"/>
      <c r="S279" s="3061"/>
      <c r="T279" s="3061"/>
      <c r="U279" s="3061"/>
      <c r="V279" s="3061"/>
      <c r="W279" s="3061"/>
      <c r="X279" s="3061"/>
      <c r="Y279" s="3061"/>
      <c r="Z279" s="3061"/>
      <c r="AA279" s="3061"/>
      <c r="AB279" s="3061"/>
      <c r="AC279" s="3061"/>
      <c r="AD279" s="3061"/>
      <c r="AE279" s="3061"/>
      <c r="AF279" s="3061"/>
      <c r="AG279" s="3061"/>
      <c r="AH279" s="3061"/>
      <c r="AI279" s="3061"/>
      <c r="AJ279" s="3061"/>
      <c r="AK279" s="3061"/>
      <c r="AL279" s="3061"/>
      <c r="AM279" s="3061"/>
      <c r="AN279" s="3061"/>
      <c r="AO279" s="3061"/>
      <c r="AP279" s="3061"/>
      <c r="AQ279" s="3061"/>
      <c r="AR279" s="3061"/>
      <c r="AS279" s="3061"/>
      <c r="AT279" s="3061"/>
      <c r="AU279" s="3061"/>
      <c r="AV279" s="3061"/>
      <c r="AW279" s="3061"/>
      <c r="AX279" s="3061"/>
      <c r="AY279" s="3061"/>
      <c r="AZ279" s="3061"/>
      <c r="BA279" s="3061"/>
      <c r="BB279" s="3061"/>
      <c r="BC279" s="3061"/>
      <c r="BD279" s="3061"/>
      <c r="BE279" s="3061"/>
      <c r="BF279" s="3061"/>
      <c r="BG279" s="3061"/>
      <c r="BH279" s="3061"/>
      <c r="BI279" s="3061"/>
      <c r="BJ279" s="3061"/>
      <c r="BK279" s="3061"/>
      <c r="BL279" s="3061"/>
      <c r="BM279" s="3061"/>
      <c r="BN279" s="3061"/>
      <c r="BO279" s="3061"/>
      <c r="BP279" s="3061"/>
      <c r="BQ279" s="3061"/>
      <c r="BR279" s="3061"/>
      <c r="BS279" s="3061"/>
      <c r="BT279" s="3061"/>
      <c r="BU279" s="3061"/>
      <c r="BV279" s="3061"/>
      <c r="BW279" s="3061"/>
      <c r="BX279" s="3061"/>
      <c r="BY279" s="3061"/>
      <c r="BZ279" s="3061"/>
      <c r="CA279" s="3061"/>
      <c r="CB279" s="3061"/>
      <c r="CC279" s="3061"/>
      <c r="CD279" s="3061"/>
      <c r="CE279" s="3061"/>
      <c r="CF279" s="3061"/>
      <c r="CG279" s="3061"/>
      <c r="CH279" s="3061"/>
      <c r="CI279" s="3061"/>
      <c r="CJ279" s="3061"/>
      <c r="CK279" s="3061"/>
      <c r="CL279" s="3061"/>
      <c r="CM279" s="3061"/>
      <c r="CN279" s="3061"/>
      <c r="CO279" s="3061"/>
      <c r="CP279" s="3061"/>
      <c r="CQ279" s="3061"/>
      <c r="CR279" s="3061"/>
      <c r="CS279" s="3062"/>
      <c r="CT279" s="3063"/>
      <c r="CU279" s="3064">
        <f t="shared" si="78"/>
        <v>1</v>
      </c>
      <c r="CV279" s="3022" t="str">
        <f>IF(OR(CT279="",CT279="None"),"-",DO279*CU279*SUMIF('Lighting Assumptions'!$G$3:$G$112,'6a - Lighting Counts'!G279,'Lighting Assumptions'!$J$3:$J$112))</f>
        <v>-</v>
      </c>
      <c r="CW279" s="3021"/>
      <c r="CX279" s="3021"/>
      <c r="CY279" s="3046"/>
      <c r="CZ279" s="2098">
        <f t="shared" si="79"/>
        <v>0</v>
      </c>
      <c r="DA279" s="2098" t="str">
        <f t="shared" si="80"/>
        <v>-</v>
      </c>
      <c r="DB279" s="2098">
        <f t="shared" si="81"/>
        <v>0</v>
      </c>
      <c r="DC279" s="3023" t="str">
        <f t="shared" si="82"/>
        <v>-</v>
      </c>
      <c r="DD279" s="3024" t="str">
        <f t="shared" si="83"/>
        <v/>
      </c>
      <c r="DE279" s="3025" t="str">
        <f t="shared" si="84"/>
        <v>-</v>
      </c>
      <c r="DF279" s="3024" t="str">
        <f t="shared" si="75"/>
        <v>-</v>
      </c>
      <c r="DG279" s="2098">
        <f t="shared" si="85"/>
        <v>0</v>
      </c>
      <c r="DH279" s="2098">
        <f t="array" ref="DH279">MIN(SUMPRODUCT(I279:CR279,IF($I$25:$CR$25="yes",1,0),$I$23:$CR$23),H279)</f>
        <v>0</v>
      </c>
      <c r="DI279" s="3026"/>
      <c r="DJ279" s="3021"/>
      <c r="DN279" s="917" t="str">
        <f>IF(CS279="","-",SUMIF('Lighting Assumptions'!$G$3:$G$112,'6a - Lighting Counts'!G279,'Lighting Assumptions'!$J$3:$J$112))</f>
        <v>-</v>
      </c>
      <c r="DO279" s="917" t="str">
        <f t="shared" si="76"/>
        <v>-</v>
      </c>
      <c r="DP279" s="917" t="str">
        <f t="shared" si="77"/>
        <v>-</v>
      </c>
      <c r="DQ279" s="917" t="str">
        <f>IF(LEFT(CELLformula(DF279),3)&lt;&gt;"=IF",1,"")</f>
        <v/>
      </c>
      <c r="DR279" s="917" t="str">
        <f>IF(LEFT(CELLformula(DD279),3)&lt;&gt;"=IF",1,"")</f>
        <v/>
      </c>
      <c r="DS279" s="3048">
        <f t="shared" si="86"/>
        <v>0</v>
      </c>
      <c r="DT279" s="3047" t="str">
        <f t="shared" si="87"/>
        <v/>
      </c>
      <c r="DU279" s="3047" t="str">
        <f>IFERROR(IF(G279="","",SUMIF('Lighting Assumptions'!$G$3:$G$112,'6a - Lighting Counts'!G279,'Lighting Assumptions'!$H$3:$H$112)*IF(SI_IP_Units="SI",10.76,1)),"")</f>
        <v/>
      </c>
      <c r="DV279" s="3047" t="str">
        <f>IFERROR(IF($CX279="","",IF(SI_IP_Units="SI",10.76,1)*SUMIF(BAMCategories,$CY279,'Lighting Assumptions'!$E$3:E$35)),"")</f>
        <v/>
      </c>
      <c r="DW279" s="3047" t="str">
        <f>IFERROR(IF($CX279="","",IF(SI_IP_Units="SI",10.76,1)*SUMIF(BAMCategories,$CY279,IF(bpf_reference="ACP",'Lighting Assumptions 90.1-2010'!$E$3:E$35,'Lighting Assumptions 90.1-2016'!$E$3:E$35))),"")</f>
        <v/>
      </c>
      <c r="EW279" s="855"/>
      <c r="EX279" s="855"/>
      <c r="EY279" s="855"/>
      <c r="EZ279" s="855"/>
    </row>
    <row r="280" spans="4:156" x14ac:dyDescent="0.25">
      <c r="D280" s="3019"/>
      <c r="E280" s="3020"/>
      <c r="F280" s="3021">
        <f t="shared" si="74"/>
        <v>0</v>
      </c>
      <c r="G280" s="3059"/>
      <c r="H280" s="3060"/>
      <c r="I280" s="3061"/>
      <c r="J280" s="3061"/>
      <c r="K280" s="3061"/>
      <c r="L280" s="3061"/>
      <c r="M280" s="3061"/>
      <c r="N280" s="3061"/>
      <c r="O280" s="3061"/>
      <c r="P280" s="3061"/>
      <c r="Q280" s="3061"/>
      <c r="R280" s="3061"/>
      <c r="S280" s="3061"/>
      <c r="T280" s="3061"/>
      <c r="U280" s="3061"/>
      <c r="V280" s="3061"/>
      <c r="W280" s="3061"/>
      <c r="X280" s="3061"/>
      <c r="Y280" s="3061"/>
      <c r="Z280" s="3061"/>
      <c r="AA280" s="3061"/>
      <c r="AB280" s="3061"/>
      <c r="AC280" s="3061"/>
      <c r="AD280" s="3061"/>
      <c r="AE280" s="3061"/>
      <c r="AF280" s="3061"/>
      <c r="AG280" s="3061"/>
      <c r="AH280" s="3061"/>
      <c r="AI280" s="3061"/>
      <c r="AJ280" s="3061"/>
      <c r="AK280" s="3061"/>
      <c r="AL280" s="3061"/>
      <c r="AM280" s="3061"/>
      <c r="AN280" s="3061"/>
      <c r="AO280" s="3061"/>
      <c r="AP280" s="3061"/>
      <c r="AQ280" s="3061"/>
      <c r="AR280" s="3061"/>
      <c r="AS280" s="3061"/>
      <c r="AT280" s="3061"/>
      <c r="AU280" s="3061"/>
      <c r="AV280" s="3061"/>
      <c r="AW280" s="3061"/>
      <c r="AX280" s="3061"/>
      <c r="AY280" s="3061"/>
      <c r="AZ280" s="3061"/>
      <c r="BA280" s="3061"/>
      <c r="BB280" s="3061"/>
      <c r="BC280" s="3061"/>
      <c r="BD280" s="3061"/>
      <c r="BE280" s="3061"/>
      <c r="BF280" s="3061"/>
      <c r="BG280" s="3061"/>
      <c r="BH280" s="3061"/>
      <c r="BI280" s="3061"/>
      <c r="BJ280" s="3061"/>
      <c r="BK280" s="3061"/>
      <c r="BL280" s="3061"/>
      <c r="BM280" s="3061"/>
      <c r="BN280" s="3061"/>
      <c r="BO280" s="3061"/>
      <c r="BP280" s="3061"/>
      <c r="BQ280" s="3061"/>
      <c r="BR280" s="3061"/>
      <c r="BS280" s="3061"/>
      <c r="BT280" s="3061"/>
      <c r="BU280" s="3061"/>
      <c r="BV280" s="3061"/>
      <c r="BW280" s="3061"/>
      <c r="BX280" s="3061"/>
      <c r="BY280" s="3061"/>
      <c r="BZ280" s="3061"/>
      <c r="CA280" s="3061"/>
      <c r="CB280" s="3061"/>
      <c r="CC280" s="3061"/>
      <c r="CD280" s="3061"/>
      <c r="CE280" s="3061"/>
      <c r="CF280" s="3061"/>
      <c r="CG280" s="3061"/>
      <c r="CH280" s="3061"/>
      <c r="CI280" s="3061"/>
      <c r="CJ280" s="3061"/>
      <c r="CK280" s="3061"/>
      <c r="CL280" s="3061"/>
      <c r="CM280" s="3061"/>
      <c r="CN280" s="3061"/>
      <c r="CO280" s="3061"/>
      <c r="CP280" s="3061"/>
      <c r="CQ280" s="3061"/>
      <c r="CR280" s="3061"/>
      <c r="CS280" s="3062"/>
      <c r="CT280" s="3063"/>
      <c r="CU280" s="3064">
        <f t="shared" si="78"/>
        <v>1</v>
      </c>
      <c r="CV280" s="3022" t="str">
        <f>IF(OR(CT280="",CT280="None"),"-",DO280*CU280*SUMIF('Lighting Assumptions'!$G$3:$G$112,'6a - Lighting Counts'!G280,'Lighting Assumptions'!$J$3:$J$112))</f>
        <v>-</v>
      </c>
      <c r="CW280" s="3021"/>
      <c r="CX280" s="3021"/>
      <c r="CY280" s="3046"/>
      <c r="CZ280" s="2098">
        <f t="shared" si="79"/>
        <v>0</v>
      </c>
      <c r="DA280" s="2098" t="str">
        <f t="shared" si="80"/>
        <v>-</v>
      </c>
      <c r="DB280" s="2098">
        <f t="shared" si="81"/>
        <v>0</v>
      </c>
      <c r="DC280" s="3023" t="str">
        <f t="shared" si="82"/>
        <v>-</v>
      </c>
      <c r="DD280" s="3024" t="str">
        <f t="shared" si="83"/>
        <v/>
      </c>
      <c r="DE280" s="3025" t="str">
        <f t="shared" si="84"/>
        <v>-</v>
      </c>
      <c r="DF280" s="3024" t="str">
        <f t="shared" si="75"/>
        <v>-</v>
      </c>
      <c r="DG280" s="2098">
        <f t="shared" si="85"/>
        <v>0</v>
      </c>
      <c r="DH280" s="2098">
        <f t="array" ref="DH280">MIN(SUMPRODUCT(I280:CR280,IF($I$25:$CR$25="yes",1,0),$I$23:$CR$23),H280)</f>
        <v>0</v>
      </c>
      <c r="DI280" s="3026"/>
      <c r="DJ280" s="3021"/>
      <c r="DN280" s="917" t="str">
        <f>IF(CS280="","-",SUMIF('Lighting Assumptions'!$G$3:$G$112,'6a - Lighting Counts'!G280,'Lighting Assumptions'!$J$3:$J$112))</f>
        <v>-</v>
      </c>
      <c r="DO280" s="917" t="str">
        <f t="shared" si="76"/>
        <v>-</v>
      </c>
      <c r="DP280" s="917" t="str">
        <f t="shared" si="77"/>
        <v>-</v>
      </c>
      <c r="DQ280" s="917" t="str">
        <f>IF(LEFT(CELLformula(DF280),3)&lt;&gt;"=IF",1,"")</f>
        <v/>
      </c>
      <c r="DR280" s="917" t="str">
        <f>IF(LEFT(CELLformula(DD280),3)&lt;&gt;"=IF",1,"")</f>
        <v/>
      </c>
      <c r="DS280" s="3048">
        <f t="shared" si="86"/>
        <v>0</v>
      </c>
      <c r="DT280" s="3047" t="str">
        <f t="shared" si="87"/>
        <v/>
      </c>
      <c r="DU280" s="3047" t="str">
        <f>IFERROR(IF(G280="","",SUMIF('Lighting Assumptions'!$G$3:$G$112,'6a - Lighting Counts'!G280,'Lighting Assumptions'!$H$3:$H$112)*IF(SI_IP_Units="SI",10.76,1)),"")</f>
        <v/>
      </c>
      <c r="DV280" s="3047" t="str">
        <f>IFERROR(IF($CX280="","",IF(SI_IP_Units="SI",10.76,1)*SUMIF(BAMCategories,$CY280,'Lighting Assumptions'!$E$3:E$35)),"")</f>
        <v/>
      </c>
      <c r="DW280" s="3047" t="str">
        <f>IFERROR(IF($CX280="","",IF(SI_IP_Units="SI",10.76,1)*SUMIF(BAMCategories,$CY280,IF(bpf_reference="ACP",'Lighting Assumptions 90.1-2010'!$E$3:E$35,'Lighting Assumptions 90.1-2016'!$E$3:E$35))),"")</f>
        <v/>
      </c>
      <c r="EW280" s="855"/>
      <c r="EX280" s="855"/>
      <c r="EY280" s="855"/>
      <c r="EZ280" s="855"/>
    </row>
    <row r="281" spans="4:156" x14ac:dyDescent="0.25">
      <c r="D281" s="3019"/>
      <c r="E281" s="3020"/>
      <c r="F281" s="3021">
        <f t="shared" si="74"/>
        <v>0</v>
      </c>
      <c r="G281" s="3059"/>
      <c r="H281" s="3060"/>
      <c r="I281" s="3061"/>
      <c r="J281" s="3061"/>
      <c r="K281" s="3061"/>
      <c r="L281" s="3061"/>
      <c r="M281" s="3061"/>
      <c r="N281" s="3061"/>
      <c r="O281" s="3061"/>
      <c r="P281" s="3061"/>
      <c r="Q281" s="3061"/>
      <c r="R281" s="3061"/>
      <c r="S281" s="3061"/>
      <c r="T281" s="3061"/>
      <c r="U281" s="3061"/>
      <c r="V281" s="3061"/>
      <c r="W281" s="3061"/>
      <c r="X281" s="3061"/>
      <c r="Y281" s="3061"/>
      <c r="Z281" s="3061"/>
      <c r="AA281" s="3061"/>
      <c r="AB281" s="3061"/>
      <c r="AC281" s="3061"/>
      <c r="AD281" s="3061"/>
      <c r="AE281" s="3061"/>
      <c r="AF281" s="3061"/>
      <c r="AG281" s="3061"/>
      <c r="AH281" s="3061"/>
      <c r="AI281" s="3061"/>
      <c r="AJ281" s="3061"/>
      <c r="AK281" s="3061"/>
      <c r="AL281" s="3061"/>
      <c r="AM281" s="3061"/>
      <c r="AN281" s="3061"/>
      <c r="AO281" s="3061"/>
      <c r="AP281" s="3061"/>
      <c r="AQ281" s="3061"/>
      <c r="AR281" s="3061"/>
      <c r="AS281" s="3061"/>
      <c r="AT281" s="3061"/>
      <c r="AU281" s="3061"/>
      <c r="AV281" s="3061"/>
      <c r="AW281" s="3061"/>
      <c r="AX281" s="3061"/>
      <c r="AY281" s="3061"/>
      <c r="AZ281" s="3061"/>
      <c r="BA281" s="3061"/>
      <c r="BB281" s="3061"/>
      <c r="BC281" s="3061"/>
      <c r="BD281" s="3061"/>
      <c r="BE281" s="3061"/>
      <c r="BF281" s="3061"/>
      <c r="BG281" s="3061"/>
      <c r="BH281" s="3061"/>
      <c r="BI281" s="3061"/>
      <c r="BJ281" s="3061"/>
      <c r="BK281" s="3061"/>
      <c r="BL281" s="3061"/>
      <c r="BM281" s="3061"/>
      <c r="BN281" s="3061"/>
      <c r="BO281" s="3061"/>
      <c r="BP281" s="3061"/>
      <c r="BQ281" s="3061"/>
      <c r="BR281" s="3061"/>
      <c r="BS281" s="3061"/>
      <c r="BT281" s="3061"/>
      <c r="BU281" s="3061"/>
      <c r="BV281" s="3061"/>
      <c r="BW281" s="3061"/>
      <c r="BX281" s="3061"/>
      <c r="BY281" s="3061"/>
      <c r="BZ281" s="3061"/>
      <c r="CA281" s="3061"/>
      <c r="CB281" s="3061"/>
      <c r="CC281" s="3061"/>
      <c r="CD281" s="3061"/>
      <c r="CE281" s="3061"/>
      <c r="CF281" s="3061"/>
      <c r="CG281" s="3061"/>
      <c r="CH281" s="3061"/>
      <c r="CI281" s="3061"/>
      <c r="CJ281" s="3061"/>
      <c r="CK281" s="3061"/>
      <c r="CL281" s="3061"/>
      <c r="CM281" s="3061"/>
      <c r="CN281" s="3061"/>
      <c r="CO281" s="3061"/>
      <c r="CP281" s="3061"/>
      <c r="CQ281" s="3061"/>
      <c r="CR281" s="3061"/>
      <c r="CS281" s="3062"/>
      <c r="CT281" s="3063"/>
      <c r="CU281" s="3064">
        <f t="shared" si="78"/>
        <v>1</v>
      </c>
      <c r="CV281" s="3022" t="str">
        <f>IF(OR(CT281="",CT281="None"),"-",DO281*CU281*SUMIF('Lighting Assumptions'!$G$3:$G$112,'6a - Lighting Counts'!G281,'Lighting Assumptions'!$J$3:$J$112))</f>
        <v>-</v>
      </c>
      <c r="CW281" s="3021"/>
      <c r="CX281" s="3021"/>
      <c r="CY281" s="3046"/>
      <c r="CZ281" s="2098">
        <f t="shared" si="79"/>
        <v>0</v>
      </c>
      <c r="DA281" s="2098" t="str">
        <f t="shared" si="80"/>
        <v>-</v>
      </c>
      <c r="DB281" s="2098">
        <f t="shared" si="81"/>
        <v>0</v>
      </c>
      <c r="DC281" s="3023" t="str">
        <f t="shared" si="82"/>
        <v>-</v>
      </c>
      <c r="DD281" s="3024" t="str">
        <f t="shared" si="83"/>
        <v/>
      </c>
      <c r="DE281" s="3025" t="str">
        <f t="shared" si="84"/>
        <v>-</v>
      </c>
      <c r="DF281" s="3024" t="str">
        <f t="shared" si="75"/>
        <v>-</v>
      </c>
      <c r="DG281" s="2098">
        <f t="shared" si="85"/>
        <v>0</v>
      </c>
      <c r="DH281" s="2098">
        <f t="array" ref="DH281">MIN(SUMPRODUCT(I281:CR281,IF($I$25:$CR$25="yes",1,0),$I$23:$CR$23),H281)</f>
        <v>0</v>
      </c>
      <c r="DI281" s="3026"/>
      <c r="DJ281" s="3021"/>
      <c r="DN281" s="917" t="str">
        <f>IF(CS281="","-",SUMIF('Lighting Assumptions'!$G$3:$G$112,'6a - Lighting Counts'!G281,'Lighting Assumptions'!$J$3:$J$112))</f>
        <v>-</v>
      </c>
      <c r="DO281" s="917" t="str">
        <f t="shared" si="76"/>
        <v>-</v>
      </c>
      <c r="DP281" s="917" t="str">
        <f t="shared" si="77"/>
        <v>-</v>
      </c>
      <c r="DQ281" s="917" t="str">
        <f>IF(LEFT(CELLformula(DF281),3)&lt;&gt;"=IF",1,"")</f>
        <v/>
      </c>
      <c r="DR281" s="917" t="str">
        <f>IF(LEFT(CELLformula(DD281),3)&lt;&gt;"=IF",1,"")</f>
        <v/>
      </c>
      <c r="DS281" s="3048">
        <f t="shared" si="86"/>
        <v>0</v>
      </c>
      <c r="DT281" s="3047" t="str">
        <f t="shared" si="87"/>
        <v/>
      </c>
      <c r="DU281" s="3047" t="str">
        <f>IFERROR(IF(G281="","",SUMIF('Lighting Assumptions'!$G$3:$G$112,'6a - Lighting Counts'!G281,'Lighting Assumptions'!$H$3:$H$112)*IF(SI_IP_Units="SI",10.76,1)),"")</f>
        <v/>
      </c>
      <c r="DV281" s="3047" t="str">
        <f>IFERROR(IF($CX281="","",IF(SI_IP_Units="SI",10.76,1)*SUMIF(BAMCategories,$CY281,'Lighting Assumptions'!$E$3:E$35)),"")</f>
        <v/>
      </c>
      <c r="DW281" s="3047" t="str">
        <f>IFERROR(IF($CX281="","",IF(SI_IP_Units="SI",10.76,1)*SUMIF(BAMCategories,$CY281,IF(bpf_reference="ACP",'Lighting Assumptions 90.1-2010'!$E$3:E$35,'Lighting Assumptions 90.1-2016'!$E$3:E$35))),"")</f>
        <v/>
      </c>
      <c r="EW281" s="855"/>
      <c r="EX281" s="855"/>
      <c r="EY281" s="855"/>
      <c r="EZ281" s="855"/>
    </row>
    <row r="282" spans="4:156" x14ac:dyDescent="0.25">
      <c r="D282" s="3019"/>
      <c r="E282" s="3020"/>
      <c r="F282" s="3021">
        <f t="shared" si="74"/>
        <v>0</v>
      </c>
      <c r="G282" s="3059"/>
      <c r="H282" s="3060"/>
      <c r="I282" s="3061"/>
      <c r="J282" s="3061"/>
      <c r="K282" s="3061"/>
      <c r="L282" s="3061"/>
      <c r="M282" s="3061"/>
      <c r="N282" s="3061"/>
      <c r="O282" s="3061"/>
      <c r="P282" s="3061"/>
      <c r="Q282" s="3061"/>
      <c r="R282" s="3061"/>
      <c r="S282" s="3061"/>
      <c r="T282" s="3061"/>
      <c r="U282" s="3061"/>
      <c r="V282" s="3061"/>
      <c r="W282" s="3061"/>
      <c r="X282" s="3061"/>
      <c r="Y282" s="3061"/>
      <c r="Z282" s="3061"/>
      <c r="AA282" s="3061"/>
      <c r="AB282" s="3061"/>
      <c r="AC282" s="3061"/>
      <c r="AD282" s="3061"/>
      <c r="AE282" s="3061"/>
      <c r="AF282" s="3061"/>
      <c r="AG282" s="3061"/>
      <c r="AH282" s="3061"/>
      <c r="AI282" s="3061"/>
      <c r="AJ282" s="3061"/>
      <c r="AK282" s="3061"/>
      <c r="AL282" s="3061"/>
      <c r="AM282" s="3061"/>
      <c r="AN282" s="3061"/>
      <c r="AO282" s="3061"/>
      <c r="AP282" s="3061"/>
      <c r="AQ282" s="3061"/>
      <c r="AR282" s="3061"/>
      <c r="AS282" s="3061"/>
      <c r="AT282" s="3061"/>
      <c r="AU282" s="3061"/>
      <c r="AV282" s="3061"/>
      <c r="AW282" s="3061"/>
      <c r="AX282" s="3061"/>
      <c r="AY282" s="3061"/>
      <c r="AZ282" s="3061"/>
      <c r="BA282" s="3061"/>
      <c r="BB282" s="3061"/>
      <c r="BC282" s="3061"/>
      <c r="BD282" s="3061"/>
      <c r="BE282" s="3061"/>
      <c r="BF282" s="3061"/>
      <c r="BG282" s="3061"/>
      <c r="BH282" s="3061"/>
      <c r="BI282" s="3061"/>
      <c r="BJ282" s="3061"/>
      <c r="BK282" s="3061"/>
      <c r="BL282" s="3061"/>
      <c r="BM282" s="3061"/>
      <c r="BN282" s="3061"/>
      <c r="BO282" s="3061"/>
      <c r="BP282" s="3061"/>
      <c r="BQ282" s="3061"/>
      <c r="BR282" s="3061"/>
      <c r="BS282" s="3061"/>
      <c r="BT282" s="3061"/>
      <c r="BU282" s="3061"/>
      <c r="BV282" s="3061"/>
      <c r="BW282" s="3061"/>
      <c r="BX282" s="3061"/>
      <c r="BY282" s="3061"/>
      <c r="BZ282" s="3061"/>
      <c r="CA282" s="3061"/>
      <c r="CB282" s="3061"/>
      <c r="CC282" s="3061"/>
      <c r="CD282" s="3061"/>
      <c r="CE282" s="3061"/>
      <c r="CF282" s="3061"/>
      <c r="CG282" s="3061"/>
      <c r="CH282" s="3061"/>
      <c r="CI282" s="3061"/>
      <c r="CJ282" s="3061"/>
      <c r="CK282" s="3061"/>
      <c r="CL282" s="3061"/>
      <c r="CM282" s="3061"/>
      <c r="CN282" s="3061"/>
      <c r="CO282" s="3061"/>
      <c r="CP282" s="3061"/>
      <c r="CQ282" s="3061"/>
      <c r="CR282" s="3061"/>
      <c r="CS282" s="3062"/>
      <c r="CT282" s="3063"/>
      <c r="CU282" s="3064">
        <f t="shared" si="78"/>
        <v>1</v>
      </c>
      <c r="CV282" s="3022" t="str">
        <f>IF(OR(CT282="",CT282="None"),"-",DO282*CU282*SUMIF('Lighting Assumptions'!$G$3:$G$112,'6a - Lighting Counts'!G282,'Lighting Assumptions'!$J$3:$J$112))</f>
        <v>-</v>
      </c>
      <c r="CW282" s="3021"/>
      <c r="CX282" s="3021"/>
      <c r="CY282" s="3046"/>
      <c r="CZ282" s="2098">
        <f t="shared" si="79"/>
        <v>0</v>
      </c>
      <c r="DA282" s="2098" t="str">
        <f t="shared" si="80"/>
        <v>-</v>
      </c>
      <c r="DB282" s="2098">
        <f t="shared" si="81"/>
        <v>0</v>
      </c>
      <c r="DC282" s="3023" t="str">
        <f t="shared" si="82"/>
        <v>-</v>
      </c>
      <c r="DD282" s="3024" t="str">
        <f t="shared" si="83"/>
        <v/>
      </c>
      <c r="DE282" s="3025" t="str">
        <f t="shared" si="84"/>
        <v>-</v>
      </c>
      <c r="DF282" s="3024" t="str">
        <f t="shared" si="75"/>
        <v>-</v>
      </c>
      <c r="DG282" s="2098">
        <f t="shared" si="85"/>
        <v>0</v>
      </c>
      <c r="DH282" s="2098">
        <f t="array" ref="DH282">MIN(SUMPRODUCT(I282:CR282,IF($I$25:$CR$25="yes",1,0),$I$23:$CR$23),H282)</f>
        <v>0</v>
      </c>
      <c r="DI282" s="3026"/>
      <c r="DJ282" s="3021"/>
      <c r="DN282" s="917" t="str">
        <f>IF(CS282="","-",SUMIF('Lighting Assumptions'!$G$3:$G$112,'6a - Lighting Counts'!G282,'Lighting Assumptions'!$J$3:$J$112))</f>
        <v>-</v>
      </c>
      <c r="DO282" s="917" t="str">
        <f t="shared" si="76"/>
        <v>-</v>
      </c>
      <c r="DP282" s="917" t="str">
        <f t="shared" si="77"/>
        <v>-</v>
      </c>
      <c r="DQ282" s="917" t="str">
        <f>IF(LEFT(CELLformula(DF282),3)&lt;&gt;"=IF",1,"")</f>
        <v/>
      </c>
      <c r="DR282" s="917" t="str">
        <f>IF(LEFT(CELLformula(DD282),3)&lt;&gt;"=IF",1,"")</f>
        <v/>
      </c>
      <c r="DS282" s="3048">
        <f t="shared" si="86"/>
        <v>0</v>
      </c>
      <c r="DT282" s="3047" t="str">
        <f t="shared" si="87"/>
        <v/>
      </c>
      <c r="DU282" s="3047" t="str">
        <f>IFERROR(IF(G282="","",SUMIF('Lighting Assumptions'!$G$3:$G$112,'6a - Lighting Counts'!G282,'Lighting Assumptions'!$H$3:$H$112)*IF(SI_IP_Units="SI",10.76,1)),"")</f>
        <v/>
      </c>
      <c r="DV282" s="3047" t="str">
        <f>IFERROR(IF($CX282="","",IF(SI_IP_Units="SI",10.76,1)*SUMIF(BAMCategories,$CY282,'Lighting Assumptions'!$E$3:E$35)),"")</f>
        <v/>
      </c>
      <c r="DW282" s="3047" t="str">
        <f>IFERROR(IF($CX282="","",IF(SI_IP_Units="SI",10.76,1)*SUMIF(BAMCategories,$CY282,IF(bpf_reference="ACP",'Lighting Assumptions 90.1-2010'!$E$3:E$35,'Lighting Assumptions 90.1-2016'!$E$3:E$35))),"")</f>
        <v/>
      </c>
      <c r="EW282" s="855"/>
      <c r="EX282" s="855"/>
      <c r="EY282" s="855"/>
      <c r="EZ282" s="855"/>
    </row>
    <row r="283" spans="4:156" x14ac:dyDescent="0.25">
      <c r="D283" s="3019"/>
      <c r="E283" s="3020"/>
      <c r="F283" s="3021">
        <f t="shared" si="74"/>
        <v>0</v>
      </c>
      <c r="G283" s="3059"/>
      <c r="H283" s="3060"/>
      <c r="I283" s="3061"/>
      <c r="J283" s="3061"/>
      <c r="K283" s="3061"/>
      <c r="L283" s="3061"/>
      <c r="M283" s="3061"/>
      <c r="N283" s="3061"/>
      <c r="O283" s="3061"/>
      <c r="P283" s="3061"/>
      <c r="Q283" s="3061"/>
      <c r="R283" s="3061"/>
      <c r="S283" s="3061"/>
      <c r="T283" s="3061"/>
      <c r="U283" s="3061"/>
      <c r="V283" s="3061"/>
      <c r="W283" s="3061"/>
      <c r="X283" s="3061"/>
      <c r="Y283" s="3061"/>
      <c r="Z283" s="3061"/>
      <c r="AA283" s="3061"/>
      <c r="AB283" s="3061"/>
      <c r="AC283" s="3061"/>
      <c r="AD283" s="3061"/>
      <c r="AE283" s="3061"/>
      <c r="AF283" s="3061"/>
      <c r="AG283" s="3061"/>
      <c r="AH283" s="3061"/>
      <c r="AI283" s="3061"/>
      <c r="AJ283" s="3061"/>
      <c r="AK283" s="3061"/>
      <c r="AL283" s="3061"/>
      <c r="AM283" s="3061"/>
      <c r="AN283" s="3061"/>
      <c r="AO283" s="3061"/>
      <c r="AP283" s="3061"/>
      <c r="AQ283" s="3061"/>
      <c r="AR283" s="3061"/>
      <c r="AS283" s="3061"/>
      <c r="AT283" s="3061"/>
      <c r="AU283" s="3061"/>
      <c r="AV283" s="3061"/>
      <c r="AW283" s="3061"/>
      <c r="AX283" s="3061"/>
      <c r="AY283" s="3061"/>
      <c r="AZ283" s="3061"/>
      <c r="BA283" s="3061"/>
      <c r="BB283" s="3061"/>
      <c r="BC283" s="3061"/>
      <c r="BD283" s="3061"/>
      <c r="BE283" s="3061"/>
      <c r="BF283" s="3061"/>
      <c r="BG283" s="3061"/>
      <c r="BH283" s="3061"/>
      <c r="BI283" s="3061"/>
      <c r="BJ283" s="3061"/>
      <c r="BK283" s="3061"/>
      <c r="BL283" s="3061"/>
      <c r="BM283" s="3061"/>
      <c r="BN283" s="3061"/>
      <c r="BO283" s="3061"/>
      <c r="BP283" s="3061"/>
      <c r="BQ283" s="3061"/>
      <c r="BR283" s="3061"/>
      <c r="BS283" s="3061"/>
      <c r="BT283" s="3061"/>
      <c r="BU283" s="3061"/>
      <c r="BV283" s="3061"/>
      <c r="BW283" s="3061"/>
      <c r="BX283" s="3061"/>
      <c r="BY283" s="3061"/>
      <c r="BZ283" s="3061"/>
      <c r="CA283" s="3061"/>
      <c r="CB283" s="3061"/>
      <c r="CC283" s="3061"/>
      <c r="CD283" s="3061"/>
      <c r="CE283" s="3061"/>
      <c r="CF283" s="3061"/>
      <c r="CG283" s="3061"/>
      <c r="CH283" s="3061"/>
      <c r="CI283" s="3061"/>
      <c r="CJ283" s="3061"/>
      <c r="CK283" s="3061"/>
      <c r="CL283" s="3061"/>
      <c r="CM283" s="3061"/>
      <c r="CN283" s="3061"/>
      <c r="CO283" s="3061"/>
      <c r="CP283" s="3061"/>
      <c r="CQ283" s="3061"/>
      <c r="CR283" s="3061"/>
      <c r="CS283" s="3062"/>
      <c r="CT283" s="3063"/>
      <c r="CU283" s="3064">
        <f t="shared" si="78"/>
        <v>1</v>
      </c>
      <c r="CV283" s="3022" t="str">
        <f>IF(OR(CT283="",CT283="None"),"-",DO283*CU283*SUMIF('Lighting Assumptions'!$G$3:$G$112,'6a - Lighting Counts'!G283,'Lighting Assumptions'!$J$3:$J$112))</f>
        <v>-</v>
      </c>
      <c r="CW283" s="3021"/>
      <c r="CX283" s="3021"/>
      <c r="CY283" s="3046"/>
      <c r="CZ283" s="2098">
        <f t="shared" si="79"/>
        <v>0</v>
      </c>
      <c r="DA283" s="2098" t="str">
        <f t="shared" si="80"/>
        <v>-</v>
      </c>
      <c r="DB283" s="2098">
        <f t="shared" si="81"/>
        <v>0</v>
      </c>
      <c r="DC283" s="3023" t="str">
        <f t="shared" si="82"/>
        <v>-</v>
      </c>
      <c r="DD283" s="3024" t="str">
        <f t="shared" si="83"/>
        <v/>
      </c>
      <c r="DE283" s="3025" t="str">
        <f t="shared" si="84"/>
        <v>-</v>
      </c>
      <c r="DF283" s="3024" t="str">
        <f t="shared" si="75"/>
        <v>-</v>
      </c>
      <c r="DG283" s="2098">
        <f t="shared" si="85"/>
        <v>0</v>
      </c>
      <c r="DH283" s="2098">
        <f t="array" ref="DH283">MIN(SUMPRODUCT(I283:CR283,IF($I$25:$CR$25="yes",1,0),$I$23:$CR$23),H283)</f>
        <v>0</v>
      </c>
      <c r="DI283" s="3026"/>
      <c r="DJ283" s="3021"/>
      <c r="DN283" s="917" t="str">
        <f>IF(CS283="","-",SUMIF('Lighting Assumptions'!$G$3:$G$112,'6a - Lighting Counts'!G283,'Lighting Assumptions'!$J$3:$J$112))</f>
        <v>-</v>
      </c>
      <c r="DO283" s="917" t="str">
        <f t="shared" si="76"/>
        <v>-</v>
      </c>
      <c r="DP283" s="917" t="str">
        <f t="shared" si="77"/>
        <v>-</v>
      </c>
      <c r="DQ283" s="917" t="str">
        <f>IF(LEFT(CELLformula(DF283),3)&lt;&gt;"=IF",1,"")</f>
        <v/>
      </c>
      <c r="DR283" s="917" t="str">
        <f>IF(LEFT(CELLformula(DD283),3)&lt;&gt;"=IF",1,"")</f>
        <v/>
      </c>
      <c r="DS283" s="3048">
        <f t="shared" si="86"/>
        <v>0</v>
      </c>
      <c r="DT283" s="3047" t="str">
        <f t="shared" si="87"/>
        <v/>
      </c>
      <c r="DU283" s="3047" t="str">
        <f>IFERROR(IF(G283="","",SUMIF('Lighting Assumptions'!$G$3:$G$112,'6a - Lighting Counts'!G283,'Lighting Assumptions'!$H$3:$H$112)*IF(SI_IP_Units="SI",10.76,1)),"")</f>
        <v/>
      </c>
      <c r="DV283" s="3047" t="str">
        <f>IFERROR(IF($CX283="","",IF(SI_IP_Units="SI",10.76,1)*SUMIF(BAMCategories,$CY283,'Lighting Assumptions'!$E$3:E$35)),"")</f>
        <v/>
      </c>
      <c r="DW283" s="3047" t="str">
        <f>IFERROR(IF($CX283="","",IF(SI_IP_Units="SI",10.76,1)*SUMIF(BAMCategories,$CY283,IF(bpf_reference="ACP",'Lighting Assumptions 90.1-2010'!$E$3:E$35,'Lighting Assumptions 90.1-2016'!$E$3:E$35))),"")</f>
        <v/>
      </c>
      <c r="EW283" s="855"/>
      <c r="EX283" s="855"/>
      <c r="EY283" s="855"/>
      <c r="EZ283" s="855"/>
    </row>
    <row r="284" spans="4:156" x14ac:dyDescent="0.25">
      <c r="D284" s="3019"/>
      <c r="E284" s="3020"/>
      <c r="F284" s="3021">
        <f t="shared" si="74"/>
        <v>0</v>
      </c>
      <c r="G284" s="3059"/>
      <c r="H284" s="3060"/>
      <c r="I284" s="3061"/>
      <c r="J284" s="3061"/>
      <c r="K284" s="3061"/>
      <c r="L284" s="3061"/>
      <c r="M284" s="3061"/>
      <c r="N284" s="3061"/>
      <c r="O284" s="3061"/>
      <c r="P284" s="3061"/>
      <c r="Q284" s="3061"/>
      <c r="R284" s="3061"/>
      <c r="S284" s="3061"/>
      <c r="T284" s="3061"/>
      <c r="U284" s="3061"/>
      <c r="V284" s="3061"/>
      <c r="W284" s="3061"/>
      <c r="X284" s="3061"/>
      <c r="Y284" s="3061"/>
      <c r="Z284" s="3061"/>
      <c r="AA284" s="3061"/>
      <c r="AB284" s="3061"/>
      <c r="AC284" s="3061"/>
      <c r="AD284" s="3061"/>
      <c r="AE284" s="3061"/>
      <c r="AF284" s="3061"/>
      <c r="AG284" s="3061"/>
      <c r="AH284" s="3061"/>
      <c r="AI284" s="3061"/>
      <c r="AJ284" s="3061"/>
      <c r="AK284" s="3061"/>
      <c r="AL284" s="3061"/>
      <c r="AM284" s="3061"/>
      <c r="AN284" s="3061"/>
      <c r="AO284" s="3061"/>
      <c r="AP284" s="3061"/>
      <c r="AQ284" s="3061"/>
      <c r="AR284" s="3061"/>
      <c r="AS284" s="3061"/>
      <c r="AT284" s="3061"/>
      <c r="AU284" s="3061"/>
      <c r="AV284" s="3061"/>
      <c r="AW284" s="3061"/>
      <c r="AX284" s="3061"/>
      <c r="AY284" s="3061"/>
      <c r="AZ284" s="3061"/>
      <c r="BA284" s="3061"/>
      <c r="BB284" s="3061"/>
      <c r="BC284" s="3061"/>
      <c r="BD284" s="3061"/>
      <c r="BE284" s="3061"/>
      <c r="BF284" s="3061"/>
      <c r="BG284" s="3061"/>
      <c r="BH284" s="3061"/>
      <c r="BI284" s="3061"/>
      <c r="BJ284" s="3061"/>
      <c r="BK284" s="3061"/>
      <c r="BL284" s="3061"/>
      <c r="BM284" s="3061"/>
      <c r="BN284" s="3061"/>
      <c r="BO284" s="3061"/>
      <c r="BP284" s="3061"/>
      <c r="BQ284" s="3061"/>
      <c r="BR284" s="3061"/>
      <c r="BS284" s="3061"/>
      <c r="BT284" s="3061"/>
      <c r="BU284" s="3061"/>
      <c r="BV284" s="3061"/>
      <c r="BW284" s="3061"/>
      <c r="BX284" s="3061"/>
      <c r="BY284" s="3061"/>
      <c r="BZ284" s="3061"/>
      <c r="CA284" s="3061"/>
      <c r="CB284" s="3061"/>
      <c r="CC284" s="3061"/>
      <c r="CD284" s="3061"/>
      <c r="CE284" s="3061"/>
      <c r="CF284" s="3061"/>
      <c r="CG284" s="3061"/>
      <c r="CH284" s="3061"/>
      <c r="CI284" s="3061"/>
      <c r="CJ284" s="3061"/>
      <c r="CK284" s="3061"/>
      <c r="CL284" s="3061"/>
      <c r="CM284" s="3061"/>
      <c r="CN284" s="3061"/>
      <c r="CO284" s="3061"/>
      <c r="CP284" s="3061"/>
      <c r="CQ284" s="3061"/>
      <c r="CR284" s="3061"/>
      <c r="CS284" s="3062"/>
      <c r="CT284" s="3063"/>
      <c r="CU284" s="3064">
        <f t="shared" si="78"/>
        <v>1</v>
      </c>
      <c r="CV284" s="3022" t="str">
        <f>IF(OR(CT284="",CT284="None"),"-",DO284*CU284*SUMIF('Lighting Assumptions'!$G$3:$G$112,'6a - Lighting Counts'!G284,'Lighting Assumptions'!$J$3:$J$112))</f>
        <v>-</v>
      </c>
      <c r="CW284" s="3021"/>
      <c r="CX284" s="3021"/>
      <c r="CY284" s="3046"/>
      <c r="CZ284" s="2098">
        <f t="shared" si="79"/>
        <v>0</v>
      </c>
      <c r="DA284" s="2098" t="str">
        <f t="shared" si="80"/>
        <v>-</v>
      </c>
      <c r="DB284" s="2098">
        <f t="shared" si="81"/>
        <v>0</v>
      </c>
      <c r="DC284" s="3023" t="str">
        <f t="shared" si="82"/>
        <v>-</v>
      </c>
      <c r="DD284" s="3024" t="str">
        <f t="shared" si="83"/>
        <v/>
      </c>
      <c r="DE284" s="3025" t="str">
        <f t="shared" si="84"/>
        <v>-</v>
      </c>
      <c r="DF284" s="3024" t="str">
        <f t="shared" si="75"/>
        <v>-</v>
      </c>
      <c r="DG284" s="2098">
        <f t="shared" si="85"/>
        <v>0</v>
      </c>
      <c r="DH284" s="2098">
        <f t="array" ref="DH284">MIN(SUMPRODUCT(I284:CR284,IF($I$25:$CR$25="yes",1,0),$I$23:$CR$23),H284)</f>
        <v>0</v>
      </c>
      <c r="DI284" s="3026"/>
      <c r="DJ284" s="3021"/>
      <c r="DN284" s="917" t="str">
        <f>IF(CS284="","-",SUMIF('Lighting Assumptions'!$G$3:$G$112,'6a - Lighting Counts'!G284,'Lighting Assumptions'!$J$3:$J$112))</f>
        <v>-</v>
      </c>
      <c r="DO284" s="917" t="str">
        <f t="shared" si="76"/>
        <v>-</v>
      </c>
      <c r="DP284" s="917" t="str">
        <f t="shared" si="77"/>
        <v>-</v>
      </c>
      <c r="DQ284" s="917" t="str">
        <f>IF(LEFT(CELLformula(DF284),3)&lt;&gt;"=IF",1,"")</f>
        <v/>
      </c>
      <c r="DR284" s="917" t="str">
        <f>IF(LEFT(CELLformula(DD284),3)&lt;&gt;"=IF",1,"")</f>
        <v/>
      </c>
      <c r="DS284" s="3048">
        <f t="shared" si="86"/>
        <v>0</v>
      </c>
      <c r="DT284" s="3047" t="str">
        <f t="shared" si="87"/>
        <v/>
      </c>
      <c r="DU284" s="3047" t="str">
        <f>IFERROR(IF(G284="","",SUMIF('Lighting Assumptions'!$G$3:$G$112,'6a - Lighting Counts'!G284,'Lighting Assumptions'!$H$3:$H$112)*IF(SI_IP_Units="SI",10.76,1)),"")</f>
        <v/>
      </c>
      <c r="DV284" s="3047" t="str">
        <f>IFERROR(IF($CX284="","",IF(SI_IP_Units="SI",10.76,1)*SUMIF(BAMCategories,$CY284,'Lighting Assumptions'!$E$3:E$35)),"")</f>
        <v/>
      </c>
      <c r="DW284" s="3047" t="str">
        <f>IFERROR(IF($CX284="","",IF(SI_IP_Units="SI",10.76,1)*SUMIF(BAMCategories,$CY284,IF(bpf_reference="ACP",'Lighting Assumptions 90.1-2010'!$E$3:E$35,'Lighting Assumptions 90.1-2016'!$E$3:E$35))),"")</f>
        <v/>
      </c>
      <c r="EW284" s="855"/>
      <c r="EX284" s="855"/>
      <c r="EY284" s="855"/>
      <c r="EZ284" s="855"/>
    </row>
    <row r="285" spans="4:156" x14ac:dyDescent="0.25">
      <c r="D285" s="3019"/>
      <c r="E285" s="3020"/>
      <c r="F285" s="3021">
        <f t="shared" ref="F285:F348" si="88">IF(ISBLANK(D285)=FALSE,1,0)</f>
        <v>0</v>
      </c>
      <c r="G285" s="3059"/>
      <c r="H285" s="3060"/>
      <c r="I285" s="3061"/>
      <c r="J285" s="3061"/>
      <c r="K285" s="3061"/>
      <c r="L285" s="3061"/>
      <c r="M285" s="3061"/>
      <c r="N285" s="3061"/>
      <c r="O285" s="3061"/>
      <c r="P285" s="3061"/>
      <c r="Q285" s="3061"/>
      <c r="R285" s="3061"/>
      <c r="S285" s="3061"/>
      <c r="T285" s="3061"/>
      <c r="U285" s="3061"/>
      <c r="V285" s="3061"/>
      <c r="W285" s="3061"/>
      <c r="X285" s="3061"/>
      <c r="Y285" s="3061"/>
      <c r="Z285" s="3061"/>
      <c r="AA285" s="3061"/>
      <c r="AB285" s="3061"/>
      <c r="AC285" s="3061"/>
      <c r="AD285" s="3061"/>
      <c r="AE285" s="3061"/>
      <c r="AF285" s="3061"/>
      <c r="AG285" s="3061"/>
      <c r="AH285" s="3061"/>
      <c r="AI285" s="3061"/>
      <c r="AJ285" s="3061"/>
      <c r="AK285" s="3061"/>
      <c r="AL285" s="3061"/>
      <c r="AM285" s="3061"/>
      <c r="AN285" s="3061"/>
      <c r="AO285" s="3061"/>
      <c r="AP285" s="3061"/>
      <c r="AQ285" s="3061"/>
      <c r="AR285" s="3061"/>
      <c r="AS285" s="3061"/>
      <c r="AT285" s="3061"/>
      <c r="AU285" s="3061"/>
      <c r="AV285" s="3061"/>
      <c r="AW285" s="3061"/>
      <c r="AX285" s="3061"/>
      <c r="AY285" s="3061"/>
      <c r="AZ285" s="3061"/>
      <c r="BA285" s="3061"/>
      <c r="BB285" s="3061"/>
      <c r="BC285" s="3061"/>
      <c r="BD285" s="3061"/>
      <c r="BE285" s="3061"/>
      <c r="BF285" s="3061"/>
      <c r="BG285" s="3061"/>
      <c r="BH285" s="3061"/>
      <c r="BI285" s="3061"/>
      <c r="BJ285" s="3061"/>
      <c r="BK285" s="3061"/>
      <c r="BL285" s="3061"/>
      <c r="BM285" s="3061"/>
      <c r="BN285" s="3061"/>
      <c r="BO285" s="3061"/>
      <c r="BP285" s="3061"/>
      <c r="BQ285" s="3061"/>
      <c r="BR285" s="3061"/>
      <c r="BS285" s="3061"/>
      <c r="BT285" s="3061"/>
      <c r="BU285" s="3061"/>
      <c r="BV285" s="3061"/>
      <c r="BW285" s="3061"/>
      <c r="BX285" s="3061"/>
      <c r="BY285" s="3061"/>
      <c r="BZ285" s="3061"/>
      <c r="CA285" s="3061"/>
      <c r="CB285" s="3061"/>
      <c r="CC285" s="3061"/>
      <c r="CD285" s="3061"/>
      <c r="CE285" s="3061"/>
      <c r="CF285" s="3061"/>
      <c r="CG285" s="3061"/>
      <c r="CH285" s="3061"/>
      <c r="CI285" s="3061"/>
      <c r="CJ285" s="3061"/>
      <c r="CK285" s="3061"/>
      <c r="CL285" s="3061"/>
      <c r="CM285" s="3061"/>
      <c r="CN285" s="3061"/>
      <c r="CO285" s="3061"/>
      <c r="CP285" s="3061"/>
      <c r="CQ285" s="3061"/>
      <c r="CR285" s="3061"/>
      <c r="CS285" s="3062"/>
      <c r="CT285" s="3063"/>
      <c r="CU285" s="3064">
        <f t="shared" si="78"/>
        <v>1</v>
      </c>
      <c r="CV285" s="3022" t="str">
        <f>IF(OR(CT285="",CT285="None"),"-",DO285*CU285*SUMIF('Lighting Assumptions'!$G$3:$G$112,'6a - Lighting Counts'!G285,'Lighting Assumptions'!$J$3:$J$112))</f>
        <v>-</v>
      </c>
      <c r="CW285" s="3021"/>
      <c r="CX285" s="3021"/>
      <c r="CY285" s="3046"/>
      <c r="CZ285" s="2098">
        <f t="shared" si="79"/>
        <v>0</v>
      </c>
      <c r="DA285" s="2098" t="str">
        <f t="shared" si="80"/>
        <v>-</v>
      </c>
      <c r="DB285" s="2098">
        <f t="shared" si="81"/>
        <v>0</v>
      </c>
      <c r="DC285" s="3023" t="str">
        <f t="shared" si="82"/>
        <v>-</v>
      </c>
      <c r="DD285" s="3024" t="str">
        <f t="shared" si="83"/>
        <v/>
      </c>
      <c r="DE285" s="3025" t="str">
        <f t="shared" si="84"/>
        <v>-</v>
      </c>
      <c r="DF285" s="3024" t="str">
        <f t="shared" ref="DF285:DF348" si="89">IF(ISBLANK(H285)=FALSE,(CZ285-IF(ISNUMBER(CV285)=TRUE,CV285,0)*CS285)/H285,"-")</f>
        <v>-</v>
      </c>
      <c r="DG285" s="2098">
        <f t="shared" si="85"/>
        <v>0</v>
      </c>
      <c r="DH285" s="2098">
        <f t="array" ref="DH285">MIN(SUMPRODUCT(I285:CR285,IF($I$25:$CR$25="yes",1,0),$I$23:$CR$23),H285)</f>
        <v>0</v>
      </c>
      <c r="DI285" s="3026"/>
      <c r="DJ285" s="3021"/>
      <c r="DN285" s="917" t="str">
        <f>IF(CS285="","-",SUMIF('Lighting Assumptions'!$G$3:$G$112,'6a - Lighting Counts'!G285,'Lighting Assumptions'!$J$3:$J$112))</f>
        <v>-</v>
      </c>
      <c r="DO285" s="917" t="str">
        <f t="shared" ref="DO285:DO348" si="90">IF(CT285="","-",IF(CT285="Other",1,1.25))</f>
        <v>-</v>
      </c>
      <c r="DP285" s="917" t="str">
        <f t="shared" ref="DP285:DP348" si="91">IF(DO285="-","-",DO285*CV285)</f>
        <v>-</v>
      </c>
      <c r="DQ285" s="917" t="str">
        <f>IF(LEFT(CELLformula(DF285),3)&lt;&gt;"=IF",1,"")</f>
        <v/>
      </c>
      <c r="DR285" s="917" t="str">
        <f>IF(LEFT(CELLformula(DD285),3)&lt;&gt;"=IF",1,"")</f>
        <v/>
      </c>
      <c r="DS285" s="3048">
        <f t="shared" si="86"/>
        <v>0</v>
      </c>
      <c r="DT285" s="3047" t="str">
        <f t="shared" si="87"/>
        <v/>
      </c>
      <c r="DU285" s="3047" t="str">
        <f>IFERROR(IF(G285="","",SUMIF('Lighting Assumptions'!$G$3:$G$112,'6a - Lighting Counts'!G285,'Lighting Assumptions'!$H$3:$H$112)*IF(SI_IP_Units="SI",10.76,1)),"")</f>
        <v/>
      </c>
      <c r="DV285" s="3047" t="str">
        <f>IFERROR(IF($CX285="","",IF(SI_IP_Units="SI",10.76,1)*SUMIF(BAMCategories,$CY285,'Lighting Assumptions'!$E$3:E$35)),"")</f>
        <v/>
      </c>
      <c r="DW285" s="3047" t="str">
        <f>IFERROR(IF($CX285="","",IF(SI_IP_Units="SI",10.76,1)*SUMIF(BAMCategories,$CY285,IF(bpf_reference="ACP",'Lighting Assumptions 90.1-2010'!$E$3:E$35,'Lighting Assumptions 90.1-2016'!$E$3:E$35))),"")</f>
        <v/>
      </c>
      <c r="EW285" s="855"/>
      <c r="EX285" s="855"/>
      <c r="EY285" s="855"/>
      <c r="EZ285" s="855"/>
    </row>
    <row r="286" spans="4:156" x14ac:dyDescent="0.25">
      <c r="D286" s="3019"/>
      <c r="E286" s="3020"/>
      <c r="F286" s="3021">
        <f t="shared" si="88"/>
        <v>0</v>
      </c>
      <c r="G286" s="3059"/>
      <c r="H286" s="3060"/>
      <c r="I286" s="3061"/>
      <c r="J286" s="3061"/>
      <c r="K286" s="3061"/>
      <c r="L286" s="3061"/>
      <c r="M286" s="3061"/>
      <c r="N286" s="3061"/>
      <c r="O286" s="3061"/>
      <c r="P286" s="3061"/>
      <c r="Q286" s="3061"/>
      <c r="R286" s="3061"/>
      <c r="S286" s="3061"/>
      <c r="T286" s="3061"/>
      <c r="U286" s="3061"/>
      <c r="V286" s="3061"/>
      <c r="W286" s="3061"/>
      <c r="X286" s="3061"/>
      <c r="Y286" s="3061"/>
      <c r="Z286" s="3061"/>
      <c r="AA286" s="3061"/>
      <c r="AB286" s="3061"/>
      <c r="AC286" s="3061"/>
      <c r="AD286" s="3061"/>
      <c r="AE286" s="3061"/>
      <c r="AF286" s="3061"/>
      <c r="AG286" s="3061"/>
      <c r="AH286" s="3061"/>
      <c r="AI286" s="3061"/>
      <c r="AJ286" s="3061"/>
      <c r="AK286" s="3061"/>
      <c r="AL286" s="3061"/>
      <c r="AM286" s="3061"/>
      <c r="AN286" s="3061"/>
      <c r="AO286" s="3061"/>
      <c r="AP286" s="3061"/>
      <c r="AQ286" s="3061"/>
      <c r="AR286" s="3061"/>
      <c r="AS286" s="3061"/>
      <c r="AT286" s="3061"/>
      <c r="AU286" s="3061"/>
      <c r="AV286" s="3061"/>
      <c r="AW286" s="3061"/>
      <c r="AX286" s="3061"/>
      <c r="AY286" s="3061"/>
      <c r="AZ286" s="3061"/>
      <c r="BA286" s="3061"/>
      <c r="BB286" s="3061"/>
      <c r="BC286" s="3061"/>
      <c r="BD286" s="3061"/>
      <c r="BE286" s="3061"/>
      <c r="BF286" s="3061"/>
      <c r="BG286" s="3061"/>
      <c r="BH286" s="3061"/>
      <c r="BI286" s="3061"/>
      <c r="BJ286" s="3061"/>
      <c r="BK286" s="3061"/>
      <c r="BL286" s="3061"/>
      <c r="BM286" s="3061"/>
      <c r="BN286" s="3061"/>
      <c r="BO286" s="3061"/>
      <c r="BP286" s="3061"/>
      <c r="BQ286" s="3061"/>
      <c r="BR286" s="3061"/>
      <c r="BS286" s="3061"/>
      <c r="BT286" s="3061"/>
      <c r="BU286" s="3061"/>
      <c r="BV286" s="3061"/>
      <c r="BW286" s="3061"/>
      <c r="BX286" s="3061"/>
      <c r="BY286" s="3061"/>
      <c r="BZ286" s="3061"/>
      <c r="CA286" s="3061"/>
      <c r="CB286" s="3061"/>
      <c r="CC286" s="3061"/>
      <c r="CD286" s="3061"/>
      <c r="CE286" s="3061"/>
      <c r="CF286" s="3061"/>
      <c r="CG286" s="3061"/>
      <c r="CH286" s="3061"/>
      <c r="CI286" s="3061"/>
      <c r="CJ286" s="3061"/>
      <c r="CK286" s="3061"/>
      <c r="CL286" s="3061"/>
      <c r="CM286" s="3061"/>
      <c r="CN286" s="3061"/>
      <c r="CO286" s="3061"/>
      <c r="CP286" s="3061"/>
      <c r="CQ286" s="3061"/>
      <c r="CR286" s="3061"/>
      <c r="CS286" s="3062"/>
      <c r="CT286" s="3063"/>
      <c r="CU286" s="3064">
        <f t="shared" ref="CU286:CU349" si="92">IF(OR(CT286="Manual-On Individual Workstation",CT286="Partial-Auto-On Individual Workstation",CT286="Other Individual Workstation"),1.3,1)</f>
        <v>1</v>
      </c>
      <c r="CV286" s="3022" t="str">
        <f>IF(OR(CT286="",CT286="None"),"-",DO286*CU286*SUMIF('Lighting Assumptions'!$G$3:$G$112,'6a - Lighting Counts'!G286,'Lighting Assumptions'!$J$3:$J$112))</f>
        <v>-</v>
      </c>
      <c r="CW286" s="3021"/>
      <c r="CX286" s="3021"/>
      <c r="CY286" s="3046"/>
      <c r="CZ286" s="2098">
        <f t="shared" ref="CZ286:CZ349" si="93">IFERROR(SUMPRODUCT(I286:CR286,$I$23:$CR$23),0)+IFERROR(DW286*CX286,0)</f>
        <v>0</v>
      </c>
      <c r="DA286" s="2098" t="str">
        <f t="shared" ref="DA286:DA349" si="94">IF(DD286="","-",IF(H286="",0,DD286*H286))</f>
        <v>-</v>
      </c>
      <c r="DB286" s="2098">
        <f t="shared" ref="DB286:DB349" si="95">SUMPRODUCT(I286:CR286,$I$24:$CR$24)</f>
        <v>0</v>
      </c>
      <c r="DC286" s="3023" t="str">
        <f t="shared" ref="DC286:DC349" si="96">IF(ISBLANK(H286)=FALSE,CZ286/H286,"-")</f>
        <v>-</v>
      </c>
      <c r="DD286" s="3024" t="str">
        <f t="shared" ref="DD286:DD349" si="97">IFERROR(DS286/H286,"")</f>
        <v/>
      </c>
      <c r="DE286" s="3025" t="str">
        <f t="shared" ref="DE286:DE349" si="98">IF(ISBLANK(H286)=FALSE,DB286/H286,"-")</f>
        <v>-</v>
      </c>
      <c r="DF286" s="3024" t="str">
        <f t="shared" si="89"/>
        <v>-</v>
      </c>
      <c r="DG286" s="2098">
        <f t="shared" ref="DG286:DG349" si="99">IFERROR(DF286*H286,0)</f>
        <v>0</v>
      </c>
      <c r="DH286" s="2098">
        <f t="array" ref="DH286">MIN(SUMPRODUCT(I286:CR286,IF($I$25:$CR$25="yes",1,0),$I$23:$CR$23),H286)</f>
        <v>0</v>
      </c>
      <c r="DI286" s="3026"/>
      <c r="DJ286" s="3021"/>
      <c r="DN286" s="917" t="str">
        <f>IF(CS286="","-",SUMIF('Lighting Assumptions'!$G$3:$G$112,'6a - Lighting Counts'!G286,'Lighting Assumptions'!$J$3:$J$112))</f>
        <v>-</v>
      </c>
      <c r="DO286" s="917" t="str">
        <f t="shared" si="90"/>
        <v>-</v>
      </c>
      <c r="DP286" s="917" t="str">
        <f t="shared" si="91"/>
        <v>-</v>
      </c>
      <c r="DQ286" s="917" t="str">
        <f>IF(LEFT(CELLformula(DF286),3)&lt;&gt;"=IF",1,"")</f>
        <v/>
      </c>
      <c r="DR286" s="917" t="str">
        <f>IF(LEFT(CELLformula(DD286),3)&lt;&gt;"=IF",1,"")</f>
        <v/>
      </c>
      <c r="DS286" s="3048">
        <f t="shared" ref="DS286:DS349" si="100">IFERROR(DU286*MAX(H286-CX286,0),0)+(IFERROR(DV286*MAX(0,CX286),0))</f>
        <v>0</v>
      </c>
      <c r="DT286" s="3047" t="str">
        <f t="shared" ref="DT286:DT349" si="101">IFERROR(DS286/H286,"")</f>
        <v/>
      </c>
      <c r="DU286" s="3047" t="str">
        <f>IFERROR(IF(G286="","",SUMIF('Lighting Assumptions'!$G$3:$G$112,'6a - Lighting Counts'!G286,'Lighting Assumptions'!$H$3:$H$112)*IF(SI_IP_Units="SI",10.76,1)),"")</f>
        <v/>
      </c>
      <c r="DV286" s="3047" t="str">
        <f>IFERROR(IF($CX286="","",IF(SI_IP_Units="SI",10.76,1)*SUMIF(BAMCategories,$CY286,'Lighting Assumptions'!$E$3:E$35)),"")</f>
        <v/>
      </c>
      <c r="DW286" s="3047" t="str">
        <f>IFERROR(IF($CX286="","",IF(SI_IP_Units="SI",10.76,1)*SUMIF(BAMCategories,$CY286,IF(bpf_reference="ACP",'Lighting Assumptions 90.1-2010'!$E$3:E$35,'Lighting Assumptions 90.1-2016'!$E$3:E$35))),"")</f>
        <v/>
      </c>
      <c r="EW286" s="855"/>
      <c r="EX286" s="855"/>
      <c r="EY286" s="855"/>
      <c r="EZ286" s="855"/>
    </row>
    <row r="287" spans="4:156" x14ac:dyDescent="0.25">
      <c r="D287" s="3019"/>
      <c r="E287" s="3020"/>
      <c r="F287" s="3021">
        <f t="shared" si="88"/>
        <v>0</v>
      </c>
      <c r="G287" s="3059"/>
      <c r="H287" s="3060"/>
      <c r="I287" s="3061"/>
      <c r="J287" s="3061"/>
      <c r="K287" s="3061"/>
      <c r="L287" s="3061"/>
      <c r="M287" s="3061"/>
      <c r="N287" s="3061"/>
      <c r="O287" s="3061"/>
      <c r="P287" s="3061"/>
      <c r="Q287" s="3061"/>
      <c r="R287" s="3061"/>
      <c r="S287" s="3061"/>
      <c r="T287" s="3061"/>
      <c r="U287" s="3061"/>
      <c r="V287" s="3061"/>
      <c r="W287" s="3061"/>
      <c r="X287" s="3061"/>
      <c r="Y287" s="3061"/>
      <c r="Z287" s="3061"/>
      <c r="AA287" s="3061"/>
      <c r="AB287" s="3061"/>
      <c r="AC287" s="3061"/>
      <c r="AD287" s="3061"/>
      <c r="AE287" s="3061"/>
      <c r="AF287" s="3061"/>
      <c r="AG287" s="3061"/>
      <c r="AH287" s="3061"/>
      <c r="AI287" s="3061"/>
      <c r="AJ287" s="3061"/>
      <c r="AK287" s="3061"/>
      <c r="AL287" s="3061"/>
      <c r="AM287" s="3061"/>
      <c r="AN287" s="3061"/>
      <c r="AO287" s="3061"/>
      <c r="AP287" s="3061"/>
      <c r="AQ287" s="3061"/>
      <c r="AR287" s="3061"/>
      <c r="AS287" s="3061"/>
      <c r="AT287" s="3061"/>
      <c r="AU287" s="3061"/>
      <c r="AV287" s="3061"/>
      <c r="AW287" s="3061"/>
      <c r="AX287" s="3061"/>
      <c r="AY287" s="3061"/>
      <c r="AZ287" s="3061"/>
      <c r="BA287" s="3061"/>
      <c r="BB287" s="3061"/>
      <c r="BC287" s="3061"/>
      <c r="BD287" s="3061"/>
      <c r="BE287" s="3061"/>
      <c r="BF287" s="3061"/>
      <c r="BG287" s="3061"/>
      <c r="BH287" s="3061"/>
      <c r="BI287" s="3061"/>
      <c r="BJ287" s="3061"/>
      <c r="BK287" s="3061"/>
      <c r="BL287" s="3061"/>
      <c r="BM287" s="3061"/>
      <c r="BN287" s="3061"/>
      <c r="BO287" s="3061"/>
      <c r="BP287" s="3061"/>
      <c r="BQ287" s="3061"/>
      <c r="BR287" s="3061"/>
      <c r="BS287" s="3061"/>
      <c r="BT287" s="3061"/>
      <c r="BU287" s="3061"/>
      <c r="BV287" s="3061"/>
      <c r="BW287" s="3061"/>
      <c r="BX287" s="3061"/>
      <c r="BY287" s="3061"/>
      <c r="BZ287" s="3061"/>
      <c r="CA287" s="3061"/>
      <c r="CB287" s="3061"/>
      <c r="CC287" s="3061"/>
      <c r="CD287" s="3061"/>
      <c r="CE287" s="3061"/>
      <c r="CF287" s="3061"/>
      <c r="CG287" s="3061"/>
      <c r="CH287" s="3061"/>
      <c r="CI287" s="3061"/>
      <c r="CJ287" s="3061"/>
      <c r="CK287" s="3061"/>
      <c r="CL287" s="3061"/>
      <c r="CM287" s="3061"/>
      <c r="CN287" s="3061"/>
      <c r="CO287" s="3061"/>
      <c r="CP287" s="3061"/>
      <c r="CQ287" s="3061"/>
      <c r="CR287" s="3061"/>
      <c r="CS287" s="3062"/>
      <c r="CT287" s="3063"/>
      <c r="CU287" s="3064">
        <f t="shared" si="92"/>
        <v>1</v>
      </c>
      <c r="CV287" s="3022" t="str">
        <f>IF(OR(CT287="",CT287="None"),"-",DO287*CU287*SUMIF('Lighting Assumptions'!$G$3:$G$112,'6a - Lighting Counts'!G287,'Lighting Assumptions'!$J$3:$J$112))</f>
        <v>-</v>
      </c>
      <c r="CW287" s="3021"/>
      <c r="CX287" s="3021"/>
      <c r="CY287" s="3046"/>
      <c r="CZ287" s="2098">
        <f t="shared" si="93"/>
        <v>0</v>
      </c>
      <c r="DA287" s="2098" t="str">
        <f t="shared" si="94"/>
        <v>-</v>
      </c>
      <c r="DB287" s="2098">
        <f t="shared" si="95"/>
        <v>0</v>
      </c>
      <c r="DC287" s="3023" t="str">
        <f t="shared" si="96"/>
        <v>-</v>
      </c>
      <c r="DD287" s="3024" t="str">
        <f t="shared" si="97"/>
        <v/>
      </c>
      <c r="DE287" s="3025" t="str">
        <f t="shared" si="98"/>
        <v>-</v>
      </c>
      <c r="DF287" s="3024" t="str">
        <f t="shared" si="89"/>
        <v>-</v>
      </c>
      <c r="DG287" s="2098">
        <f t="shared" si="99"/>
        <v>0</v>
      </c>
      <c r="DH287" s="2098">
        <f t="array" ref="DH287">MIN(SUMPRODUCT(I287:CR287,IF($I$25:$CR$25="yes",1,0),$I$23:$CR$23),H287)</f>
        <v>0</v>
      </c>
      <c r="DI287" s="3026"/>
      <c r="DJ287" s="3021"/>
      <c r="DN287" s="917" t="str">
        <f>IF(CS287="","-",SUMIF('Lighting Assumptions'!$G$3:$G$112,'6a - Lighting Counts'!G287,'Lighting Assumptions'!$J$3:$J$112))</f>
        <v>-</v>
      </c>
      <c r="DO287" s="917" t="str">
        <f t="shared" si="90"/>
        <v>-</v>
      </c>
      <c r="DP287" s="917" t="str">
        <f t="shared" si="91"/>
        <v>-</v>
      </c>
      <c r="DQ287" s="917" t="str">
        <f>IF(LEFT(CELLformula(DF287),3)&lt;&gt;"=IF",1,"")</f>
        <v/>
      </c>
      <c r="DR287" s="917" t="str">
        <f>IF(LEFT(CELLformula(DD287),3)&lt;&gt;"=IF",1,"")</f>
        <v/>
      </c>
      <c r="DS287" s="3048">
        <f t="shared" si="100"/>
        <v>0</v>
      </c>
      <c r="DT287" s="3047" t="str">
        <f t="shared" si="101"/>
        <v/>
      </c>
      <c r="DU287" s="3047" t="str">
        <f>IFERROR(IF(G287="","",SUMIF('Lighting Assumptions'!$G$3:$G$112,'6a - Lighting Counts'!G287,'Lighting Assumptions'!$H$3:$H$112)*IF(SI_IP_Units="SI",10.76,1)),"")</f>
        <v/>
      </c>
      <c r="DV287" s="3047" t="str">
        <f>IFERROR(IF($CX287="","",IF(SI_IP_Units="SI",10.76,1)*SUMIF(BAMCategories,$CY287,'Lighting Assumptions'!$E$3:E$35)),"")</f>
        <v/>
      </c>
      <c r="DW287" s="3047" t="str">
        <f>IFERROR(IF($CX287="","",IF(SI_IP_Units="SI",10.76,1)*SUMIF(BAMCategories,$CY287,IF(bpf_reference="ACP",'Lighting Assumptions 90.1-2010'!$E$3:E$35,'Lighting Assumptions 90.1-2016'!$E$3:E$35))),"")</f>
        <v/>
      </c>
      <c r="EW287" s="855"/>
      <c r="EX287" s="855"/>
      <c r="EY287" s="855"/>
      <c r="EZ287" s="855"/>
    </row>
    <row r="288" spans="4:156" x14ac:dyDescent="0.25">
      <c r="D288" s="3019"/>
      <c r="E288" s="3020"/>
      <c r="F288" s="3021">
        <f t="shared" si="88"/>
        <v>0</v>
      </c>
      <c r="G288" s="3059"/>
      <c r="H288" s="3060"/>
      <c r="I288" s="3061"/>
      <c r="J288" s="3061"/>
      <c r="K288" s="3061"/>
      <c r="L288" s="3061"/>
      <c r="M288" s="3061"/>
      <c r="N288" s="3061"/>
      <c r="O288" s="3061"/>
      <c r="P288" s="3061"/>
      <c r="Q288" s="3061"/>
      <c r="R288" s="3061"/>
      <c r="S288" s="3061"/>
      <c r="T288" s="3061"/>
      <c r="U288" s="3061"/>
      <c r="V288" s="3061"/>
      <c r="W288" s="3061"/>
      <c r="X288" s="3061"/>
      <c r="Y288" s="3061"/>
      <c r="Z288" s="3061"/>
      <c r="AA288" s="3061"/>
      <c r="AB288" s="3061"/>
      <c r="AC288" s="3061"/>
      <c r="AD288" s="3061"/>
      <c r="AE288" s="3061"/>
      <c r="AF288" s="3061"/>
      <c r="AG288" s="3061"/>
      <c r="AH288" s="3061"/>
      <c r="AI288" s="3061"/>
      <c r="AJ288" s="3061"/>
      <c r="AK288" s="3061"/>
      <c r="AL288" s="3061"/>
      <c r="AM288" s="3061"/>
      <c r="AN288" s="3061"/>
      <c r="AO288" s="3061"/>
      <c r="AP288" s="3061"/>
      <c r="AQ288" s="3061"/>
      <c r="AR288" s="3061"/>
      <c r="AS288" s="3061"/>
      <c r="AT288" s="3061"/>
      <c r="AU288" s="3061"/>
      <c r="AV288" s="3061"/>
      <c r="AW288" s="3061"/>
      <c r="AX288" s="3061"/>
      <c r="AY288" s="3061"/>
      <c r="AZ288" s="3061"/>
      <c r="BA288" s="3061"/>
      <c r="BB288" s="3061"/>
      <c r="BC288" s="3061"/>
      <c r="BD288" s="3061"/>
      <c r="BE288" s="3061"/>
      <c r="BF288" s="3061"/>
      <c r="BG288" s="3061"/>
      <c r="BH288" s="3061"/>
      <c r="BI288" s="3061"/>
      <c r="BJ288" s="3061"/>
      <c r="BK288" s="3061"/>
      <c r="BL288" s="3061"/>
      <c r="BM288" s="3061"/>
      <c r="BN288" s="3061"/>
      <c r="BO288" s="3061"/>
      <c r="BP288" s="3061"/>
      <c r="BQ288" s="3061"/>
      <c r="BR288" s="3061"/>
      <c r="BS288" s="3061"/>
      <c r="BT288" s="3061"/>
      <c r="BU288" s="3061"/>
      <c r="BV288" s="3061"/>
      <c r="BW288" s="3061"/>
      <c r="BX288" s="3061"/>
      <c r="BY288" s="3061"/>
      <c r="BZ288" s="3061"/>
      <c r="CA288" s="3061"/>
      <c r="CB288" s="3061"/>
      <c r="CC288" s="3061"/>
      <c r="CD288" s="3061"/>
      <c r="CE288" s="3061"/>
      <c r="CF288" s="3061"/>
      <c r="CG288" s="3061"/>
      <c r="CH288" s="3061"/>
      <c r="CI288" s="3061"/>
      <c r="CJ288" s="3061"/>
      <c r="CK288" s="3061"/>
      <c r="CL288" s="3061"/>
      <c r="CM288" s="3061"/>
      <c r="CN288" s="3061"/>
      <c r="CO288" s="3061"/>
      <c r="CP288" s="3061"/>
      <c r="CQ288" s="3061"/>
      <c r="CR288" s="3061"/>
      <c r="CS288" s="3062"/>
      <c r="CT288" s="3063"/>
      <c r="CU288" s="3064">
        <f t="shared" si="92"/>
        <v>1</v>
      </c>
      <c r="CV288" s="3022" t="str">
        <f>IF(OR(CT288="",CT288="None"),"-",DO288*CU288*SUMIF('Lighting Assumptions'!$G$3:$G$112,'6a - Lighting Counts'!G288,'Lighting Assumptions'!$J$3:$J$112))</f>
        <v>-</v>
      </c>
      <c r="CW288" s="3021"/>
      <c r="CX288" s="3021"/>
      <c r="CY288" s="3046"/>
      <c r="CZ288" s="2098">
        <f t="shared" si="93"/>
        <v>0</v>
      </c>
      <c r="DA288" s="2098" t="str">
        <f t="shared" si="94"/>
        <v>-</v>
      </c>
      <c r="DB288" s="2098">
        <f t="shared" si="95"/>
        <v>0</v>
      </c>
      <c r="DC288" s="3023" t="str">
        <f t="shared" si="96"/>
        <v>-</v>
      </c>
      <c r="DD288" s="3024" t="str">
        <f t="shared" si="97"/>
        <v/>
      </c>
      <c r="DE288" s="3025" t="str">
        <f t="shared" si="98"/>
        <v>-</v>
      </c>
      <c r="DF288" s="3024" t="str">
        <f t="shared" si="89"/>
        <v>-</v>
      </c>
      <c r="DG288" s="2098">
        <f t="shared" si="99"/>
        <v>0</v>
      </c>
      <c r="DH288" s="2098">
        <f t="array" ref="DH288">MIN(SUMPRODUCT(I288:CR288,IF($I$25:$CR$25="yes",1,0),$I$23:$CR$23),H288)</f>
        <v>0</v>
      </c>
      <c r="DI288" s="3026"/>
      <c r="DJ288" s="3021"/>
      <c r="DN288" s="917" t="str">
        <f>IF(CS288="","-",SUMIF('Lighting Assumptions'!$G$3:$G$112,'6a - Lighting Counts'!G288,'Lighting Assumptions'!$J$3:$J$112))</f>
        <v>-</v>
      </c>
      <c r="DO288" s="917" t="str">
        <f t="shared" si="90"/>
        <v>-</v>
      </c>
      <c r="DP288" s="917" t="str">
        <f t="shared" si="91"/>
        <v>-</v>
      </c>
      <c r="DQ288" s="917" t="str">
        <f>IF(LEFT(CELLformula(DF288),3)&lt;&gt;"=IF",1,"")</f>
        <v/>
      </c>
      <c r="DR288" s="917" t="str">
        <f>IF(LEFT(CELLformula(DD288),3)&lt;&gt;"=IF",1,"")</f>
        <v/>
      </c>
      <c r="DS288" s="3048">
        <f t="shared" si="100"/>
        <v>0</v>
      </c>
      <c r="DT288" s="3047" t="str">
        <f t="shared" si="101"/>
        <v/>
      </c>
      <c r="DU288" s="3047" t="str">
        <f>IFERROR(IF(G288="","",SUMIF('Lighting Assumptions'!$G$3:$G$112,'6a - Lighting Counts'!G288,'Lighting Assumptions'!$H$3:$H$112)*IF(SI_IP_Units="SI",10.76,1)),"")</f>
        <v/>
      </c>
      <c r="DV288" s="3047" t="str">
        <f>IFERROR(IF($CX288="","",IF(SI_IP_Units="SI",10.76,1)*SUMIF(BAMCategories,$CY288,'Lighting Assumptions'!$E$3:E$35)),"")</f>
        <v/>
      </c>
      <c r="DW288" s="3047" t="str">
        <f>IFERROR(IF($CX288="","",IF(SI_IP_Units="SI",10.76,1)*SUMIF(BAMCategories,$CY288,IF(bpf_reference="ACP",'Lighting Assumptions 90.1-2010'!$E$3:E$35,'Lighting Assumptions 90.1-2016'!$E$3:E$35))),"")</f>
        <v/>
      </c>
      <c r="EW288" s="855"/>
      <c r="EX288" s="855"/>
      <c r="EY288" s="855"/>
      <c r="EZ288" s="855"/>
    </row>
    <row r="289" spans="4:156" x14ac:dyDescent="0.25">
      <c r="D289" s="3019"/>
      <c r="E289" s="3020"/>
      <c r="F289" s="3021">
        <f t="shared" si="88"/>
        <v>0</v>
      </c>
      <c r="G289" s="3059"/>
      <c r="H289" s="3060"/>
      <c r="I289" s="3061"/>
      <c r="J289" s="3061"/>
      <c r="K289" s="3061"/>
      <c r="L289" s="3061"/>
      <c r="M289" s="3061"/>
      <c r="N289" s="3061"/>
      <c r="O289" s="3061"/>
      <c r="P289" s="3061"/>
      <c r="Q289" s="3061"/>
      <c r="R289" s="3061"/>
      <c r="S289" s="3061"/>
      <c r="T289" s="3061"/>
      <c r="U289" s="3061"/>
      <c r="V289" s="3061"/>
      <c r="W289" s="3061"/>
      <c r="X289" s="3061"/>
      <c r="Y289" s="3061"/>
      <c r="Z289" s="3061"/>
      <c r="AA289" s="3061"/>
      <c r="AB289" s="3061"/>
      <c r="AC289" s="3061"/>
      <c r="AD289" s="3061"/>
      <c r="AE289" s="3061"/>
      <c r="AF289" s="3061"/>
      <c r="AG289" s="3061"/>
      <c r="AH289" s="3061"/>
      <c r="AI289" s="3061"/>
      <c r="AJ289" s="3061"/>
      <c r="AK289" s="3061"/>
      <c r="AL289" s="3061"/>
      <c r="AM289" s="3061"/>
      <c r="AN289" s="3061"/>
      <c r="AO289" s="3061"/>
      <c r="AP289" s="3061"/>
      <c r="AQ289" s="3061"/>
      <c r="AR289" s="3061"/>
      <c r="AS289" s="3061"/>
      <c r="AT289" s="3061"/>
      <c r="AU289" s="3061"/>
      <c r="AV289" s="3061"/>
      <c r="AW289" s="3061"/>
      <c r="AX289" s="3061"/>
      <c r="AY289" s="3061"/>
      <c r="AZ289" s="3061"/>
      <c r="BA289" s="3061"/>
      <c r="BB289" s="3061"/>
      <c r="BC289" s="3061"/>
      <c r="BD289" s="3061"/>
      <c r="BE289" s="3061"/>
      <c r="BF289" s="3061"/>
      <c r="BG289" s="3061"/>
      <c r="BH289" s="3061"/>
      <c r="BI289" s="3061"/>
      <c r="BJ289" s="3061"/>
      <c r="BK289" s="3061"/>
      <c r="BL289" s="3061"/>
      <c r="BM289" s="3061"/>
      <c r="BN289" s="3061"/>
      <c r="BO289" s="3061"/>
      <c r="BP289" s="3061"/>
      <c r="BQ289" s="3061"/>
      <c r="BR289" s="3061"/>
      <c r="BS289" s="3061"/>
      <c r="BT289" s="3061"/>
      <c r="BU289" s="3061"/>
      <c r="BV289" s="3061"/>
      <c r="BW289" s="3061"/>
      <c r="BX289" s="3061"/>
      <c r="BY289" s="3061"/>
      <c r="BZ289" s="3061"/>
      <c r="CA289" s="3061"/>
      <c r="CB289" s="3061"/>
      <c r="CC289" s="3061"/>
      <c r="CD289" s="3061"/>
      <c r="CE289" s="3061"/>
      <c r="CF289" s="3061"/>
      <c r="CG289" s="3061"/>
      <c r="CH289" s="3061"/>
      <c r="CI289" s="3061"/>
      <c r="CJ289" s="3061"/>
      <c r="CK289" s="3061"/>
      <c r="CL289" s="3061"/>
      <c r="CM289" s="3061"/>
      <c r="CN289" s="3061"/>
      <c r="CO289" s="3061"/>
      <c r="CP289" s="3061"/>
      <c r="CQ289" s="3061"/>
      <c r="CR289" s="3061"/>
      <c r="CS289" s="3062"/>
      <c r="CT289" s="3063"/>
      <c r="CU289" s="3064">
        <f t="shared" si="92"/>
        <v>1</v>
      </c>
      <c r="CV289" s="3022" t="str">
        <f>IF(OR(CT289="",CT289="None"),"-",DO289*CU289*SUMIF('Lighting Assumptions'!$G$3:$G$112,'6a - Lighting Counts'!G289,'Lighting Assumptions'!$J$3:$J$112))</f>
        <v>-</v>
      </c>
      <c r="CW289" s="3021"/>
      <c r="CX289" s="3021"/>
      <c r="CY289" s="3046"/>
      <c r="CZ289" s="2098">
        <f t="shared" si="93"/>
        <v>0</v>
      </c>
      <c r="DA289" s="2098" t="str">
        <f t="shared" si="94"/>
        <v>-</v>
      </c>
      <c r="DB289" s="2098">
        <f t="shared" si="95"/>
        <v>0</v>
      </c>
      <c r="DC289" s="3023" t="str">
        <f t="shared" si="96"/>
        <v>-</v>
      </c>
      <c r="DD289" s="3024" t="str">
        <f t="shared" si="97"/>
        <v/>
      </c>
      <c r="DE289" s="3025" t="str">
        <f t="shared" si="98"/>
        <v>-</v>
      </c>
      <c r="DF289" s="3024" t="str">
        <f t="shared" si="89"/>
        <v>-</v>
      </c>
      <c r="DG289" s="2098">
        <f t="shared" si="99"/>
        <v>0</v>
      </c>
      <c r="DH289" s="2098">
        <f t="array" ref="DH289">MIN(SUMPRODUCT(I289:CR289,IF($I$25:$CR$25="yes",1,0),$I$23:$CR$23),H289)</f>
        <v>0</v>
      </c>
      <c r="DI289" s="3026"/>
      <c r="DJ289" s="3021"/>
      <c r="DN289" s="917" t="str">
        <f>IF(CS289="","-",SUMIF('Lighting Assumptions'!$G$3:$G$112,'6a - Lighting Counts'!G289,'Lighting Assumptions'!$J$3:$J$112))</f>
        <v>-</v>
      </c>
      <c r="DO289" s="917" t="str">
        <f t="shared" si="90"/>
        <v>-</v>
      </c>
      <c r="DP289" s="917" t="str">
        <f t="shared" si="91"/>
        <v>-</v>
      </c>
      <c r="DQ289" s="917" t="str">
        <f>IF(LEFT(CELLformula(DF289),3)&lt;&gt;"=IF",1,"")</f>
        <v/>
      </c>
      <c r="DR289" s="917" t="str">
        <f>IF(LEFT(CELLformula(DD289),3)&lt;&gt;"=IF",1,"")</f>
        <v/>
      </c>
      <c r="DS289" s="3048">
        <f t="shared" si="100"/>
        <v>0</v>
      </c>
      <c r="DT289" s="3047" t="str">
        <f t="shared" si="101"/>
        <v/>
      </c>
      <c r="DU289" s="3047" t="str">
        <f>IFERROR(IF(G289="","",SUMIF('Lighting Assumptions'!$G$3:$G$112,'6a - Lighting Counts'!G289,'Lighting Assumptions'!$H$3:$H$112)*IF(SI_IP_Units="SI",10.76,1)),"")</f>
        <v/>
      </c>
      <c r="DV289" s="3047" t="str">
        <f>IFERROR(IF($CX289="","",IF(SI_IP_Units="SI",10.76,1)*SUMIF(BAMCategories,$CY289,'Lighting Assumptions'!$E$3:E$35)),"")</f>
        <v/>
      </c>
      <c r="DW289" s="3047" t="str">
        <f>IFERROR(IF($CX289="","",IF(SI_IP_Units="SI",10.76,1)*SUMIF(BAMCategories,$CY289,IF(bpf_reference="ACP",'Lighting Assumptions 90.1-2010'!$E$3:E$35,'Lighting Assumptions 90.1-2016'!$E$3:E$35))),"")</f>
        <v/>
      </c>
      <c r="EW289" s="855"/>
      <c r="EX289" s="855"/>
      <c r="EY289" s="855"/>
      <c r="EZ289" s="855"/>
    </row>
    <row r="290" spans="4:156" x14ac:dyDescent="0.25">
      <c r="D290" s="3019"/>
      <c r="E290" s="3020"/>
      <c r="F290" s="3021">
        <f t="shared" si="88"/>
        <v>0</v>
      </c>
      <c r="G290" s="3059"/>
      <c r="H290" s="3060"/>
      <c r="I290" s="3061"/>
      <c r="J290" s="3061"/>
      <c r="K290" s="3061"/>
      <c r="L290" s="3061"/>
      <c r="M290" s="3061"/>
      <c r="N290" s="3061"/>
      <c r="O290" s="3061"/>
      <c r="P290" s="3061"/>
      <c r="Q290" s="3061"/>
      <c r="R290" s="3061"/>
      <c r="S290" s="3061"/>
      <c r="T290" s="3061"/>
      <c r="U290" s="3061"/>
      <c r="V290" s="3061"/>
      <c r="W290" s="3061"/>
      <c r="X290" s="3061"/>
      <c r="Y290" s="3061"/>
      <c r="Z290" s="3061"/>
      <c r="AA290" s="3061"/>
      <c r="AB290" s="3061"/>
      <c r="AC290" s="3061"/>
      <c r="AD290" s="3061"/>
      <c r="AE290" s="3061"/>
      <c r="AF290" s="3061"/>
      <c r="AG290" s="3061"/>
      <c r="AH290" s="3061"/>
      <c r="AI290" s="3061"/>
      <c r="AJ290" s="3061"/>
      <c r="AK290" s="3061"/>
      <c r="AL290" s="3061"/>
      <c r="AM290" s="3061"/>
      <c r="AN290" s="3061"/>
      <c r="AO290" s="3061"/>
      <c r="AP290" s="3061"/>
      <c r="AQ290" s="3061"/>
      <c r="AR290" s="3061"/>
      <c r="AS290" s="3061"/>
      <c r="AT290" s="3061"/>
      <c r="AU290" s="3061"/>
      <c r="AV290" s="3061"/>
      <c r="AW290" s="3061"/>
      <c r="AX290" s="3061"/>
      <c r="AY290" s="3061"/>
      <c r="AZ290" s="3061"/>
      <c r="BA290" s="3061"/>
      <c r="BB290" s="3061"/>
      <c r="BC290" s="3061"/>
      <c r="BD290" s="3061"/>
      <c r="BE290" s="3061"/>
      <c r="BF290" s="3061"/>
      <c r="BG290" s="3061"/>
      <c r="BH290" s="3061"/>
      <c r="BI290" s="3061"/>
      <c r="BJ290" s="3061"/>
      <c r="BK290" s="3061"/>
      <c r="BL290" s="3061"/>
      <c r="BM290" s="3061"/>
      <c r="BN290" s="3061"/>
      <c r="BO290" s="3061"/>
      <c r="BP290" s="3061"/>
      <c r="BQ290" s="3061"/>
      <c r="BR290" s="3061"/>
      <c r="BS290" s="3061"/>
      <c r="BT290" s="3061"/>
      <c r="BU290" s="3061"/>
      <c r="BV290" s="3061"/>
      <c r="BW290" s="3061"/>
      <c r="BX290" s="3061"/>
      <c r="BY290" s="3061"/>
      <c r="BZ290" s="3061"/>
      <c r="CA290" s="3061"/>
      <c r="CB290" s="3061"/>
      <c r="CC290" s="3061"/>
      <c r="CD290" s="3061"/>
      <c r="CE290" s="3061"/>
      <c r="CF290" s="3061"/>
      <c r="CG290" s="3061"/>
      <c r="CH290" s="3061"/>
      <c r="CI290" s="3061"/>
      <c r="CJ290" s="3061"/>
      <c r="CK290" s="3061"/>
      <c r="CL290" s="3061"/>
      <c r="CM290" s="3061"/>
      <c r="CN290" s="3061"/>
      <c r="CO290" s="3061"/>
      <c r="CP290" s="3061"/>
      <c r="CQ290" s="3061"/>
      <c r="CR290" s="3061"/>
      <c r="CS290" s="3062"/>
      <c r="CT290" s="3063"/>
      <c r="CU290" s="3064">
        <f t="shared" si="92"/>
        <v>1</v>
      </c>
      <c r="CV290" s="3022" t="str">
        <f>IF(OR(CT290="",CT290="None"),"-",DO290*CU290*SUMIF('Lighting Assumptions'!$G$3:$G$112,'6a - Lighting Counts'!G290,'Lighting Assumptions'!$J$3:$J$112))</f>
        <v>-</v>
      </c>
      <c r="CW290" s="3021"/>
      <c r="CX290" s="3021"/>
      <c r="CY290" s="3046"/>
      <c r="CZ290" s="2098">
        <f t="shared" si="93"/>
        <v>0</v>
      </c>
      <c r="DA290" s="2098" t="str">
        <f t="shared" si="94"/>
        <v>-</v>
      </c>
      <c r="DB290" s="2098">
        <f t="shared" si="95"/>
        <v>0</v>
      </c>
      <c r="DC290" s="3023" t="str">
        <f t="shared" si="96"/>
        <v>-</v>
      </c>
      <c r="DD290" s="3024" t="str">
        <f t="shared" si="97"/>
        <v/>
      </c>
      <c r="DE290" s="3025" t="str">
        <f t="shared" si="98"/>
        <v>-</v>
      </c>
      <c r="DF290" s="3024" t="str">
        <f t="shared" si="89"/>
        <v>-</v>
      </c>
      <c r="DG290" s="2098">
        <f t="shared" si="99"/>
        <v>0</v>
      </c>
      <c r="DH290" s="2098">
        <f t="array" ref="DH290">MIN(SUMPRODUCT(I290:CR290,IF($I$25:$CR$25="yes",1,0),$I$23:$CR$23),H290)</f>
        <v>0</v>
      </c>
      <c r="DI290" s="3026"/>
      <c r="DJ290" s="3021"/>
      <c r="DN290" s="917" t="str">
        <f>IF(CS290="","-",SUMIF('Lighting Assumptions'!$G$3:$G$112,'6a - Lighting Counts'!G290,'Lighting Assumptions'!$J$3:$J$112))</f>
        <v>-</v>
      </c>
      <c r="DO290" s="917" t="str">
        <f t="shared" si="90"/>
        <v>-</v>
      </c>
      <c r="DP290" s="917" t="str">
        <f t="shared" si="91"/>
        <v>-</v>
      </c>
      <c r="DQ290" s="917" t="str">
        <f>IF(LEFT(CELLformula(DF290),3)&lt;&gt;"=IF",1,"")</f>
        <v/>
      </c>
      <c r="DR290" s="917" t="str">
        <f>IF(LEFT(CELLformula(DD290),3)&lt;&gt;"=IF",1,"")</f>
        <v/>
      </c>
      <c r="DS290" s="3048">
        <f t="shared" si="100"/>
        <v>0</v>
      </c>
      <c r="DT290" s="3047" t="str">
        <f t="shared" si="101"/>
        <v/>
      </c>
      <c r="DU290" s="3047" t="str">
        <f>IFERROR(IF(G290="","",SUMIF('Lighting Assumptions'!$G$3:$G$112,'6a - Lighting Counts'!G290,'Lighting Assumptions'!$H$3:$H$112)*IF(SI_IP_Units="SI",10.76,1)),"")</f>
        <v/>
      </c>
      <c r="DV290" s="3047" t="str">
        <f>IFERROR(IF($CX290="","",IF(SI_IP_Units="SI",10.76,1)*SUMIF(BAMCategories,$CY290,'Lighting Assumptions'!$E$3:E$35)),"")</f>
        <v/>
      </c>
      <c r="DW290" s="3047" t="str">
        <f>IFERROR(IF($CX290="","",IF(SI_IP_Units="SI",10.76,1)*SUMIF(BAMCategories,$CY290,IF(bpf_reference="ACP",'Lighting Assumptions 90.1-2010'!$E$3:E$35,'Lighting Assumptions 90.1-2016'!$E$3:E$35))),"")</f>
        <v/>
      </c>
      <c r="EW290" s="855"/>
      <c r="EX290" s="855"/>
      <c r="EY290" s="855"/>
      <c r="EZ290" s="855"/>
    </row>
    <row r="291" spans="4:156" x14ac:dyDescent="0.25">
      <c r="D291" s="3019"/>
      <c r="E291" s="3020"/>
      <c r="F291" s="3021">
        <f t="shared" si="88"/>
        <v>0</v>
      </c>
      <c r="G291" s="3059"/>
      <c r="H291" s="3060"/>
      <c r="I291" s="3061"/>
      <c r="J291" s="3061"/>
      <c r="K291" s="3061"/>
      <c r="L291" s="3061"/>
      <c r="M291" s="3061"/>
      <c r="N291" s="3061"/>
      <c r="O291" s="3061"/>
      <c r="P291" s="3061"/>
      <c r="Q291" s="3061"/>
      <c r="R291" s="3061"/>
      <c r="S291" s="3061"/>
      <c r="T291" s="3061"/>
      <c r="U291" s="3061"/>
      <c r="V291" s="3061"/>
      <c r="W291" s="3061"/>
      <c r="X291" s="3061"/>
      <c r="Y291" s="3061"/>
      <c r="Z291" s="3061"/>
      <c r="AA291" s="3061"/>
      <c r="AB291" s="3061"/>
      <c r="AC291" s="3061"/>
      <c r="AD291" s="3061"/>
      <c r="AE291" s="3061"/>
      <c r="AF291" s="3061"/>
      <c r="AG291" s="3061"/>
      <c r="AH291" s="3061"/>
      <c r="AI291" s="3061"/>
      <c r="AJ291" s="3061"/>
      <c r="AK291" s="3061"/>
      <c r="AL291" s="3061"/>
      <c r="AM291" s="3061"/>
      <c r="AN291" s="3061"/>
      <c r="AO291" s="3061"/>
      <c r="AP291" s="3061"/>
      <c r="AQ291" s="3061"/>
      <c r="AR291" s="3061"/>
      <c r="AS291" s="3061"/>
      <c r="AT291" s="3061"/>
      <c r="AU291" s="3061"/>
      <c r="AV291" s="3061"/>
      <c r="AW291" s="3061"/>
      <c r="AX291" s="3061"/>
      <c r="AY291" s="3061"/>
      <c r="AZ291" s="3061"/>
      <c r="BA291" s="3061"/>
      <c r="BB291" s="3061"/>
      <c r="BC291" s="3061"/>
      <c r="BD291" s="3061"/>
      <c r="BE291" s="3061"/>
      <c r="BF291" s="3061"/>
      <c r="BG291" s="3061"/>
      <c r="BH291" s="3061"/>
      <c r="BI291" s="3061"/>
      <c r="BJ291" s="3061"/>
      <c r="BK291" s="3061"/>
      <c r="BL291" s="3061"/>
      <c r="BM291" s="3061"/>
      <c r="BN291" s="3061"/>
      <c r="BO291" s="3061"/>
      <c r="BP291" s="3061"/>
      <c r="BQ291" s="3061"/>
      <c r="BR291" s="3061"/>
      <c r="BS291" s="3061"/>
      <c r="BT291" s="3061"/>
      <c r="BU291" s="3061"/>
      <c r="BV291" s="3061"/>
      <c r="BW291" s="3061"/>
      <c r="BX291" s="3061"/>
      <c r="BY291" s="3061"/>
      <c r="BZ291" s="3061"/>
      <c r="CA291" s="3061"/>
      <c r="CB291" s="3061"/>
      <c r="CC291" s="3061"/>
      <c r="CD291" s="3061"/>
      <c r="CE291" s="3061"/>
      <c r="CF291" s="3061"/>
      <c r="CG291" s="3061"/>
      <c r="CH291" s="3061"/>
      <c r="CI291" s="3061"/>
      <c r="CJ291" s="3061"/>
      <c r="CK291" s="3061"/>
      <c r="CL291" s="3061"/>
      <c r="CM291" s="3061"/>
      <c r="CN291" s="3061"/>
      <c r="CO291" s="3061"/>
      <c r="CP291" s="3061"/>
      <c r="CQ291" s="3061"/>
      <c r="CR291" s="3061"/>
      <c r="CS291" s="3062"/>
      <c r="CT291" s="3063"/>
      <c r="CU291" s="3064">
        <f t="shared" si="92"/>
        <v>1</v>
      </c>
      <c r="CV291" s="3022" t="str">
        <f>IF(OR(CT291="",CT291="None"),"-",DO291*CU291*SUMIF('Lighting Assumptions'!$G$3:$G$112,'6a - Lighting Counts'!G291,'Lighting Assumptions'!$J$3:$J$112))</f>
        <v>-</v>
      </c>
      <c r="CW291" s="3021"/>
      <c r="CX291" s="3021"/>
      <c r="CY291" s="3046"/>
      <c r="CZ291" s="2098">
        <f t="shared" si="93"/>
        <v>0</v>
      </c>
      <c r="DA291" s="2098" t="str">
        <f t="shared" si="94"/>
        <v>-</v>
      </c>
      <c r="DB291" s="2098">
        <f t="shared" si="95"/>
        <v>0</v>
      </c>
      <c r="DC291" s="3023" t="str">
        <f t="shared" si="96"/>
        <v>-</v>
      </c>
      <c r="DD291" s="3024" t="str">
        <f t="shared" si="97"/>
        <v/>
      </c>
      <c r="DE291" s="3025" t="str">
        <f t="shared" si="98"/>
        <v>-</v>
      </c>
      <c r="DF291" s="3024" t="str">
        <f t="shared" si="89"/>
        <v>-</v>
      </c>
      <c r="DG291" s="2098">
        <f t="shared" si="99"/>
        <v>0</v>
      </c>
      <c r="DH291" s="2098">
        <f t="array" ref="DH291">MIN(SUMPRODUCT(I291:CR291,IF($I$25:$CR$25="yes",1,0),$I$23:$CR$23),H291)</f>
        <v>0</v>
      </c>
      <c r="DI291" s="3026"/>
      <c r="DJ291" s="3021"/>
      <c r="DN291" s="917" t="str">
        <f>IF(CS291="","-",SUMIF('Lighting Assumptions'!$G$3:$G$112,'6a - Lighting Counts'!G291,'Lighting Assumptions'!$J$3:$J$112))</f>
        <v>-</v>
      </c>
      <c r="DO291" s="917" t="str">
        <f t="shared" si="90"/>
        <v>-</v>
      </c>
      <c r="DP291" s="917" t="str">
        <f t="shared" si="91"/>
        <v>-</v>
      </c>
      <c r="DQ291" s="917" t="str">
        <f>IF(LEFT(CELLformula(DF291),3)&lt;&gt;"=IF",1,"")</f>
        <v/>
      </c>
      <c r="DR291" s="917" t="str">
        <f>IF(LEFT(CELLformula(DD291),3)&lt;&gt;"=IF",1,"")</f>
        <v/>
      </c>
      <c r="DS291" s="3048">
        <f t="shared" si="100"/>
        <v>0</v>
      </c>
      <c r="DT291" s="3047" t="str">
        <f t="shared" si="101"/>
        <v/>
      </c>
      <c r="DU291" s="3047" t="str">
        <f>IFERROR(IF(G291="","",SUMIF('Lighting Assumptions'!$G$3:$G$112,'6a - Lighting Counts'!G291,'Lighting Assumptions'!$H$3:$H$112)*IF(SI_IP_Units="SI",10.76,1)),"")</f>
        <v/>
      </c>
      <c r="DV291" s="3047" t="str">
        <f>IFERROR(IF($CX291="","",IF(SI_IP_Units="SI",10.76,1)*SUMIF(BAMCategories,$CY291,'Lighting Assumptions'!$E$3:E$35)),"")</f>
        <v/>
      </c>
      <c r="DW291" s="3047" t="str">
        <f>IFERROR(IF($CX291="","",IF(SI_IP_Units="SI",10.76,1)*SUMIF(BAMCategories,$CY291,IF(bpf_reference="ACP",'Lighting Assumptions 90.1-2010'!$E$3:E$35,'Lighting Assumptions 90.1-2016'!$E$3:E$35))),"")</f>
        <v/>
      </c>
      <c r="EW291" s="855"/>
      <c r="EX291" s="855"/>
      <c r="EY291" s="855"/>
      <c r="EZ291" s="855"/>
    </row>
    <row r="292" spans="4:156" x14ac:dyDescent="0.25">
      <c r="D292" s="3019"/>
      <c r="E292" s="3020"/>
      <c r="F292" s="3021">
        <f t="shared" si="88"/>
        <v>0</v>
      </c>
      <c r="G292" s="3059"/>
      <c r="H292" s="3060"/>
      <c r="I292" s="3061"/>
      <c r="J292" s="3061"/>
      <c r="K292" s="3061"/>
      <c r="L292" s="3061"/>
      <c r="M292" s="3061"/>
      <c r="N292" s="3061"/>
      <c r="O292" s="3061"/>
      <c r="P292" s="3061"/>
      <c r="Q292" s="3061"/>
      <c r="R292" s="3061"/>
      <c r="S292" s="3061"/>
      <c r="T292" s="3061"/>
      <c r="U292" s="3061"/>
      <c r="V292" s="3061"/>
      <c r="W292" s="3061"/>
      <c r="X292" s="3061"/>
      <c r="Y292" s="3061"/>
      <c r="Z292" s="3061"/>
      <c r="AA292" s="3061"/>
      <c r="AB292" s="3061"/>
      <c r="AC292" s="3061"/>
      <c r="AD292" s="3061"/>
      <c r="AE292" s="3061"/>
      <c r="AF292" s="3061"/>
      <c r="AG292" s="3061"/>
      <c r="AH292" s="3061"/>
      <c r="AI292" s="3061"/>
      <c r="AJ292" s="3061"/>
      <c r="AK292" s="3061"/>
      <c r="AL292" s="3061"/>
      <c r="AM292" s="3061"/>
      <c r="AN292" s="3061"/>
      <c r="AO292" s="3061"/>
      <c r="AP292" s="3061"/>
      <c r="AQ292" s="3061"/>
      <c r="AR292" s="3061"/>
      <c r="AS292" s="3061"/>
      <c r="AT292" s="3061"/>
      <c r="AU292" s="3061"/>
      <c r="AV292" s="3061"/>
      <c r="AW292" s="3061"/>
      <c r="AX292" s="3061"/>
      <c r="AY292" s="3061"/>
      <c r="AZ292" s="3061"/>
      <c r="BA292" s="3061"/>
      <c r="BB292" s="3061"/>
      <c r="BC292" s="3061"/>
      <c r="BD292" s="3061"/>
      <c r="BE292" s="3061"/>
      <c r="BF292" s="3061"/>
      <c r="BG292" s="3061"/>
      <c r="BH292" s="3061"/>
      <c r="BI292" s="3061"/>
      <c r="BJ292" s="3061"/>
      <c r="BK292" s="3061"/>
      <c r="BL292" s="3061"/>
      <c r="BM292" s="3061"/>
      <c r="BN292" s="3061"/>
      <c r="BO292" s="3061"/>
      <c r="BP292" s="3061"/>
      <c r="BQ292" s="3061"/>
      <c r="BR292" s="3061"/>
      <c r="BS292" s="3061"/>
      <c r="BT292" s="3061"/>
      <c r="BU292" s="3061"/>
      <c r="BV292" s="3061"/>
      <c r="BW292" s="3061"/>
      <c r="BX292" s="3061"/>
      <c r="BY292" s="3061"/>
      <c r="BZ292" s="3061"/>
      <c r="CA292" s="3061"/>
      <c r="CB292" s="3061"/>
      <c r="CC292" s="3061"/>
      <c r="CD292" s="3061"/>
      <c r="CE292" s="3061"/>
      <c r="CF292" s="3061"/>
      <c r="CG292" s="3061"/>
      <c r="CH292" s="3061"/>
      <c r="CI292" s="3061"/>
      <c r="CJ292" s="3061"/>
      <c r="CK292" s="3061"/>
      <c r="CL292" s="3061"/>
      <c r="CM292" s="3061"/>
      <c r="CN292" s="3061"/>
      <c r="CO292" s="3061"/>
      <c r="CP292" s="3061"/>
      <c r="CQ292" s="3061"/>
      <c r="CR292" s="3061"/>
      <c r="CS292" s="3062"/>
      <c r="CT292" s="3063"/>
      <c r="CU292" s="3064">
        <f t="shared" si="92"/>
        <v>1</v>
      </c>
      <c r="CV292" s="3022" t="str">
        <f>IF(OR(CT292="",CT292="None"),"-",DO292*CU292*SUMIF('Lighting Assumptions'!$G$3:$G$112,'6a - Lighting Counts'!G292,'Lighting Assumptions'!$J$3:$J$112))</f>
        <v>-</v>
      </c>
      <c r="CW292" s="3021"/>
      <c r="CX292" s="3021"/>
      <c r="CY292" s="3046"/>
      <c r="CZ292" s="2098">
        <f t="shared" si="93"/>
        <v>0</v>
      </c>
      <c r="DA292" s="2098" t="str">
        <f t="shared" si="94"/>
        <v>-</v>
      </c>
      <c r="DB292" s="2098">
        <f t="shared" si="95"/>
        <v>0</v>
      </c>
      <c r="DC292" s="3023" t="str">
        <f t="shared" si="96"/>
        <v>-</v>
      </c>
      <c r="DD292" s="3024" t="str">
        <f t="shared" si="97"/>
        <v/>
      </c>
      <c r="DE292" s="3025" t="str">
        <f t="shared" si="98"/>
        <v>-</v>
      </c>
      <c r="DF292" s="3024" t="str">
        <f t="shared" si="89"/>
        <v>-</v>
      </c>
      <c r="DG292" s="2098">
        <f t="shared" si="99"/>
        <v>0</v>
      </c>
      <c r="DH292" s="2098">
        <f t="array" ref="DH292">MIN(SUMPRODUCT(I292:CR292,IF($I$25:$CR$25="yes",1,0),$I$23:$CR$23),H292)</f>
        <v>0</v>
      </c>
      <c r="DI292" s="3026"/>
      <c r="DJ292" s="3021"/>
      <c r="DN292" s="917" t="str">
        <f>IF(CS292="","-",SUMIF('Lighting Assumptions'!$G$3:$G$112,'6a - Lighting Counts'!G292,'Lighting Assumptions'!$J$3:$J$112))</f>
        <v>-</v>
      </c>
      <c r="DO292" s="917" t="str">
        <f t="shared" si="90"/>
        <v>-</v>
      </c>
      <c r="DP292" s="917" t="str">
        <f t="shared" si="91"/>
        <v>-</v>
      </c>
      <c r="DQ292" s="917" t="str">
        <f>IF(LEFT(CELLformula(DF292),3)&lt;&gt;"=IF",1,"")</f>
        <v/>
      </c>
      <c r="DR292" s="917" t="str">
        <f>IF(LEFT(CELLformula(DD292),3)&lt;&gt;"=IF",1,"")</f>
        <v/>
      </c>
      <c r="DS292" s="3048">
        <f t="shared" si="100"/>
        <v>0</v>
      </c>
      <c r="DT292" s="3047" t="str">
        <f t="shared" si="101"/>
        <v/>
      </c>
      <c r="DU292" s="3047" t="str">
        <f>IFERROR(IF(G292="","",SUMIF('Lighting Assumptions'!$G$3:$G$112,'6a - Lighting Counts'!G292,'Lighting Assumptions'!$H$3:$H$112)*IF(SI_IP_Units="SI",10.76,1)),"")</f>
        <v/>
      </c>
      <c r="DV292" s="3047" t="str">
        <f>IFERROR(IF($CX292="","",IF(SI_IP_Units="SI",10.76,1)*SUMIF(BAMCategories,$CY292,'Lighting Assumptions'!$E$3:E$35)),"")</f>
        <v/>
      </c>
      <c r="DW292" s="3047" t="str">
        <f>IFERROR(IF($CX292="","",IF(SI_IP_Units="SI",10.76,1)*SUMIF(BAMCategories,$CY292,IF(bpf_reference="ACP",'Lighting Assumptions 90.1-2010'!$E$3:E$35,'Lighting Assumptions 90.1-2016'!$E$3:E$35))),"")</f>
        <v/>
      </c>
      <c r="EW292" s="855"/>
      <c r="EX292" s="855"/>
      <c r="EY292" s="855"/>
      <c r="EZ292" s="855"/>
    </row>
    <row r="293" spans="4:156" x14ac:dyDescent="0.25">
      <c r="D293" s="3019"/>
      <c r="E293" s="3020"/>
      <c r="F293" s="3021">
        <f t="shared" si="88"/>
        <v>0</v>
      </c>
      <c r="G293" s="3059"/>
      <c r="H293" s="3060"/>
      <c r="I293" s="3061"/>
      <c r="J293" s="3061"/>
      <c r="K293" s="3061"/>
      <c r="L293" s="3061"/>
      <c r="M293" s="3061"/>
      <c r="N293" s="3061"/>
      <c r="O293" s="3061"/>
      <c r="P293" s="3061"/>
      <c r="Q293" s="3061"/>
      <c r="R293" s="3061"/>
      <c r="S293" s="3061"/>
      <c r="T293" s="3061"/>
      <c r="U293" s="3061"/>
      <c r="V293" s="3061"/>
      <c r="W293" s="3061"/>
      <c r="X293" s="3061"/>
      <c r="Y293" s="3061"/>
      <c r="Z293" s="3061"/>
      <c r="AA293" s="3061"/>
      <c r="AB293" s="3061"/>
      <c r="AC293" s="3061"/>
      <c r="AD293" s="3061"/>
      <c r="AE293" s="3061"/>
      <c r="AF293" s="3061"/>
      <c r="AG293" s="3061"/>
      <c r="AH293" s="3061"/>
      <c r="AI293" s="3061"/>
      <c r="AJ293" s="3061"/>
      <c r="AK293" s="3061"/>
      <c r="AL293" s="3061"/>
      <c r="AM293" s="3061"/>
      <c r="AN293" s="3061"/>
      <c r="AO293" s="3061"/>
      <c r="AP293" s="3061"/>
      <c r="AQ293" s="3061"/>
      <c r="AR293" s="3061"/>
      <c r="AS293" s="3061"/>
      <c r="AT293" s="3061"/>
      <c r="AU293" s="3061"/>
      <c r="AV293" s="3061"/>
      <c r="AW293" s="3061"/>
      <c r="AX293" s="3061"/>
      <c r="AY293" s="3061"/>
      <c r="AZ293" s="3061"/>
      <c r="BA293" s="3061"/>
      <c r="BB293" s="3061"/>
      <c r="BC293" s="3061"/>
      <c r="BD293" s="3061"/>
      <c r="BE293" s="3061"/>
      <c r="BF293" s="3061"/>
      <c r="BG293" s="3061"/>
      <c r="BH293" s="3061"/>
      <c r="BI293" s="3061"/>
      <c r="BJ293" s="3061"/>
      <c r="BK293" s="3061"/>
      <c r="BL293" s="3061"/>
      <c r="BM293" s="3061"/>
      <c r="BN293" s="3061"/>
      <c r="BO293" s="3061"/>
      <c r="BP293" s="3061"/>
      <c r="BQ293" s="3061"/>
      <c r="BR293" s="3061"/>
      <c r="BS293" s="3061"/>
      <c r="BT293" s="3061"/>
      <c r="BU293" s="3061"/>
      <c r="BV293" s="3061"/>
      <c r="BW293" s="3061"/>
      <c r="BX293" s="3061"/>
      <c r="BY293" s="3061"/>
      <c r="BZ293" s="3061"/>
      <c r="CA293" s="3061"/>
      <c r="CB293" s="3061"/>
      <c r="CC293" s="3061"/>
      <c r="CD293" s="3061"/>
      <c r="CE293" s="3061"/>
      <c r="CF293" s="3061"/>
      <c r="CG293" s="3061"/>
      <c r="CH293" s="3061"/>
      <c r="CI293" s="3061"/>
      <c r="CJ293" s="3061"/>
      <c r="CK293" s="3061"/>
      <c r="CL293" s="3061"/>
      <c r="CM293" s="3061"/>
      <c r="CN293" s="3061"/>
      <c r="CO293" s="3061"/>
      <c r="CP293" s="3061"/>
      <c r="CQ293" s="3061"/>
      <c r="CR293" s="3061"/>
      <c r="CS293" s="3062"/>
      <c r="CT293" s="3063"/>
      <c r="CU293" s="3064">
        <f t="shared" si="92"/>
        <v>1</v>
      </c>
      <c r="CV293" s="3022" t="str">
        <f>IF(OR(CT293="",CT293="None"),"-",DO293*CU293*SUMIF('Lighting Assumptions'!$G$3:$G$112,'6a - Lighting Counts'!G293,'Lighting Assumptions'!$J$3:$J$112))</f>
        <v>-</v>
      </c>
      <c r="CW293" s="3021"/>
      <c r="CX293" s="3021"/>
      <c r="CY293" s="3046"/>
      <c r="CZ293" s="2098">
        <f t="shared" si="93"/>
        <v>0</v>
      </c>
      <c r="DA293" s="2098" t="str">
        <f t="shared" si="94"/>
        <v>-</v>
      </c>
      <c r="DB293" s="2098">
        <f t="shared" si="95"/>
        <v>0</v>
      </c>
      <c r="DC293" s="3023" t="str">
        <f t="shared" si="96"/>
        <v>-</v>
      </c>
      <c r="DD293" s="3024" t="str">
        <f t="shared" si="97"/>
        <v/>
      </c>
      <c r="DE293" s="3025" t="str">
        <f t="shared" si="98"/>
        <v>-</v>
      </c>
      <c r="DF293" s="3024" t="str">
        <f t="shared" si="89"/>
        <v>-</v>
      </c>
      <c r="DG293" s="2098">
        <f t="shared" si="99"/>
        <v>0</v>
      </c>
      <c r="DH293" s="2098">
        <f t="array" ref="DH293">MIN(SUMPRODUCT(I293:CR293,IF($I$25:$CR$25="yes",1,0),$I$23:$CR$23),H293)</f>
        <v>0</v>
      </c>
      <c r="DI293" s="3026"/>
      <c r="DJ293" s="3021"/>
      <c r="DN293" s="917" t="str">
        <f>IF(CS293="","-",SUMIF('Lighting Assumptions'!$G$3:$G$112,'6a - Lighting Counts'!G293,'Lighting Assumptions'!$J$3:$J$112))</f>
        <v>-</v>
      </c>
      <c r="DO293" s="917" t="str">
        <f t="shared" si="90"/>
        <v>-</v>
      </c>
      <c r="DP293" s="917" t="str">
        <f t="shared" si="91"/>
        <v>-</v>
      </c>
      <c r="DQ293" s="917" t="str">
        <f>IF(LEFT(CELLformula(DF293),3)&lt;&gt;"=IF",1,"")</f>
        <v/>
      </c>
      <c r="DR293" s="917" t="str">
        <f>IF(LEFT(CELLformula(DD293),3)&lt;&gt;"=IF",1,"")</f>
        <v/>
      </c>
      <c r="DS293" s="3048">
        <f t="shared" si="100"/>
        <v>0</v>
      </c>
      <c r="DT293" s="3047" t="str">
        <f t="shared" si="101"/>
        <v/>
      </c>
      <c r="DU293" s="3047" t="str">
        <f>IFERROR(IF(G293="","",SUMIF('Lighting Assumptions'!$G$3:$G$112,'6a - Lighting Counts'!G293,'Lighting Assumptions'!$H$3:$H$112)*IF(SI_IP_Units="SI",10.76,1)),"")</f>
        <v/>
      </c>
      <c r="DV293" s="3047" t="str">
        <f>IFERROR(IF($CX293="","",IF(SI_IP_Units="SI",10.76,1)*SUMIF(BAMCategories,$CY293,'Lighting Assumptions'!$E$3:E$35)),"")</f>
        <v/>
      </c>
      <c r="DW293" s="3047" t="str">
        <f>IFERROR(IF($CX293="","",IF(SI_IP_Units="SI",10.76,1)*SUMIF(BAMCategories,$CY293,IF(bpf_reference="ACP",'Lighting Assumptions 90.1-2010'!$E$3:E$35,'Lighting Assumptions 90.1-2016'!$E$3:E$35))),"")</f>
        <v/>
      </c>
      <c r="EW293" s="855"/>
      <c r="EX293" s="855"/>
      <c r="EY293" s="855"/>
      <c r="EZ293" s="855"/>
    </row>
    <row r="294" spans="4:156" x14ac:dyDescent="0.25">
      <c r="D294" s="3027"/>
      <c r="E294" s="3020"/>
      <c r="F294" s="3021">
        <f t="shared" si="88"/>
        <v>0</v>
      </c>
      <c r="G294" s="3059"/>
      <c r="H294" s="3060"/>
      <c r="I294" s="3061"/>
      <c r="J294" s="3061"/>
      <c r="K294" s="3061"/>
      <c r="L294" s="3061"/>
      <c r="M294" s="3061"/>
      <c r="N294" s="3061"/>
      <c r="O294" s="3061"/>
      <c r="P294" s="3061"/>
      <c r="Q294" s="3061"/>
      <c r="R294" s="3061"/>
      <c r="S294" s="3061"/>
      <c r="T294" s="3061"/>
      <c r="U294" s="3061"/>
      <c r="V294" s="3061"/>
      <c r="W294" s="3061"/>
      <c r="X294" s="3061"/>
      <c r="Y294" s="3061"/>
      <c r="Z294" s="3061"/>
      <c r="AA294" s="3061"/>
      <c r="AB294" s="3061"/>
      <c r="AC294" s="3061"/>
      <c r="AD294" s="3061"/>
      <c r="AE294" s="3061"/>
      <c r="AF294" s="3061"/>
      <c r="AG294" s="3061"/>
      <c r="AH294" s="3061"/>
      <c r="AI294" s="3061"/>
      <c r="AJ294" s="3061"/>
      <c r="AK294" s="3061"/>
      <c r="AL294" s="3061"/>
      <c r="AM294" s="3061"/>
      <c r="AN294" s="3061"/>
      <c r="AO294" s="3061"/>
      <c r="AP294" s="3061"/>
      <c r="AQ294" s="3061"/>
      <c r="AR294" s="3061"/>
      <c r="AS294" s="3061"/>
      <c r="AT294" s="3061"/>
      <c r="AU294" s="3061"/>
      <c r="AV294" s="3061"/>
      <c r="AW294" s="3061"/>
      <c r="AX294" s="3061"/>
      <c r="AY294" s="3061"/>
      <c r="AZ294" s="3061"/>
      <c r="BA294" s="3061"/>
      <c r="BB294" s="3061"/>
      <c r="BC294" s="3061"/>
      <c r="BD294" s="3061"/>
      <c r="BE294" s="3061"/>
      <c r="BF294" s="3061"/>
      <c r="BG294" s="3061"/>
      <c r="BH294" s="3061"/>
      <c r="BI294" s="3061"/>
      <c r="BJ294" s="3061"/>
      <c r="BK294" s="3061"/>
      <c r="BL294" s="3061"/>
      <c r="BM294" s="3061"/>
      <c r="BN294" s="3061"/>
      <c r="BO294" s="3061"/>
      <c r="BP294" s="3061"/>
      <c r="BQ294" s="3061"/>
      <c r="BR294" s="3061"/>
      <c r="BS294" s="3061"/>
      <c r="BT294" s="3061"/>
      <c r="BU294" s="3061"/>
      <c r="BV294" s="3061"/>
      <c r="BW294" s="3061"/>
      <c r="BX294" s="3061"/>
      <c r="BY294" s="3061"/>
      <c r="BZ294" s="3061"/>
      <c r="CA294" s="3061"/>
      <c r="CB294" s="3061"/>
      <c r="CC294" s="3061"/>
      <c r="CD294" s="3061"/>
      <c r="CE294" s="3061"/>
      <c r="CF294" s="3061"/>
      <c r="CG294" s="3061"/>
      <c r="CH294" s="3061"/>
      <c r="CI294" s="3061"/>
      <c r="CJ294" s="3061"/>
      <c r="CK294" s="3061"/>
      <c r="CL294" s="3061"/>
      <c r="CM294" s="3061"/>
      <c r="CN294" s="3061"/>
      <c r="CO294" s="3061"/>
      <c r="CP294" s="3061"/>
      <c r="CQ294" s="3061"/>
      <c r="CR294" s="3061"/>
      <c r="CS294" s="3062"/>
      <c r="CT294" s="3063"/>
      <c r="CU294" s="3064">
        <f t="shared" si="92"/>
        <v>1</v>
      </c>
      <c r="CV294" s="3022" t="str">
        <f>IF(OR(CT294="",CT294="None"),"-",DO294*CU294*SUMIF('Lighting Assumptions'!$G$3:$G$112,'6a - Lighting Counts'!G294,'Lighting Assumptions'!$J$3:$J$112))</f>
        <v>-</v>
      </c>
      <c r="CW294" s="3021"/>
      <c r="CX294" s="3021"/>
      <c r="CY294" s="3046"/>
      <c r="CZ294" s="2098">
        <f t="shared" si="93"/>
        <v>0</v>
      </c>
      <c r="DA294" s="2098" t="str">
        <f t="shared" si="94"/>
        <v>-</v>
      </c>
      <c r="DB294" s="2098">
        <f t="shared" si="95"/>
        <v>0</v>
      </c>
      <c r="DC294" s="3023" t="str">
        <f t="shared" si="96"/>
        <v>-</v>
      </c>
      <c r="DD294" s="3024" t="str">
        <f t="shared" si="97"/>
        <v/>
      </c>
      <c r="DE294" s="3025" t="str">
        <f t="shared" si="98"/>
        <v>-</v>
      </c>
      <c r="DF294" s="3024" t="str">
        <f t="shared" si="89"/>
        <v>-</v>
      </c>
      <c r="DG294" s="2098">
        <f t="shared" si="99"/>
        <v>0</v>
      </c>
      <c r="DH294" s="2098">
        <f t="array" ref="DH294">MIN(SUMPRODUCT(I294:CR294,IF($I$25:$CR$25="yes",1,0),$I$23:$CR$23),H294)</f>
        <v>0</v>
      </c>
      <c r="DI294" s="3026"/>
      <c r="DJ294" s="3021"/>
      <c r="DN294" s="917" t="str">
        <f>IF(CS294="","-",SUMIF('Lighting Assumptions'!$G$3:$G$112,'6a - Lighting Counts'!G294,'Lighting Assumptions'!$J$3:$J$112))</f>
        <v>-</v>
      </c>
      <c r="DO294" s="917" t="str">
        <f t="shared" si="90"/>
        <v>-</v>
      </c>
      <c r="DP294" s="917" t="str">
        <f t="shared" si="91"/>
        <v>-</v>
      </c>
      <c r="DQ294" s="917" t="str">
        <f>IF(LEFT(CELLformula(DF294),3)&lt;&gt;"=IF",1,"")</f>
        <v/>
      </c>
      <c r="DR294" s="917" t="str">
        <f>IF(LEFT(CELLformula(DD294),3)&lt;&gt;"=IF",1,"")</f>
        <v/>
      </c>
      <c r="DS294" s="3048">
        <f t="shared" si="100"/>
        <v>0</v>
      </c>
      <c r="DT294" s="3047" t="str">
        <f t="shared" si="101"/>
        <v/>
      </c>
      <c r="DU294" s="3047" t="str">
        <f>IFERROR(IF(G294="","",SUMIF('Lighting Assumptions'!$G$3:$G$112,'6a - Lighting Counts'!G294,'Lighting Assumptions'!$H$3:$H$112)*IF(SI_IP_Units="SI",10.76,1)),"")</f>
        <v/>
      </c>
      <c r="DV294" s="3047" t="str">
        <f>IFERROR(IF($CX294="","",IF(SI_IP_Units="SI",10.76,1)*SUMIF(BAMCategories,$CY294,'Lighting Assumptions'!$E$3:E$35)),"")</f>
        <v/>
      </c>
      <c r="DW294" s="3047" t="str">
        <f>IFERROR(IF($CX294="","",IF(SI_IP_Units="SI",10.76,1)*SUMIF(BAMCategories,$CY294,IF(bpf_reference="ACP",'Lighting Assumptions 90.1-2010'!$E$3:E$35,'Lighting Assumptions 90.1-2016'!$E$3:E$35))),"")</f>
        <v/>
      </c>
      <c r="EW294" s="855"/>
      <c r="EX294" s="855"/>
      <c r="EY294" s="855"/>
      <c r="EZ294" s="855"/>
    </row>
    <row r="295" spans="4:156" x14ac:dyDescent="0.25">
      <c r="D295" s="3027"/>
      <c r="E295" s="3020"/>
      <c r="F295" s="3021">
        <f t="shared" si="88"/>
        <v>0</v>
      </c>
      <c r="G295" s="3059"/>
      <c r="H295" s="3060"/>
      <c r="I295" s="3061"/>
      <c r="J295" s="3061"/>
      <c r="K295" s="3061"/>
      <c r="L295" s="3061"/>
      <c r="M295" s="3061"/>
      <c r="N295" s="3061"/>
      <c r="O295" s="3061"/>
      <c r="P295" s="3061"/>
      <c r="Q295" s="3061"/>
      <c r="R295" s="3061"/>
      <c r="S295" s="3061"/>
      <c r="T295" s="3061"/>
      <c r="U295" s="3061"/>
      <c r="V295" s="3061"/>
      <c r="W295" s="3061"/>
      <c r="X295" s="3061"/>
      <c r="Y295" s="3061"/>
      <c r="Z295" s="3061"/>
      <c r="AA295" s="3061"/>
      <c r="AB295" s="3061"/>
      <c r="AC295" s="3061"/>
      <c r="AD295" s="3061"/>
      <c r="AE295" s="3061"/>
      <c r="AF295" s="3061"/>
      <c r="AG295" s="3061"/>
      <c r="AH295" s="3061"/>
      <c r="AI295" s="3061"/>
      <c r="AJ295" s="3061"/>
      <c r="AK295" s="3061"/>
      <c r="AL295" s="3061"/>
      <c r="AM295" s="3061"/>
      <c r="AN295" s="3061"/>
      <c r="AO295" s="3061"/>
      <c r="AP295" s="3061"/>
      <c r="AQ295" s="3061"/>
      <c r="AR295" s="3061"/>
      <c r="AS295" s="3061"/>
      <c r="AT295" s="3061"/>
      <c r="AU295" s="3061"/>
      <c r="AV295" s="3061"/>
      <c r="AW295" s="3061"/>
      <c r="AX295" s="3061"/>
      <c r="AY295" s="3061"/>
      <c r="AZ295" s="3061"/>
      <c r="BA295" s="3061"/>
      <c r="BB295" s="3061"/>
      <c r="BC295" s="3061"/>
      <c r="BD295" s="3061"/>
      <c r="BE295" s="3061"/>
      <c r="BF295" s="3061"/>
      <c r="BG295" s="3061"/>
      <c r="BH295" s="3061"/>
      <c r="BI295" s="3061"/>
      <c r="BJ295" s="3061"/>
      <c r="BK295" s="3061"/>
      <c r="BL295" s="3061"/>
      <c r="BM295" s="3061"/>
      <c r="BN295" s="3061"/>
      <c r="BO295" s="3061"/>
      <c r="BP295" s="3061"/>
      <c r="BQ295" s="3061"/>
      <c r="BR295" s="3061"/>
      <c r="BS295" s="3061"/>
      <c r="BT295" s="3061"/>
      <c r="BU295" s="3061"/>
      <c r="BV295" s="3061"/>
      <c r="BW295" s="3061"/>
      <c r="BX295" s="3061"/>
      <c r="BY295" s="3061"/>
      <c r="BZ295" s="3061"/>
      <c r="CA295" s="3061"/>
      <c r="CB295" s="3061"/>
      <c r="CC295" s="3061"/>
      <c r="CD295" s="3061"/>
      <c r="CE295" s="3061"/>
      <c r="CF295" s="3061"/>
      <c r="CG295" s="3061"/>
      <c r="CH295" s="3061"/>
      <c r="CI295" s="3061"/>
      <c r="CJ295" s="3061"/>
      <c r="CK295" s="3061"/>
      <c r="CL295" s="3061"/>
      <c r="CM295" s="3061"/>
      <c r="CN295" s="3061"/>
      <c r="CO295" s="3061"/>
      <c r="CP295" s="3061"/>
      <c r="CQ295" s="3061"/>
      <c r="CR295" s="3061"/>
      <c r="CS295" s="3062"/>
      <c r="CT295" s="3063"/>
      <c r="CU295" s="3064">
        <f t="shared" si="92"/>
        <v>1</v>
      </c>
      <c r="CV295" s="3022" t="str">
        <f>IF(OR(CT295="",CT295="None"),"-",DO295*CU295*SUMIF('Lighting Assumptions'!$G$3:$G$112,'6a - Lighting Counts'!G295,'Lighting Assumptions'!$J$3:$J$112))</f>
        <v>-</v>
      </c>
      <c r="CW295" s="3021"/>
      <c r="CX295" s="3021"/>
      <c r="CY295" s="3046"/>
      <c r="CZ295" s="2098">
        <f t="shared" si="93"/>
        <v>0</v>
      </c>
      <c r="DA295" s="2098" t="str">
        <f t="shared" si="94"/>
        <v>-</v>
      </c>
      <c r="DB295" s="2098">
        <f t="shared" si="95"/>
        <v>0</v>
      </c>
      <c r="DC295" s="3023" t="str">
        <f t="shared" si="96"/>
        <v>-</v>
      </c>
      <c r="DD295" s="3024" t="str">
        <f t="shared" si="97"/>
        <v/>
      </c>
      <c r="DE295" s="3025" t="str">
        <f t="shared" si="98"/>
        <v>-</v>
      </c>
      <c r="DF295" s="3024" t="str">
        <f t="shared" si="89"/>
        <v>-</v>
      </c>
      <c r="DG295" s="2098">
        <f t="shared" si="99"/>
        <v>0</v>
      </c>
      <c r="DH295" s="2098">
        <f t="array" ref="DH295">MIN(SUMPRODUCT(I295:CR295,IF($I$25:$CR$25="yes",1,0),$I$23:$CR$23),H295)</f>
        <v>0</v>
      </c>
      <c r="DI295" s="3026"/>
      <c r="DJ295" s="3021"/>
      <c r="DN295" s="917" t="str">
        <f>IF(CS295="","-",SUMIF('Lighting Assumptions'!$G$3:$G$112,'6a - Lighting Counts'!G295,'Lighting Assumptions'!$J$3:$J$112))</f>
        <v>-</v>
      </c>
      <c r="DO295" s="917" t="str">
        <f t="shared" si="90"/>
        <v>-</v>
      </c>
      <c r="DP295" s="917" t="str">
        <f t="shared" si="91"/>
        <v>-</v>
      </c>
      <c r="DQ295" s="917" t="str">
        <f>IF(LEFT(CELLformula(DF295),3)&lt;&gt;"=IF",1,"")</f>
        <v/>
      </c>
      <c r="DR295" s="917" t="str">
        <f>IF(LEFT(CELLformula(DD295),3)&lt;&gt;"=IF",1,"")</f>
        <v/>
      </c>
      <c r="DS295" s="3048">
        <f t="shared" si="100"/>
        <v>0</v>
      </c>
      <c r="DT295" s="3047" t="str">
        <f t="shared" si="101"/>
        <v/>
      </c>
      <c r="DU295" s="3047" t="str">
        <f>IFERROR(IF(G295="","",SUMIF('Lighting Assumptions'!$G$3:$G$112,'6a - Lighting Counts'!G295,'Lighting Assumptions'!$H$3:$H$112)*IF(SI_IP_Units="SI",10.76,1)),"")</f>
        <v/>
      </c>
      <c r="DV295" s="3047" t="str">
        <f>IFERROR(IF($CX295="","",IF(SI_IP_Units="SI",10.76,1)*SUMIF(BAMCategories,$CY295,'Lighting Assumptions'!$E$3:E$35)),"")</f>
        <v/>
      </c>
      <c r="DW295" s="3047" t="str">
        <f>IFERROR(IF($CX295="","",IF(SI_IP_Units="SI",10.76,1)*SUMIF(BAMCategories,$CY295,IF(bpf_reference="ACP",'Lighting Assumptions 90.1-2010'!$E$3:E$35,'Lighting Assumptions 90.1-2016'!$E$3:E$35))),"")</f>
        <v/>
      </c>
      <c r="EW295" s="855"/>
      <c r="EX295" s="855"/>
      <c r="EY295" s="855"/>
      <c r="EZ295" s="855"/>
    </row>
    <row r="296" spans="4:156" x14ac:dyDescent="0.25">
      <c r="D296" s="3027"/>
      <c r="E296" s="3020"/>
      <c r="F296" s="3021">
        <f t="shared" si="88"/>
        <v>0</v>
      </c>
      <c r="G296" s="3059"/>
      <c r="H296" s="3060"/>
      <c r="I296" s="3061"/>
      <c r="J296" s="3061"/>
      <c r="K296" s="3061"/>
      <c r="L296" s="3061"/>
      <c r="M296" s="3061"/>
      <c r="N296" s="3061"/>
      <c r="O296" s="3061"/>
      <c r="P296" s="3061"/>
      <c r="Q296" s="3061"/>
      <c r="R296" s="3061"/>
      <c r="S296" s="3061"/>
      <c r="T296" s="3061"/>
      <c r="U296" s="3061"/>
      <c r="V296" s="3061"/>
      <c r="W296" s="3061"/>
      <c r="X296" s="3061"/>
      <c r="Y296" s="3061"/>
      <c r="Z296" s="3061"/>
      <c r="AA296" s="3061"/>
      <c r="AB296" s="3061"/>
      <c r="AC296" s="3061"/>
      <c r="AD296" s="3061"/>
      <c r="AE296" s="3061"/>
      <c r="AF296" s="3061"/>
      <c r="AG296" s="3061"/>
      <c r="AH296" s="3061"/>
      <c r="AI296" s="3061"/>
      <c r="AJ296" s="3061"/>
      <c r="AK296" s="3061"/>
      <c r="AL296" s="3061"/>
      <c r="AM296" s="3061"/>
      <c r="AN296" s="3061"/>
      <c r="AO296" s="3061"/>
      <c r="AP296" s="3061"/>
      <c r="AQ296" s="3061"/>
      <c r="AR296" s="3061"/>
      <c r="AS296" s="3061"/>
      <c r="AT296" s="3061"/>
      <c r="AU296" s="3061"/>
      <c r="AV296" s="3061"/>
      <c r="AW296" s="3061"/>
      <c r="AX296" s="3061"/>
      <c r="AY296" s="3061"/>
      <c r="AZ296" s="3061"/>
      <c r="BA296" s="3061"/>
      <c r="BB296" s="3061"/>
      <c r="BC296" s="3061"/>
      <c r="BD296" s="3061"/>
      <c r="BE296" s="3061"/>
      <c r="BF296" s="3061"/>
      <c r="BG296" s="3061"/>
      <c r="BH296" s="3061"/>
      <c r="BI296" s="3061"/>
      <c r="BJ296" s="3061"/>
      <c r="BK296" s="3061"/>
      <c r="BL296" s="3061"/>
      <c r="BM296" s="3061"/>
      <c r="BN296" s="3061"/>
      <c r="BO296" s="3061"/>
      <c r="BP296" s="3061"/>
      <c r="BQ296" s="3061"/>
      <c r="BR296" s="3061"/>
      <c r="BS296" s="3061"/>
      <c r="BT296" s="3061"/>
      <c r="BU296" s="3061"/>
      <c r="BV296" s="3061"/>
      <c r="BW296" s="3061"/>
      <c r="BX296" s="3061"/>
      <c r="BY296" s="3061"/>
      <c r="BZ296" s="3061"/>
      <c r="CA296" s="3061"/>
      <c r="CB296" s="3061"/>
      <c r="CC296" s="3061"/>
      <c r="CD296" s="3061"/>
      <c r="CE296" s="3061"/>
      <c r="CF296" s="3061"/>
      <c r="CG296" s="3061"/>
      <c r="CH296" s="3061"/>
      <c r="CI296" s="3061"/>
      <c r="CJ296" s="3061"/>
      <c r="CK296" s="3061"/>
      <c r="CL296" s="3061"/>
      <c r="CM296" s="3061"/>
      <c r="CN296" s="3061"/>
      <c r="CO296" s="3061"/>
      <c r="CP296" s="3061"/>
      <c r="CQ296" s="3061"/>
      <c r="CR296" s="3061"/>
      <c r="CS296" s="3062"/>
      <c r="CT296" s="3063"/>
      <c r="CU296" s="3064">
        <f t="shared" si="92"/>
        <v>1</v>
      </c>
      <c r="CV296" s="3022" t="str">
        <f>IF(OR(CT296="",CT296="None"),"-",DO296*CU296*SUMIF('Lighting Assumptions'!$G$3:$G$112,'6a - Lighting Counts'!G296,'Lighting Assumptions'!$J$3:$J$112))</f>
        <v>-</v>
      </c>
      <c r="CW296" s="3021"/>
      <c r="CX296" s="3021"/>
      <c r="CY296" s="3046"/>
      <c r="CZ296" s="2098">
        <f t="shared" si="93"/>
        <v>0</v>
      </c>
      <c r="DA296" s="2098" t="str">
        <f t="shared" si="94"/>
        <v>-</v>
      </c>
      <c r="DB296" s="2098">
        <f t="shared" si="95"/>
        <v>0</v>
      </c>
      <c r="DC296" s="3023" t="str">
        <f t="shared" si="96"/>
        <v>-</v>
      </c>
      <c r="DD296" s="3024" t="str">
        <f t="shared" si="97"/>
        <v/>
      </c>
      <c r="DE296" s="3025" t="str">
        <f t="shared" si="98"/>
        <v>-</v>
      </c>
      <c r="DF296" s="3024" t="str">
        <f t="shared" si="89"/>
        <v>-</v>
      </c>
      <c r="DG296" s="2098">
        <f t="shared" si="99"/>
        <v>0</v>
      </c>
      <c r="DH296" s="2098">
        <f t="array" ref="DH296">MIN(SUMPRODUCT(I296:CR296,IF($I$25:$CR$25="yes",1,0),$I$23:$CR$23),H296)</f>
        <v>0</v>
      </c>
      <c r="DI296" s="3026"/>
      <c r="DJ296" s="3021"/>
      <c r="DN296" s="917" t="str">
        <f>IF(CS296="","-",SUMIF('Lighting Assumptions'!$G$3:$G$112,'6a - Lighting Counts'!G296,'Lighting Assumptions'!$J$3:$J$112))</f>
        <v>-</v>
      </c>
      <c r="DO296" s="917" t="str">
        <f t="shared" si="90"/>
        <v>-</v>
      </c>
      <c r="DP296" s="917" t="str">
        <f t="shared" si="91"/>
        <v>-</v>
      </c>
      <c r="DQ296" s="917" t="str">
        <f>IF(LEFT(CELLformula(DF296),3)&lt;&gt;"=IF",1,"")</f>
        <v/>
      </c>
      <c r="DR296" s="917" t="str">
        <f>IF(LEFT(CELLformula(DD296),3)&lt;&gt;"=IF",1,"")</f>
        <v/>
      </c>
      <c r="DS296" s="3048">
        <f t="shared" si="100"/>
        <v>0</v>
      </c>
      <c r="DT296" s="3047" t="str">
        <f t="shared" si="101"/>
        <v/>
      </c>
      <c r="DU296" s="3047" t="str">
        <f>IFERROR(IF(G296="","",SUMIF('Lighting Assumptions'!$G$3:$G$112,'6a - Lighting Counts'!G296,'Lighting Assumptions'!$H$3:$H$112)*IF(SI_IP_Units="SI",10.76,1)),"")</f>
        <v/>
      </c>
      <c r="DV296" s="3047" t="str">
        <f>IFERROR(IF($CX296="","",IF(SI_IP_Units="SI",10.76,1)*SUMIF(BAMCategories,$CY296,'Lighting Assumptions'!$E$3:E$35)),"")</f>
        <v/>
      </c>
      <c r="DW296" s="3047" t="str">
        <f>IFERROR(IF($CX296="","",IF(SI_IP_Units="SI",10.76,1)*SUMIF(BAMCategories,$CY296,IF(bpf_reference="ACP",'Lighting Assumptions 90.1-2010'!$E$3:E$35,'Lighting Assumptions 90.1-2016'!$E$3:E$35))),"")</f>
        <v/>
      </c>
      <c r="EW296" s="855"/>
      <c r="EX296" s="855"/>
      <c r="EY296" s="855"/>
      <c r="EZ296" s="855"/>
    </row>
    <row r="297" spans="4:156" x14ac:dyDescent="0.25">
      <c r="D297" s="3019"/>
      <c r="E297" s="3020"/>
      <c r="F297" s="3021">
        <f t="shared" si="88"/>
        <v>0</v>
      </c>
      <c r="G297" s="3059"/>
      <c r="H297" s="3060"/>
      <c r="I297" s="3061"/>
      <c r="J297" s="3061"/>
      <c r="K297" s="3061"/>
      <c r="L297" s="3061"/>
      <c r="M297" s="3061"/>
      <c r="N297" s="3061"/>
      <c r="O297" s="3061"/>
      <c r="P297" s="3061"/>
      <c r="Q297" s="3061"/>
      <c r="R297" s="3061"/>
      <c r="S297" s="3061"/>
      <c r="T297" s="3061"/>
      <c r="U297" s="3061"/>
      <c r="V297" s="3061"/>
      <c r="W297" s="3061"/>
      <c r="X297" s="3061"/>
      <c r="Y297" s="3061"/>
      <c r="Z297" s="3061"/>
      <c r="AA297" s="3061"/>
      <c r="AB297" s="3061"/>
      <c r="AC297" s="3061"/>
      <c r="AD297" s="3061"/>
      <c r="AE297" s="3061"/>
      <c r="AF297" s="3061"/>
      <c r="AG297" s="3061"/>
      <c r="AH297" s="3061"/>
      <c r="AI297" s="3061"/>
      <c r="AJ297" s="3061"/>
      <c r="AK297" s="3061"/>
      <c r="AL297" s="3061"/>
      <c r="AM297" s="3061"/>
      <c r="AN297" s="3061"/>
      <c r="AO297" s="3061"/>
      <c r="AP297" s="3061"/>
      <c r="AQ297" s="3061"/>
      <c r="AR297" s="3061"/>
      <c r="AS297" s="3061"/>
      <c r="AT297" s="3061"/>
      <c r="AU297" s="3061"/>
      <c r="AV297" s="3061"/>
      <c r="AW297" s="3061"/>
      <c r="AX297" s="3061"/>
      <c r="AY297" s="3061"/>
      <c r="AZ297" s="3061"/>
      <c r="BA297" s="3061"/>
      <c r="BB297" s="3061"/>
      <c r="BC297" s="3061"/>
      <c r="BD297" s="3061"/>
      <c r="BE297" s="3061"/>
      <c r="BF297" s="3061"/>
      <c r="BG297" s="3061"/>
      <c r="BH297" s="3061"/>
      <c r="BI297" s="3061"/>
      <c r="BJ297" s="3061"/>
      <c r="BK297" s="3061"/>
      <c r="BL297" s="3061"/>
      <c r="BM297" s="3061"/>
      <c r="BN297" s="3061"/>
      <c r="BO297" s="3061"/>
      <c r="BP297" s="3061"/>
      <c r="BQ297" s="3061"/>
      <c r="BR297" s="3061"/>
      <c r="BS297" s="3061"/>
      <c r="BT297" s="3061"/>
      <c r="BU297" s="3061"/>
      <c r="BV297" s="3061"/>
      <c r="BW297" s="3061"/>
      <c r="BX297" s="3061"/>
      <c r="BY297" s="3061"/>
      <c r="BZ297" s="3061"/>
      <c r="CA297" s="3061"/>
      <c r="CB297" s="3061"/>
      <c r="CC297" s="3061"/>
      <c r="CD297" s="3061"/>
      <c r="CE297" s="3061"/>
      <c r="CF297" s="3061"/>
      <c r="CG297" s="3061"/>
      <c r="CH297" s="3061"/>
      <c r="CI297" s="3061"/>
      <c r="CJ297" s="3061"/>
      <c r="CK297" s="3061"/>
      <c r="CL297" s="3061"/>
      <c r="CM297" s="3061"/>
      <c r="CN297" s="3061"/>
      <c r="CO297" s="3061"/>
      <c r="CP297" s="3061"/>
      <c r="CQ297" s="3061"/>
      <c r="CR297" s="3061"/>
      <c r="CS297" s="3062"/>
      <c r="CT297" s="3063"/>
      <c r="CU297" s="3064">
        <f t="shared" si="92"/>
        <v>1</v>
      </c>
      <c r="CV297" s="3022" t="str">
        <f>IF(OR(CT297="",CT297="None"),"-",DO297*CU297*SUMIF('Lighting Assumptions'!$G$3:$G$112,'6a - Lighting Counts'!G297,'Lighting Assumptions'!$J$3:$J$112))</f>
        <v>-</v>
      </c>
      <c r="CW297" s="3021"/>
      <c r="CX297" s="3021"/>
      <c r="CY297" s="3046"/>
      <c r="CZ297" s="2098">
        <f t="shared" si="93"/>
        <v>0</v>
      </c>
      <c r="DA297" s="2098" t="str">
        <f t="shared" si="94"/>
        <v>-</v>
      </c>
      <c r="DB297" s="2098">
        <f t="shared" si="95"/>
        <v>0</v>
      </c>
      <c r="DC297" s="3023" t="str">
        <f t="shared" si="96"/>
        <v>-</v>
      </c>
      <c r="DD297" s="3024" t="str">
        <f t="shared" si="97"/>
        <v/>
      </c>
      <c r="DE297" s="3025" t="str">
        <f t="shared" si="98"/>
        <v>-</v>
      </c>
      <c r="DF297" s="3024" t="str">
        <f t="shared" si="89"/>
        <v>-</v>
      </c>
      <c r="DG297" s="2098">
        <f t="shared" si="99"/>
        <v>0</v>
      </c>
      <c r="DH297" s="2098">
        <f t="array" ref="DH297">MIN(SUMPRODUCT(I297:CR297,IF($I$25:$CR$25="yes",1,0),$I$23:$CR$23),H297)</f>
        <v>0</v>
      </c>
      <c r="DI297" s="3026"/>
      <c r="DJ297" s="3021"/>
      <c r="DN297" s="917" t="str">
        <f>IF(CS297="","-",SUMIF('Lighting Assumptions'!$G$3:$G$112,'6a - Lighting Counts'!G297,'Lighting Assumptions'!$J$3:$J$112))</f>
        <v>-</v>
      </c>
      <c r="DO297" s="917" t="str">
        <f t="shared" si="90"/>
        <v>-</v>
      </c>
      <c r="DP297" s="917" t="str">
        <f t="shared" si="91"/>
        <v>-</v>
      </c>
      <c r="DQ297" s="917" t="str">
        <f>IF(LEFT(CELLformula(DF297),3)&lt;&gt;"=IF",1,"")</f>
        <v/>
      </c>
      <c r="DR297" s="917" t="str">
        <f>IF(LEFT(CELLformula(DD297),3)&lt;&gt;"=IF",1,"")</f>
        <v/>
      </c>
      <c r="DS297" s="3048">
        <f t="shared" si="100"/>
        <v>0</v>
      </c>
      <c r="DT297" s="3047" t="str">
        <f t="shared" si="101"/>
        <v/>
      </c>
      <c r="DU297" s="3047" t="str">
        <f>IFERROR(IF(G297="","",SUMIF('Lighting Assumptions'!$G$3:$G$112,'6a - Lighting Counts'!G297,'Lighting Assumptions'!$H$3:$H$112)*IF(SI_IP_Units="SI",10.76,1)),"")</f>
        <v/>
      </c>
      <c r="DV297" s="3047" t="str">
        <f>IFERROR(IF($CX297="","",IF(SI_IP_Units="SI",10.76,1)*SUMIF(BAMCategories,$CY297,'Lighting Assumptions'!$E$3:E$35)),"")</f>
        <v/>
      </c>
      <c r="DW297" s="3047" t="str">
        <f>IFERROR(IF($CX297="","",IF(SI_IP_Units="SI",10.76,1)*SUMIF(BAMCategories,$CY297,IF(bpf_reference="ACP",'Lighting Assumptions 90.1-2010'!$E$3:E$35,'Lighting Assumptions 90.1-2016'!$E$3:E$35))),"")</f>
        <v/>
      </c>
      <c r="EW297" s="855"/>
      <c r="EX297" s="855"/>
      <c r="EY297" s="855"/>
      <c r="EZ297" s="855"/>
    </row>
    <row r="298" spans="4:156" x14ac:dyDescent="0.25">
      <c r="D298" s="3019"/>
      <c r="E298" s="3020"/>
      <c r="F298" s="3021">
        <f t="shared" si="88"/>
        <v>0</v>
      </c>
      <c r="G298" s="3059"/>
      <c r="H298" s="3060"/>
      <c r="I298" s="3061"/>
      <c r="J298" s="3061"/>
      <c r="K298" s="3061"/>
      <c r="L298" s="3061"/>
      <c r="M298" s="3061"/>
      <c r="N298" s="3061"/>
      <c r="O298" s="3061"/>
      <c r="P298" s="3061"/>
      <c r="Q298" s="3061"/>
      <c r="R298" s="3061"/>
      <c r="S298" s="3061"/>
      <c r="T298" s="3061"/>
      <c r="U298" s="3061"/>
      <c r="V298" s="3061"/>
      <c r="W298" s="3061"/>
      <c r="X298" s="3061"/>
      <c r="Y298" s="3061"/>
      <c r="Z298" s="3061"/>
      <c r="AA298" s="3061"/>
      <c r="AB298" s="3061"/>
      <c r="AC298" s="3061"/>
      <c r="AD298" s="3061"/>
      <c r="AE298" s="3061"/>
      <c r="AF298" s="3061"/>
      <c r="AG298" s="3061"/>
      <c r="AH298" s="3061"/>
      <c r="AI298" s="3061"/>
      <c r="AJ298" s="3061"/>
      <c r="AK298" s="3061"/>
      <c r="AL298" s="3061"/>
      <c r="AM298" s="3061"/>
      <c r="AN298" s="3061"/>
      <c r="AO298" s="3061"/>
      <c r="AP298" s="3061"/>
      <c r="AQ298" s="3061"/>
      <c r="AR298" s="3061"/>
      <c r="AS298" s="3061"/>
      <c r="AT298" s="3061"/>
      <c r="AU298" s="3061"/>
      <c r="AV298" s="3061"/>
      <c r="AW298" s="3061"/>
      <c r="AX298" s="3061"/>
      <c r="AY298" s="3061"/>
      <c r="AZ298" s="3061"/>
      <c r="BA298" s="3061"/>
      <c r="BB298" s="3061"/>
      <c r="BC298" s="3061"/>
      <c r="BD298" s="3061"/>
      <c r="BE298" s="3061"/>
      <c r="BF298" s="3061"/>
      <c r="BG298" s="3061"/>
      <c r="BH298" s="3061"/>
      <c r="BI298" s="3061"/>
      <c r="BJ298" s="3061"/>
      <c r="BK298" s="3061"/>
      <c r="BL298" s="3061"/>
      <c r="BM298" s="3061"/>
      <c r="BN298" s="3061"/>
      <c r="BO298" s="3061"/>
      <c r="BP298" s="3061"/>
      <c r="BQ298" s="3061"/>
      <c r="BR298" s="3061"/>
      <c r="BS298" s="3061"/>
      <c r="BT298" s="3061"/>
      <c r="BU298" s="3061"/>
      <c r="BV298" s="3061"/>
      <c r="BW298" s="3061"/>
      <c r="BX298" s="3061"/>
      <c r="BY298" s="3061"/>
      <c r="BZ298" s="3061"/>
      <c r="CA298" s="3061"/>
      <c r="CB298" s="3061"/>
      <c r="CC298" s="3061"/>
      <c r="CD298" s="3061"/>
      <c r="CE298" s="3061"/>
      <c r="CF298" s="3061"/>
      <c r="CG298" s="3061"/>
      <c r="CH298" s="3061"/>
      <c r="CI298" s="3061"/>
      <c r="CJ298" s="3061"/>
      <c r="CK298" s="3061"/>
      <c r="CL298" s="3061"/>
      <c r="CM298" s="3061"/>
      <c r="CN298" s="3061"/>
      <c r="CO298" s="3061"/>
      <c r="CP298" s="3061"/>
      <c r="CQ298" s="3061"/>
      <c r="CR298" s="3061"/>
      <c r="CS298" s="3062"/>
      <c r="CT298" s="3063"/>
      <c r="CU298" s="3064">
        <f t="shared" si="92"/>
        <v>1</v>
      </c>
      <c r="CV298" s="3022" t="str">
        <f>IF(OR(CT298="",CT298="None"),"-",DO298*CU298*SUMIF('Lighting Assumptions'!$G$3:$G$112,'6a - Lighting Counts'!G298,'Lighting Assumptions'!$J$3:$J$112))</f>
        <v>-</v>
      </c>
      <c r="CW298" s="3021"/>
      <c r="CX298" s="3021"/>
      <c r="CY298" s="3046"/>
      <c r="CZ298" s="2098">
        <f t="shared" si="93"/>
        <v>0</v>
      </c>
      <c r="DA298" s="2098" t="str">
        <f t="shared" si="94"/>
        <v>-</v>
      </c>
      <c r="DB298" s="2098">
        <f t="shared" si="95"/>
        <v>0</v>
      </c>
      <c r="DC298" s="3023" t="str">
        <f t="shared" si="96"/>
        <v>-</v>
      </c>
      <c r="DD298" s="3024" t="str">
        <f t="shared" si="97"/>
        <v/>
      </c>
      <c r="DE298" s="3025" t="str">
        <f t="shared" si="98"/>
        <v>-</v>
      </c>
      <c r="DF298" s="3024" t="str">
        <f t="shared" si="89"/>
        <v>-</v>
      </c>
      <c r="DG298" s="2098">
        <f t="shared" si="99"/>
        <v>0</v>
      </c>
      <c r="DH298" s="2098">
        <f t="array" ref="DH298">MIN(SUMPRODUCT(I298:CR298,IF($I$25:$CR$25="yes",1,0),$I$23:$CR$23),H298)</f>
        <v>0</v>
      </c>
      <c r="DI298" s="3026"/>
      <c r="DJ298" s="3021"/>
      <c r="DN298" s="917" t="str">
        <f>IF(CS298="","-",SUMIF('Lighting Assumptions'!$G$3:$G$112,'6a - Lighting Counts'!G298,'Lighting Assumptions'!$J$3:$J$112))</f>
        <v>-</v>
      </c>
      <c r="DO298" s="917" t="str">
        <f t="shared" si="90"/>
        <v>-</v>
      </c>
      <c r="DP298" s="917" t="str">
        <f t="shared" si="91"/>
        <v>-</v>
      </c>
      <c r="DQ298" s="917" t="str">
        <f>IF(LEFT(CELLformula(DF298),3)&lt;&gt;"=IF",1,"")</f>
        <v/>
      </c>
      <c r="DR298" s="917" t="str">
        <f>IF(LEFT(CELLformula(DD298),3)&lt;&gt;"=IF",1,"")</f>
        <v/>
      </c>
      <c r="DS298" s="3048">
        <f t="shared" si="100"/>
        <v>0</v>
      </c>
      <c r="DT298" s="3047" t="str">
        <f t="shared" si="101"/>
        <v/>
      </c>
      <c r="DU298" s="3047" t="str">
        <f>IFERROR(IF(G298="","",SUMIF('Lighting Assumptions'!$G$3:$G$112,'6a - Lighting Counts'!G298,'Lighting Assumptions'!$H$3:$H$112)*IF(SI_IP_Units="SI",10.76,1)),"")</f>
        <v/>
      </c>
      <c r="DV298" s="3047" t="str">
        <f>IFERROR(IF($CX298="","",IF(SI_IP_Units="SI",10.76,1)*SUMIF(BAMCategories,$CY298,'Lighting Assumptions'!$E$3:E$35)),"")</f>
        <v/>
      </c>
      <c r="DW298" s="3047" t="str">
        <f>IFERROR(IF($CX298="","",IF(SI_IP_Units="SI",10.76,1)*SUMIF(BAMCategories,$CY298,IF(bpf_reference="ACP",'Lighting Assumptions 90.1-2010'!$E$3:E$35,'Lighting Assumptions 90.1-2016'!$E$3:E$35))),"")</f>
        <v/>
      </c>
      <c r="EW298" s="855"/>
      <c r="EX298" s="855"/>
      <c r="EY298" s="855"/>
      <c r="EZ298" s="855"/>
    </row>
    <row r="299" spans="4:156" x14ac:dyDescent="0.25">
      <c r="D299" s="3019"/>
      <c r="E299" s="3020"/>
      <c r="F299" s="3021">
        <f t="shared" si="88"/>
        <v>0</v>
      </c>
      <c r="G299" s="3059"/>
      <c r="H299" s="3060"/>
      <c r="I299" s="3061"/>
      <c r="J299" s="3061"/>
      <c r="K299" s="3061"/>
      <c r="L299" s="3061"/>
      <c r="M299" s="3061"/>
      <c r="N299" s="3061"/>
      <c r="O299" s="3061"/>
      <c r="P299" s="3061"/>
      <c r="Q299" s="3061"/>
      <c r="R299" s="3061"/>
      <c r="S299" s="3061"/>
      <c r="T299" s="3061"/>
      <c r="U299" s="3061"/>
      <c r="V299" s="3061"/>
      <c r="W299" s="3061"/>
      <c r="X299" s="3061"/>
      <c r="Y299" s="3061"/>
      <c r="Z299" s="3061"/>
      <c r="AA299" s="3061"/>
      <c r="AB299" s="3061"/>
      <c r="AC299" s="3061"/>
      <c r="AD299" s="3061"/>
      <c r="AE299" s="3061"/>
      <c r="AF299" s="3061"/>
      <c r="AG299" s="3061"/>
      <c r="AH299" s="3061"/>
      <c r="AI299" s="3061"/>
      <c r="AJ299" s="3061"/>
      <c r="AK299" s="3061"/>
      <c r="AL299" s="3061"/>
      <c r="AM299" s="3061"/>
      <c r="AN299" s="3061"/>
      <c r="AO299" s="3061"/>
      <c r="AP299" s="3061"/>
      <c r="AQ299" s="3061"/>
      <c r="AR299" s="3061"/>
      <c r="AS299" s="3061"/>
      <c r="AT299" s="3061"/>
      <c r="AU299" s="3061"/>
      <c r="AV299" s="3061"/>
      <c r="AW299" s="3061"/>
      <c r="AX299" s="3061"/>
      <c r="AY299" s="3061"/>
      <c r="AZ299" s="3061"/>
      <c r="BA299" s="3061"/>
      <c r="BB299" s="3061"/>
      <c r="BC299" s="3061"/>
      <c r="BD299" s="3061"/>
      <c r="BE299" s="3061"/>
      <c r="BF299" s="3061"/>
      <c r="BG299" s="3061"/>
      <c r="BH299" s="3061"/>
      <c r="BI299" s="3061"/>
      <c r="BJ299" s="3061"/>
      <c r="BK299" s="3061"/>
      <c r="BL299" s="3061"/>
      <c r="BM299" s="3061"/>
      <c r="BN299" s="3061"/>
      <c r="BO299" s="3061"/>
      <c r="BP299" s="3061"/>
      <c r="BQ299" s="3061"/>
      <c r="BR299" s="3061"/>
      <c r="BS299" s="3061"/>
      <c r="BT299" s="3061"/>
      <c r="BU299" s="3061"/>
      <c r="BV299" s="3061"/>
      <c r="BW299" s="3061"/>
      <c r="BX299" s="3061"/>
      <c r="BY299" s="3061"/>
      <c r="BZ299" s="3061"/>
      <c r="CA299" s="3061"/>
      <c r="CB299" s="3061"/>
      <c r="CC299" s="3061"/>
      <c r="CD299" s="3061"/>
      <c r="CE299" s="3061"/>
      <c r="CF299" s="3061"/>
      <c r="CG299" s="3061"/>
      <c r="CH299" s="3061"/>
      <c r="CI299" s="3061"/>
      <c r="CJ299" s="3061"/>
      <c r="CK299" s="3061"/>
      <c r="CL299" s="3061"/>
      <c r="CM299" s="3061"/>
      <c r="CN299" s="3061"/>
      <c r="CO299" s="3061"/>
      <c r="CP299" s="3061"/>
      <c r="CQ299" s="3061"/>
      <c r="CR299" s="3061"/>
      <c r="CS299" s="3062"/>
      <c r="CT299" s="3063"/>
      <c r="CU299" s="3064">
        <f t="shared" si="92"/>
        <v>1</v>
      </c>
      <c r="CV299" s="3022" t="str">
        <f>IF(OR(CT299="",CT299="None"),"-",DO299*CU299*SUMIF('Lighting Assumptions'!$G$3:$G$112,'6a - Lighting Counts'!G299,'Lighting Assumptions'!$J$3:$J$112))</f>
        <v>-</v>
      </c>
      <c r="CW299" s="3021"/>
      <c r="CX299" s="3021"/>
      <c r="CY299" s="3046"/>
      <c r="CZ299" s="2098">
        <f t="shared" si="93"/>
        <v>0</v>
      </c>
      <c r="DA299" s="2098" t="str">
        <f t="shared" si="94"/>
        <v>-</v>
      </c>
      <c r="DB299" s="2098">
        <f t="shared" si="95"/>
        <v>0</v>
      </c>
      <c r="DC299" s="3023" t="str">
        <f t="shared" si="96"/>
        <v>-</v>
      </c>
      <c r="DD299" s="3024" t="str">
        <f t="shared" si="97"/>
        <v/>
      </c>
      <c r="DE299" s="3025" t="str">
        <f t="shared" si="98"/>
        <v>-</v>
      </c>
      <c r="DF299" s="3024" t="str">
        <f t="shared" si="89"/>
        <v>-</v>
      </c>
      <c r="DG299" s="2098">
        <f t="shared" si="99"/>
        <v>0</v>
      </c>
      <c r="DH299" s="2098">
        <f t="array" ref="DH299">MIN(SUMPRODUCT(I299:CR299,IF($I$25:$CR$25="yes",1,0),$I$23:$CR$23),H299)</f>
        <v>0</v>
      </c>
      <c r="DI299" s="3026"/>
      <c r="DJ299" s="3021"/>
      <c r="DN299" s="917" t="str">
        <f>IF(CS299="","-",SUMIF('Lighting Assumptions'!$G$3:$G$112,'6a - Lighting Counts'!G299,'Lighting Assumptions'!$J$3:$J$112))</f>
        <v>-</v>
      </c>
      <c r="DO299" s="917" t="str">
        <f t="shared" si="90"/>
        <v>-</v>
      </c>
      <c r="DP299" s="917" t="str">
        <f t="shared" si="91"/>
        <v>-</v>
      </c>
      <c r="DQ299" s="917" t="str">
        <f>IF(LEFT(CELLformula(DF299),3)&lt;&gt;"=IF",1,"")</f>
        <v/>
      </c>
      <c r="DR299" s="917" t="str">
        <f>IF(LEFT(CELLformula(DD299),3)&lt;&gt;"=IF",1,"")</f>
        <v/>
      </c>
      <c r="DS299" s="3048">
        <f t="shared" si="100"/>
        <v>0</v>
      </c>
      <c r="DT299" s="3047" t="str">
        <f t="shared" si="101"/>
        <v/>
      </c>
      <c r="DU299" s="3047" t="str">
        <f>IFERROR(IF(G299="","",SUMIF('Lighting Assumptions'!$G$3:$G$112,'6a - Lighting Counts'!G299,'Lighting Assumptions'!$H$3:$H$112)*IF(SI_IP_Units="SI",10.76,1)),"")</f>
        <v/>
      </c>
      <c r="DV299" s="3047" t="str">
        <f>IFERROR(IF($CX299="","",IF(SI_IP_Units="SI",10.76,1)*SUMIF(BAMCategories,$CY299,'Lighting Assumptions'!$E$3:E$35)),"")</f>
        <v/>
      </c>
      <c r="DW299" s="3047" t="str">
        <f>IFERROR(IF($CX299="","",IF(SI_IP_Units="SI",10.76,1)*SUMIF(BAMCategories,$CY299,IF(bpf_reference="ACP",'Lighting Assumptions 90.1-2010'!$E$3:E$35,'Lighting Assumptions 90.1-2016'!$E$3:E$35))),"")</f>
        <v/>
      </c>
      <c r="EW299" s="855"/>
      <c r="EX299" s="855"/>
      <c r="EY299" s="855"/>
      <c r="EZ299" s="855"/>
    </row>
    <row r="300" spans="4:156" x14ac:dyDescent="0.25">
      <c r="D300" s="3019"/>
      <c r="E300" s="3020"/>
      <c r="F300" s="3021">
        <f t="shared" si="88"/>
        <v>0</v>
      </c>
      <c r="G300" s="3059"/>
      <c r="H300" s="3060"/>
      <c r="I300" s="3061"/>
      <c r="J300" s="3061"/>
      <c r="K300" s="3061"/>
      <c r="L300" s="3061"/>
      <c r="M300" s="3061"/>
      <c r="N300" s="3061"/>
      <c r="O300" s="3061"/>
      <c r="P300" s="3061"/>
      <c r="Q300" s="3061"/>
      <c r="R300" s="3061"/>
      <c r="S300" s="3061"/>
      <c r="T300" s="3061"/>
      <c r="U300" s="3061"/>
      <c r="V300" s="3061"/>
      <c r="W300" s="3061"/>
      <c r="X300" s="3061"/>
      <c r="Y300" s="3061"/>
      <c r="Z300" s="3061"/>
      <c r="AA300" s="3061"/>
      <c r="AB300" s="3061"/>
      <c r="AC300" s="3061"/>
      <c r="AD300" s="3061"/>
      <c r="AE300" s="3061"/>
      <c r="AF300" s="3061"/>
      <c r="AG300" s="3061"/>
      <c r="AH300" s="3061"/>
      <c r="AI300" s="3061"/>
      <c r="AJ300" s="3061"/>
      <c r="AK300" s="3061"/>
      <c r="AL300" s="3061"/>
      <c r="AM300" s="3061"/>
      <c r="AN300" s="3061"/>
      <c r="AO300" s="3061"/>
      <c r="AP300" s="3061"/>
      <c r="AQ300" s="3061"/>
      <c r="AR300" s="3061"/>
      <c r="AS300" s="3061"/>
      <c r="AT300" s="3061"/>
      <c r="AU300" s="3061"/>
      <c r="AV300" s="3061"/>
      <c r="AW300" s="3061"/>
      <c r="AX300" s="3061"/>
      <c r="AY300" s="3061"/>
      <c r="AZ300" s="3061"/>
      <c r="BA300" s="3061"/>
      <c r="BB300" s="3061"/>
      <c r="BC300" s="3061"/>
      <c r="BD300" s="3061"/>
      <c r="BE300" s="3061"/>
      <c r="BF300" s="3061"/>
      <c r="BG300" s="3061"/>
      <c r="BH300" s="3061"/>
      <c r="BI300" s="3061"/>
      <c r="BJ300" s="3061"/>
      <c r="BK300" s="3061"/>
      <c r="BL300" s="3061"/>
      <c r="BM300" s="3061"/>
      <c r="BN300" s="3061"/>
      <c r="BO300" s="3061"/>
      <c r="BP300" s="3061"/>
      <c r="BQ300" s="3061"/>
      <c r="BR300" s="3061"/>
      <c r="BS300" s="3061"/>
      <c r="BT300" s="3061"/>
      <c r="BU300" s="3061"/>
      <c r="BV300" s="3061"/>
      <c r="BW300" s="3061"/>
      <c r="BX300" s="3061"/>
      <c r="BY300" s="3061"/>
      <c r="BZ300" s="3061"/>
      <c r="CA300" s="3061"/>
      <c r="CB300" s="3061"/>
      <c r="CC300" s="3061"/>
      <c r="CD300" s="3061"/>
      <c r="CE300" s="3061"/>
      <c r="CF300" s="3061"/>
      <c r="CG300" s="3061"/>
      <c r="CH300" s="3061"/>
      <c r="CI300" s="3061"/>
      <c r="CJ300" s="3061"/>
      <c r="CK300" s="3061"/>
      <c r="CL300" s="3061"/>
      <c r="CM300" s="3061"/>
      <c r="CN300" s="3061"/>
      <c r="CO300" s="3061"/>
      <c r="CP300" s="3061"/>
      <c r="CQ300" s="3061"/>
      <c r="CR300" s="3061"/>
      <c r="CS300" s="3062"/>
      <c r="CT300" s="3063"/>
      <c r="CU300" s="3064">
        <f t="shared" si="92"/>
        <v>1</v>
      </c>
      <c r="CV300" s="3022" t="str">
        <f>IF(OR(CT300="",CT300="None"),"-",DO300*CU300*SUMIF('Lighting Assumptions'!$G$3:$G$112,'6a - Lighting Counts'!G300,'Lighting Assumptions'!$J$3:$J$112))</f>
        <v>-</v>
      </c>
      <c r="CW300" s="3021"/>
      <c r="CX300" s="3021"/>
      <c r="CY300" s="3046"/>
      <c r="CZ300" s="2098">
        <f t="shared" si="93"/>
        <v>0</v>
      </c>
      <c r="DA300" s="2098" t="str">
        <f t="shared" si="94"/>
        <v>-</v>
      </c>
      <c r="DB300" s="2098">
        <f t="shared" si="95"/>
        <v>0</v>
      </c>
      <c r="DC300" s="3023" t="str">
        <f t="shared" si="96"/>
        <v>-</v>
      </c>
      <c r="DD300" s="3024" t="str">
        <f t="shared" si="97"/>
        <v/>
      </c>
      <c r="DE300" s="3025" t="str">
        <f t="shared" si="98"/>
        <v>-</v>
      </c>
      <c r="DF300" s="3024" t="str">
        <f t="shared" si="89"/>
        <v>-</v>
      </c>
      <c r="DG300" s="2098">
        <f t="shared" si="99"/>
        <v>0</v>
      </c>
      <c r="DH300" s="2098">
        <f t="array" ref="DH300">MIN(SUMPRODUCT(I300:CR300,IF($I$25:$CR$25="yes",1,0),$I$23:$CR$23),H300)</f>
        <v>0</v>
      </c>
      <c r="DI300" s="3026"/>
      <c r="DJ300" s="3021"/>
      <c r="DN300" s="917" t="str">
        <f>IF(CS300="","-",SUMIF('Lighting Assumptions'!$G$3:$G$112,'6a - Lighting Counts'!G300,'Lighting Assumptions'!$J$3:$J$112))</f>
        <v>-</v>
      </c>
      <c r="DO300" s="917" t="str">
        <f t="shared" si="90"/>
        <v>-</v>
      </c>
      <c r="DP300" s="917" t="str">
        <f t="shared" si="91"/>
        <v>-</v>
      </c>
      <c r="DQ300" s="917" t="str">
        <f>IF(LEFT(CELLformula(DF300),3)&lt;&gt;"=IF",1,"")</f>
        <v/>
      </c>
      <c r="DR300" s="917" t="str">
        <f>IF(LEFT(CELLformula(DD300),3)&lt;&gt;"=IF",1,"")</f>
        <v/>
      </c>
      <c r="DS300" s="3048">
        <f t="shared" si="100"/>
        <v>0</v>
      </c>
      <c r="DT300" s="3047" t="str">
        <f t="shared" si="101"/>
        <v/>
      </c>
      <c r="DU300" s="3047" t="str">
        <f>IFERROR(IF(G300="","",SUMIF('Lighting Assumptions'!$G$3:$G$112,'6a - Lighting Counts'!G300,'Lighting Assumptions'!$H$3:$H$112)*IF(SI_IP_Units="SI",10.76,1)),"")</f>
        <v/>
      </c>
      <c r="DV300" s="3047" t="str">
        <f>IFERROR(IF($CX300="","",IF(SI_IP_Units="SI",10.76,1)*SUMIF(BAMCategories,$CY300,'Lighting Assumptions'!$E$3:E$35)),"")</f>
        <v/>
      </c>
      <c r="DW300" s="3047" t="str">
        <f>IFERROR(IF($CX300="","",IF(SI_IP_Units="SI",10.76,1)*SUMIF(BAMCategories,$CY300,IF(bpf_reference="ACP",'Lighting Assumptions 90.1-2010'!$E$3:E$35,'Lighting Assumptions 90.1-2016'!$E$3:E$35))),"")</f>
        <v/>
      </c>
      <c r="EW300" s="855"/>
      <c r="EX300" s="855"/>
      <c r="EY300" s="855"/>
      <c r="EZ300" s="855"/>
    </row>
    <row r="301" spans="4:156" x14ac:dyDescent="0.25">
      <c r="D301" s="3019"/>
      <c r="E301" s="3020"/>
      <c r="F301" s="3021">
        <f t="shared" si="88"/>
        <v>0</v>
      </c>
      <c r="G301" s="3059"/>
      <c r="H301" s="3060"/>
      <c r="I301" s="3061"/>
      <c r="J301" s="3061"/>
      <c r="K301" s="3061"/>
      <c r="L301" s="3061"/>
      <c r="M301" s="3061"/>
      <c r="N301" s="3061"/>
      <c r="O301" s="3061"/>
      <c r="P301" s="3061"/>
      <c r="Q301" s="3061"/>
      <c r="R301" s="3061"/>
      <c r="S301" s="3061"/>
      <c r="T301" s="3061"/>
      <c r="U301" s="3061"/>
      <c r="V301" s="3061"/>
      <c r="W301" s="3061"/>
      <c r="X301" s="3061"/>
      <c r="Y301" s="3061"/>
      <c r="Z301" s="3061"/>
      <c r="AA301" s="3061"/>
      <c r="AB301" s="3061"/>
      <c r="AC301" s="3061"/>
      <c r="AD301" s="3061"/>
      <c r="AE301" s="3061"/>
      <c r="AF301" s="3061"/>
      <c r="AG301" s="3061"/>
      <c r="AH301" s="3061"/>
      <c r="AI301" s="3061"/>
      <c r="AJ301" s="3061"/>
      <c r="AK301" s="3061"/>
      <c r="AL301" s="3061"/>
      <c r="AM301" s="3061"/>
      <c r="AN301" s="3061"/>
      <c r="AO301" s="3061"/>
      <c r="AP301" s="3061"/>
      <c r="AQ301" s="3061"/>
      <c r="AR301" s="3061"/>
      <c r="AS301" s="3061"/>
      <c r="AT301" s="3061"/>
      <c r="AU301" s="3061"/>
      <c r="AV301" s="3061"/>
      <c r="AW301" s="3061"/>
      <c r="AX301" s="3061"/>
      <c r="AY301" s="3061"/>
      <c r="AZ301" s="3061"/>
      <c r="BA301" s="3061"/>
      <c r="BB301" s="3061"/>
      <c r="BC301" s="3061"/>
      <c r="BD301" s="3061"/>
      <c r="BE301" s="3061"/>
      <c r="BF301" s="3061"/>
      <c r="BG301" s="3061"/>
      <c r="BH301" s="3061"/>
      <c r="BI301" s="3061"/>
      <c r="BJ301" s="3061"/>
      <c r="BK301" s="3061"/>
      <c r="BL301" s="3061"/>
      <c r="BM301" s="3061"/>
      <c r="BN301" s="3061"/>
      <c r="BO301" s="3061"/>
      <c r="BP301" s="3061"/>
      <c r="BQ301" s="3061"/>
      <c r="BR301" s="3061"/>
      <c r="BS301" s="3061"/>
      <c r="BT301" s="3061"/>
      <c r="BU301" s="3061"/>
      <c r="BV301" s="3061"/>
      <c r="BW301" s="3061"/>
      <c r="BX301" s="3061"/>
      <c r="BY301" s="3061"/>
      <c r="BZ301" s="3061"/>
      <c r="CA301" s="3061"/>
      <c r="CB301" s="3061"/>
      <c r="CC301" s="3061"/>
      <c r="CD301" s="3061"/>
      <c r="CE301" s="3061"/>
      <c r="CF301" s="3061"/>
      <c r="CG301" s="3061"/>
      <c r="CH301" s="3061"/>
      <c r="CI301" s="3061"/>
      <c r="CJ301" s="3061"/>
      <c r="CK301" s="3061"/>
      <c r="CL301" s="3061"/>
      <c r="CM301" s="3061"/>
      <c r="CN301" s="3061"/>
      <c r="CO301" s="3061"/>
      <c r="CP301" s="3061"/>
      <c r="CQ301" s="3061"/>
      <c r="CR301" s="3061"/>
      <c r="CS301" s="3062"/>
      <c r="CT301" s="3063"/>
      <c r="CU301" s="3064">
        <f t="shared" si="92"/>
        <v>1</v>
      </c>
      <c r="CV301" s="3022" t="str">
        <f>IF(OR(CT301="",CT301="None"),"-",DO301*CU301*SUMIF('Lighting Assumptions'!$G$3:$G$112,'6a - Lighting Counts'!G301,'Lighting Assumptions'!$J$3:$J$112))</f>
        <v>-</v>
      </c>
      <c r="CW301" s="3021"/>
      <c r="CX301" s="3021"/>
      <c r="CY301" s="3046"/>
      <c r="CZ301" s="2098">
        <f t="shared" si="93"/>
        <v>0</v>
      </c>
      <c r="DA301" s="2098" t="str">
        <f t="shared" si="94"/>
        <v>-</v>
      </c>
      <c r="DB301" s="2098">
        <f t="shared" si="95"/>
        <v>0</v>
      </c>
      <c r="DC301" s="3023" t="str">
        <f t="shared" si="96"/>
        <v>-</v>
      </c>
      <c r="DD301" s="3024" t="str">
        <f t="shared" si="97"/>
        <v/>
      </c>
      <c r="DE301" s="3025" t="str">
        <f t="shared" si="98"/>
        <v>-</v>
      </c>
      <c r="DF301" s="3024" t="str">
        <f t="shared" si="89"/>
        <v>-</v>
      </c>
      <c r="DG301" s="2098">
        <f t="shared" si="99"/>
        <v>0</v>
      </c>
      <c r="DH301" s="2098">
        <f t="array" ref="DH301">MIN(SUMPRODUCT(I301:CR301,IF($I$25:$CR$25="yes",1,0),$I$23:$CR$23),H301)</f>
        <v>0</v>
      </c>
      <c r="DI301" s="3026"/>
      <c r="DJ301" s="3021"/>
      <c r="DN301" s="917" t="str">
        <f>IF(CS301="","-",SUMIF('Lighting Assumptions'!$G$3:$G$112,'6a - Lighting Counts'!G301,'Lighting Assumptions'!$J$3:$J$112))</f>
        <v>-</v>
      </c>
      <c r="DO301" s="917" t="str">
        <f t="shared" si="90"/>
        <v>-</v>
      </c>
      <c r="DP301" s="917" t="str">
        <f t="shared" si="91"/>
        <v>-</v>
      </c>
      <c r="DQ301" s="917" t="str">
        <f>IF(LEFT(CELLformula(DF301),3)&lt;&gt;"=IF",1,"")</f>
        <v/>
      </c>
      <c r="DR301" s="917" t="str">
        <f>IF(LEFT(CELLformula(DD301),3)&lt;&gt;"=IF",1,"")</f>
        <v/>
      </c>
      <c r="DS301" s="3048">
        <f t="shared" si="100"/>
        <v>0</v>
      </c>
      <c r="DT301" s="3047" t="str">
        <f t="shared" si="101"/>
        <v/>
      </c>
      <c r="DU301" s="3047" t="str">
        <f>IFERROR(IF(G301="","",SUMIF('Lighting Assumptions'!$G$3:$G$112,'6a - Lighting Counts'!G301,'Lighting Assumptions'!$H$3:$H$112)*IF(SI_IP_Units="SI",10.76,1)),"")</f>
        <v/>
      </c>
      <c r="DV301" s="3047" t="str">
        <f>IFERROR(IF($CX301="","",IF(SI_IP_Units="SI",10.76,1)*SUMIF(BAMCategories,$CY301,'Lighting Assumptions'!$E$3:E$35)),"")</f>
        <v/>
      </c>
      <c r="DW301" s="3047" t="str">
        <f>IFERROR(IF($CX301="","",IF(SI_IP_Units="SI",10.76,1)*SUMIF(BAMCategories,$CY301,IF(bpf_reference="ACP",'Lighting Assumptions 90.1-2010'!$E$3:E$35,'Lighting Assumptions 90.1-2016'!$E$3:E$35))),"")</f>
        <v/>
      </c>
      <c r="EW301" s="855"/>
      <c r="EX301" s="855"/>
      <c r="EY301" s="855"/>
      <c r="EZ301" s="855"/>
    </row>
    <row r="302" spans="4:156" x14ac:dyDescent="0.25">
      <c r="D302" s="3019"/>
      <c r="E302" s="3020"/>
      <c r="F302" s="3021">
        <f t="shared" si="88"/>
        <v>0</v>
      </c>
      <c r="G302" s="3059"/>
      <c r="H302" s="3060"/>
      <c r="I302" s="3061"/>
      <c r="J302" s="3061"/>
      <c r="K302" s="3061"/>
      <c r="L302" s="3061"/>
      <c r="M302" s="3061"/>
      <c r="N302" s="3061"/>
      <c r="O302" s="3061"/>
      <c r="P302" s="3061"/>
      <c r="Q302" s="3061"/>
      <c r="R302" s="3061"/>
      <c r="S302" s="3061"/>
      <c r="T302" s="3061"/>
      <c r="U302" s="3061"/>
      <c r="V302" s="3061"/>
      <c r="W302" s="3061"/>
      <c r="X302" s="3061"/>
      <c r="Y302" s="3061"/>
      <c r="Z302" s="3061"/>
      <c r="AA302" s="3061"/>
      <c r="AB302" s="3061"/>
      <c r="AC302" s="3061"/>
      <c r="AD302" s="3061"/>
      <c r="AE302" s="3061"/>
      <c r="AF302" s="3061"/>
      <c r="AG302" s="3061"/>
      <c r="AH302" s="3061"/>
      <c r="AI302" s="3061"/>
      <c r="AJ302" s="3061"/>
      <c r="AK302" s="3061"/>
      <c r="AL302" s="3061"/>
      <c r="AM302" s="3061"/>
      <c r="AN302" s="3061"/>
      <c r="AO302" s="3061"/>
      <c r="AP302" s="3061"/>
      <c r="AQ302" s="3061"/>
      <c r="AR302" s="3061"/>
      <c r="AS302" s="3061"/>
      <c r="AT302" s="3061"/>
      <c r="AU302" s="3061"/>
      <c r="AV302" s="3061"/>
      <c r="AW302" s="3061"/>
      <c r="AX302" s="3061"/>
      <c r="AY302" s="3061"/>
      <c r="AZ302" s="3061"/>
      <c r="BA302" s="3061"/>
      <c r="BB302" s="3061"/>
      <c r="BC302" s="3061"/>
      <c r="BD302" s="3061"/>
      <c r="BE302" s="3061"/>
      <c r="BF302" s="3061"/>
      <c r="BG302" s="3061"/>
      <c r="BH302" s="3061"/>
      <c r="BI302" s="3061"/>
      <c r="BJ302" s="3061"/>
      <c r="BK302" s="3061"/>
      <c r="BL302" s="3061"/>
      <c r="BM302" s="3061"/>
      <c r="BN302" s="3061"/>
      <c r="BO302" s="3061"/>
      <c r="BP302" s="3061"/>
      <c r="BQ302" s="3061"/>
      <c r="BR302" s="3061"/>
      <c r="BS302" s="3061"/>
      <c r="BT302" s="3061"/>
      <c r="BU302" s="3061"/>
      <c r="BV302" s="3061"/>
      <c r="BW302" s="3061"/>
      <c r="BX302" s="3061"/>
      <c r="BY302" s="3061"/>
      <c r="BZ302" s="3061"/>
      <c r="CA302" s="3061"/>
      <c r="CB302" s="3061"/>
      <c r="CC302" s="3061"/>
      <c r="CD302" s="3061"/>
      <c r="CE302" s="3061"/>
      <c r="CF302" s="3061"/>
      <c r="CG302" s="3061"/>
      <c r="CH302" s="3061"/>
      <c r="CI302" s="3061"/>
      <c r="CJ302" s="3061"/>
      <c r="CK302" s="3061"/>
      <c r="CL302" s="3061"/>
      <c r="CM302" s="3061"/>
      <c r="CN302" s="3061"/>
      <c r="CO302" s="3061"/>
      <c r="CP302" s="3061"/>
      <c r="CQ302" s="3061"/>
      <c r="CR302" s="3061"/>
      <c r="CS302" s="3062"/>
      <c r="CT302" s="3063"/>
      <c r="CU302" s="3064">
        <f t="shared" si="92"/>
        <v>1</v>
      </c>
      <c r="CV302" s="3022" t="str">
        <f>IF(OR(CT302="",CT302="None"),"-",DO302*CU302*SUMIF('Lighting Assumptions'!$G$3:$G$112,'6a - Lighting Counts'!G302,'Lighting Assumptions'!$J$3:$J$112))</f>
        <v>-</v>
      </c>
      <c r="CW302" s="3021"/>
      <c r="CX302" s="3021"/>
      <c r="CY302" s="3046"/>
      <c r="CZ302" s="2098">
        <f t="shared" si="93"/>
        <v>0</v>
      </c>
      <c r="DA302" s="2098" t="str">
        <f t="shared" si="94"/>
        <v>-</v>
      </c>
      <c r="DB302" s="2098">
        <f t="shared" si="95"/>
        <v>0</v>
      </c>
      <c r="DC302" s="3023" t="str">
        <f t="shared" si="96"/>
        <v>-</v>
      </c>
      <c r="DD302" s="3024" t="str">
        <f t="shared" si="97"/>
        <v/>
      </c>
      <c r="DE302" s="3025" t="str">
        <f t="shared" si="98"/>
        <v>-</v>
      </c>
      <c r="DF302" s="3024" t="str">
        <f t="shared" si="89"/>
        <v>-</v>
      </c>
      <c r="DG302" s="2098">
        <f t="shared" si="99"/>
        <v>0</v>
      </c>
      <c r="DH302" s="2098">
        <f t="array" ref="DH302">MIN(SUMPRODUCT(I302:CR302,IF($I$25:$CR$25="yes",1,0),$I$23:$CR$23),H302)</f>
        <v>0</v>
      </c>
      <c r="DI302" s="3026"/>
      <c r="DJ302" s="3021"/>
      <c r="DN302" s="917" t="str">
        <f>IF(CS302="","-",SUMIF('Lighting Assumptions'!$G$3:$G$112,'6a - Lighting Counts'!G302,'Lighting Assumptions'!$J$3:$J$112))</f>
        <v>-</v>
      </c>
      <c r="DO302" s="917" t="str">
        <f t="shared" si="90"/>
        <v>-</v>
      </c>
      <c r="DP302" s="917" t="str">
        <f t="shared" si="91"/>
        <v>-</v>
      </c>
      <c r="DQ302" s="917" t="str">
        <f>IF(LEFT(CELLformula(DF302),3)&lt;&gt;"=IF",1,"")</f>
        <v/>
      </c>
      <c r="DR302" s="917" t="str">
        <f>IF(LEFT(CELLformula(DD302),3)&lt;&gt;"=IF",1,"")</f>
        <v/>
      </c>
      <c r="DS302" s="3048">
        <f t="shared" si="100"/>
        <v>0</v>
      </c>
      <c r="DT302" s="3047" t="str">
        <f t="shared" si="101"/>
        <v/>
      </c>
      <c r="DU302" s="3047" t="str">
        <f>IFERROR(IF(G302="","",SUMIF('Lighting Assumptions'!$G$3:$G$112,'6a - Lighting Counts'!G302,'Lighting Assumptions'!$H$3:$H$112)*IF(SI_IP_Units="SI",10.76,1)),"")</f>
        <v/>
      </c>
      <c r="DV302" s="3047" t="str">
        <f>IFERROR(IF($CX302="","",IF(SI_IP_Units="SI",10.76,1)*SUMIF(BAMCategories,$CY302,'Lighting Assumptions'!$E$3:E$35)),"")</f>
        <v/>
      </c>
      <c r="DW302" s="3047" t="str">
        <f>IFERROR(IF($CX302="","",IF(SI_IP_Units="SI",10.76,1)*SUMIF(BAMCategories,$CY302,IF(bpf_reference="ACP",'Lighting Assumptions 90.1-2010'!$E$3:E$35,'Lighting Assumptions 90.1-2016'!$E$3:E$35))),"")</f>
        <v/>
      </c>
      <c r="EW302" s="855"/>
      <c r="EX302" s="855"/>
      <c r="EY302" s="855"/>
      <c r="EZ302" s="855"/>
    </row>
    <row r="303" spans="4:156" x14ac:dyDescent="0.25">
      <c r="D303" s="3019"/>
      <c r="E303" s="3020"/>
      <c r="F303" s="3021">
        <f t="shared" si="88"/>
        <v>0</v>
      </c>
      <c r="G303" s="3059"/>
      <c r="H303" s="3060"/>
      <c r="I303" s="3061"/>
      <c r="J303" s="3061"/>
      <c r="K303" s="3061"/>
      <c r="L303" s="3061"/>
      <c r="M303" s="3061"/>
      <c r="N303" s="3061"/>
      <c r="O303" s="3061"/>
      <c r="P303" s="3061"/>
      <c r="Q303" s="3061"/>
      <c r="R303" s="3061"/>
      <c r="S303" s="3061"/>
      <c r="T303" s="3061"/>
      <c r="U303" s="3061"/>
      <c r="V303" s="3061"/>
      <c r="W303" s="3061"/>
      <c r="X303" s="3061"/>
      <c r="Y303" s="3061"/>
      <c r="Z303" s="3061"/>
      <c r="AA303" s="3061"/>
      <c r="AB303" s="3061"/>
      <c r="AC303" s="3061"/>
      <c r="AD303" s="3061"/>
      <c r="AE303" s="3061"/>
      <c r="AF303" s="3061"/>
      <c r="AG303" s="3061"/>
      <c r="AH303" s="3061"/>
      <c r="AI303" s="3061"/>
      <c r="AJ303" s="3061"/>
      <c r="AK303" s="3061"/>
      <c r="AL303" s="3061"/>
      <c r="AM303" s="3061"/>
      <c r="AN303" s="3061"/>
      <c r="AO303" s="3061"/>
      <c r="AP303" s="3061"/>
      <c r="AQ303" s="3061"/>
      <c r="AR303" s="3061"/>
      <c r="AS303" s="3061"/>
      <c r="AT303" s="3061"/>
      <c r="AU303" s="3061"/>
      <c r="AV303" s="3061"/>
      <c r="AW303" s="3061"/>
      <c r="AX303" s="3061"/>
      <c r="AY303" s="3061"/>
      <c r="AZ303" s="3061"/>
      <c r="BA303" s="3061"/>
      <c r="BB303" s="3061"/>
      <c r="BC303" s="3061"/>
      <c r="BD303" s="3061"/>
      <c r="BE303" s="3061"/>
      <c r="BF303" s="3061"/>
      <c r="BG303" s="3061"/>
      <c r="BH303" s="3061"/>
      <c r="BI303" s="3061"/>
      <c r="BJ303" s="3061"/>
      <c r="BK303" s="3061"/>
      <c r="BL303" s="3061"/>
      <c r="BM303" s="3061"/>
      <c r="BN303" s="3061"/>
      <c r="BO303" s="3061"/>
      <c r="BP303" s="3061"/>
      <c r="BQ303" s="3061"/>
      <c r="BR303" s="3061"/>
      <c r="BS303" s="3061"/>
      <c r="BT303" s="3061"/>
      <c r="BU303" s="3061"/>
      <c r="BV303" s="3061"/>
      <c r="BW303" s="3061"/>
      <c r="BX303" s="3061"/>
      <c r="BY303" s="3061"/>
      <c r="BZ303" s="3061"/>
      <c r="CA303" s="3061"/>
      <c r="CB303" s="3061"/>
      <c r="CC303" s="3061"/>
      <c r="CD303" s="3061"/>
      <c r="CE303" s="3061"/>
      <c r="CF303" s="3061"/>
      <c r="CG303" s="3061"/>
      <c r="CH303" s="3061"/>
      <c r="CI303" s="3061"/>
      <c r="CJ303" s="3061"/>
      <c r="CK303" s="3061"/>
      <c r="CL303" s="3061"/>
      <c r="CM303" s="3061"/>
      <c r="CN303" s="3061"/>
      <c r="CO303" s="3061"/>
      <c r="CP303" s="3061"/>
      <c r="CQ303" s="3061"/>
      <c r="CR303" s="3061"/>
      <c r="CS303" s="3062"/>
      <c r="CT303" s="3063"/>
      <c r="CU303" s="3064">
        <f t="shared" si="92"/>
        <v>1</v>
      </c>
      <c r="CV303" s="3022" t="str">
        <f>IF(OR(CT303="",CT303="None"),"-",DO303*CU303*SUMIF('Lighting Assumptions'!$G$3:$G$112,'6a - Lighting Counts'!G303,'Lighting Assumptions'!$J$3:$J$112))</f>
        <v>-</v>
      </c>
      <c r="CW303" s="3021"/>
      <c r="CX303" s="3021"/>
      <c r="CY303" s="3046"/>
      <c r="CZ303" s="2098">
        <f t="shared" si="93"/>
        <v>0</v>
      </c>
      <c r="DA303" s="2098" t="str">
        <f t="shared" si="94"/>
        <v>-</v>
      </c>
      <c r="DB303" s="2098">
        <f t="shared" si="95"/>
        <v>0</v>
      </c>
      <c r="DC303" s="3023" t="str">
        <f t="shared" si="96"/>
        <v>-</v>
      </c>
      <c r="DD303" s="3024" t="str">
        <f t="shared" si="97"/>
        <v/>
      </c>
      <c r="DE303" s="3025" t="str">
        <f t="shared" si="98"/>
        <v>-</v>
      </c>
      <c r="DF303" s="3024" t="str">
        <f t="shared" si="89"/>
        <v>-</v>
      </c>
      <c r="DG303" s="2098">
        <f t="shared" si="99"/>
        <v>0</v>
      </c>
      <c r="DH303" s="2098">
        <f t="array" ref="DH303">MIN(SUMPRODUCT(I303:CR303,IF($I$25:$CR$25="yes",1,0),$I$23:$CR$23),H303)</f>
        <v>0</v>
      </c>
      <c r="DI303" s="3026"/>
      <c r="DJ303" s="3021"/>
      <c r="DN303" s="917" t="str">
        <f>IF(CS303="","-",SUMIF('Lighting Assumptions'!$G$3:$G$112,'6a - Lighting Counts'!G303,'Lighting Assumptions'!$J$3:$J$112))</f>
        <v>-</v>
      </c>
      <c r="DO303" s="917" t="str">
        <f t="shared" si="90"/>
        <v>-</v>
      </c>
      <c r="DP303" s="917" t="str">
        <f t="shared" si="91"/>
        <v>-</v>
      </c>
      <c r="DQ303" s="917" t="str">
        <f>IF(LEFT(CELLformula(DF303),3)&lt;&gt;"=IF",1,"")</f>
        <v/>
      </c>
      <c r="DR303" s="917" t="str">
        <f>IF(LEFT(CELLformula(DD303),3)&lt;&gt;"=IF",1,"")</f>
        <v/>
      </c>
      <c r="DS303" s="3048">
        <f t="shared" si="100"/>
        <v>0</v>
      </c>
      <c r="DT303" s="3047" t="str">
        <f t="shared" si="101"/>
        <v/>
      </c>
      <c r="DU303" s="3047" t="str">
        <f>IFERROR(IF(G303="","",SUMIF('Lighting Assumptions'!$G$3:$G$112,'6a - Lighting Counts'!G303,'Lighting Assumptions'!$H$3:$H$112)*IF(SI_IP_Units="SI",10.76,1)),"")</f>
        <v/>
      </c>
      <c r="DV303" s="3047" t="str">
        <f>IFERROR(IF($CX303="","",IF(SI_IP_Units="SI",10.76,1)*SUMIF(BAMCategories,$CY303,'Lighting Assumptions'!$E$3:E$35)),"")</f>
        <v/>
      </c>
      <c r="DW303" s="3047" t="str">
        <f>IFERROR(IF($CX303="","",IF(SI_IP_Units="SI",10.76,1)*SUMIF(BAMCategories,$CY303,IF(bpf_reference="ACP",'Lighting Assumptions 90.1-2010'!$E$3:E$35,'Lighting Assumptions 90.1-2016'!$E$3:E$35))),"")</f>
        <v/>
      </c>
      <c r="EW303" s="855"/>
      <c r="EX303" s="855"/>
      <c r="EY303" s="855"/>
      <c r="EZ303" s="855"/>
    </row>
    <row r="304" spans="4:156" x14ac:dyDescent="0.25">
      <c r="D304" s="3019"/>
      <c r="E304" s="3020"/>
      <c r="F304" s="3021">
        <f t="shared" si="88"/>
        <v>0</v>
      </c>
      <c r="G304" s="3059"/>
      <c r="H304" s="3060"/>
      <c r="I304" s="3061"/>
      <c r="J304" s="3061"/>
      <c r="K304" s="3061"/>
      <c r="L304" s="3061"/>
      <c r="M304" s="3061"/>
      <c r="N304" s="3061"/>
      <c r="O304" s="3061"/>
      <c r="P304" s="3061"/>
      <c r="Q304" s="3061"/>
      <c r="R304" s="3061"/>
      <c r="S304" s="3061"/>
      <c r="T304" s="3061"/>
      <c r="U304" s="3061"/>
      <c r="V304" s="3061"/>
      <c r="W304" s="3061"/>
      <c r="X304" s="3061"/>
      <c r="Y304" s="3061"/>
      <c r="Z304" s="3061"/>
      <c r="AA304" s="3061"/>
      <c r="AB304" s="3061"/>
      <c r="AC304" s="3061"/>
      <c r="AD304" s="3061"/>
      <c r="AE304" s="3061"/>
      <c r="AF304" s="3061"/>
      <c r="AG304" s="3061"/>
      <c r="AH304" s="3061"/>
      <c r="AI304" s="3061"/>
      <c r="AJ304" s="3061"/>
      <c r="AK304" s="3061"/>
      <c r="AL304" s="3061"/>
      <c r="AM304" s="3061"/>
      <c r="AN304" s="3061"/>
      <c r="AO304" s="3061"/>
      <c r="AP304" s="3061"/>
      <c r="AQ304" s="3061"/>
      <c r="AR304" s="3061"/>
      <c r="AS304" s="3061"/>
      <c r="AT304" s="3061"/>
      <c r="AU304" s="3061"/>
      <c r="AV304" s="3061"/>
      <c r="AW304" s="3061"/>
      <c r="AX304" s="3061"/>
      <c r="AY304" s="3061"/>
      <c r="AZ304" s="3061"/>
      <c r="BA304" s="3061"/>
      <c r="BB304" s="3061"/>
      <c r="BC304" s="3061"/>
      <c r="BD304" s="3061"/>
      <c r="BE304" s="3061"/>
      <c r="BF304" s="3061"/>
      <c r="BG304" s="3061"/>
      <c r="BH304" s="3061"/>
      <c r="BI304" s="3061"/>
      <c r="BJ304" s="3061"/>
      <c r="BK304" s="3061"/>
      <c r="BL304" s="3061"/>
      <c r="BM304" s="3061"/>
      <c r="BN304" s="3061"/>
      <c r="BO304" s="3061"/>
      <c r="BP304" s="3061"/>
      <c r="BQ304" s="3061"/>
      <c r="BR304" s="3061"/>
      <c r="BS304" s="3061"/>
      <c r="BT304" s="3061"/>
      <c r="BU304" s="3061"/>
      <c r="BV304" s="3061"/>
      <c r="BW304" s="3061"/>
      <c r="BX304" s="3061"/>
      <c r="BY304" s="3061"/>
      <c r="BZ304" s="3061"/>
      <c r="CA304" s="3061"/>
      <c r="CB304" s="3061"/>
      <c r="CC304" s="3061"/>
      <c r="CD304" s="3061"/>
      <c r="CE304" s="3061"/>
      <c r="CF304" s="3061"/>
      <c r="CG304" s="3061"/>
      <c r="CH304" s="3061"/>
      <c r="CI304" s="3061"/>
      <c r="CJ304" s="3061"/>
      <c r="CK304" s="3061"/>
      <c r="CL304" s="3061"/>
      <c r="CM304" s="3061"/>
      <c r="CN304" s="3061"/>
      <c r="CO304" s="3061"/>
      <c r="CP304" s="3061"/>
      <c r="CQ304" s="3061"/>
      <c r="CR304" s="3061"/>
      <c r="CS304" s="3062"/>
      <c r="CT304" s="3063"/>
      <c r="CU304" s="3064">
        <f t="shared" si="92"/>
        <v>1</v>
      </c>
      <c r="CV304" s="3022" t="str">
        <f>IF(OR(CT304="",CT304="None"),"-",DO304*CU304*SUMIF('Lighting Assumptions'!$G$3:$G$112,'6a - Lighting Counts'!G304,'Lighting Assumptions'!$J$3:$J$112))</f>
        <v>-</v>
      </c>
      <c r="CW304" s="3021"/>
      <c r="CX304" s="3021"/>
      <c r="CY304" s="3046"/>
      <c r="CZ304" s="2098">
        <f t="shared" si="93"/>
        <v>0</v>
      </c>
      <c r="DA304" s="2098" t="str">
        <f t="shared" si="94"/>
        <v>-</v>
      </c>
      <c r="DB304" s="2098">
        <f t="shared" si="95"/>
        <v>0</v>
      </c>
      <c r="DC304" s="3023" t="str">
        <f t="shared" si="96"/>
        <v>-</v>
      </c>
      <c r="DD304" s="3024" t="str">
        <f t="shared" si="97"/>
        <v/>
      </c>
      <c r="DE304" s="3025" t="str">
        <f t="shared" si="98"/>
        <v>-</v>
      </c>
      <c r="DF304" s="3024" t="str">
        <f t="shared" si="89"/>
        <v>-</v>
      </c>
      <c r="DG304" s="2098">
        <f t="shared" si="99"/>
        <v>0</v>
      </c>
      <c r="DH304" s="2098">
        <f t="array" ref="DH304">MIN(SUMPRODUCT(I304:CR304,IF($I$25:$CR$25="yes",1,0),$I$23:$CR$23),H304)</f>
        <v>0</v>
      </c>
      <c r="DI304" s="3026"/>
      <c r="DJ304" s="3021"/>
      <c r="DN304" s="917" t="str">
        <f>IF(CS304="","-",SUMIF('Lighting Assumptions'!$G$3:$G$112,'6a - Lighting Counts'!G304,'Lighting Assumptions'!$J$3:$J$112))</f>
        <v>-</v>
      </c>
      <c r="DO304" s="917" t="str">
        <f t="shared" si="90"/>
        <v>-</v>
      </c>
      <c r="DP304" s="917" t="str">
        <f t="shared" si="91"/>
        <v>-</v>
      </c>
      <c r="DQ304" s="917" t="str">
        <f>IF(LEFT(CELLformula(DF304),3)&lt;&gt;"=IF",1,"")</f>
        <v/>
      </c>
      <c r="DR304" s="917" t="str">
        <f>IF(LEFT(CELLformula(DD304),3)&lt;&gt;"=IF",1,"")</f>
        <v/>
      </c>
      <c r="DS304" s="3048">
        <f t="shared" si="100"/>
        <v>0</v>
      </c>
      <c r="DT304" s="3047" t="str">
        <f t="shared" si="101"/>
        <v/>
      </c>
      <c r="DU304" s="3047" t="str">
        <f>IFERROR(IF(G304="","",SUMIF('Lighting Assumptions'!$G$3:$G$112,'6a - Lighting Counts'!G304,'Lighting Assumptions'!$H$3:$H$112)*IF(SI_IP_Units="SI",10.76,1)),"")</f>
        <v/>
      </c>
      <c r="DV304" s="3047" t="str">
        <f>IFERROR(IF($CX304="","",IF(SI_IP_Units="SI",10.76,1)*SUMIF(BAMCategories,$CY304,'Lighting Assumptions'!$E$3:E$35)),"")</f>
        <v/>
      </c>
      <c r="DW304" s="3047" t="str">
        <f>IFERROR(IF($CX304="","",IF(SI_IP_Units="SI",10.76,1)*SUMIF(BAMCategories,$CY304,IF(bpf_reference="ACP",'Lighting Assumptions 90.1-2010'!$E$3:E$35,'Lighting Assumptions 90.1-2016'!$E$3:E$35))),"")</f>
        <v/>
      </c>
      <c r="EW304" s="855"/>
      <c r="EX304" s="855"/>
      <c r="EY304" s="855"/>
      <c r="EZ304" s="855"/>
    </row>
    <row r="305" spans="4:156" x14ac:dyDescent="0.25">
      <c r="D305" s="3019"/>
      <c r="E305" s="3020"/>
      <c r="F305" s="3021">
        <f t="shared" si="88"/>
        <v>0</v>
      </c>
      <c r="G305" s="3059"/>
      <c r="H305" s="3060"/>
      <c r="I305" s="3061"/>
      <c r="J305" s="3061"/>
      <c r="K305" s="3061"/>
      <c r="L305" s="3061"/>
      <c r="M305" s="3061"/>
      <c r="N305" s="3061"/>
      <c r="O305" s="3061"/>
      <c r="P305" s="3061"/>
      <c r="Q305" s="3061"/>
      <c r="R305" s="3061"/>
      <c r="S305" s="3061"/>
      <c r="T305" s="3061"/>
      <c r="U305" s="3061"/>
      <c r="V305" s="3061"/>
      <c r="W305" s="3061"/>
      <c r="X305" s="3061"/>
      <c r="Y305" s="3061"/>
      <c r="Z305" s="3061"/>
      <c r="AA305" s="3061"/>
      <c r="AB305" s="3061"/>
      <c r="AC305" s="3061"/>
      <c r="AD305" s="3061"/>
      <c r="AE305" s="3061"/>
      <c r="AF305" s="3061"/>
      <c r="AG305" s="3061"/>
      <c r="AH305" s="3061"/>
      <c r="AI305" s="3061"/>
      <c r="AJ305" s="3061"/>
      <c r="AK305" s="3061"/>
      <c r="AL305" s="3061"/>
      <c r="AM305" s="3061"/>
      <c r="AN305" s="3061"/>
      <c r="AO305" s="3061"/>
      <c r="AP305" s="3061"/>
      <c r="AQ305" s="3061"/>
      <c r="AR305" s="3061"/>
      <c r="AS305" s="3061"/>
      <c r="AT305" s="3061"/>
      <c r="AU305" s="3061"/>
      <c r="AV305" s="3061"/>
      <c r="AW305" s="3061"/>
      <c r="AX305" s="3061"/>
      <c r="AY305" s="3061"/>
      <c r="AZ305" s="3061"/>
      <c r="BA305" s="3061"/>
      <c r="BB305" s="3061"/>
      <c r="BC305" s="3061"/>
      <c r="BD305" s="3061"/>
      <c r="BE305" s="3061"/>
      <c r="BF305" s="3061"/>
      <c r="BG305" s="3061"/>
      <c r="BH305" s="3061"/>
      <c r="BI305" s="3061"/>
      <c r="BJ305" s="3061"/>
      <c r="BK305" s="3061"/>
      <c r="BL305" s="3061"/>
      <c r="BM305" s="3061"/>
      <c r="BN305" s="3061"/>
      <c r="BO305" s="3061"/>
      <c r="BP305" s="3061"/>
      <c r="BQ305" s="3061"/>
      <c r="BR305" s="3061"/>
      <c r="BS305" s="3061"/>
      <c r="BT305" s="3061"/>
      <c r="BU305" s="3061"/>
      <c r="BV305" s="3061"/>
      <c r="BW305" s="3061"/>
      <c r="BX305" s="3061"/>
      <c r="BY305" s="3061"/>
      <c r="BZ305" s="3061"/>
      <c r="CA305" s="3061"/>
      <c r="CB305" s="3061"/>
      <c r="CC305" s="3061"/>
      <c r="CD305" s="3061"/>
      <c r="CE305" s="3061"/>
      <c r="CF305" s="3061"/>
      <c r="CG305" s="3061"/>
      <c r="CH305" s="3061"/>
      <c r="CI305" s="3061"/>
      <c r="CJ305" s="3061"/>
      <c r="CK305" s="3061"/>
      <c r="CL305" s="3061"/>
      <c r="CM305" s="3061"/>
      <c r="CN305" s="3061"/>
      <c r="CO305" s="3061"/>
      <c r="CP305" s="3061"/>
      <c r="CQ305" s="3061"/>
      <c r="CR305" s="3061"/>
      <c r="CS305" s="3062"/>
      <c r="CT305" s="3063"/>
      <c r="CU305" s="3064">
        <f t="shared" si="92"/>
        <v>1</v>
      </c>
      <c r="CV305" s="3022" t="str">
        <f>IF(OR(CT305="",CT305="None"),"-",DO305*CU305*SUMIF('Lighting Assumptions'!$G$3:$G$112,'6a - Lighting Counts'!G305,'Lighting Assumptions'!$J$3:$J$112))</f>
        <v>-</v>
      </c>
      <c r="CW305" s="3021"/>
      <c r="CX305" s="3021"/>
      <c r="CY305" s="3046"/>
      <c r="CZ305" s="2098">
        <f t="shared" si="93"/>
        <v>0</v>
      </c>
      <c r="DA305" s="2098" t="str">
        <f t="shared" si="94"/>
        <v>-</v>
      </c>
      <c r="DB305" s="2098">
        <f t="shared" si="95"/>
        <v>0</v>
      </c>
      <c r="DC305" s="3023" t="str">
        <f t="shared" si="96"/>
        <v>-</v>
      </c>
      <c r="DD305" s="3024" t="str">
        <f t="shared" si="97"/>
        <v/>
      </c>
      <c r="DE305" s="3025" t="str">
        <f t="shared" si="98"/>
        <v>-</v>
      </c>
      <c r="DF305" s="3024" t="str">
        <f t="shared" si="89"/>
        <v>-</v>
      </c>
      <c r="DG305" s="2098">
        <f t="shared" si="99"/>
        <v>0</v>
      </c>
      <c r="DH305" s="2098">
        <f t="array" ref="DH305">MIN(SUMPRODUCT(I305:CR305,IF($I$25:$CR$25="yes",1,0),$I$23:$CR$23),H305)</f>
        <v>0</v>
      </c>
      <c r="DI305" s="3026"/>
      <c r="DJ305" s="3021"/>
      <c r="DN305" s="917" t="str">
        <f>IF(CS305="","-",SUMIF('Lighting Assumptions'!$G$3:$G$112,'6a - Lighting Counts'!G305,'Lighting Assumptions'!$J$3:$J$112))</f>
        <v>-</v>
      </c>
      <c r="DO305" s="917" t="str">
        <f t="shared" si="90"/>
        <v>-</v>
      </c>
      <c r="DP305" s="917" t="str">
        <f t="shared" si="91"/>
        <v>-</v>
      </c>
      <c r="DQ305" s="917" t="str">
        <f>IF(LEFT(CELLformula(DF305),3)&lt;&gt;"=IF",1,"")</f>
        <v/>
      </c>
      <c r="DR305" s="917" t="str">
        <f>IF(LEFT(CELLformula(DD305),3)&lt;&gt;"=IF",1,"")</f>
        <v/>
      </c>
      <c r="DS305" s="3048">
        <f t="shared" si="100"/>
        <v>0</v>
      </c>
      <c r="DT305" s="3047" t="str">
        <f t="shared" si="101"/>
        <v/>
      </c>
      <c r="DU305" s="3047" t="str">
        <f>IFERROR(IF(G305="","",SUMIF('Lighting Assumptions'!$G$3:$G$112,'6a - Lighting Counts'!G305,'Lighting Assumptions'!$H$3:$H$112)*IF(SI_IP_Units="SI",10.76,1)),"")</f>
        <v/>
      </c>
      <c r="DV305" s="3047" t="str">
        <f>IFERROR(IF($CX305="","",IF(SI_IP_Units="SI",10.76,1)*SUMIF(BAMCategories,$CY305,'Lighting Assumptions'!$E$3:E$35)),"")</f>
        <v/>
      </c>
      <c r="DW305" s="3047" t="str">
        <f>IFERROR(IF($CX305="","",IF(SI_IP_Units="SI",10.76,1)*SUMIF(BAMCategories,$CY305,IF(bpf_reference="ACP",'Lighting Assumptions 90.1-2010'!$E$3:E$35,'Lighting Assumptions 90.1-2016'!$E$3:E$35))),"")</f>
        <v/>
      </c>
      <c r="EW305" s="855"/>
      <c r="EX305" s="855"/>
      <c r="EY305" s="855"/>
      <c r="EZ305" s="855"/>
    </row>
    <row r="306" spans="4:156" x14ac:dyDescent="0.25">
      <c r="D306" s="3019"/>
      <c r="E306" s="3020"/>
      <c r="F306" s="3021">
        <f t="shared" si="88"/>
        <v>0</v>
      </c>
      <c r="G306" s="3059"/>
      <c r="H306" s="3060"/>
      <c r="I306" s="3061"/>
      <c r="J306" s="3061"/>
      <c r="K306" s="3061"/>
      <c r="L306" s="3061"/>
      <c r="M306" s="3061"/>
      <c r="N306" s="3061"/>
      <c r="O306" s="3061"/>
      <c r="P306" s="3061"/>
      <c r="Q306" s="3061"/>
      <c r="R306" s="3061"/>
      <c r="S306" s="3061"/>
      <c r="T306" s="3061"/>
      <c r="U306" s="3061"/>
      <c r="V306" s="3061"/>
      <c r="W306" s="3061"/>
      <c r="X306" s="3061"/>
      <c r="Y306" s="3061"/>
      <c r="Z306" s="3061"/>
      <c r="AA306" s="3061"/>
      <c r="AB306" s="3061"/>
      <c r="AC306" s="3061"/>
      <c r="AD306" s="3061"/>
      <c r="AE306" s="3061"/>
      <c r="AF306" s="3061"/>
      <c r="AG306" s="3061"/>
      <c r="AH306" s="3061"/>
      <c r="AI306" s="3061"/>
      <c r="AJ306" s="3061"/>
      <c r="AK306" s="3061"/>
      <c r="AL306" s="3061"/>
      <c r="AM306" s="3061"/>
      <c r="AN306" s="3061"/>
      <c r="AO306" s="3061"/>
      <c r="AP306" s="3061"/>
      <c r="AQ306" s="3061"/>
      <c r="AR306" s="3061"/>
      <c r="AS306" s="3061"/>
      <c r="AT306" s="3061"/>
      <c r="AU306" s="3061"/>
      <c r="AV306" s="3061"/>
      <c r="AW306" s="3061"/>
      <c r="AX306" s="3061"/>
      <c r="AY306" s="3061"/>
      <c r="AZ306" s="3061"/>
      <c r="BA306" s="3061"/>
      <c r="BB306" s="3061"/>
      <c r="BC306" s="3061"/>
      <c r="BD306" s="3061"/>
      <c r="BE306" s="3061"/>
      <c r="BF306" s="3061"/>
      <c r="BG306" s="3061"/>
      <c r="BH306" s="3061"/>
      <c r="BI306" s="3061"/>
      <c r="BJ306" s="3061"/>
      <c r="BK306" s="3061"/>
      <c r="BL306" s="3061"/>
      <c r="BM306" s="3061"/>
      <c r="BN306" s="3061"/>
      <c r="BO306" s="3061"/>
      <c r="BP306" s="3061"/>
      <c r="BQ306" s="3061"/>
      <c r="BR306" s="3061"/>
      <c r="BS306" s="3061"/>
      <c r="BT306" s="3061"/>
      <c r="BU306" s="3061"/>
      <c r="BV306" s="3061"/>
      <c r="BW306" s="3061"/>
      <c r="BX306" s="3061"/>
      <c r="BY306" s="3061"/>
      <c r="BZ306" s="3061"/>
      <c r="CA306" s="3061"/>
      <c r="CB306" s="3061"/>
      <c r="CC306" s="3061"/>
      <c r="CD306" s="3061"/>
      <c r="CE306" s="3061"/>
      <c r="CF306" s="3061"/>
      <c r="CG306" s="3061"/>
      <c r="CH306" s="3061"/>
      <c r="CI306" s="3061"/>
      <c r="CJ306" s="3061"/>
      <c r="CK306" s="3061"/>
      <c r="CL306" s="3061"/>
      <c r="CM306" s="3061"/>
      <c r="CN306" s="3061"/>
      <c r="CO306" s="3061"/>
      <c r="CP306" s="3061"/>
      <c r="CQ306" s="3061"/>
      <c r="CR306" s="3061"/>
      <c r="CS306" s="3062"/>
      <c r="CT306" s="3063"/>
      <c r="CU306" s="3064">
        <f t="shared" si="92"/>
        <v>1</v>
      </c>
      <c r="CV306" s="3022" t="str">
        <f>IF(OR(CT306="",CT306="None"),"-",DO306*CU306*SUMIF('Lighting Assumptions'!$G$3:$G$112,'6a - Lighting Counts'!G306,'Lighting Assumptions'!$J$3:$J$112))</f>
        <v>-</v>
      </c>
      <c r="CW306" s="3021"/>
      <c r="CX306" s="3021"/>
      <c r="CY306" s="3046"/>
      <c r="CZ306" s="2098">
        <f t="shared" si="93"/>
        <v>0</v>
      </c>
      <c r="DA306" s="2098" t="str">
        <f t="shared" si="94"/>
        <v>-</v>
      </c>
      <c r="DB306" s="2098">
        <f t="shared" si="95"/>
        <v>0</v>
      </c>
      <c r="DC306" s="3023" t="str">
        <f t="shared" si="96"/>
        <v>-</v>
      </c>
      <c r="DD306" s="3024" t="str">
        <f t="shared" si="97"/>
        <v/>
      </c>
      <c r="DE306" s="3025" t="str">
        <f t="shared" si="98"/>
        <v>-</v>
      </c>
      <c r="DF306" s="3024" t="str">
        <f t="shared" si="89"/>
        <v>-</v>
      </c>
      <c r="DG306" s="2098">
        <f t="shared" si="99"/>
        <v>0</v>
      </c>
      <c r="DH306" s="2098">
        <f t="array" ref="DH306">MIN(SUMPRODUCT(I306:CR306,IF($I$25:$CR$25="yes",1,0),$I$23:$CR$23),H306)</f>
        <v>0</v>
      </c>
      <c r="DI306" s="3026"/>
      <c r="DJ306" s="3021"/>
      <c r="DN306" s="917" t="str">
        <f>IF(CS306="","-",SUMIF('Lighting Assumptions'!$G$3:$G$112,'6a - Lighting Counts'!G306,'Lighting Assumptions'!$J$3:$J$112))</f>
        <v>-</v>
      </c>
      <c r="DO306" s="917" t="str">
        <f t="shared" si="90"/>
        <v>-</v>
      </c>
      <c r="DP306" s="917" t="str">
        <f t="shared" si="91"/>
        <v>-</v>
      </c>
      <c r="DQ306" s="917" t="str">
        <f>IF(LEFT(CELLformula(DF306),3)&lt;&gt;"=IF",1,"")</f>
        <v/>
      </c>
      <c r="DR306" s="917" t="str">
        <f>IF(LEFT(CELLformula(DD306),3)&lt;&gt;"=IF",1,"")</f>
        <v/>
      </c>
      <c r="DS306" s="3048">
        <f t="shared" si="100"/>
        <v>0</v>
      </c>
      <c r="DT306" s="3047" t="str">
        <f t="shared" si="101"/>
        <v/>
      </c>
      <c r="DU306" s="3047" t="str">
        <f>IFERROR(IF(G306="","",SUMIF('Lighting Assumptions'!$G$3:$G$112,'6a - Lighting Counts'!G306,'Lighting Assumptions'!$H$3:$H$112)*IF(SI_IP_Units="SI",10.76,1)),"")</f>
        <v/>
      </c>
      <c r="DV306" s="3047" t="str">
        <f>IFERROR(IF($CX306="","",IF(SI_IP_Units="SI",10.76,1)*SUMIF(BAMCategories,$CY306,'Lighting Assumptions'!$E$3:E$35)),"")</f>
        <v/>
      </c>
      <c r="DW306" s="3047" t="str">
        <f>IFERROR(IF($CX306="","",IF(SI_IP_Units="SI",10.76,1)*SUMIF(BAMCategories,$CY306,IF(bpf_reference="ACP",'Lighting Assumptions 90.1-2010'!$E$3:E$35,'Lighting Assumptions 90.1-2016'!$E$3:E$35))),"")</f>
        <v/>
      </c>
      <c r="EW306" s="855"/>
      <c r="EX306" s="855"/>
      <c r="EY306" s="855"/>
      <c r="EZ306" s="855"/>
    </row>
    <row r="307" spans="4:156" x14ac:dyDescent="0.25">
      <c r="D307" s="3019"/>
      <c r="E307" s="3020"/>
      <c r="F307" s="3021">
        <f t="shared" si="88"/>
        <v>0</v>
      </c>
      <c r="G307" s="3059"/>
      <c r="H307" s="3060"/>
      <c r="I307" s="3061"/>
      <c r="J307" s="3061"/>
      <c r="K307" s="3061"/>
      <c r="L307" s="3061"/>
      <c r="M307" s="3061"/>
      <c r="N307" s="3061"/>
      <c r="O307" s="3061"/>
      <c r="P307" s="3061"/>
      <c r="Q307" s="3061"/>
      <c r="R307" s="3061"/>
      <c r="S307" s="3061"/>
      <c r="T307" s="3061"/>
      <c r="U307" s="3061"/>
      <c r="V307" s="3061"/>
      <c r="W307" s="3061"/>
      <c r="X307" s="3061"/>
      <c r="Y307" s="3061"/>
      <c r="Z307" s="3061"/>
      <c r="AA307" s="3061"/>
      <c r="AB307" s="3061"/>
      <c r="AC307" s="3061"/>
      <c r="AD307" s="3061"/>
      <c r="AE307" s="3061"/>
      <c r="AF307" s="3061"/>
      <c r="AG307" s="3061"/>
      <c r="AH307" s="3061"/>
      <c r="AI307" s="3061"/>
      <c r="AJ307" s="3061"/>
      <c r="AK307" s="3061"/>
      <c r="AL307" s="3061"/>
      <c r="AM307" s="3061"/>
      <c r="AN307" s="3061"/>
      <c r="AO307" s="3061"/>
      <c r="AP307" s="3061"/>
      <c r="AQ307" s="3061"/>
      <c r="AR307" s="3061"/>
      <c r="AS307" s="3061"/>
      <c r="AT307" s="3061"/>
      <c r="AU307" s="3061"/>
      <c r="AV307" s="3061"/>
      <c r="AW307" s="3061"/>
      <c r="AX307" s="3061"/>
      <c r="AY307" s="3061"/>
      <c r="AZ307" s="3061"/>
      <c r="BA307" s="3061"/>
      <c r="BB307" s="3061"/>
      <c r="BC307" s="3061"/>
      <c r="BD307" s="3061"/>
      <c r="BE307" s="3061"/>
      <c r="BF307" s="3061"/>
      <c r="BG307" s="3061"/>
      <c r="BH307" s="3061"/>
      <c r="BI307" s="3061"/>
      <c r="BJ307" s="3061"/>
      <c r="BK307" s="3061"/>
      <c r="BL307" s="3061"/>
      <c r="BM307" s="3061"/>
      <c r="BN307" s="3061"/>
      <c r="BO307" s="3061"/>
      <c r="BP307" s="3061"/>
      <c r="BQ307" s="3061"/>
      <c r="BR307" s="3061"/>
      <c r="BS307" s="3061"/>
      <c r="BT307" s="3061"/>
      <c r="BU307" s="3061"/>
      <c r="BV307" s="3061"/>
      <c r="BW307" s="3061"/>
      <c r="BX307" s="3061"/>
      <c r="BY307" s="3061"/>
      <c r="BZ307" s="3061"/>
      <c r="CA307" s="3061"/>
      <c r="CB307" s="3061"/>
      <c r="CC307" s="3061"/>
      <c r="CD307" s="3061"/>
      <c r="CE307" s="3061"/>
      <c r="CF307" s="3061"/>
      <c r="CG307" s="3061"/>
      <c r="CH307" s="3061"/>
      <c r="CI307" s="3061"/>
      <c r="CJ307" s="3061"/>
      <c r="CK307" s="3061"/>
      <c r="CL307" s="3061"/>
      <c r="CM307" s="3061"/>
      <c r="CN307" s="3061"/>
      <c r="CO307" s="3061"/>
      <c r="CP307" s="3061"/>
      <c r="CQ307" s="3061"/>
      <c r="CR307" s="3061"/>
      <c r="CS307" s="3062"/>
      <c r="CT307" s="3063"/>
      <c r="CU307" s="3064">
        <f t="shared" si="92"/>
        <v>1</v>
      </c>
      <c r="CV307" s="3022" t="str">
        <f>IF(OR(CT307="",CT307="None"),"-",DO307*CU307*SUMIF('Lighting Assumptions'!$G$3:$G$112,'6a - Lighting Counts'!G307,'Lighting Assumptions'!$J$3:$J$112))</f>
        <v>-</v>
      </c>
      <c r="CW307" s="3021"/>
      <c r="CX307" s="3021"/>
      <c r="CY307" s="3046"/>
      <c r="CZ307" s="2098">
        <f t="shared" si="93"/>
        <v>0</v>
      </c>
      <c r="DA307" s="2098" t="str">
        <f t="shared" si="94"/>
        <v>-</v>
      </c>
      <c r="DB307" s="2098">
        <f t="shared" si="95"/>
        <v>0</v>
      </c>
      <c r="DC307" s="3023" t="str">
        <f t="shared" si="96"/>
        <v>-</v>
      </c>
      <c r="DD307" s="3024" t="str">
        <f t="shared" si="97"/>
        <v/>
      </c>
      <c r="DE307" s="3025" t="str">
        <f t="shared" si="98"/>
        <v>-</v>
      </c>
      <c r="DF307" s="3024" t="str">
        <f t="shared" si="89"/>
        <v>-</v>
      </c>
      <c r="DG307" s="2098">
        <f t="shared" si="99"/>
        <v>0</v>
      </c>
      <c r="DH307" s="2098">
        <f t="array" ref="DH307">MIN(SUMPRODUCT(I307:CR307,IF($I$25:$CR$25="yes",1,0),$I$23:$CR$23),H307)</f>
        <v>0</v>
      </c>
      <c r="DI307" s="3026"/>
      <c r="DJ307" s="3021"/>
      <c r="DN307" s="917" t="str">
        <f>IF(CS307="","-",SUMIF('Lighting Assumptions'!$G$3:$G$112,'6a - Lighting Counts'!G307,'Lighting Assumptions'!$J$3:$J$112))</f>
        <v>-</v>
      </c>
      <c r="DO307" s="917" t="str">
        <f t="shared" si="90"/>
        <v>-</v>
      </c>
      <c r="DP307" s="917" t="str">
        <f t="shared" si="91"/>
        <v>-</v>
      </c>
      <c r="DQ307" s="917" t="str">
        <f>IF(LEFT(CELLformula(DF307),3)&lt;&gt;"=IF",1,"")</f>
        <v/>
      </c>
      <c r="DR307" s="917" t="str">
        <f>IF(LEFT(CELLformula(DD307),3)&lt;&gt;"=IF",1,"")</f>
        <v/>
      </c>
      <c r="DS307" s="3048">
        <f t="shared" si="100"/>
        <v>0</v>
      </c>
      <c r="DT307" s="3047" t="str">
        <f t="shared" si="101"/>
        <v/>
      </c>
      <c r="DU307" s="3047" t="str">
        <f>IFERROR(IF(G307="","",SUMIF('Lighting Assumptions'!$G$3:$G$112,'6a - Lighting Counts'!G307,'Lighting Assumptions'!$H$3:$H$112)*IF(SI_IP_Units="SI",10.76,1)),"")</f>
        <v/>
      </c>
      <c r="DV307" s="3047" t="str">
        <f>IFERROR(IF($CX307="","",IF(SI_IP_Units="SI",10.76,1)*SUMIF(BAMCategories,$CY307,'Lighting Assumptions'!$E$3:E$35)),"")</f>
        <v/>
      </c>
      <c r="DW307" s="3047" t="str">
        <f>IFERROR(IF($CX307="","",IF(SI_IP_Units="SI",10.76,1)*SUMIF(BAMCategories,$CY307,IF(bpf_reference="ACP",'Lighting Assumptions 90.1-2010'!$E$3:E$35,'Lighting Assumptions 90.1-2016'!$E$3:E$35))),"")</f>
        <v/>
      </c>
      <c r="EW307" s="855"/>
      <c r="EX307" s="855"/>
      <c r="EY307" s="855"/>
      <c r="EZ307" s="855"/>
    </row>
    <row r="308" spans="4:156" x14ac:dyDescent="0.25">
      <c r="D308" s="3019"/>
      <c r="E308" s="3020"/>
      <c r="F308" s="3021">
        <f t="shared" si="88"/>
        <v>0</v>
      </c>
      <c r="G308" s="3059"/>
      <c r="H308" s="3060"/>
      <c r="I308" s="3061"/>
      <c r="J308" s="3061"/>
      <c r="K308" s="3061"/>
      <c r="L308" s="3061"/>
      <c r="M308" s="3061"/>
      <c r="N308" s="3061"/>
      <c r="O308" s="3061"/>
      <c r="P308" s="3061"/>
      <c r="Q308" s="3061"/>
      <c r="R308" s="3061"/>
      <c r="S308" s="3061"/>
      <c r="T308" s="3061"/>
      <c r="U308" s="3061"/>
      <c r="V308" s="3061"/>
      <c r="W308" s="3061"/>
      <c r="X308" s="3061"/>
      <c r="Y308" s="3061"/>
      <c r="Z308" s="3061"/>
      <c r="AA308" s="3061"/>
      <c r="AB308" s="3061"/>
      <c r="AC308" s="3061"/>
      <c r="AD308" s="3061"/>
      <c r="AE308" s="3061"/>
      <c r="AF308" s="3061"/>
      <c r="AG308" s="3061"/>
      <c r="AH308" s="3061"/>
      <c r="AI308" s="3061"/>
      <c r="AJ308" s="3061"/>
      <c r="AK308" s="3061"/>
      <c r="AL308" s="3061"/>
      <c r="AM308" s="3061"/>
      <c r="AN308" s="3061"/>
      <c r="AO308" s="3061"/>
      <c r="AP308" s="3061"/>
      <c r="AQ308" s="3061"/>
      <c r="AR308" s="3061"/>
      <c r="AS308" s="3061"/>
      <c r="AT308" s="3061"/>
      <c r="AU308" s="3061"/>
      <c r="AV308" s="3061"/>
      <c r="AW308" s="3061"/>
      <c r="AX308" s="3061"/>
      <c r="AY308" s="3061"/>
      <c r="AZ308" s="3061"/>
      <c r="BA308" s="3061"/>
      <c r="BB308" s="3061"/>
      <c r="BC308" s="3061"/>
      <c r="BD308" s="3061"/>
      <c r="BE308" s="3061"/>
      <c r="BF308" s="3061"/>
      <c r="BG308" s="3061"/>
      <c r="BH308" s="3061"/>
      <c r="BI308" s="3061"/>
      <c r="BJ308" s="3061"/>
      <c r="BK308" s="3061"/>
      <c r="BL308" s="3061"/>
      <c r="BM308" s="3061"/>
      <c r="BN308" s="3061"/>
      <c r="BO308" s="3061"/>
      <c r="BP308" s="3061"/>
      <c r="BQ308" s="3061"/>
      <c r="BR308" s="3061"/>
      <c r="BS308" s="3061"/>
      <c r="BT308" s="3061"/>
      <c r="BU308" s="3061"/>
      <c r="BV308" s="3061"/>
      <c r="BW308" s="3061"/>
      <c r="BX308" s="3061"/>
      <c r="BY308" s="3061"/>
      <c r="BZ308" s="3061"/>
      <c r="CA308" s="3061"/>
      <c r="CB308" s="3061"/>
      <c r="CC308" s="3061"/>
      <c r="CD308" s="3061"/>
      <c r="CE308" s="3061"/>
      <c r="CF308" s="3061"/>
      <c r="CG308" s="3061"/>
      <c r="CH308" s="3061"/>
      <c r="CI308" s="3061"/>
      <c r="CJ308" s="3061"/>
      <c r="CK308" s="3061"/>
      <c r="CL308" s="3061"/>
      <c r="CM308" s="3061"/>
      <c r="CN308" s="3061"/>
      <c r="CO308" s="3061"/>
      <c r="CP308" s="3061"/>
      <c r="CQ308" s="3061"/>
      <c r="CR308" s="3061"/>
      <c r="CS308" s="3062"/>
      <c r="CT308" s="3063"/>
      <c r="CU308" s="3064">
        <f t="shared" si="92"/>
        <v>1</v>
      </c>
      <c r="CV308" s="3022" t="str">
        <f>IF(OR(CT308="",CT308="None"),"-",DO308*CU308*SUMIF('Lighting Assumptions'!$G$3:$G$112,'6a - Lighting Counts'!G308,'Lighting Assumptions'!$J$3:$J$112))</f>
        <v>-</v>
      </c>
      <c r="CW308" s="3021"/>
      <c r="CX308" s="3021"/>
      <c r="CY308" s="3046"/>
      <c r="CZ308" s="2098">
        <f t="shared" si="93"/>
        <v>0</v>
      </c>
      <c r="DA308" s="2098" t="str">
        <f t="shared" si="94"/>
        <v>-</v>
      </c>
      <c r="DB308" s="2098">
        <f t="shared" si="95"/>
        <v>0</v>
      </c>
      <c r="DC308" s="3023" t="str">
        <f t="shared" si="96"/>
        <v>-</v>
      </c>
      <c r="DD308" s="3024" t="str">
        <f t="shared" si="97"/>
        <v/>
      </c>
      <c r="DE308" s="3025" t="str">
        <f t="shared" si="98"/>
        <v>-</v>
      </c>
      <c r="DF308" s="3024" t="str">
        <f t="shared" si="89"/>
        <v>-</v>
      </c>
      <c r="DG308" s="2098">
        <f t="shared" si="99"/>
        <v>0</v>
      </c>
      <c r="DH308" s="2098">
        <f t="array" ref="DH308">MIN(SUMPRODUCT(I308:CR308,IF($I$25:$CR$25="yes",1,0),$I$23:$CR$23),H308)</f>
        <v>0</v>
      </c>
      <c r="DI308" s="3026"/>
      <c r="DJ308" s="3021"/>
      <c r="DN308" s="917" t="str">
        <f>IF(CS308="","-",SUMIF('Lighting Assumptions'!$G$3:$G$112,'6a - Lighting Counts'!G308,'Lighting Assumptions'!$J$3:$J$112))</f>
        <v>-</v>
      </c>
      <c r="DO308" s="917" t="str">
        <f t="shared" si="90"/>
        <v>-</v>
      </c>
      <c r="DP308" s="917" t="str">
        <f t="shared" si="91"/>
        <v>-</v>
      </c>
      <c r="DQ308" s="917" t="str">
        <f>IF(LEFT(CELLformula(DF308),3)&lt;&gt;"=IF",1,"")</f>
        <v/>
      </c>
      <c r="DR308" s="917" t="str">
        <f>IF(LEFT(CELLformula(DD308),3)&lt;&gt;"=IF",1,"")</f>
        <v/>
      </c>
      <c r="DS308" s="3048">
        <f t="shared" si="100"/>
        <v>0</v>
      </c>
      <c r="DT308" s="3047" t="str">
        <f t="shared" si="101"/>
        <v/>
      </c>
      <c r="DU308" s="3047" t="str">
        <f>IFERROR(IF(G308="","",SUMIF('Lighting Assumptions'!$G$3:$G$112,'6a - Lighting Counts'!G308,'Lighting Assumptions'!$H$3:$H$112)*IF(SI_IP_Units="SI",10.76,1)),"")</f>
        <v/>
      </c>
      <c r="DV308" s="3047" t="str">
        <f>IFERROR(IF($CX308="","",IF(SI_IP_Units="SI",10.76,1)*SUMIF(BAMCategories,$CY308,'Lighting Assumptions'!$E$3:E$35)),"")</f>
        <v/>
      </c>
      <c r="DW308" s="3047" t="str">
        <f>IFERROR(IF($CX308="","",IF(SI_IP_Units="SI",10.76,1)*SUMIF(BAMCategories,$CY308,IF(bpf_reference="ACP",'Lighting Assumptions 90.1-2010'!$E$3:E$35,'Lighting Assumptions 90.1-2016'!$E$3:E$35))),"")</f>
        <v/>
      </c>
      <c r="EW308" s="855"/>
      <c r="EX308" s="855"/>
      <c r="EY308" s="855"/>
      <c r="EZ308" s="855"/>
    </row>
    <row r="309" spans="4:156" x14ac:dyDescent="0.25">
      <c r="D309" s="3019"/>
      <c r="E309" s="3020"/>
      <c r="F309" s="3021">
        <f t="shared" si="88"/>
        <v>0</v>
      </c>
      <c r="G309" s="3059"/>
      <c r="H309" s="3060"/>
      <c r="I309" s="3061"/>
      <c r="J309" s="3061"/>
      <c r="K309" s="3061"/>
      <c r="L309" s="3061"/>
      <c r="M309" s="3061"/>
      <c r="N309" s="3061"/>
      <c r="O309" s="3061"/>
      <c r="P309" s="3061"/>
      <c r="Q309" s="3061"/>
      <c r="R309" s="3061"/>
      <c r="S309" s="3061"/>
      <c r="T309" s="3061"/>
      <c r="U309" s="3061"/>
      <c r="V309" s="3061"/>
      <c r="W309" s="3061"/>
      <c r="X309" s="3061"/>
      <c r="Y309" s="3061"/>
      <c r="Z309" s="3061"/>
      <c r="AA309" s="3061"/>
      <c r="AB309" s="3061"/>
      <c r="AC309" s="3061"/>
      <c r="AD309" s="3061"/>
      <c r="AE309" s="3061"/>
      <c r="AF309" s="3061"/>
      <c r="AG309" s="3061"/>
      <c r="AH309" s="3061"/>
      <c r="AI309" s="3061"/>
      <c r="AJ309" s="3061"/>
      <c r="AK309" s="3061"/>
      <c r="AL309" s="3061"/>
      <c r="AM309" s="3061"/>
      <c r="AN309" s="3061"/>
      <c r="AO309" s="3061"/>
      <c r="AP309" s="3061"/>
      <c r="AQ309" s="3061"/>
      <c r="AR309" s="3061"/>
      <c r="AS309" s="3061"/>
      <c r="AT309" s="3061"/>
      <c r="AU309" s="3061"/>
      <c r="AV309" s="3061"/>
      <c r="AW309" s="3061"/>
      <c r="AX309" s="3061"/>
      <c r="AY309" s="3061"/>
      <c r="AZ309" s="3061"/>
      <c r="BA309" s="3061"/>
      <c r="BB309" s="3061"/>
      <c r="BC309" s="3061"/>
      <c r="BD309" s="3061"/>
      <c r="BE309" s="3061"/>
      <c r="BF309" s="3061"/>
      <c r="BG309" s="3061"/>
      <c r="BH309" s="3061"/>
      <c r="BI309" s="3061"/>
      <c r="BJ309" s="3061"/>
      <c r="BK309" s="3061"/>
      <c r="BL309" s="3061"/>
      <c r="BM309" s="3061"/>
      <c r="BN309" s="3061"/>
      <c r="BO309" s="3061"/>
      <c r="BP309" s="3061"/>
      <c r="BQ309" s="3061"/>
      <c r="BR309" s="3061"/>
      <c r="BS309" s="3061"/>
      <c r="BT309" s="3061"/>
      <c r="BU309" s="3061"/>
      <c r="BV309" s="3061"/>
      <c r="BW309" s="3061"/>
      <c r="BX309" s="3061"/>
      <c r="BY309" s="3061"/>
      <c r="BZ309" s="3061"/>
      <c r="CA309" s="3061"/>
      <c r="CB309" s="3061"/>
      <c r="CC309" s="3061"/>
      <c r="CD309" s="3061"/>
      <c r="CE309" s="3061"/>
      <c r="CF309" s="3061"/>
      <c r="CG309" s="3061"/>
      <c r="CH309" s="3061"/>
      <c r="CI309" s="3061"/>
      <c r="CJ309" s="3061"/>
      <c r="CK309" s="3061"/>
      <c r="CL309" s="3061"/>
      <c r="CM309" s="3061"/>
      <c r="CN309" s="3061"/>
      <c r="CO309" s="3061"/>
      <c r="CP309" s="3061"/>
      <c r="CQ309" s="3061"/>
      <c r="CR309" s="3061"/>
      <c r="CS309" s="3062"/>
      <c r="CT309" s="3063"/>
      <c r="CU309" s="3064">
        <f t="shared" si="92"/>
        <v>1</v>
      </c>
      <c r="CV309" s="3022" t="str">
        <f>IF(OR(CT309="",CT309="None"),"-",DO309*CU309*SUMIF('Lighting Assumptions'!$G$3:$G$112,'6a - Lighting Counts'!G309,'Lighting Assumptions'!$J$3:$J$112))</f>
        <v>-</v>
      </c>
      <c r="CW309" s="3021"/>
      <c r="CX309" s="3021"/>
      <c r="CY309" s="3046"/>
      <c r="CZ309" s="2098">
        <f t="shared" si="93"/>
        <v>0</v>
      </c>
      <c r="DA309" s="2098" t="str">
        <f t="shared" si="94"/>
        <v>-</v>
      </c>
      <c r="DB309" s="2098">
        <f t="shared" si="95"/>
        <v>0</v>
      </c>
      <c r="DC309" s="3023" t="str">
        <f t="shared" si="96"/>
        <v>-</v>
      </c>
      <c r="DD309" s="3024" t="str">
        <f t="shared" si="97"/>
        <v/>
      </c>
      <c r="DE309" s="3025" t="str">
        <f t="shared" si="98"/>
        <v>-</v>
      </c>
      <c r="DF309" s="3024" t="str">
        <f t="shared" si="89"/>
        <v>-</v>
      </c>
      <c r="DG309" s="2098">
        <f t="shared" si="99"/>
        <v>0</v>
      </c>
      <c r="DH309" s="2098">
        <f t="array" ref="DH309">MIN(SUMPRODUCT(I309:CR309,IF($I$25:$CR$25="yes",1,0),$I$23:$CR$23),H309)</f>
        <v>0</v>
      </c>
      <c r="DI309" s="3026"/>
      <c r="DJ309" s="3021"/>
      <c r="DN309" s="917" t="str">
        <f>IF(CS309="","-",SUMIF('Lighting Assumptions'!$G$3:$G$112,'6a - Lighting Counts'!G309,'Lighting Assumptions'!$J$3:$J$112))</f>
        <v>-</v>
      </c>
      <c r="DO309" s="917" t="str">
        <f t="shared" si="90"/>
        <v>-</v>
      </c>
      <c r="DP309" s="917" t="str">
        <f t="shared" si="91"/>
        <v>-</v>
      </c>
      <c r="DQ309" s="917" t="str">
        <f>IF(LEFT(CELLformula(DF309),3)&lt;&gt;"=IF",1,"")</f>
        <v/>
      </c>
      <c r="DR309" s="917" t="str">
        <f>IF(LEFT(CELLformula(DD309),3)&lt;&gt;"=IF",1,"")</f>
        <v/>
      </c>
      <c r="DS309" s="3048">
        <f t="shared" si="100"/>
        <v>0</v>
      </c>
      <c r="DT309" s="3047" t="str">
        <f t="shared" si="101"/>
        <v/>
      </c>
      <c r="DU309" s="3047" t="str">
        <f>IFERROR(IF(G309="","",SUMIF('Lighting Assumptions'!$G$3:$G$112,'6a - Lighting Counts'!G309,'Lighting Assumptions'!$H$3:$H$112)*IF(SI_IP_Units="SI",10.76,1)),"")</f>
        <v/>
      </c>
      <c r="DV309" s="3047" t="str">
        <f>IFERROR(IF($CX309="","",IF(SI_IP_Units="SI",10.76,1)*SUMIF(BAMCategories,$CY309,'Lighting Assumptions'!$E$3:E$35)),"")</f>
        <v/>
      </c>
      <c r="DW309" s="3047" t="str">
        <f>IFERROR(IF($CX309="","",IF(SI_IP_Units="SI",10.76,1)*SUMIF(BAMCategories,$CY309,IF(bpf_reference="ACP",'Lighting Assumptions 90.1-2010'!$E$3:E$35,'Lighting Assumptions 90.1-2016'!$E$3:E$35))),"")</f>
        <v/>
      </c>
      <c r="EW309" s="855"/>
      <c r="EX309" s="855"/>
      <c r="EY309" s="855"/>
      <c r="EZ309" s="855"/>
    </row>
    <row r="310" spans="4:156" x14ac:dyDescent="0.25">
      <c r="D310" s="3019"/>
      <c r="E310" s="3020"/>
      <c r="F310" s="3021">
        <f t="shared" si="88"/>
        <v>0</v>
      </c>
      <c r="G310" s="3059"/>
      <c r="H310" s="3060"/>
      <c r="I310" s="3061"/>
      <c r="J310" s="3061"/>
      <c r="K310" s="3061"/>
      <c r="L310" s="3061"/>
      <c r="M310" s="3061"/>
      <c r="N310" s="3061"/>
      <c r="O310" s="3061"/>
      <c r="P310" s="3061"/>
      <c r="Q310" s="3061"/>
      <c r="R310" s="3061"/>
      <c r="S310" s="3061"/>
      <c r="T310" s="3061"/>
      <c r="U310" s="3061"/>
      <c r="V310" s="3061"/>
      <c r="W310" s="3061"/>
      <c r="X310" s="3061"/>
      <c r="Y310" s="3061"/>
      <c r="Z310" s="3061"/>
      <c r="AA310" s="3061"/>
      <c r="AB310" s="3061"/>
      <c r="AC310" s="3061"/>
      <c r="AD310" s="3061"/>
      <c r="AE310" s="3061"/>
      <c r="AF310" s="3061"/>
      <c r="AG310" s="3061"/>
      <c r="AH310" s="3061"/>
      <c r="AI310" s="3061"/>
      <c r="AJ310" s="3061"/>
      <c r="AK310" s="3061"/>
      <c r="AL310" s="3061"/>
      <c r="AM310" s="3061"/>
      <c r="AN310" s="3061"/>
      <c r="AO310" s="3061"/>
      <c r="AP310" s="3061"/>
      <c r="AQ310" s="3061"/>
      <c r="AR310" s="3061"/>
      <c r="AS310" s="3061"/>
      <c r="AT310" s="3061"/>
      <c r="AU310" s="3061"/>
      <c r="AV310" s="3061"/>
      <c r="AW310" s="3061"/>
      <c r="AX310" s="3061"/>
      <c r="AY310" s="3061"/>
      <c r="AZ310" s="3061"/>
      <c r="BA310" s="3061"/>
      <c r="BB310" s="3061"/>
      <c r="BC310" s="3061"/>
      <c r="BD310" s="3061"/>
      <c r="BE310" s="3061"/>
      <c r="BF310" s="3061"/>
      <c r="BG310" s="3061"/>
      <c r="BH310" s="3061"/>
      <c r="BI310" s="3061"/>
      <c r="BJ310" s="3061"/>
      <c r="BK310" s="3061"/>
      <c r="BL310" s="3061"/>
      <c r="BM310" s="3061"/>
      <c r="BN310" s="3061"/>
      <c r="BO310" s="3061"/>
      <c r="BP310" s="3061"/>
      <c r="BQ310" s="3061"/>
      <c r="BR310" s="3061"/>
      <c r="BS310" s="3061"/>
      <c r="BT310" s="3061"/>
      <c r="BU310" s="3061"/>
      <c r="BV310" s="3061"/>
      <c r="BW310" s="3061"/>
      <c r="BX310" s="3061"/>
      <c r="BY310" s="3061"/>
      <c r="BZ310" s="3061"/>
      <c r="CA310" s="3061"/>
      <c r="CB310" s="3061"/>
      <c r="CC310" s="3061"/>
      <c r="CD310" s="3061"/>
      <c r="CE310" s="3061"/>
      <c r="CF310" s="3061"/>
      <c r="CG310" s="3061"/>
      <c r="CH310" s="3061"/>
      <c r="CI310" s="3061"/>
      <c r="CJ310" s="3061"/>
      <c r="CK310" s="3061"/>
      <c r="CL310" s="3061"/>
      <c r="CM310" s="3061"/>
      <c r="CN310" s="3061"/>
      <c r="CO310" s="3061"/>
      <c r="CP310" s="3061"/>
      <c r="CQ310" s="3061"/>
      <c r="CR310" s="3061"/>
      <c r="CS310" s="3062"/>
      <c r="CT310" s="3063"/>
      <c r="CU310" s="3064">
        <f t="shared" si="92"/>
        <v>1</v>
      </c>
      <c r="CV310" s="3022" t="str">
        <f>IF(OR(CT310="",CT310="None"),"-",DO310*CU310*SUMIF('Lighting Assumptions'!$G$3:$G$112,'6a - Lighting Counts'!G310,'Lighting Assumptions'!$J$3:$J$112))</f>
        <v>-</v>
      </c>
      <c r="CW310" s="3021"/>
      <c r="CX310" s="3021"/>
      <c r="CY310" s="3046"/>
      <c r="CZ310" s="2098">
        <f t="shared" si="93"/>
        <v>0</v>
      </c>
      <c r="DA310" s="2098" t="str">
        <f t="shared" si="94"/>
        <v>-</v>
      </c>
      <c r="DB310" s="2098">
        <f t="shared" si="95"/>
        <v>0</v>
      </c>
      <c r="DC310" s="3023" t="str">
        <f t="shared" si="96"/>
        <v>-</v>
      </c>
      <c r="DD310" s="3024" t="str">
        <f t="shared" si="97"/>
        <v/>
      </c>
      <c r="DE310" s="3025" t="str">
        <f t="shared" si="98"/>
        <v>-</v>
      </c>
      <c r="DF310" s="3024" t="str">
        <f t="shared" si="89"/>
        <v>-</v>
      </c>
      <c r="DG310" s="2098">
        <f t="shared" si="99"/>
        <v>0</v>
      </c>
      <c r="DH310" s="2098">
        <f t="array" ref="DH310">MIN(SUMPRODUCT(I310:CR310,IF($I$25:$CR$25="yes",1,0),$I$23:$CR$23),H310)</f>
        <v>0</v>
      </c>
      <c r="DI310" s="3026"/>
      <c r="DJ310" s="3021"/>
      <c r="DN310" s="917" t="str">
        <f>IF(CS310="","-",SUMIF('Lighting Assumptions'!$G$3:$G$112,'6a - Lighting Counts'!G310,'Lighting Assumptions'!$J$3:$J$112))</f>
        <v>-</v>
      </c>
      <c r="DO310" s="917" t="str">
        <f t="shared" si="90"/>
        <v>-</v>
      </c>
      <c r="DP310" s="917" t="str">
        <f t="shared" si="91"/>
        <v>-</v>
      </c>
      <c r="DQ310" s="917" t="str">
        <f>IF(LEFT(CELLformula(DF310),3)&lt;&gt;"=IF",1,"")</f>
        <v/>
      </c>
      <c r="DR310" s="917" t="str">
        <f>IF(LEFT(CELLformula(DD310),3)&lt;&gt;"=IF",1,"")</f>
        <v/>
      </c>
      <c r="DS310" s="3048">
        <f t="shared" si="100"/>
        <v>0</v>
      </c>
      <c r="DT310" s="3047" t="str">
        <f t="shared" si="101"/>
        <v/>
      </c>
      <c r="DU310" s="3047" t="str">
        <f>IFERROR(IF(G310="","",SUMIF('Lighting Assumptions'!$G$3:$G$112,'6a - Lighting Counts'!G310,'Lighting Assumptions'!$H$3:$H$112)*IF(SI_IP_Units="SI",10.76,1)),"")</f>
        <v/>
      </c>
      <c r="DV310" s="3047" t="str">
        <f>IFERROR(IF($CX310="","",IF(SI_IP_Units="SI",10.76,1)*SUMIF(BAMCategories,$CY310,'Lighting Assumptions'!$E$3:E$35)),"")</f>
        <v/>
      </c>
      <c r="DW310" s="3047" t="str">
        <f>IFERROR(IF($CX310="","",IF(SI_IP_Units="SI",10.76,1)*SUMIF(BAMCategories,$CY310,IF(bpf_reference="ACP",'Lighting Assumptions 90.1-2010'!$E$3:E$35,'Lighting Assumptions 90.1-2016'!$E$3:E$35))),"")</f>
        <v/>
      </c>
      <c r="EW310" s="855"/>
      <c r="EX310" s="855"/>
      <c r="EY310" s="855"/>
      <c r="EZ310" s="855"/>
    </row>
    <row r="311" spans="4:156" x14ac:dyDescent="0.25">
      <c r="D311" s="3019"/>
      <c r="E311" s="3020"/>
      <c r="F311" s="3021">
        <f t="shared" si="88"/>
        <v>0</v>
      </c>
      <c r="G311" s="3059"/>
      <c r="H311" s="3060"/>
      <c r="I311" s="3061"/>
      <c r="J311" s="3061"/>
      <c r="K311" s="3061"/>
      <c r="L311" s="3061"/>
      <c r="M311" s="3061"/>
      <c r="N311" s="3061"/>
      <c r="O311" s="3061"/>
      <c r="P311" s="3061"/>
      <c r="Q311" s="3061"/>
      <c r="R311" s="3061"/>
      <c r="S311" s="3061"/>
      <c r="T311" s="3061"/>
      <c r="U311" s="3061"/>
      <c r="V311" s="3061"/>
      <c r="W311" s="3061"/>
      <c r="X311" s="3061"/>
      <c r="Y311" s="3061"/>
      <c r="Z311" s="3061"/>
      <c r="AA311" s="3061"/>
      <c r="AB311" s="3061"/>
      <c r="AC311" s="3061"/>
      <c r="AD311" s="3061"/>
      <c r="AE311" s="3061"/>
      <c r="AF311" s="3061"/>
      <c r="AG311" s="3061"/>
      <c r="AH311" s="3061"/>
      <c r="AI311" s="3061"/>
      <c r="AJ311" s="3061"/>
      <c r="AK311" s="3061"/>
      <c r="AL311" s="3061"/>
      <c r="AM311" s="3061"/>
      <c r="AN311" s="3061"/>
      <c r="AO311" s="3061"/>
      <c r="AP311" s="3061"/>
      <c r="AQ311" s="3061"/>
      <c r="AR311" s="3061"/>
      <c r="AS311" s="3061"/>
      <c r="AT311" s="3061"/>
      <c r="AU311" s="3061"/>
      <c r="AV311" s="3061"/>
      <c r="AW311" s="3061"/>
      <c r="AX311" s="3061"/>
      <c r="AY311" s="3061"/>
      <c r="AZ311" s="3061"/>
      <c r="BA311" s="3061"/>
      <c r="BB311" s="3061"/>
      <c r="BC311" s="3061"/>
      <c r="BD311" s="3061"/>
      <c r="BE311" s="3061"/>
      <c r="BF311" s="3061"/>
      <c r="BG311" s="3061"/>
      <c r="BH311" s="3061"/>
      <c r="BI311" s="3061"/>
      <c r="BJ311" s="3061"/>
      <c r="BK311" s="3061"/>
      <c r="BL311" s="3061"/>
      <c r="BM311" s="3061"/>
      <c r="BN311" s="3061"/>
      <c r="BO311" s="3061"/>
      <c r="BP311" s="3061"/>
      <c r="BQ311" s="3061"/>
      <c r="BR311" s="3061"/>
      <c r="BS311" s="3061"/>
      <c r="BT311" s="3061"/>
      <c r="BU311" s="3061"/>
      <c r="BV311" s="3061"/>
      <c r="BW311" s="3061"/>
      <c r="BX311" s="3061"/>
      <c r="BY311" s="3061"/>
      <c r="BZ311" s="3061"/>
      <c r="CA311" s="3061"/>
      <c r="CB311" s="3061"/>
      <c r="CC311" s="3061"/>
      <c r="CD311" s="3061"/>
      <c r="CE311" s="3061"/>
      <c r="CF311" s="3061"/>
      <c r="CG311" s="3061"/>
      <c r="CH311" s="3061"/>
      <c r="CI311" s="3061"/>
      <c r="CJ311" s="3061"/>
      <c r="CK311" s="3061"/>
      <c r="CL311" s="3061"/>
      <c r="CM311" s="3061"/>
      <c r="CN311" s="3061"/>
      <c r="CO311" s="3061"/>
      <c r="CP311" s="3061"/>
      <c r="CQ311" s="3061"/>
      <c r="CR311" s="3061"/>
      <c r="CS311" s="3062"/>
      <c r="CT311" s="3063"/>
      <c r="CU311" s="3064">
        <f t="shared" si="92"/>
        <v>1</v>
      </c>
      <c r="CV311" s="3022" t="str">
        <f>IF(OR(CT311="",CT311="None"),"-",DO311*CU311*SUMIF('Lighting Assumptions'!$G$3:$G$112,'6a - Lighting Counts'!G311,'Lighting Assumptions'!$J$3:$J$112))</f>
        <v>-</v>
      </c>
      <c r="CW311" s="3021"/>
      <c r="CX311" s="3021"/>
      <c r="CY311" s="3046"/>
      <c r="CZ311" s="2098">
        <f t="shared" si="93"/>
        <v>0</v>
      </c>
      <c r="DA311" s="2098" t="str">
        <f t="shared" si="94"/>
        <v>-</v>
      </c>
      <c r="DB311" s="2098">
        <f t="shared" si="95"/>
        <v>0</v>
      </c>
      <c r="DC311" s="3023" t="str">
        <f t="shared" si="96"/>
        <v>-</v>
      </c>
      <c r="DD311" s="3024" t="str">
        <f t="shared" si="97"/>
        <v/>
      </c>
      <c r="DE311" s="3025" t="str">
        <f t="shared" si="98"/>
        <v>-</v>
      </c>
      <c r="DF311" s="3024" t="str">
        <f t="shared" si="89"/>
        <v>-</v>
      </c>
      <c r="DG311" s="2098">
        <f t="shared" si="99"/>
        <v>0</v>
      </c>
      <c r="DH311" s="2098">
        <f t="array" ref="DH311">MIN(SUMPRODUCT(I311:CR311,IF($I$25:$CR$25="yes",1,0),$I$23:$CR$23),H311)</f>
        <v>0</v>
      </c>
      <c r="DI311" s="3026"/>
      <c r="DJ311" s="3021"/>
      <c r="DN311" s="917" t="str">
        <f>IF(CS311="","-",SUMIF('Lighting Assumptions'!$G$3:$G$112,'6a - Lighting Counts'!G311,'Lighting Assumptions'!$J$3:$J$112))</f>
        <v>-</v>
      </c>
      <c r="DO311" s="917" t="str">
        <f t="shared" si="90"/>
        <v>-</v>
      </c>
      <c r="DP311" s="917" t="str">
        <f t="shared" si="91"/>
        <v>-</v>
      </c>
      <c r="DQ311" s="917" t="str">
        <f>IF(LEFT(CELLformula(DF311),3)&lt;&gt;"=IF",1,"")</f>
        <v/>
      </c>
      <c r="DR311" s="917" t="str">
        <f>IF(LEFT(CELLformula(DD311),3)&lt;&gt;"=IF",1,"")</f>
        <v/>
      </c>
      <c r="DS311" s="3048">
        <f t="shared" si="100"/>
        <v>0</v>
      </c>
      <c r="DT311" s="3047" t="str">
        <f t="shared" si="101"/>
        <v/>
      </c>
      <c r="DU311" s="3047" t="str">
        <f>IFERROR(IF(G311="","",SUMIF('Lighting Assumptions'!$G$3:$G$112,'6a - Lighting Counts'!G311,'Lighting Assumptions'!$H$3:$H$112)*IF(SI_IP_Units="SI",10.76,1)),"")</f>
        <v/>
      </c>
      <c r="DV311" s="3047" t="str">
        <f>IFERROR(IF($CX311="","",IF(SI_IP_Units="SI",10.76,1)*SUMIF(BAMCategories,$CY311,'Lighting Assumptions'!$E$3:E$35)),"")</f>
        <v/>
      </c>
      <c r="DW311" s="3047" t="str">
        <f>IFERROR(IF($CX311="","",IF(SI_IP_Units="SI",10.76,1)*SUMIF(BAMCategories,$CY311,IF(bpf_reference="ACP",'Lighting Assumptions 90.1-2010'!$E$3:E$35,'Lighting Assumptions 90.1-2016'!$E$3:E$35))),"")</f>
        <v/>
      </c>
      <c r="EW311" s="855"/>
      <c r="EX311" s="855"/>
      <c r="EY311" s="855"/>
      <c r="EZ311" s="855"/>
    </row>
    <row r="312" spans="4:156" ht="17.25" customHeight="1" x14ac:dyDescent="0.25">
      <c r="D312" s="3019"/>
      <c r="E312" s="3020"/>
      <c r="F312" s="3021">
        <f t="shared" si="88"/>
        <v>0</v>
      </c>
      <c r="G312" s="3059"/>
      <c r="H312" s="3060"/>
      <c r="I312" s="3061"/>
      <c r="J312" s="3061"/>
      <c r="K312" s="3061"/>
      <c r="L312" s="3061"/>
      <c r="M312" s="3061"/>
      <c r="N312" s="3061"/>
      <c r="O312" s="3061"/>
      <c r="P312" s="3061"/>
      <c r="Q312" s="3061"/>
      <c r="R312" s="3061"/>
      <c r="S312" s="3061"/>
      <c r="T312" s="3061"/>
      <c r="U312" s="3061"/>
      <c r="V312" s="3061"/>
      <c r="W312" s="3061"/>
      <c r="X312" s="3061"/>
      <c r="Y312" s="3061"/>
      <c r="Z312" s="3061"/>
      <c r="AA312" s="3061"/>
      <c r="AB312" s="3061"/>
      <c r="AC312" s="3061"/>
      <c r="AD312" s="3061"/>
      <c r="AE312" s="3061"/>
      <c r="AF312" s="3061"/>
      <c r="AG312" s="3061"/>
      <c r="AH312" s="3061"/>
      <c r="AI312" s="3061"/>
      <c r="AJ312" s="3061"/>
      <c r="AK312" s="3061"/>
      <c r="AL312" s="3061"/>
      <c r="AM312" s="3061"/>
      <c r="AN312" s="3061"/>
      <c r="AO312" s="3061"/>
      <c r="AP312" s="3061"/>
      <c r="AQ312" s="3061"/>
      <c r="AR312" s="3061"/>
      <c r="AS312" s="3061"/>
      <c r="AT312" s="3061"/>
      <c r="AU312" s="3061"/>
      <c r="AV312" s="3061"/>
      <c r="AW312" s="3061"/>
      <c r="AX312" s="3061"/>
      <c r="AY312" s="3061"/>
      <c r="AZ312" s="3061"/>
      <c r="BA312" s="3061"/>
      <c r="BB312" s="3061"/>
      <c r="BC312" s="3061"/>
      <c r="BD312" s="3061"/>
      <c r="BE312" s="3061"/>
      <c r="BF312" s="3061"/>
      <c r="BG312" s="3061"/>
      <c r="BH312" s="3061"/>
      <c r="BI312" s="3061"/>
      <c r="BJ312" s="3061"/>
      <c r="BK312" s="3061"/>
      <c r="BL312" s="3061"/>
      <c r="BM312" s="3061"/>
      <c r="BN312" s="3061"/>
      <c r="BO312" s="3061"/>
      <c r="BP312" s="3061"/>
      <c r="BQ312" s="3061"/>
      <c r="BR312" s="3061"/>
      <c r="BS312" s="3061"/>
      <c r="BT312" s="3061"/>
      <c r="BU312" s="3061"/>
      <c r="BV312" s="3061"/>
      <c r="BW312" s="3061"/>
      <c r="BX312" s="3061"/>
      <c r="BY312" s="3061"/>
      <c r="BZ312" s="3061"/>
      <c r="CA312" s="3061"/>
      <c r="CB312" s="3061"/>
      <c r="CC312" s="3061"/>
      <c r="CD312" s="3061"/>
      <c r="CE312" s="3061"/>
      <c r="CF312" s="3061"/>
      <c r="CG312" s="3061"/>
      <c r="CH312" s="3061"/>
      <c r="CI312" s="3061"/>
      <c r="CJ312" s="3061"/>
      <c r="CK312" s="3061"/>
      <c r="CL312" s="3061"/>
      <c r="CM312" s="3061"/>
      <c r="CN312" s="3061"/>
      <c r="CO312" s="3061"/>
      <c r="CP312" s="3061"/>
      <c r="CQ312" s="3061"/>
      <c r="CR312" s="3061"/>
      <c r="CS312" s="3062"/>
      <c r="CT312" s="3063"/>
      <c r="CU312" s="3064">
        <f t="shared" si="92"/>
        <v>1</v>
      </c>
      <c r="CV312" s="3022" t="str">
        <f>IF(OR(CT312="",CT312="None"),"-",DO312*CU312*SUMIF('Lighting Assumptions'!$G$3:$G$112,'6a - Lighting Counts'!G312,'Lighting Assumptions'!$J$3:$J$112))</f>
        <v>-</v>
      </c>
      <c r="CW312" s="3021"/>
      <c r="CX312" s="3021"/>
      <c r="CY312" s="3046"/>
      <c r="CZ312" s="2098">
        <f t="shared" si="93"/>
        <v>0</v>
      </c>
      <c r="DA312" s="2098" t="str">
        <f t="shared" si="94"/>
        <v>-</v>
      </c>
      <c r="DB312" s="2098">
        <f t="shared" si="95"/>
        <v>0</v>
      </c>
      <c r="DC312" s="3023" t="str">
        <f t="shared" si="96"/>
        <v>-</v>
      </c>
      <c r="DD312" s="3024" t="str">
        <f t="shared" si="97"/>
        <v/>
      </c>
      <c r="DE312" s="3025" t="str">
        <f t="shared" si="98"/>
        <v>-</v>
      </c>
      <c r="DF312" s="3024" t="str">
        <f t="shared" si="89"/>
        <v>-</v>
      </c>
      <c r="DG312" s="2098">
        <f t="shared" si="99"/>
        <v>0</v>
      </c>
      <c r="DH312" s="2098">
        <f t="array" ref="DH312">MIN(SUMPRODUCT(I312:CR312,IF($I$25:$CR$25="yes",1,0),$I$23:$CR$23),H312)</f>
        <v>0</v>
      </c>
      <c r="DI312" s="3026"/>
      <c r="DJ312" s="3021"/>
      <c r="DN312" s="917" t="str">
        <f>IF(CS312="","-",SUMIF('Lighting Assumptions'!$G$3:$G$112,'6a - Lighting Counts'!G312,'Lighting Assumptions'!$J$3:$J$112))</f>
        <v>-</v>
      </c>
      <c r="DO312" s="917" t="str">
        <f t="shared" si="90"/>
        <v>-</v>
      </c>
      <c r="DP312" s="917" t="str">
        <f t="shared" si="91"/>
        <v>-</v>
      </c>
      <c r="DQ312" s="917" t="str">
        <f>IF(LEFT(CELLformula(DF312),3)&lt;&gt;"=IF",1,"")</f>
        <v/>
      </c>
      <c r="DR312" s="917" t="str">
        <f>IF(LEFT(CELLformula(DD312),3)&lt;&gt;"=IF",1,"")</f>
        <v/>
      </c>
      <c r="DS312" s="3048">
        <f t="shared" si="100"/>
        <v>0</v>
      </c>
      <c r="DT312" s="3047" t="str">
        <f t="shared" si="101"/>
        <v/>
      </c>
      <c r="DU312" s="3047" t="str">
        <f>IFERROR(IF(G312="","",SUMIF('Lighting Assumptions'!$G$3:$G$112,'6a - Lighting Counts'!G312,'Lighting Assumptions'!$H$3:$H$112)*IF(SI_IP_Units="SI",10.76,1)),"")</f>
        <v/>
      </c>
      <c r="DV312" s="3047" t="str">
        <f>IFERROR(IF($CX312="","",IF(SI_IP_Units="SI",10.76,1)*SUMIF(BAMCategories,$CY312,'Lighting Assumptions'!$E$3:E$35)),"")</f>
        <v/>
      </c>
      <c r="DW312" s="3047" t="str">
        <f>IFERROR(IF($CX312="","",IF(SI_IP_Units="SI",10.76,1)*SUMIF(BAMCategories,$CY312,IF(bpf_reference="ACP",'Lighting Assumptions 90.1-2010'!$E$3:E$35,'Lighting Assumptions 90.1-2016'!$E$3:E$35))),"")</f>
        <v/>
      </c>
      <c r="EW312" s="855"/>
      <c r="EX312" s="855"/>
      <c r="EY312" s="855"/>
      <c r="EZ312" s="855"/>
    </row>
    <row r="313" spans="4:156" x14ac:dyDescent="0.25">
      <c r="D313" s="3019"/>
      <c r="E313" s="3020"/>
      <c r="F313" s="3021">
        <f t="shared" si="88"/>
        <v>0</v>
      </c>
      <c r="G313" s="3059"/>
      <c r="H313" s="3060"/>
      <c r="I313" s="3061"/>
      <c r="J313" s="3061"/>
      <c r="K313" s="3061"/>
      <c r="L313" s="3061"/>
      <c r="M313" s="3061"/>
      <c r="N313" s="3061"/>
      <c r="O313" s="3061"/>
      <c r="P313" s="3061"/>
      <c r="Q313" s="3061"/>
      <c r="R313" s="3061"/>
      <c r="S313" s="3061"/>
      <c r="T313" s="3061"/>
      <c r="U313" s="3061"/>
      <c r="V313" s="3061"/>
      <c r="W313" s="3061"/>
      <c r="X313" s="3061"/>
      <c r="Y313" s="3061"/>
      <c r="Z313" s="3061"/>
      <c r="AA313" s="3061"/>
      <c r="AB313" s="3061"/>
      <c r="AC313" s="3061"/>
      <c r="AD313" s="3061"/>
      <c r="AE313" s="3061"/>
      <c r="AF313" s="3061"/>
      <c r="AG313" s="3061"/>
      <c r="AH313" s="3061"/>
      <c r="AI313" s="3061"/>
      <c r="AJ313" s="3061"/>
      <c r="AK313" s="3061"/>
      <c r="AL313" s="3061"/>
      <c r="AM313" s="3061"/>
      <c r="AN313" s="3061"/>
      <c r="AO313" s="3061"/>
      <c r="AP313" s="3061"/>
      <c r="AQ313" s="3061"/>
      <c r="AR313" s="3061"/>
      <c r="AS313" s="3061"/>
      <c r="AT313" s="3061"/>
      <c r="AU313" s="3061"/>
      <c r="AV313" s="3061"/>
      <c r="AW313" s="3061"/>
      <c r="AX313" s="3061"/>
      <c r="AY313" s="3061"/>
      <c r="AZ313" s="3061"/>
      <c r="BA313" s="3061"/>
      <c r="BB313" s="3061"/>
      <c r="BC313" s="3061"/>
      <c r="BD313" s="3061"/>
      <c r="BE313" s="3061"/>
      <c r="BF313" s="3061"/>
      <c r="BG313" s="3061"/>
      <c r="BH313" s="3061"/>
      <c r="BI313" s="3061"/>
      <c r="BJ313" s="3061"/>
      <c r="BK313" s="3061"/>
      <c r="BL313" s="3061"/>
      <c r="BM313" s="3061"/>
      <c r="BN313" s="3061"/>
      <c r="BO313" s="3061"/>
      <c r="BP313" s="3061"/>
      <c r="BQ313" s="3061"/>
      <c r="BR313" s="3061"/>
      <c r="BS313" s="3061"/>
      <c r="BT313" s="3061"/>
      <c r="BU313" s="3061"/>
      <c r="BV313" s="3061"/>
      <c r="BW313" s="3061"/>
      <c r="BX313" s="3061"/>
      <c r="BY313" s="3061"/>
      <c r="BZ313" s="3061"/>
      <c r="CA313" s="3061"/>
      <c r="CB313" s="3061"/>
      <c r="CC313" s="3061"/>
      <c r="CD313" s="3061"/>
      <c r="CE313" s="3061"/>
      <c r="CF313" s="3061"/>
      <c r="CG313" s="3061"/>
      <c r="CH313" s="3061"/>
      <c r="CI313" s="3061"/>
      <c r="CJ313" s="3061"/>
      <c r="CK313" s="3061"/>
      <c r="CL313" s="3061"/>
      <c r="CM313" s="3061"/>
      <c r="CN313" s="3061"/>
      <c r="CO313" s="3061"/>
      <c r="CP313" s="3061"/>
      <c r="CQ313" s="3061"/>
      <c r="CR313" s="3061"/>
      <c r="CS313" s="3062"/>
      <c r="CT313" s="3063"/>
      <c r="CU313" s="3064">
        <f t="shared" si="92"/>
        <v>1</v>
      </c>
      <c r="CV313" s="3022" t="str">
        <f>IF(OR(CT313="",CT313="None"),"-",DO313*CU313*SUMIF('Lighting Assumptions'!$G$3:$G$112,'6a - Lighting Counts'!G313,'Lighting Assumptions'!$J$3:$J$112))</f>
        <v>-</v>
      </c>
      <c r="CW313" s="3021"/>
      <c r="CX313" s="3021"/>
      <c r="CY313" s="3046"/>
      <c r="CZ313" s="2098">
        <f t="shared" si="93"/>
        <v>0</v>
      </c>
      <c r="DA313" s="2098" t="str">
        <f t="shared" si="94"/>
        <v>-</v>
      </c>
      <c r="DB313" s="2098">
        <f t="shared" si="95"/>
        <v>0</v>
      </c>
      <c r="DC313" s="3023" t="str">
        <f t="shared" si="96"/>
        <v>-</v>
      </c>
      <c r="DD313" s="3024" t="str">
        <f t="shared" si="97"/>
        <v/>
      </c>
      <c r="DE313" s="3025" t="str">
        <f t="shared" si="98"/>
        <v>-</v>
      </c>
      <c r="DF313" s="3024" t="str">
        <f t="shared" si="89"/>
        <v>-</v>
      </c>
      <c r="DG313" s="2098">
        <f t="shared" si="99"/>
        <v>0</v>
      </c>
      <c r="DH313" s="2098">
        <f t="array" ref="DH313">MIN(SUMPRODUCT(I313:CR313,IF($I$25:$CR$25="yes",1,0),$I$23:$CR$23),H313)</f>
        <v>0</v>
      </c>
      <c r="DI313" s="3026"/>
      <c r="DJ313" s="3021"/>
      <c r="DN313" s="917" t="str">
        <f>IF(CS313="","-",SUMIF('Lighting Assumptions'!$G$3:$G$112,'6a - Lighting Counts'!G313,'Lighting Assumptions'!$J$3:$J$112))</f>
        <v>-</v>
      </c>
      <c r="DO313" s="917" t="str">
        <f t="shared" si="90"/>
        <v>-</v>
      </c>
      <c r="DP313" s="917" t="str">
        <f t="shared" si="91"/>
        <v>-</v>
      </c>
      <c r="DQ313" s="917" t="str">
        <f>IF(LEFT(CELLformula(DF313),3)&lt;&gt;"=IF",1,"")</f>
        <v/>
      </c>
      <c r="DR313" s="917" t="str">
        <f>IF(LEFT(CELLformula(DD313),3)&lt;&gt;"=IF",1,"")</f>
        <v/>
      </c>
      <c r="DS313" s="3048">
        <f t="shared" si="100"/>
        <v>0</v>
      </c>
      <c r="DT313" s="3047" t="str">
        <f t="shared" si="101"/>
        <v/>
      </c>
      <c r="DU313" s="3047" t="str">
        <f>IFERROR(IF(G313="","",SUMIF('Lighting Assumptions'!$G$3:$G$112,'6a - Lighting Counts'!G313,'Lighting Assumptions'!$H$3:$H$112)*IF(SI_IP_Units="SI",10.76,1)),"")</f>
        <v/>
      </c>
      <c r="DV313" s="3047" t="str">
        <f>IFERROR(IF($CX313="","",IF(SI_IP_Units="SI",10.76,1)*SUMIF(BAMCategories,$CY313,'Lighting Assumptions'!$E$3:E$35)),"")</f>
        <v/>
      </c>
      <c r="DW313" s="3047" t="str">
        <f>IFERROR(IF($CX313="","",IF(SI_IP_Units="SI",10.76,1)*SUMIF(BAMCategories,$CY313,IF(bpf_reference="ACP",'Lighting Assumptions 90.1-2010'!$E$3:E$35,'Lighting Assumptions 90.1-2016'!$E$3:E$35))),"")</f>
        <v/>
      </c>
      <c r="EW313" s="855"/>
      <c r="EX313" s="855"/>
      <c r="EY313" s="855"/>
      <c r="EZ313" s="855"/>
    </row>
    <row r="314" spans="4:156" x14ac:dyDescent="0.25">
      <c r="D314" s="3019"/>
      <c r="E314" s="3020"/>
      <c r="F314" s="3021">
        <f t="shared" si="88"/>
        <v>0</v>
      </c>
      <c r="G314" s="3059"/>
      <c r="H314" s="3060"/>
      <c r="I314" s="3061"/>
      <c r="J314" s="3061"/>
      <c r="K314" s="3061"/>
      <c r="L314" s="3061"/>
      <c r="M314" s="3061"/>
      <c r="N314" s="3061"/>
      <c r="O314" s="3061"/>
      <c r="P314" s="3061"/>
      <c r="Q314" s="3061"/>
      <c r="R314" s="3061"/>
      <c r="S314" s="3061"/>
      <c r="T314" s="3061"/>
      <c r="U314" s="3061"/>
      <c r="V314" s="3061"/>
      <c r="W314" s="3061"/>
      <c r="X314" s="3061"/>
      <c r="Y314" s="3061"/>
      <c r="Z314" s="3061"/>
      <c r="AA314" s="3061"/>
      <c r="AB314" s="3061"/>
      <c r="AC314" s="3061"/>
      <c r="AD314" s="3061"/>
      <c r="AE314" s="3061"/>
      <c r="AF314" s="3061"/>
      <c r="AG314" s="3061"/>
      <c r="AH314" s="3061"/>
      <c r="AI314" s="3061"/>
      <c r="AJ314" s="3061"/>
      <c r="AK314" s="3061"/>
      <c r="AL314" s="3061"/>
      <c r="AM314" s="3061"/>
      <c r="AN314" s="3061"/>
      <c r="AO314" s="3061"/>
      <c r="AP314" s="3061"/>
      <c r="AQ314" s="3061"/>
      <c r="AR314" s="3061"/>
      <c r="AS314" s="3061"/>
      <c r="AT314" s="3061"/>
      <c r="AU314" s="3061"/>
      <c r="AV314" s="3061"/>
      <c r="AW314" s="3061"/>
      <c r="AX314" s="3061"/>
      <c r="AY314" s="3061"/>
      <c r="AZ314" s="3061"/>
      <c r="BA314" s="3061"/>
      <c r="BB314" s="3061"/>
      <c r="BC314" s="3061"/>
      <c r="BD314" s="3061"/>
      <c r="BE314" s="3061"/>
      <c r="BF314" s="3061"/>
      <c r="BG314" s="3061"/>
      <c r="BH314" s="3061"/>
      <c r="BI314" s="3061"/>
      <c r="BJ314" s="3061"/>
      <c r="BK314" s="3061"/>
      <c r="BL314" s="3061"/>
      <c r="BM314" s="3061"/>
      <c r="BN314" s="3061"/>
      <c r="BO314" s="3061"/>
      <c r="BP314" s="3061"/>
      <c r="BQ314" s="3061"/>
      <c r="BR314" s="3061"/>
      <c r="BS314" s="3061"/>
      <c r="BT314" s="3061"/>
      <c r="BU314" s="3061"/>
      <c r="BV314" s="3061"/>
      <c r="BW314" s="3061"/>
      <c r="BX314" s="3061"/>
      <c r="BY314" s="3061"/>
      <c r="BZ314" s="3061"/>
      <c r="CA314" s="3061"/>
      <c r="CB314" s="3061"/>
      <c r="CC314" s="3061"/>
      <c r="CD314" s="3061"/>
      <c r="CE314" s="3061"/>
      <c r="CF314" s="3061"/>
      <c r="CG314" s="3061"/>
      <c r="CH314" s="3061"/>
      <c r="CI314" s="3061"/>
      <c r="CJ314" s="3061"/>
      <c r="CK314" s="3061"/>
      <c r="CL314" s="3061"/>
      <c r="CM314" s="3061"/>
      <c r="CN314" s="3061"/>
      <c r="CO314" s="3061"/>
      <c r="CP314" s="3061"/>
      <c r="CQ314" s="3061"/>
      <c r="CR314" s="3061"/>
      <c r="CS314" s="3062"/>
      <c r="CT314" s="3063"/>
      <c r="CU314" s="3064">
        <f t="shared" si="92"/>
        <v>1</v>
      </c>
      <c r="CV314" s="3022" t="str">
        <f>IF(OR(CT314="",CT314="None"),"-",DO314*CU314*SUMIF('Lighting Assumptions'!$G$3:$G$112,'6a - Lighting Counts'!G314,'Lighting Assumptions'!$J$3:$J$112))</f>
        <v>-</v>
      </c>
      <c r="CW314" s="3021"/>
      <c r="CX314" s="3021"/>
      <c r="CY314" s="3046"/>
      <c r="CZ314" s="2098">
        <f t="shared" si="93"/>
        <v>0</v>
      </c>
      <c r="DA314" s="2098" t="str">
        <f t="shared" si="94"/>
        <v>-</v>
      </c>
      <c r="DB314" s="2098">
        <f t="shared" si="95"/>
        <v>0</v>
      </c>
      <c r="DC314" s="3023" t="str">
        <f t="shared" si="96"/>
        <v>-</v>
      </c>
      <c r="DD314" s="3024" t="str">
        <f t="shared" si="97"/>
        <v/>
      </c>
      <c r="DE314" s="3025" t="str">
        <f t="shared" si="98"/>
        <v>-</v>
      </c>
      <c r="DF314" s="3024" t="str">
        <f t="shared" si="89"/>
        <v>-</v>
      </c>
      <c r="DG314" s="2098">
        <f t="shared" si="99"/>
        <v>0</v>
      </c>
      <c r="DH314" s="2098">
        <f t="array" ref="DH314">MIN(SUMPRODUCT(I314:CR314,IF($I$25:$CR$25="yes",1,0),$I$23:$CR$23),H314)</f>
        <v>0</v>
      </c>
      <c r="DI314" s="3026"/>
      <c r="DJ314" s="3021"/>
      <c r="DN314" s="917" t="str">
        <f>IF(CS314="","-",SUMIF('Lighting Assumptions'!$G$3:$G$112,'6a - Lighting Counts'!G314,'Lighting Assumptions'!$J$3:$J$112))</f>
        <v>-</v>
      </c>
      <c r="DO314" s="917" t="str">
        <f t="shared" si="90"/>
        <v>-</v>
      </c>
      <c r="DP314" s="917" t="str">
        <f t="shared" si="91"/>
        <v>-</v>
      </c>
      <c r="DQ314" s="917" t="str">
        <f>IF(LEFT(CELLformula(DF314),3)&lt;&gt;"=IF",1,"")</f>
        <v/>
      </c>
      <c r="DR314" s="917" t="str">
        <f>IF(LEFT(CELLformula(DD314),3)&lt;&gt;"=IF",1,"")</f>
        <v/>
      </c>
      <c r="DS314" s="3048">
        <f t="shared" si="100"/>
        <v>0</v>
      </c>
      <c r="DT314" s="3047" t="str">
        <f t="shared" si="101"/>
        <v/>
      </c>
      <c r="DU314" s="3047" t="str">
        <f>IFERROR(IF(G314="","",SUMIF('Lighting Assumptions'!$G$3:$G$112,'6a - Lighting Counts'!G314,'Lighting Assumptions'!$H$3:$H$112)*IF(SI_IP_Units="SI",10.76,1)),"")</f>
        <v/>
      </c>
      <c r="DV314" s="3047" t="str">
        <f>IFERROR(IF($CX314="","",IF(SI_IP_Units="SI",10.76,1)*SUMIF(BAMCategories,$CY314,'Lighting Assumptions'!$E$3:E$35)),"")</f>
        <v/>
      </c>
      <c r="DW314" s="3047" t="str">
        <f>IFERROR(IF($CX314="","",IF(SI_IP_Units="SI",10.76,1)*SUMIF(BAMCategories,$CY314,IF(bpf_reference="ACP",'Lighting Assumptions 90.1-2010'!$E$3:E$35,'Lighting Assumptions 90.1-2016'!$E$3:E$35))),"")</f>
        <v/>
      </c>
      <c r="EW314" s="855"/>
      <c r="EX314" s="855"/>
      <c r="EY314" s="855"/>
      <c r="EZ314" s="855"/>
    </row>
    <row r="315" spans="4:156" x14ac:dyDescent="0.25">
      <c r="D315" s="3019"/>
      <c r="E315" s="3020"/>
      <c r="F315" s="3021">
        <f t="shared" si="88"/>
        <v>0</v>
      </c>
      <c r="G315" s="3059"/>
      <c r="H315" s="3060"/>
      <c r="I315" s="3061"/>
      <c r="J315" s="3061"/>
      <c r="K315" s="3061"/>
      <c r="L315" s="3061"/>
      <c r="M315" s="3061"/>
      <c r="N315" s="3061"/>
      <c r="O315" s="3061"/>
      <c r="P315" s="3061"/>
      <c r="Q315" s="3061"/>
      <c r="R315" s="3061"/>
      <c r="S315" s="3061"/>
      <c r="T315" s="3061"/>
      <c r="U315" s="3061"/>
      <c r="V315" s="3061"/>
      <c r="W315" s="3061"/>
      <c r="X315" s="3061"/>
      <c r="Y315" s="3061"/>
      <c r="Z315" s="3061"/>
      <c r="AA315" s="3061"/>
      <c r="AB315" s="3061"/>
      <c r="AC315" s="3061"/>
      <c r="AD315" s="3061"/>
      <c r="AE315" s="3061"/>
      <c r="AF315" s="3061"/>
      <c r="AG315" s="3061"/>
      <c r="AH315" s="3061"/>
      <c r="AI315" s="3061"/>
      <c r="AJ315" s="3061"/>
      <c r="AK315" s="3061"/>
      <c r="AL315" s="3061"/>
      <c r="AM315" s="3061"/>
      <c r="AN315" s="3061"/>
      <c r="AO315" s="3061"/>
      <c r="AP315" s="3061"/>
      <c r="AQ315" s="3061"/>
      <c r="AR315" s="3061"/>
      <c r="AS315" s="3061"/>
      <c r="AT315" s="3061"/>
      <c r="AU315" s="3061"/>
      <c r="AV315" s="3061"/>
      <c r="AW315" s="3061"/>
      <c r="AX315" s="3061"/>
      <c r="AY315" s="3061"/>
      <c r="AZ315" s="3061"/>
      <c r="BA315" s="3061"/>
      <c r="BB315" s="3061"/>
      <c r="BC315" s="3061"/>
      <c r="BD315" s="3061"/>
      <c r="BE315" s="3061"/>
      <c r="BF315" s="3061"/>
      <c r="BG315" s="3061"/>
      <c r="BH315" s="3061"/>
      <c r="BI315" s="3061"/>
      <c r="BJ315" s="3061"/>
      <c r="BK315" s="3061"/>
      <c r="BL315" s="3061"/>
      <c r="BM315" s="3061"/>
      <c r="BN315" s="3061"/>
      <c r="BO315" s="3061"/>
      <c r="BP315" s="3061"/>
      <c r="BQ315" s="3061"/>
      <c r="BR315" s="3061"/>
      <c r="BS315" s="3061"/>
      <c r="BT315" s="3061"/>
      <c r="BU315" s="3061"/>
      <c r="BV315" s="3061"/>
      <c r="BW315" s="3061"/>
      <c r="BX315" s="3061"/>
      <c r="BY315" s="3061"/>
      <c r="BZ315" s="3061"/>
      <c r="CA315" s="3061"/>
      <c r="CB315" s="3061"/>
      <c r="CC315" s="3061"/>
      <c r="CD315" s="3061"/>
      <c r="CE315" s="3061"/>
      <c r="CF315" s="3061"/>
      <c r="CG315" s="3061"/>
      <c r="CH315" s="3061"/>
      <c r="CI315" s="3061"/>
      <c r="CJ315" s="3061"/>
      <c r="CK315" s="3061"/>
      <c r="CL315" s="3061"/>
      <c r="CM315" s="3061"/>
      <c r="CN315" s="3061"/>
      <c r="CO315" s="3061"/>
      <c r="CP315" s="3061"/>
      <c r="CQ315" s="3061"/>
      <c r="CR315" s="3061"/>
      <c r="CS315" s="3062"/>
      <c r="CT315" s="3063"/>
      <c r="CU315" s="3064">
        <f t="shared" si="92"/>
        <v>1</v>
      </c>
      <c r="CV315" s="3022" t="str">
        <f>IF(OR(CT315="",CT315="None"),"-",DO315*CU315*SUMIF('Lighting Assumptions'!$G$3:$G$112,'6a - Lighting Counts'!G315,'Lighting Assumptions'!$J$3:$J$112))</f>
        <v>-</v>
      </c>
      <c r="CW315" s="3021"/>
      <c r="CX315" s="3021"/>
      <c r="CY315" s="3046"/>
      <c r="CZ315" s="2098">
        <f t="shared" si="93"/>
        <v>0</v>
      </c>
      <c r="DA315" s="2098" t="str">
        <f t="shared" si="94"/>
        <v>-</v>
      </c>
      <c r="DB315" s="2098">
        <f t="shared" si="95"/>
        <v>0</v>
      </c>
      <c r="DC315" s="3023" t="str">
        <f t="shared" si="96"/>
        <v>-</v>
      </c>
      <c r="DD315" s="3024" t="str">
        <f t="shared" si="97"/>
        <v/>
      </c>
      <c r="DE315" s="3025" t="str">
        <f t="shared" si="98"/>
        <v>-</v>
      </c>
      <c r="DF315" s="3024" t="str">
        <f t="shared" si="89"/>
        <v>-</v>
      </c>
      <c r="DG315" s="2098">
        <f t="shared" si="99"/>
        <v>0</v>
      </c>
      <c r="DH315" s="2098">
        <f t="array" ref="DH315">MIN(SUMPRODUCT(I315:CR315,IF($I$25:$CR$25="yes",1,0),$I$23:$CR$23),H315)</f>
        <v>0</v>
      </c>
      <c r="DI315" s="3026"/>
      <c r="DJ315" s="3021"/>
      <c r="DN315" s="917" t="str">
        <f>IF(CS315="","-",SUMIF('Lighting Assumptions'!$G$3:$G$112,'6a - Lighting Counts'!G315,'Lighting Assumptions'!$J$3:$J$112))</f>
        <v>-</v>
      </c>
      <c r="DO315" s="917" t="str">
        <f t="shared" si="90"/>
        <v>-</v>
      </c>
      <c r="DP315" s="917" t="str">
        <f t="shared" si="91"/>
        <v>-</v>
      </c>
      <c r="DQ315" s="917" t="str">
        <f>IF(LEFT(CELLformula(DF315),3)&lt;&gt;"=IF",1,"")</f>
        <v/>
      </c>
      <c r="DR315" s="917" t="str">
        <f>IF(LEFT(CELLformula(DD315),3)&lt;&gt;"=IF",1,"")</f>
        <v/>
      </c>
      <c r="DS315" s="3048">
        <f t="shared" si="100"/>
        <v>0</v>
      </c>
      <c r="DT315" s="3047" t="str">
        <f t="shared" si="101"/>
        <v/>
      </c>
      <c r="DU315" s="3047" t="str">
        <f>IFERROR(IF(G315="","",SUMIF('Lighting Assumptions'!$G$3:$G$112,'6a - Lighting Counts'!G315,'Lighting Assumptions'!$H$3:$H$112)*IF(SI_IP_Units="SI",10.76,1)),"")</f>
        <v/>
      </c>
      <c r="DV315" s="3047" t="str">
        <f>IFERROR(IF($CX315="","",IF(SI_IP_Units="SI",10.76,1)*SUMIF(BAMCategories,$CY315,'Lighting Assumptions'!$E$3:E$35)),"")</f>
        <v/>
      </c>
      <c r="DW315" s="3047" t="str">
        <f>IFERROR(IF($CX315="","",IF(SI_IP_Units="SI",10.76,1)*SUMIF(BAMCategories,$CY315,IF(bpf_reference="ACP",'Lighting Assumptions 90.1-2010'!$E$3:E$35,'Lighting Assumptions 90.1-2016'!$E$3:E$35))),"")</f>
        <v/>
      </c>
      <c r="EW315" s="855"/>
      <c r="EX315" s="855"/>
      <c r="EY315" s="855"/>
      <c r="EZ315" s="855"/>
    </row>
    <row r="316" spans="4:156" x14ac:dyDescent="0.25">
      <c r="D316" s="3019"/>
      <c r="E316" s="3020"/>
      <c r="F316" s="3021">
        <f t="shared" si="88"/>
        <v>0</v>
      </c>
      <c r="G316" s="3059"/>
      <c r="H316" s="3060"/>
      <c r="I316" s="3061"/>
      <c r="J316" s="3061"/>
      <c r="K316" s="3061"/>
      <c r="L316" s="3061"/>
      <c r="M316" s="3061"/>
      <c r="N316" s="3061"/>
      <c r="O316" s="3061"/>
      <c r="P316" s="3061"/>
      <c r="Q316" s="3061"/>
      <c r="R316" s="3061"/>
      <c r="S316" s="3061"/>
      <c r="T316" s="3061"/>
      <c r="U316" s="3061"/>
      <c r="V316" s="3061"/>
      <c r="W316" s="3061"/>
      <c r="X316" s="3061"/>
      <c r="Y316" s="3061"/>
      <c r="Z316" s="3061"/>
      <c r="AA316" s="3061"/>
      <c r="AB316" s="3061"/>
      <c r="AC316" s="3061"/>
      <c r="AD316" s="3061"/>
      <c r="AE316" s="3061"/>
      <c r="AF316" s="3061"/>
      <c r="AG316" s="3061"/>
      <c r="AH316" s="3061"/>
      <c r="AI316" s="3061"/>
      <c r="AJ316" s="3061"/>
      <c r="AK316" s="3061"/>
      <c r="AL316" s="3061"/>
      <c r="AM316" s="3061"/>
      <c r="AN316" s="3061"/>
      <c r="AO316" s="3061"/>
      <c r="AP316" s="3061"/>
      <c r="AQ316" s="3061"/>
      <c r="AR316" s="3061"/>
      <c r="AS316" s="3061"/>
      <c r="AT316" s="3061"/>
      <c r="AU316" s="3061"/>
      <c r="AV316" s="3061"/>
      <c r="AW316" s="3061"/>
      <c r="AX316" s="3061"/>
      <c r="AY316" s="3061"/>
      <c r="AZ316" s="3061"/>
      <c r="BA316" s="3061"/>
      <c r="BB316" s="3061"/>
      <c r="BC316" s="3061"/>
      <c r="BD316" s="3061"/>
      <c r="BE316" s="3061"/>
      <c r="BF316" s="3061"/>
      <c r="BG316" s="3061"/>
      <c r="BH316" s="3061"/>
      <c r="BI316" s="3061"/>
      <c r="BJ316" s="3061"/>
      <c r="BK316" s="3061"/>
      <c r="BL316" s="3061"/>
      <c r="BM316" s="3061"/>
      <c r="BN316" s="3061"/>
      <c r="BO316" s="3061"/>
      <c r="BP316" s="3061"/>
      <c r="BQ316" s="3061"/>
      <c r="BR316" s="3061"/>
      <c r="BS316" s="3061"/>
      <c r="BT316" s="3061"/>
      <c r="BU316" s="3061"/>
      <c r="BV316" s="3061"/>
      <c r="BW316" s="3061"/>
      <c r="BX316" s="3061"/>
      <c r="BY316" s="3061"/>
      <c r="BZ316" s="3061"/>
      <c r="CA316" s="3061"/>
      <c r="CB316" s="3061"/>
      <c r="CC316" s="3061"/>
      <c r="CD316" s="3061"/>
      <c r="CE316" s="3061"/>
      <c r="CF316" s="3061"/>
      <c r="CG316" s="3061"/>
      <c r="CH316" s="3061"/>
      <c r="CI316" s="3061"/>
      <c r="CJ316" s="3061"/>
      <c r="CK316" s="3061"/>
      <c r="CL316" s="3061"/>
      <c r="CM316" s="3061"/>
      <c r="CN316" s="3061"/>
      <c r="CO316" s="3061"/>
      <c r="CP316" s="3061"/>
      <c r="CQ316" s="3061"/>
      <c r="CR316" s="3061"/>
      <c r="CS316" s="3062"/>
      <c r="CT316" s="3063"/>
      <c r="CU316" s="3064">
        <f t="shared" si="92"/>
        <v>1</v>
      </c>
      <c r="CV316" s="3022" t="str">
        <f>IF(OR(CT316="",CT316="None"),"-",DO316*CU316*SUMIF('Lighting Assumptions'!$G$3:$G$112,'6a - Lighting Counts'!G316,'Lighting Assumptions'!$J$3:$J$112))</f>
        <v>-</v>
      </c>
      <c r="CW316" s="3021"/>
      <c r="CX316" s="3021"/>
      <c r="CY316" s="3046"/>
      <c r="CZ316" s="2098">
        <f t="shared" si="93"/>
        <v>0</v>
      </c>
      <c r="DA316" s="2098" t="str">
        <f t="shared" si="94"/>
        <v>-</v>
      </c>
      <c r="DB316" s="2098">
        <f t="shared" si="95"/>
        <v>0</v>
      </c>
      <c r="DC316" s="3023" t="str">
        <f t="shared" si="96"/>
        <v>-</v>
      </c>
      <c r="DD316" s="3024" t="str">
        <f t="shared" si="97"/>
        <v/>
      </c>
      <c r="DE316" s="3025" t="str">
        <f t="shared" si="98"/>
        <v>-</v>
      </c>
      <c r="DF316" s="3024" t="str">
        <f t="shared" si="89"/>
        <v>-</v>
      </c>
      <c r="DG316" s="2098">
        <f t="shared" si="99"/>
        <v>0</v>
      </c>
      <c r="DH316" s="2098">
        <f t="array" ref="DH316">MIN(SUMPRODUCT(I316:CR316,IF($I$25:$CR$25="yes",1,0),$I$23:$CR$23),H316)</f>
        <v>0</v>
      </c>
      <c r="DI316" s="3026"/>
      <c r="DJ316" s="3021"/>
      <c r="DN316" s="917" t="str">
        <f>IF(CS316="","-",SUMIF('Lighting Assumptions'!$G$3:$G$112,'6a - Lighting Counts'!G316,'Lighting Assumptions'!$J$3:$J$112))</f>
        <v>-</v>
      </c>
      <c r="DO316" s="917" t="str">
        <f t="shared" si="90"/>
        <v>-</v>
      </c>
      <c r="DP316" s="917" t="str">
        <f t="shared" si="91"/>
        <v>-</v>
      </c>
      <c r="DQ316" s="917" t="str">
        <f>IF(LEFT(CELLformula(DF316),3)&lt;&gt;"=IF",1,"")</f>
        <v/>
      </c>
      <c r="DR316" s="917" t="str">
        <f>IF(LEFT(CELLformula(DD316),3)&lt;&gt;"=IF",1,"")</f>
        <v/>
      </c>
      <c r="DS316" s="3048">
        <f t="shared" si="100"/>
        <v>0</v>
      </c>
      <c r="DT316" s="3047" t="str">
        <f t="shared" si="101"/>
        <v/>
      </c>
      <c r="DU316" s="3047" t="str">
        <f>IFERROR(IF(G316="","",SUMIF('Lighting Assumptions'!$G$3:$G$112,'6a - Lighting Counts'!G316,'Lighting Assumptions'!$H$3:$H$112)*IF(SI_IP_Units="SI",10.76,1)),"")</f>
        <v/>
      </c>
      <c r="DV316" s="3047" t="str">
        <f>IFERROR(IF($CX316="","",IF(SI_IP_Units="SI",10.76,1)*SUMIF(BAMCategories,$CY316,'Lighting Assumptions'!$E$3:E$35)),"")</f>
        <v/>
      </c>
      <c r="DW316" s="3047" t="str">
        <f>IFERROR(IF($CX316="","",IF(SI_IP_Units="SI",10.76,1)*SUMIF(BAMCategories,$CY316,IF(bpf_reference="ACP",'Lighting Assumptions 90.1-2010'!$E$3:E$35,'Lighting Assumptions 90.1-2016'!$E$3:E$35))),"")</f>
        <v/>
      </c>
      <c r="EW316" s="855"/>
      <c r="EX316" s="855"/>
      <c r="EY316" s="855"/>
      <c r="EZ316" s="855"/>
    </row>
    <row r="317" spans="4:156" x14ac:dyDescent="0.25">
      <c r="D317" s="3019"/>
      <c r="E317" s="3020"/>
      <c r="F317" s="3021">
        <f t="shared" si="88"/>
        <v>0</v>
      </c>
      <c r="G317" s="3059"/>
      <c r="H317" s="3060"/>
      <c r="I317" s="3061"/>
      <c r="J317" s="3061"/>
      <c r="K317" s="3061"/>
      <c r="L317" s="3061"/>
      <c r="M317" s="3061"/>
      <c r="N317" s="3061"/>
      <c r="O317" s="3061"/>
      <c r="P317" s="3061"/>
      <c r="Q317" s="3061"/>
      <c r="R317" s="3061"/>
      <c r="S317" s="3061"/>
      <c r="T317" s="3061"/>
      <c r="U317" s="3061"/>
      <c r="V317" s="3061"/>
      <c r="W317" s="3061"/>
      <c r="X317" s="3061"/>
      <c r="Y317" s="3061"/>
      <c r="Z317" s="3061"/>
      <c r="AA317" s="3061"/>
      <c r="AB317" s="3061"/>
      <c r="AC317" s="3061"/>
      <c r="AD317" s="3061"/>
      <c r="AE317" s="3061"/>
      <c r="AF317" s="3061"/>
      <c r="AG317" s="3061"/>
      <c r="AH317" s="3061"/>
      <c r="AI317" s="3061"/>
      <c r="AJ317" s="3061"/>
      <c r="AK317" s="3061"/>
      <c r="AL317" s="3061"/>
      <c r="AM317" s="3061"/>
      <c r="AN317" s="3061"/>
      <c r="AO317" s="3061"/>
      <c r="AP317" s="3061"/>
      <c r="AQ317" s="3061"/>
      <c r="AR317" s="3061"/>
      <c r="AS317" s="3061"/>
      <c r="AT317" s="3061"/>
      <c r="AU317" s="3061"/>
      <c r="AV317" s="3061"/>
      <c r="AW317" s="3061"/>
      <c r="AX317" s="3061"/>
      <c r="AY317" s="3061"/>
      <c r="AZ317" s="3061"/>
      <c r="BA317" s="3061"/>
      <c r="BB317" s="3061"/>
      <c r="BC317" s="3061"/>
      <c r="BD317" s="3061"/>
      <c r="BE317" s="3061"/>
      <c r="BF317" s="3061"/>
      <c r="BG317" s="3061"/>
      <c r="BH317" s="3061"/>
      <c r="BI317" s="3061"/>
      <c r="BJ317" s="3061"/>
      <c r="BK317" s="3061"/>
      <c r="BL317" s="3061"/>
      <c r="BM317" s="3061"/>
      <c r="BN317" s="3061"/>
      <c r="BO317" s="3061"/>
      <c r="BP317" s="3061"/>
      <c r="BQ317" s="3061"/>
      <c r="BR317" s="3061"/>
      <c r="BS317" s="3061"/>
      <c r="BT317" s="3061"/>
      <c r="BU317" s="3061"/>
      <c r="BV317" s="3061"/>
      <c r="BW317" s="3061"/>
      <c r="BX317" s="3061"/>
      <c r="BY317" s="3061"/>
      <c r="BZ317" s="3061"/>
      <c r="CA317" s="3061"/>
      <c r="CB317" s="3061"/>
      <c r="CC317" s="3061"/>
      <c r="CD317" s="3061"/>
      <c r="CE317" s="3061"/>
      <c r="CF317" s="3061"/>
      <c r="CG317" s="3061"/>
      <c r="CH317" s="3061"/>
      <c r="CI317" s="3061"/>
      <c r="CJ317" s="3061"/>
      <c r="CK317" s="3061"/>
      <c r="CL317" s="3061"/>
      <c r="CM317" s="3061"/>
      <c r="CN317" s="3061"/>
      <c r="CO317" s="3061"/>
      <c r="CP317" s="3061"/>
      <c r="CQ317" s="3061"/>
      <c r="CR317" s="3061"/>
      <c r="CS317" s="3062"/>
      <c r="CT317" s="3063"/>
      <c r="CU317" s="3064">
        <f t="shared" si="92"/>
        <v>1</v>
      </c>
      <c r="CV317" s="3022" t="str">
        <f>IF(OR(CT317="",CT317="None"),"-",DO317*CU317*SUMIF('Lighting Assumptions'!$G$3:$G$112,'6a - Lighting Counts'!G317,'Lighting Assumptions'!$J$3:$J$112))</f>
        <v>-</v>
      </c>
      <c r="CW317" s="3021"/>
      <c r="CX317" s="3021"/>
      <c r="CY317" s="3046"/>
      <c r="CZ317" s="2098">
        <f t="shared" si="93"/>
        <v>0</v>
      </c>
      <c r="DA317" s="2098" t="str">
        <f t="shared" si="94"/>
        <v>-</v>
      </c>
      <c r="DB317" s="2098">
        <f t="shared" si="95"/>
        <v>0</v>
      </c>
      <c r="DC317" s="3023" t="str">
        <f t="shared" si="96"/>
        <v>-</v>
      </c>
      <c r="DD317" s="3024" t="str">
        <f t="shared" si="97"/>
        <v/>
      </c>
      <c r="DE317" s="3025" t="str">
        <f t="shared" si="98"/>
        <v>-</v>
      </c>
      <c r="DF317" s="3024" t="str">
        <f t="shared" si="89"/>
        <v>-</v>
      </c>
      <c r="DG317" s="2098">
        <f t="shared" si="99"/>
        <v>0</v>
      </c>
      <c r="DH317" s="2098">
        <f t="array" ref="DH317">MIN(SUMPRODUCT(I317:CR317,IF($I$25:$CR$25="yes",1,0),$I$23:$CR$23),H317)</f>
        <v>0</v>
      </c>
      <c r="DI317" s="3026"/>
      <c r="DJ317" s="3021"/>
      <c r="DN317" s="917" t="str">
        <f>IF(CS317="","-",SUMIF('Lighting Assumptions'!$G$3:$G$112,'6a - Lighting Counts'!G317,'Lighting Assumptions'!$J$3:$J$112))</f>
        <v>-</v>
      </c>
      <c r="DO317" s="917" t="str">
        <f t="shared" si="90"/>
        <v>-</v>
      </c>
      <c r="DP317" s="917" t="str">
        <f t="shared" si="91"/>
        <v>-</v>
      </c>
      <c r="DQ317" s="917" t="str">
        <f>IF(LEFT(CELLformula(DF317),3)&lt;&gt;"=IF",1,"")</f>
        <v/>
      </c>
      <c r="DR317" s="917" t="str">
        <f>IF(LEFT(CELLformula(DD317),3)&lt;&gt;"=IF",1,"")</f>
        <v/>
      </c>
      <c r="DS317" s="3048">
        <f t="shared" si="100"/>
        <v>0</v>
      </c>
      <c r="DT317" s="3047" t="str">
        <f t="shared" si="101"/>
        <v/>
      </c>
      <c r="DU317" s="3047" t="str">
        <f>IFERROR(IF(G317="","",SUMIF('Lighting Assumptions'!$G$3:$G$112,'6a - Lighting Counts'!G317,'Lighting Assumptions'!$H$3:$H$112)*IF(SI_IP_Units="SI",10.76,1)),"")</f>
        <v/>
      </c>
      <c r="DV317" s="3047" t="str">
        <f>IFERROR(IF($CX317="","",IF(SI_IP_Units="SI",10.76,1)*SUMIF(BAMCategories,$CY317,'Lighting Assumptions'!$E$3:E$35)),"")</f>
        <v/>
      </c>
      <c r="DW317" s="3047" t="str">
        <f>IFERROR(IF($CX317="","",IF(SI_IP_Units="SI",10.76,1)*SUMIF(BAMCategories,$CY317,IF(bpf_reference="ACP",'Lighting Assumptions 90.1-2010'!$E$3:E$35,'Lighting Assumptions 90.1-2016'!$E$3:E$35))),"")</f>
        <v/>
      </c>
      <c r="EW317" s="855"/>
      <c r="EX317" s="855"/>
      <c r="EY317" s="855"/>
      <c r="EZ317" s="855"/>
    </row>
    <row r="318" spans="4:156" x14ac:dyDescent="0.25">
      <c r="D318" s="3019"/>
      <c r="E318" s="3020"/>
      <c r="F318" s="3021">
        <f t="shared" si="88"/>
        <v>0</v>
      </c>
      <c r="G318" s="3059"/>
      <c r="H318" s="3060"/>
      <c r="I318" s="3061"/>
      <c r="J318" s="3061"/>
      <c r="K318" s="3061"/>
      <c r="L318" s="3061"/>
      <c r="M318" s="3061"/>
      <c r="N318" s="3061"/>
      <c r="O318" s="3061"/>
      <c r="P318" s="3061"/>
      <c r="Q318" s="3061"/>
      <c r="R318" s="3061"/>
      <c r="S318" s="3061"/>
      <c r="T318" s="3061"/>
      <c r="U318" s="3061"/>
      <c r="V318" s="3061"/>
      <c r="W318" s="3061"/>
      <c r="X318" s="3061"/>
      <c r="Y318" s="3061"/>
      <c r="Z318" s="3061"/>
      <c r="AA318" s="3061"/>
      <c r="AB318" s="3061"/>
      <c r="AC318" s="3061"/>
      <c r="AD318" s="3061"/>
      <c r="AE318" s="3061"/>
      <c r="AF318" s="3061"/>
      <c r="AG318" s="3061"/>
      <c r="AH318" s="3061"/>
      <c r="AI318" s="3061"/>
      <c r="AJ318" s="3061"/>
      <c r="AK318" s="3061"/>
      <c r="AL318" s="3061"/>
      <c r="AM318" s="3061"/>
      <c r="AN318" s="3061"/>
      <c r="AO318" s="3061"/>
      <c r="AP318" s="3061"/>
      <c r="AQ318" s="3061"/>
      <c r="AR318" s="3061"/>
      <c r="AS318" s="3061"/>
      <c r="AT318" s="3061"/>
      <c r="AU318" s="3061"/>
      <c r="AV318" s="3061"/>
      <c r="AW318" s="3061"/>
      <c r="AX318" s="3061"/>
      <c r="AY318" s="3061"/>
      <c r="AZ318" s="3061"/>
      <c r="BA318" s="3061"/>
      <c r="BB318" s="3061"/>
      <c r="BC318" s="3061"/>
      <c r="BD318" s="3061"/>
      <c r="BE318" s="3061"/>
      <c r="BF318" s="3061"/>
      <c r="BG318" s="3061"/>
      <c r="BH318" s="3061"/>
      <c r="BI318" s="3061"/>
      <c r="BJ318" s="3061"/>
      <c r="BK318" s="3061"/>
      <c r="BL318" s="3061"/>
      <c r="BM318" s="3061"/>
      <c r="BN318" s="3061"/>
      <c r="BO318" s="3061"/>
      <c r="BP318" s="3061"/>
      <c r="BQ318" s="3061"/>
      <c r="BR318" s="3061"/>
      <c r="BS318" s="3061"/>
      <c r="BT318" s="3061"/>
      <c r="BU318" s="3061"/>
      <c r="BV318" s="3061"/>
      <c r="BW318" s="3061"/>
      <c r="BX318" s="3061"/>
      <c r="BY318" s="3061"/>
      <c r="BZ318" s="3061"/>
      <c r="CA318" s="3061"/>
      <c r="CB318" s="3061"/>
      <c r="CC318" s="3061"/>
      <c r="CD318" s="3061"/>
      <c r="CE318" s="3061"/>
      <c r="CF318" s="3061"/>
      <c r="CG318" s="3061"/>
      <c r="CH318" s="3061"/>
      <c r="CI318" s="3061"/>
      <c r="CJ318" s="3061"/>
      <c r="CK318" s="3061"/>
      <c r="CL318" s="3061"/>
      <c r="CM318" s="3061"/>
      <c r="CN318" s="3061"/>
      <c r="CO318" s="3061"/>
      <c r="CP318" s="3061"/>
      <c r="CQ318" s="3061"/>
      <c r="CR318" s="3061"/>
      <c r="CS318" s="3062"/>
      <c r="CT318" s="3063"/>
      <c r="CU318" s="3064">
        <f t="shared" si="92"/>
        <v>1</v>
      </c>
      <c r="CV318" s="3022" t="str">
        <f>IF(OR(CT318="",CT318="None"),"-",DO318*CU318*SUMIF('Lighting Assumptions'!$G$3:$G$112,'6a - Lighting Counts'!G318,'Lighting Assumptions'!$J$3:$J$112))</f>
        <v>-</v>
      </c>
      <c r="CW318" s="3021"/>
      <c r="CX318" s="3021"/>
      <c r="CY318" s="3046"/>
      <c r="CZ318" s="2098">
        <f t="shared" si="93"/>
        <v>0</v>
      </c>
      <c r="DA318" s="2098" t="str">
        <f t="shared" si="94"/>
        <v>-</v>
      </c>
      <c r="DB318" s="2098">
        <f t="shared" si="95"/>
        <v>0</v>
      </c>
      <c r="DC318" s="3023" t="str">
        <f t="shared" si="96"/>
        <v>-</v>
      </c>
      <c r="DD318" s="3024" t="str">
        <f t="shared" si="97"/>
        <v/>
      </c>
      <c r="DE318" s="3025" t="str">
        <f t="shared" si="98"/>
        <v>-</v>
      </c>
      <c r="DF318" s="3024" t="str">
        <f t="shared" si="89"/>
        <v>-</v>
      </c>
      <c r="DG318" s="2098">
        <f t="shared" si="99"/>
        <v>0</v>
      </c>
      <c r="DH318" s="2098">
        <f t="array" ref="DH318">MIN(SUMPRODUCT(I318:CR318,IF($I$25:$CR$25="yes",1,0),$I$23:$CR$23),H318)</f>
        <v>0</v>
      </c>
      <c r="DI318" s="3026"/>
      <c r="DJ318" s="3021"/>
      <c r="DN318" s="917" t="str">
        <f>IF(CS318="","-",SUMIF('Lighting Assumptions'!$G$3:$G$112,'6a - Lighting Counts'!G318,'Lighting Assumptions'!$J$3:$J$112))</f>
        <v>-</v>
      </c>
      <c r="DO318" s="917" t="str">
        <f t="shared" si="90"/>
        <v>-</v>
      </c>
      <c r="DP318" s="917" t="str">
        <f t="shared" si="91"/>
        <v>-</v>
      </c>
      <c r="DQ318" s="917" t="str">
        <f>IF(LEFT(CELLformula(DF318),3)&lt;&gt;"=IF",1,"")</f>
        <v/>
      </c>
      <c r="DR318" s="917" t="str">
        <f>IF(LEFT(CELLformula(DD318),3)&lt;&gt;"=IF",1,"")</f>
        <v/>
      </c>
      <c r="DS318" s="3048">
        <f t="shared" si="100"/>
        <v>0</v>
      </c>
      <c r="DT318" s="3047" t="str">
        <f t="shared" si="101"/>
        <v/>
      </c>
      <c r="DU318" s="3047" t="str">
        <f>IFERROR(IF(G318="","",SUMIF('Lighting Assumptions'!$G$3:$G$112,'6a - Lighting Counts'!G318,'Lighting Assumptions'!$H$3:$H$112)*IF(SI_IP_Units="SI",10.76,1)),"")</f>
        <v/>
      </c>
      <c r="DV318" s="3047" t="str">
        <f>IFERROR(IF($CX318="","",IF(SI_IP_Units="SI",10.76,1)*SUMIF(BAMCategories,$CY318,'Lighting Assumptions'!$E$3:E$35)),"")</f>
        <v/>
      </c>
      <c r="DW318" s="3047" t="str">
        <f>IFERROR(IF($CX318="","",IF(SI_IP_Units="SI",10.76,1)*SUMIF(BAMCategories,$CY318,IF(bpf_reference="ACP",'Lighting Assumptions 90.1-2010'!$E$3:E$35,'Lighting Assumptions 90.1-2016'!$E$3:E$35))),"")</f>
        <v/>
      </c>
      <c r="EW318" s="855"/>
      <c r="EX318" s="855"/>
      <c r="EY318" s="855"/>
      <c r="EZ318" s="855"/>
    </row>
    <row r="319" spans="4:156" x14ac:dyDescent="0.25">
      <c r="D319" s="3019"/>
      <c r="E319" s="3020"/>
      <c r="F319" s="3021">
        <f t="shared" si="88"/>
        <v>0</v>
      </c>
      <c r="G319" s="3059"/>
      <c r="H319" s="3060"/>
      <c r="I319" s="3061"/>
      <c r="J319" s="3061"/>
      <c r="K319" s="3061"/>
      <c r="L319" s="3061"/>
      <c r="M319" s="3061"/>
      <c r="N319" s="3061"/>
      <c r="O319" s="3061"/>
      <c r="P319" s="3061"/>
      <c r="Q319" s="3061"/>
      <c r="R319" s="3061"/>
      <c r="S319" s="3061"/>
      <c r="T319" s="3061"/>
      <c r="U319" s="3061"/>
      <c r="V319" s="3061"/>
      <c r="W319" s="3061"/>
      <c r="X319" s="3061"/>
      <c r="Y319" s="3061"/>
      <c r="Z319" s="3061"/>
      <c r="AA319" s="3061"/>
      <c r="AB319" s="3061"/>
      <c r="AC319" s="3061"/>
      <c r="AD319" s="3061"/>
      <c r="AE319" s="3061"/>
      <c r="AF319" s="3061"/>
      <c r="AG319" s="3061"/>
      <c r="AH319" s="3061"/>
      <c r="AI319" s="3061"/>
      <c r="AJ319" s="3061"/>
      <c r="AK319" s="3061"/>
      <c r="AL319" s="3061"/>
      <c r="AM319" s="3061"/>
      <c r="AN319" s="3061"/>
      <c r="AO319" s="3061"/>
      <c r="AP319" s="3061"/>
      <c r="AQ319" s="3061"/>
      <c r="AR319" s="3061"/>
      <c r="AS319" s="3061"/>
      <c r="AT319" s="3061"/>
      <c r="AU319" s="3061"/>
      <c r="AV319" s="3061"/>
      <c r="AW319" s="3061"/>
      <c r="AX319" s="3061"/>
      <c r="AY319" s="3061"/>
      <c r="AZ319" s="3061"/>
      <c r="BA319" s="3061"/>
      <c r="BB319" s="3061"/>
      <c r="BC319" s="3061"/>
      <c r="BD319" s="3061"/>
      <c r="BE319" s="3061"/>
      <c r="BF319" s="3061"/>
      <c r="BG319" s="3061"/>
      <c r="BH319" s="3061"/>
      <c r="BI319" s="3061"/>
      <c r="BJ319" s="3061"/>
      <c r="BK319" s="3061"/>
      <c r="BL319" s="3061"/>
      <c r="BM319" s="3061"/>
      <c r="BN319" s="3061"/>
      <c r="BO319" s="3061"/>
      <c r="BP319" s="3061"/>
      <c r="BQ319" s="3061"/>
      <c r="BR319" s="3061"/>
      <c r="BS319" s="3061"/>
      <c r="BT319" s="3061"/>
      <c r="BU319" s="3061"/>
      <c r="BV319" s="3061"/>
      <c r="BW319" s="3061"/>
      <c r="BX319" s="3061"/>
      <c r="BY319" s="3061"/>
      <c r="BZ319" s="3061"/>
      <c r="CA319" s="3061"/>
      <c r="CB319" s="3061"/>
      <c r="CC319" s="3061"/>
      <c r="CD319" s="3061"/>
      <c r="CE319" s="3061"/>
      <c r="CF319" s="3061"/>
      <c r="CG319" s="3061"/>
      <c r="CH319" s="3061"/>
      <c r="CI319" s="3061"/>
      <c r="CJ319" s="3061"/>
      <c r="CK319" s="3061"/>
      <c r="CL319" s="3061"/>
      <c r="CM319" s="3061"/>
      <c r="CN319" s="3061"/>
      <c r="CO319" s="3061"/>
      <c r="CP319" s="3061"/>
      <c r="CQ319" s="3061"/>
      <c r="CR319" s="3061"/>
      <c r="CS319" s="3062"/>
      <c r="CT319" s="3063"/>
      <c r="CU319" s="3064">
        <f t="shared" si="92"/>
        <v>1</v>
      </c>
      <c r="CV319" s="3022" t="str">
        <f>IF(OR(CT319="",CT319="None"),"-",DO319*CU319*SUMIF('Lighting Assumptions'!$G$3:$G$112,'6a - Lighting Counts'!G319,'Lighting Assumptions'!$J$3:$J$112))</f>
        <v>-</v>
      </c>
      <c r="CW319" s="3021"/>
      <c r="CX319" s="3021"/>
      <c r="CY319" s="3046"/>
      <c r="CZ319" s="2098">
        <f t="shared" si="93"/>
        <v>0</v>
      </c>
      <c r="DA319" s="2098" t="str">
        <f t="shared" si="94"/>
        <v>-</v>
      </c>
      <c r="DB319" s="2098">
        <f t="shared" si="95"/>
        <v>0</v>
      </c>
      <c r="DC319" s="3023" t="str">
        <f t="shared" si="96"/>
        <v>-</v>
      </c>
      <c r="DD319" s="3024" t="str">
        <f t="shared" si="97"/>
        <v/>
      </c>
      <c r="DE319" s="3025" t="str">
        <f t="shared" si="98"/>
        <v>-</v>
      </c>
      <c r="DF319" s="3024" t="str">
        <f t="shared" si="89"/>
        <v>-</v>
      </c>
      <c r="DG319" s="2098">
        <f t="shared" si="99"/>
        <v>0</v>
      </c>
      <c r="DH319" s="2098">
        <f t="array" ref="DH319">MIN(SUMPRODUCT(I319:CR319,IF($I$25:$CR$25="yes",1,0),$I$23:$CR$23),H319)</f>
        <v>0</v>
      </c>
      <c r="DI319" s="3026"/>
      <c r="DJ319" s="3021"/>
      <c r="DN319" s="917" t="str">
        <f>IF(CS319="","-",SUMIF('Lighting Assumptions'!$G$3:$G$112,'6a - Lighting Counts'!G319,'Lighting Assumptions'!$J$3:$J$112))</f>
        <v>-</v>
      </c>
      <c r="DO319" s="917" t="str">
        <f t="shared" si="90"/>
        <v>-</v>
      </c>
      <c r="DP319" s="917" t="str">
        <f t="shared" si="91"/>
        <v>-</v>
      </c>
      <c r="DQ319" s="917" t="str">
        <f>IF(LEFT(CELLformula(DF319),3)&lt;&gt;"=IF",1,"")</f>
        <v/>
      </c>
      <c r="DR319" s="917" t="str">
        <f>IF(LEFT(CELLformula(DD319),3)&lt;&gt;"=IF",1,"")</f>
        <v/>
      </c>
      <c r="DS319" s="3048">
        <f t="shared" si="100"/>
        <v>0</v>
      </c>
      <c r="DT319" s="3047" t="str">
        <f t="shared" si="101"/>
        <v/>
      </c>
      <c r="DU319" s="3047" t="str">
        <f>IFERROR(IF(G319="","",SUMIF('Lighting Assumptions'!$G$3:$G$112,'6a - Lighting Counts'!G319,'Lighting Assumptions'!$H$3:$H$112)*IF(SI_IP_Units="SI",10.76,1)),"")</f>
        <v/>
      </c>
      <c r="DV319" s="3047" t="str">
        <f>IFERROR(IF($CX319="","",IF(SI_IP_Units="SI",10.76,1)*SUMIF(BAMCategories,$CY319,'Lighting Assumptions'!$E$3:E$35)),"")</f>
        <v/>
      </c>
      <c r="DW319" s="3047" t="str">
        <f>IFERROR(IF($CX319="","",IF(SI_IP_Units="SI",10.76,1)*SUMIF(BAMCategories,$CY319,IF(bpf_reference="ACP",'Lighting Assumptions 90.1-2010'!$E$3:E$35,'Lighting Assumptions 90.1-2016'!$E$3:E$35))),"")</f>
        <v/>
      </c>
      <c r="EW319" s="855"/>
      <c r="EX319" s="855"/>
      <c r="EY319" s="855"/>
      <c r="EZ319" s="855"/>
    </row>
    <row r="320" spans="4:156" x14ac:dyDescent="0.25">
      <c r="D320" s="3019"/>
      <c r="E320" s="3020"/>
      <c r="F320" s="3021">
        <f t="shared" si="88"/>
        <v>0</v>
      </c>
      <c r="G320" s="3059"/>
      <c r="H320" s="3060"/>
      <c r="I320" s="3061"/>
      <c r="J320" s="3061"/>
      <c r="K320" s="3061"/>
      <c r="L320" s="3061"/>
      <c r="M320" s="3061"/>
      <c r="N320" s="3061"/>
      <c r="O320" s="3061"/>
      <c r="P320" s="3061"/>
      <c r="Q320" s="3061"/>
      <c r="R320" s="3061"/>
      <c r="S320" s="3061"/>
      <c r="T320" s="3061"/>
      <c r="U320" s="3061"/>
      <c r="V320" s="3061"/>
      <c r="W320" s="3061"/>
      <c r="X320" s="3061"/>
      <c r="Y320" s="3061"/>
      <c r="Z320" s="3061"/>
      <c r="AA320" s="3061"/>
      <c r="AB320" s="3061"/>
      <c r="AC320" s="3061"/>
      <c r="AD320" s="3061"/>
      <c r="AE320" s="3061"/>
      <c r="AF320" s="3061"/>
      <c r="AG320" s="3061"/>
      <c r="AH320" s="3061"/>
      <c r="AI320" s="3061"/>
      <c r="AJ320" s="3061"/>
      <c r="AK320" s="3061"/>
      <c r="AL320" s="3061"/>
      <c r="AM320" s="3061"/>
      <c r="AN320" s="3061"/>
      <c r="AO320" s="3061"/>
      <c r="AP320" s="3061"/>
      <c r="AQ320" s="3061"/>
      <c r="AR320" s="3061"/>
      <c r="AS320" s="3061"/>
      <c r="AT320" s="3061"/>
      <c r="AU320" s="3061"/>
      <c r="AV320" s="3061"/>
      <c r="AW320" s="3061"/>
      <c r="AX320" s="3061"/>
      <c r="AY320" s="3061"/>
      <c r="AZ320" s="3061"/>
      <c r="BA320" s="3061"/>
      <c r="BB320" s="3061"/>
      <c r="BC320" s="3061"/>
      <c r="BD320" s="3061"/>
      <c r="BE320" s="3061"/>
      <c r="BF320" s="3061"/>
      <c r="BG320" s="3061"/>
      <c r="BH320" s="3061"/>
      <c r="BI320" s="3061"/>
      <c r="BJ320" s="3061"/>
      <c r="BK320" s="3061"/>
      <c r="BL320" s="3061"/>
      <c r="BM320" s="3061"/>
      <c r="BN320" s="3061"/>
      <c r="BO320" s="3061"/>
      <c r="BP320" s="3061"/>
      <c r="BQ320" s="3061"/>
      <c r="BR320" s="3061"/>
      <c r="BS320" s="3061"/>
      <c r="BT320" s="3061"/>
      <c r="BU320" s="3061"/>
      <c r="BV320" s="3061"/>
      <c r="BW320" s="3061"/>
      <c r="BX320" s="3061"/>
      <c r="BY320" s="3061"/>
      <c r="BZ320" s="3061"/>
      <c r="CA320" s="3061"/>
      <c r="CB320" s="3061"/>
      <c r="CC320" s="3061"/>
      <c r="CD320" s="3061"/>
      <c r="CE320" s="3061"/>
      <c r="CF320" s="3061"/>
      <c r="CG320" s="3061"/>
      <c r="CH320" s="3061"/>
      <c r="CI320" s="3061"/>
      <c r="CJ320" s="3061"/>
      <c r="CK320" s="3061"/>
      <c r="CL320" s="3061"/>
      <c r="CM320" s="3061"/>
      <c r="CN320" s="3061"/>
      <c r="CO320" s="3061"/>
      <c r="CP320" s="3061"/>
      <c r="CQ320" s="3061"/>
      <c r="CR320" s="3061"/>
      <c r="CS320" s="3062"/>
      <c r="CT320" s="3063"/>
      <c r="CU320" s="3064">
        <f t="shared" si="92"/>
        <v>1</v>
      </c>
      <c r="CV320" s="3022" t="str">
        <f>IF(OR(CT320="",CT320="None"),"-",DO320*CU320*SUMIF('Lighting Assumptions'!$G$3:$G$112,'6a - Lighting Counts'!G320,'Lighting Assumptions'!$J$3:$J$112))</f>
        <v>-</v>
      </c>
      <c r="CW320" s="3021"/>
      <c r="CX320" s="3021"/>
      <c r="CY320" s="3046"/>
      <c r="CZ320" s="2098">
        <f t="shared" si="93"/>
        <v>0</v>
      </c>
      <c r="DA320" s="2098" t="str">
        <f t="shared" si="94"/>
        <v>-</v>
      </c>
      <c r="DB320" s="2098">
        <f t="shared" si="95"/>
        <v>0</v>
      </c>
      <c r="DC320" s="3023" t="str">
        <f t="shared" si="96"/>
        <v>-</v>
      </c>
      <c r="DD320" s="3024" t="str">
        <f t="shared" si="97"/>
        <v/>
      </c>
      <c r="DE320" s="3025" t="str">
        <f t="shared" si="98"/>
        <v>-</v>
      </c>
      <c r="DF320" s="3024" t="str">
        <f t="shared" si="89"/>
        <v>-</v>
      </c>
      <c r="DG320" s="2098">
        <f t="shared" si="99"/>
        <v>0</v>
      </c>
      <c r="DH320" s="2098">
        <f t="array" ref="DH320">MIN(SUMPRODUCT(I320:CR320,IF($I$25:$CR$25="yes",1,0),$I$23:$CR$23),H320)</f>
        <v>0</v>
      </c>
      <c r="DI320" s="3026"/>
      <c r="DJ320" s="3021"/>
      <c r="DN320" s="917" t="str">
        <f>IF(CS320="","-",SUMIF('Lighting Assumptions'!$G$3:$G$112,'6a - Lighting Counts'!G320,'Lighting Assumptions'!$J$3:$J$112))</f>
        <v>-</v>
      </c>
      <c r="DO320" s="917" t="str">
        <f t="shared" si="90"/>
        <v>-</v>
      </c>
      <c r="DP320" s="917" t="str">
        <f t="shared" si="91"/>
        <v>-</v>
      </c>
      <c r="DQ320" s="917" t="str">
        <f>IF(LEFT(CELLformula(DF320),3)&lt;&gt;"=IF",1,"")</f>
        <v/>
      </c>
      <c r="DR320" s="917" t="str">
        <f>IF(LEFT(CELLformula(DD320),3)&lt;&gt;"=IF",1,"")</f>
        <v/>
      </c>
      <c r="DS320" s="3048">
        <f t="shared" si="100"/>
        <v>0</v>
      </c>
      <c r="DT320" s="3047" t="str">
        <f t="shared" si="101"/>
        <v/>
      </c>
      <c r="DU320" s="3047" t="str">
        <f>IFERROR(IF(G320="","",SUMIF('Lighting Assumptions'!$G$3:$G$112,'6a - Lighting Counts'!G320,'Lighting Assumptions'!$H$3:$H$112)*IF(SI_IP_Units="SI",10.76,1)),"")</f>
        <v/>
      </c>
      <c r="DV320" s="3047" t="str">
        <f>IFERROR(IF($CX320="","",IF(SI_IP_Units="SI",10.76,1)*SUMIF(BAMCategories,$CY320,'Lighting Assumptions'!$E$3:E$35)),"")</f>
        <v/>
      </c>
      <c r="DW320" s="3047" t="str">
        <f>IFERROR(IF($CX320="","",IF(SI_IP_Units="SI",10.76,1)*SUMIF(BAMCategories,$CY320,IF(bpf_reference="ACP",'Lighting Assumptions 90.1-2010'!$E$3:E$35,'Lighting Assumptions 90.1-2016'!$E$3:E$35))),"")</f>
        <v/>
      </c>
      <c r="EW320" s="855"/>
      <c r="EX320" s="855"/>
      <c r="EY320" s="855"/>
      <c r="EZ320" s="855"/>
    </row>
    <row r="321" spans="4:156" x14ac:dyDescent="0.25">
      <c r="D321" s="3019"/>
      <c r="E321" s="3020"/>
      <c r="F321" s="3021">
        <f t="shared" si="88"/>
        <v>0</v>
      </c>
      <c r="G321" s="3059"/>
      <c r="H321" s="3060"/>
      <c r="I321" s="3061"/>
      <c r="J321" s="3061"/>
      <c r="K321" s="3061"/>
      <c r="L321" s="3061"/>
      <c r="M321" s="3061"/>
      <c r="N321" s="3061"/>
      <c r="O321" s="3061"/>
      <c r="P321" s="3061"/>
      <c r="Q321" s="3061"/>
      <c r="R321" s="3061"/>
      <c r="S321" s="3061"/>
      <c r="T321" s="3061"/>
      <c r="U321" s="3061"/>
      <c r="V321" s="3061"/>
      <c r="W321" s="3061"/>
      <c r="X321" s="3061"/>
      <c r="Y321" s="3061"/>
      <c r="Z321" s="3061"/>
      <c r="AA321" s="3061"/>
      <c r="AB321" s="3061"/>
      <c r="AC321" s="3061"/>
      <c r="AD321" s="3061"/>
      <c r="AE321" s="3061"/>
      <c r="AF321" s="3061"/>
      <c r="AG321" s="3061"/>
      <c r="AH321" s="3061"/>
      <c r="AI321" s="3061"/>
      <c r="AJ321" s="3061"/>
      <c r="AK321" s="3061"/>
      <c r="AL321" s="3061"/>
      <c r="AM321" s="3061"/>
      <c r="AN321" s="3061"/>
      <c r="AO321" s="3061"/>
      <c r="AP321" s="3061"/>
      <c r="AQ321" s="3061"/>
      <c r="AR321" s="3061"/>
      <c r="AS321" s="3061"/>
      <c r="AT321" s="3061"/>
      <c r="AU321" s="3061"/>
      <c r="AV321" s="3061"/>
      <c r="AW321" s="3061"/>
      <c r="AX321" s="3061"/>
      <c r="AY321" s="3061"/>
      <c r="AZ321" s="3061"/>
      <c r="BA321" s="3061"/>
      <c r="BB321" s="3061"/>
      <c r="BC321" s="3061"/>
      <c r="BD321" s="3061"/>
      <c r="BE321" s="3061"/>
      <c r="BF321" s="3061"/>
      <c r="BG321" s="3061"/>
      <c r="BH321" s="3061"/>
      <c r="BI321" s="3061"/>
      <c r="BJ321" s="3061"/>
      <c r="BK321" s="3061"/>
      <c r="BL321" s="3061"/>
      <c r="BM321" s="3061"/>
      <c r="BN321" s="3061"/>
      <c r="BO321" s="3061"/>
      <c r="BP321" s="3061"/>
      <c r="BQ321" s="3061"/>
      <c r="BR321" s="3061"/>
      <c r="BS321" s="3061"/>
      <c r="BT321" s="3061"/>
      <c r="BU321" s="3061"/>
      <c r="BV321" s="3061"/>
      <c r="BW321" s="3061"/>
      <c r="BX321" s="3061"/>
      <c r="BY321" s="3061"/>
      <c r="BZ321" s="3061"/>
      <c r="CA321" s="3061"/>
      <c r="CB321" s="3061"/>
      <c r="CC321" s="3061"/>
      <c r="CD321" s="3061"/>
      <c r="CE321" s="3061"/>
      <c r="CF321" s="3061"/>
      <c r="CG321" s="3061"/>
      <c r="CH321" s="3061"/>
      <c r="CI321" s="3061"/>
      <c r="CJ321" s="3061"/>
      <c r="CK321" s="3061"/>
      <c r="CL321" s="3061"/>
      <c r="CM321" s="3061"/>
      <c r="CN321" s="3061"/>
      <c r="CO321" s="3061"/>
      <c r="CP321" s="3061"/>
      <c r="CQ321" s="3061"/>
      <c r="CR321" s="3061"/>
      <c r="CS321" s="3062"/>
      <c r="CT321" s="3063"/>
      <c r="CU321" s="3064">
        <f t="shared" si="92"/>
        <v>1</v>
      </c>
      <c r="CV321" s="3022" t="str">
        <f>IF(OR(CT321="",CT321="None"),"-",DO321*CU321*SUMIF('Lighting Assumptions'!$G$3:$G$112,'6a - Lighting Counts'!G321,'Lighting Assumptions'!$J$3:$J$112))</f>
        <v>-</v>
      </c>
      <c r="CW321" s="3021"/>
      <c r="CX321" s="3021"/>
      <c r="CY321" s="3046"/>
      <c r="CZ321" s="2098">
        <f t="shared" si="93"/>
        <v>0</v>
      </c>
      <c r="DA321" s="2098" t="str">
        <f t="shared" si="94"/>
        <v>-</v>
      </c>
      <c r="DB321" s="2098">
        <f t="shared" si="95"/>
        <v>0</v>
      </c>
      <c r="DC321" s="3023" t="str">
        <f t="shared" si="96"/>
        <v>-</v>
      </c>
      <c r="DD321" s="3024" t="str">
        <f t="shared" si="97"/>
        <v/>
      </c>
      <c r="DE321" s="3025" t="str">
        <f t="shared" si="98"/>
        <v>-</v>
      </c>
      <c r="DF321" s="3024" t="str">
        <f t="shared" si="89"/>
        <v>-</v>
      </c>
      <c r="DG321" s="2098">
        <f t="shared" si="99"/>
        <v>0</v>
      </c>
      <c r="DH321" s="2098">
        <f t="array" ref="DH321">MIN(SUMPRODUCT(I321:CR321,IF($I$25:$CR$25="yes",1,0),$I$23:$CR$23),H321)</f>
        <v>0</v>
      </c>
      <c r="DI321" s="3026"/>
      <c r="DJ321" s="3021"/>
      <c r="DN321" s="917" t="str">
        <f>IF(CS321="","-",SUMIF('Lighting Assumptions'!$G$3:$G$112,'6a - Lighting Counts'!G321,'Lighting Assumptions'!$J$3:$J$112))</f>
        <v>-</v>
      </c>
      <c r="DO321" s="917" t="str">
        <f t="shared" si="90"/>
        <v>-</v>
      </c>
      <c r="DP321" s="917" t="str">
        <f t="shared" si="91"/>
        <v>-</v>
      </c>
      <c r="DQ321" s="917" t="str">
        <f>IF(LEFT(CELLformula(DF321),3)&lt;&gt;"=IF",1,"")</f>
        <v/>
      </c>
      <c r="DR321" s="917" t="str">
        <f>IF(LEFT(CELLformula(DD321),3)&lt;&gt;"=IF",1,"")</f>
        <v/>
      </c>
      <c r="DS321" s="3048">
        <f t="shared" si="100"/>
        <v>0</v>
      </c>
      <c r="DT321" s="3047" t="str">
        <f t="shared" si="101"/>
        <v/>
      </c>
      <c r="DU321" s="3047" t="str">
        <f>IFERROR(IF(G321="","",SUMIF('Lighting Assumptions'!$G$3:$G$112,'6a - Lighting Counts'!G321,'Lighting Assumptions'!$H$3:$H$112)*IF(SI_IP_Units="SI",10.76,1)),"")</f>
        <v/>
      </c>
      <c r="DV321" s="3047" t="str">
        <f>IFERROR(IF($CX321="","",IF(SI_IP_Units="SI",10.76,1)*SUMIF(BAMCategories,$CY321,'Lighting Assumptions'!$E$3:E$35)),"")</f>
        <v/>
      </c>
      <c r="DW321" s="3047" t="str">
        <f>IFERROR(IF($CX321="","",IF(SI_IP_Units="SI",10.76,1)*SUMIF(BAMCategories,$CY321,IF(bpf_reference="ACP",'Lighting Assumptions 90.1-2010'!$E$3:E$35,'Lighting Assumptions 90.1-2016'!$E$3:E$35))),"")</f>
        <v/>
      </c>
      <c r="EW321" s="855"/>
      <c r="EX321" s="855"/>
      <c r="EY321" s="855"/>
      <c r="EZ321" s="855"/>
    </row>
    <row r="322" spans="4:156" x14ac:dyDescent="0.25">
      <c r="D322" s="3019"/>
      <c r="E322" s="3020"/>
      <c r="F322" s="3021">
        <f t="shared" si="88"/>
        <v>0</v>
      </c>
      <c r="G322" s="3059"/>
      <c r="H322" s="3060"/>
      <c r="I322" s="3061"/>
      <c r="J322" s="3061"/>
      <c r="K322" s="3061"/>
      <c r="L322" s="3061"/>
      <c r="M322" s="3061"/>
      <c r="N322" s="3061"/>
      <c r="O322" s="3061"/>
      <c r="P322" s="3061"/>
      <c r="Q322" s="3061"/>
      <c r="R322" s="3061"/>
      <c r="S322" s="3061"/>
      <c r="T322" s="3061"/>
      <c r="U322" s="3061"/>
      <c r="V322" s="3061"/>
      <c r="W322" s="3061"/>
      <c r="X322" s="3061"/>
      <c r="Y322" s="3061"/>
      <c r="Z322" s="3061"/>
      <c r="AA322" s="3061"/>
      <c r="AB322" s="3061"/>
      <c r="AC322" s="3061"/>
      <c r="AD322" s="3061"/>
      <c r="AE322" s="3061"/>
      <c r="AF322" s="3061"/>
      <c r="AG322" s="3061"/>
      <c r="AH322" s="3061"/>
      <c r="AI322" s="3061"/>
      <c r="AJ322" s="3061"/>
      <c r="AK322" s="3061"/>
      <c r="AL322" s="3061"/>
      <c r="AM322" s="3061"/>
      <c r="AN322" s="3061"/>
      <c r="AO322" s="3061"/>
      <c r="AP322" s="3061"/>
      <c r="AQ322" s="3061"/>
      <c r="AR322" s="3061"/>
      <c r="AS322" s="3061"/>
      <c r="AT322" s="3061"/>
      <c r="AU322" s="3061"/>
      <c r="AV322" s="3061"/>
      <c r="AW322" s="3061"/>
      <c r="AX322" s="3061"/>
      <c r="AY322" s="3061"/>
      <c r="AZ322" s="3061"/>
      <c r="BA322" s="3061"/>
      <c r="BB322" s="3061"/>
      <c r="BC322" s="3061"/>
      <c r="BD322" s="3061"/>
      <c r="BE322" s="3061"/>
      <c r="BF322" s="3061"/>
      <c r="BG322" s="3061"/>
      <c r="BH322" s="3061"/>
      <c r="BI322" s="3061"/>
      <c r="BJ322" s="3061"/>
      <c r="BK322" s="3061"/>
      <c r="BL322" s="3061"/>
      <c r="BM322" s="3061"/>
      <c r="BN322" s="3061"/>
      <c r="BO322" s="3061"/>
      <c r="BP322" s="3061"/>
      <c r="BQ322" s="3061"/>
      <c r="BR322" s="3061"/>
      <c r="BS322" s="3061"/>
      <c r="BT322" s="3061"/>
      <c r="BU322" s="3061"/>
      <c r="BV322" s="3061"/>
      <c r="BW322" s="3061"/>
      <c r="BX322" s="3061"/>
      <c r="BY322" s="3061"/>
      <c r="BZ322" s="3061"/>
      <c r="CA322" s="3061"/>
      <c r="CB322" s="3061"/>
      <c r="CC322" s="3061"/>
      <c r="CD322" s="3061"/>
      <c r="CE322" s="3061"/>
      <c r="CF322" s="3061"/>
      <c r="CG322" s="3061"/>
      <c r="CH322" s="3061"/>
      <c r="CI322" s="3061"/>
      <c r="CJ322" s="3061"/>
      <c r="CK322" s="3061"/>
      <c r="CL322" s="3061"/>
      <c r="CM322" s="3061"/>
      <c r="CN322" s="3061"/>
      <c r="CO322" s="3061"/>
      <c r="CP322" s="3061"/>
      <c r="CQ322" s="3061"/>
      <c r="CR322" s="3061"/>
      <c r="CS322" s="3062"/>
      <c r="CT322" s="3063"/>
      <c r="CU322" s="3064">
        <f t="shared" si="92"/>
        <v>1</v>
      </c>
      <c r="CV322" s="3022" t="str">
        <f>IF(OR(CT322="",CT322="None"),"-",DO322*CU322*SUMIF('Lighting Assumptions'!$G$3:$G$112,'6a - Lighting Counts'!G322,'Lighting Assumptions'!$J$3:$J$112))</f>
        <v>-</v>
      </c>
      <c r="CW322" s="3021"/>
      <c r="CX322" s="3021"/>
      <c r="CY322" s="3046"/>
      <c r="CZ322" s="2098">
        <f t="shared" si="93"/>
        <v>0</v>
      </c>
      <c r="DA322" s="2098" t="str">
        <f t="shared" si="94"/>
        <v>-</v>
      </c>
      <c r="DB322" s="2098">
        <f t="shared" si="95"/>
        <v>0</v>
      </c>
      <c r="DC322" s="3023" t="str">
        <f t="shared" si="96"/>
        <v>-</v>
      </c>
      <c r="DD322" s="3024" t="str">
        <f t="shared" si="97"/>
        <v/>
      </c>
      <c r="DE322" s="3025" t="str">
        <f t="shared" si="98"/>
        <v>-</v>
      </c>
      <c r="DF322" s="3024" t="str">
        <f t="shared" si="89"/>
        <v>-</v>
      </c>
      <c r="DG322" s="2098">
        <f t="shared" si="99"/>
        <v>0</v>
      </c>
      <c r="DH322" s="2098">
        <f t="array" ref="DH322">MIN(SUMPRODUCT(I322:CR322,IF($I$25:$CR$25="yes",1,0),$I$23:$CR$23),H322)</f>
        <v>0</v>
      </c>
      <c r="DI322" s="3026"/>
      <c r="DJ322" s="3021"/>
      <c r="DN322" s="917" t="str">
        <f>IF(CS322="","-",SUMIF('Lighting Assumptions'!$G$3:$G$112,'6a - Lighting Counts'!G322,'Lighting Assumptions'!$J$3:$J$112))</f>
        <v>-</v>
      </c>
      <c r="DO322" s="917" t="str">
        <f t="shared" si="90"/>
        <v>-</v>
      </c>
      <c r="DP322" s="917" t="str">
        <f t="shared" si="91"/>
        <v>-</v>
      </c>
      <c r="DQ322" s="917" t="str">
        <f>IF(LEFT(CELLformula(DF322),3)&lt;&gt;"=IF",1,"")</f>
        <v/>
      </c>
      <c r="DR322" s="917" t="str">
        <f>IF(LEFT(CELLformula(DD322),3)&lt;&gt;"=IF",1,"")</f>
        <v/>
      </c>
      <c r="DS322" s="3048">
        <f t="shared" si="100"/>
        <v>0</v>
      </c>
      <c r="DT322" s="3047" t="str">
        <f t="shared" si="101"/>
        <v/>
      </c>
      <c r="DU322" s="3047" t="str">
        <f>IFERROR(IF(G322="","",SUMIF('Lighting Assumptions'!$G$3:$G$112,'6a - Lighting Counts'!G322,'Lighting Assumptions'!$H$3:$H$112)*IF(SI_IP_Units="SI",10.76,1)),"")</f>
        <v/>
      </c>
      <c r="DV322" s="3047" t="str">
        <f>IFERROR(IF($CX322="","",IF(SI_IP_Units="SI",10.76,1)*SUMIF(BAMCategories,$CY322,'Lighting Assumptions'!$E$3:E$35)),"")</f>
        <v/>
      </c>
      <c r="DW322" s="3047" t="str">
        <f>IFERROR(IF($CX322="","",IF(SI_IP_Units="SI",10.76,1)*SUMIF(BAMCategories,$CY322,IF(bpf_reference="ACP",'Lighting Assumptions 90.1-2010'!$E$3:E$35,'Lighting Assumptions 90.1-2016'!$E$3:E$35))),"")</f>
        <v/>
      </c>
      <c r="EW322" s="855"/>
      <c r="EX322" s="855"/>
      <c r="EY322" s="855"/>
      <c r="EZ322" s="855"/>
    </row>
    <row r="323" spans="4:156" x14ac:dyDescent="0.25">
      <c r="D323" s="3019"/>
      <c r="E323" s="3020"/>
      <c r="F323" s="3021">
        <f t="shared" si="88"/>
        <v>0</v>
      </c>
      <c r="G323" s="3059"/>
      <c r="H323" s="3060"/>
      <c r="I323" s="3061"/>
      <c r="J323" s="3061"/>
      <c r="K323" s="3061"/>
      <c r="L323" s="3061"/>
      <c r="M323" s="3061"/>
      <c r="N323" s="3061"/>
      <c r="O323" s="3061"/>
      <c r="P323" s="3061"/>
      <c r="Q323" s="3061"/>
      <c r="R323" s="3061"/>
      <c r="S323" s="3061"/>
      <c r="T323" s="3061"/>
      <c r="U323" s="3061"/>
      <c r="V323" s="3061"/>
      <c r="W323" s="3061"/>
      <c r="X323" s="3061"/>
      <c r="Y323" s="3061"/>
      <c r="Z323" s="3061"/>
      <c r="AA323" s="3061"/>
      <c r="AB323" s="3061"/>
      <c r="AC323" s="3061"/>
      <c r="AD323" s="3061"/>
      <c r="AE323" s="3061"/>
      <c r="AF323" s="3061"/>
      <c r="AG323" s="3061"/>
      <c r="AH323" s="3061"/>
      <c r="AI323" s="3061"/>
      <c r="AJ323" s="3061"/>
      <c r="AK323" s="3061"/>
      <c r="AL323" s="3061"/>
      <c r="AM323" s="3061"/>
      <c r="AN323" s="3061"/>
      <c r="AO323" s="3061"/>
      <c r="AP323" s="3061"/>
      <c r="AQ323" s="3061"/>
      <c r="AR323" s="3061"/>
      <c r="AS323" s="3061"/>
      <c r="AT323" s="3061"/>
      <c r="AU323" s="3061"/>
      <c r="AV323" s="3061"/>
      <c r="AW323" s="3061"/>
      <c r="AX323" s="3061"/>
      <c r="AY323" s="3061"/>
      <c r="AZ323" s="3061"/>
      <c r="BA323" s="3061"/>
      <c r="BB323" s="3061"/>
      <c r="BC323" s="3061"/>
      <c r="BD323" s="3061"/>
      <c r="BE323" s="3061"/>
      <c r="BF323" s="3061"/>
      <c r="BG323" s="3061"/>
      <c r="BH323" s="3061"/>
      <c r="BI323" s="3061"/>
      <c r="BJ323" s="3061"/>
      <c r="BK323" s="3061"/>
      <c r="BL323" s="3061"/>
      <c r="BM323" s="3061"/>
      <c r="BN323" s="3061"/>
      <c r="BO323" s="3061"/>
      <c r="BP323" s="3061"/>
      <c r="BQ323" s="3061"/>
      <c r="BR323" s="3061"/>
      <c r="BS323" s="3061"/>
      <c r="BT323" s="3061"/>
      <c r="BU323" s="3061"/>
      <c r="BV323" s="3061"/>
      <c r="BW323" s="3061"/>
      <c r="BX323" s="3061"/>
      <c r="BY323" s="3061"/>
      <c r="BZ323" s="3061"/>
      <c r="CA323" s="3061"/>
      <c r="CB323" s="3061"/>
      <c r="CC323" s="3061"/>
      <c r="CD323" s="3061"/>
      <c r="CE323" s="3061"/>
      <c r="CF323" s="3061"/>
      <c r="CG323" s="3061"/>
      <c r="CH323" s="3061"/>
      <c r="CI323" s="3061"/>
      <c r="CJ323" s="3061"/>
      <c r="CK323" s="3061"/>
      <c r="CL323" s="3061"/>
      <c r="CM323" s="3061"/>
      <c r="CN323" s="3061"/>
      <c r="CO323" s="3061"/>
      <c r="CP323" s="3061"/>
      <c r="CQ323" s="3061"/>
      <c r="CR323" s="3061"/>
      <c r="CS323" s="3062"/>
      <c r="CT323" s="3063"/>
      <c r="CU323" s="3064">
        <f t="shared" si="92"/>
        <v>1</v>
      </c>
      <c r="CV323" s="3022" t="str">
        <f>IF(OR(CT323="",CT323="None"),"-",DO323*CU323*SUMIF('Lighting Assumptions'!$G$3:$G$112,'6a - Lighting Counts'!G323,'Lighting Assumptions'!$J$3:$J$112))</f>
        <v>-</v>
      </c>
      <c r="CW323" s="3021"/>
      <c r="CX323" s="3021"/>
      <c r="CY323" s="3046"/>
      <c r="CZ323" s="2098">
        <f t="shared" si="93"/>
        <v>0</v>
      </c>
      <c r="DA323" s="2098" t="str">
        <f t="shared" si="94"/>
        <v>-</v>
      </c>
      <c r="DB323" s="2098">
        <f t="shared" si="95"/>
        <v>0</v>
      </c>
      <c r="DC323" s="3023" t="str">
        <f t="shared" si="96"/>
        <v>-</v>
      </c>
      <c r="DD323" s="3024" t="str">
        <f t="shared" si="97"/>
        <v/>
      </c>
      <c r="DE323" s="3025" t="str">
        <f t="shared" si="98"/>
        <v>-</v>
      </c>
      <c r="DF323" s="3024" t="str">
        <f t="shared" si="89"/>
        <v>-</v>
      </c>
      <c r="DG323" s="2098">
        <f t="shared" si="99"/>
        <v>0</v>
      </c>
      <c r="DH323" s="2098">
        <f t="array" ref="DH323">MIN(SUMPRODUCT(I323:CR323,IF($I$25:$CR$25="yes",1,0),$I$23:$CR$23),H323)</f>
        <v>0</v>
      </c>
      <c r="DI323" s="3026"/>
      <c r="DJ323" s="3021"/>
      <c r="DN323" s="917" t="str">
        <f>IF(CS323="","-",SUMIF('Lighting Assumptions'!$G$3:$G$112,'6a - Lighting Counts'!G323,'Lighting Assumptions'!$J$3:$J$112))</f>
        <v>-</v>
      </c>
      <c r="DO323" s="917" t="str">
        <f t="shared" si="90"/>
        <v>-</v>
      </c>
      <c r="DP323" s="917" t="str">
        <f t="shared" si="91"/>
        <v>-</v>
      </c>
      <c r="DQ323" s="917" t="str">
        <f>IF(LEFT(CELLformula(DF323),3)&lt;&gt;"=IF",1,"")</f>
        <v/>
      </c>
      <c r="DR323" s="917" t="str">
        <f>IF(LEFT(CELLformula(DD323),3)&lt;&gt;"=IF",1,"")</f>
        <v/>
      </c>
      <c r="DS323" s="3048">
        <f t="shared" si="100"/>
        <v>0</v>
      </c>
      <c r="DT323" s="3047" t="str">
        <f t="shared" si="101"/>
        <v/>
      </c>
      <c r="DU323" s="3047" t="str">
        <f>IFERROR(IF(G323="","",SUMIF('Lighting Assumptions'!$G$3:$G$112,'6a - Lighting Counts'!G323,'Lighting Assumptions'!$H$3:$H$112)*IF(SI_IP_Units="SI",10.76,1)),"")</f>
        <v/>
      </c>
      <c r="DV323" s="3047" t="str">
        <f>IFERROR(IF($CX323="","",IF(SI_IP_Units="SI",10.76,1)*SUMIF(BAMCategories,$CY323,'Lighting Assumptions'!$E$3:E$35)),"")</f>
        <v/>
      </c>
      <c r="DW323" s="3047" t="str">
        <f>IFERROR(IF($CX323="","",IF(SI_IP_Units="SI",10.76,1)*SUMIF(BAMCategories,$CY323,IF(bpf_reference="ACP",'Lighting Assumptions 90.1-2010'!$E$3:E$35,'Lighting Assumptions 90.1-2016'!$E$3:E$35))),"")</f>
        <v/>
      </c>
      <c r="EW323" s="855"/>
      <c r="EX323" s="855"/>
      <c r="EY323" s="855"/>
      <c r="EZ323" s="855"/>
    </row>
    <row r="324" spans="4:156" x14ac:dyDescent="0.25">
      <c r="D324" s="3019"/>
      <c r="E324" s="3020"/>
      <c r="F324" s="3021">
        <f t="shared" si="88"/>
        <v>0</v>
      </c>
      <c r="G324" s="3059"/>
      <c r="H324" s="3060"/>
      <c r="I324" s="3061"/>
      <c r="J324" s="3061"/>
      <c r="K324" s="3061"/>
      <c r="L324" s="3061"/>
      <c r="M324" s="3061"/>
      <c r="N324" s="3061"/>
      <c r="O324" s="3061"/>
      <c r="P324" s="3061"/>
      <c r="Q324" s="3061"/>
      <c r="R324" s="3061"/>
      <c r="S324" s="3061"/>
      <c r="T324" s="3061"/>
      <c r="U324" s="3061"/>
      <c r="V324" s="3061"/>
      <c r="W324" s="3061"/>
      <c r="X324" s="3061"/>
      <c r="Y324" s="3061"/>
      <c r="Z324" s="3061"/>
      <c r="AA324" s="3061"/>
      <c r="AB324" s="3061"/>
      <c r="AC324" s="3061"/>
      <c r="AD324" s="3061"/>
      <c r="AE324" s="3061"/>
      <c r="AF324" s="3061"/>
      <c r="AG324" s="3061"/>
      <c r="AH324" s="3061"/>
      <c r="AI324" s="3061"/>
      <c r="AJ324" s="3061"/>
      <c r="AK324" s="3061"/>
      <c r="AL324" s="3061"/>
      <c r="AM324" s="3061"/>
      <c r="AN324" s="3061"/>
      <c r="AO324" s="3061"/>
      <c r="AP324" s="3061"/>
      <c r="AQ324" s="3061"/>
      <c r="AR324" s="3061"/>
      <c r="AS324" s="3061"/>
      <c r="AT324" s="3061"/>
      <c r="AU324" s="3061"/>
      <c r="AV324" s="3061"/>
      <c r="AW324" s="3061"/>
      <c r="AX324" s="3061"/>
      <c r="AY324" s="3061"/>
      <c r="AZ324" s="3061"/>
      <c r="BA324" s="3061"/>
      <c r="BB324" s="3061"/>
      <c r="BC324" s="3061"/>
      <c r="BD324" s="3061"/>
      <c r="BE324" s="3061"/>
      <c r="BF324" s="3061"/>
      <c r="BG324" s="3061"/>
      <c r="BH324" s="3061"/>
      <c r="BI324" s="3061"/>
      <c r="BJ324" s="3061"/>
      <c r="BK324" s="3061"/>
      <c r="BL324" s="3061"/>
      <c r="BM324" s="3061"/>
      <c r="BN324" s="3061"/>
      <c r="BO324" s="3061"/>
      <c r="BP324" s="3061"/>
      <c r="BQ324" s="3061"/>
      <c r="BR324" s="3061"/>
      <c r="BS324" s="3061"/>
      <c r="BT324" s="3061"/>
      <c r="BU324" s="3061"/>
      <c r="BV324" s="3061"/>
      <c r="BW324" s="3061"/>
      <c r="BX324" s="3061"/>
      <c r="BY324" s="3061"/>
      <c r="BZ324" s="3061"/>
      <c r="CA324" s="3061"/>
      <c r="CB324" s="3061"/>
      <c r="CC324" s="3061"/>
      <c r="CD324" s="3061"/>
      <c r="CE324" s="3061"/>
      <c r="CF324" s="3061"/>
      <c r="CG324" s="3061"/>
      <c r="CH324" s="3061"/>
      <c r="CI324" s="3061"/>
      <c r="CJ324" s="3061"/>
      <c r="CK324" s="3061"/>
      <c r="CL324" s="3061"/>
      <c r="CM324" s="3061"/>
      <c r="CN324" s="3061"/>
      <c r="CO324" s="3061"/>
      <c r="CP324" s="3061"/>
      <c r="CQ324" s="3061"/>
      <c r="CR324" s="3061"/>
      <c r="CS324" s="3062"/>
      <c r="CT324" s="3063"/>
      <c r="CU324" s="3064">
        <f t="shared" si="92"/>
        <v>1</v>
      </c>
      <c r="CV324" s="3022" t="str">
        <f>IF(OR(CT324="",CT324="None"),"-",DO324*CU324*SUMIF('Lighting Assumptions'!$G$3:$G$112,'6a - Lighting Counts'!G324,'Lighting Assumptions'!$J$3:$J$112))</f>
        <v>-</v>
      </c>
      <c r="CW324" s="3021"/>
      <c r="CX324" s="3021"/>
      <c r="CY324" s="3046"/>
      <c r="CZ324" s="2098">
        <f t="shared" si="93"/>
        <v>0</v>
      </c>
      <c r="DA324" s="2098" t="str">
        <f t="shared" si="94"/>
        <v>-</v>
      </c>
      <c r="DB324" s="2098">
        <f t="shared" si="95"/>
        <v>0</v>
      </c>
      <c r="DC324" s="3023" t="str">
        <f t="shared" si="96"/>
        <v>-</v>
      </c>
      <c r="DD324" s="3024" t="str">
        <f t="shared" si="97"/>
        <v/>
      </c>
      <c r="DE324" s="3025" t="str">
        <f t="shared" si="98"/>
        <v>-</v>
      </c>
      <c r="DF324" s="3024" t="str">
        <f t="shared" si="89"/>
        <v>-</v>
      </c>
      <c r="DG324" s="2098">
        <f t="shared" si="99"/>
        <v>0</v>
      </c>
      <c r="DH324" s="2098">
        <f t="array" ref="DH324">MIN(SUMPRODUCT(I324:CR324,IF($I$25:$CR$25="yes",1,0),$I$23:$CR$23),H324)</f>
        <v>0</v>
      </c>
      <c r="DI324" s="3026"/>
      <c r="DJ324" s="3021"/>
      <c r="DN324" s="917" t="str">
        <f>IF(CS324="","-",SUMIF('Lighting Assumptions'!$G$3:$G$112,'6a - Lighting Counts'!G324,'Lighting Assumptions'!$J$3:$J$112))</f>
        <v>-</v>
      </c>
      <c r="DO324" s="917" t="str">
        <f t="shared" si="90"/>
        <v>-</v>
      </c>
      <c r="DP324" s="917" t="str">
        <f t="shared" si="91"/>
        <v>-</v>
      </c>
      <c r="DQ324" s="917" t="str">
        <f>IF(LEFT(CELLformula(DF324),3)&lt;&gt;"=IF",1,"")</f>
        <v/>
      </c>
      <c r="DR324" s="917" t="str">
        <f>IF(LEFT(CELLformula(DD324),3)&lt;&gt;"=IF",1,"")</f>
        <v/>
      </c>
      <c r="DS324" s="3048">
        <f t="shared" si="100"/>
        <v>0</v>
      </c>
      <c r="DT324" s="3047" t="str">
        <f t="shared" si="101"/>
        <v/>
      </c>
      <c r="DU324" s="3047" t="str">
        <f>IFERROR(IF(G324="","",SUMIF('Lighting Assumptions'!$G$3:$G$112,'6a - Lighting Counts'!G324,'Lighting Assumptions'!$H$3:$H$112)*IF(SI_IP_Units="SI",10.76,1)),"")</f>
        <v/>
      </c>
      <c r="DV324" s="3047" t="str">
        <f>IFERROR(IF($CX324="","",IF(SI_IP_Units="SI",10.76,1)*SUMIF(BAMCategories,$CY324,'Lighting Assumptions'!$E$3:E$35)),"")</f>
        <v/>
      </c>
      <c r="DW324" s="3047" t="str">
        <f>IFERROR(IF($CX324="","",IF(SI_IP_Units="SI",10.76,1)*SUMIF(BAMCategories,$CY324,IF(bpf_reference="ACP",'Lighting Assumptions 90.1-2010'!$E$3:E$35,'Lighting Assumptions 90.1-2016'!$E$3:E$35))),"")</f>
        <v/>
      </c>
      <c r="EW324" s="855"/>
      <c r="EX324" s="855"/>
      <c r="EY324" s="855"/>
      <c r="EZ324" s="855"/>
    </row>
    <row r="325" spans="4:156" x14ac:dyDescent="0.25">
      <c r="D325" s="3019"/>
      <c r="E325" s="3020"/>
      <c r="F325" s="3021">
        <f t="shared" si="88"/>
        <v>0</v>
      </c>
      <c r="G325" s="3059"/>
      <c r="H325" s="3060"/>
      <c r="I325" s="3061"/>
      <c r="J325" s="3061"/>
      <c r="K325" s="3061"/>
      <c r="L325" s="3061"/>
      <c r="M325" s="3061"/>
      <c r="N325" s="3061"/>
      <c r="O325" s="3061"/>
      <c r="P325" s="3061"/>
      <c r="Q325" s="3061"/>
      <c r="R325" s="3061"/>
      <c r="S325" s="3061"/>
      <c r="T325" s="3061"/>
      <c r="U325" s="3061"/>
      <c r="V325" s="3061"/>
      <c r="W325" s="3061"/>
      <c r="X325" s="3061"/>
      <c r="Y325" s="3061"/>
      <c r="Z325" s="3061"/>
      <c r="AA325" s="3061"/>
      <c r="AB325" s="3061"/>
      <c r="AC325" s="3061"/>
      <c r="AD325" s="3061"/>
      <c r="AE325" s="3061"/>
      <c r="AF325" s="3061"/>
      <c r="AG325" s="3061"/>
      <c r="AH325" s="3061"/>
      <c r="AI325" s="3061"/>
      <c r="AJ325" s="3061"/>
      <c r="AK325" s="3061"/>
      <c r="AL325" s="3061"/>
      <c r="AM325" s="3061"/>
      <c r="AN325" s="3061"/>
      <c r="AO325" s="3061"/>
      <c r="AP325" s="3061"/>
      <c r="AQ325" s="3061"/>
      <c r="AR325" s="3061"/>
      <c r="AS325" s="3061"/>
      <c r="AT325" s="3061"/>
      <c r="AU325" s="3061"/>
      <c r="AV325" s="3061"/>
      <c r="AW325" s="3061"/>
      <c r="AX325" s="3061"/>
      <c r="AY325" s="3061"/>
      <c r="AZ325" s="3061"/>
      <c r="BA325" s="3061"/>
      <c r="BB325" s="3061"/>
      <c r="BC325" s="3061"/>
      <c r="BD325" s="3061"/>
      <c r="BE325" s="3061"/>
      <c r="BF325" s="3061"/>
      <c r="BG325" s="3061"/>
      <c r="BH325" s="3061"/>
      <c r="BI325" s="3061"/>
      <c r="BJ325" s="3061"/>
      <c r="BK325" s="3061"/>
      <c r="BL325" s="3061"/>
      <c r="BM325" s="3061"/>
      <c r="BN325" s="3061"/>
      <c r="BO325" s="3061"/>
      <c r="BP325" s="3061"/>
      <c r="BQ325" s="3061"/>
      <c r="BR325" s="3061"/>
      <c r="BS325" s="3061"/>
      <c r="BT325" s="3061"/>
      <c r="BU325" s="3061"/>
      <c r="BV325" s="3061"/>
      <c r="BW325" s="3061"/>
      <c r="BX325" s="3061"/>
      <c r="BY325" s="3061"/>
      <c r="BZ325" s="3061"/>
      <c r="CA325" s="3061"/>
      <c r="CB325" s="3061"/>
      <c r="CC325" s="3061"/>
      <c r="CD325" s="3061"/>
      <c r="CE325" s="3061"/>
      <c r="CF325" s="3061"/>
      <c r="CG325" s="3061"/>
      <c r="CH325" s="3061"/>
      <c r="CI325" s="3061"/>
      <c r="CJ325" s="3061"/>
      <c r="CK325" s="3061"/>
      <c r="CL325" s="3061"/>
      <c r="CM325" s="3061"/>
      <c r="CN325" s="3061"/>
      <c r="CO325" s="3061"/>
      <c r="CP325" s="3061"/>
      <c r="CQ325" s="3061"/>
      <c r="CR325" s="3061"/>
      <c r="CS325" s="3062"/>
      <c r="CT325" s="3063"/>
      <c r="CU325" s="3064">
        <f t="shared" si="92"/>
        <v>1</v>
      </c>
      <c r="CV325" s="3022" t="str">
        <f>IF(OR(CT325="",CT325="None"),"-",DO325*CU325*SUMIF('Lighting Assumptions'!$G$3:$G$112,'6a - Lighting Counts'!G325,'Lighting Assumptions'!$J$3:$J$112))</f>
        <v>-</v>
      </c>
      <c r="CW325" s="3021"/>
      <c r="CX325" s="3021"/>
      <c r="CY325" s="3046"/>
      <c r="CZ325" s="2098">
        <f t="shared" si="93"/>
        <v>0</v>
      </c>
      <c r="DA325" s="2098" t="str">
        <f t="shared" si="94"/>
        <v>-</v>
      </c>
      <c r="DB325" s="2098">
        <f t="shared" si="95"/>
        <v>0</v>
      </c>
      <c r="DC325" s="3023" t="str">
        <f t="shared" si="96"/>
        <v>-</v>
      </c>
      <c r="DD325" s="3024" t="str">
        <f t="shared" si="97"/>
        <v/>
      </c>
      <c r="DE325" s="3025" t="str">
        <f t="shared" si="98"/>
        <v>-</v>
      </c>
      <c r="DF325" s="3024" t="str">
        <f t="shared" si="89"/>
        <v>-</v>
      </c>
      <c r="DG325" s="2098">
        <f t="shared" si="99"/>
        <v>0</v>
      </c>
      <c r="DH325" s="2098">
        <f t="array" ref="DH325">MIN(SUMPRODUCT(I325:CR325,IF($I$25:$CR$25="yes",1,0),$I$23:$CR$23),H325)</f>
        <v>0</v>
      </c>
      <c r="DI325" s="3026"/>
      <c r="DJ325" s="3021"/>
      <c r="DN325" s="917" t="str">
        <f>IF(CS325="","-",SUMIF('Lighting Assumptions'!$G$3:$G$112,'6a - Lighting Counts'!G325,'Lighting Assumptions'!$J$3:$J$112))</f>
        <v>-</v>
      </c>
      <c r="DO325" s="917" t="str">
        <f t="shared" si="90"/>
        <v>-</v>
      </c>
      <c r="DP325" s="917" t="str">
        <f t="shared" si="91"/>
        <v>-</v>
      </c>
      <c r="DQ325" s="917" t="str">
        <f>IF(LEFT(CELLformula(DF325),3)&lt;&gt;"=IF",1,"")</f>
        <v/>
      </c>
      <c r="DR325" s="917" t="str">
        <f>IF(LEFT(CELLformula(DD325),3)&lt;&gt;"=IF",1,"")</f>
        <v/>
      </c>
      <c r="DS325" s="3048">
        <f t="shared" si="100"/>
        <v>0</v>
      </c>
      <c r="DT325" s="3047" t="str">
        <f t="shared" si="101"/>
        <v/>
      </c>
      <c r="DU325" s="3047" t="str">
        <f>IFERROR(IF(G325="","",SUMIF('Lighting Assumptions'!$G$3:$G$112,'6a - Lighting Counts'!G325,'Lighting Assumptions'!$H$3:$H$112)*IF(SI_IP_Units="SI",10.76,1)),"")</f>
        <v/>
      </c>
      <c r="DV325" s="3047" t="str">
        <f>IFERROR(IF($CX325="","",IF(SI_IP_Units="SI",10.76,1)*SUMIF(BAMCategories,$CY325,'Lighting Assumptions'!$E$3:E$35)),"")</f>
        <v/>
      </c>
      <c r="DW325" s="3047" t="str">
        <f>IFERROR(IF($CX325="","",IF(SI_IP_Units="SI",10.76,1)*SUMIF(BAMCategories,$CY325,IF(bpf_reference="ACP",'Lighting Assumptions 90.1-2010'!$E$3:E$35,'Lighting Assumptions 90.1-2016'!$E$3:E$35))),"")</f>
        <v/>
      </c>
      <c r="EW325" s="855"/>
      <c r="EX325" s="855"/>
      <c r="EY325" s="855"/>
      <c r="EZ325" s="855"/>
    </row>
    <row r="326" spans="4:156" x14ac:dyDescent="0.25">
      <c r="D326" s="3019"/>
      <c r="E326" s="3020"/>
      <c r="F326" s="3021">
        <f t="shared" si="88"/>
        <v>0</v>
      </c>
      <c r="G326" s="3059"/>
      <c r="H326" s="3060"/>
      <c r="I326" s="3061"/>
      <c r="J326" s="3061"/>
      <c r="K326" s="3061"/>
      <c r="L326" s="3061"/>
      <c r="M326" s="3061"/>
      <c r="N326" s="3061"/>
      <c r="O326" s="3061"/>
      <c r="P326" s="3061"/>
      <c r="Q326" s="3061"/>
      <c r="R326" s="3061"/>
      <c r="S326" s="3061"/>
      <c r="T326" s="3061"/>
      <c r="U326" s="3061"/>
      <c r="V326" s="3061"/>
      <c r="W326" s="3061"/>
      <c r="X326" s="3061"/>
      <c r="Y326" s="3061"/>
      <c r="Z326" s="3061"/>
      <c r="AA326" s="3061"/>
      <c r="AB326" s="3061"/>
      <c r="AC326" s="3061"/>
      <c r="AD326" s="3061"/>
      <c r="AE326" s="3061"/>
      <c r="AF326" s="3061"/>
      <c r="AG326" s="3061"/>
      <c r="AH326" s="3061"/>
      <c r="AI326" s="3061"/>
      <c r="AJ326" s="3061"/>
      <c r="AK326" s="3061"/>
      <c r="AL326" s="3061"/>
      <c r="AM326" s="3061"/>
      <c r="AN326" s="3061"/>
      <c r="AO326" s="3061"/>
      <c r="AP326" s="3061"/>
      <c r="AQ326" s="3061"/>
      <c r="AR326" s="3061"/>
      <c r="AS326" s="3061"/>
      <c r="AT326" s="3061"/>
      <c r="AU326" s="3061"/>
      <c r="AV326" s="3061"/>
      <c r="AW326" s="3061"/>
      <c r="AX326" s="3061"/>
      <c r="AY326" s="3061"/>
      <c r="AZ326" s="3061"/>
      <c r="BA326" s="3061"/>
      <c r="BB326" s="3061"/>
      <c r="BC326" s="3061"/>
      <c r="BD326" s="3061"/>
      <c r="BE326" s="3061"/>
      <c r="BF326" s="3061"/>
      <c r="BG326" s="3061"/>
      <c r="BH326" s="3061"/>
      <c r="BI326" s="3061"/>
      <c r="BJ326" s="3061"/>
      <c r="BK326" s="3061"/>
      <c r="BL326" s="3061"/>
      <c r="BM326" s="3061"/>
      <c r="BN326" s="3061"/>
      <c r="BO326" s="3061"/>
      <c r="BP326" s="3061"/>
      <c r="BQ326" s="3061"/>
      <c r="BR326" s="3061"/>
      <c r="BS326" s="3061"/>
      <c r="BT326" s="3061"/>
      <c r="BU326" s="3061"/>
      <c r="BV326" s="3061"/>
      <c r="BW326" s="3061"/>
      <c r="BX326" s="3061"/>
      <c r="BY326" s="3061"/>
      <c r="BZ326" s="3061"/>
      <c r="CA326" s="3061"/>
      <c r="CB326" s="3061"/>
      <c r="CC326" s="3061"/>
      <c r="CD326" s="3061"/>
      <c r="CE326" s="3061"/>
      <c r="CF326" s="3061"/>
      <c r="CG326" s="3061"/>
      <c r="CH326" s="3061"/>
      <c r="CI326" s="3061"/>
      <c r="CJ326" s="3061"/>
      <c r="CK326" s="3061"/>
      <c r="CL326" s="3061"/>
      <c r="CM326" s="3061"/>
      <c r="CN326" s="3061"/>
      <c r="CO326" s="3061"/>
      <c r="CP326" s="3061"/>
      <c r="CQ326" s="3061"/>
      <c r="CR326" s="3061"/>
      <c r="CS326" s="3062"/>
      <c r="CT326" s="3063"/>
      <c r="CU326" s="3064">
        <f t="shared" si="92"/>
        <v>1</v>
      </c>
      <c r="CV326" s="3022" t="str">
        <f>IF(OR(CT326="",CT326="None"),"-",DO326*CU326*SUMIF('Lighting Assumptions'!$G$3:$G$112,'6a - Lighting Counts'!G326,'Lighting Assumptions'!$J$3:$J$112))</f>
        <v>-</v>
      </c>
      <c r="CW326" s="3021"/>
      <c r="CX326" s="3021"/>
      <c r="CY326" s="3046"/>
      <c r="CZ326" s="2098">
        <f t="shared" si="93"/>
        <v>0</v>
      </c>
      <c r="DA326" s="2098" t="str">
        <f t="shared" si="94"/>
        <v>-</v>
      </c>
      <c r="DB326" s="2098">
        <f t="shared" si="95"/>
        <v>0</v>
      </c>
      <c r="DC326" s="3023" t="str">
        <f t="shared" si="96"/>
        <v>-</v>
      </c>
      <c r="DD326" s="3024" t="str">
        <f t="shared" si="97"/>
        <v/>
      </c>
      <c r="DE326" s="3025" t="str">
        <f t="shared" si="98"/>
        <v>-</v>
      </c>
      <c r="DF326" s="3024" t="str">
        <f t="shared" si="89"/>
        <v>-</v>
      </c>
      <c r="DG326" s="2098">
        <f t="shared" si="99"/>
        <v>0</v>
      </c>
      <c r="DH326" s="2098">
        <f t="array" ref="DH326">MIN(SUMPRODUCT(I326:CR326,IF($I$25:$CR$25="yes",1,0),$I$23:$CR$23),H326)</f>
        <v>0</v>
      </c>
      <c r="DI326" s="3026"/>
      <c r="DJ326" s="3021"/>
      <c r="DN326" s="917" t="str">
        <f>IF(CS326="","-",SUMIF('Lighting Assumptions'!$G$3:$G$112,'6a - Lighting Counts'!G326,'Lighting Assumptions'!$J$3:$J$112))</f>
        <v>-</v>
      </c>
      <c r="DO326" s="917" t="str">
        <f t="shared" si="90"/>
        <v>-</v>
      </c>
      <c r="DP326" s="917" t="str">
        <f t="shared" si="91"/>
        <v>-</v>
      </c>
      <c r="DQ326" s="917" t="str">
        <f>IF(LEFT(CELLformula(DF326),3)&lt;&gt;"=IF",1,"")</f>
        <v/>
      </c>
      <c r="DR326" s="917" t="str">
        <f>IF(LEFT(CELLformula(DD326),3)&lt;&gt;"=IF",1,"")</f>
        <v/>
      </c>
      <c r="DS326" s="3048">
        <f t="shared" si="100"/>
        <v>0</v>
      </c>
      <c r="DT326" s="3047" t="str">
        <f t="shared" si="101"/>
        <v/>
      </c>
      <c r="DU326" s="3047" t="str">
        <f>IFERROR(IF(G326="","",SUMIF('Lighting Assumptions'!$G$3:$G$112,'6a - Lighting Counts'!G326,'Lighting Assumptions'!$H$3:$H$112)*IF(SI_IP_Units="SI",10.76,1)),"")</f>
        <v/>
      </c>
      <c r="DV326" s="3047" t="str">
        <f>IFERROR(IF($CX326="","",IF(SI_IP_Units="SI",10.76,1)*SUMIF(BAMCategories,$CY326,'Lighting Assumptions'!$E$3:E$35)),"")</f>
        <v/>
      </c>
      <c r="DW326" s="3047" t="str">
        <f>IFERROR(IF($CX326="","",IF(SI_IP_Units="SI",10.76,1)*SUMIF(BAMCategories,$CY326,IF(bpf_reference="ACP",'Lighting Assumptions 90.1-2010'!$E$3:E$35,'Lighting Assumptions 90.1-2016'!$E$3:E$35))),"")</f>
        <v/>
      </c>
      <c r="EW326" s="855"/>
      <c r="EX326" s="855"/>
      <c r="EY326" s="855"/>
      <c r="EZ326" s="855"/>
    </row>
    <row r="327" spans="4:156" x14ac:dyDescent="0.25">
      <c r="D327" s="3019"/>
      <c r="E327" s="3020"/>
      <c r="F327" s="3021">
        <f t="shared" si="88"/>
        <v>0</v>
      </c>
      <c r="G327" s="3059"/>
      <c r="H327" s="3060"/>
      <c r="I327" s="3061"/>
      <c r="J327" s="3061"/>
      <c r="K327" s="3061"/>
      <c r="L327" s="3061"/>
      <c r="M327" s="3061"/>
      <c r="N327" s="3061"/>
      <c r="O327" s="3061"/>
      <c r="P327" s="3061"/>
      <c r="Q327" s="3061"/>
      <c r="R327" s="3061"/>
      <c r="S327" s="3061"/>
      <c r="T327" s="3061"/>
      <c r="U327" s="3061"/>
      <c r="V327" s="3061"/>
      <c r="W327" s="3061"/>
      <c r="X327" s="3061"/>
      <c r="Y327" s="3061"/>
      <c r="Z327" s="3061"/>
      <c r="AA327" s="3061"/>
      <c r="AB327" s="3061"/>
      <c r="AC327" s="3061"/>
      <c r="AD327" s="3061"/>
      <c r="AE327" s="3061"/>
      <c r="AF327" s="3061"/>
      <c r="AG327" s="3061"/>
      <c r="AH327" s="3061"/>
      <c r="AI327" s="3061"/>
      <c r="AJ327" s="3061"/>
      <c r="AK327" s="3061"/>
      <c r="AL327" s="3061"/>
      <c r="AM327" s="3061"/>
      <c r="AN327" s="3061"/>
      <c r="AO327" s="3061"/>
      <c r="AP327" s="3061"/>
      <c r="AQ327" s="3061"/>
      <c r="AR327" s="3061"/>
      <c r="AS327" s="3061"/>
      <c r="AT327" s="3061"/>
      <c r="AU327" s="3061"/>
      <c r="AV327" s="3061"/>
      <c r="AW327" s="3061"/>
      <c r="AX327" s="3061"/>
      <c r="AY327" s="3061"/>
      <c r="AZ327" s="3061"/>
      <c r="BA327" s="3061"/>
      <c r="BB327" s="3061"/>
      <c r="BC327" s="3061"/>
      <c r="BD327" s="3061"/>
      <c r="BE327" s="3061"/>
      <c r="BF327" s="3061"/>
      <c r="BG327" s="3061"/>
      <c r="BH327" s="3061"/>
      <c r="BI327" s="3061"/>
      <c r="BJ327" s="3061"/>
      <c r="BK327" s="3061"/>
      <c r="BL327" s="3061"/>
      <c r="BM327" s="3061"/>
      <c r="BN327" s="3061"/>
      <c r="BO327" s="3061"/>
      <c r="BP327" s="3061"/>
      <c r="BQ327" s="3061"/>
      <c r="BR327" s="3061"/>
      <c r="BS327" s="3061"/>
      <c r="BT327" s="3061"/>
      <c r="BU327" s="3061"/>
      <c r="BV327" s="3061"/>
      <c r="BW327" s="3061"/>
      <c r="BX327" s="3061"/>
      <c r="BY327" s="3061"/>
      <c r="BZ327" s="3061"/>
      <c r="CA327" s="3061"/>
      <c r="CB327" s="3061"/>
      <c r="CC327" s="3061"/>
      <c r="CD327" s="3061"/>
      <c r="CE327" s="3061"/>
      <c r="CF327" s="3061"/>
      <c r="CG327" s="3061"/>
      <c r="CH327" s="3061"/>
      <c r="CI327" s="3061"/>
      <c r="CJ327" s="3061"/>
      <c r="CK327" s="3061"/>
      <c r="CL327" s="3061"/>
      <c r="CM327" s="3061"/>
      <c r="CN327" s="3061"/>
      <c r="CO327" s="3061"/>
      <c r="CP327" s="3061"/>
      <c r="CQ327" s="3061"/>
      <c r="CR327" s="3061"/>
      <c r="CS327" s="3062"/>
      <c r="CT327" s="3063"/>
      <c r="CU327" s="3064">
        <f t="shared" si="92"/>
        <v>1</v>
      </c>
      <c r="CV327" s="3022" t="str">
        <f>IF(OR(CT327="",CT327="None"),"-",DO327*CU327*SUMIF('Lighting Assumptions'!$G$3:$G$112,'6a - Lighting Counts'!G327,'Lighting Assumptions'!$J$3:$J$112))</f>
        <v>-</v>
      </c>
      <c r="CW327" s="3021"/>
      <c r="CX327" s="3021"/>
      <c r="CY327" s="3046"/>
      <c r="CZ327" s="2098">
        <f t="shared" si="93"/>
        <v>0</v>
      </c>
      <c r="DA327" s="2098" t="str">
        <f t="shared" si="94"/>
        <v>-</v>
      </c>
      <c r="DB327" s="2098">
        <f t="shared" si="95"/>
        <v>0</v>
      </c>
      <c r="DC327" s="3023" t="str">
        <f t="shared" si="96"/>
        <v>-</v>
      </c>
      <c r="DD327" s="3024" t="str">
        <f t="shared" si="97"/>
        <v/>
      </c>
      <c r="DE327" s="3025" t="str">
        <f t="shared" si="98"/>
        <v>-</v>
      </c>
      <c r="DF327" s="3024" t="str">
        <f t="shared" si="89"/>
        <v>-</v>
      </c>
      <c r="DG327" s="2098">
        <f t="shared" si="99"/>
        <v>0</v>
      </c>
      <c r="DH327" s="2098">
        <f t="array" ref="DH327">MIN(SUMPRODUCT(I327:CR327,IF($I$25:$CR$25="yes",1,0),$I$23:$CR$23),H327)</f>
        <v>0</v>
      </c>
      <c r="DI327" s="3026"/>
      <c r="DJ327" s="3021"/>
      <c r="DN327" s="917" t="str">
        <f>IF(CS327="","-",SUMIF('Lighting Assumptions'!$G$3:$G$112,'6a - Lighting Counts'!G327,'Lighting Assumptions'!$J$3:$J$112))</f>
        <v>-</v>
      </c>
      <c r="DO327" s="917" t="str">
        <f t="shared" si="90"/>
        <v>-</v>
      </c>
      <c r="DP327" s="917" t="str">
        <f t="shared" si="91"/>
        <v>-</v>
      </c>
      <c r="DQ327" s="917" t="str">
        <f>IF(LEFT(CELLformula(DF327),3)&lt;&gt;"=IF",1,"")</f>
        <v/>
      </c>
      <c r="DR327" s="917" t="str">
        <f>IF(LEFT(CELLformula(DD327),3)&lt;&gt;"=IF",1,"")</f>
        <v/>
      </c>
      <c r="DS327" s="3048">
        <f t="shared" si="100"/>
        <v>0</v>
      </c>
      <c r="DT327" s="3047" t="str">
        <f t="shared" si="101"/>
        <v/>
      </c>
      <c r="DU327" s="3047" t="str">
        <f>IFERROR(IF(G327="","",SUMIF('Lighting Assumptions'!$G$3:$G$112,'6a - Lighting Counts'!G327,'Lighting Assumptions'!$H$3:$H$112)*IF(SI_IP_Units="SI",10.76,1)),"")</f>
        <v/>
      </c>
      <c r="DV327" s="3047" t="str">
        <f>IFERROR(IF($CX327="","",IF(SI_IP_Units="SI",10.76,1)*SUMIF(BAMCategories,$CY327,'Lighting Assumptions'!$E$3:E$35)),"")</f>
        <v/>
      </c>
      <c r="DW327" s="3047" t="str">
        <f>IFERROR(IF($CX327="","",IF(SI_IP_Units="SI",10.76,1)*SUMIF(BAMCategories,$CY327,IF(bpf_reference="ACP",'Lighting Assumptions 90.1-2010'!$E$3:E$35,'Lighting Assumptions 90.1-2016'!$E$3:E$35))),"")</f>
        <v/>
      </c>
      <c r="EW327" s="855"/>
      <c r="EX327" s="855"/>
      <c r="EY327" s="855"/>
      <c r="EZ327" s="855"/>
    </row>
    <row r="328" spans="4:156" x14ac:dyDescent="0.25">
      <c r="D328" s="3019"/>
      <c r="E328" s="3020"/>
      <c r="F328" s="3021">
        <f t="shared" si="88"/>
        <v>0</v>
      </c>
      <c r="G328" s="3059"/>
      <c r="H328" s="3060"/>
      <c r="I328" s="3061"/>
      <c r="J328" s="3061"/>
      <c r="K328" s="3061"/>
      <c r="L328" s="3061"/>
      <c r="M328" s="3061"/>
      <c r="N328" s="3061"/>
      <c r="O328" s="3061"/>
      <c r="P328" s="3061"/>
      <c r="Q328" s="3061"/>
      <c r="R328" s="3061"/>
      <c r="S328" s="3061"/>
      <c r="T328" s="3061"/>
      <c r="U328" s="3061"/>
      <c r="V328" s="3061"/>
      <c r="W328" s="3061"/>
      <c r="X328" s="3061"/>
      <c r="Y328" s="3061"/>
      <c r="Z328" s="3061"/>
      <c r="AA328" s="3061"/>
      <c r="AB328" s="3061"/>
      <c r="AC328" s="3061"/>
      <c r="AD328" s="3061"/>
      <c r="AE328" s="3061"/>
      <c r="AF328" s="3061"/>
      <c r="AG328" s="3061"/>
      <c r="AH328" s="3061"/>
      <c r="AI328" s="3061"/>
      <c r="AJ328" s="3061"/>
      <c r="AK328" s="3061"/>
      <c r="AL328" s="3061"/>
      <c r="AM328" s="3061"/>
      <c r="AN328" s="3061"/>
      <c r="AO328" s="3061"/>
      <c r="AP328" s="3061"/>
      <c r="AQ328" s="3061"/>
      <c r="AR328" s="3061"/>
      <c r="AS328" s="3061"/>
      <c r="AT328" s="3061"/>
      <c r="AU328" s="3061"/>
      <c r="AV328" s="3061"/>
      <c r="AW328" s="3061"/>
      <c r="AX328" s="3061"/>
      <c r="AY328" s="3061"/>
      <c r="AZ328" s="3061"/>
      <c r="BA328" s="3061"/>
      <c r="BB328" s="3061"/>
      <c r="BC328" s="3061"/>
      <c r="BD328" s="3061"/>
      <c r="BE328" s="3061"/>
      <c r="BF328" s="3061"/>
      <c r="BG328" s="3061"/>
      <c r="BH328" s="3061"/>
      <c r="BI328" s="3061"/>
      <c r="BJ328" s="3061"/>
      <c r="BK328" s="3061"/>
      <c r="BL328" s="3061"/>
      <c r="BM328" s="3061"/>
      <c r="BN328" s="3061"/>
      <c r="BO328" s="3061"/>
      <c r="BP328" s="3061"/>
      <c r="BQ328" s="3061"/>
      <c r="BR328" s="3061"/>
      <c r="BS328" s="3061"/>
      <c r="BT328" s="3061"/>
      <c r="BU328" s="3061"/>
      <c r="BV328" s="3061"/>
      <c r="BW328" s="3061"/>
      <c r="BX328" s="3061"/>
      <c r="BY328" s="3061"/>
      <c r="BZ328" s="3061"/>
      <c r="CA328" s="3061"/>
      <c r="CB328" s="3061"/>
      <c r="CC328" s="3061"/>
      <c r="CD328" s="3061"/>
      <c r="CE328" s="3061"/>
      <c r="CF328" s="3061"/>
      <c r="CG328" s="3061"/>
      <c r="CH328" s="3061"/>
      <c r="CI328" s="3061"/>
      <c r="CJ328" s="3061"/>
      <c r="CK328" s="3061"/>
      <c r="CL328" s="3061"/>
      <c r="CM328" s="3061"/>
      <c r="CN328" s="3061"/>
      <c r="CO328" s="3061"/>
      <c r="CP328" s="3061"/>
      <c r="CQ328" s="3061"/>
      <c r="CR328" s="3061"/>
      <c r="CS328" s="3062"/>
      <c r="CT328" s="3063"/>
      <c r="CU328" s="3064">
        <f t="shared" si="92"/>
        <v>1</v>
      </c>
      <c r="CV328" s="3022" t="str">
        <f>IF(OR(CT328="",CT328="None"),"-",DO328*CU328*SUMIF('Lighting Assumptions'!$G$3:$G$112,'6a - Lighting Counts'!G328,'Lighting Assumptions'!$J$3:$J$112))</f>
        <v>-</v>
      </c>
      <c r="CW328" s="3021"/>
      <c r="CX328" s="3021"/>
      <c r="CY328" s="3046"/>
      <c r="CZ328" s="2098">
        <f t="shared" si="93"/>
        <v>0</v>
      </c>
      <c r="DA328" s="2098" t="str">
        <f t="shared" si="94"/>
        <v>-</v>
      </c>
      <c r="DB328" s="2098">
        <f t="shared" si="95"/>
        <v>0</v>
      </c>
      <c r="DC328" s="3023" t="str">
        <f t="shared" si="96"/>
        <v>-</v>
      </c>
      <c r="DD328" s="3024" t="str">
        <f t="shared" si="97"/>
        <v/>
      </c>
      <c r="DE328" s="3025" t="str">
        <f t="shared" si="98"/>
        <v>-</v>
      </c>
      <c r="DF328" s="3024" t="str">
        <f t="shared" si="89"/>
        <v>-</v>
      </c>
      <c r="DG328" s="2098">
        <f t="shared" si="99"/>
        <v>0</v>
      </c>
      <c r="DH328" s="2098">
        <f t="array" ref="DH328">MIN(SUMPRODUCT(I328:CR328,IF($I$25:$CR$25="yes",1,0),$I$23:$CR$23),H328)</f>
        <v>0</v>
      </c>
      <c r="DI328" s="3026"/>
      <c r="DJ328" s="3021"/>
      <c r="DN328" s="917" t="str">
        <f>IF(CS328="","-",SUMIF('Lighting Assumptions'!$G$3:$G$112,'6a - Lighting Counts'!G328,'Lighting Assumptions'!$J$3:$J$112))</f>
        <v>-</v>
      </c>
      <c r="DO328" s="917" t="str">
        <f t="shared" si="90"/>
        <v>-</v>
      </c>
      <c r="DP328" s="917" t="str">
        <f t="shared" si="91"/>
        <v>-</v>
      </c>
      <c r="DQ328" s="917" t="str">
        <f>IF(LEFT(CELLformula(DF328),3)&lt;&gt;"=IF",1,"")</f>
        <v/>
      </c>
      <c r="DR328" s="917" t="str">
        <f>IF(LEFT(CELLformula(DD328),3)&lt;&gt;"=IF",1,"")</f>
        <v/>
      </c>
      <c r="DS328" s="3048">
        <f t="shared" si="100"/>
        <v>0</v>
      </c>
      <c r="DT328" s="3047" t="str">
        <f t="shared" si="101"/>
        <v/>
      </c>
      <c r="DU328" s="3047" t="str">
        <f>IFERROR(IF(G328="","",SUMIF('Lighting Assumptions'!$G$3:$G$112,'6a - Lighting Counts'!G328,'Lighting Assumptions'!$H$3:$H$112)*IF(SI_IP_Units="SI",10.76,1)),"")</f>
        <v/>
      </c>
      <c r="DV328" s="3047" t="str">
        <f>IFERROR(IF($CX328="","",IF(SI_IP_Units="SI",10.76,1)*SUMIF(BAMCategories,$CY328,'Lighting Assumptions'!$E$3:E$35)),"")</f>
        <v/>
      </c>
      <c r="DW328" s="3047" t="str">
        <f>IFERROR(IF($CX328="","",IF(SI_IP_Units="SI",10.76,1)*SUMIF(BAMCategories,$CY328,IF(bpf_reference="ACP",'Lighting Assumptions 90.1-2010'!$E$3:E$35,'Lighting Assumptions 90.1-2016'!$E$3:E$35))),"")</f>
        <v/>
      </c>
      <c r="EW328" s="855"/>
      <c r="EX328" s="855"/>
      <c r="EY328" s="855"/>
      <c r="EZ328" s="855"/>
    </row>
    <row r="329" spans="4:156" x14ac:dyDescent="0.25">
      <c r="D329" s="3019"/>
      <c r="E329" s="3020"/>
      <c r="F329" s="3021">
        <f t="shared" si="88"/>
        <v>0</v>
      </c>
      <c r="G329" s="3059"/>
      <c r="H329" s="3060"/>
      <c r="I329" s="3061"/>
      <c r="J329" s="3061"/>
      <c r="K329" s="3061"/>
      <c r="L329" s="3061"/>
      <c r="M329" s="3061"/>
      <c r="N329" s="3061"/>
      <c r="O329" s="3061"/>
      <c r="P329" s="3061"/>
      <c r="Q329" s="3061"/>
      <c r="R329" s="3061"/>
      <c r="S329" s="3061"/>
      <c r="T329" s="3061"/>
      <c r="U329" s="3061"/>
      <c r="V329" s="3061"/>
      <c r="W329" s="3061"/>
      <c r="X329" s="3061"/>
      <c r="Y329" s="3061"/>
      <c r="Z329" s="3061"/>
      <c r="AA329" s="3061"/>
      <c r="AB329" s="3061"/>
      <c r="AC329" s="3061"/>
      <c r="AD329" s="3061"/>
      <c r="AE329" s="3061"/>
      <c r="AF329" s="3061"/>
      <c r="AG329" s="3061"/>
      <c r="AH329" s="3061"/>
      <c r="AI329" s="3061"/>
      <c r="AJ329" s="3061"/>
      <c r="AK329" s="3061"/>
      <c r="AL329" s="3061"/>
      <c r="AM329" s="3061"/>
      <c r="AN329" s="3061"/>
      <c r="AO329" s="3061"/>
      <c r="AP329" s="3061"/>
      <c r="AQ329" s="3061"/>
      <c r="AR329" s="3061"/>
      <c r="AS329" s="3061"/>
      <c r="AT329" s="3061"/>
      <c r="AU329" s="3061"/>
      <c r="AV329" s="3061"/>
      <c r="AW329" s="3061"/>
      <c r="AX329" s="3061"/>
      <c r="AY329" s="3061"/>
      <c r="AZ329" s="3061"/>
      <c r="BA329" s="3061"/>
      <c r="BB329" s="3061"/>
      <c r="BC329" s="3061"/>
      <c r="BD329" s="3061"/>
      <c r="BE329" s="3061"/>
      <c r="BF329" s="3061"/>
      <c r="BG329" s="3061"/>
      <c r="BH329" s="3061"/>
      <c r="BI329" s="3061"/>
      <c r="BJ329" s="3061"/>
      <c r="BK329" s="3061"/>
      <c r="BL329" s="3061"/>
      <c r="BM329" s="3061"/>
      <c r="BN329" s="3061"/>
      <c r="BO329" s="3061"/>
      <c r="BP329" s="3061"/>
      <c r="BQ329" s="3061"/>
      <c r="BR329" s="3061"/>
      <c r="BS329" s="3061"/>
      <c r="BT329" s="3061"/>
      <c r="BU329" s="3061"/>
      <c r="BV329" s="3061"/>
      <c r="BW329" s="3061"/>
      <c r="BX329" s="3061"/>
      <c r="BY329" s="3061"/>
      <c r="BZ329" s="3061"/>
      <c r="CA329" s="3061"/>
      <c r="CB329" s="3061"/>
      <c r="CC329" s="3061"/>
      <c r="CD329" s="3061"/>
      <c r="CE329" s="3061"/>
      <c r="CF329" s="3061"/>
      <c r="CG329" s="3061"/>
      <c r="CH329" s="3061"/>
      <c r="CI329" s="3061"/>
      <c r="CJ329" s="3061"/>
      <c r="CK329" s="3061"/>
      <c r="CL329" s="3061"/>
      <c r="CM329" s="3061"/>
      <c r="CN329" s="3061"/>
      <c r="CO329" s="3061"/>
      <c r="CP329" s="3061"/>
      <c r="CQ329" s="3061"/>
      <c r="CR329" s="3061"/>
      <c r="CS329" s="3062"/>
      <c r="CT329" s="3063"/>
      <c r="CU329" s="3064">
        <f t="shared" si="92"/>
        <v>1</v>
      </c>
      <c r="CV329" s="3022" t="str">
        <f>IF(OR(CT329="",CT329="None"),"-",DO329*CU329*SUMIF('Lighting Assumptions'!$G$3:$G$112,'6a - Lighting Counts'!G329,'Lighting Assumptions'!$J$3:$J$112))</f>
        <v>-</v>
      </c>
      <c r="CW329" s="3021"/>
      <c r="CX329" s="3021"/>
      <c r="CY329" s="3046"/>
      <c r="CZ329" s="2098">
        <f t="shared" si="93"/>
        <v>0</v>
      </c>
      <c r="DA329" s="2098" t="str">
        <f t="shared" si="94"/>
        <v>-</v>
      </c>
      <c r="DB329" s="2098">
        <f t="shared" si="95"/>
        <v>0</v>
      </c>
      <c r="DC329" s="3023" t="str">
        <f t="shared" si="96"/>
        <v>-</v>
      </c>
      <c r="DD329" s="3024" t="str">
        <f t="shared" si="97"/>
        <v/>
      </c>
      <c r="DE329" s="3025" t="str">
        <f t="shared" si="98"/>
        <v>-</v>
      </c>
      <c r="DF329" s="3024" t="str">
        <f t="shared" si="89"/>
        <v>-</v>
      </c>
      <c r="DG329" s="2098">
        <f t="shared" si="99"/>
        <v>0</v>
      </c>
      <c r="DH329" s="2098">
        <f t="array" ref="DH329">MIN(SUMPRODUCT(I329:CR329,IF($I$25:$CR$25="yes",1,0),$I$23:$CR$23),H329)</f>
        <v>0</v>
      </c>
      <c r="DI329" s="3026"/>
      <c r="DJ329" s="3021"/>
      <c r="DN329" s="917" t="str">
        <f>IF(CS329="","-",SUMIF('Lighting Assumptions'!$G$3:$G$112,'6a - Lighting Counts'!G329,'Lighting Assumptions'!$J$3:$J$112))</f>
        <v>-</v>
      </c>
      <c r="DO329" s="917" t="str">
        <f t="shared" si="90"/>
        <v>-</v>
      </c>
      <c r="DP329" s="917" t="str">
        <f t="shared" si="91"/>
        <v>-</v>
      </c>
      <c r="DQ329" s="917" t="str">
        <f>IF(LEFT(CELLformula(DF329),3)&lt;&gt;"=IF",1,"")</f>
        <v/>
      </c>
      <c r="DR329" s="917" t="str">
        <f>IF(LEFT(CELLformula(DD329),3)&lt;&gt;"=IF",1,"")</f>
        <v/>
      </c>
      <c r="DS329" s="3048">
        <f t="shared" si="100"/>
        <v>0</v>
      </c>
      <c r="DT329" s="3047" t="str">
        <f t="shared" si="101"/>
        <v/>
      </c>
      <c r="DU329" s="3047" t="str">
        <f>IFERROR(IF(G329="","",SUMIF('Lighting Assumptions'!$G$3:$G$112,'6a - Lighting Counts'!G329,'Lighting Assumptions'!$H$3:$H$112)*IF(SI_IP_Units="SI",10.76,1)),"")</f>
        <v/>
      </c>
      <c r="DV329" s="3047" t="str">
        <f>IFERROR(IF($CX329="","",IF(SI_IP_Units="SI",10.76,1)*SUMIF(BAMCategories,$CY329,'Lighting Assumptions'!$E$3:E$35)),"")</f>
        <v/>
      </c>
      <c r="DW329" s="3047" t="str">
        <f>IFERROR(IF($CX329="","",IF(SI_IP_Units="SI",10.76,1)*SUMIF(BAMCategories,$CY329,IF(bpf_reference="ACP",'Lighting Assumptions 90.1-2010'!$E$3:E$35,'Lighting Assumptions 90.1-2016'!$E$3:E$35))),"")</f>
        <v/>
      </c>
      <c r="EW329" s="855"/>
      <c r="EX329" s="855"/>
      <c r="EY329" s="855"/>
      <c r="EZ329" s="855"/>
    </row>
    <row r="330" spans="4:156" x14ac:dyDescent="0.25">
      <c r="D330" s="3019"/>
      <c r="E330" s="3020"/>
      <c r="F330" s="3021">
        <f t="shared" si="88"/>
        <v>0</v>
      </c>
      <c r="G330" s="3059"/>
      <c r="H330" s="3060"/>
      <c r="I330" s="3061"/>
      <c r="J330" s="3061"/>
      <c r="K330" s="3061"/>
      <c r="L330" s="3061"/>
      <c r="M330" s="3061"/>
      <c r="N330" s="3061"/>
      <c r="O330" s="3061"/>
      <c r="P330" s="3061"/>
      <c r="Q330" s="3061"/>
      <c r="R330" s="3061"/>
      <c r="S330" s="3061"/>
      <c r="T330" s="3061"/>
      <c r="U330" s="3061"/>
      <c r="V330" s="3061"/>
      <c r="W330" s="3061"/>
      <c r="X330" s="3061"/>
      <c r="Y330" s="3061"/>
      <c r="Z330" s="3061"/>
      <c r="AA330" s="3061"/>
      <c r="AB330" s="3061"/>
      <c r="AC330" s="3061"/>
      <c r="AD330" s="3061"/>
      <c r="AE330" s="3061"/>
      <c r="AF330" s="3061"/>
      <c r="AG330" s="3061"/>
      <c r="AH330" s="3061"/>
      <c r="AI330" s="3061"/>
      <c r="AJ330" s="3061"/>
      <c r="AK330" s="3061"/>
      <c r="AL330" s="3061"/>
      <c r="AM330" s="3061"/>
      <c r="AN330" s="3061"/>
      <c r="AO330" s="3061"/>
      <c r="AP330" s="3061"/>
      <c r="AQ330" s="3061"/>
      <c r="AR330" s="3061"/>
      <c r="AS330" s="3061"/>
      <c r="AT330" s="3061"/>
      <c r="AU330" s="3061"/>
      <c r="AV330" s="3061"/>
      <c r="AW330" s="3061"/>
      <c r="AX330" s="3061"/>
      <c r="AY330" s="3061"/>
      <c r="AZ330" s="3061"/>
      <c r="BA330" s="3061"/>
      <c r="BB330" s="3061"/>
      <c r="BC330" s="3061"/>
      <c r="BD330" s="3061"/>
      <c r="BE330" s="3061"/>
      <c r="BF330" s="3061"/>
      <c r="BG330" s="3061"/>
      <c r="BH330" s="3061"/>
      <c r="BI330" s="3061"/>
      <c r="BJ330" s="3061"/>
      <c r="BK330" s="3061"/>
      <c r="BL330" s="3061"/>
      <c r="BM330" s="3061"/>
      <c r="BN330" s="3061"/>
      <c r="BO330" s="3061"/>
      <c r="BP330" s="3061"/>
      <c r="BQ330" s="3061"/>
      <c r="BR330" s="3061"/>
      <c r="BS330" s="3061"/>
      <c r="BT330" s="3061"/>
      <c r="BU330" s="3061"/>
      <c r="BV330" s="3061"/>
      <c r="BW330" s="3061"/>
      <c r="BX330" s="3061"/>
      <c r="BY330" s="3061"/>
      <c r="BZ330" s="3061"/>
      <c r="CA330" s="3061"/>
      <c r="CB330" s="3061"/>
      <c r="CC330" s="3061"/>
      <c r="CD330" s="3061"/>
      <c r="CE330" s="3061"/>
      <c r="CF330" s="3061"/>
      <c r="CG330" s="3061"/>
      <c r="CH330" s="3061"/>
      <c r="CI330" s="3061"/>
      <c r="CJ330" s="3061"/>
      <c r="CK330" s="3061"/>
      <c r="CL330" s="3061"/>
      <c r="CM330" s="3061"/>
      <c r="CN330" s="3061"/>
      <c r="CO330" s="3061"/>
      <c r="CP330" s="3061"/>
      <c r="CQ330" s="3061"/>
      <c r="CR330" s="3061"/>
      <c r="CS330" s="3062"/>
      <c r="CT330" s="3063"/>
      <c r="CU330" s="3064">
        <f t="shared" si="92"/>
        <v>1</v>
      </c>
      <c r="CV330" s="3022" t="str">
        <f>IF(OR(CT330="",CT330="None"),"-",DO330*CU330*SUMIF('Lighting Assumptions'!$G$3:$G$112,'6a - Lighting Counts'!G330,'Lighting Assumptions'!$J$3:$J$112))</f>
        <v>-</v>
      </c>
      <c r="CW330" s="3021"/>
      <c r="CX330" s="3021"/>
      <c r="CY330" s="3046"/>
      <c r="CZ330" s="2098">
        <f t="shared" si="93"/>
        <v>0</v>
      </c>
      <c r="DA330" s="2098" t="str">
        <f t="shared" si="94"/>
        <v>-</v>
      </c>
      <c r="DB330" s="2098">
        <f t="shared" si="95"/>
        <v>0</v>
      </c>
      <c r="DC330" s="3023" t="str">
        <f t="shared" si="96"/>
        <v>-</v>
      </c>
      <c r="DD330" s="3024" t="str">
        <f t="shared" si="97"/>
        <v/>
      </c>
      <c r="DE330" s="3025" t="str">
        <f t="shared" si="98"/>
        <v>-</v>
      </c>
      <c r="DF330" s="3024" t="str">
        <f t="shared" si="89"/>
        <v>-</v>
      </c>
      <c r="DG330" s="2098">
        <f t="shared" si="99"/>
        <v>0</v>
      </c>
      <c r="DH330" s="2098">
        <f t="array" ref="DH330">MIN(SUMPRODUCT(I330:CR330,IF($I$25:$CR$25="yes",1,0),$I$23:$CR$23),H330)</f>
        <v>0</v>
      </c>
      <c r="DI330" s="3026"/>
      <c r="DJ330" s="3021"/>
      <c r="DN330" s="917" t="str">
        <f>IF(CS330="","-",SUMIF('Lighting Assumptions'!$G$3:$G$112,'6a - Lighting Counts'!G330,'Lighting Assumptions'!$J$3:$J$112))</f>
        <v>-</v>
      </c>
      <c r="DO330" s="917" t="str">
        <f t="shared" si="90"/>
        <v>-</v>
      </c>
      <c r="DP330" s="917" t="str">
        <f t="shared" si="91"/>
        <v>-</v>
      </c>
      <c r="DQ330" s="917" t="str">
        <f>IF(LEFT(CELLformula(DF330),3)&lt;&gt;"=IF",1,"")</f>
        <v/>
      </c>
      <c r="DR330" s="917" t="str">
        <f>IF(LEFT(CELLformula(DD330),3)&lt;&gt;"=IF",1,"")</f>
        <v/>
      </c>
      <c r="DS330" s="3048">
        <f t="shared" si="100"/>
        <v>0</v>
      </c>
      <c r="DT330" s="3047" t="str">
        <f t="shared" si="101"/>
        <v/>
      </c>
      <c r="DU330" s="3047" t="str">
        <f>IFERROR(IF(G330="","",SUMIF('Lighting Assumptions'!$G$3:$G$112,'6a - Lighting Counts'!G330,'Lighting Assumptions'!$H$3:$H$112)*IF(SI_IP_Units="SI",10.76,1)),"")</f>
        <v/>
      </c>
      <c r="DV330" s="3047" t="str">
        <f>IFERROR(IF($CX330="","",IF(SI_IP_Units="SI",10.76,1)*SUMIF(BAMCategories,$CY330,'Lighting Assumptions'!$E$3:E$35)),"")</f>
        <v/>
      </c>
      <c r="DW330" s="3047" t="str">
        <f>IFERROR(IF($CX330="","",IF(SI_IP_Units="SI",10.76,1)*SUMIF(BAMCategories,$CY330,IF(bpf_reference="ACP",'Lighting Assumptions 90.1-2010'!$E$3:E$35,'Lighting Assumptions 90.1-2016'!$E$3:E$35))),"")</f>
        <v/>
      </c>
      <c r="EW330" s="855"/>
      <c r="EX330" s="855"/>
      <c r="EY330" s="855"/>
      <c r="EZ330" s="855"/>
    </row>
    <row r="331" spans="4:156" x14ac:dyDescent="0.25">
      <c r="D331" s="3019"/>
      <c r="E331" s="3020"/>
      <c r="F331" s="3021">
        <f t="shared" si="88"/>
        <v>0</v>
      </c>
      <c r="G331" s="3059"/>
      <c r="H331" s="3060"/>
      <c r="I331" s="3061"/>
      <c r="J331" s="3061"/>
      <c r="K331" s="3061"/>
      <c r="L331" s="3061"/>
      <c r="M331" s="3061"/>
      <c r="N331" s="3061"/>
      <c r="O331" s="3061"/>
      <c r="P331" s="3061"/>
      <c r="Q331" s="3061"/>
      <c r="R331" s="3061"/>
      <c r="S331" s="3061"/>
      <c r="T331" s="3061"/>
      <c r="U331" s="3061"/>
      <c r="V331" s="3061"/>
      <c r="W331" s="3061"/>
      <c r="X331" s="3061"/>
      <c r="Y331" s="3061"/>
      <c r="Z331" s="3061"/>
      <c r="AA331" s="3061"/>
      <c r="AB331" s="3061"/>
      <c r="AC331" s="3061"/>
      <c r="AD331" s="3061"/>
      <c r="AE331" s="3061"/>
      <c r="AF331" s="3061"/>
      <c r="AG331" s="3061"/>
      <c r="AH331" s="3061"/>
      <c r="AI331" s="3061"/>
      <c r="AJ331" s="3061"/>
      <c r="AK331" s="3061"/>
      <c r="AL331" s="3061"/>
      <c r="AM331" s="3061"/>
      <c r="AN331" s="3061"/>
      <c r="AO331" s="3061"/>
      <c r="AP331" s="3061"/>
      <c r="AQ331" s="3061"/>
      <c r="AR331" s="3061"/>
      <c r="AS331" s="3061"/>
      <c r="AT331" s="3061"/>
      <c r="AU331" s="3061"/>
      <c r="AV331" s="3061"/>
      <c r="AW331" s="3061"/>
      <c r="AX331" s="3061"/>
      <c r="AY331" s="3061"/>
      <c r="AZ331" s="3061"/>
      <c r="BA331" s="3061"/>
      <c r="BB331" s="3061"/>
      <c r="BC331" s="3061"/>
      <c r="BD331" s="3061"/>
      <c r="BE331" s="3061"/>
      <c r="BF331" s="3061"/>
      <c r="BG331" s="3061"/>
      <c r="BH331" s="3061"/>
      <c r="BI331" s="3061"/>
      <c r="BJ331" s="3061"/>
      <c r="BK331" s="3061"/>
      <c r="BL331" s="3061"/>
      <c r="BM331" s="3061"/>
      <c r="BN331" s="3061"/>
      <c r="BO331" s="3061"/>
      <c r="BP331" s="3061"/>
      <c r="BQ331" s="3061"/>
      <c r="BR331" s="3061"/>
      <c r="BS331" s="3061"/>
      <c r="BT331" s="3061"/>
      <c r="BU331" s="3061"/>
      <c r="BV331" s="3061"/>
      <c r="BW331" s="3061"/>
      <c r="BX331" s="3061"/>
      <c r="BY331" s="3061"/>
      <c r="BZ331" s="3061"/>
      <c r="CA331" s="3061"/>
      <c r="CB331" s="3061"/>
      <c r="CC331" s="3061"/>
      <c r="CD331" s="3061"/>
      <c r="CE331" s="3061"/>
      <c r="CF331" s="3061"/>
      <c r="CG331" s="3061"/>
      <c r="CH331" s="3061"/>
      <c r="CI331" s="3061"/>
      <c r="CJ331" s="3061"/>
      <c r="CK331" s="3061"/>
      <c r="CL331" s="3061"/>
      <c r="CM331" s="3061"/>
      <c r="CN331" s="3061"/>
      <c r="CO331" s="3061"/>
      <c r="CP331" s="3061"/>
      <c r="CQ331" s="3061"/>
      <c r="CR331" s="3061"/>
      <c r="CS331" s="3062"/>
      <c r="CT331" s="3063"/>
      <c r="CU331" s="3064">
        <f t="shared" si="92"/>
        <v>1</v>
      </c>
      <c r="CV331" s="3022" t="str">
        <f>IF(OR(CT331="",CT331="None"),"-",DO331*CU331*SUMIF('Lighting Assumptions'!$G$3:$G$112,'6a - Lighting Counts'!G331,'Lighting Assumptions'!$J$3:$J$112))</f>
        <v>-</v>
      </c>
      <c r="CW331" s="3021"/>
      <c r="CX331" s="3021"/>
      <c r="CY331" s="3046"/>
      <c r="CZ331" s="2098">
        <f t="shared" si="93"/>
        <v>0</v>
      </c>
      <c r="DA331" s="2098" t="str">
        <f t="shared" si="94"/>
        <v>-</v>
      </c>
      <c r="DB331" s="2098">
        <f t="shared" si="95"/>
        <v>0</v>
      </c>
      <c r="DC331" s="3023" t="str">
        <f t="shared" si="96"/>
        <v>-</v>
      </c>
      <c r="DD331" s="3024" t="str">
        <f t="shared" si="97"/>
        <v/>
      </c>
      <c r="DE331" s="3025" t="str">
        <f t="shared" si="98"/>
        <v>-</v>
      </c>
      <c r="DF331" s="3024" t="str">
        <f t="shared" si="89"/>
        <v>-</v>
      </c>
      <c r="DG331" s="2098">
        <f t="shared" si="99"/>
        <v>0</v>
      </c>
      <c r="DH331" s="2098">
        <f t="array" ref="DH331">MIN(SUMPRODUCT(I331:CR331,IF($I$25:$CR$25="yes",1,0),$I$23:$CR$23),H331)</f>
        <v>0</v>
      </c>
      <c r="DI331" s="3026"/>
      <c r="DJ331" s="3021"/>
      <c r="DN331" s="917" t="str">
        <f>IF(CS331="","-",SUMIF('Lighting Assumptions'!$G$3:$G$112,'6a - Lighting Counts'!G331,'Lighting Assumptions'!$J$3:$J$112))</f>
        <v>-</v>
      </c>
      <c r="DO331" s="917" t="str">
        <f t="shared" si="90"/>
        <v>-</v>
      </c>
      <c r="DP331" s="917" t="str">
        <f t="shared" si="91"/>
        <v>-</v>
      </c>
      <c r="DQ331" s="917" t="str">
        <f>IF(LEFT(CELLformula(DF331),3)&lt;&gt;"=IF",1,"")</f>
        <v/>
      </c>
      <c r="DR331" s="917" t="str">
        <f>IF(LEFT(CELLformula(DD331),3)&lt;&gt;"=IF",1,"")</f>
        <v/>
      </c>
      <c r="DS331" s="3048">
        <f t="shared" si="100"/>
        <v>0</v>
      </c>
      <c r="DT331" s="3047" t="str">
        <f t="shared" si="101"/>
        <v/>
      </c>
      <c r="DU331" s="3047" t="str">
        <f>IFERROR(IF(G331="","",SUMIF('Lighting Assumptions'!$G$3:$G$112,'6a - Lighting Counts'!G331,'Lighting Assumptions'!$H$3:$H$112)*IF(SI_IP_Units="SI",10.76,1)),"")</f>
        <v/>
      </c>
      <c r="DV331" s="3047" t="str">
        <f>IFERROR(IF($CX331="","",IF(SI_IP_Units="SI",10.76,1)*SUMIF(BAMCategories,$CY331,'Lighting Assumptions'!$E$3:E$35)),"")</f>
        <v/>
      </c>
      <c r="DW331" s="3047" t="str">
        <f>IFERROR(IF($CX331="","",IF(SI_IP_Units="SI",10.76,1)*SUMIF(BAMCategories,$CY331,IF(bpf_reference="ACP",'Lighting Assumptions 90.1-2010'!$E$3:E$35,'Lighting Assumptions 90.1-2016'!$E$3:E$35))),"")</f>
        <v/>
      </c>
      <c r="EW331" s="855"/>
      <c r="EX331" s="855"/>
      <c r="EY331" s="855"/>
      <c r="EZ331" s="855"/>
    </row>
    <row r="332" spans="4:156" x14ac:dyDescent="0.25">
      <c r="D332" s="3019"/>
      <c r="E332" s="3020"/>
      <c r="F332" s="3021">
        <f t="shared" si="88"/>
        <v>0</v>
      </c>
      <c r="G332" s="3059"/>
      <c r="H332" s="3060"/>
      <c r="I332" s="3061"/>
      <c r="J332" s="3061"/>
      <c r="K332" s="3061"/>
      <c r="L332" s="3061"/>
      <c r="M332" s="3061"/>
      <c r="N332" s="3061"/>
      <c r="O332" s="3061"/>
      <c r="P332" s="3061"/>
      <c r="Q332" s="3061"/>
      <c r="R332" s="3061"/>
      <c r="S332" s="3061"/>
      <c r="T332" s="3061"/>
      <c r="U332" s="3061"/>
      <c r="V332" s="3061"/>
      <c r="W332" s="3061"/>
      <c r="X332" s="3061"/>
      <c r="Y332" s="3061"/>
      <c r="Z332" s="3061"/>
      <c r="AA332" s="3061"/>
      <c r="AB332" s="3061"/>
      <c r="AC332" s="3061"/>
      <c r="AD332" s="3061"/>
      <c r="AE332" s="3061"/>
      <c r="AF332" s="3061"/>
      <c r="AG332" s="3061"/>
      <c r="AH332" s="3061"/>
      <c r="AI332" s="3061"/>
      <c r="AJ332" s="3061"/>
      <c r="AK332" s="3061"/>
      <c r="AL332" s="3061"/>
      <c r="AM332" s="3061"/>
      <c r="AN332" s="3061"/>
      <c r="AO332" s="3061"/>
      <c r="AP332" s="3061"/>
      <c r="AQ332" s="3061"/>
      <c r="AR332" s="3061"/>
      <c r="AS332" s="3061"/>
      <c r="AT332" s="3061"/>
      <c r="AU332" s="3061"/>
      <c r="AV332" s="3061"/>
      <c r="AW332" s="3061"/>
      <c r="AX332" s="3061"/>
      <c r="AY332" s="3061"/>
      <c r="AZ332" s="3061"/>
      <c r="BA332" s="3061"/>
      <c r="BB332" s="3061"/>
      <c r="BC332" s="3061"/>
      <c r="BD332" s="3061"/>
      <c r="BE332" s="3061"/>
      <c r="BF332" s="3061"/>
      <c r="BG332" s="3061"/>
      <c r="BH332" s="3061"/>
      <c r="BI332" s="3061"/>
      <c r="BJ332" s="3061"/>
      <c r="BK332" s="3061"/>
      <c r="BL332" s="3061"/>
      <c r="BM332" s="3061"/>
      <c r="BN332" s="3061"/>
      <c r="BO332" s="3061"/>
      <c r="BP332" s="3061"/>
      <c r="BQ332" s="3061"/>
      <c r="BR332" s="3061"/>
      <c r="BS332" s="3061"/>
      <c r="BT332" s="3061"/>
      <c r="BU332" s="3061"/>
      <c r="BV332" s="3061"/>
      <c r="BW332" s="3061"/>
      <c r="BX332" s="3061"/>
      <c r="BY332" s="3061"/>
      <c r="BZ332" s="3061"/>
      <c r="CA332" s="3061"/>
      <c r="CB332" s="3061"/>
      <c r="CC332" s="3061"/>
      <c r="CD332" s="3061"/>
      <c r="CE332" s="3061"/>
      <c r="CF332" s="3061"/>
      <c r="CG332" s="3061"/>
      <c r="CH332" s="3061"/>
      <c r="CI332" s="3061"/>
      <c r="CJ332" s="3061"/>
      <c r="CK332" s="3061"/>
      <c r="CL332" s="3061"/>
      <c r="CM332" s="3061"/>
      <c r="CN332" s="3061"/>
      <c r="CO332" s="3061"/>
      <c r="CP332" s="3061"/>
      <c r="CQ332" s="3061"/>
      <c r="CR332" s="3061"/>
      <c r="CS332" s="3062"/>
      <c r="CT332" s="3063"/>
      <c r="CU332" s="3064">
        <f t="shared" si="92"/>
        <v>1</v>
      </c>
      <c r="CV332" s="3022" t="str">
        <f>IF(OR(CT332="",CT332="None"),"-",DO332*CU332*SUMIF('Lighting Assumptions'!$G$3:$G$112,'6a - Lighting Counts'!G332,'Lighting Assumptions'!$J$3:$J$112))</f>
        <v>-</v>
      </c>
      <c r="CW332" s="3021"/>
      <c r="CX332" s="3021"/>
      <c r="CY332" s="3046"/>
      <c r="CZ332" s="2098">
        <f t="shared" si="93"/>
        <v>0</v>
      </c>
      <c r="DA332" s="2098" t="str">
        <f t="shared" si="94"/>
        <v>-</v>
      </c>
      <c r="DB332" s="2098">
        <f t="shared" si="95"/>
        <v>0</v>
      </c>
      <c r="DC332" s="3023" t="str">
        <f t="shared" si="96"/>
        <v>-</v>
      </c>
      <c r="DD332" s="3024" t="str">
        <f t="shared" si="97"/>
        <v/>
      </c>
      <c r="DE332" s="3025" t="str">
        <f t="shared" si="98"/>
        <v>-</v>
      </c>
      <c r="DF332" s="3024" t="str">
        <f t="shared" si="89"/>
        <v>-</v>
      </c>
      <c r="DG332" s="2098">
        <f t="shared" si="99"/>
        <v>0</v>
      </c>
      <c r="DH332" s="2098">
        <f t="array" ref="DH332">MIN(SUMPRODUCT(I332:CR332,IF($I$25:$CR$25="yes",1,0),$I$23:$CR$23),H332)</f>
        <v>0</v>
      </c>
      <c r="DI332" s="3026"/>
      <c r="DJ332" s="3021"/>
      <c r="DN332" s="917" t="str">
        <f>IF(CS332="","-",SUMIF('Lighting Assumptions'!$G$3:$G$112,'6a - Lighting Counts'!G332,'Lighting Assumptions'!$J$3:$J$112))</f>
        <v>-</v>
      </c>
      <c r="DO332" s="917" t="str">
        <f t="shared" si="90"/>
        <v>-</v>
      </c>
      <c r="DP332" s="917" t="str">
        <f t="shared" si="91"/>
        <v>-</v>
      </c>
      <c r="DQ332" s="917" t="str">
        <f>IF(LEFT(CELLformula(DF332),3)&lt;&gt;"=IF",1,"")</f>
        <v/>
      </c>
      <c r="DR332" s="917" t="str">
        <f>IF(LEFT(CELLformula(DD332),3)&lt;&gt;"=IF",1,"")</f>
        <v/>
      </c>
      <c r="DS332" s="3048">
        <f t="shared" si="100"/>
        <v>0</v>
      </c>
      <c r="DT332" s="3047" t="str">
        <f t="shared" si="101"/>
        <v/>
      </c>
      <c r="DU332" s="3047" t="str">
        <f>IFERROR(IF(G332="","",SUMIF('Lighting Assumptions'!$G$3:$G$112,'6a - Lighting Counts'!G332,'Lighting Assumptions'!$H$3:$H$112)*IF(SI_IP_Units="SI",10.76,1)),"")</f>
        <v/>
      </c>
      <c r="DV332" s="3047" t="str">
        <f>IFERROR(IF($CX332="","",IF(SI_IP_Units="SI",10.76,1)*SUMIF(BAMCategories,$CY332,'Lighting Assumptions'!$E$3:E$35)),"")</f>
        <v/>
      </c>
      <c r="DW332" s="3047" t="str">
        <f>IFERROR(IF($CX332="","",IF(SI_IP_Units="SI",10.76,1)*SUMIF(BAMCategories,$CY332,IF(bpf_reference="ACP",'Lighting Assumptions 90.1-2010'!$E$3:E$35,'Lighting Assumptions 90.1-2016'!$E$3:E$35))),"")</f>
        <v/>
      </c>
      <c r="EW332" s="855"/>
      <c r="EX332" s="855"/>
      <c r="EY332" s="855"/>
      <c r="EZ332" s="855"/>
    </row>
    <row r="333" spans="4:156" x14ac:dyDescent="0.25">
      <c r="D333" s="3019"/>
      <c r="E333" s="3020"/>
      <c r="F333" s="3021">
        <f t="shared" si="88"/>
        <v>0</v>
      </c>
      <c r="G333" s="3059"/>
      <c r="H333" s="3060"/>
      <c r="I333" s="3061"/>
      <c r="J333" s="3061"/>
      <c r="K333" s="3061"/>
      <c r="L333" s="3061"/>
      <c r="M333" s="3061"/>
      <c r="N333" s="3061"/>
      <c r="O333" s="3061"/>
      <c r="P333" s="3061"/>
      <c r="Q333" s="3061"/>
      <c r="R333" s="3061"/>
      <c r="S333" s="3061"/>
      <c r="T333" s="3061"/>
      <c r="U333" s="3061"/>
      <c r="V333" s="3061"/>
      <c r="W333" s="3061"/>
      <c r="X333" s="3061"/>
      <c r="Y333" s="3061"/>
      <c r="Z333" s="3061"/>
      <c r="AA333" s="3061"/>
      <c r="AB333" s="3061"/>
      <c r="AC333" s="3061"/>
      <c r="AD333" s="3061"/>
      <c r="AE333" s="3061"/>
      <c r="AF333" s="3061"/>
      <c r="AG333" s="3061"/>
      <c r="AH333" s="3061"/>
      <c r="AI333" s="3061"/>
      <c r="AJ333" s="3061"/>
      <c r="AK333" s="3061"/>
      <c r="AL333" s="3061"/>
      <c r="AM333" s="3061"/>
      <c r="AN333" s="3061"/>
      <c r="AO333" s="3061"/>
      <c r="AP333" s="3061"/>
      <c r="AQ333" s="3061"/>
      <c r="AR333" s="3061"/>
      <c r="AS333" s="3061"/>
      <c r="AT333" s="3061"/>
      <c r="AU333" s="3061"/>
      <c r="AV333" s="3061"/>
      <c r="AW333" s="3061"/>
      <c r="AX333" s="3061"/>
      <c r="AY333" s="3061"/>
      <c r="AZ333" s="3061"/>
      <c r="BA333" s="3061"/>
      <c r="BB333" s="3061"/>
      <c r="BC333" s="3061"/>
      <c r="BD333" s="3061"/>
      <c r="BE333" s="3061"/>
      <c r="BF333" s="3061"/>
      <c r="BG333" s="3061"/>
      <c r="BH333" s="3061"/>
      <c r="BI333" s="3061"/>
      <c r="BJ333" s="3061"/>
      <c r="BK333" s="3061"/>
      <c r="BL333" s="3061"/>
      <c r="BM333" s="3061"/>
      <c r="BN333" s="3061"/>
      <c r="BO333" s="3061"/>
      <c r="BP333" s="3061"/>
      <c r="BQ333" s="3061"/>
      <c r="BR333" s="3061"/>
      <c r="BS333" s="3061"/>
      <c r="BT333" s="3061"/>
      <c r="BU333" s="3061"/>
      <c r="BV333" s="3061"/>
      <c r="BW333" s="3061"/>
      <c r="BX333" s="3061"/>
      <c r="BY333" s="3061"/>
      <c r="BZ333" s="3061"/>
      <c r="CA333" s="3061"/>
      <c r="CB333" s="3061"/>
      <c r="CC333" s="3061"/>
      <c r="CD333" s="3061"/>
      <c r="CE333" s="3061"/>
      <c r="CF333" s="3061"/>
      <c r="CG333" s="3061"/>
      <c r="CH333" s="3061"/>
      <c r="CI333" s="3061"/>
      <c r="CJ333" s="3061"/>
      <c r="CK333" s="3061"/>
      <c r="CL333" s="3061"/>
      <c r="CM333" s="3061"/>
      <c r="CN333" s="3061"/>
      <c r="CO333" s="3061"/>
      <c r="CP333" s="3061"/>
      <c r="CQ333" s="3061"/>
      <c r="CR333" s="3061"/>
      <c r="CS333" s="3062"/>
      <c r="CT333" s="3063"/>
      <c r="CU333" s="3064">
        <f t="shared" si="92"/>
        <v>1</v>
      </c>
      <c r="CV333" s="3022" t="str">
        <f>IF(OR(CT333="",CT333="None"),"-",DO333*CU333*SUMIF('Lighting Assumptions'!$G$3:$G$112,'6a - Lighting Counts'!G333,'Lighting Assumptions'!$J$3:$J$112))</f>
        <v>-</v>
      </c>
      <c r="CW333" s="3021"/>
      <c r="CX333" s="3021"/>
      <c r="CY333" s="3046"/>
      <c r="CZ333" s="2098">
        <f t="shared" si="93"/>
        <v>0</v>
      </c>
      <c r="DA333" s="2098" t="str">
        <f t="shared" si="94"/>
        <v>-</v>
      </c>
      <c r="DB333" s="2098">
        <f t="shared" si="95"/>
        <v>0</v>
      </c>
      <c r="DC333" s="3023" t="str">
        <f t="shared" si="96"/>
        <v>-</v>
      </c>
      <c r="DD333" s="3024" t="str">
        <f t="shared" si="97"/>
        <v/>
      </c>
      <c r="DE333" s="3025" t="str">
        <f t="shared" si="98"/>
        <v>-</v>
      </c>
      <c r="DF333" s="3024" t="str">
        <f t="shared" si="89"/>
        <v>-</v>
      </c>
      <c r="DG333" s="2098">
        <f t="shared" si="99"/>
        <v>0</v>
      </c>
      <c r="DH333" s="2098">
        <f t="array" ref="DH333">MIN(SUMPRODUCT(I333:CR333,IF($I$25:$CR$25="yes",1,0),$I$23:$CR$23),H333)</f>
        <v>0</v>
      </c>
      <c r="DI333" s="3026"/>
      <c r="DJ333" s="3021"/>
      <c r="DN333" s="917" t="str">
        <f>IF(CS333="","-",SUMIF('Lighting Assumptions'!$G$3:$G$112,'6a - Lighting Counts'!G333,'Lighting Assumptions'!$J$3:$J$112))</f>
        <v>-</v>
      </c>
      <c r="DO333" s="917" t="str">
        <f t="shared" si="90"/>
        <v>-</v>
      </c>
      <c r="DP333" s="917" t="str">
        <f t="shared" si="91"/>
        <v>-</v>
      </c>
      <c r="DQ333" s="917" t="str">
        <f>IF(LEFT(CELLformula(DF333),3)&lt;&gt;"=IF",1,"")</f>
        <v/>
      </c>
      <c r="DR333" s="917" t="str">
        <f>IF(LEFT(CELLformula(DD333),3)&lt;&gt;"=IF",1,"")</f>
        <v/>
      </c>
      <c r="DS333" s="3048">
        <f t="shared" si="100"/>
        <v>0</v>
      </c>
      <c r="DT333" s="3047" t="str">
        <f t="shared" si="101"/>
        <v/>
      </c>
      <c r="DU333" s="3047" t="str">
        <f>IFERROR(IF(G333="","",SUMIF('Lighting Assumptions'!$G$3:$G$112,'6a - Lighting Counts'!G333,'Lighting Assumptions'!$H$3:$H$112)*IF(SI_IP_Units="SI",10.76,1)),"")</f>
        <v/>
      </c>
      <c r="DV333" s="3047" t="str">
        <f>IFERROR(IF($CX333="","",IF(SI_IP_Units="SI",10.76,1)*SUMIF(BAMCategories,$CY333,'Lighting Assumptions'!$E$3:E$35)),"")</f>
        <v/>
      </c>
      <c r="DW333" s="3047" t="str">
        <f>IFERROR(IF($CX333="","",IF(SI_IP_Units="SI",10.76,1)*SUMIF(BAMCategories,$CY333,IF(bpf_reference="ACP",'Lighting Assumptions 90.1-2010'!$E$3:E$35,'Lighting Assumptions 90.1-2016'!$E$3:E$35))),"")</f>
        <v/>
      </c>
      <c r="EW333" s="855"/>
      <c r="EX333" s="855"/>
      <c r="EY333" s="855"/>
      <c r="EZ333" s="855"/>
    </row>
    <row r="334" spans="4:156" x14ac:dyDescent="0.25">
      <c r="D334" s="3019"/>
      <c r="E334" s="3020"/>
      <c r="F334" s="3021">
        <f t="shared" si="88"/>
        <v>0</v>
      </c>
      <c r="G334" s="3059"/>
      <c r="H334" s="3060"/>
      <c r="I334" s="3061"/>
      <c r="J334" s="3061"/>
      <c r="K334" s="3061"/>
      <c r="L334" s="3061"/>
      <c r="M334" s="3061"/>
      <c r="N334" s="3061"/>
      <c r="O334" s="3061"/>
      <c r="P334" s="3061"/>
      <c r="Q334" s="3061"/>
      <c r="R334" s="3061"/>
      <c r="S334" s="3061"/>
      <c r="T334" s="3061"/>
      <c r="U334" s="3061"/>
      <c r="V334" s="3061"/>
      <c r="W334" s="3061"/>
      <c r="X334" s="3061"/>
      <c r="Y334" s="3061"/>
      <c r="Z334" s="3061"/>
      <c r="AA334" s="3061"/>
      <c r="AB334" s="3061"/>
      <c r="AC334" s="3061"/>
      <c r="AD334" s="3061"/>
      <c r="AE334" s="3061"/>
      <c r="AF334" s="3061"/>
      <c r="AG334" s="3061"/>
      <c r="AH334" s="3061"/>
      <c r="AI334" s="3061"/>
      <c r="AJ334" s="3061"/>
      <c r="AK334" s="3061"/>
      <c r="AL334" s="3061"/>
      <c r="AM334" s="3061"/>
      <c r="AN334" s="3061"/>
      <c r="AO334" s="3061"/>
      <c r="AP334" s="3061"/>
      <c r="AQ334" s="3061"/>
      <c r="AR334" s="3061"/>
      <c r="AS334" s="3061"/>
      <c r="AT334" s="3061"/>
      <c r="AU334" s="3061"/>
      <c r="AV334" s="3061"/>
      <c r="AW334" s="3061"/>
      <c r="AX334" s="3061"/>
      <c r="AY334" s="3061"/>
      <c r="AZ334" s="3061"/>
      <c r="BA334" s="3061"/>
      <c r="BB334" s="3061"/>
      <c r="BC334" s="3061"/>
      <c r="BD334" s="3061"/>
      <c r="BE334" s="3061"/>
      <c r="BF334" s="3061"/>
      <c r="BG334" s="3061"/>
      <c r="BH334" s="3061"/>
      <c r="BI334" s="3061"/>
      <c r="BJ334" s="3061"/>
      <c r="BK334" s="3061"/>
      <c r="BL334" s="3061"/>
      <c r="BM334" s="3061"/>
      <c r="BN334" s="3061"/>
      <c r="BO334" s="3061"/>
      <c r="BP334" s="3061"/>
      <c r="BQ334" s="3061"/>
      <c r="BR334" s="3061"/>
      <c r="BS334" s="3061"/>
      <c r="BT334" s="3061"/>
      <c r="BU334" s="3061"/>
      <c r="BV334" s="3061"/>
      <c r="BW334" s="3061"/>
      <c r="BX334" s="3061"/>
      <c r="BY334" s="3061"/>
      <c r="BZ334" s="3061"/>
      <c r="CA334" s="3061"/>
      <c r="CB334" s="3061"/>
      <c r="CC334" s="3061"/>
      <c r="CD334" s="3061"/>
      <c r="CE334" s="3061"/>
      <c r="CF334" s="3061"/>
      <c r="CG334" s="3061"/>
      <c r="CH334" s="3061"/>
      <c r="CI334" s="3061"/>
      <c r="CJ334" s="3061"/>
      <c r="CK334" s="3061"/>
      <c r="CL334" s="3061"/>
      <c r="CM334" s="3061"/>
      <c r="CN334" s="3061"/>
      <c r="CO334" s="3061"/>
      <c r="CP334" s="3061"/>
      <c r="CQ334" s="3061"/>
      <c r="CR334" s="3061"/>
      <c r="CS334" s="3062"/>
      <c r="CT334" s="3063"/>
      <c r="CU334" s="3064">
        <f t="shared" si="92"/>
        <v>1</v>
      </c>
      <c r="CV334" s="3022" t="str">
        <f>IF(OR(CT334="",CT334="None"),"-",DO334*CU334*SUMIF('Lighting Assumptions'!$G$3:$G$112,'6a - Lighting Counts'!G334,'Lighting Assumptions'!$J$3:$J$112))</f>
        <v>-</v>
      </c>
      <c r="CW334" s="3021"/>
      <c r="CX334" s="3021"/>
      <c r="CY334" s="3046"/>
      <c r="CZ334" s="2098">
        <f t="shared" si="93"/>
        <v>0</v>
      </c>
      <c r="DA334" s="2098" t="str">
        <f t="shared" si="94"/>
        <v>-</v>
      </c>
      <c r="DB334" s="2098">
        <f t="shared" si="95"/>
        <v>0</v>
      </c>
      <c r="DC334" s="3023" t="str">
        <f t="shared" si="96"/>
        <v>-</v>
      </c>
      <c r="DD334" s="3024" t="str">
        <f t="shared" si="97"/>
        <v/>
      </c>
      <c r="DE334" s="3025" t="str">
        <f t="shared" si="98"/>
        <v>-</v>
      </c>
      <c r="DF334" s="3024" t="str">
        <f t="shared" si="89"/>
        <v>-</v>
      </c>
      <c r="DG334" s="2098">
        <f t="shared" si="99"/>
        <v>0</v>
      </c>
      <c r="DH334" s="2098">
        <f t="array" ref="DH334">MIN(SUMPRODUCT(I334:CR334,IF($I$25:$CR$25="yes",1,0),$I$23:$CR$23),H334)</f>
        <v>0</v>
      </c>
      <c r="DI334" s="3026"/>
      <c r="DJ334" s="3021"/>
      <c r="DN334" s="917" t="str">
        <f>IF(CS334="","-",SUMIF('Lighting Assumptions'!$G$3:$G$112,'6a - Lighting Counts'!G334,'Lighting Assumptions'!$J$3:$J$112))</f>
        <v>-</v>
      </c>
      <c r="DO334" s="917" t="str">
        <f t="shared" si="90"/>
        <v>-</v>
      </c>
      <c r="DP334" s="917" t="str">
        <f t="shared" si="91"/>
        <v>-</v>
      </c>
      <c r="DQ334" s="917" t="str">
        <f>IF(LEFT(CELLformula(DF334),3)&lt;&gt;"=IF",1,"")</f>
        <v/>
      </c>
      <c r="DR334" s="917" t="str">
        <f>IF(LEFT(CELLformula(DD334),3)&lt;&gt;"=IF",1,"")</f>
        <v/>
      </c>
      <c r="DS334" s="3048">
        <f t="shared" si="100"/>
        <v>0</v>
      </c>
      <c r="DT334" s="3047" t="str">
        <f t="shared" si="101"/>
        <v/>
      </c>
      <c r="DU334" s="3047" t="str">
        <f>IFERROR(IF(G334="","",SUMIF('Lighting Assumptions'!$G$3:$G$112,'6a - Lighting Counts'!G334,'Lighting Assumptions'!$H$3:$H$112)*IF(SI_IP_Units="SI",10.76,1)),"")</f>
        <v/>
      </c>
      <c r="DV334" s="3047" t="str">
        <f>IFERROR(IF($CX334="","",IF(SI_IP_Units="SI",10.76,1)*SUMIF(BAMCategories,$CY334,'Lighting Assumptions'!$E$3:E$35)),"")</f>
        <v/>
      </c>
      <c r="DW334" s="3047" t="str">
        <f>IFERROR(IF($CX334="","",IF(SI_IP_Units="SI",10.76,1)*SUMIF(BAMCategories,$CY334,IF(bpf_reference="ACP",'Lighting Assumptions 90.1-2010'!$E$3:E$35,'Lighting Assumptions 90.1-2016'!$E$3:E$35))),"")</f>
        <v/>
      </c>
      <c r="EW334" s="855"/>
      <c r="EX334" s="855"/>
      <c r="EY334" s="855"/>
      <c r="EZ334" s="855"/>
    </row>
    <row r="335" spans="4:156" x14ac:dyDescent="0.25">
      <c r="D335" s="3019"/>
      <c r="E335" s="3020"/>
      <c r="F335" s="3021">
        <f t="shared" si="88"/>
        <v>0</v>
      </c>
      <c r="G335" s="3059"/>
      <c r="H335" s="3060"/>
      <c r="I335" s="3061"/>
      <c r="J335" s="3061"/>
      <c r="K335" s="3061"/>
      <c r="L335" s="3061"/>
      <c r="M335" s="3061"/>
      <c r="N335" s="3061"/>
      <c r="O335" s="3061"/>
      <c r="P335" s="3061"/>
      <c r="Q335" s="3061"/>
      <c r="R335" s="3061"/>
      <c r="S335" s="3061"/>
      <c r="T335" s="3061"/>
      <c r="U335" s="3061"/>
      <c r="V335" s="3061"/>
      <c r="W335" s="3061"/>
      <c r="X335" s="3061"/>
      <c r="Y335" s="3061"/>
      <c r="Z335" s="3061"/>
      <c r="AA335" s="3061"/>
      <c r="AB335" s="3061"/>
      <c r="AC335" s="3061"/>
      <c r="AD335" s="3061"/>
      <c r="AE335" s="3061"/>
      <c r="AF335" s="3061"/>
      <c r="AG335" s="3061"/>
      <c r="AH335" s="3061"/>
      <c r="AI335" s="3061"/>
      <c r="AJ335" s="3061"/>
      <c r="AK335" s="3061"/>
      <c r="AL335" s="3061"/>
      <c r="AM335" s="3061"/>
      <c r="AN335" s="3061"/>
      <c r="AO335" s="3061"/>
      <c r="AP335" s="3061"/>
      <c r="AQ335" s="3061"/>
      <c r="AR335" s="3061"/>
      <c r="AS335" s="3061"/>
      <c r="AT335" s="3061"/>
      <c r="AU335" s="3061"/>
      <c r="AV335" s="3061"/>
      <c r="AW335" s="3061"/>
      <c r="AX335" s="3061"/>
      <c r="AY335" s="3061"/>
      <c r="AZ335" s="3061"/>
      <c r="BA335" s="3061"/>
      <c r="BB335" s="3061"/>
      <c r="BC335" s="3061"/>
      <c r="BD335" s="3061"/>
      <c r="BE335" s="3061"/>
      <c r="BF335" s="3061"/>
      <c r="BG335" s="3061"/>
      <c r="BH335" s="3061"/>
      <c r="BI335" s="3061"/>
      <c r="BJ335" s="3061"/>
      <c r="BK335" s="3061"/>
      <c r="BL335" s="3061"/>
      <c r="BM335" s="3061"/>
      <c r="BN335" s="3061"/>
      <c r="BO335" s="3061"/>
      <c r="BP335" s="3061"/>
      <c r="BQ335" s="3061"/>
      <c r="BR335" s="3061"/>
      <c r="BS335" s="3061"/>
      <c r="BT335" s="3061"/>
      <c r="BU335" s="3061"/>
      <c r="BV335" s="3061"/>
      <c r="BW335" s="3061"/>
      <c r="BX335" s="3061"/>
      <c r="BY335" s="3061"/>
      <c r="BZ335" s="3061"/>
      <c r="CA335" s="3061"/>
      <c r="CB335" s="3061"/>
      <c r="CC335" s="3061"/>
      <c r="CD335" s="3061"/>
      <c r="CE335" s="3061"/>
      <c r="CF335" s="3061"/>
      <c r="CG335" s="3061"/>
      <c r="CH335" s="3061"/>
      <c r="CI335" s="3061"/>
      <c r="CJ335" s="3061"/>
      <c r="CK335" s="3061"/>
      <c r="CL335" s="3061"/>
      <c r="CM335" s="3061"/>
      <c r="CN335" s="3061"/>
      <c r="CO335" s="3061"/>
      <c r="CP335" s="3061"/>
      <c r="CQ335" s="3061"/>
      <c r="CR335" s="3061"/>
      <c r="CS335" s="3062"/>
      <c r="CT335" s="3063"/>
      <c r="CU335" s="3064">
        <f t="shared" si="92"/>
        <v>1</v>
      </c>
      <c r="CV335" s="3022" t="str">
        <f>IF(OR(CT335="",CT335="None"),"-",DO335*CU335*SUMIF('Lighting Assumptions'!$G$3:$G$112,'6a - Lighting Counts'!G335,'Lighting Assumptions'!$J$3:$J$112))</f>
        <v>-</v>
      </c>
      <c r="CW335" s="3021"/>
      <c r="CX335" s="3021"/>
      <c r="CY335" s="3046"/>
      <c r="CZ335" s="2098">
        <f t="shared" si="93"/>
        <v>0</v>
      </c>
      <c r="DA335" s="2098" t="str">
        <f t="shared" si="94"/>
        <v>-</v>
      </c>
      <c r="DB335" s="2098">
        <f t="shared" si="95"/>
        <v>0</v>
      </c>
      <c r="DC335" s="3023" t="str">
        <f t="shared" si="96"/>
        <v>-</v>
      </c>
      <c r="DD335" s="3024" t="str">
        <f t="shared" si="97"/>
        <v/>
      </c>
      <c r="DE335" s="3025" t="str">
        <f t="shared" si="98"/>
        <v>-</v>
      </c>
      <c r="DF335" s="3024" t="str">
        <f t="shared" si="89"/>
        <v>-</v>
      </c>
      <c r="DG335" s="2098">
        <f t="shared" si="99"/>
        <v>0</v>
      </c>
      <c r="DH335" s="2098">
        <f t="array" ref="DH335">MIN(SUMPRODUCT(I335:CR335,IF($I$25:$CR$25="yes",1,0),$I$23:$CR$23),H335)</f>
        <v>0</v>
      </c>
      <c r="DI335" s="3026"/>
      <c r="DJ335" s="3021"/>
      <c r="DN335" s="917" t="str">
        <f>IF(CS335="","-",SUMIF('Lighting Assumptions'!$G$3:$G$112,'6a - Lighting Counts'!G335,'Lighting Assumptions'!$J$3:$J$112))</f>
        <v>-</v>
      </c>
      <c r="DO335" s="917" t="str">
        <f t="shared" si="90"/>
        <v>-</v>
      </c>
      <c r="DP335" s="917" t="str">
        <f t="shared" si="91"/>
        <v>-</v>
      </c>
      <c r="DQ335" s="917" t="str">
        <f>IF(LEFT(CELLformula(DF335),3)&lt;&gt;"=IF",1,"")</f>
        <v/>
      </c>
      <c r="DR335" s="917" t="str">
        <f>IF(LEFT(CELLformula(DD335),3)&lt;&gt;"=IF",1,"")</f>
        <v/>
      </c>
      <c r="DS335" s="3048">
        <f t="shared" si="100"/>
        <v>0</v>
      </c>
      <c r="DT335" s="3047" t="str">
        <f t="shared" si="101"/>
        <v/>
      </c>
      <c r="DU335" s="3047" t="str">
        <f>IFERROR(IF(G335="","",SUMIF('Lighting Assumptions'!$G$3:$G$112,'6a - Lighting Counts'!G335,'Lighting Assumptions'!$H$3:$H$112)*IF(SI_IP_Units="SI",10.76,1)),"")</f>
        <v/>
      </c>
      <c r="DV335" s="3047" t="str">
        <f>IFERROR(IF($CX335="","",IF(SI_IP_Units="SI",10.76,1)*SUMIF(BAMCategories,$CY335,'Lighting Assumptions'!$E$3:E$35)),"")</f>
        <v/>
      </c>
      <c r="DW335" s="3047" t="str">
        <f>IFERROR(IF($CX335="","",IF(SI_IP_Units="SI",10.76,1)*SUMIF(BAMCategories,$CY335,IF(bpf_reference="ACP",'Lighting Assumptions 90.1-2010'!$E$3:E$35,'Lighting Assumptions 90.1-2016'!$E$3:E$35))),"")</f>
        <v/>
      </c>
      <c r="EW335" s="855"/>
      <c r="EX335" s="855"/>
      <c r="EY335" s="855"/>
      <c r="EZ335" s="855"/>
    </row>
    <row r="336" spans="4:156" x14ac:dyDescent="0.25">
      <c r="D336" s="3019"/>
      <c r="E336" s="3020"/>
      <c r="F336" s="3021">
        <f t="shared" si="88"/>
        <v>0</v>
      </c>
      <c r="G336" s="3059"/>
      <c r="H336" s="3060"/>
      <c r="I336" s="3061"/>
      <c r="J336" s="3061"/>
      <c r="K336" s="3061"/>
      <c r="L336" s="3061"/>
      <c r="M336" s="3061"/>
      <c r="N336" s="3061"/>
      <c r="O336" s="3061"/>
      <c r="P336" s="3061"/>
      <c r="Q336" s="3061"/>
      <c r="R336" s="3061"/>
      <c r="S336" s="3061"/>
      <c r="T336" s="3061"/>
      <c r="U336" s="3061"/>
      <c r="V336" s="3061"/>
      <c r="W336" s="3061"/>
      <c r="X336" s="3061"/>
      <c r="Y336" s="3061"/>
      <c r="Z336" s="3061"/>
      <c r="AA336" s="3061"/>
      <c r="AB336" s="3061"/>
      <c r="AC336" s="3061"/>
      <c r="AD336" s="3061"/>
      <c r="AE336" s="3061"/>
      <c r="AF336" s="3061"/>
      <c r="AG336" s="3061"/>
      <c r="AH336" s="3061"/>
      <c r="AI336" s="3061"/>
      <c r="AJ336" s="3061"/>
      <c r="AK336" s="3061"/>
      <c r="AL336" s="3061"/>
      <c r="AM336" s="3061"/>
      <c r="AN336" s="3061"/>
      <c r="AO336" s="3061"/>
      <c r="AP336" s="3061"/>
      <c r="AQ336" s="3061"/>
      <c r="AR336" s="3061"/>
      <c r="AS336" s="3061"/>
      <c r="AT336" s="3061"/>
      <c r="AU336" s="3061"/>
      <c r="AV336" s="3061"/>
      <c r="AW336" s="3061"/>
      <c r="AX336" s="3061"/>
      <c r="AY336" s="3061"/>
      <c r="AZ336" s="3061"/>
      <c r="BA336" s="3061"/>
      <c r="BB336" s="3061"/>
      <c r="BC336" s="3061"/>
      <c r="BD336" s="3061"/>
      <c r="BE336" s="3061"/>
      <c r="BF336" s="3061"/>
      <c r="BG336" s="3061"/>
      <c r="BH336" s="3061"/>
      <c r="BI336" s="3061"/>
      <c r="BJ336" s="3061"/>
      <c r="BK336" s="3061"/>
      <c r="BL336" s="3061"/>
      <c r="BM336" s="3061"/>
      <c r="BN336" s="3061"/>
      <c r="BO336" s="3061"/>
      <c r="BP336" s="3061"/>
      <c r="BQ336" s="3061"/>
      <c r="BR336" s="3061"/>
      <c r="BS336" s="3061"/>
      <c r="BT336" s="3061"/>
      <c r="BU336" s="3061"/>
      <c r="BV336" s="3061"/>
      <c r="BW336" s="3061"/>
      <c r="BX336" s="3061"/>
      <c r="BY336" s="3061"/>
      <c r="BZ336" s="3061"/>
      <c r="CA336" s="3061"/>
      <c r="CB336" s="3061"/>
      <c r="CC336" s="3061"/>
      <c r="CD336" s="3061"/>
      <c r="CE336" s="3061"/>
      <c r="CF336" s="3061"/>
      <c r="CG336" s="3061"/>
      <c r="CH336" s="3061"/>
      <c r="CI336" s="3061"/>
      <c r="CJ336" s="3061"/>
      <c r="CK336" s="3061"/>
      <c r="CL336" s="3061"/>
      <c r="CM336" s="3061"/>
      <c r="CN336" s="3061"/>
      <c r="CO336" s="3061"/>
      <c r="CP336" s="3061"/>
      <c r="CQ336" s="3061"/>
      <c r="CR336" s="3061"/>
      <c r="CS336" s="3062"/>
      <c r="CT336" s="3063"/>
      <c r="CU336" s="3064">
        <f t="shared" si="92"/>
        <v>1</v>
      </c>
      <c r="CV336" s="3022" t="str">
        <f>IF(OR(CT336="",CT336="None"),"-",DO336*CU336*SUMIF('Lighting Assumptions'!$G$3:$G$112,'6a - Lighting Counts'!G336,'Lighting Assumptions'!$J$3:$J$112))</f>
        <v>-</v>
      </c>
      <c r="CW336" s="3021"/>
      <c r="CX336" s="3021"/>
      <c r="CY336" s="3046"/>
      <c r="CZ336" s="2098">
        <f t="shared" si="93"/>
        <v>0</v>
      </c>
      <c r="DA336" s="2098" t="str">
        <f t="shared" si="94"/>
        <v>-</v>
      </c>
      <c r="DB336" s="2098">
        <f t="shared" si="95"/>
        <v>0</v>
      </c>
      <c r="DC336" s="3023" t="str">
        <f t="shared" si="96"/>
        <v>-</v>
      </c>
      <c r="DD336" s="3024" t="str">
        <f t="shared" si="97"/>
        <v/>
      </c>
      <c r="DE336" s="3025" t="str">
        <f t="shared" si="98"/>
        <v>-</v>
      </c>
      <c r="DF336" s="3024" t="str">
        <f t="shared" si="89"/>
        <v>-</v>
      </c>
      <c r="DG336" s="2098">
        <f t="shared" si="99"/>
        <v>0</v>
      </c>
      <c r="DH336" s="2098">
        <f t="array" ref="DH336">MIN(SUMPRODUCT(I336:CR336,IF($I$25:$CR$25="yes",1,0),$I$23:$CR$23),H336)</f>
        <v>0</v>
      </c>
      <c r="DI336" s="3026"/>
      <c r="DJ336" s="3021"/>
      <c r="DN336" s="917" t="str">
        <f>IF(CS336="","-",SUMIF('Lighting Assumptions'!$G$3:$G$112,'6a - Lighting Counts'!G336,'Lighting Assumptions'!$J$3:$J$112))</f>
        <v>-</v>
      </c>
      <c r="DO336" s="917" t="str">
        <f t="shared" si="90"/>
        <v>-</v>
      </c>
      <c r="DP336" s="917" t="str">
        <f t="shared" si="91"/>
        <v>-</v>
      </c>
      <c r="DQ336" s="917" t="str">
        <f>IF(LEFT(CELLformula(DF336),3)&lt;&gt;"=IF",1,"")</f>
        <v/>
      </c>
      <c r="DR336" s="917" t="str">
        <f>IF(LEFT(CELLformula(DD336),3)&lt;&gt;"=IF",1,"")</f>
        <v/>
      </c>
      <c r="DS336" s="3048">
        <f t="shared" si="100"/>
        <v>0</v>
      </c>
      <c r="DT336" s="3047" t="str">
        <f t="shared" si="101"/>
        <v/>
      </c>
      <c r="DU336" s="3047" t="str">
        <f>IFERROR(IF(G336="","",SUMIF('Lighting Assumptions'!$G$3:$G$112,'6a - Lighting Counts'!G336,'Lighting Assumptions'!$H$3:$H$112)*IF(SI_IP_Units="SI",10.76,1)),"")</f>
        <v/>
      </c>
      <c r="DV336" s="3047" t="str">
        <f>IFERROR(IF($CX336="","",IF(SI_IP_Units="SI",10.76,1)*SUMIF(BAMCategories,$CY336,'Lighting Assumptions'!$E$3:E$35)),"")</f>
        <v/>
      </c>
      <c r="DW336" s="3047" t="str">
        <f>IFERROR(IF($CX336="","",IF(SI_IP_Units="SI",10.76,1)*SUMIF(BAMCategories,$CY336,IF(bpf_reference="ACP",'Lighting Assumptions 90.1-2010'!$E$3:E$35,'Lighting Assumptions 90.1-2016'!$E$3:E$35))),"")</f>
        <v/>
      </c>
      <c r="EW336" s="855"/>
      <c r="EX336" s="855"/>
      <c r="EY336" s="855"/>
      <c r="EZ336" s="855"/>
    </row>
    <row r="337" spans="4:156" x14ac:dyDescent="0.25">
      <c r="D337" s="3019"/>
      <c r="E337" s="3020"/>
      <c r="F337" s="3021">
        <f t="shared" si="88"/>
        <v>0</v>
      </c>
      <c r="G337" s="3059"/>
      <c r="H337" s="3060"/>
      <c r="I337" s="3061"/>
      <c r="J337" s="3061"/>
      <c r="K337" s="3061"/>
      <c r="L337" s="3061"/>
      <c r="M337" s="3061"/>
      <c r="N337" s="3061"/>
      <c r="O337" s="3061"/>
      <c r="P337" s="3061"/>
      <c r="Q337" s="3061"/>
      <c r="R337" s="3061"/>
      <c r="S337" s="3061"/>
      <c r="T337" s="3061"/>
      <c r="U337" s="3061"/>
      <c r="V337" s="3061"/>
      <c r="W337" s="3061"/>
      <c r="X337" s="3061"/>
      <c r="Y337" s="3061"/>
      <c r="Z337" s="3061"/>
      <c r="AA337" s="3061"/>
      <c r="AB337" s="3061"/>
      <c r="AC337" s="3061"/>
      <c r="AD337" s="3061"/>
      <c r="AE337" s="3061"/>
      <c r="AF337" s="3061"/>
      <c r="AG337" s="3061"/>
      <c r="AH337" s="3061"/>
      <c r="AI337" s="3061"/>
      <c r="AJ337" s="3061"/>
      <c r="AK337" s="3061"/>
      <c r="AL337" s="3061"/>
      <c r="AM337" s="3061"/>
      <c r="AN337" s="3061"/>
      <c r="AO337" s="3061"/>
      <c r="AP337" s="3061"/>
      <c r="AQ337" s="3061"/>
      <c r="AR337" s="3061"/>
      <c r="AS337" s="3061"/>
      <c r="AT337" s="3061"/>
      <c r="AU337" s="3061"/>
      <c r="AV337" s="3061"/>
      <c r="AW337" s="3061"/>
      <c r="AX337" s="3061"/>
      <c r="AY337" s="3061"/>
      <c r="AZ337" s="3061"/>
      <c r="BA337" s="3061"/>
      <c r="BB337" s="3061"/>
      <c r="BC337" s="3061"/>
      <c r="BD337" s="3061"/>
      <c r="BE337" s="3061"/>
      <c r="BF337" s="3061"/>
      <c r="BG337" s="3061"/>
      <c r="BH337" s="3061"/>
      <c r="BI337" s="3061"/>
      <c r="BJ337" s="3061"/>
      <c r="BK337" s="3061"/>
      <c r="BL337" s="3061"/>
      <c r="BM337" s="3061"/>
      <c r="BN337" s="3061"/>
      <c r="BO337" s="3061"/>
      <c r="BP337" s="3061"/>
      <c r="BQ337" s="3061"/>
      <c r="BR337" s="3061"/>
      <c r="BS337" s="3061"/>
      <c r="BT337" s="3061"/>
      <c r="BU337" s="3061"/>
      <c r="BV337" s="3061"/>
      <c r="BW337" s="3061"/>
      <c r="BX337" s="3061"/>
      <c r="BY337" s="3061"/>
      <c r="BZ337" s="3061"/>
      <c r="CA337" s="3061"/>
      <c r="CB337" s="3061"/>
      <c r="CC337" s="3061"/>
      <c r="CD337" s="3061"/>
      <c r="CE337" s="3061"/>
      <c r="CF337" s="3061"/>
      <c r="CG337" s="3061"/>
      <c r="CH337" s="3061"/>
      <c r="CI337" s="3061"/>
      <c r="CJ337" s="3061"/>
      <c r="CK337" s="3061"/>
      <c r="CL337" s="3061"/>
      <c r="CM337" s="3061"/>
      <c r="CN337" s="3061"/>
      <c r="CO337" s="3061"/>
      <c r="CP337" s="3061"/>
      <c r="CQ337" s="3061"/>
      <c r="CR337" s="3061"/>
      <c r="CS337" s="3062"/>
      <c r="CT337" s="3063"/>
      <c r="CU337" s="3064">
        <f t="shared" si="92"/>
        <v>1</v>
      </c>
      <c r="CV337" s="3022" t="str">
        <f>IF(OR(CT337="",CT337="None"),"-",DO337*CU337*SUMIF('Lighting Assumptions'!$G$3:$G$112,'6a - Lighting Counts'!G337,'Lighting Assumptions'!$J$3:$J$112))</f>
        <v>-</v>
      </c>
      <c r="CW337" s="3021"/>
      <c r="CX337" s="3021"/>
      <c r="CY337" s="3046"/>
      <c r="CZ337" s="2098">
        <f t="shared" si="93"/>
        <v>0</v>
      </c>
      <c r="DA337" s="2098" t="str">
        <f t="shared" si="94"/>
        <v>-</v>
      </c>
      <c r="DB337" s="2098">
        <f t="shared" si="95"/>
        <v>0</v>
      </c>
      <c r="DC337" s="3023" t="str">
        <f t="shared" si="96"/>
        <v>-</v>
      </c>
      <c r="DD337" s="3024" t="str">
        <f t="shared" si="97"/>
        <v/>
      </c>
      <c r="DE337" s="3025" t="str">
        <f t="shared" si="98"/>
        <v>-</v>
      </c>
      <c r="DF337" s="3024" t="str">
        <f t="shared" si="89"/>
        <v>-</v>
      </c>
      <c r="DG337" s="2098">
        <f t="shared" si="99"/>
        <v>0</v>
      </c>
      <c r="DH337" s="2098">
        <f t="array" ref="DH337">MIN(SUMPRODUCT(I337:CR337,IF($I$25:$CR$25="yes",1,0),$I$23:$CR$23),H337)</f>
        <v>0</v>
      </c>
      <c r="DI337" s="3026"/>
      <c r="DJ337" s="3021"/>
      <c r="DN337" s="917" t="str">
        <f>IF(CS337="","-",SUMIF('Lighting Assumptions'!$G$3:$G$112,'6a - Lighting Counts'!G337,'Lighting Assumptions'!$J$3:$J$112))</f>
        <v>-</v>
      </c>
      <c r="DO337" s="917" t="str">
        <f t="shared" si="90"/>
        <v>-</v>
      </c>
      <c r="DP337" s="917" t="str">
        <f t="shared" si="91"/>
        <v>-</v>
      </c>
      <c r="DQ337" s="917" t="str">
        <f>IF(LEFT(CELLformula(DF337),3)&lt;&gt;"=IF",1,"")</f>
        <v/>
      </c>
      <c r="DR337" s="917" t="str">
        <f>IF(LEFT(CELLformula(DD337),3)&lt;&gt;"=IF",1,"")</f>
        <v/>
      </c>
      <c r="DS337" s="3048">
        <f t="shared" si="100"/>
        <v>0</v>
      </c>
      <c r="DT337" s="3047" t="str">
        <f t="shared" si="101"/>
        <v/>
      </c>
      <c r="DU337" s="3047" t="str">
        <f>IFERROR(IF(G337="","",SUMIF('Lighting Assumptions'!$G$3:$G$112,'6a - Lighting Counts'!G337,'Lighting Assumptions'!$H$3:$H$112)*IF(SI_IP_Units="SI",10.76,1)),"")</f>
        <v/>
      </c>
      <c r="DV337" s="3047" t="str">
        <f>IFERROR(IF($CX337="","",IF(SI_IP_Units="SI",10.76,1)*SUMIF(BAMCategories,$CY337,'Lighting Assumptions'!$E$3:E$35)),"")</f>
        <v/>
      </c>
      <c r="DW337" s="3047" t="str">
        <f>IFERROR(IF($CX337="","",IF(SI_IP_Units="SI",10.76,1)*SUMIF(BAMCategories,$CY337,IF(bpf_reference="ACP",'Lighting Assumptions 90.1-2010'!$E$3:E$35,'Lighting Assumptions 90.1-2016'!$E$3:E$35))),"")</f>
        <v/>
      </c>
      <c r="EW337" s="855"/>
      <c r="EX337" s="855"/>
      <c r="EY337" s="855"/>
      <c r="EZ337" s="855"/>
    </row>
    <row r="338" spans="4:156" x14ac:dyDescent="0.25">
      <c r="D338" s="3019"/>
      <c r="E338" s="3020"/>
      <c r="F338" s="3021">
        <f t="shared" si="88"/>
        <v>0</v>
      </c>
      <c r="G338" s="3059"/>
      <c r="H338" s="3060"/>
      <c r="I338" s="3061"/>
      <c r="J338" s="3061"/>
      <c r="K338" s="3061"/>
      <c r="L338" s="3061"/>
      <c r="M338" s="3061"/>
      <c r="N338" s="3061"/>
      <c r="O338" s="3061"/>
      <c r="P338" s="3061"/>
      <c r="Q338" s="3061"/>
      <c r="R338" s="3061"/>
      <c r="S338" s="3061"/>
      <c r="T338" s="3061"/>
      <c r="U338" s="3061"/>
      <c r="V338" s="3061"/>
      <c r="W338" s="3061"/>
      <c r="X338" s="3061"/>
      <c r="Y338" s="3061"/>
      <c r="Z338" s="3061"/>
      <c r="AA338" s="3061"/>
      <c r="AB338" s="3061"/>
      <c r="AC338" s="3061"/>
      <c r="AD338" s="3061"/>
      <c r="AE338" s="3061"/>
      <c r="AF338" s="3061"/>
      <c r="AG338" s="3061"/>
      <c r="AH338" s="3061"/>
      <c r="AI338" s="3061"/>
      <c r="AJ338" s="3061"/>
      <c r="AK338" s="3061"/>
      <c r="AL338" s="3061"/>
      <c r="AM338" s="3061"/>
      <c r="AN338" s="3061"/>
      <c r="AO338" s="3061"/>
      <c r="AP338" s="3061"/>
      <c r="AQ338" s="3061"/>
      <c r="AR338" s="3061"/>
      <c r="AS338" s="3061"/>
      <c r="AT338" s="3061"/>
      <c r="AU338" s="3061"/>
      <c r="AV338" s="3061"/>
      <c r="AW338" s="3061"/>
      <c r="AX338" s="3061"/>
      <c r="AY338" s="3061"/>
      <c r="AZ338" s="3061"/>
      <c r="BA338" s="3061"/>
      <c r="BB338" s="3061"/>
      <c r="BC338" s="3061"/>
      <c r="BD338" s="3061"/>
      <c r="BE338" s="3061"/>
      <c r="BF338" s="3061"/>
      <c r="BG338" s="3061"/>
      <c r="BH338" s="3061"/>
      <c r="BI338" s="3061"/>
      <c r="BJ338" s="3061"/>
      <c r="BK338" s="3061"/>
      <c r="BL338" s="3061"/>
      <c r="BM338" s="3061"/>
      <c r="BN338" s="3061"/>
      <c r="BO338" s="3061"/>
      <c r="BP338" s="3061"/>
      <c r="BQ338" s="3061"/>
      <c r="BR338" s="3061"/>
      <c r="BS338" s="3061"/>
      <c r="BT338" s="3061"/>
      <c r="BU338" s="3061"/>
      <c r="BV338" s="3061"/>
      <c r="BW338" s="3061"/>
      <c r="BX338" s="3061"/>
      <c r="BY338" s="3061"/>
      <c r="BZ338" s="3061"/>
      <c r="CA338" s="3061"/>
      <c r="CB338" s="3061"/>
      <c r="CC338" s="3061"/>
      <c r="CD338" s="3061"/>
      <c r="CE338" s="3061"/>
      <c r="CF338" s="3061"/>
      <c r="CG338" s="3061"/>
      <c r="CH338" s="3061"/>
      <c r="CI338" s="3061"/>
      <c r="CJ338" s="3061"/>
      <c r="CK338" s="3061"/>
      <c r="CL338" s="3061"/>
      <c r="CM338" s="3061"/>
      <c r="CN338" s="3061"/>
      <c r="CO338" s="3061"/>
      <c r="CP338" s="3061"/>
      <c r="CQ338" s="3061"/>
      <c r="CR338" s="3061"/>
      <c r="CS338" s="3062"/>
      <c r="CT338" s="3063"/>
      <c r="CU338" s="3064">
        <f t="shared" si="92"/>
        <v>1</v>
      </c>
      <c r="CV338" s="3022" t="str">
        <f>IF(OR(CT338="",CT338="None"),"-",DO338*CU338*SUMIF('Lighting Assumptions'!$G$3:$G$112,'6a - Lighting Counts'!G338,'Lighting Assumptions'!$J$3:$J$112))</f>
        <v>-</v>
      </c>
      <c r="CW338" s="3021"/>
      <c r="CX338" s="3021"/>
      <c r="CY338" s="3046"/>
      <c r="CZ338" s="2098">
        <f t="shared" si="93"/>
        <v>0</v>
      </c>
      <c r="DA338" s="2098" t="str">
        <f t="shared" si="94"/>
        <v>-</v>
      </c>
      <c r="DB338" s="2098">
        <f t="shared" si="95"/>
        <v>0</v>
      </c>
      <c r="DC338" s="3023" t="str">
        <f t="shared" si="96"/>
        <v>-</v>
      </c>
      <c r="DD338" s="3024" t="str">
        <f t="shared" si="97"/>
        <v/>
      </c>
      <c r="DE338" s="3025" t="str">
        <f t="shared" si="98"/>
        <v>-</v>
      </c>
      <c r="DF338" s="3024" t="str">
        <f t="shared" si="89"/>
        <v>-</v>
      </c>
      <c r="DG338" s="2098">
        <f t="shared" si="99"/>
        <v>0</v>
      </c>
      <c r="DH338" s="2098">
        <f t="array" ref="DH338">MIN(SUMPRODUCT(I338:CR338,IF($I$25:$CR$25="yes",1,0),$I$23:$CR$23),H338)</f>
        <v>0</v>
      </c>
      <c r="DI338" s="3026"/>
      <c r="DJ338" s="3021"/>
      <c r="DN338" s="917" t="str">
        <f>IF(CS338="","-",SUMIF('Lighting Assumptions'!$G$3:$G$112,'6a - Lighting Counts'!G338,'Lighting Assumptions'!$J$3:$J$112))</f>
        <v>-</v>
      </c>
      <c r="DO338" s="917" t="str">
        <f t="shared" si="90"/>
        <v>-</v>
      </c>
      <c r="DP338" s="917" t="str">
        <f t="shared" si="91"/>
        <v>-</v>
      </c>
      <c r="DQ338" s="917" t="str">
        <f>IF(LEFT(CELLformula(DF338),3)&lt;&gt;"=IF",1,"")</f>
        <v/>
      </c>
      <c r="DR338" s="917" t="str">
        <f>IF(LEFT(CELLformula(DD338),3)&lt;&gt;"=IF",1,"")</f>
        <v/>
      </c>
      <c r="DS338" s="3048">
        <f t="shared" si="100"/>
        <v>0</v>
      </c>
      <c r="DT338" s="3047" t="str">
        <f t="shared" si="101"/>
        <v/>
      </c>
      <c r="DU338" s="3047" t="str">
        <f>IFERROR(IF(G338="","",SUMIF('Lighting Assumptions'!$G$3:$G$112,'6a - Lighting Counts'!G338,'Lighting Assumptions'!$H$3:$H$112)*IF(SI_IP_Units="SI",10.76,1)),"")</f>
        <v/>
      </c>
      <c r="DV338" s="3047" t="str">
        <f>IFERROR(IF($CX338="","",IF(SI_IP_Units="SI",10.76,1)*SUMIF(BAMCategories,$CY338,'Lighting Assumptions'!$E$3:E$35)),"")</f>
        <v/>
      </c>
      <c r="DW338" s="3047" t="str">
        <f>IFERROR(IF($CX338="","",IF(SI_IP_Units="SI",10.76,1)*SUMIF(BAMCategories,$CY338,IF(bpf_reference="ACP",'Lighting Assumptions 90.1-2010'!$E$3:E$35,'Lighting Assumptions 90.1-2016'!$E$3:E$35))),"")</f>
        <v/>
      </c>
      <c r="EW338" s="855"/>
      <c r="EX338" s="855"/>
      <c r="EY338" s="855"/>
      <c r="EZ338" s="855"/>
    </row>
    <row r="339" spans="4:156" x14ac:dyDescent="0.25">
      <c r="D339" s="3019"/>
      <c r="E339" s="3020"/>
      <c r="F339" s="3021">
        <f t="shared" si="88"/>
        <v>0</v>
      </c>
      <c r="G339" s="3059"/>
      <c r="H339" s="3060"/>
      <c r="I339" s="3061"/>
      <c r="J339" s="3061"/>
      <c r="K339" s="3061"/>
      <c r="L339" s="3061"/>
      <c r="M339" s="3061"/>
      <c r="N339" s="3061"/>
      <c r="O339" s="3061"/>
      <c r="P339" s="3061"/>
      <c r="Q339" s="3061"/>
      <c r="R339" s="3061"/>
      <c r="S339" s="3061"/>
      <c r="T339" s="3061"/>
      <c r="U339" s="3061"/>
      <c r="V339" s="3061"/>
      <c r="W339" s="3061"/>
      <c r="X339" s="3061"/>
      <c r="Y339" s="3061"/>
      <c r="Z339" s="3061"/>
      <c r="AA339" s="3061"/>
      <c r="AB339" s="3061"/>
      <c r="AC339" s="3061"/>
      <c r="AD339" s="3061"/>
      <c r="AE339" s="3061"/>
      <c r="AF339" s="3061"/>
      <c r="AG339" s="3061"/>
      <c r="AH339" s="3061"/>
      <c r="AI339" s="3061"/>
      <c r="AJ339" s="3061"/>
      <c r="AK339" s="3061"/>
      <c r="AL339" s="3061"/>
      <c r="AM339" s="3061"/>
      <c r="AN339" s="3061"/>
      <c r="AO339" s="3061"/>
      <c r="AP339" s="3061"/>
      <c r="AQ339" s="3061"/>
      <c r="AR339" s="3061"/>
      <c r="AS339" s="3061"/>
      <c r="AT339" s="3061"/>
      <c r="AU339" s="3061"/>
      <c r="AV339" s="3061"/>
      <c r="AW339" s="3061"/>
      <c r="AX339" s="3061"/>
      <c r="AY339" s="3061"/>
      <c r="AZ339" s="3061"/>
      <c r="BA339" s="3061"/>
      <c r="BB339" s="3061"/>
      <c r="BC339" s="3061"/>
      <c r="BD339" s="3061"/>
      <c r="BE339" s="3061"/>
      <c r="BF339" s="3061"/>
      <c r="BG339" s="3061"/>
      <c r="BH339" s="3061"/>
      <c r="BI339" s="3061"/>
      <c r="BJ339" s="3061"/>
      <c r="BK339" s="3061"/>
      <c r="BL339" s="3061"/>
      <c r="BM339" s="3061"/>
      <c r="BN339" s="3061"/>
      <c r="BO339" s="3061"/>
      <c r="BP339" s="3061"/>
      <c r="BQ339" s="3061"/>
      <c r="BR339" s="3061"/>
      <c r="BS339" s="3061"/>
      <c r="BT339" s="3061"/>
      <c r="BU339" s="3061"/>
      <c r="BV339" s="3061"/>
      <c r="BW339" s="3061"/>
      <c r="BX339" s="3061"/>
      <c r="BY339" s="3061"/>
      <c r="BZ339" s="3061"/>
      <c r="CA339" s="3061"/>
      <c r="CB339" s="3061"/>
      <c r="CC339" s="3061"/>
      <c r="CD339" s="3061"/>
      <c r="CE339" s="3061"/>
      <c r="CF339" s="3061"/>
      <c r="CG339" s="3061"/>
      <c r="CH339" s="3061"/>
      <c r="CI339" s="3061"/>
      <c r="CJ339" s="3061"/>
      <c r="CK339" s="3061"/>
      <c r="CL339" s="3061"/>
      <c r="CM339" s="3061"/>
      <c r="CN339" s="3061"/>
      <c r="CO339" s="3061"/>
      <c r="CP339" s="3061"/>
      <c r="CQ339" s="3061"/>
      <c r="CR339" s="3061"/>
      <c r="CS339" s="3062"/>
      <c r="CT339" s="3063"/>
      <c r="CU339" s="3064">
        <f t="shared" si="92"/>
        <v>1</v>
      </c>
      <c r="CV339" s="3022" t="str">
        <f>IF(OR(CT339="",CT339="None"),"-",DO339*CU339*SUMIF('Lighting Assumptions'!$G$3:$G$112,'6a - Lighting Counts'!G339,'Lighting Assumptions'!$J$3:$J$112))</f>
        <v>-</v>
      </c>
      <c r="CW339" s="3021"/>
      <c r="CX339" s="3021"/>
      <c r="CY339" s="3046"/>
      <c r="CZ339" s="2098">
        <f t="shared" si="93"/>
        <v>0</v>
      </c>
      <c r="DA339" s="2098" t="str">
        <f t="shared" si="94"/>
        <v>-</v>
      </c>
      <c r="DB339" s="2098">
        <f t="shared" si="95"/>
        <v>0</v>
      </c>
      <c r="DC339" s="3023" t="str">
        <f t="shared" si="96"/>
        <v>-</v>
      </c>
      <c r="DD339" s="3024" t="str">
        <f t="shared" si="97"/>
        <v/>
      </c>
      <c r="DE339" s="3025" t="str">
        <f t="shared" si="98"/>
        <v>-</v>
      </c>
      <c r="DF339" s="3024" t="str">
        <f t="shared" si="89"/>
        <v>-</v>
      </c>
      <c r="DG339" s="2098">
        <f t="shared" si="99"/>
        <v>0</v>
      </c>
      <c r="DH339" s="2098">
        <f t="array" ref="DH339">MIN(SUMPRODUCT(I339:CR339,IF($I$25:$CR$25="yes",1,0),$I$23:$CR$23),H339)</f>
        <v>0</v>
      </c>
      <c r="DI339" s="3026"/>
      <c r="DJ339" s="3021"/>
      <c r="DN339" s="917" t="str">
        <f>IF(CS339="","-",SUMIF('Lighting Assumptions'!$G$3:$G$112,'6a - Lighting Counts'!G339,'Lighting Assumptions'!$J$3:$J$112))</f>
        <v>-</v>
      </c>
      <c r="DO339" s="917" t="str">
        <f t="shared" si="90"/>
        <v>-</v>
      </c>
      <c r="DP339" s="917" t="str">
        <f t="shared" si="91"/>
        <v>-</v>
      </c>
      <c r="DQ339" s="917" t="str">
        <f>IF(LEFT(CELLformula(DF339),3)&lt;&gt;"=IF",1,"")</f>
        <v/>
      </c>
      <c r="DR339" s="917" t="str">
        <f>IF(LEFT(CELLformula(DD339),3)&lt;&gt;"=IF",1,"")</f>
        <v/>
      </c>
      <c r="DS339" s="3048">
        <f t="shared" si="100"/>
        <v>0</v>
      </c>
      <c r="DT339" s="3047" t="str">
        <f t="shared" si="101"/>
        <v/>
      </c>
      <c r="DU339" s="3047" t="str">
        <f>IFERROR(IF(G339="","",SUMIF('Lighting Assumptions'!$G$3:$G$112,'6a - Lighting Counts'!G339,'Lighting Assumptions'!$H$3:$H$112)*IF(SI_IP_Units="SI",10.76,1)),"")</f>
        <v/>
      </c>
      <c r="DV339" s="3047" t="str">
        <f>IFERROR(IF($CX339="","",IF(SI_IP_Units="SI",10.76,1)*SUMIF(BAMCategories,$CY339,'Lighting Assumptions'!$E$3:E$35)),"")</f>
        <v/>
      </c>
      <c r="DW339" s="3047" t="str">
        <f>IFERROR(IF($CX339="","",IF(SI_IP_Units="SI",10.76,1)*SUMIF(BAMCategories,$CY339,IF(bpf_reference="ACP",'Lighting Assumptions 90.1-2010'!$E$3:E$35,'Lighting Assumptions 90.1-2016'!$E$3:E$35))),"")</f>
        <v/>
      </c>
      <c r="EW339" s="855"/>
      <c r="EX339" s="855"/>
      <c r="EY339" s="855"/>
      <c r="EZ339" s="855"/>
    </row>
    <row r="340" spans="4:156" x14ac:dyDescent="0.25">
      <c r="D340" s="3019"/>
      <c r="E340" s="3020"/>
      <c r="F340" s="3021">
        <f t="shared" si="88"/>
        <v>0</v>
      </c>
      <c r="G340" s="3059"/>
      <c r="H340" s="3060"/>
      <c r="I340" s="3061"/>
      <c r="J340" s="3061"/>
      <c r="K340" s="3061"/>
      <c r="L340" s="3061"/>
      <c r="M340" s="3061"/>
      <c r="N340" s="3061"/>
      <c r="O340" s="3061"/>
      <c r="P340" s="3061"/>
      <c r="Q340" s="3061"/>
      <c r="R340" s="3061"/>
      <c r="S340" s="3061"/>
      <c r="T340" s="3061"/>
      <c r="U340" s="3061"/>
      <c r="V340" s="3061"/>
      <c r="W340" s="3061"/>
      <c r="X340" s="3061"/>
      <c r="Y340" s="3061"/>
      <c r="Z340" s="3061"/>
      <c r="AA340" s="3061"/>
      <c r="AB340" s="3061"/>
      <c r="AC340" s="3061"/>
      <c r="AD340" s="3061"/>
      <c r="AE340" s="3061"/>
      <c r="AF340" s="3061"/>
      <c r="AG340" s="3061"/>
      <c r="AH340" s="3061"/>
      <c r="AI340" s="3061"/>
      <c r="AJ340" s="3061"/>
      <c r="AK340" s="3061"/>
      <c r="AL340" s="3061"/>
      <c r="AM340" s="3061"/>
      <c r="AN340" s="3061"/>
      <c r="AO340" s="3061"/>
      <c r="AP340" s="3061"/>
      <c r="AQ340" s="3061"/>
      <c r="AR340" s="3061"/>
      <c r="AS340" s="3061"/>
      <c r="AT340" s="3061"/>
      <c r="AU340" s="3061"/>
      <c r="AV340" s="3061"/>
      <c r="AW340" s="3061"/>
      <c r="AX340" s="3061"/>
      <c r="AY340" s="3061"/>
      <c r="AZ340" s="3061"/>
      <c r="BA340" s="3061"/>
      <c r="BB340" s="3061"/>
      <c r="BC340" s="3061"/>
      <c r="BD340" s="3061"/>
      <c r="BE340" s="3061"/>
      <c r="BF340" s="3061"/>
      <c r="BG340" s="3061"/>
      <c r="BH340" s="3061"/>
      <c r="BI340" s="3061"/>
      <c r="BJ340" s="3061"/>
      <c r="BK340" s="3061"/>
      <c r="BL340" s="3061"/>
      <c r="BM340" s="3061"/>
      <c r="BN340" s="3061"/>
      <c r="BO340" s="3061"/>
      <c r="BP340" s="3061"/>
      <c r="BQ340" s="3061"/>
      <c r="BR340" s="3061"/>
      <c r="BS340" s="3061"/>
      <c r="BT340" s="3061"/>
      <c r="BU340" s="3061"/>
      <c r="BV340" s="3061"/>
      <c r="BW340" s="3061"/>
      <c r="BX340" s="3061"/>
      <c r="BY340" s="3061"/>
      <c r="BZ340" s="3061"/>
      <c r="CA340" s="3061"/>
      <c r="CB340" s="3061"/>
      <c r="CC340" s="3061"/>
      <c r="CD340" s="3061"/>
      <c r="CE340" s="3061"/>
      <c r="CF340" s="3061"/>
      <c r="CG340" s="3061"/>
      <c r="CH340" s="3061"/>
      <c r="CI340" s="3061"/>
      <c r="CJ340" s="3061"/>
      <c r="CK340" s="3061"/>
      <c r="CL340" s="3061"/>
      <c r="CM340" s="3061"/>
      <c r="CN340" s="3061"/>
      <c r="CO340" s="3061"/>
      <c r="CP340" s="3061"/>
      <c r="CQ340" s="3061"/>
      <c r="CR340" s="3061"/>
      <c r="CS340" s="3062"/>
      <c r="CT340" s="3063"/>
      <c r="CU340" s="3064">
        <f t="shared" si="92"/>
        <v>1</v>
      </c>
      <c r="CV340" s="3022" t="str">
        <f>IF(OR(CT340="",CT340="None"),"-",DO340*CU340*SUMIF('Lighting Assumptions'!$G$3:$G$112,'6a - Lighting Counts'!G340,'Lighting Assumptions'!$J$3:$J$112))</f>
        <v>-</v>
      </c>
      <c r="CW340" s="3021"/>
      <c r="CX340" s="3021"/>
      <c r="CY340" s="3046"/>
      <c r="CZ340" s="2098">
        <f t="shared" si="93"/>
        <v>0</v>
      </c>
      <c r="DA340" s="2098" t="str">
        <f t="shared" si="94"/>
        <v>-</v>
      </c>
      <c r="DB340" s="2098">
        <f t="shared" si="95"/>
        <v>0</v>
      </c>
      <c r="DC340" s="3023" t="str">
        <f t="shared" si="96"/>
        <v>-</v>
      </c>
      <c r="DD340" s="3024" t="str">
        <f t="shared" si="97"/>
        <v/>
      </c>
      <c r="DE340" s="3025" t="str">
        <f t="shared" si="98"/>
        <v>-</v>
      </c>
      <c r="DF340" s="3024" t="str">
        <f t="shared" si="89"/>
        <v>-</v>
      </c>
      <c r="DG340" s="2098">
        <f t="shared" si="99"/>
        <v>0</v>
      </c>
      <c r="DH340" s="2098">
        <f t="array" ref="DH340">MIN(SUMPRODUCT(I340:CR340,IF($I$25:$CR$25="yes",1,0),$I$23:$CR$23),H340)</f>
        <v>0</v>
      </c>
      <c r="DI340" s="3026"/>
      <c r="DJ340" s="3021"/>
      <c r="DN340" s="917" t="str">
        <f>IF(CS340="","-",SUMIF('Lighting Assumptions'!$G$3:$G$112,'6a - Lighting Counts'!G340,'Lighting Assumptions'!$J$3:$J$112))</f>
        <v>-</v>
      </c>
      <c r="DO340" s="917" t="str">
        <f t="shared" si="90"/>
        <v>-</v>
      </c>
      <c r="DP340" s="917" t="str">
        <f t="shared" si="91"/>
        <v>-</v>
      </c>
      <c r="DQ340" s="917" t="str">
        <f>IF(LEFT(CELLformula(DF340),3)&lt;&gt;"=IF",1,"")</f>
        <v/>
      </c>
      <c r="DR340" s="917" t="str">
        <f>IF(LEFT(CELLformula(DD340),3)&lt;&gt;"=IF",1,"")</f>
        <v/>
      </c>
      <c r="DS340" s="3048">
        <f t="shared" si="100"/>
        <v>0</v>
      </c>
      <c r="DT340" s="3047" t="str">
        <f t="shared" si="101"/>
        <v/>
      </c>
      <c r="DU340" s="3047" t="str">
        <f>IFERROR(IF(G340="","",SUMIF('Lighting Assumptions'!$G$3:$G$112,'6a - Lighting Counts'!G340,'Lighting Assumptions'!$H$3:$H$112)*IF(SI_IP_Units="SI",10.76,1)),"")</f>
        <v/>
      </c>
      <c r="DV340" s="3047" t="str">
        <f>IFERROR(IF($CX340="","",IF(SI_IP_Units="SI",10.76,1)*SUMIF(BAMCategories,$CY340,'Lighting Assumptions'!$E$3:E$35)),"")</f>
        <v/>
      </c>
      <c r="DW340" s="3047" t="str">
        <f>IFERROR(IF($CX340="","",IF(SI_IP_Units="SI",10.76,1)*SUMIF(BAMCategories,$CY340,IF(bpf_reference="ACP",'Lighting Assumptions 90.1-2010'!$E$3:E$35,'Lighting Assumptions 90.1-2016'!$E$3:E$35))),"")</f>
        <v/>
      </c>
      <c r="EW340" s="855"/>
      <c r="EX340" s="855"/>
      <c r="EY340" s="855"/>
      <c r="EZ340" s="855"/>
    </row>
    <row r="341" spans="4:156" x14ac:dyDescent="0.25">
      <c r="D341" s="3019"/>
      <c r="E341" s="3020"/>
      <c r="F341" s="3021">
        <f t="shared" si="88"/>
        <v>0</v>
      </c>
      <c r="G341" s="3059"/>
      <c r="H341" s="3060"/>
      <c r="I341" s="3061"/>
      <c r="J341" s="3061"/>
      <c r="K341" s="3061"/>
      <c r="L341" s="3061"/>
      <c r="M341" s="3061"/>
      <c r="N341" s="3061"/>
      <c r="O341" s="3061"/>
      <c r="P341" s="3061"/>
      <c r="Q341" s="3061"/>
      <c r="R341" s="3061"/>
      <c r="S341" s="3061"/>
      <c r="T341" s="3061"/>
      <c r="U341" s="3061"/>
      <c r="V341" s="3061"/>
      <c r="W341" s="3061"/>
      <c r="X341" s="3061"/>
      <c r="Y341" s="3061"/>
      <c r="Z341" s="3061"/>
      <c r="AA341" s="3061"/>
      <c r="AB341" s="3061"/>
      <c r="AC341" s="3061"/>
      <c r="AD341" s="3061"/>
      <c r="AE341" s="3061"/>
      <c r="AF341" s="3061"/>
      <c r="AG341" s="3061"/>
      <c r="AH341" s="3061"/>
      <c r="AI341" s="3061"/>
      <c r="AJ341" s="3061"/>
      <c r="AK341" s="3061"/>
      <c r="AL341" s="3061"/>
      <c r="AM341" s="3061"/>
      <c r="AN341" s="3061"/>
      <c r="AO341" s="3061"/>
      <c r="AP341" s="3061"/>
      <c r="AQ341" s="3061"/>
      <c r="AR341" s="3061"/>
      <c r="AS341" s="3061"/>
      <c r="AT341" s="3061"/>
      <c r="AU341" s="3061"/>
      <c r="AV341" s="3061"/>
      <c r="AW341" s="3061"/>
      <c r="AX341" s="3061"/>
      <c r="AY341" s="3061"/>
      <c r="AZ341" s="3061"/>
      <c r="BA341" s="3061"/>
      <c r="BB341" s="3061"/>
      <c r="BC341" s="3061"/>
      <c r="BD341" s="3061"/>
      <c r="BE341" s="3061"/>
      <c r="BF341" s="3061"/>
      <c r="BG341" s="3061"/>
      <c r="BH341" s="3061"/>
      <c r="BI341" s="3061"/>
      <c r="BJ341" s="3061"/>
      <c r="BK341" s="3061"/>
      <c r="BL341" s="3061"/>
      <c r="BM341" s="3061"/>
      <c r="BN341" s="3061"/>
      <c r="BO341" s="3061"/>
      <c r="BP341" s="3061"/>
      <c r="BQ341" s="3061"/>
      <c r="BR341" s="3061"/>
      <c r="BS341" s="3061"/>
      <c r="BT341" s="3061"/>
      <c r="BU341" s="3061"/>
      <c r="BV341" s="3061"/>
      <c r="BW341" s="3061"/>
      <c r="BX341" s="3061"/>
      <c r="BY341" s="3061"/>
      <c r="BZ341" s="3061"/>
      <c r="CA341" s="3061"/>
      <c r="CB341" s="3061"/>
      <c r="CC341" s="3061"/>
      <c r="CD341" s="3061"/>
      <c r="CE341" s="3061"/>
      <c r="CF341" s="3061"/>
      <c r="CG341" s="3061"/>
      <c r="CH341" s="3061"/>
      <c r="CI341" s="3061"/>
      <c r="CJ341" s="3061"/>
      <c r="CK341" s="3061"/>
      <c r="CL341" s="3061"/>
      <c r="CM341" s="3061"/>
      <c r="CN341" s="3061"/>
      <c r="CO341" s="3061"/>
      <c r="CP341" s="3061"/>
      <c r="CQ341" s="3061"/>
      <c r="CR341" s="3061"/>
      <c r="CS341" s="3062"/>
      <c r="CT341" s="3063"/>
      <c r="CU341" s="3064">
        <f t="shared" si="92"/>
        <v>1</v>
      </c>
      <c r="CV341" s="3022" t="str">
        <f>IF(OR(CT341="",CT341="None"),"-",DO341*CU341*SUMIF('Lighting Assumptions'!$G$3:$G$112,'6a - Lighting Counts'!G341,'Lighting Assumptions'!$J$3:$J$112))</f>
        <v>-</v>
      </c>
      <c r="CW341" s="3021"/>
      <c r="CX341" s="3021"/>
      <c r="CY341" s="3046"/>
      <c r="CZ341" s="2098">
        <f t="shared" si="93"/>
        <v>0</v>
      </c>
      <c r="DA341" s="2098" t="str">
        <f t="shared" si="94"/>
        <v>-</v>
      </c>
      <c r="DB341" s="2098">
        <f t="shared" si="95"/>
        <v>0</v>
      </c>
      <c r="DC341" s="3023" t="str">
        <f t="shared" si="96"/>
        <v>-</v>
      </c>
      <c r="DD341" s="3024" t="str">
        <f t="shared" si="97"/>
        <v/>
      </c>
      <c r="DE341" s="3025" t="str">
        <f t="shared" si="98"/>
        <v>-</v>
      </c>
      <c r="DF341" s="3024" t="str">
        <f t="shared" si="89"/>
        <v>-</v>
      </c>
      <c r="DG341" s="2098">
        <f t="shared" si="99"/>
        <v>0</v>
      </c>
      <c r="DH341" s="2098">
        <f t="array" ref="DH341">MIN(SUMPRODUCT(I341:CR341,IF($I$25:$CR$25="yes",1,0),$I$23:$CR$23),H341)</f>
        <v>0</v>
      </c>
      <c r="DI341" s="3026"/>
      <c r="DJ341" s="3021"/>
      <c r="DN341" s="917" t="str">
        <f>IF(CS341="","-",SUMIF('Lighting Assumptions'!$G$3:$G$112,'6a - Lighting Counts'!G341,'Lighting Assumptions'!$J$3:$J$112))</f>
        <v>-</v>
      </c>
      <c r="DO341" s="917" t="str">
        <f t="shared" si="90"/>
        <v>-</v>
      </c>
      <c r="DP341" s="917" t="str">
        <f t="shared" si="91"/>
        <v>-</v>
      </c>
      <c r="DQ341" s="917" t="str">
        <f>IF(LEFT(CELLformula(DF341),3)&lt;&gt;"=IF",1,"")</f>
        <v/>
      </c>
      <c r="DR341" s="917" t="str">
        <f>IF(LEFT(CELLformula(DD341),3)&lt;&gt;"=IF",1,"")</f>
        <v/>
      </c>
      <c r="DS341" s="3048">
        <f t="shared" si="100"/>
        <v>0</v>
      </c>
      <c r="DT341" s="3047" t="str">
        <f t="shared" si="101"/>
        <v/>
      </c>
      <c r="DU341" s="3047" t="str">
        <f>IFERROR(IF(G341="","",SUMIF('Lighting Assumptions'!$G$3:$G$112,'6a - Lighting Counts'!G341,'Lighting Assumptions'!$H$3:$H$112)*IF(SI_IP_Units="SI",10.76,1)),"")</f>
        <v/>
      </c>
      <c r="DV341" s="3047" t="str">
        <f>IFERROR(IF($CX341="","",IF(SI_IP_Units="SI",10.76,1)*SUMIF(BAMCategories,$CY341,'Lighting Assumptions'!$E$3:E$35)),"")</f>
        <v/>
      </c>
      <c r="DW341" s="3047" t="str">
        <f>IFERROR(IF($CX341="","",IF(SI_IP_Units="SI",10.76,1)*SUMIF(BAMCategories,$CY341,IF(bpf_reference="ACP",'Lighting Assumptions 90.1-2010'!$E$3:E$35,'Lighting Assumptions 90.1-2016'!$E$3:E$35))),"")</f>
        <v/>
      </c>
      <c r="EW341" s="855"/>
      <c r="EX341" s="855"/>
      <c r="EY341" s="855"/>
      <c r="EZ341" s="855"/>
    </row>
    <row r="342" spans="4:156" x14ac:dyDescent="0.25">
      <c r="D342" s="3019"/>
      <c r="E342" s="3020"/>
      <c r="F342" s="3021">
        <f t="shared" si="88"/>
        <v>0</v>
      </c>
      <c r="G342" s="3059"/>
      <c r="H342" s="3060"/>
      <c r="I342" s="3061"/>
      <c r="J342" s="3061"/>
      <c r="K342" s="3061"/>
      <c r="L342" s="3061"/>
      <c r="M342" s="3061"/>
      <c r="N342" s="3061"/>
      <c r="O342" s="3061"/>
      <c r="P342" s="3061"/>
      <c r="Q342" s="3061"/>
      <c r="R342" s="3061"/>
      <c r="S342" s="3061"/>
      <c r="T342" s="3061"/>
      <c r="U342" s="3061"/>
      <c r="V342" s="3061"/>
      <c r="W342" s="3061"/>
      <c r="X342" s="3061"/>
      <c r="Y342" s="3061"/>
      <c r="Z342" s="3061"/>
      <c r="AA342" s="3061"/>
      <c r="AB342" s="3061"/>
      <c r="AC342" s="3061"/>
      <c r="AD342" s="3061"/>
      <c r="AE342" s="3061"/>
      <c r="AF342" s="3061"/>
      <c r="AG342" s="3061"/>
      <c r="AH342" s="3061"/>
      <c r="AI342" s="3061"/>
      <c r="AJ342" s="3061"/>
      <c r="AK342" s="3061"/>
      <c r="AL342" s="3061"/>
      <c r="AM342" s="3061"/>
      <c r="AN342" s="3061"/>
      <c r="AO342" s="3061"/>
      <c r="AP342" s="3061"/>
      <c r="AQ342" s="3061"/>
      <c r="AR342" s="3061"/>
      <c r="AS342" s="3061"/>
      <c r="AT342" s="3061"/>
      <c r="AU342" s="3061"/>
      <c r="AV342" s="3061"/>
      <c r="AW342" s="3061"/>
      <c r="AX342" s="3061"/>
      <c r="AY342" s="3061"/>
      <c r="AZ342" s="3061"/>
      <c r="BA342" s="3061"/>
      <c r="BB342" s="3061"/>
      <c r="BC342" s="3061"/>
      <c r="BD342" s="3061"/>
      <c r="BE342" s="3061"/>
      <c r="BF342" s="3061"/>
      <c r="BG342" s="3061"/>
      <c r="BH342" s="3061"/>
      <c r="BI342" s="3061"/>
      <c r="BJ342" s="3061"/>
      <c r="BK342" s="3061"/>
      <c r="BL342" s="3061"/>
      <c r="BM342" s="3061"/>
      <c r="BN342" s="3061"/>
      <c r="BO342" s="3061"/>
      <c r="BP342" s="3061"/>
      <c r="BQ342" s="3061"/>
      <c r="BR342" s="3061"/>
      <c r="BS342" s="3061"/>
      <c r="BT342" s="3061"/>
      <c r="BU342" s="3061"/>
      <c r="BV342" s="3061"/>
      <c r="BW342" s="3061"/>
      <c r="BX342" s="3061"/>
      <c r="BY342" s="3061"/>
      <c r="BZ342" s="3061"/>
      <c r="CA342" s="3061"/>
      <c r="CB342" s="3061"/>
      <c r="CC342" s="3061"/>
      <c r="CD342" s="3061"/>
      <c r="CE342" s="3061"/>
      <c r="CF342" s="3061"/>
      <c r="CG342" s="3061"/>
      <c r="CH342" s="3061"/>
      <c r="CI342" s="3061"/>
      <c r="CJ342" s="3061"/>
      <c r="CK342" s="3061"/>
      <c r="CL342" s="3061"/>
      <c r="CM342" s="3061"/>
      <c r="CN342" s="3061"/>
      <c r="CO342" s="3061"/>
      <c r="CP342" s="3061"/>
      <c r="CQ342" s="3061"/>
      <c r="CR342" s="3061"/>
      <c r="CS342" s="3062"/>
      <c r="CT342" s="3063"/>
      <c r="CU342" s="3064">
        <f t="shared" si="92"/>
        <v>1</v>
      </c>
      <c r="CV342" s="3022" t="str">
        <f>IF(OR(CT342="",CT342="None"),"-",DO342*CU342*SUMIF('Lighting Assumptions'!$G$3:$G$112,'6a - Lighting Counts'!G342,'Lighting Assumptions'!$J$3:$J$112))</f>
        <v>-</v>
      </c>
      <c r="CW342" s="3021"/>
      <c r="CX342" s="3021"/>
      <c r="CY342" s="3046"/>
      <c r="CZ342" s="2098">
        <f t="shared" si="93"/>
        <v>0</v>
      </c>
      <c r="DA342" s="2098" t="str">
        <f t="shared" si="94"/>
        <v>-</v>
      </c>
      <c r="DB342" s="2098">
        <f t="shared" si="95"/>
        <v>0</v>
      </c>
      <c r="DC342" s="3023" t="str">
        <f t="shared" si="96"/>
        <v>-</v>
      </c>
      <c r="DD342" s="3024" t="str">
        <f t="shared" si="97"/>
        <v/>
      </c>
      <c r="DE342" s="3025" t="str">
        <f t="shared" si="98"/>
        <v>-</v>
      </c>
      <c r="DF342" s="3024" t="str">
        <f t="shared" si="89"/>
        <v>-</v>
      </c>
      <c r="DG342" s="2098">
        <f t="shared" si="99"/>
        <v>0</v>
      </c>
      <c r="DH342" s="2098">
        <f t="array" ref="DH342">MIN(SUMPRODUCT(I342:CR342,IF($I$25:$CR$25="yes",1,0),$I$23:$CR$23),H342)</f>
        <v>0</v>
      </c>
      <c r="DI342" s="3026"/>
      <c r="DJ342" s="3021"/>
      <c r="DN342" s="917" t="str">
        <f>IF(CS342="","-",SUMIF('Lighting Assumptions'!$G$3:$G$112,'6a - Lighting Counts'!G342,'Lighting Assumptions'!$J$3:$J$112))</f>
        <v>-</v>
      </c>
      <c r="DO342" s="917" t="str">
        <f t="shared" si="90"/>
        <v>-</v>
      </c>
      <c r="DP342" s="917" t="str">
        <f t="shared" si="91"/>
        <v>-</v>
      </c>
      <c r="DQ342" s="917" t="str">
        <f>IF(LEFT(CELLformula(DF342),3)&lt;&gt;"=IF",1,"")</f>
        <v/>
      </c>
      <c r="DR342" s="917" t="str">
        <f>IF(LEFT(CELLformula(DD342),3)&lt;&gt;"=IF",1,"")</f>
        <v/>
      </c>
      <c r="DS342" s="3048">
        <f t="shared" si="100"/>
        <v>0</v>
      </c>
      <c r="DT342" s="3047" t="str">
        <f t="shared" si="101"/>
        <v/>
      </c>
      <c r="DU342" s="3047" t="str">
        <f>IFERROR(IF(G342="","",SUMIF('Lighting Assumptions'!$G$3:$G$112,'6a - Lighting Counts'!G342,'Lighting Assumptions'!$H$3:$H$112)*IF(SI_IP_Units="SI",10.76,1)),"")</f>
        <v/>
      </c>
      <c r="DV342" s="3047" t="str">
        <f>IFERROR(IF($CX342="","",IF(SI_IP_Units="SI",10.76,1)*SUMIF(BAMCategories,$CY342,'Lighting Assumptions'!$E$3:E$35)),"")</f>
        <v/>
      </c>
      <c r="DW342" s="3047" t="str">
        <f>IFERROR(IF($CX342="","",IF(SI_IP_Units="SI",10.76,1)*SUMIF(BAMCategories,$CY342,IF(bpf_reference="ACP",'Lighting Assumptions 90.1-2010'!$E$3:E$35,'Lighting Assumptions 90.1-2016'!$E$3:E$35))),"")</f>
        <v/>
      </c>
      <c r="EW342" s="855"/>
      <c r="EX342" s="855"/>
      <c r="EY342" s="855"/>
      <c r="EZ342" s="855"/>
    </row>
    <row r="343" spans="4:156" x14ac:dyDescent="0.25">
      <c r="D343" s="3019"/>
      <c r="E343" s="3020"/>
      <c r="F343" s="3021">
        <f t="shared" si="88"/>
        <v>0</v>
      </c>
      <c r="G343" s="3059"/>
      <c r="H343" s="3060"/>
      <c r="I343" s="3061"/>
      <c r="J343" s="3061"/>
      <c r="K343" s="3061"/>
      <c r="L343" s="3061"/>
      <c r="M343" s="3061"/>
      <c r="N343" s="3061"/>
      <c r="O343" s="3061"/>
      <c r="P343" s="3061"/>
      <c r="Q343" s="3061"/>
      <c r="R343" s="3061"/>
      <c r="S343" s="3061"/>
      <c r="T343" s="3061"/>
      <c r="U343" s="3061"/>
      <c r="V343" s="3061"/>
      <c r="W343" s="3061"/>
      <c r="X343" s="3061"/>
      <c r="Y343" s="3061"/>
      <c r="Z343" s="3061"/>
      <c r="AA343" s="3061"/>
      <c r="AB343" s="3061"/>
      <c r="AC343" s="3061"/>
      <c r="AD343" s="3061"/>
      <c r="AE343" s="3061"/>
      <c r="AF343" s="3061"/>
      <c r="AG343" s="3061"/>
      <c r="AH343" s="3061"/>
      <c r="AI343" s="3061"/>
      <c r="AJ343" s="3061"/>
      <c r="AK343" s="3061"/>
      <c r="AL343" s="3061"/>
      <c r="AM343" s="3061"/>
      <c r="AN343" s="3061"/>
      <c r="AO343" s="3061"/>
      <c r="AP343" s="3061"/>
      <c r="AQ343" s="3061"/>
      <c r="AR343" s="3061"/>
      <c r="AS343" s="3061"/>
      <c r="AT343" s="3061"/>
      <c r="AU343" s="3061"/>
      <c r="AV343" s="3061"/>
      <c r="AW343" s="3061"/>
      <c r="AX343" s="3061"/>
      <c r="AY343" s="3061"/>
      <c r="AZ343" s="3061"/>
      <c r="BA343" s="3061"/>
      <c r="BB343" s="3061"/>
      <c r="BC343" s="3061"/>
      <c r="BD343" s="3061"/>
      <c r="BE343" s="3061"/>
      <c r="BF343" s="3061"/>
      <c r="BG343" s="3061"/>
      <c r="BH343" s="3061"/>
      <c r="BI343" s="3061"/>
      <c r="BJ343" s="3061"/>
      <c r="BK343" s="3061"/>
      <c r="BL343" s="3061"/>
      <c r="BM343" s="3061"/>
      <c r="BN343" s="3061"/>
      <c r="BO343" s="3061"/>
      <c r="BP343" s="3061"/>
      <c r="BQ343" s="3061"/>
      <c r="BR343" s="3061"/>
      <c r="BS343" s="3061"/>
      <c r="BT343" s="3061"/>
      <c r="BU343" s="3061"/>
      <c r="BV343" s="3061"/>
      <c r="BW343" s="3061"/>
      <c r="BX343" s="3061"/>
      <c r="BY343" s="3061"/>
      <c r="BZ343" s="3061"/>
      <c r="CA343" s="3061"/>
      <c r="CB343" s="3061"/>
      <c r="CC343" s="3061"/>
      <c r="CD343" s="3061"/>
      <c r="CE343" s="3061"/>
      <c r="CF343" s="3061"/>
      <c r="CG343" s="3061"/>
      <c r="CH343" s="3061"/>
      <c r="CI343" s="3061"/>
      <c r="CJ343" s="3061"/>
      <c r="CK343" s="3061"/>
      <c r="CL343" s="3061"/>
      <c r="CM343" s="3061"/>
      <c r="CN343" s="3061"/>
      <c r="CO343" s="3061"/>
      <c r="CP343" s="3061"/>
      <c r="CQ343" s="3061"/>
      <c r="CR343" s="3061"/>
      <c r="CS343" s="3062"/>
      <c r="CT343" s="3063"/>
      <c r="CU343" s="3064">
        <f t="shared" si="92"/>
        <v>1</v>
      </c>
      <c r="CV343" s="3022" t="str">
        <f>IF(OR(CT343="",CT343="None"),"-",DO343*CU343*SUMIF('Lighting Assumptions'!$G$3:$G$112,'6a - Lighting Counts'!G343,'Lighting Assumptions'!$J$3:$J$112))</f>
        <v>-</v>
      </c>
      <c r="CW343" s="3021"/>
      <c r="CX343" s="3021"/>
      <c r="CY343" s="3046"/>
      <c r="CZ343" s="2098">
        <f t="shared" si="93"/>
        <v>0</v>
      </c>
      <c r="DA343" s="2098" t="str">
        <f t="shared" si="94"/>
        <v>-</v>
      </c>
      <c r="DB343" s="2098">
        <f t="shared" si="95"/>
        <v>0</v>
      </c>
      <c r="DC343" s="3023" t="str">
        <f t="shared" si="96"/>
        <v>-</v>
      </c>
      <c r="DD343" s="3024" t="str">
        <f t="shared" si="97"/>
        <v/>
      </c>
      <c r="DE343" s="3025" t="str">
        <f t="shared" si="98"/>
        <v>-</v>
      </c>
      <c r="DF343" s="3024" t="str">
        <f t="shared" si="89"/>
        <v>-</v>
      </c>
      <c r="DG343" s="2098">
        <f t="shared" si="99"/>
        <v>0</v>
      </c>
      <c r="DH343" s="2098">
        <f t="array" ref="DH343">MIN(SUMPRODUCT(I343:CR343,IF($I$25:$CR$25="yes",1,0),$I$23:$CR$23),H343)</f>
        <v>0</v>
      </c>
      <c r="DI343" s="3026"/>
      <c r="DJ343" s="3021"/>
      <c r="DN343" s="917" t="str">
        <f>IF(CS343="","-",SUMIF('Lighting Assumptions'!$G$3:$G$112,'6a - Lighting Counts'!G343,'Lighting Assumptions'!$J$3:$J$112))</f>
        <v>-</v>
      </c>
      <c r="DO343" s="917" t="str">
        <f t="shared" si="90"/>
        <v>-</v>
      </c>
      <c r="DP343" s="917" t="str">
        <f t="shared" si="91"/>
        <v>-</v>
      </c>
      <c r="DQ343" s="917" t="str">
        <f>IF(LEFT(CELLformula(DF343),3)&lt;&gt;"=IF",1,"")</f>
        <v/>
      </c>
      <c r="DR343" s="917" t="str">
        <f>IF(LEFT(CELLformula(DD343),3)&lt;&gt;"=IF",1,"")</f>
        <v/>
      </c>
      <c r="DS343" s="3048">
        <f t="shared" si="100"/>
        <v>0</v>
      </c>
      <c r="DT343" s="3047" t="str">
        <f t="shared" si="101"/>
        <v/>
      </c>
      <c r="DU343" s="3047" t="str">
        <f>IFERROR(IF(G343="","",SUMIF('Lighting Assumptions'!$G$3:$G$112,'6a - Lighting Counts'!G343,'Lighting Assumptions'!$H$3:$H$112)*IF(SI_IP_Units="SI",10.76,1)),"")</f>
        <v/>
      </c>
      <c r="DV343" s="3047" t="str">
        <f>IFERROR(IF($CX343="","",IF(SI_IP_Units="SI",10.76,1)*SUMIF(BAMCategories,$CY343,'Lighting Assumptions'!$E$3:E$35)),"")</f>
        <v/>
      </c>
      <c r="DW343" s="3047" t="str">
        <f>IFERROR(IF($CX343="","",IF(SI_IP_Units="SI",10.76,1)*SUMIF(BAMCategories,$CY343,IF(bpf_reference="ACP",'Lighting Assumptions 90.1-2010'!$E$3:E$35,'Lighting Assumptions 90.1-2016'!$E$3:E$35))),"")</f>
        <v/>
      </c>
      <c r="EW343" s="855"/>
      <c r="EX343" s="855"/>
      <c r="EY343" s="855"/>
      <c r="EZ343" s="855"/>
    </row>
    <row r="344" spans="4:156" x14ac:dyDescent="0.25">
      <c r="D344" s="3019"/>
      <c r="E344" s="3020"/>
      <c r="F344" s="3021">
        <f t="shared" si="88"/>
        <v>0</v>
      </c>
      <c r="G344" s="3059"/>
      <c r="H344" s="3060"/>
      <c r="I344" s="3061"/>
      <c r="J344" s="3061"/>
      <c r="K344" s="3061"/>
      <c r="L344" s="3061"/>
      <c r="M344" s="3061"/>
      <c r="N344" s="3061"/>
      <c r="O344" s="3061"/>
      <c r="P344" s="3061"/>
      <c r="Q344" s="3061"/>
      <c r="R344" s="3061"/>
      <c r="S344" s="3061"/>
      <c r="T344" s="3061"/>
      <c r="U344" s="3061"/>
      <c r="V344" s="3061"/>
      <c r="W344" s="3061"/>
      <c r="X344" s="3061"/>
      <c r="Y344" s="3061"/>
      <c r="Z344" s="3061"/>
      <c r="AA344" s="3061"/>
      <c r="AB344" s="3061"/>
      <c r="AC344" s="3061"/>
      <c r="AD344" s="3061"/>
      <c r="AE344" s="3061"/>
      <c r="AF344" s="3061"/>
      <c r="AG344" s="3061"/>
      <c r="AH344" s="3061"/>
      <c r="AI344" s="3061"/>
      <c r="AJ344" s="3061"/>
      <c r="AK344" s="3061"/>
      <c r="AL344" s="3061"/>
      <c r="AM344" s="3061"/>
      <c r="AN344" s="3061"/>
      <c r="AO344" s="3061"/>
      <c r="AP344" s="3061"/>
      <c r="AQ344" s="3061"/>
      <c r="AR344" s="3061"/>
      <c r="AS344" s="3061"/>
      <c r="AT344" s="3061"/>
      <c r="AU344" s="3061"/>
      <c r="AV344" s="3061"/>
      <c r="AW344" s="3061"/>
      <c r="AX344" s="3061"/>
      <c r="AY344" s="3061"/>
      <c r="AZ344" s="3061"/>
      <c r="BA344" s="3061"/>
      <c r="BB344" s="3061"/>
      <c r="BC344" s="3061"/>
      <c r="BD344" s="3061"/>
      <c r="BE344" s="3061"/>
      <c r="BF344" s="3061"/>
      <c r="BG344" s="3061"/>
      <c r="BH344" s="3061"/>
      <c r="BI344" s="3061"/>
      <c r="BJ344" s="3061"/>
      <c r="BK344" s="3061"/>
      <c r="BL344" s="3061"/>
      <c r="BM344" s="3061"/>
      <c r="BN344" s="3061"/>
      <c r="BO344" s="3061"/>
      <c r="BP344" s="3061"/>
      <c r="BQ344" s="3061"/>
      <c r="BR344" s="3061"/>
      <c r="BS344" s="3061"/>
      <c r="BT344" s="3061"/>
      <c r="BU344" s="3061"/>
      <c r="BV344" s="3061"/>
      <c r="BW344" s="3061"/>
      <c r="BX344" s="3061"/>
      <c r="BY344" s="3061"/>
      <c r="BZ344" s="3061"/>
      <c r="CA344" s="3061"/>
      <c r="CB344" s="3061"/>
      <c r="CC344" s="3061"/>
      <c r="CD344" s="3061"/>
      <c r="CE344" s="3061"/>
      <c r="CF344" s="3061"/>
      <c r="CG344" s="3061"/>
      <c r="CH344" s="3061"/>
      <c r="CI344" s="3061"/>
      <c r="CJ344" s="3061"/>
      <c r="CK344" s="3061"/>
      <c r="CL344" s="3061"/>
      <c r="CM344" s="3061"/>
      <c r="CN344" s="3061"/>
      <c r="CO344" s="3061"/>
      <c r="CP344" s="3061"/>
      <c r="CQ344" s="3061"/>
      <c r="CR344" s="3061"/>
      <c r="CS344" s="3062"/>
      <c r="CT344" s="3063"/>
      <c r="CU344" s="3064">
        <f t="shared" si="92"/>
        <v>1</v>
      </c>
      <c r="CV344" s="3022" t="str">
        <f>IF(OR(CT344="",CT344="None"),"-",DO344*CU344*SUMIF('Lighting Assumptions'!$G$3:$G$112,'6a - Lighting Counts'!G344,'Lighting Assumptions'!$J$3:$J$112))</f>
        <v>-</v>
      </c>
      <c r="CW344" s="3021"/>
      <c r="CX344" s="3021"/>
      <c r="CY344" s="3046"/>
      <c r="CZ344" s="2098">
        <f t="shared" si="93"/>
        <v>0</v>
      </c>
      <c r="DA344" s="2098" t="str">
        <f t="shared" si="94"/>
        <v>-</v>
      </c>
      <c r="DB344" s="2098">
        <f t="shared" si="95"/>
        <v>0</v>
      </c>
      <c r="DC344" s="3023" t="str">
        <f t="shared" si="96"/>
        <v>-</v>
      </c>
      <c r="DD344" s="3024" t="str">
        <f t="shared" si="97"/>
        <v/>
      </c>
      <c r="DE344" s="3025" t="str">
        <f t="shared" si="98"/>
        <v>-</v>
      </c>
      <c r="DF344" s="3024" t="str">
        <f t="shared" si="89"/>
        <v>-</v>
      </c>
      <c r="DG344" s="2098">
        <f t="shared" si="99"/>
        <v>0</v>
      </c>
      <c r="DH344" s="2098">
        <f t="array" ref="DH344">MIN(SUMPRODUCT(I344:CR344,IF($I$25:$CR$25="yes",1,0),$I$23:$CR$23),H344)</f>
        <v>0</v>
      </c>
      <c r="DI344" s="3026"/>
      <c r="DJ344" s="3021"/>
      <c r="DN344" s="917" t="str">
        <f>IF(CS344="","-",SUMIF('Lighting Assumptions'!$G$3:$G$112,'6a - Lighting Counts'!G344,'Lighting Assumptions'!$J$3:$J$112))</f>
        <v>-</v>
      </c>
      <c r="DO344" s="917" t="str">
        <f t="shared" si="90"/>
        <v>-</v>
      </c>
      <c r="DP344" s="917" t="str">
        <f t="shared" si="91"/>
        <v>-</v>
      </c>
      <c r="DQ344" s="917" t="str">
        <f>IF(LEFT(CELLformula(DF344),3)&lt;&gt;"=IF",1,"")</f>
        <v/>
      </c>
      <c r="DR344" s="917" t="str">
        <f>IF(LEFT(CELLformula(DD344),3)&lt;&gt;"=IF",1,"")</f>
        <v/>
      </c>
      <c r="DS344" s="3048">
        <f t="shared" si="100"/>
        <v>0</v>
      </c>
      <c r="DT344" s="3047" t="str">
        <f t="shared" si="101"/>
        <v/>
      </c>
      <c r="DU344" s="3047" t="str">
        <f>IFERROR(IF(G344="","",SUMIF('Lighting Assumptions'!$G$3:$G$112,'6a - Lighting Counts'!G344,'Lighting Assumptions'!$H$3:$H$112)*IF(SI_IP_Units="SI",10.76,1)),"")</f>
        <v/>
      </c>
      <c r="DV344" s="3047" t="str">
        <f>IFERROR(IF($CX344="","",IF(SI_IP_Units="SI",10.76,1)*SUMIF(BAMCategories,$CY344,'Lighting Assumptions'!$E$3:E$35)),"")</f>
        <v/>
      </c>
      <c r="DW344" s="3047" t="str">
        <f>IFERROR(IF($CX344="","",IF(SI_IP_Units="SI",10.76,1)*SUMIF(BAMCategories,$CY344,IF(bpf_reference="ACP",'Lighting Assumptions 90.1-2010'!$E$3:E$35,'Lighting Assumptions 90.1-2016'!$E$3:E$35))),"")</f>
        <v/>
      </c>
      <c r="EW344" s="855"/>
      <c r="EX344" s="855"/>
      <c r="EY344" s="855"/>
      <c r="EZ344" s="855"/>
    </row>
    <row r="345" spans="4:156" x14ac:dyDescent="0.25">
      <c r="D345" s="3019"/>
      <c r="E345" s="3020"/>
      <c r="F345" s="3021">
        <f t="shared" si="88"/>
        <v>0</v>
      </c>
      <c r="G345" s="3059"/>
      <c r="H345" s="3060"/>
      <c r="I345" s="3061"/>
      <c r="J345" s="3061"/>
      <c r="K345" s="3061"/>
      <c r="L345" s="3061"/>
      <c r="M345" s="3061"/>
      <c r="N345" s="3061"/>
      <c r="O345" s="3061"/>
      <c r="P345" s="3061"/>
      <c r="Q345" s="3061"/>
      <c r="R345" s="3061"/>
      <c r="S345" s="3061"/>
      <c r="T345" s="3061"/>
      <c r="U345" s="3061"/>
      <c r="V345" s="3061"/>
      <c r="W345" s="3061"/>
      <c r="X345" s="3061"/>
      <c r="Y345" s="3061"/>
      <c r="Z345" s="3061"/>
      <c r="AA345" s="3061"/>
      <c r="AB345" s="3061"/>
      <c r="AC345" s="3061"/>
      <c r="AD345" s="3061"/>
      <c r="AE345" s="3061"/>
      <c r="AF345" s="3061"/>
      <c r="AG345" s="3061"/>
      <c r="AH345" s="3061"/>
      <c r="AI345" s="3061"/>
      <c r="AJ345" s="3061"/>
      <c r="AK345" s="3061"/>
      <c r="AL345" s="3061"/>
      <c r="AM345" s="3061"/>
      <c r="AN345" s="3061"/>
      <c r="AO345" s="3061"/>
      <c r="AP345" s="3061"/>
      <c r="AQ345" s="3061"/>
      <c r="AR345" s="3061"/>
      <c r="AS345" s="3061"/>
      <c r="AT345" s="3061"/>
      <c r="AU345" s="3061"/>
      <c r="AV345" s="3061"/>
      <c r="AW345" s="3061"/>
      <c r="AX345" s="3061"/>
      <c r="AY345" s="3061"/>
      <c r="AZ345" s="3061"/>
      <c r="BA345" s="3061"/>
      <c r="BB345" s="3061"/>
      <c r="BC345" s="3061"/>
      <c r="BD345" s="3061"/>
      <c r="BE345" s="3061"/>
      <c r="BF345" s="3061"/>
      <c r="BG345" s="3061"/>
      <c r="BH345" s="3061"/>
      <c r="BI345" s="3061"/>
      <c r="BJ345" s="3061"/>
      <c r="BK345" s="3061"/>
      <c r="BL345" s="3061"/>
      <c r="BM345" s="3061"/>
      <c r="BN345" s="3061"/>
      <c r="BO345" s="3061"/>
      <c r="BP345" s="3061"/>
      <c r="BQ345" s="3061"/>
      <c r="BR345" s="3061"/>
      <c r="BS345" s="3061"/>
      <c r="BT345" s="3061"/>
      <c r="BU345" s="3061"/>
      <c r="BV345" s="3061"/>
      <c r="BW345" s="3061"/>
      <c r="BX345" s="3061"/>
      <c r="BY345" s="3061"/>
      <c r="BZ345" s="3061"/>
      <c r="CA345" s="3061"/>
      <c r="CB345" s="3061"/>
      <c r="CC345" s="3061"/>
      <c r="CD345" s="3061"/>
      <c r="CE345" s="3061"/>
      <c r="CF345" s="3061"/>
      <c r="CG345" s="3061"/>
      <c r="CH345" s="3061"/>
      <c r="CI345" s="3061"/>
      <c r="CJ345" s="3061"/>
      <c r="CK345" s="3061"/>
      <c r="CL345" s="3061"/>
      <c r="CM345" s="3061"/>
      <c r="CN345" s="3061"/>
      <c r="CO345" s="3061"/>
      <c r="CP345" s="3061"/>
      <c r="CQ345" s="3061"/>
      <c r="CR345" s="3061"/>
      <c r="CS345" s="3062"/>
      <c r="CT345" s="3063"/>
      <c r="CU345" s="3064">
        <f t="shared" si="92"/>
        <v>1</v>
      </c>
      <c r="CV345" s="3022" t="str">
        <f>IF(OR(CT345="",CT345="None"),"-",DO345*CU345*SUMIF('Lighting Assumptions'!$G$3:$G$112,'6a - Lighting Counts'!G345,'Lighting Assumptions'!$J$3:$J$112))</f>
        <v>-</v>
      </c>
      <c r="CW345" s="3021"/>
      <c r="CX345" s="3021"/>
      <c r="CY345" s="3046"/>
      <c r="CZ345" s="2098">
        <f t="shared" si="93"/>
        <v>0</v>
      </c>
      <c r="DA345" s="2098" t="str">
        <f t="shared" si="94"/>
        <v>-</v>
      </c>
      <c r="DB345" s="2098">
        <f t="shared" si="95"/>
        <v>0</v>
      </c>
      <c r="DC345" s="3023" t="str">
        <f t="shared" si="96"/>
        <v>-</v>
      </c>
      <c r="DD345" s="3024" t="str">
        <f t="shared" si="97"/>
        <v/>
      </c>
      <c r="DE345" s="3025" t="str">
        <f t="shared" si="98"/>
        <v>-</v>
      </c>
      <c r="DF345" s="3024" t="str">
        <f t="shared" si="89"/>
        <v>-</v>
      </c>
      <c r="DG345" s="2098">
        <f t="shared" si="99"/>
        <v>0</v>
      </c>
      <c r="DH345" s="2098">
        <f t="array" ref="DH345">MIN(SUMPRODUCT(I345:CR345,IF($I$25:$CR$25="yes",1,0),$I$23:$CR$23),H345)</f>
        <v>0</v>
      </c>
      <c r="DI345" s="3026"/>
      <c r="DJ345" s="3021"/>
      <c r="DN345" s="917" t="str">
        <f>IF(CS345="","-",SUMIF('Lighting Assumptions'!$G$3:$G$112,'6a - Lighting Counts'!G345,'Lighting Assumptions'!$J$3:$J$112))</f>
        <v>-</v>
      </c>
      <c r="DO345" s="917" t="str">
        <f t="shared" si="90"/>
        <v>-</v>
      </c>
      <c r="DP345" s="917" t="str">
        <f t="shared" si="91"/>
        <v>-</v>
      </c>
      <c r="DQ345" s="917" t="str">
        <f>IF(LEFT(CELLformula(DF345),3)&lt;&gt;"=IF",1,"")</f>
        <v/>
      </c>
      <c r="DR345" s="917" t="str">
        <f>IF(LEFT(CELLformula(DD345),3)&lt;&gt;"=IF",1,"")</f>
        <v/>
      </c>
      <c r="DS345" s="3048">
        <f t="shared" si="100"/>
        <v>0</v>
      </c>
      <c r="DT345" s="3047" t="str">
        <f t="shared" si="101"/>
        <v/>
      </c>
      <c r="DU345" s="3047" t="str">
        <f>IFERROR(IF(G345="","",SUMIF('Lighting Assumptions'!$G$3:$G$112,'6a - Lighting Counts'!G345,'Lighting Assumptions'!$H$3:$H$112)*IF(SI_IP_Units="SI",10.76,1)),"")</f>
        <v/>
      </c>
      <c r="DV345" s="3047" t="str">
        <f>IFERROR(IF($CX345="","",IF(SI_IP_Units="SI",10.76,1)*SUMIF(BAMCategories,$CY345,'Lighting Assumptions'!$E$3:E$35)),"")</f>
        <v/>
      </c>
      <c r="DW345" s="3047" t="str">
        <f>IFERROR(IF($CX345="","",IF(SI_IP_Units="SI",10.76,1)*SUMIF(BAMCategories,$CY345,IF(bpf_reference="ACP",'Lighting Assumptions 90.1-2010'!$E$3:E$35,'Lighting Assumptions 90.1-2016'!$E$3:E$35))),"")</f>
        <v/>
      </c>
      <c r="EW345" s="855"/>
      <c r="EX345" s="855"/>
      <c r="EY345" s="855"/>
      <c r="EZ345" s="855"/>
    </row>
    <row r="346" spans="4:156" x14ac:dyDescent="0.25">
      <c r="D346" s="3019"/>
      <c r="E346" s="3020"/>
      <c r="F346" s="3021">
        <f t="shared" si="88"/>
        <v>0</v>
      </c>
      <c r="G346" s="3059"/>
      <c r="H346" s="3060"/>
      <c r="I346" s="3061"/>
      <c r="J346" s="3061"/>
      <c r="K346" s="3061"/>
      <c r="L346" s="3061"/>
      <c r="M346" s="3061"/>
      <c r="N346" s="3061"/>
      <c r="O346" s="3061"/>
      <c r="P346" s="3061"/>
      <c r="Q346" s="3061"/>
      <c r="R346" s="3061"/>
      <c r="S346" s="3061"/>
      <c r="T346" s="3061"/>
      <c r="U346" s="3061"/>
      <c r="V346" s="3061"/>
      <c r="W346" s="3061"/>
      <c r="X346" s="3061"/>
      <c r="Y346" s="3061"/>
      <c r="Z346" s="3061"/>
      <c r="AA346" s="3061"/>
      <c r="AB346" s="3061"/>
      <c r="AC346" s="3061"/>
      <c r="AD346" s="3061"/>
      <c r="AE346" s="3061"/>
      <c r="AF346" s="3061"/>
      <c r="AG346" s="3061"/>
      <c r="AH346" s="3061"/>
      <c r="AI346" s="3061"/>
      <c r="AJ346" s="3061"/>
      <c r="AK346" s="3061"/>
      <c r="AL346" s="3061"/>
      <c r="AM346" s="3061"/>
      <c r="AN346" s="3061"/>
      <c r="AO346" s="3061"/>
      <c r="AP346" s="3061"/>
      <c r="AQ346" s="3061"/>
      <c r="AR346" s="3061"/>
      <c r="AS346" s="3061"/>
      <c r="AT346" s="3061"/>
      <c r="AU346" s="3061"/>
      <c r="AV346" s="3061"/>
      <c r="AW346" s="3061"/>
      <c r="AX346" s="3061"/>
      <c r="AY346" s="3061"/>
      <c r="AZ346" s="3061"/>
      <c r="BA346" s="3061"/>
      <c r="BB346" s="3061"/>
      <c r="BC346" s="3061"/>
      <c r="BD346" s="3061"/>
      <c r="BE346" s="3061"/>
      <c r="BF346" s="3061"/>
      <c r="BG346" s="3061"/>
      <c r="BH346" s="3061"/>
      <c r="BI346" s="3061"/>
      <c r="BJ346" s="3061"/>
      <c r="BK346" s="3061"/>
      <c r="BL346" s="3061"/>
      <c r="BM346" s="3061"/>
      <c r="BN346" s="3061"/>
      <c r="BO346" s="3061"/>
      <c r="BP346" s="3061"/>
      <c r="BQ346" s="3061"/>
      <c r="BR346" s="3061"/>
      <c r="BS346" s="3061"/>
      <c r="BT346" s="3061"/>
      <c r="BU346" s="3061"/>
      <c r="BV346" s="3061"/>
      <c r="BW346" s="3061"/>
      <c r="BX346" s="3061"/>
      <c r="BY346" s="3061"/>
      <c r="BZ346" s="3061"/>
      <c r="CA346" s="3061"/>
      <c r="CB346" s="3061"/>
      <c r="CC346" s="3061"/>
      <c r="CD346" s="3061"/>
      <c r="CE346" s="3061"/>
      <c r="CF346" s="3061"/>
      <c r="CG346" s="3061"/>
      <c r="CH346" s="3061"/>
      <c r="CI346" s="3061"/>
      <c r="CJ346" s="3061"/>
      <c r="CK346" s="3061"/>
      <c r="CL346" s="3061"/>
      <c r="CM346" s="3061"/>
      <c r="CN346" s="3061"/>
      <c r="CO346" s="3061"/>
      <c r="CP346" s="3061"/>
      <c r="CQ346" s="3061"/>
      <c r="CR346" s="3061"/>
      <c r="CS346" s="3062"/>
      <c r="CT346" s="3063"/>
      <c r="CU346" s="3064">
        <f t="shared" si="92"/>
        <v>1</v>
      </c>
      <c r="CV346" s="3022" t="str">
        <f>IF(OR(CT346="",CT346="None"),"-",DO346*CU346*SUMIF('Lighting Assumptions'!$G$3:$G$112,'6a - Lighting Counts'!G346,'Lighting Assumptions'!$J$3:$J$112))</f>
        <v>-</v>
      </c>
      <c r="CW346" s="3021"/>
      <c r="CX346" s="3021"/>
      <c r="CY346" s="3046"/>
      <c r="CZ346" s="2098">
        <f t="shared" si="93"/>
        <v>0</v>
      </c>
      <c r="DA346" s="2098" t="str">
        <f t="shared" si="94"/>
        <v>-</v>
      </c>
      <c r="DB346" s="2098">
        <f t="shared" si="95"/>
        <v>0</v>
      </c>
      <c r="DC346" s="3023" t="str">
        <f t="shared" si="96"/>
        <v>-</v>
      </c>
      <c r="DD346" s="3024" t="str">
        <f t="shared" si="97"/>
        <v/>
      </c>
      <c r="DE346" s="3025" t="str">
        <f t="shared" si="98"/>
        <v>-</v>
      </c>
      <c r="DF346" s="3024" t="str">
        <f t="shared" si="89"/>
        <v>-</v>
      </c>
      <c r="DG346" s="2098">
        <f t="shared" si="99"/>
        <v>0</v>
      </c>
      <c r="DH346" s="2098">
        <f t="array" ref="DH346">MIN(SUMPRODUCT(I346:CR346,IF($I$25:$CR$25="yes",1,0),$I$23:$CR$23),H346)</f>
        <v>0</v>
      </c>
      <c r="DI346" s="3026"/>
      <c r="DJ346" s="3021"/>
      <c r="DN346" s="917" t="str">
        <f>IF(CS346="","-",SUMIF('Lighting Assumptions'!$G$3:$G$112,'6a - Lighting Counts'!G346,'Lighting Assumptions'!$J$3:$J$112))</f>
        <v>-</v>
      </c>
      <c r="DO346" s="917" t="str">
        <f t="shared" si="90"/>
        <v>-</v>
      </c>
      <c r="DP346" s="917" t="str">
        <f t="shared" si="91"/>
        <v>-</v>
      </c>
      <c r="DQ346" s="917" t="str">
        <f>IF(LEFT(CELLformula(DF346),3)&lt;&gt;"=IF",1,"")</f>
        <v/>
      </c>
      <c r="DR346" s="917" t="str">
        <f>IF(LEFT(CELLformula(DD346),3)&lt;&gt;"=IF",1,"")</f>
        <v/>
      </c>
      <c r="DS346" s="3048">
        <f t="shared" si="100"/>
        <v>0</v>
      </c>
      <c r="DT346" s="3047" t="str">
        <f t="shared" si="101"/>
        <v/>
      </c>
      <c r="DU346" s="3047" t="str">
        <f>IFERROR(IF(G346="","",SUMIF('Lighting Assumptions'!$G$3:$G$112,'6a - Lighting Counts'!G346,'Lighting Assumptions'!$H$3:$H$112)*IF(SI_IP_Units="SI",10.76,1)),"")</f>
        <v/>
      </c>
      <c r="DV346" s="3047" t="str">
        <f>IFERROR(IF($CX346="","",IF(SI_IP_Units="SI",10.76,1)*SUMIF(BAMCategories,$CY346,'Lighting Assumptions'!$E$3:E$35)),"")</f>
        <v/>
      </c>
      <c r="DW346" s="3047" t="str">
        <f>IFERROR(IF($CX346="","",IF(SI_IP_Units="SI",10.76,1)*SUMIF(BAMCategories,$CY346,IF(bpf_reference="ACP",'Lighting Assumptions 90.1-2010'!$E$3:E$35,'Lighting Assumptions 90.1-2016'!$E$3:E$35))),"")</f>
        <v/>
      </c>
      <c r="EW346" s="855"/>
      <c r="EX346" s="855"/>
      <c r="EY346" s="855"/>
      <c r="EZ346" s="855"/>
    </row>
    <row r="347" spans="4:156" x14ac:dyDescent="0.25">
      <c r="D347" s="3019"/>
      <c r="E347" s="3020"/>
      <c r="F347" s="3021">
        <f t="shared" si="88"/>
        <v>0</v>
      </c>
      <c r="G347" s="3059"/>
      <c r="H347" s="3060"/>
      <c r="I347" s="3061"/>
      <c r="J347" s="3061"/>
      <c r="K347" s="3061"/>
      <c r="L347" s="3061"/>
      <c r="M347" s="3061"/>
      <c r="N347" s="3061"/>
      <c r="O347" s="3061"/>
      <c r="P347" s="3061"/>
      <c r="Q347" s="3061"/>
      <c r="R347" s="3061"/>
      <c r="S347" s="3061"/>
      <c r="T347" s="3061"/>
      <c r="U347" s="3061"/>
      <c r="V347" s="3061"/>
      <c r="W347" s="3061"/>
      <c r="X347" s="3061"/>
      <c r="Y347" s="3061"/>
      <c r="Z347" s="3061"/>
      <c r="AA347" s="3061"/>
      <c r="AB347" s="3061"/>
      <c r="AC347" s="3061"/>
      <c r="AD347" s="3061"/>
      <c r="AE347" s="3061"/>
      <c r="AF347" s="3061"/>
      <c r="AG347" s="3061"/>
      <c r="AH347" s="3061"/>
      <c r="AI347" s="3061"/>
      <c r="AJ347" s="3061"/>
      <c r="AK347" s="3061"/>
      <c r="AL347" s="3061"/>
      <c r="AM347" s="3061"/>
      <c r="AN347" s="3061"/>
      <c r="AO347" s="3061"/>
      <c r="AP347" s="3061"/>
      <c r="AQ347" s="3061"/>
      <c r="AR347" s="3061"/>
      <c r="AS347" s="3061"/>
      <c r="AT347" s="3061"/>
      <c r="AU347" s="3061"/>
      <c r="AV347" s="3061"/>
      <c r="AW347" s="3061"/>
      <c r="AX347" s="3061"/>
      <c r="AY347" s="3061"/>
      <c r="AZ347" s="3061"/>
      <c r="BA347" s="3061"/>
      <c r="BB347" s="3061"/>
      <c r="BC347" s="3061"/>
      <c r="BD347" s="3061"/>
      <c r="BE347" s="3061"/>
      <c r="BF347" s="3061"/>
      <c r="BG347" s="3061"/>
      <c r="BH347" s="3061"/>
      <c r="BI347" s="3061"/>
      <c r="BJ347" s="3061"/>
      <c r="BK347" s="3061"/>
      <c r="BL347" s="3061"/>
      <c r="BM347" s="3061"/>
      <c r="BN347" s="3061"/>
      <c r="BO347" s="3061"/>
      <c r="BP347" s="3061"/>
      <c r="BQ347" s="3061"/>
      <c r="BR347" s="3061"/>
      <c r="BS347" s="3061"/>
      <c r="BT347" s="3061"/>
      <c r="BU347" s="3061"/>
      <c r="BV347" s="3061"/>
      <c r="BW347" s="3061"/>
      <c r="BX347" s="3061"/>
      <c r="BY347" s="3061"/>
      <c r="BZ347" s="3061"/>
      <c r="CA347" s="3061"/>
      <c r="CB347" s="3061"/>
      <c r="CC347" s="3061"/>
      <c r="CD347" s="3061"/>
      <c r="CE347" s="3061"/>
      <c r="CF347" s="3061"/>
      <c r="CG347" s="3061"/>
      <c r="CH347" s="3061"/>
      <c r="CI347" s="3061"/>
      <c r="CJ347" s="3061"/>
      <c r="CK347" s="3061"/>
      <c r="CL347" s="3061"/>
      <c r="CM347" s="3061"/>
      <c r="CN347" s="3061"/>
      <c r="CO347" s="3061"/>
      <c r="CP347" s="3061"/>
      <c r="CQ347" s="3061"/>
      <c r="CR347" s="3061"/>
      <c r="CS347" s="3062"/>
      <c r="CT347" s="3063"/>
      <c r="CU347" s="3064">
        <f t="shared" si="92"/>
        <v>1</v>
      </c>
      <c r="CV347" s="3022" t="str">
        <f>IF(OR(CT347="",CT347="None"),"-",DO347*CU347*SUMIF('Lighting Assumptions'!$G$3:$G$112,'6a - Lighting Counts'!G347,'Lighting Assumptions'!$J$3:$J$112))</f>
        <v>-</v>
      </c>
      <c r="CW347" s="3021"/>
      <c r="CX347" s="3021"/>
      <c r="CY347" s="3046"/>
      <c r="CZ347" s="2098">
        <f t="shared" si="93"/>
        <v>0</v>
      </c>
      <c r="DA347" s="2098" t="str">
        <f t="shared" si="94"/>
        <v>-</v>
      </c>
      <c r="DB347" s="2098">
        <f t="shared" si="95"/>
        <v>0</v>
      </c>
      <c r="DC347" s="3023" t="str">
        <f t="shared" si="96"/>
        <v>-</v>
      </c>
      <c r="DD347" s="3024" t="str">
        <f t="shared" si="97"/>
        <v/>
      </c>
      <c r="DE347" s="3025" t="str">
        <f t="shared" si="98"/>
        <v>-</v>
      </c>
      <c r="DF347" s="3024" t="str">
        <f t="shared" si="89"/>
        <v>-</v>
      </c>
      <c r="DG347" s="2098">
        <f t="shared" si="99"/>
        <v>0</v>
      </c>
      <c r="DH347" s="2098">
        <f t="array" ref="DH347">MIN(SUMPRODUCT(I347:CR347,IF($I$25:$CR$25="yes",1,0),$I$23:$CR$23),H347)</f>
        <v>0</v>
      </c>
      <c r="DI347" s="3026"/>
      <c r="DJ347" s="3021"/>
      <c r="DN347" s="917" t="str">
        <f>IF(CS347="","-",SUMIF('Lighting Assumptions'!$G$3:$G$112,'6a - Lighting Counts'!G347,'Lighting Assumptions'!$J$3:$J$112))</f>
        <v>-</v>
      </c>
      <c r="DO347" s="917" t="str">
        <f t="shared" si="90"/>
        <v>-</v>
      </c>
      <c r="DP347" s="917" t="str">
        <f t="shared" si="91"/>
        <v>-</v>
      </c>
      <c r="DQ347" s="917" t="str">
        <f>IF(LEFT(CELLformula(DF347),3)&lt;&gt;"=IF",1,"")</f>
        <v/>
      </c>
      <c r="DR347" s="917" t="str">
        <f>IF(LEFT(CELLformula(DD347),3)&lt;&gt;"=IF",1,"")</f>
        <v/>
      </c>
      <c r="DS347" s="3048">
        <f t="shared" si="100"/>
        <v>0</v>
      </c>
      <c r="DT347" s="3047" t="str">
        <f t="shared" si="101"/>
        <v/>
      </c>
      <c r="DU347" s="3047" t="str">
        <f>IFERROR(IF(G347="","",SUMIF('Lighting Assumptions'!$G$3:$G$112,'6a - Lighting Counts'!G347,'Lighting Assumptions'!$H$3:$H$112)*IF(SI_IP_Units="SI",10.76,1)),"")</f>
        <v/>
      </c>
      <c r="DV347" s="3047" t="str">
        <f>IFERROR(IF($CX347="","",IF(SI_IP_Units="SI",10.76,1)*SUMIF(BAMCategories,$CY347,'Lighting Assumptions'!$E$3:E$35)),"")</f>
        <v/>
      </c>
      <c r="DW347" s="3047" t="str">
        <f>IFERROR(IF($CX347="","",IF(SI_IP_Units="SI",10.76,1)*SUMIF(BAMCategories,$CY347,IF(bpf_reference="ACP",'Lighting Assumptions 90.1-2010'!$E$3:E$35,'Lighting Assumptions 90.1-2016'!$E$3:E$35))),"")</f>
        <v/>
      </c>
      <c r="EW347" s="855"/>
      <c r="EX347" s="855"/>
      <c r="EY347" s="855"/>
      <c r="EZ347" s="855"/>
    </row>
    <row r="348" spans="4:156" x14ac:dyDescent="0.25">
      <c r="D348" s="3019"/>
      <c r="E348" s="3020"/>
      <c r="F348" s="3021">
        <f t="shared" si="88"/>
        <v>0</v>
      </c>
      <c r="G348" s="3059"/>
      <c r="H348" s="3060"/>
      <c r="I348" s="3061"/>
      <c r="J348" s="3061"/>
      <c r="K348" s="3061"/>
      <c r="L348" s="3061"/>
      <c r="M348" s="3061"/>
      <c r="N348" s="3061"/>
      <c r="O348" s="3061"/>
      <c r="P348" s="3061"/>
      <c r="Q348" s="3061"/>
      <c r="R348" s="3061"/>
      <c r="S348" s="3061"/>
      <c r="T348" s="3061"/>
      <c r="U348" s="3061"/>
      <c r="V348" s="3061"/>
      <c r="W348" s="3061"/>
      <c r="X348" s="3061"/>
      <c r="Y348" s="3061"/>
      <c r="Z348" s="3061"/>
      <c r="AA348" s="3061"/>
      <c r="AB348" s="3061"/>
      <c r="AC348" s="3061"/>
      <c r="AD348" s="3061"/>
      <c r="AE348" s="3061"/>
      <c r="AF348" s="3061"/>
      <c r="AG348" s="3061"/>
      <c r="AH348" s="3061"/>
      <c r="AI348" s="3061"/>
      <c r="AJ348" s="3061"/>
      <c r="AK348" s="3061"/>
      <c r="AL348" s="3061"/>
      <c r="AM348" s="3061"/>
      <c r="AN348" s="3061"/>
      <c r="AO348" s="3061"/>
      <c r="AP348" s="3061"/>
      <c r="AQ348" s="3061"/>
      <c r="AR348" s="3061"/>
      <c r="AS348" s="3061"/>
      <c r="AT348" s="3061"/>
      <c r="AU348" s="3061"/>
      <c r="AV348" s="3061"/>
      <c r="AW348" s="3061"/>
      <c r="AX348" s="3061"/>
      <c r="AY348" s="3061"/>
      <c r="AZ348" s="3061"/>
      <c r="BA348" s="3061"/>
      <c r="BB348" s="3061"/>
      <c r="BC348" s="3061"/>
      <c r="BD348" s="3061"/>
      <c r="BE348" s="3061"/>
      <c r="BF348" s="3061"/>
      <c r="BG348" s="3061"/>
      <c r="BH348" s="3061"/>
      <c r="BI348" s="3061"/>
      <c r="BJ348" s="3061"/>
      <c r="BK348" s="3061"/>
      <c r="BL348" s="3061"/>
      <c r="BM348" s="3061"/>
      <c r="BN348" s="3061"/>
      <c r="BO348" s="3061"/>
      <c r="BP348" s="3061"/>
      <c r="BQ348" s="3061"/>
      <c r="BR348" s="3061"/>
      <c r="BS348" s="3061"/>
      <c r="BT348" s="3061"/>
      <c r="BU348" s="3061"/>
      <c r="BV348" s="3061"/>
      <c r="BW348" s="3061"/>
      <c r="BX348" s="3061"/>
      <c r="BY348" s="3061"/>
      <c r="BZ348" s="3061"/>
      <c r="CA348" s="3061"/>
      <c r="CB348" s="3061"/>
      <c r="CC348" s="3061"/>
      <c r="CD348" s="3061"/>
      <c r="CE348" s="3061"/>
      <c r="CF348" s="3061"/>
      <c r="CG348" s="3061"/>
      <c r="CH348" s="3061"/>
      <c r="CI348" s="3061"/>
      <c r="CJ348" s="3061"/>
      <c r="CK348" s="3061"/>
      <c r="CL348" s="3061"/>
      <c r="CM348" s="3061"/>
      <c r="CN348" s="3061"/>
      <c r="CO348" s="3061"/>
      <c r="CP348" s="3061"/>
      <c r="CQ348" s="3061"/>
      <c r="CR348" s="3061"/>
      <c r="CS348" s="3062"/>
      <c r="CT348" s="3063"/>
      <c r="CU348" s="3064">
        <f t="shared" si="92"/>
        <v>1</v>
      </c>
      <c r="CV348" s="3022" t="str">
        <f>IF(OR(CT348="",CT348="None"),"-",DO348*CU348*SUMIF('Lighting Assumptions'!$G$3:$G$112,'6a - Lighting Counts'!G348,'Lighting Assumptions'!$J$3:$J$112))</f>
        <v>-</v>
      </c>
      <c r="CW348" s="3021"/>
      <c r="CX348" s="3021"/>
      <c r="CY348" s="3046"/>
      <c r="CZ348" s="2098">
        <f t="shared" si="93"/>
        <v>0</v>
      </c>
      <c r="DA348" s="2098" t="str">
        <f t="shared" si="94"/>
        <v>-</v>
      </c>
      <c r="DB348" s="2098">
        <f t="shared" si="95"/>
        <v>0</v>
      </c>
      <c r="DC348" s="3023" t="str">
        <f t="shared" si="96"/>
        <v>-</v>
      </c>
      <c r="DD348" s="3024" t="str">
        <f t="shared" si="97"/>
        <v/>
      </c>
      <c r="DE348" s="3025" t="str">
        <f t="shared" si="98"/>
        <v>-</v>
      </c>
      <c r="DF348" s="3024" t="str">
        <f t="shared" si="89"/>
        <v>-</v>
      </c>
      <c r="DG348" s="2098">
        <f t="shared" si="99"/>
        <v>0</v>
      </c>
      <c r="DH348" s="2098">
        <f t="array" ref="DH348">MIN(SUMPRODUCT(I348:CR348,IF($I$25:$CR$25="yes",1,0),$I$23:$CR$23),H348)</f>
        <v>0</v>
      </c>
      <c r="DI348" s="3026"/>
      <c r="DJ348" s="3021"/>
      <c r="DN348" s="917" t="str">
        <f>IF(CS348="","-",SUMIF('Lighting Assumptions'!$G$3:$G$112,'6a - Lighting Counts'!G348,'Lighting Assumptions'!$J$3:$J$112))</f>
        <v>-</v>
      </c>
      <c r="DO348" s="917" t="str">
        <f t="shared" si="90"/>
        <v>-</v>
      </c>
      <c r="DP348" s="917" t="str">
        <f t="shared" si="91"/>
        <v>-</v>
      </c>
      <c r="DQ348" s="917" t="str">
        <f>IF(LEFT(CELLformula(DF348),3)&lt;&gt;"=IF",1,"")</f>
        <v/>
      </c>
      <c r="DR348" s="917" t="str">
        <f>IF(LEFT(CELLformula(DD348),3)&lt;&gt;"=IF",1,"")</f>
        <v/>
      </c>
      <c r="DS348" s="3048">
        <f t="shared" si="100"/>
        <v>0</v>
      </c>
      <c r="DT348" s="3047" t="str">
        <f t="shared" si="101"/>
        <v/>
      </c>
      <c r="DU348" s="3047" t="str">
        <f>IFERROR(IF(G348="","",SUMIF('Lighting Assumptions'!$G$3:$G$112,'6a - Lighting Counts'!G348,'Lighting Assumptions'!$H$3:$H$112)*IF(SI_IP_Units="SI",10.76,1)),"")</f>
        <v/>
      </c>
      <c r="DV348" s="3047" t="str">
        <f>IFERROR(IF($CX348="","",IF(SI_IP_Units="SI",10.76,1)*SUMIF(BAMCategories,$CY348,'Lighting Assumptions'!$E$3:E$35)),"")</f>
        <v/>
      </c>
      <c r="DW348" s="3047" t="str">
        <f>IFERROR(IF($CX348="","",IF(SI_IP_Units="SI",10.76,1)*SUMIF(BAMCategories,$CY348,IF(bpf_reference="ACP",'Lighting Assumptions 90.1-2010'!$E$3:E$35,'Lighting Assumptions 90.1-2016'!$E$3:E$35))),"")</f>
        <v/>
      </c>
      <c r="EW348" s="855"/>
      <c r="EX348" s="855"/>
      <c r="EY348" s="855"/>
      <c r="EZ348" s="855"/>
    </row>
    <row r="349" spans="4:156" x14ac:dyDescent="0.25">
      <c r="D349" s="3019"/>
      <c r="E349" s="3020"/>
      <c r="F349" s="3021">
        <f t="shared" ref="F349:F412" si="102">IF(ISBLANK(D349)=FALSE,1,0)</f>
        <v>0</v>
      </c>
      <c r="G349" s="3059"/>
      <c r="H349" s="3060"/>
      <c r="I349" s="3061"/>
      <c r="J349" s="3061"/>
      <c r="K349" s="3061"/>
      <c r="L349" s="3061"/>
      <c r="M349" s="3061"/>
      <c r="N349" s="3061"/>
      <c r="O349" s="3061"/>
      <c r="P349" s="3061"/>
      <c r="Q349" s="3061"/>
      <c r="R349" s="3061"/>
      <c r="S349" s="3061"/>
      <c r="T349" s="3061"/>
      <c r="U349" s="3061"/>
      <c r="V349" s="3061"/>
      <c r="W349" s="3061"/>
      <c r="X349" s="3061"/>
      <c r="Y349" s="3061"/>
      <c r="Z349" s="3061"/>
      <c r="AA349" s="3061"/>
      <c r="AB349" s="3061"/>
      <c r="AC349" s="3061"/>
      <c r="AD349" s="3061"/>
      <c r="AE349" s="3061"/>
      <c r="AF349" s="3061"/>
      <c r="AG349" s="3061"/>
      <c r="AH349" s="3061"/>
      <c r="AI349" s="3061"/>
      <c r="AJ349" s="3061"/>
      <c r="AK349" s="3061"/>
      <c r="AL349" s="3061"/>
      <c r="AM349" s="3061"/>
      <c r="AN349" s="3061"/>
      <c r="AO349" s="3061"/>
      <c r="AP349" s="3061"/>
      <c r="AQ349" s="3061"/>
      <c r="AR349" s="3061"/>
      <c r="AS349" s="3061"/>
      <c r="AT349" s="3061"/>
      <c r="AU349" s="3061"/>
      <c r="AV349" s="3061"/>
      <c r="AW349" s="3061"/>
      <c r="AX349" s="3061"/>
      <c r="AY349" s="3061"/>
      <c r="AZ349" s="3061"/>
      <c r="BA349" s="3061"/>
      <c r="BB349" s="3061"/>
      <c r="BC349" s="3061"/>
      <c r="BD349" s="3061"/>
      <c r="BE349" s="3061"/>
      <c r="BF349" s="3061"/>
      <c r="BG349" s="3061"/>
      <c r="BH349" s="3061"/>
      <c r="BI349" s="3061"/>
      <c r="BJ349" s="3061"/>
      <c r="BK349" s="3061"/>
      <c r="BL349" s="3061"/>
      <c r="BM349" s="3061"/>
      <c r="BN349" s="3061"/>
      <c r="BO349" s="3061"/>
      <c r="BP349" s="3061"/>
      <c r="BQ349" s="3061"/>
      <c r="BR349" s="3061"/>
      <c r="BS349" s="3061"/>
      <c r="BT349" s="3061"/>
      <c r="BU349" s="3061"/>
      <c r="BV349" s="3061"/>
      <c r="BW349" s="3061"/>
      <c r="BX349" s="3061"/>
      <c r="BY349" s="3061"/>
      <c r="BZ349" s="3061"/>
      <c r="CA349" s="3061"/>
      <c r="CB349" s="3061"/>
      <c r="CC349" s="3061"/>
      <c r="CD349" s="3061"/>
      <c r="CE349" s="3061"/>
      <c r="CF349" s="3061"/>
      <c r="CG349" s="3061"/>
      <c r="CH349" s="3061"/>
      <c r="CI349" s="3061"/>
      <c r="CJ349" s="3061"/>
      <c r="CK349" s="3061"/>
      <c r="CL349" s="3061"/>
      <c r="CM349" s="3061"/>
      <c r="CN349" s="3061"/>
      <c r="CO349" s="3061"/>
      <c r="CP349" s="3061"/>
      <c r="CQ349" s="3061"/>
      <c r="CR349" s="3061"/>
      <c r="CS349" s="3062"/>
      <c r="CT349" s="3063"/>
      <c r="CU349" s="3064">
        <f t="shared" si="92"/>
        <v>1</v>
      </c>
      <c r="CV349" s="3022" t="str">
        <f>IF(OR(CT349="",CT349="None"),"-",DO349*CU349*SUMIF('Lighting Assumptions'!$G$3:$G$112,'6a - Lighting Counts'!G349,'Lighting Assumptions'!$J$3:$J$112))</f>
        <v>-</v>
      </c>
      <c r="CW349" s="3021"/>
      <c r="CX349" s="3021"/>
      <c r="CY349" s="3046"/>
      <c r="CZ349" s="2098">
        <f t="shared" si="93"/>
        <v>0</v>
      </c>
      <c r="DA349" s="2098" t="str">
        <f t="shared" si="94"/>
        <v>-</v>
      </c>
      <c r="DB349" s="2098">
        <f t="shared" si="95"/>
        <v>0</v>
      </c>
      <c r="DC349" s="3023" t="str">
        <f t="shared" si="96"/>
        <v>-</v>
      </c>
      <c r="DD349" s="3024" t="str">
        <f t="shared" si="97"/>
        <v/>
      </c>
      <c r="DE349" s="3025" t="str">
        <f t="shared" si="98"/>
        <v>-</v>
      </c>
      <c r="DF349" s="3024" t="str">
        <f t="shared" ref="DF349:DF412" si="103">IF(ISBLANK(H349)=FALSE,(CZ349-IF(ISNUMBER(CV349)=TRUE,CV349,0)*CS349)/H349,"-")</f>
        <v>-</v>
      </c>
      <c r="DG349" s="2098">
        <f t="shared" si="99"/>
        <v>0</v>
      </c>
      <c r="DH349" s="2098">
        <f t="array" ref="DH349">MIN(SUMPRODUCT(I349:CR349,IF($I$25:$CR$25="yes",1,0),$I$23:$CR$23),H349)</f>
        <v>0</v>
      </c>
      <c r="DI349" s="3026"/>
      <c r="DJ349" s="3021"/>
      <c r="DN349" s="917" t="str">
        <f>IF(CS349="","-",SUMIF('Lighting Assumptions'!$G$3:$G$112,'6a - Lighting Counts'!G349,'Lighting Assumptions'!$J$3:$J$112))</f>
        <v>-</v>
      </c>
      <c r="DO349" s="917" t="str">
        <f t="shared" ref="DO349:DO412" si="104">IF(CT349="","-",IF(CT349="Other",1,1.25))</f>
        <v>-</v>
      </c>
      <c r="DP349" s="917" t="str">
        <f t="shared" ref="DP349:DP412" si="105">IF(DO349="-","-",DO349*CV349)</f>
        <v>-</v>
      </c>
      <c r="DQ349" s="917" t="str">
        <f>IF(LEFT(CELLformula(DF349),3)&lt;&gt;"=IF",1,"")</f>
        <v/>
      </c>
      <c r="DR349" s="917" t="str">
        <f>IF(LEFT(CELLformula(DD349),3)&lt;&gt;"=IF",1,"")</f>
        <v/>
      </c>
      <c r="DS349" s="3048">
        <f t="shared" si="100"/>
        <v>0</v>
      </c>
      <c r="DT349" s="3047" t="str">
        <f t="shared" si="101"/>
        <v/>
      </c>
      <c r="DU349" s="3047" t="str">
        <f>IFERROR(IF(G349="","",SUMIF('Lighting Assumptions'!$G$3:$G$112,'6a - Lighting Counts'!G349,'Lighting Assumptions'!$H$3:$H$112)*IF(SI_IP_Units="SI",10.76,1)),"")</f>
        <v/>
      </c>
      <c r="DV349" s="3047" t="str">
        <f>IFERROR(IF($CX349="","",IF(SI_IP_Units="SI",10.76,1)*SUMIF(BAMCategories,$CY349,'Lighting Assumptions'!$E$3:E$35)),"")</f>
        <v/>
      </c>
      <c r="DW349" s="3047" t="str">
        <f>IFERROR(IF($CX349="","",IF(SI_IP_Units="SI",10.76,1)*SUMIF(BAMCategories,$CY349,IF(bpf_reference="ACP",'Lighting Assumptions 90.1-2010'!$E$3:E$35,'Lighting Assumptions 90.1-2016'!$E$3:E$35))),"")</f>
        <v/>
      </c>
      <c r="EW349" s="855"/>
      <c r="EX349" s="855"/>
      <c r="EY349" s="855"/>
      <c r="EZ349" s="855"/>
    </row>
    <row r="350" spans="4:156" x14ac:dyDescent="0.25">
      <c r="D350" s="3019"/>
      <c r="E350" s="3020"/>
      <c r="F350" s="3021">
        <f t="shared" si="102"/>
        <v>0</v>
      </c>
      <c r="G350" s="3059"/>
      <c r="H350" s="3060"/>
      <c r="I350" s="3061"/>
      <c r="J350" s="3061"/>
      <c r="K350" s="3061"/>
      <c r="L350" s="3061"/>
      <c r="M350" s="3061"/>
      <c r="N350" s="3061"/>
      <c r="O350" s="3061"/>
      <c r="P350" s="3061"/>
      <c r="Q350" s="3061"/>
      <c r="R350" s="3061"/>
      <c r="S350" s="3061"/>
      <c r="T350" s="3061"/>
      <c r="U350" s="3061"/>
      <c r="V350" s="3061"/>
      <c r="W350" s="3061"/>
      <c r="X350" s="3061"/>
      <c r="Y350" s="3061"/>
      <c r="Z350" s="3061"/>
      <c r="AA350" s="3061"/>
      <c r="AB350" s="3061"/>
      <c r="AC350" s="3061"/>
      <c r="AD350" s="3061"/>
      <c r="AE350" s="3061"/>
      <c r="AF350" s="3061"/>
      <c r="AG350" s="3061"/>
      <c r="AH350" s="3061"/>
      <c r="AI350" s="3061"/>
      <c r="AJ350" s="3061"/>
      <c r="AK350" s="3061"/>
      <c r="AL350" s="3061"/>
      <c r="AM350" s="3061"/>
      <c r="AN350" s="3061"/>
      <c r="AO350" s="3061"/>
      <c r="AP350" s="3061"/>
      <c r="AQ350" s="3061"/>
      <c r="AR350" s="3061"/>
      <c r="AS350" s="3061"/>
      <c r="AT350" s="3061"/>
      <c r="AU350" s="3061"/>
      <c r="AV350" s="3061"/>
      <c r="AW350" s="3061"/>
      <c r="AX350" s="3061"/>
      <c r="AY350" s="3061"/>
      <c r="AZ350" s="3061"/>
      <c r="BA350" s="3061"/>
      <c r="BB350" s="3061"/>
      <c r="BC350" s="3061"/>
      <c r="BD350" s="3061"/>
      <c r="BE350" s="3061"/>
      <c r="BF350" s="3061"/>
      <c r="BG350" s="3061"/>
      <c r="BH350" s="3061"/>
      <c r="BI350" s="3061"/>
      <c r="BJ350" s="3061"/>
      <c r="BK350" s="3061"/>
      <c r="BL350" s="3061"/>
      <c r="BM350" s="3061"/>
      <c r="BN350" s="3061"/>
      <c r="BO350" s="3061"/>
      <c r="BP350" s="3061"/>
      <c r="BQ350" s="3061"/>
      <c r="BR350" s="3061"/>
      <c r="BS350" s="3061"/>
      <c r="BT350" s="3061"/>
      <c r="BU350" s="3061"/>
      <c r="BV350" s="3061"/>
      <c r="BW350" s="3061"/>
      <c r="BX350" s="3061"/>
      <c r="BY350" s="3061"/>
      <c r="BZ350" s="3061"/>
      <c r="CA350" s="3061"/>
      <c r="CB350" s="3061"/>
      <c r="CC350" s="3061"/>
      <c r="CD350" s="3061"/>
      <c r="CE350" s="3061"/>
      <c r="CF350" s="3061"/>
      <c r="CG350" s="3061"/>
      <c r="CH350" s="3061"/>
      <c r="CI350" s="3061"/>
      <c r="CJ350" s="3061"/>
      <c r="CK350" s="3061"/>
      <c r="CL350" s="3061"/>
      <c r="CM350" s="3061"/>
      <c r="CN350" s="3061"/>
      <c r="CO350" s="3061"/>
      <c r="CP350" s="3061"/>
      <c r="CQ350" s="3061"/>
      <c r="CR350" s="3061"/>
      <c r="CS350" s="3062"/>
      <c r="CT350" s="3063"/>
      <c r="CU350" s="3064">
        <f t="shared" ref="CU350:CU413" si="106">IF(OR(CT350="Manual-On Individual Workstation",CT350="Partial-Auto-On Individual Workstation",CT350="Other Individual Workstation"),1.3,1)</f>
        <v>1</v>
      </c>
      <c r="CV350" s="3022" t="str">
        <f>IF(OR(CT350="",CT350="None"),"-",DO350*CU350*SUMIF('Lighting Assumptions'!$G$3:$G$112,'6a - Lighting Counts'!G350,'Lighting Assumptions'!$J$3:$J$112))</f>
        <v>-</v>
      </c>
      <c r="CW350" s="3021"/>
      <c r="CX350" s="3021"/>
      <c r="CY350" s="3046"/>
      <c r="CZ350" s="2098">
        <f t="shared" ref="CZ350:CZ413" si="107">IFERROR(SUMPRODUCT(I350:CR350,$I$23:$CR$23),0)+IFERROR(DW350*CX350,0)</f>
        <v>0</v>
      </c>
      <c r="DA350" s="2098" t="str">
        <f t="shared" ref="DA350:DA413" si="108">IF(DD350="","-",IF(H350="",0,DD350*H350))</f>
        <v>-</v>
      </c>
      <c r="DB350" s="2098">
        <f t="shared" ref="DB350:DB413" si="109">SUMPRODUCT(I350:CR350,$I$24:$CR$24)</f>
        <v>0</v>
      </c>
      <c r="DC350" s="3023" t="str">
        <f t="shared" ref="DC350:DC413" si="110">IF(ISBLANK(H350)=FALSE,CZ350/H350,"-")</f>
        <v>-</v>
      </c>
      <c r="DD350" s="3024" t="str">
        <f t="shared" ref="DD350:DD413" si="111">IFERROR(DS350/H350,"")</f>
        <v/>
      </c>
      <c r="DE350" s="3025" t="str">
        <f t="shared" ref="DE350:DE413" si="112">IF(ISBLANK(H350)=FALSE,DB350/H350,"-")</f>
        <v>-</v>
      </c>
      <c r="DF350" s="3024" t="str">
        <f t="shared" si="103"/>
        <v>-</v>
      </c>
      <c r="DG350" s="2098">
        <f t="shared" ref="DG350:DG413" si="113">IFERROR(DF350*H350,0)</f>
        <v>0</v>
      </c>
      <c r="DH350" s="2098">
        <f t="array" ref="DH350">MIN(SUMPRODUCT(I350:CR350,IF($I$25:$CR$25="yes",1,0),$I$23:$CR$23),H350)</f>
        <v>0</v>
      </c>
      <c r="DI350" s="3026"/>
      <c r="DJ350" s="3021"/>
      <c r="DN350" s="917" t="str">
        <f>IF(CS350="","-",SUMIF('Lighting Assumptions'!$G$3:$G$112,'6a - Lighting Counts'!G350,'Lighting Assumptions'!$J$3:$J$112))</f>
        <v>-</v>
      </c>
      <c r="DO350" s="917" t="str">
        <f t="shared" si="104"/>
        <v>-</v>
      </c>
      <c r="DP350" s="917" t="str">
        <f t="shared" si="105"/>
        <v>-</v>
      </c>
      <c r="DQ350" s="917" t="str">
        <f>IF(LEFT(CELLformula(DF350),3)&lt;&gt;"=IF",1,"")</f>
        <v/>
      </c>
      <c r="DR350" s="917" t="str">
        <f>IF(LEFT(CELLformula(DD350),3)&lt;&gt;"=IF",1,"")</f>
        <v/>
      </c>
      <c r="DS350" s="3048">
        <f t="shared" ref="DS350:DS413" si="114">IFERROR(DU350*MAX(H350-CX350,0),0)+(IFERROR(DV350*MAX(0,CX350),0))</f>
        <v>0</v>
      </c>
      <c r="DT350" s="3047" t="str">
        <f t="shared" ref="DT350:DT413" si="115">IFERROR(DS350/H350,"")</f>
        <v/>
      </c>
      <c r="DU350" s="3047" t="str">
        <f>IFERROR(IF(G350="","",SUMIF('Lighting Assumptions'!$G$3:$G$112,'6a - Lighting Counts'!G350,'Lighting Assumptions'!$H$3:$H$112)*IF(SI_IP_Units="SI",10.76,1)),"")</f>
        <v/>
      </c>
      <c r="DV350" s="3047" t="str">
        <f>IFERROR(IF($CX350="","",IF(SI_IP_Units="SI",10.76,1)*SUMIF(BAMCategories,$CY350,'Lighting Assumptions'!$E$3:E$35)),"")</f>
        <v/>
      </c>
      <c r="DW350" s="3047" t="str">
        <f>IFERROR(IF($CX350="","",IF(SI_IP_Units="SI",10.76,1)*SUMIF(BAMCategories,$CY350,IF(bpf_reference="ACP",'Lighting Assumptions 90.1-2010'!$E$3:E$35,'Lighting Assumptions 90.1-2016'!$E$3:E$35))),"")</f>
        <v/>
      </c>
      <c r="EW350" s="855"/>
      <c r="EX350" s="855"/>
      <c r="EY350" s="855"/>
      <c r="EZ350" s="855"/>
    </row>
    <row r="351" spans="4:156" x14ac:dyDescent="0.25">
      <c r="D351" s="3019"/>
      <c r="E351" s="3020"/>
      <c r="F351" s="3021">
        <f t="shared" si="102"/>
        <v>0</v>
      </c>
      <c r="G351" s="3059"/>
      <c r="H351" s="3060"/>
      <c r="I351" s="3061"/>
      <c r="J351" s="3061"/>
      <c r="K351" s="3061"/>
      <c r="L351" s="3061"/>
      <c r="M351" s="3061"/>
      <c r="N351" s="3061"/>
      <c r="O351" s="3061"/>
      <c r="P351" s="3061"/>
      <c r="Q351" s="3061"/>
      <c r="R351" s="3061"/>
      <c r="S351" s="3061"/>
      <c r="T351" s="3061"/>
      <c r="U351" s="3061"/>
      <c r="V351" s="3061"/>
      <c r="W351" s="3061"/>
      <c r="X351" s="3061"/>
      <c r="Y351" s="3061"/>
      <c r="Z351" s="3061"/>
      <c r="AA351" s="3061"/>
      <c r="AB351" s="3061"/>
      <c r="AC351" s="3061"/>
      <c r="AD351" s="3061"/>
      <c r="AE351" s="3061"/>
      <c r="AF351" s="3061"/>
      <c r="AG351" s="3061"/>
      <c r="AH351" s="3061"/>
      <c r="AI351" s="3061"/>
      <c r="AJ351" s="3061"/>
      <c r="AK351" s="3061"/>
      <c r="AL351" s="3061"/>
      <c r="AM351" s="3061"/>
      <c r="AN351" s="3061"/>
      <c r="AO351" s="3061"/>
      <c r="AP351" s="3061"/>
      <c r="AQ351" s="3061"/>
      <c r="AR351" s="3061"/>
      <c r="AS351" s="3061"/>
      <c r="AT351" s="3061"/>
      <c r="AU351" s="3061"/>
      <c r="AV351" s="3061"/>
      <c r="AW351" s="3061"/>
      <c r="AX351" s="3061"/>
      <c r="AY351" s="3061"/>
      <c r="AZ351" s="3061"/>
      <c r="BA351" s="3061"/>
      <c r="BB351" s="3061"/>
      <c r="BC351" s="3061"/>
      <c r="BD351" s="3061"/>
      <c r="BE351" s="3061"/>
      <c r="BF351" s="3061"/>
      <c r="BG351" s="3061"/>
      <c r="BH351" s="3061"/>
      <c r="BI351" s="3061"/>
      <c r="BJ351" s="3061"/>
      <c r="BK351" s="3061"/>
      <c r="BL351" s="3061"/>
      <c r="BM351" s="3061"/>
      <c r="BN351" s="3061"/>
      <c r="BO351" s="3061"/>
      <c r="BP351" s="3061"/>
      <c r="BQ351" s="3061"/>
      <c r="BR351" s="3061"/>
      <c r="BS351" s="3061"/>
      <c r="BT351" s="3061"/>
      <c r="BU351" s="3061"/>
      <c r="BV351" s="3061"/>
      <c r="BW351" s="3061"/>
      <c r="BX351" s="3061"/>
      <c r="BY351" s="3061"/>
      <c r="BZ351" s="3061"/>
      <c r="CA351" s="3061"/>
      <c r="CB351" s="3061"/>
      <c r="CC351" s="3061"/>
      <c r="CD351" s="3061"/>
      <c r="CE351" s="3061"/>
      <c r="CF351" s="3061"/>
      <c r="CG351" s="3061"/>
      <c r="CH351" s="3061"/>
      <c r="CI351" s="3061"/>
      <c r="CJ351" s="3061"/>
      <c r="CK351" s="3061"/>
      <c r="CL351" s="3061"/>
      <c r="CM351" s="3061"/>
      <c r="CN351" s="3061"/>
      <c r="CO351" s="3061"/>
      <c r="CP351" s="3061"/>
      <c r="CQ351" s="3061"/>
      <c r="CR351" s="3061"/>
      <c r="CS351" s="3062"/>
      <c r="CT351" s="3063"/>
      <c r="CU351" s="3064">
        <f t="shared" si="106"/>
        <v>1</v>
      </c>
      <c r="CV351" s="3022" t="str">
        <f>IF(OR(CT351="",CT351="None"),"-",DO351*CU351*SUMIF('Lighting Assumptions'!$G$3:$G$112,'6a - Lighting Counts'!G351,'Lighting Assumptions'!$J$3:$J$112))</f>
        <v>-</v>
      </c>
      <c r="CW351" s="3021"/>
      <c r="CX351" s="3021"/>
      <c r="CY351" s="3046"/>
      <c r="CZ351" s="2098">
        <f t="shared" si="107"/>
        <v>0</v>
      </c>
      <c r="DA351" s="2098" t="str">
        <f t="shared" si="108"/>
        <v>-</v>
      </c>
      <c r="DB351" s="2098">
        <f t="shared" si="109"/>
        <v>0</v>
      </c>
      <c r="DC351" s="3023" t="str">
        <f t="shared" si="110"/>
        <v>-</v>
      </c>
      <c r="DD351" s="3024" t="str">
        <f t="shared" si="111"/>
        <v/>
      </c>
      <c r="DE351" s="3025" t="str">
        <f t="shared" si="112"/>
        <v>-</v>
      </c>
      <c r="DF351" s="3024" t="str">
        <f t="shared" si="103"/>
        <v>-</v>
      </c>
      <c r="DG351" s="2098">
        <f t="shared" si="113"/>
        <v>0</v>
      </c>
      <c r="DH351" s="2098">
        <f t="array" ref="DH351">MIN(SUMPRODUCT(I351:CR351,IF($I$25:$CR$25="yes",1,0),$I$23:$CR$23),H351)</f>
        <v>0</v>
      </c>
      <c r="DI351" s="3026"/>
      <c r="DJ351" s="3021"/>
      <c r="DN351" s="917" t="str">
        <f>IF(CS351="","-",SUMIF('Lighting Assumptions'!$G$3:$G$112,'6a - Lighting Counts'!G351,'Lighting Assumptions'!$J$3:$J$112))</f>
        <v>-</v>
      </c>
      <c r="DO351" s="917" t="str">
        <f t="shared" si="104"/>
        <v>-</v>
      </c>
      <c r="DP351" s="917" t="str">
        <f t="shared" si="105"/>
        <v>-</v>
      </c>
      <c r="DQ351" s="917" t="str">
        <f>IF(LEFT(CELLformula(DF351),3)&lt;&gt;"=IF",1,"")</f>
        <v/>
      </c>
      <c r="DR351" s="917" t="str">
        <f>IF(LEFT(CELLformula(DD351),3)&lt;&gt;"=IF",1,"")</f>
        <v/>
      </c>
      <c r="DS351" s="3048">
        <f t="shared" si="114"/>
        <v>0</v>
      </c>
      <c r="DT351" s="3047" t="str">
        <f t="shared" si="115"/>
        <v/>
      </c>
      <c r="DU351" s="3047" t="str">
        <f>IFERROR(IF(G351="","",SUMIF('Lighting Assumptions'!$G$3:$G$112,'6a - Lighting Counts'!G351,'Lighting Assumptions'!$H$3:$H$112)*IF(SI_IP_Units="SI",10.76,1)),"")</f>
        <v/>
      </c>
      <c r="DV351" s="3047" t="str">
        <f>IFERROR(IF($CX351="","",IF(SI_IP_Units="SI",10.76,1)*SUMIF(BAMCategories,$CY351,'Lighting Assumptions'!$E$3:E$35)),"")</f>
        <v/>
      </c>
      <c r="DW351" s="3047" t="str">
        <f>IFERROR(IF($CX351="","",IF(SI_IP_Units="SI",10.76,1)*SUMIF(BAMCategories,$CY351,IF(bpf_reference="ACP",'Lighting Assumptions 90.1-2010'!$E$3:E$35,'Lighting Assumptions 90.1-2016'!$E$3:E$35))),"")</f>
        <v/>
      </c>
      <c r="EW351" s="855"/>
      <c r="EX351" s="855"/>
      <c r="EY351" s="855"/>
      <c r="EZ351" s="855"/>
    </row>
    <row r="352" spans="4:156" x14ac:dyDescent="0.25">
      <c r="D352" s="3019"/>
      <c r="E352" s="3020"/>
      <c r="F352" s="3021">
        <f t="shared" si="102"/>
        <v>0</v>
      </c>
      <c r="G352" s="3059"/>
      <c r="H352" s="3060"/>
      <c r="I352" s="3061"/>
      <c r="J352" s="3061"/>
      <c r="K352" s="3061"/>
      <c r="L352" s="3061"/>
      <c r="M352" s="3061"/>
      <c r="N352" s="3061"/>
      <c r="O352" s="3061"/>
      <c r="P352" s="3061"/>
      <c r="Q352" s="3061"/>
      <c r="R352" s="3061"/>
      <c r="S352" s="3061"/>
      <c r="T352" s="3061"/>
      <c r="U352" s="3061"/>
      <c r="V352" s="3061"/>
      <c r="W352" s="3061"/>
      <c r="X352" s="3061"/>
      <c r="Y352" s="3061"/>
      <c r="Z352" s="3061"/>
      <c r="AA352" s="3061"/>
      <c r="AB352" s="3061"/>
      <c r="AC352" s="3061"/>
      <c r="AD352" s="3061"/>
      <c r="AE352" s="3061"/>
      <c r="AF352" s="3061"/>
      <c r="AG352" s="3061"/>
      <c r="AH352" s="3061"/>
      <c r="AI352" s="3061"/>
      <c r="AJ352" s="3061"/>
      <c r="AK352" s="3061"/>
      <c r="AL352" s="3061"/>
      <c r="AM352" s="3061"/>
      <c r="AN352" s="3061"/>
      <c r="AO352" s="3061"/>
      <c r="AP352" s="3061"/>
      <c r="AQ352" s="3061"/>
      <c r="AR352" s="3061"/>
      <c r="AS352" s="3061"/>
      <c r="AT352" s="3061"/>
      <c r="AU352" s="3061"/>
      <c r="AV352" s="3061"/>
      <c r="AW352" s="3061"/>
      <c r="AX352" s="3061"/>
      <c r="AY352" s="3061"/>
      <c r="AZ352" s="3061"/>
      <c r="BA352" s="3061"/>
      <c r="BB352" s="3061"/>
      <c r="BC352" s="3061"/>
      <c r="BD352" s="3061"/>
      <c r="BE352" s="3061"/>
      <c r="BF352" s="3061"/>
      <c r="BG352" s="3061"/>
      <c r="BH352" s="3061"/>
      <c r="BI352" s="3061"/>
      <c r="BJ352" s="3061"/>
      <c r="BK352" s="3061"/>
      <c r="BL352" s="3061"/>
      <c r="BM352" s="3061"/>
      <c r="BN352" s="3061"/>
      <c r="BO352" s="3061"/>
      <c r="BP352" s="3061"/>
      <c r="BQ352" s="3061"/>
      <c r="BR352" s="3061"/>
      <c r="BS352" s="3061"/>
      <c r="BT352" s="3061"/>
      <c r="BU352" s="3061"/>
      <c r="BV352" s="3061"/>
      <c r="BW352" s="3061"/>
      <c r="BX352" s="3061"/>
      <c r="BY352" s="3061"/>
      <c r="BZ352" s="3061"/>
      <c r="CA352" s="3061"/>
      <c r="CB352" s="3061"/>
      <c r="CC352" s="3061"/>
      <c r="CD352" s="3061"/>
      <c r="CE352" s="3061"/>
      <c r="CF352" s="3061"/>
      <c r="CG352" s="3061"/>
      <c r="CH352" s="3061"/>
      <c r="CI352" s="3061"/>
      <c r="CJ352" s="3061"/>
      <c r="CK352" s="3061"/>
      <c r="CL352" s="3061"/>
      <c r="CM352" s="3061"/>
      <c r="CN352" s="3061"/>
      <c r="CO352" s="3061"/>
      <c r="CP352" s="3061"/>
      <c r="CQ352" s="3061"/>
      <c r="CR352" s="3061"/>
      <c r="CS352" s="3062"/>
      <c r="CT352" s="3063"/>
      <c r="CU352" s="3064">
        <f t="shared" si="106"/>
        <v>1</v>
      </c>
      <c r="CV352" s="3022" t="str">
        <f>IF(OR(CT352="",CT352="None"),"-",DO352*CU352*SUMIF('Lighting Assumptions'!$G$3:$G$112,'6a - Lighting Counts'!G352,'Lighting Assumptions'!$J$3:$J$112))</f>
        <v>-</v>
      </c>
      <c r="CW352" s="3021"/>
      <c r="CX352" s="3021"/>
      <c r="CY352" s="3046"/>
      <c r="CZ352" s="2098">
        <f t="shared" si="107"/>
        <v>0</v>
      </c>
      <c r="DA352" s="2098" t="str">
        <f t="shared" si="108"/>
        <v>-</v>
      </c>
      <c r="DB352" s="2098">
        <f t="shared" si="109"/>
        <v>0</v>
      </c>
      <c r="DC352" s="3023" t="str">
        <f t="shared" si="110"/>
        <v>-</v>
      </c>
      <c r="DD352" s="3024" t="str">
        <f t="shared" si="111"/>
        <v/>
      </c>
      <c r="DE352" s="3025" t="str">
        <f t="shared" si="112"/>
        <v>-</v>
      </c>
      <c r="DF352" s="3024" t="str">
        <f t="shared" si="103"/>
        <v>-</v>
      </c>
      <c r="DG352" s="2098">
        <f t="shared" si="113"/>
        <v>0</v>
      </c>
      <c r="DH352" s="2098">
        <f t="array" ref="DH352">MIN(SUMPRODUCT(I352:CR352,IF($I$25:$CR$25="yes",1,0),$I$23:$CR$23),H352)</f>
        <v>0</v>
      </c>
      <c r="DI352" s="3026"/>
      <c r="DJ352" s="3021"/>
      <c r="DN352" s="917" t="str">
        <f>IF(CS352="","-",SUMIF('Lighting Assumptions'!$G$3:$G$112,'6a - Lighting Counts'!G352,'Lighting Assumptions'!$J$3:$J$112))</f>
        <v>-</v>
      </c>
      <c r="DO352" s="917" t="str">
        <f t="shared" si="104"/>
        <v>-</v>
      </c>
      <c r="DP352" s="917" t="str">
        <f t="shared" si="105"/>
        <v>-</v>
      </c>
      <c r="DQ352" s="917" t="str">
        <f>IF(LEFT(CELLformula(DF352),3)&lt;&gt;"=IF",1,"")</f>
        <v/>
      </c>
      <c r="DR352" s="917" t="str">
        <f>IF(LEFT(CELLformula(DD352),3)&lt;&gt;"=IF",1,"")</f>
        <v/>
      </c>
      <c r="DS352" s="3048">
        <f t="shared" si="114"/>
        <v>0</v>
      </c>
      <c r="DT352" s="3047" t="str">
        <f t="shared" si="115"/>
        <v/>
      </c>
      <c r="DU352" s="3047" t="str">
        <f>IFERROR(IF(G352="","",SUMIF('Lighting Assumptions'!$G$3:$G$112,'6a - Lighting Counts'!G352,'Lighting Assumptions'!$H$3:$H$112)*IF(SI_IP_Units="SI",10.76,1)),"")</f>
        <v/>
      </c>
      <c r="DV352" s="3047" t="str">
        <f>IFERROR(IF($CX352="","",IF(SI_IP_Units="SI",10.76,1)*SUMIF(BAMCategories,$CY352,'Lighting Assumptions'!$E$3:E$35)),"")</f>
        <v/>
      </c>
      <c r="DW352" s="3047" t="str">
        <f>IFERROR(IF($CX352="","",IF(SI_IP_Units="SI",10.76,1)*SUMIF(BAMCategories,$CY352,IF(bpf_reference="ACP",'Lighting Assumptions 90.1-2010'!$E$3:E$35,'Lighting Assumptions 90.1-2016'!$E$3:E$35))),"")</f>
        <v/>
      </c>
      <c r="EW352" s="855"/>
      <c r="EX352" s="855"/>
      <c r="EY352" s="855"/>
      <c r="EZ352" s="855"/>
    </row>
    <row r="353" spans="4:156" x14ac:dyDescent="0.25">
      <c r="D353" s="3019"/>
      <c r="E353" s="3020"/>
      <c r="F353" s="3021">
        <f t="shared" si="102"/>
        <v>0</v>
      </c>
      <c r="G353" s="3059"/>
      <c r="H353" s="3060"/>
      <c r="I353" s="3061"/>
      <c r="J353" s="3061"/>
      <c r="K353" s="3061"/>
      <c r="L353" s="3061"/>
      <c r="M353" s="3061"/>
      <c r="N353" s="3061"/>
      <c r="O353" s="3061"/>
      <c r="P353" s="3061"/>
      <c r="Q353" s="3061"/>
      <c r="R353" s="3061"/>
      <c r="S353" s="3061"/>
      <c r="T353" s="3061"/>
      <c r="U353" s="3061"/>
      <c r="V353" s="3061"/>
      <c r="W353" s="3061"/>
      <c r="X353" s="3061"/>
      <c r="Y353" s="3061"/>
      <c r="Z353" s="3061"/>
      <c r="AA353" s="3061"/>
      <c r="AB353" s="3061"/>
      <c r="AC353" s="3061"/>
      <c r="AD353" s="3061"/>
      <c r="AE353" s="3061"/>
      <c r="AF353" s="3061"/>
      <c r="AG353" s="3061"/>
      <c r="AH353" s="3061"/>
      <c r="AI353" s="3061"/>
      <c r="AJ353" s="3061"/>
      <c r="AK353" s="3061"/>
      <c r="AL353" s="3061"/>
      <c r="AM353" s="3061"/>
      <c r="AN353" s="3061"/>
      <c r="AO353" s="3061"/>
      <c r="AP353" s="3061"/>
      <c r="AQ353" s="3061"/>
      <c r="AR353" s="3061"/>
      <c r="AS353" s="3061"/>
      <c r="AT353" s="3061"/>
      <c r="AU353" s="3061"/>
      <c r="AV353" s="3061"/>
      <c r="AW353" s="3061"/>
      <c r="AX353" s="3061"/>
      <c r="AY353" s="3061"/>
      <c r="AZ353" s="3061"/>
      <c r="BA353" s="3061"/>
      <c r="BB353" s="3061"/>
      <c r="BC353" s="3061"/>
      <c r="BD353" s="3061"/>
      <c r="BE353" s="3061"/>
      <c r="BF353" s="3061"/>
      <c r="BG353" s="3061"/>
      <c r="BH353" s="3061"/>
      <c r="BI353" s="3061"/>
      <c r="BJ353" s="3061"/>
      <c r="BK353" s="3061"/>
      <c r="BL353" s="3061"/>
      <c r="BM353" s="3061"/>
      <c r="BN353" s="3061"/>
      <c r="BO353" s="3061"/>
      <c r="BP353" s="3061"/>
      <c r="BQ353" s="3061"/>
      <c r="BR353" s="3061"/>
      <c r="BS353" s="3061"/>
      <c r="BT353" s="3061"/>
      <c r="BU353" s="3061"/>
      <c r="BV353" s="3061"/>
      <c r="BW353" s="3061"/>
      <c r="BX353" s="3061"/>
      <c r="BY353" s="3061"/>
      <c r="BZ353" s="3061"/>
      <c r="CA353" s="3061"/>
      <c r="CB353" s="3061"/>
      <c r="CC353" s="3061"/>
      <c r="CD353" s="3061"/>
      <c r="CE353" s="3061"/>
      <c r="CF353" s="3061"/>
      <c r="CG353" s="3061"/>
      <c r="CH353" s="3061"/>
      <c r="CI353" s="3061"/>
      <c r="CJ353" s="3061"/>
      <c r="CK353" s="3061"/>
      <c r="CL353" s="3061"/>
      <c r="CM353" s="3061"/>
      <c r="CN353" s="3061"/>
      <c r="CO353" s="3061"/>
      <c r="CP353" s="3061"/>
      <c r="CQ353" s="3061"/>
      <c r="CR353" s="3061"/>
      <c r="CS353" s="3062"/>
      <c r="CT353" s="3063"/>
      <c r="CU353" s="3064">
        <f t="shared" si="106"/>
        <v>1</v>
      </c>
      <c r="CV353" s="3022" t="str">
        <f>IF(OR(CT353="",CT353="None"),"-",DO353*CU353*SUMIF('Lighting Assumptions'!$G$3:$G$112,'6a - Lighting Counts'!G353,'Lighting Assumptions'!$J$3:$J$112))</f>
        <v>-</v>
      </c>
      <c r="CW353" s="3021"/>
      <c r="CX353" s="3021"/>
      <c r="CY353" s="3046"/>
      <c r="CZ353" s="2098">
        <f t="shared" si="107"/>
        <v>0</v>
      </c>
      <c r="DA353" s="2098" t="str">
        <f t="shared" si="108"/>
        <v>-</v>
      </c>
      <c r="DB353" s="2098">
        <f t="shared" si="109"/>
        <v>0</v>
      </c>
      <c r="DC353" s="3023" t="str">
        <f t="shared" si="110"/>
        <v>-</v>
      </c>
      <c r="DD353" s="3024" t="str">
        <f t="shared" si="111"/>
        <v/>
      </c>
      <c r="DE353" s="3025" t="str">
        <f t="shared" si="112"/>
        <v>-</v>
      </c>
      <c r="DF353" s="3024" t="str">
        <f t="shared" si="103"/>
        <v>-</v>
      </c>
      <c r="DG353" s="2098">
        <f t="shared" si="113"/>
        <v>0</v>
      </c>
      <c r="DH353" s="2098">
        <f t="array" ref="DH353">MIN(SUMPRODUCT(I353:CR353,IF($I$25:$CR$25="yes",1,0),$I$23:$CR$23),H353)</f>
        <v>0</v>
      </c>
      <c r="DI353" s="3026"/>
      <c r="DJ353" s="3021"/>
      <c r="DN353" s="917" t="str">
        <f>IF(CS353="","-",SUMIF('Lighting Assumptions'!$G$3:$G$112,'6a - Lighting Counts'!G353,'Lighting Assumptions'!$J$3:$J$112))</f>
        <v>-</v>
      </c>
      <c r="DO353" s="917" t="str">
        <f t="shared" si="104"/>
        <v>-</v>
      </c>
      <c r="DP353" s="917" t="str">
        <f t="shared" si="105"/>
        <v>-</v>
      </c>
      <c r="DQ353" s="917" t="str">
        <f>IF(LEFT(CELLformula(DF353),3)&lt;&gt;"=IF",1,"")</f>
        <v/>
      </c>
      <c r="DR353" s="917" t="str">
        <f>IF(LEFT(CELLformula(DD353),3)&lt;&gt;"=IF",1,"")</f>
        <v/>
      </c>
      <c r="DS353" s="3048">
        <f t="shared" si="114"/>
        <v>0</v>
      </c>
      <c r="DT353" s="3047" t="str">
        <f t="shared" si="115"/>
        <v/>
      </c>
      <c r="DU353" s="3047" t="str">
        <f>IFERROR(IF(G353="","",SUMIF('Lighting Assumptions'!$G$3:$G$112,'6a - Lighting Counts'!G353,'Lighting Assumptions'!$H$3:$H$112)*IF(SI_IP_Units="SI",10.76,1)),"")</f>
        <v/>
      </c>
      <c r="DV353" s="3047" t="str">
        <f>IFERROR(IF($CX353="","",IF(SI_IP_Units="SI",10.76,1)*SUMIF(BAMCategories,$CY353,'Lighting Assumptions'!$E$3:E$35)),"")</f>
        <v/>
      </c>
      <c r="DW353" s="3047" t="str">
        <f>IFERROR(IF($CX353="","",IF(SI_IP_Units="SI",10.76,1)*SUMIF(BAMCategories,$CY353,IF(bpf_reference="ACP",'Lighting Assumptions 90.1-2010'!$E$3:E$35,'Lighting Assumptions 90.1-2016'!$E$3:E$35))),"")</f>
        <v/>
      </c>
      <c r="EW353" s="855"/>
      <c r="EX353" s="855"/>
      <c r="EY353" s="855"/>
      <c r="EZ353" s="855"/>
    </row>
    <row r="354" spans="4:156" x14ac:dyDescent="0.25">
      <c r="D354" s="3019"/>
      <c r="E354" s="3020"/>
      <c r="F354" s="3021">
        <f t="shared" si="102"/>
        <v>0</v>
      </c>
      <c r="G354" s="3059"/>
      <c r="H354" s="3060"/>
      <c r="I354" s="3061"/>
      <c r="J354" s="3061"/>
      <c r="K354" s="3061"/>
      <c r="L354" s="3061"/>
      <c r="M354" s="3061"/>
      <c r="N354" s="3061"/>
      <c r="O354" s="3061"/>
      <c r="P354" s="3061"/>
      <c r="Q354" s="3061"/>
      <c r="R354" s="3061"/>
      <c r="S354" s="3061"/>
      <c r="T354" s="3061"/>
      <c r="U354" s="3061"/>
      <c r="V354" s="3061"/>
      <c r="W354" s="3061"/>
      <c r="X354" s="3061"/>
      <c r="Y354" s="3061"/>
      <c r="Z354" s="3061"/>
      <c r="AA354" s="3061"/>
      <c r="AB354" s="3061"/>
      <c r="AC354" s="3061"/>
      <c r="AD354" s="3061"/>
      <c r="AE354" s="3061"/>
      <c r="AF354" s="3061"/>
      <c r="AG354" s="3061"/>
      <c r="AH354" s="3061"/>
      <c r="AI354" s="3061"/>
      <c r="AJ354" s="3061"/>
      <c r="AK354" s="3061"/>
      <c r="AL354" s="3061"/>
      <c r="AM354" s="3061"/>
      <c r="AN354" s="3061"/>
      <c r="AO354" s="3061"/>
      <c r="AP354" s="3061"/>
      <c r="AQ354" s="3061"/>
      <c r="AR354" s="3061"/>
      <c r="AS354" s="3061"/>
      <c r="AT354" s="3061"/>
      <c r="AU354" s="3061"/>
      <c r="AV354" s="3061"/>
      <c r="AW354" s="3061"/>
      <c r="AX354" s="3061"/>
      <c r="AY354" s="3061"/>
      <c r="AZ354" s="3061"/>
      <c r="BA354" s="3061"/>
      <c r="BB354" s="3061"/>
      <c r="BC354" s="3061"/>
      <c r="BD354" s="3061"/>
      <c r="BE354" s="3061"/>
      <c r="BF354" s="3061"/>
      <c r="BG354" s="3061"/>
      <c r="BH354" s="3061"/>
      <c r="BI354" s="3061"/>
      <c r="BJ354" s="3061"/>
      <c r="BK354" s="3061"/>
      <c r="BL354" s="3061"/>
      <c r="BM354" s="3061"/>
      <c r="BN354" s="3061"/>
      <c r="BO354" s="3061"/>
      <c r="BP354" s="3061"/>
      <c r="BQ354" s="3061"/>
      <c r="BR354" s="3061"/>
      <c r="BS354" s="3061"/>
      <c r="BT354" s="3061"/>
      <c r="BU354" s="3061"/>
      <c r="BV354" s="3061"/>
      <c r="BW354" s="3061"/>
      <c r="BX354" s="3061"/>
      <c r="BY354" s="3061"/>
      <c r="BZ354" s="3061"/>
      <c r="CA354" s="3061"/>
      <c r="CB354" s="3061"/>
      <c r="CC354" s="3061"/>
      <c r="CD354" s="3061"/>
      <c r="CE354" s="3061"/>
      <c r="CF354" s="3061"/>
      <c r="CG354" s="3061"/>
      <c r="CH354" s="3061"/>
      <c r="CI354" s="3061"/>
      <c r="CJ354" s="3061"/>
      <c r="CK354" s="3061"/>
      <c r="CL354" s="3061"/>
      <c r="CM354" s="3061"/>
      <c r="CN354" s="3061"/>
      <c r="CO354" s="3061"/>
      <c r="CP354" s="3061"/>
      <c r="CQ354" s="3061"/>
      <c r="CR354" s="3061"/>
      <c r="CS354" s="3062"/>
      <c r="CT354" s="3063"/>
      <c r="CU354" s="3064">
        <f t="shared" si="106"/>
        <v>1</v>
      </c>
      <c r="CV354" s="3022" t="str">
        <f>IF(OR(CT354="",CT354="None"),"-",DO354*CU354*SUMIF('Lighting Assumptions'!$G$3:$G$112,'6a - Lighting Counts'!G354,'Lighting Assumptions'!$J$3:$J$112))</f>
        <v>-</v>
      </c>
      <c r="CW354" s="3021"/>
      <c r="CX354" s="3021"/>
      <c r="CY354" s="3046"/>
      <c r="CZ354" s="2098">
        <f t="shared" si="107"/>
        <v>0</v>
      </c>
      <c r="DA354" s="2098" t="str">
        <f t="shared" si="108"/>
        <v>-</v>
      </c>
      <c r="DB354" s="2098">
        <f t="shared" si="109"/>
        <v>0</v>
      </c>
      <c r="DC354" s="3023" t="str">
        <f t="shared" si="110"/>
        <v>-</v>
      </c>
      <c r="DD354" s="3024" t="str">
        <f t="shared" si="111"/>
        <v/>
      </c>
      <c r="DE354" s="3025" t="str">
        <f t="shared" si="112"/>
        <v>-</v>
      </c>
      <c r="DF354" s="3024" t="str">
        <f t="shared" si="103"/>
        <v>-</v>
      </c>
      <c r="DG354" s="2098">
        <f t="shared" si="113"/>
        <v>0</v>
      </c>
      <c r="DH354" s="2098">
        <f t="array" ref="DH354">MIN(SUMPRODUCT(I354:CR354,IF($I$25:$CR$25="yes",1,0),$I$23:$CR$23),H354)</f>
        <v>0</v>
      </c>
      <c r="DI354" s="3026"/>
      <c r="DJ354" s="3021"/>
      <c r="DN354" s="917" t="str">
        <f>IF(CS354="","-",SUMIF('Lighting Assumptions'!$G$3:$G$112,'6a - Lighting Counts'!G354,'Lighting Assumptions'!$J$3:$J$112))</f>
        <v>-</v>
      </c>
      <c r="DO354" s="917" t="str">
        <f t="shared" si="104"/>
        <v>-</v>
      </c>
      <c r="DP354" s="917" t="str">
        <f t="shared" si="105"/>
        <v>-</v>
      </c>
      <c r="DQ354" s="917" t="str">
        <f>IF(LEFT(CELLformula(DF354),3)&lt;&gt;"=IF",1,"")</f>
        <v/>
      </c>
      <c r="DR354" s="917" t="str">
        <f>IF(LEFT(CELLformula(DD354),3)&lt;&gt;"=IF",1,"")</f>
        <v/>
      </c>
      <c r="DS354" s="3048">
        <f t="shared" si="114"/>
        <v>0</v>
      </c>
      <c r="DT354" s="3047" t="str">
        <f t="shared" si="115"/>
        <v/>
      </c>
      <c r="DU354" s="3047" t="str">
        <f>IFERROR(IF(G354="","",SUMIF('Lighting Assumptions'!$G$3:$G$112,'6a - Lighting Counts'!G354,'Lighting Assumptions'!$H$3:$H$112)*IF(SI_IP_Units="SI",10.76,1)),"")</f>
        <v/>
      </c>
      <c r="DV354" s="3047" t="str">
        <f>IFERROR(IF($CX354="","",IF(SI_IP_Units="SI",10.76,1)*SUMIF(BAMCategories,$CY354,'Lighting Assumptions'!$E$3:E$35)),"")</f>
        <v/>
      </c>
      <c r="DW354" s="3047" t="str">
        <f>IFERROR(IF($CX354="","",IF(SI_IP_Units="SI",10.76,1)*SUMIF(BAMCategories,$CY354,IF(bpf_reference="ACP",'Lighting Assumptions 90.1-2010'!$E$3:E$35,'Lighting Assumptions 90.1-2016'!$E$3:E$35))),"")</f>
        <v/>
      </c>
      <c r="EW354" s="855"/>
      <c r="EX354" s="855"/>
      <c r="EY354" s="855"/>
      <c r="EZ354" s="855"/>
    </row>
    <row r="355" spans="4:156" x14ac:dyDescent="0.25">
      <c r="D355" s="3019"/>
      <c r="E355" s="3020"/>
      <c r="F355" s="3021">
        <f t="shared" si="102"/>
        <v>0</v>
      </c>
      <c r="G355" s="3059"/>
      <c r="H355" s="3060"/>
      <c r="I355" s="3061"/>
      <c r="J355" s="3061"/>
      <c r="K355" s="3061"/>
      <c r="L355" s="3061"/>
      <c r="M355" s="3061"/>
      <c r="N355" s="3061"/>
      <c r="O355" s="3061"/>
      <c r="P355" s="3061"/>
      <c r="Q355" s="3061"/>
      <c r="R355" s="3061"/>
      <c r="S355" s="3061"/>
      <c r="T355" s="3061"/>
      <c r="U355" s="3061"/>
      <c r="V355" s="3061"/>
      <c r="W355" s="3061"/>
      <c r="X355" s="3061"/>
      <c r="Y355" s="3061"/>
      <c r="Z355" s="3061"/>
      <c r="AA355" s="3061"/>
      <c r="AB355" s="3061"/>
      <c r="AC355" s="3061"/>
      <c r="AD355" s="3061"/>
      <c r="AE355" s="3061"/>
      <c r="AF355" s="3061"/>
      <c r="AG355" s="3061"/>
      <c r="AH355" s="3061"/>
      <c r="AI355" s="3061"/>
      <c r="AJ355" s="3061"/>
      <c r="AK355" s="3061"/>
      <c r="AL355" s="3061"/>
      <c r="AM355" s="3061"/>
      <c r="AN355" s="3061"/>
      <c r="AO355" s="3061"/>
      <c r="AP355" s="3061"/>
      <c r="AQ355" s="3061"/>
      <c r="AR355" s="3061"/>
      <c r="AS355" s="3061"/>
      <c r="AT355" s="3061"/>
      <c r="AU355" s="3061"/>
      <c r="AV355" s="3061"/>
      <c r="AW355" s="3061"/>
      <c r="AX355" s="3061"/>
      <c r="AY355" s="3061"/>
      <c r="AZ355" s="3061"/>
      <c r="BA355" s="3061"/>
      <c r="BB355" s="3061"/>
      <c r="BC355" s="3061"/>
      <c r="BD355" s="3061"/>
      <c r="BE355" s="3061"/>
      <c r="BF355" s="3061"/>
      <c r="BG355" s="3061"/>
      <c r="BH355" s="3061"/>
      <c r="BI355" s="3061"/>
      <c r="BJ355" s="3061"/>
      <c r="BK355" s="3061"/>
      <c r="BL355" s="3061"/>
      <c r="BM355" s="3061"/>
      <c r="BN355" s="3061"/>
      <c r="BO355" s="3061"/>
      <c r="BP355" s="3061"/>
      <c r="BQ355" s="3061"/>
      <c r="BR355" s="3061"/>
      <c r="BS355" s="3061"/>
      <c r="BT355" s="3061"/>
      <c r="BU355" s="3061"/>
      <c r="BV355" s="3061"/>
      <c r="BW355" s="3061"/>
      <c r="BX355" s="3061"/>
      <c r="BY355" s="3061"/>
      <c r="BZ355" s="3061"/>
      <c r="CA355" s="3061"/>
      <c r="CB355" s="3061"/>
      <c r="CC355" s="3061"/>
      <c r="CD355" s="3061"/>
      <c r="CE355" s="3061"/>
      <c r="CF355" s="3061"/>
      <c r="CG355" s="3061"/>
      <c r="CH355" s="3061"/>
      <c r="CI355" s="3061"/>
      <c r="CJ355" s="3061"/>
      <c r="CK355" s="3061"/>
      <c r="CL355" s="3061"/>
      <c r="CM355" s="3061"/>
      <c r="CN355" s="3061"/>
      <c r="CO355" s="3061"/>
      <c r="CP355" s="3061"/>
      <c r="CQ355" s="3061"/>
      <c r="CR355" s="3061"/>
      <c r="CS355" s="3062"/>
      <c r="CT355" s="3063"/>
      <c r="CU355" s="3064">
        <f t="shared" si="106"/>
        <v>1</v>
      </c>
      <c r="CV355" s="3022" t="str">
        <f>IF(OR(CT355="",CT355="None"),"-",DO355*CU355*SUMIF('Lighting Assumptions'!$G$3:$G$112,'6a - Lighting Counts'!G355,'Lighting Assumptions'!$J$3:$J$112))</f>
        <v>-</v>
      </c>
      <c r="CW355" s="3021"/>
      <c r="CX355" s="3021"/>
      <c r="CY355" s="3046"/>
      <c r="CZ355" s="2098">
        <f t="shared" si="107"/>
        <v>0</v>
      </c>
      <c r="DA355" s="2098" t="str">
        <f t="shared" si="108"/>
        <v>-</v>
      </c>
      <c r="DB355" s="2098">
        <f t="shared" si="109"/>
        <v>0</v>
      </c>
      <c r="DC355" s="3023" t="str">
        <f t="shared" si="110"/>
        <v>-</v>
      </c>
      <c r="DD355" s="3024" t="str">
        <f t="shared" si="111"/>
        <v/>
      </c>
      <c r="DE355" s="3025" t="str">
        <f t="shared" si="112"/>
        <v>-</v>
      </c>
      <c r="DF355" s="3024" t="str">
        <f t="shared" si="103"/>
        <v>-</v>
      </c>
      <c r="DG355" s="2098">
        <f t="shared" si="113"/>
        <v>0</v>
      </c>
      <c r="DH355" s="2098">
        <f t="array" ref="DH355">MIN(SUMPRODUCT(I355:CR355,IF($I$25:$CR$25="yes",1,0),$I$23:$CR$23),H355)</f>
        <v>0</v>
      </c>
      <c r="DI355" s="3026"/>
      <c r="DJ355" s="3021"/>
      <c r="DN355" s="917" t="str">
        <f>IF(CS355="","-",SUMIF('Lighting Assumptions'!$G$3:$G$112,'6a - Lighting Counts'!G355,'Lighting Assumptions'!$J$3:$J$112))</f>
        <v>-</v>
      </c>
      <c r="DO355" s="917" t="str">
        <f t="shared" si="104"/>
        <v>-</v>
      </c>
      <c r="DP355" s="917" t="str">
        <f t="shared" si="105"/>
        <v>-</v>
      </c>
      <c r="DQ355" s="917" t="str">
        <f>IF(LEFT(CELLformula(DF355),3)&lt;&gt;"=IF",1,"")</f>
        <v/>
      </c>
      <c r="DR355" s="917" t="str">
        <f>IF(LEFT(CELLformula(DD355),3)&lt;&gt;"=IF",1,"")</f>
        <v/>
      </c>
      <c r="DS355" s="3048">
        <f t="shared" si="114"/>
        <v>0</v>
      </c>
      <c r="DT355" s="3047" t="str">
        <f t="shared" si="115"/>
        <v/>
      </c>
      <c r="DU355" s="3047" t="str">
        <f>IFERROR(IF(G355="","",SUMIF('Lighting Assumptions'!$G$3:$G$112,'6a - Lighting Counts'!G355,'Lighting Assumptions'!$H$3:$H$112)*IF(SI_IP_Units="SI",10.76,1)),"")</f>
        <v/>
      </c>
      <c r="DV355" s="3047" t="str">
        <f>IFERROR(IF($CX355="","",IF(SI_IP_Units="SI",10.76,1)*SUMIF(BAMCategories,$CY355,'Lighting Assumptions'!$E$3:E$35)),"")</f>
        <v/>
      </c>
      <c r="DW355" s="3047" t="str">
        <f>IFERROR(IF($CX355="","",IF(SI_IP_Units="SI",10.76,1)*SUMIF(BAMCategories,$CY355,IF(bpf_reference="ACP",'Lighting Assumptions 90.1-2010'!$E$3:E$35,'Lighting Assumptions 90.1-2016'!$E$3:E$35))),"")</f>
        <v/>
      </c>
      <c r="EW355" s="855"/>
      <c r="EX355" s="855"/>
      <c r="EY355" s="855"/>
      <c r="EZ355" s="855"/>
    </row>
    <row r="356" spans="4:156" x14ac:dyDescent="0.25">
      <c r="D356" s="3019"/>
      <c r="E356" s="3020"/>
      <c r="F356" s="3021">
        <f t="shared" si="102"/>
        <v>0</v>
      </c>
      <c r="G356" s="3059"/>
      <c r="H356" s="3060"/>
      <c r="I356" s="3061"/>
      <c r="J356" s="3061"/>
      <c r="K356" s="3061"/>
      <c r="L356" s="3061"/>
      <c r="M356" s="3061"/>
      <c r="N356" s="3061"/>
      <c r="O356" s="3061"/>
      <c r="P356" s="3061"/>
      <c r="Q356" s="3061"/>
      <c r="R356" s="3061"/>
      <c r="S356" s="3061"/>
      <c r="T356" s="3061"/>
      <c r="U356" s="3061"/>
      <c r="V356" s="3061"/>
      <c r="W356" s="3061"/>
      <c r="X356" s="3061"/>
      <c r="Y356" s="3061"/>
      <c r="Z356" s="3061"/>
      <c r="AA356" s="3061"/>
      <c r="AB356" s="3061"/>
      <c r="AC356" s="3061"/>
      <c r="AD356" s="3061"/>
      <c r="AE356" s="3061"/>
      <c r="AF356" s="3061"/>
      <c r="AG356" s="3061"/>
      <c r="AH356" s="3061"/>
      <c r="AI356" s="3061"/>
      <c r="AJ356" s="3061"/>
      <c r="AK356" s="3061"/>
      <c r="AL356" s="3061"/>
      <c r="AM356" s="3061"/>
      <c r="AN356" s="3061"/>
      <c r="AO356" s="3061"/>
      <c r="AP356" s="3061"/>
      <c r="AQ356" s="3061"/>
      <c r="AR356" s="3061"/>
      <c r="AS356" s="3061"/>
      <c r="AT356" s="3061"/>
      <c r="AU356" s="3061"/>
      <c r="AV356" s="3061"/>
      <c r="AW356" s="3061"/>
      <c r="AX356" s="3061"/>
      <c r="AY356" s="3061"/>
      <c r="AZ356" s="3061"/>
      <c r="BA356" s="3061"/>
      <c r="BB356" s="3061"/>
      <c r="BC356" s="3061"/>
      <c r="BD356" s="3061"/>
      <c r="BE356" s="3061"/>
      <c r="BF356" s="3061"/>
      <c r="BG356" s="3061"/>
      <c r="BH356" s="3061"/>
      <c r="BI356" s="3061"/>
      <c r="BJ356" s="3061"/>
      <c r="BK356" s="3061"/>
      <c r="BL356" s="3061"/>
      <c r="BM356" s="3061"/>
      <c r="BN356" s="3061"/>
      <c r="BO356" s="3061"/>
      <c r="BP356" s="3061"/>
      <c r="BQ356" s="3061"/>
      <c r="BR356" s="3061"/>
      <c r="BS356" s="3061"/>
      <c r="BT356" s="3061"/>
      <c r="BU356" s="3061"/>
      <c r="BV356" s="3061"/>
      <c r="BW356" s="3061"/>
      <c r="BX356" s="3061"/>
      <c r="BY356" s="3061"/>
      <c r="BZ356" s="3061"/>
      <c r="CA356" s="3061"/>
      <c r="CB356" s="3061"/>
      <c r="CC356" s="3061"/>
      <c r="CD356" s="3061"/>
      <c r="CE356" s="3061"/>
      <c r="CF356" s="3061"/>
      <c r="CG356" s="3061"/>
      <c r="CH356" s="3061"/>
      <c r="CI356" s="3061"/>
      <c r="CJ356" s="3061"/>
      <c r="CK356" s="3061"/>
      <c r="CL356" s="3061"/>
      <c r="CM356" s="3061"/>
      <c r="CN356" s="3061"/>
      <c r="CO356" s="3061"/>
      <c r="CP356" s="3061"/>
      <c r="CQ356" s="3061"/>
      <c r="CR356" s="3061"/>
      <c r="CS356" s="3062"/>
      <c r="CT356" s="3063"/>
      <c r="CU356" s="3064">
        <f t="shared" si="106"/>
        <v>1</v>
      </c>
      <c r="CV356" s="3022" t="str">
        <f>IF(OR(CT356="",CT356="None"),"-",DO356*CU356*SUMIF('Lighting Assumptions'!$G$3:$G$112,'6a - Lighting Counts'!G356,'Lighting Assumptions'!$J$3:$J$112))</f>
        <v>-</v>
      </c>
      <c r="CW356" s="3021"/>
      <c r="CX356" s="3021"/>
      <c r="CY356" s="3046"/>
      <c r="CZ356" s="2098">
        <f t="shared" si="107"/>
        <v>0</v>
      </c>
      <c r="DA356" s="2098" t="str">
        <f t="shared" si="108"/>
        <v>-</v>
      </c>
      <c r="DB356" s="2098">
        <f t="shared" si="109"/>
        <v>0</v>
      </c>
      <c r="DC356" s="3023" t="str">
        <f t="shared" si="110"/>
        <v>-</v>
      </c>
      <c r="DD356" s="3024" t="str">
        <f t="shared" si="111"/>
        <v/>
      </c>
      <c r="DE356" s="3025" t="str">
        <f t="shared" si="112"/>
        <v>-</v>
      </c>
      <c r="DF356" s="3024" t="str">
        <f t="shared" si="103"/>
        <v>-</v>
      </c>
      <c r="DG356" s="2098">
        <f t="shared" si="113"/>
        <v>0</v>
      </c>
      <c r="DH356" s="2098">
        <f t="array" ref="DH356">MIN(SUMPRODUCT(I356:CR356,IF($I$25:$CR$25="yes",1,0),$I$23:$CR$23),H356)</f>
        <v>0</v>
      </c>
      <c r="DI356" s="3026"/>
      <c r="DJ356" s="3021"/>
      <c r="DN356" s="917" t="str">
        <f>IF(CS356="","-",SUMIF('Lighting Assumptions'!$G$3:$G$112,'6a - Lighting Counts'!G356,'Lighting Assumptions'!$J$3:$J$112))</f>
        <v>-</v>
      </c>
      <c r="DO356" s="917" t="str">
        <f t="shared" si="104"/>
        <v>-</v>
      </c>
      <c r="DP356" s="917" t="str">
        <f t="shared" si="105"/>
        <v>-</v>
      </c>
      <c r="DQ356" s="917" t="str">
        <f>IF(LEFT(CELLformula(DF356),3)&lt;&gt;"=IF",1,"")</f>
        <v/>
      </c>
      <c r="DR356" s="917" t="str">
        <f>IF(LEFT(CELLformula(DD356),3)&lt;&gt;"=IF",1,"")</f>
        <v/>
      </c>
      <c r="DS356" s="3048">
        <f t="shared" si="114"/>
        <v>0</v>
      </c>
      <c r="DT356" s="3047" t="str">
        <f t="shared" si="115"/>
        <v/>
      </c>
      <c r="DU356" s="3047" t="str">
        <f>IFERROR(IF(G356="","",SUMIF('Lighting Assumptions'!$G$3:$G$112,'6a - Lighting Counts'!G356,'Lighting Assumptions'!$H$3:$H$112)*IF(SI_IP_Units="SI",10.76,1)),"")</f>
        <v/>
      </c>
      <c r="DV356" s="3047" t="str">
        <f>IFERROR(IF($CX356="","",IF(SI_IP_Units="SI",10.76,1)*SUMIF(BAMCategories,$CY356,'Lighting Assumptions'!$E$3:E$35)),"")</f>
        <v/>
      </c>
      <c r="DW356" s="3047" t="str">
        <f>IFERROR(IF($CX356="","",IF(SI_IP_Units="SI",10.76,1)*SUMIF(BAMCategories,$CY356,IF(bpf_reference="ACP",'Lighting Assumptions 90.1-2010'!$E$3:E$35,'Lighting Assumptions 90.1-2016'!$E$3:E$35))),"")</f>
        <v/>
      </c>
      <c r="EW356" s="855"/>
      <c r="EX356" s="855"/>
      <c r="EY356" s="855"/>
      <c r="EZ356" s="855"/>
    </row>
    <row r="357" spans="4:156" x14ac:dyDescent="0.25">
      <c r="D357" s="3019"/>
      <c r="E357" s="3020"/>
      <c r="F357" s="3021">
        <f t="shared" si="102"/>
        <v>0</v>
      </c>
      <c r="G357" s="3059"/>
      <c r="H357" s="3060"/>
      <c r="I357" s="3061"/>
      <c r="J357" s="3061"/>
      <c r="K357" s="3061"/>
      <c r="L357" s="3061"/>
      <c r="M357" s="3061"/>
      <c r="N357" s="3061"/>
      <c r="O357" s="3061"/>
      <c r="P357" s="3061"/>
      <c r="Q357" s="3061"/>
      <c r="R357" s="3061"/>
      <c r="S357" s="3061"/>
      <c r="T357" s="3061"/>
      <c r="U357" s="3061"/>
      <c r="V357" s="3061"/>
      <c r="W357" s="3061"/>
      <c r="X357" s="3061"/>
      <c r="Y357" s="3061"/>
      <c r="Z357" s="3061"/>
      <c r="AA357" s="3061"/>
      <c r="AB357" s="3061"/>
      <c r="AC357" s="3061"/>
      <c r="AD357" s="3061"/>
      <c r="AE357" s="3061"/>
      <c r="AF357" s="3061"/>
      <c r="AG357" s="3061"/>
      <c r="AH357" s="3061"/>
      <c r="AI357" s="3061"/>
      <c r="AJ357" s="3061"/>
      <c r="AK357" s="3061"/>
      <c r="AL357" s="3061"/>
      <c r="AM357" s="3061"/>
      <c r="AN357" s="3061"/>
      <c r="AO357" s="3061"/>
      <c r="AP357" s="3061"/>
      <c r="AQ357" s="3061"/>
      <c r="AR357" s="3061"/>
      <c r="AS357" s="3061"/>
      <c r="AT357" s="3061"/>
      <c r="AU357" s="3061"/>
      <c r="AV357" s="3061"/>
      <c r="AW357" s="3061"/>
      <c r="AX357" s="3061"/>
      <c r="AY357" s="3061"/>
      <c r="AZ357" s="3061"/>
      <c r="BA357" s="3061"/>
      <c r="BB357" s="3061"/>
      <c r="BC357" s="3061"/>
      <c r="BD357" s="3061"/>
      <c r="BE357" s="3061"/>
      <c r="BF357" s="3061"/>
      <c r="BG357" s="3061"/>
      <c r="BH357" s="3061"/>
      <c r="BI357" s="3061"/>
      <c r="BJ357" s="3061"/>
      <c r="BK357" s="3061"/>
      <c r="BL357" s="3061"/>
      <c r="BM357" s="3061"/>
      <c r="BN357" s="3061"/>
      <c r="BO357" s="3061"/>
      <c r="BP357" s="3061"/>
      <c r="BQ357" s="3061"/>
      <c r="BR357" s="3061"/>
      <c r="BS357" s="3061"/>
      <c r="BT357" s="3061"/>
      <c r="BU357" s="3061"/>
      <c r="BV357" s="3061"/>
      <c r="BW357" s="3061"/>
      <c r="BX357" s="3061"/>
      <c r="BY357" s="3061"/>
      <c r="BZ357" s="3061"/>
      <c r="CA357" s="3061"/>
      <c r="CB357" s="3061"/>
      <c r="CC357" s="3061"/>
      <c r="CD357" s="3061"/>
      <c r="CE357" s="3061"/>
      <c r="CF357" s="3061"/>
      <c r="CG357" s="3061"/>
      <c r="CH357" s="3061"/>
      <c r="CI357" s="3061"/>
      <c r="CJ357" s="3061"/>
      <c r="CK357" s="3061"/>
      <c r="CL357" s="3061"/>
      <c r="CM357" s="3061"/>
      <c r="CN357" s="3061"/>
      <c r="CO357" s="3061"/>
      <c r="CP357" s="3061"/>
      <c r="CQ357" s="3061"/>
      <c r="CR357" s="3061"/>
      <c r="CS357" s="3062"/>
      <c r="CT357" s="3063"/>
      <c r="CU357" s="3064">
        <f t="shared" si="106"/>
        <v>1</v>
      </c>
      <c r="CV357" s="3022" t="str">
        <f>IF(OR(CT357="",CT357="None"),"-",DO357*CU357*SUMIF('Lighting Assumptions'!$G$3:$G$112,'6a - Lighting Counts'!G357,'Lighting Assumptions'!$J$3:$J$112))</f>
        <v>-</v>
      </c>
      <c r="CW357" s="3021"/>
      <c r="CX357" s="3021"/>
      <c r="CY357" s="3046"/>
      <c r="CZ357" s="2098">
        <f t="shared" si="107"/>
        <v>0</v>
      </c>
      <c r="DA357" s="2098" t="str">
        <f t="shared" si="108"/>
        <v>-</v>
      </c>
      <c r="DB357" s="2098">
        <f t="shared" si="109"/>
        <v>0</v>
      </c>
      <c r="DC357" s="3023" t="str">
        <f t="shared" si="110"/>
        <v>-</v>
      </c>
      <c r="DD357" s="3024" t="str">
        <f t="shared" si="111"/>
        <v/>
      </c>
      <c r="DE357" s="3025" t="str">
        <f t="shared" si="112"/>
        <v>-</v>
      </c>
      <c r="DF357" s="3024" t="str">
        <f t="shared" si="103"/>
        <v>-</v>
      </c>
      <c r="DG357" s="2098">
        <f t="shared" si="113"/>
        <v>0</v>
      </c>
      <c r="DH357" s="2098">
        <f t="array" ref="DH357">MIN(SUMPRODUCT(I357:CR357,IF($I$25:$CR$25="yes",1,0),$I$23:$CR$23),H357)</f>
        <v>0</v>
      </c>
      <c r="DI357" s="3026"/>
      <c r="DJ357" s="3021"/>
      <c r="DN357" s="917" t="str">
        <f>IF(CS357="","-",SUMIF('Lighting Assumptions'!$G$3:$G$112,'6a - Lighting Counts'!G357,'Lighting Assumptions'!$J$3:$J$112))</f>
        <v>-</v>
      </c>
      <c r="DO357" s="917" t="str">
        <f t="shared" si="104"/>
        <v>-</v>
      </c>
      <c r="DP357" s="917" t="str">
        <f t="shared" si="105"/>
        <v>-</v>
      </c>
      <c r="DQ357" s="917" t="str">
        <f>IF(LEFT(CELLformula(DF357),3)&lt;&gt;"=IF",1,"")</f>
        <v/>
      </c>
      <c r="DR357" s="917" t="str">
        <f>IF(LEFT(CELLformula(DD357),3)&lt;&gt;"=IF",1,"")</f>
        <v/>
      </c>
      <c r="DS357" s="3048">
        <f t="shared" si="114"/>
        <v>0</v>
      </c>
      <c r="DT357" s="3047" t="str">
        <f t="shared" si="115"/>
        <v/>
      </c>
      <c r="DU357" s="3047" t="str">
        <f>IFERROR(IF(G357="","",SUMIF('Lighting Assumptions'!$G$3:$G$112,'6a - Lighting Counts'!G357,'Lighting Assumptions'!$H$3:$H$112)*IF(SI_IP_Units="SI",10.76,1)),"")</f>
        <v/>
      </c>
      <c r="DV357" s="3047" t="str">
        <f>IFERROR(IF($CX357="","",IF(SI_IP_Units="SI",10.76,1)*SUMIF(BAMCategories,$CY357,'Lighting Assumptions'!$E$3:E$35)),"")</f>
        <v/>
      </c>
      <c r="DW357" s="3047" t="str">
        <f>IFERROR(IF($CX357="","",IF(SI_IP_Units="SI",10.76,1)*SUMIF(BAMCategories,$CY357,IF(bpf_reference="ACP",'Lighting Assumptions 90.1-2010'!$E$3:E$35,'Lighting Assumptions 90.1-2016'!$E$3:E$35))),"")</f>
        <v/>
      </c>
      <c r="EW357" s="855"/>
      <c r="EX357" s="855"/>
      <c r="EY357" s="855"/>
      <c r="EZ357" s="855"/>
    </row>
    <row r="358" spans="4:156" x14ac:dyDescent="0.25">
      <c r="D358" s="3019"/>
      <c r="E358" s="3020"/>
      <c r="F358" s="3021">
        <f t="shared" si="102"/>
        <v>0</v>
      </c>
      <c r="G358" s="3059"/>
      <c r="H358" s="3060"/>
      <c r="I358" s="3061"/>
      <c r="J358" s="3061"/>
      <c r="K358" s="3061"/>
      <c r="L358" s="3061"/>
      <c r="M358" s="3061"/>
      <c r="N358" s="3061"/>
      <c r="O358" s="3061"/>
      <c r="P358" s="3061"/>
      <c r="Q358" s="3061"/>
      <c r="R358" s="3061"/>
      <c r="S358" s="3061"/>
      <c r="T358" s="3061"/>
      <c r="U358" s="3061"/>
      <c r="V358" s="3061"/>
      <c r="W358" s="3061"/>
      <c r="X358" s="3061"/>
      <c r="Y358" s="3061"/>
      <c r="Z358" s="3061"/>
      <c r="AA358" s="3061"/>
      <c r="AB358" s="3061"/>
      <c r="AC358" s="3061"/>
      <c r="AD358" s="3061"/>
      <c r="AE358" s="3061"/>
      <c r="AF358" s="3061"/>
      <c r="AG358" s="3061"/>
      <c r="AH358" s="3061"/>
      <c r="AI358" s="3061"/>
      <c r="AJ358" s="3061"/>
      <c r="AK358" s="3061"/>
      <c r="AL358" s="3061"/>
      <c r="AM358" s="3061"/>
      <c r="AN358" s="3061"/>
      <c r="AO358" s="3061"/>
      <c r="AP358" s="3061"/>
      <c r="AQ358" s="3061"/>
      <c r="AR358" s="3061"/>
      <c r="AS358" s="3061"/>
      <c r="AT358" s="3061"/>
      <c r="AU358" s="3061"/>
      <c r="AV358" s="3061"/>
      <c r="AW358" s="3061"/>
      <c r="AX358" s="3061"/>
      <c r="AY358" s="3061"/>
      <c r="AZ358" s="3061"/>
      <c r="BA358" s="3061"/>
      <c r="BB358" s="3061"/>
      <c r="BC358" s="3061"/>
      <c r="BD358" s="3061"/>
      <c r="BE358" s="3061"/>
      <c r="BF358" s="3061"/>
      <c r="BG358" s="3061"/>
      <c r="BH358" s="3061"/>
      <c r="BI358" s="3061"/>
      <c r="BJ358" s="3061"/>
      <c r="BK358" s="3061"/>
      <c r="BL358" s="3061"/>
      <c r="BM358" s="3061"/>
      <c r="BN358" s="3061"/>
      <c r="BO358" s="3061"/>
      <c r="BP358" s="3061"/>
      <c r="BQ358" s="3061"/>
      <c r="BR358" s="3061"/>
      <c r="BS358" s="3061"/>
      <c r="BT358" s="3061"/>
      <c r="BU358" s="3061"/>
      <c r="BV358" s="3061"/>
      <c r="BW358" s="3061"/>
      <c r="BX358" s="3061"/>
      <c r="BY358" s="3061"/>
      <c r="BZ358" s="3061"/>
      <c r="CA358" s="3061"/>
      <c r="CB358" s="3061"/>
      <c r="CC358" s="3061"/>
      <c r="CD358" s="3061"/>
      <c r="CE358" s="3061"/>
      <c r="CF358" s="3061"/>
      <c r="CG358" s="3061"/>
      <c r="CH358" s="3061"/>
      <c r="CI358" s="3061"/>
      <c r="CJ358" s="3061"/>
      <c r="CK358" s="3061"/>
      <c r="CL358" s="3061"/>
      <c r="CM358" s="3061"/>
      <c r="CN358" s="3061"/>
      <c r="CO358" s="3061"/>
      <c r="CP358" s="3061"/>
      <c r="CQ358" s="3061"/>
      <c r="CR358" s="3061"/>
      <c r="CS358" s="3062"/>
      <c r="CT358" s="3063"/>
      <c r="CU358" s="3064">
        <f t="shared" si="106"/>
        <v>1</v>
      </c>
      <c r="CV358" s="3022" t="str">
        <f>IF(OR(CT358="",CT358="None"),"-",DO358*CU358*SUMIF('Lighting Assumptions'!$G$3:$G$112,'6a - Lighting Counts'!G358,'Lighting Assumptions'!$J$3:$J$112))</f>
        <v>-</v>
      </c>
      <c r="CW358" s="3021"/>
      <c r="CX358" s="3021"/>
      <c r="CY358" s="3046"/>
      <c r="CZ358" s="2098">
        <f t="shared" si="107"/>
        <v>0</v>
      </c>
      <c r="DA358" s="2098" t="str">
        <f t="shared" si="108"/>
        <v>-</v>
      </c>
      <c r="DB358" s="2098">
        <f t="shared" si="109"/>
        <v>0</v>
      </c>
      <c r="DC358" s="3023" t="str">
        <f t="shared" si="110"/>
        <v>-</v>
      </c>
      <c r="DD358" s="3024" t="str">
        <f t="shared" si="111"/>
        <v/>
      </c>
      <c r="DE358" s="3025" t="str">
        <f t="shared" si="112"/>
        <v>-</v>
      </c>
      <c r="DF358" s="3024" t="str">
        <f t="shared" si="103"/>
        <v>-</v>
      </c>
      <c r="DG358" s="2098">
        <f t="shared" si="113"/>
        <v>0</v>
      </c>
      <c r="DH358" s="2098">
        <f t="array" ref="DH358">MIN(SUMPRODUCT(I358:CR358,IF($I$25:$CR$25="yes",1,0),$I$23:$CR$23),H358)</f>
        <v>0</v>
      </c>
      <c r="DI358" s="3026"/>
      <c r="DJ358" s="3021"/>
      <c r="DN358" s="917" t="str">
        <f>IF(CS358="","-",SUMIF('Lighting Assumptions'!$G$3:$G$112,'6a - Lighting Counts'!G358,'Lighting Assumptions'!$J$3:$J$112))</f>
        <v>-</v>
      </c>
      <c r="DO358" s="917" t="str">
        <f t="shared" si="104"/>
        <v>-</v>
      </c>
      <c r="DP358" s="917" t="str">
        <f t="shared" si="105"/>
        <v>-</v>
      </c>
      <c r="DQ358" s="917" t="str">
        <f>IF(LEFT(CELLformula(DF358),3)&lt;&gt;"=IF",1,"")</f>
        <v/>
      </c>
      <c r="DR358" s="917" t="str">
        <f>IF(LEFT(CELLformula(DD358),3)&lt;&gt;"=IF",1,"")</f>
        <v/>
      </c>
      <c r="DS358" s="3048">
        <f t="shared" si="114"/>
        <v>0</v>
      </c>
      <c r="DT358" s="3047" t="str">
        <f t="shared" si="115"/>
        <v/>
      </c>
      <c r="DU358" s="3047" t="str">
        <f>IFERROR(IF(G358="","",SUMIF('Lighting Assumptions'!$G$3:$G$112,'6a - Lighting Counts'!G358,'Lighting Assumptions'!$H$3:$H$112)*IF(SI_IP_Units="SI",10.76,1)),"")</f>
        <v/>
      </c>
      <c r="DV358" s="3047" t="str">
        <f>IFERROR(IF($CX358="","",IF(SI_IP_Units="SI",10.76,1)*SUMIF(BAMCategories,$CY358,'Lighting Assumptions'!$E$3:E$35)),"")</f>
        <v/>
      </c>
      <c r="DW358" s="3047" t="str">
        <f>IFERROR(IF($CX358="","",IF(SI_IP_Units="SI",10.76,1)*SUMIF(BAMCategories,$CY358,IF(bpf_reference="ACP",'Lighting Assumptions 90.1-2010'!$E$3:E$35,'Lighting Assumptions 90.1-2016'!$E$3:E$35))),"")</f>
        <v/>
      </c>
      <c r="EW358" s="855"/>
      <c r="EX358" s="855"/>
      <c r="EY358" s="855"/>
      <c r="EZ358" s="855"/>
    </row>
    <row r="359" spans="4:156" x14ac:dyDescent="0.25">
      <c r="D359" s="3019"/>
      <c r="E359" s="3020"/>
      <c r="F359" s="3021">
        <f t="shared" si="102"/>
        <v>0</v>
      </c>
      <c r="G359" s="3059"/>
      <c r="H359" s="3060"/>
      <c r="I359" s="3061"/>
      <c r="J359" s="3061"/>
      <c r="K359" s="3061"/>
      <c r="L359" s="3061"/>
      <c r="M359" s="3061"/>
      <c r="N359" s="3061"/>
      <c r="O359" s="3061"/>
      <c r="P359" s="3061"/>
      <c r="Q359" s="3061"/>
      <c r="R359" s="3061"/>
      <c r="S359" s="3061"/>
      <c r="T359" s="3061"/>
      <c r="U359" s="3061"/>
      <c r="V359" s="3061"/>
      <c r="W359" s="3061"/>
      <c r="X359" s="3061"/>
      <c r="Y359" s="3061"/>
      <c r="Z359" s="3061"/>
      <c r="AA359" s="3061"/>
      <c r="AB359" s="3061"/>
      <c r="AC359" s="3061"/>
      <c r="AD359" s="3061"/>
      <c r="AE359" s="3061"/>
      <c r="AF359" s="3061"/>
      <c r="AG359" s="3061"/>
      <c r="AH359" s="3061"/>
      <c r="AI359" s="3061"/>
      <c r="AJ359" s="3061"/>
      <c r="AK359" s="3061"/>
      <c r="AL359" s="3061"/>
      <c r="AM359" s="3061"/>
      <c r="AN359" s="3061"/>
      <c r="AO359" s="3061"/>
      <c r="AP359" s="3061"/>
      <c r="AQ359" s="3061"/>
      <c r="AR359" s="3061"/>
      <c r="AS359" s="3061"/>
      <c r="AT359" s="3061"/>
      <c r="AU359" s="3061"/>
      <c r="AV359" s="3061"/>
      <c r="AW359" s="3061"/>
      <c r="AX359" s="3061"/>
      <c r="AY359" s="3061"/>
      <c r="AZ359" s="3061"/>
      <c r="BA359" s="3061"/>
      <c r="BB359" s="3061"/>
      <c r="BC359" s="3061"/>
      <c r="BD359" s="3061"/>
      <c r="BE359" s="3061"/>
      <c r="BF359" s="3061"/>
      <c r="BG359" s="3061"/>
      <c r="BH359" s="3061"/>
      <c r="BI359" s="3061"/>
      <c r="BJ359" s="3061"/>
      <c r="BK359" s="3061"/>
      <c r="BL359" s="3061"/>
      <c r="BM359" s="3061"/>
      <c r="BN359" s="3061"/>
      <c r="BO359" s="3061"/>
      <c r="BP359" s="3061"/>
      <c r="BQ359" s="3061"/>
      <c r="BR359" s="3061"/>
      <c r="BS359" s="3061"/>
      <c r="BT359" s="3061"/>
      <c r="BU359" s="3061"/>
      <c r="BV359" s="3061"/>
      <c r="BW359" s="3061"/>
      <c r="BX359" s="3061"/>
      <c r="BY359" s="3061"/>
      <c r="BZ359" s="3061"/>
      <c r="CA359" s="3061"/>
      <c r="CB359" s="3061"/>
      <c r="CC359" s="3061"/>
      <c r="CD359" s="3061"/>
      <c r="CE359" s="3061"/>
      <c r="CF359" s="3061"/>
      <c r="CG359" s="3061"/>
      <c r="CH359" s="3061"/>
      <c r="CI359" s="3061"/>
      <c r="CJ359" s="3061"/>
      <c r="CK359" s="3061"/>
      <c r="CL359" s="3061"/>
      <c r="CM359" s="3061"/>
      <c r="CN359" s="3061"/>
      <c r="CO359" s="3061"/>
      <c r="CP359" s="3061"/>
      <c r="CQ359" s="3061"/>
      <c r="CR359" s="3061"/>
      <c r="CS359" s="3062"/>
      <c r="CT359" s="3063"/>
      <c r="CU359" s="3064">
        <f t="shared" si="106"/>
        <v>1</v>
      </c>
      <c r="CV359" s="3022" t="str">
        <f>IF(OR(CT359="",CT359="None"),"-",DO359*CU359*SUMIF('Lighting Assumptions'!$G$3:$G$112,'6a - Lighting Counts'!G359,'Lighting Assumptions'!$J$3:$J$112))</f>
        <v>-</v>
      </c>
      <c r="CW359" s="3021"/>
      <c r="CX359" s="3021"/>
      <c r="CY359" s="3046"/>
      <c r="CZ359" s="2098">
        <f t="shared" si="107"/>
        <v>0</v>
      </c>
      <c r="DA359" s="2098" t="str">
        <f t="shared" si="108"/>
        <v>-</v>
      </c>
      <c r="DB359" s="2098">
        <f t="shared" si="109"/>
        <v>0</v>
      </c>
      <c r="DC359" s="3023" t="str">
        <f t="shared" si="110"/>
        <v>-</v>
      </c>
      <c r="DD359" s="3024" t="str">
        <f t="shared" si="111"/>
        <v/>
      </c>
      <c r="DE359" s="3025" t="str">
        <f t="shared" si="112"/>
        <v>-</v>
      </c>
      <c r="DF359" s="3024" t="str">
        <f t="shared" si="103"/>
        <v>-</v>
      </c>
      <c r="DG359" s="2098">
        <f t="shared" si="113"/>
        <v>0</v>
      </c>
      <c r="DH359" s="2098">
        <f t="array" ref="DH359">MIN(SUMPRODUCT(I359:CR359,IF($I$25:$CR$25="yes",1,0),$I$23:$CR$23),H359)</f>
        <v>0</v>
      </c>
      <c r="DI359" s="3026"/>
      <c r="DJ359" s="3021"/>
      <c r="DN359" s="917" t="str">
        <f>IF(CS359="","-",SUMIF('Lighting Assumptions'!$G$3:$G$112,'6a - Lighting Counts'!G359,'Lighting Assumptions'!$J$3:$J$112))</f>
        <v>-</v>
      </c>
      <c r="DO359" s="917" t="str">
        <f t="shared" si="104"/>
        <v>-</v>
      </c>
      <c r="DP359" s="917" t="str">
        <f t="shared" si="105"/>
        <v>-</v>
      </c>
      <c r="DQ359" s="917" t="str">
        <f>IF(LEFT(CELLformula(DF359),3)&lt;&gt;"=IF",1,"")</f>
        <v/>
      </c>
      <c r="DR359" s="917" t="str">
        <f>IF(LEFT(CELLformula(DD359),3)&lt;&gt;"=IF",1,"")</f>
        <v/>
      </c>
      <c r="DS359" s="3048">
        <f t="shared" si="114"/>
        <v>0</v>
      </c>
      <c r="DT359" s="3047" t="str">
        <f t="shared" si="115"/>
        <v/>
      </c>
      <c r="DU359" s="3047" t="str">
        <f>IFERROR(IF(G359="","",SUMIF('Lighting Assumptions'!$G$3:$G$112,'6a - Lighting Counts'!G359,'Lighting Assumptions'!$H$3:$H$112)*IF(SI_IP_Units="SI",10.76,1)),"")</f>
        <v/>
      </c>
      <c r="DV359" s="3047" t="str">
        <f>IFERROR(IF($CX359="","",IF(SI_IP_Units="SI",10.76,1)*SUMIF(BAMCategories,$CY359,'Lighting Assumptions'!$E$3:E$35)),"")</f>
        <v/>
      </c>
      <c r="DW359" s="3047" t="str">
        <f>IFERROR(IF($CX359="","",IF(SI_IP_Units="SI",10.76,1)*SUMIF(BAMCategories,$CY359,IF(bpf_reference="ACP",'Lighting Assumptions 90.1-2010'!$E$3:E$35,'Lighting Assumptions 90.1-2016'!$E$3:E$35))),"")</f>
        <v/>
      </c>
      <c r="EW359" s="855"/>
      <c r="EX359" s="855"/>
      <c r="EY359" s="855"/>
      <c r="EZ359" s="855"/>
    </row>
    <row r="360" spans="4:156" x14ac:dyDescent="0.25">
      <c r="D360" s="3019"/>
      <c r="E360" s="3020"/>
      <c r="F360" s="3021">
        <f t="shared" si="102"/>
        <v>0</v>
      </c>
      <c r="G360" s="3059"/>
      <c r="H360" s="3060"/>
      <c r="I360" s="3061"/>
      <c r="J360" s="3061"/>
      <c r="K360" s="3061"/>
      <c r="L360" s="3061"/>
      <c r="M360" s="3061"/>
      <c r="N360" s="3061"/>
      <c r="O360" s="3061"/>
      <c r="P360" s="3061"/>
      <c r="Q360" s="3061"/>
      <c r="R360" s="3061"/>
      <c r="S360" s="3061"/>
      <c r="T360" s="3061"/>
      <c r="U360" s="3061"/>
      <c r="V360" s="3061"/>
      <c r="W360" s="3061"/>
      <c r="X360" s="3061"/>
      <c r="Y360" s="3061"/>
      <c r="Z360" s="3061"/>
      <c r="AA360" s="3061"/>
      <c r="AB360" s="3061"/>
      <c r="AC360" s="3061"/>
      <c r="AD360" s="3061"/>
      <c r="AE360" s="3061"/>
      <c r="AF360" s="3061"/>
      <c r="AG360" s="3061"/>
      <c r="AH360" s="3061"/>
      <c r="AI360" s="3061"/>
      <c r="AJ360" s="3061"/>
      <c r="AK360" s="3061"/>
      <c r="AL360" s="3061"/>
      <c r="AM360" s="3061"/>
      <c r="AN360" s="3061"/>
      <c r="AO360" s="3061"/>
      <c r="AP360" s="3061"/>
      <c r="AQ360" s="3061"/>
      <c r="AR360" s="3061"/>
      <c r="AS360" s="3061"/>
      <c r="AT360" s="3061"/>
      <c r="AU360" s="3061"/>
      <c r="AV360" s="3061"/>
      <c r="AW360" s="3061"/>
      <c r="AX360" s="3061"/>
      <c r="AY360" s="3061"/>
      <c r="AZ360" s="3061"/>
      <c r="BA360" s="3061"/>
      <c r="BB360" s="3061"/>
      <c r="BC360" s="3061"/>
      <c r="BD360" s="3061"/>
      <c r="BE360" s="3061"/>
      <c r="BF360" s="3061"/>
      <c r="BG360" s="3061"/>
      <c r="BH360" s="3061"/>
      <c r="BI360" s="3061"/>
      <c r="BJ360" s="3061"/>
      <c r="BK360" s="3061"/>
      <c r="BL360" s="3061"/>
      <c r="BM360" s="3061"/>
      <c r="BN360" s="3061"/>
      <c r="BO360" s="3061"/>
      <c r="BP360" s="3061"/>
      <c r="BQ360" s="3061"/>
      <c r="BR360" s="3061"/>
      <c r="BS360" s="3061"/>
      <c r="BT360" s="3061"/>
      <c r="BU360" s="3061"/>
      <c r="BV360" s="3061"/>
      <c r="BW360" s="3061"/>
      <c r="BX360" s="3061"/>
      <c r="BY360" s="3061"/>
      <c r="BZ360" s="3061"/>
      <c r="CA360" s="3061"/>
      <c r="CB360" s="3061"/>
      <c r="CC360" s="3061"/>
      <c r="CD360" s="3061"/>
      <c r="CE360" s="3061"/>
      <c r="CF360" s="3061"/>
      <c r="CG360" s="3061"/>
      <c r="CH360" s="3061"/>
      <c r="CI360" s="3061"/>
      <c r="CJ360" s="3061"/>
      <c r="CK360" s="3061"/>
      <c r="CL360" s="3061"/>
      <c r="CM360" s="3061"/>
      <c r="CN360" s="3061"/>
      <c r="CO360" s="3061"/>
      <c r="CP360" s="3061"/>
      <c r="CQ360" s="3061"/>
      <c r="CR360" s="3061"/>
      <c r="CS360" s="3062"/>
      <c r="CT360" s="3063"/>
      <c r="CU360" s="3064">
        <f t="shared" si="106"/>
        <v>1</v>
      </c>
      <c r="CV360" s="3022" t="str">
        <f>IF(OR(CT360="",CT360="None"),"-",DO360*CU360*SUMIF('Lighting Assumptions'!$G$3:$G$112,'6a - Lighting Counts'!G360,'Lighting Assumptions'!$J$3:$J$112))</f>
        <v>-</v>
      </c>
      <c r="CW360" s="3021"/>
      <c r="CX360" s="3021"/>
      <c r="CY360" s="3046"/>
      <c r="CZ360" s="2098">
        <f t="shared" si="107"/>
        <v>0</v>
      </c>
      <c r="DA360" s="2098" t="str">
        <f t="shared" si="108"/>
        <v>-</v>
      </c>
      <c r="DB360" s="2098">
        <f t="shared" si="109"/>
        <v>0</v>
      </c>
      <c r="DC360" s="3023" t="str">
        <f t="shared" si="110"/>
        <v>-</v>
      </c>
      <c r="DD360" s="3024" t="str">
        <f t="shared" si="111"/>
        <v/>
      </c>
      <c r="DE360" s="3025" t="str">
        <f t="shared" si="112"/>
        <v>-</v>
      </c>
      <c r="DF360" s="3024" t="str">
        <f t="shared" si="103"/>
        <v>-</v>
      </c>
      <c r="DG360" s="2098">
        <f t="shared" si="113"/>
        <v>0</v>
      </c>
      <c r="DH360" s="2098">
        <f t="array" ref="DH360">MIN(SUMPRODUCT(I360:CR360,IF($I$25:$CR$25="yes",1,0),$I$23:$CR$23),H360)</f>
        <v>0</v>
      </c>
      <c r="DI360" s="3026"/>
      <c r="DJ360" s="3021"/>
      <c r="DN360" s="917" t="str">
        <f>IF(CS360="","-",SUMIF('Lighting Assumptions'!$G$3:$G$112,'6a - Lighting Counts'!G360,'Lighting Assumptions'!$J$3:$J$112))</f>
        <v>-</v>
      </c>
      <c r="DO360" s="917" t="str">
        <f t="shared" si="104"/>
        <v>-</v>
      </c>
      <c r="DP360" s="917" t="str">
        <f t="shared" si="105"/>
        <v>-</v>
      </c>
      <c r="DQ360" s="917" t="str">
        <f>IF(LEFT(CELLformula(DF360),3)&lt;&gt;"=IF",1,"")</f>
        <v/>
      </c>
      <c r="DR360" s="917" t="str">
        <f>IF(LEFT(CELLformula(DD360),3)&lt;&gt;"=IF",1,"")</f>
        <v/>
      </c>
      <c r="DS360" s="3048">
        <f t="shared" si="114"/>
        <v>0</v>
      </c>
      <c r="DT360" s="3047" t="str">
        <f t="shared" si="115"/>
        <v/>
      </c>
      <c r="DU360" s="3047" t="str">
        <f>IFERROR(IF(G360="","",SUMIF('Lighting Assumptions'!$G$3:$G$112,'6a - Lighting Counts'!G360,'Lighting Assumptions'!$H$3:$H$112)*IF(SI_IP_Units="SI",10.76,1)),"")</f>
        <v/>
      </c>
      <c r="DV360" s="3047" t="str">
        <f>IFERROR(IF($CX360="","",IF(SI_IP_Units="SI",10.76,1)*SUMIF(BAMCategories,$CY360,'Lighting Assumptions'!$E$3:E$35)),"")</f>
        <v/>
      </c>
      <c r="DW360" s="3047" t="str">
        <f>IFERROR(IF($CX360="","",IF(SI_IP_Units="SI",10.76,1)*SUMIF(BAMCategories,$CY360,IF(bpf_reference="ACP",'Lighting Assumptions 90.1-2010'!$E$3:E$35,'Lighting Assumptions 90.1-2016'!$E$3:E$35))),"")</f>
        <v/>
      </c>
      <c r="EW360" s="855"/>
      <c r="EX360" s="855"/>
      <c r="EY360" s="855"/>
      <c r="EZ360" s="855"/>
    </row>
    <row r="361" spans="4:156" x14ac:dyDescent="0.25">
      <c r="D361" s="3019"/>
      <c r="E361" s="3020"/>
      <c r="F361" s="3021">
        <f t="shared" si="102"/>
        <v>0</v>
      </c>
      <c r="G361" s="3059"/>
      <c r="H361" s="3060"/>
      <c r="I361" s="3061"/>
      <c r="J361" s="3061"/>
      <c r="K361" s="3061"/>
      <c r="L361" s="3061"/>
      <c r="M361" s="3061"/>
      <c r="N361" s="3061"/>
      <c r="O361" s="3061"/>
      <c r="P361" s="3061"/>
      <c r="Q361" s="3061"/>
      <c r="R361" s="3061"/>
      <c r="S361" s="3061"/>
      <c r="T361" s="3061"/>
      <c r="U361" s="3061"/>
      <c r="V361" s="3061"/>
      <c r="W361" s="3061"/>
      <c r="X361" s="3061"/>
      <c r="Y361" s="3061"/>
      <c r="Z361" s="3061"/>
      <c r="AA361" s="3061"/>
      <c r="AB361" s="3061"/>
      <c r="AC361" s="3061"/>
      <c r="AD361" s="3061"/>
      <c r="AE361" s="3061"/>
      <c r="AF361" s="3061"/>
      <c r="AG361" s="3061"/>
      <c r="AH361" s="3061"/>
      <c r="AI361" s="3061"/>
      <c r="AJ361" s="3061"/>
      <c r="AK361" s="3061"/>
      <c r="AL361" s="3061"/>
      <c r="AM361" s="3061"/>
      <c r="AN361" s="3061"/>
      <c r="AO361" s="3061"/>
      <c r="AP361" s="3061"/>
      <c r="AQ361" s="3061"/>
      <c r="AR361" s="3061"/>
      <c r="AS361" s="3061"/>
      <c r="AT361" s="3061"/>
      <c r="AU361" s="3061"/>
      <c r="AV361" s="3061"/>
      <c r="AW361" s="3061"/>
      <c r="AX361" s="3061"/>
      <c r="AY361" s="3061"/>
      <c r="AZ361" s="3061"/>
      <c r="BA361" s="3061"/>
      <c r="BB361" s="3061"/>
      <c r="BC361" s="3061"/>
      <c r="BD361" s="3061"/>
      <c r="BE361" s="3061"/>
      <c r="BF361" s="3061"/>
      <c r="BG361" s="3061"/>
      <c r="BH361" s="3061"/>
      <c r="BI361" s="3061"/>
      <c r="BJ361" s="3061"/>
      <c r="BK361" s="3061"/>
      <c r="BL361" s="3061"/>
      <c r="BM361" s="3061"/>
      <c r="BN361" s="3061"/>
      <c r="BO361" s="3061"/>
      <c r="BP361" s="3061"/>
      <c r="BQ361" s="3061"/>
      <c r="BR361" s="3061"/>
      <c r="BS361" s="3061"/>
      <c r="BT361" s="3061"/>
      <c r="BU361" s="3061"/>
      <c r="BV361" s="3061"/>
      <c r="BW361" s="3061"/>
      <c r="BX361" s="3061"/>
      <c r="BY361" s="3061"/>
      <c r="BZ361" s="3061"/>
      <c r="CA361" s="3061"/>
      <c r="CB361" s="3061"/>
      <c r="CC361" s="3061"/>
      <c r="CD361" s="3061"/>
      <c r="CE361" s="3061"/>
      <c r="CF361" s="3061"/>
      <c r="CG361" s="3061"/>
      <c r="CH361" s="3061"/>
      <c r="CI361" s="3061"/>
      <c r="CJ361" s="3061"/>
      <c r="CK361" s="3061"/>
      <c r="CL361" s="3061"/>
      <c r="CM361" s="3061"/>
      <c r="CN361" s="3061"/>
      <c r="CO361" s="3061"/>
      <c r="CP361" s="3061"/>
      <c r="CQ361" s="3061"/>
      <c r="CR361" s="3061"/>
      <c r="CS361" s="3062"/>
      <c r="CT361" s="3063"/>
      <c r="CU361" s="3064">
        <f t="shared" si="106"/>
        <v>1</v>
      </c>
      <c r="CV361" s="3022" t="str">
        <f>IF(OR(CT361="",CT361="None"),"-",DO361*CU361*SUMIF('Lighting Assumptions'!$G$3:$G$112,'6a - Lighting Counts'!G361,'Lighting Assumptions'!$J$3:$J$112))</f>
        <v>-</v>
      </c>
      <c r="CW361" s="3021"/>
      <c r="CX361" s="3021"/>
      <c r="CY361" s="3046"/>
      <c r="CZ361" s="2098">
        <f t="shared" si="107"/>
        <v>0</v>
      </c>
      <c r="DA361" s="2098" t="str">
        <f t="shared" si="108"/>
        <v>-</v>
      </c>
      <c r="DB361" s="2098">
        <f t="shared" si="109"/>
        <v>0</v>
      </c>
      <c r="DC361" s="3023" t="str">
        <f t="shared" si="110"/>
        <v>-</v>
      </c>
      <c r="DD361" s="3024" t="str">
        <f t="shared" si="111"/>
        <v/>
      </c>
      <c r="DE361" s="3025" t="str">
        <f t="shared" si="112"/>
        <v>-</v>
      </c>
      <c r="DF361" s="3024" t="str">
        <f t="shared" si="103"/>
        <v>-</v>
      </c>
      <c r="DG361" s="2098">
        <f t="shared" si="113"/>
        <v>0</v>
      </c>
      <c r="DH361" s="2098">
        <f t="array" ref="DH361">MIN(SUMPRODUCT(I361:CR361,IF($I$25:$CR$25="yes",1,0),$I$23:$CR$23),H361)</f>
        <v>0</v>
      </c>
      <c r="DI361" s="3026"/>
      <c r="DJ361" s="3021"/>
      <c r="DN361" s="917" t="str">
        <f>IF(CS361="","-",SUMIF('Lighting Assumptions'!$G$3:$G$112,'6a - Lighting Counts'!G361,'Lighting Assumptions'!$J$3:$J$112))</f>
        <v>-</v>
      </c>
      <c r="DO361" s="917" t="str">
        <f t="shared" si="104"/>
        <v>-</v>
      </c>
      <c r="DP361" s="917" t="str">
        <f t="shared" si="105"/>
        <v>-</v>
      </c>
      <c r="DQ361" s="917" t="str">
        <f>IF(LEFT(CELLformula(DF361),3)&lt;&gt;"=IF",1,"")</f>
        <v/>
      </c>
      <c r="DR361" s="917" t="str">
        <f>IF(LEFT(CELLformula(DD361),3)&lt;&gt;"=IF",1,"")</f>
        <v/>
      </c>
      <c r="DS361" s="3048">
        <f t="shared" si="114"/>
        <v>0</v>
      </c>
      <c r="DT361" s="3047" t="str">
        <f t="shared" si="115"/>
        <v/>
      </c>
      <c r="DU361" s="3047" t="str">
        <f>IFERROR(IF(G361="","",SUMIF('Lighting Assumptions'!$G$3:$G$112,'6a - Lighting Counts'!G361,'Lighting Assumptions'!$H$3:$H$112)*IF(SI_IP_Units="SI",10.76,1)),"")</f>
        <v/>
      </c>
      <c r="DV361" s="3047" t="str">
        <f>IFERROR(IF($CX361="","",IF(SI_IP_Units="SI",10.76,1)*SUMIF(BAMCategories,$CY361,'Lighting Assumptions'!$E$3:E$35)),"")</f>
        <v/>
      </c>
      <c r="DW361" s="3047" t="str">
        <f>IFERROR(IF($CX361="","",IF(SI_IP_Units="SI",10.76,1)*SUMIF(BAMCategories,$CY361,IF(bpf_reference="ACP",'Lighting Assumptions 90.1-2010'!$E$3:E$35,'Lighting Assumptions 90.1-2016'!$E$3:E$35))),"")</f>
        <v/>
      </c>
      <c r="EW361" s="855"/>
      <c r="EX361" s="855"/>
      <c r="EY361" s="855"/>
      <c r="EZ361" s="855"/>
    </row>
    <row r="362" spans="4:156" x14ac:dyDescent="0.25">
      <c r="D362" s="3019"/>
      <c r="E362" s="3020"/>
      <c r="F362" s="3021">
        <f t="shared" si="102"/>
        <v>0</v>
      </c>
      <c r="G362" s="3059"/>
      <c r="H362" s="3060"/>
      <c r="I362" s="3061"/>
      <c r="J362" s="3061"/>
      <c r="K362" s="3061"/>
      <c r="L362" s="3061"/>
      <c r="M362" s="3061"/>
      <c r="N362" s="3061"/>
      <c r="O362" s="3061"/>
      <c r="P362" s="3061"/>
      <c r="Q362" s="3061"/>
      <c r="R362" s="3061"/>
      <c r="S362" s="3061"/>
      <c r="T362" s="3061"/>
      <c r="U362" s="3061"/>
      <c r="V362" s="3061"/>
      <c r="W362" s="3061"/>
      <c r="X362" s="3061"/>
      <c r="Y362" s="3061"/>
      <c r="Z362" s="3061"/>
      <c r="AA362" s="3061"/>
      <c r="AB362" s="3061"/>
      <c r="AC362" s="3061"/>
      <c r="AD362" s="3061"/>
      <c r="AE362" s="3061"/>
      <c r="AF362" s="3061"/>
      <c r="AG362" s="3061"/>
      <c r="AH362" s="3061"/>
      <c r="AI362" s="3061"/>
      <c r="AJ362" s="3061"/>
      <c r="AK362" s="3061"/>
      <c r="AL362" s="3061"/>
      <c r="AM362" s="3061"/>
      <c r="AN362" s="3061"/>
      <c r="AO362" s="3061"/>
      <c r="AP362" s="3061"/>
      <c r="AQ362" s="3061"/>
      <c r="AR362" s="3061"/>
      <c r="AS362" s="3061"/>
      <c r="AT362" s="3061"/>
      <c r="AU362" s="3061"/>
      <c r="AV362" s="3061"/>
      <c r="AW362" s="3061"/>
      <c r="AX362" s="3061"/>
      <c r="AY362" s="3061"/>
      <c r="AZ362" s="3061"/>
      <c r="BA362" s="3061"/>
      <c r="BB362" s="3061"/>
      <c r="BC362" s="3061"/>
      <c r="BD362" s="3061"/>
      <c r="BE362" s="3061"/>
      <c r="BF362" s="3061"/>
      <c r="BG362" s="3061"/>
      <c r="BH362" s="3061"/>
      <c r="BI362" s="3061"/>
      <c r="BJ362" s="3061"/>
      <c r="BK362" s="3061"/>
      <c r="BL362" s="3061"/>
      <c r="BM362" s="3061"/>
      <c r="BN362" s="3061"/>
      <c r="BO362" s="3061"/>
      <c r="BP362" s="3061"/>
      <c r="BQ362" s="3061"/>
      <c r="BR362" s="3061"/>
      <c r="BS362" s="3061"/>
      <c r="BT362" s="3061"/>
      <c r="BU362" s="3061"/>
      <c r="BV362" s="3061"/>
      <c r="BW362" s="3061"/>
      <c r="BX362" s="3061"/>
      <c r="BY362" s="3061"/>
      <c r="BZ362" s="3061"/>
      <c r="CA362" s="3061"/>
      <c r="CB362" s="3061"/>
      <c r="CC362" s="3061"/>
      <c r="CD362" s="3061"/>
      <c r="CE362" s="3061"/>
      <c r="CF362" s="3061"/>
      <c r="CG362" s="3061"/>
      <c r="CH362" s="3061"/>
      <c r="CI362" s="3061"/>
      <c r="CJ362" s="3061"/>
      <c r="CK362" s="3061"/>
      <c r="CL362" s="3061"/>
      <c r="CM362" s="3061"/>
      <c r="CN362" s="3061"/>
      <c r="CO362" s="3061"/>
      <c r="CP362" s="3061"/>
      <c r="CQ362" s="3061"/>
      <c r="CR362" s="3061"/>
      <c r="CS362" s="3062"/>
      <c r="CT362" s="3063"/>
      <c r="CU362" s="3064">
        <f t="shared" si="106"/>
        <v>1</v>
      </c>
      <c r="CV362" s="3022" t="str">
        <f>IF(OR(CT362="",CT362="None"),"-",DO362*CU362*SUMIF('Lighting Assumptions'!$G$3:$G$112,'6a - Lighting Counts'!G362,'Lighting Assumptions'!$J$3:$J$112))</f>
        <v>-</v>
      </c>
      <c r="CW362" s="3021"/>
      <c r="CX362" s="3021"/>
      <c r="CY362" s="3046"/>
      <c r="CZ362" s="2098">
        <f t="shared" si="107"/>
        <v>0</v>
      </c>
      <c r="DA362" s="2098" t="str">
        <f t="shared" si="108"/>
        <v>-</v>
      </c>
      <c r="DB362" s="2098">
        <f t="shared" si="109"/>
        <v>0</v>
      </c>
      <c r="DC362" s="3023" t="str">
        <f t="shared" si="110"/>
        <v>-</v>
      </c>
      <c r="DD362" s="3024" t="str">
        <f t="shared" si="111"/>
        <v/>
      </c>
      <c r="DE362" s="3025" t="str">
        <f t="shared" si="112"/>
        <v>-</v>
      </c>
      <c r="DF362" s="3024" t="str">
        <f t="shared" si="103"/>
        <v>-</v>
      </c>
      <c r="DG362" s="2098">
        <f t="shared" si="113"/>
        <v>0</v>
      </c>
      <c r="DH362" s="2098">
        <f t="array" ref="DH362">MIN(SUMPRODUCT(I362:CR362,IF($I$25:$CR$25="yes",1,0),$I$23:$CR$23),H362)</f>
        <v>0</v>
      </c>
      <c r="DI362" s="3026"/>
      <c r="DJ362" s="3021"/>
      <c r="DN362" s="917" t="str">
        <f>IF(CS362="","-",SUMIF('Lighting Assumptions'!$G$3:$G$112,'6a - Lighting Counts'!G362,'Lighting Assumptions'!$J$3:$J$112))</f>
        <v>-</v>
      </c>
      <c r="DO362" s="917" t="str">
        <f t="shared" si="104"/>
        <v>-</v>
      </c>
      <c r="DP362" s="917" t="str">
        <f t="shared" si="105"/>
        <v>-</v>
      </c>
      <c r="DQ362" s="917" t="str">
        <f>IF(LEFT(CELLformula(DF362),3)&lt;&gt;"=IF",1,"")</f>
        <v/>
      </c>
      <c r="DR362" s="917" t="str">
        <f>IF(LEFT(CELLformula(DD362),3)&lt;&gt;"=IF",1,"")</f>
        <v/>
      </c>
      <c r="DS362" s="3048">
        <f t="shared" si="114"/>
        <v>0</v>
      </c>
      <c r="DT362" s="3047" t="str">
        <f t="shared" si="115"/>
        <v/>
      </c>
      <c r="DU362" s="3047" t="str">
        <f>IFERROR(IF(G362="","",SUMIF('Lighting Assumptions'!$G$3:$G$112,'6a - Lighting Counts'!G362,'Lighting Assumptions'!$H$3:$H$112)*IF(SI_IP_Units="SI",10.76,1)),"")</f>
        <v/>
      </c>
      <c r="DV362" s="3047" t="str">
        <f>IFERROR(IF($CX362="","",IF(SI_IP_Units="SI",10.76,1)*SUMIF(BAMCategories,$CY362,'Lighting Assumptions'!$E$3:E$35)),"")</f>
        <v/>
      </c>
      <c r="DW362" s="3047" t="str">
        <f>IFERROR(IF($CX362="","",IF(SI_IP_Units="SI",10.76,1)*SUMIF(BAMCategories,$CY362,IF(bpf_reference="ACP",'Lighting Assumptions 90.1-2010'!$E$3:E$35,'Lighting Assumptions 90.1-2016'!$E$3:E$35))),"")</f>
        <v/>
      </c>
      <c r="EW362" s="855"/>
      <c r="EX362" s="855"/>
      <c r="EY362" s="855"/>
      <c r="EZ362" s="855"/>
    </row>
    <row r="363" spans="4:156" x14ac:dyDescent="0.25">
      <c r="D363" s="3019"/>
      <c r="E363" s="3020"/>
      <c r="F363" s="3021">
        <f t="shared" si="102"/>
        <v>0</v>
      </c>
      <c r="G363" s="3059"/>
      <c r="H363" s="3060"/>
      <c r="I363" s="3061"/>
      <c r="J363" s="3061"/>
      <c r="K363" s="3061"/>
      <c r="L363" s="3061"/>
      <c r="M363" s="3061"/>
      <c r="N363" s="3061"/>
      <c r="O363" s="3061"/>
      <c r="P363" s="3061"/>
      <c r="Q363" s="3061"/>
      <c r="R363" s="3061"/>
      <c r="S363" s="3061"/>
      <c r="T363" s="3061"/>
      <c r="U363" s="3061"/>
      <c r="V363" s="3061"/>
      <c r="W363" s="3061"/>
      <c r="X363" s="3061"/>
      <c r="Y363" s="3061"/>
      <c r="Z363" s="3061"/>
      <c r="AA363" s="3061"/>
      <c r="AB363" s="3061"/>
      <c r="AC363" s="3061"/>
      <c r="AD363" s="3061"/>
      <c r="AE363" s="3061"/>
      <c r="AF363" s="3061"/>
      <c r="AG363" s="3061"/>
      <c r="AH363" s="3061"/>
      <c r="AI363" s="3061"/>
      <c r="AJ363" s="3061"/>
      <c r="AK363" s="3061"/>
      <c r="AL363" s="3061"/>
      <c r="AM363" s="3061"/>
      <c r="AN363" s="3061"/>
      <c r="AO363" s="3061"/>
      <c r="AP363" s="3061"/>
      <c r="AQ363" s="3061"/>
      <c r="AR363" s="3061"/>
      <c r="AS363" s="3061"/>
      <c r="AT363" s="3061"/>
      <c r="AU363" s="3061"/>
      <c r="AV363" s="3061"/>
      <c r="AW363" s="3061"/>
      <c r="AX363" s="3061"/>
      <c r="AY363" s="3061"/>
      <c r="AZ363" s="3061"/>
      <c r="BA363" s="3061"/>
      <c r="BB363" s="3061"/>
      <c r="BC363" s="3061"/>
      <c r="BD363" s="3061"/>
      <c r="BE363" s="3061"/>
      <c r="BF363" s="3061"/>
      <c r="BG363" s="3061"/>
      <c r="BH363" s="3061"/>
      <c r="BI363" s="3061"/>
      <c r="BJ363" s="3061"/>
      <c r="BK363" s="3061"/>
      <c r="BL363" s="3061"/>
      <c r="BM363" s="3061"/>
      <c r="BN363" s="3061"/>
      <c r="BO363" s="3061"/>
      <c r="BP363" s="3061"/>
      <c r="BQ363" s="3061"/>
      <c r="BR363" s="3061"/>
      <c r="BS363" s="3061"/>
      <c r="BT363" s="3061"/>
      <c r="BU363" s="3061"/>
      <c r="BV363" s="3061"/>
      <c r="BW363" s="3061"/>
      <c r="BX363" s="3061"/>
      <c r="BY363" s="3061"/>
      <c r="BZ363" s="3061"/>
      <c r="CA363" s="3061"/>
      <c r="CB363" s="3061"/>
      <c r="CC363" s="3061"/>
      <c r="CD363" s="3061"/>
      <c r="CE363" s="3061"/>
      <c r="CF363" s="3061"/>
      <c r="CG363" s="3061"/>
      <c r="CH363" s="3061"/>
      <c r="CI363" s="3061"/>
      <c r="CJ363" s="3061"/>
      <c r="CK363" s="3061"/>
      <c r="CL363" s="3061"/>
      <c r="CM363" s="3061"/>
      <c r="CN363" s="3061"/>
      <c r="CO363" s="3061"/>
      <c r="CP363" s="3061"/>
      <c r="CQ363" s="3061"/>
      <c r="CR363" s="3061"/>
      <c r="CS363" s="3062"/>
      <c r="CT363" s="3063"/>
      <c r="CU363" s="3064">
        <f t="shared" si="106"/>
        <v>1</v>
      </c>
      <c r="CV363" s="3022" t="str">
        <f>IF(OR(CT363="",CT363="None"),"-",DO363*CU363*SUMIF('Lighting Assumptions'!$G$3:$G$112,'6a - Lighting Counts'!G363,'Lighting Assumptions'!$J$3:$J$112))</f>
        <v>-</v>
      </c>
      <c r="CW363" s="3021"/>
      <c r="CX363" s="3021"/>
      <c r="CY363" s="3046"/>
      <c r="CZ363" s="2098">
        <f t="shared" si="107"/>
        <v>0</v>
      </c>
      <c r="DA363" s="2098" t="str">
        <f t="shared" si="108"/>
        <v>-</v>
      </c>
      <c r="DB363" s="2098">
        <f t="shared" si="109"/>
        <v>0</v>
      </c>
      <c r="DC363" s="3023" t="str">
        <f t="shared" si="110"/>
        <v>-</v>
      </c>
      <c r="DD363" s="3024" t="str">
        <f t="shared" si="111"/>
        <v/>
      </c>
      <c r="DE363" s="3025" t="str">
        <f t="shared" si="112"/>
        <v>-</v>
      </c>
      <c r="DF363" s="3024" t="str">
        <f t="shared" si="103"/>
        <v>-</v>
      </c>
      <c r="DG363" s="2098">
        <f t="shared" si="113"/>
        <v>0</v>
      </c>
      <c r="DH363" s="2098">
        <f t="array" ref="DH363">MIN(SUMPRODUCT(I363:CR363,IF($I$25:$CR$25="yes",1,0),$I$23:$CR$23),H363)</f>
        <v>0</v>
      </c>
      <c r="DI363" s="3026"/>
      <c r="DJ363" s="3021"/>
      <c r="DN363" s="917" t="str">
        <f>IF(CS363="","-",SUMIF('Lighting Assumptions'!$G$3:$G$112,'6a - Lighting Counts'!G363,'Lighting Assumptions'!$J$3:$J$112))</f>
        <v>-</v>
      </c>
      <c r="DO363" s="917" t="str">
        <f t="shared" si="104"/>
        <v>-</v>
      </c>
      <c r="DP363" s="917" t="str">
        <f t="shared" si="105"/>
        <v>-</v>
      </c>
      <c r="DQ363" s="917" t="str">
        <f>IF(LEFT(CELLformula(DF363),3)&lt;&gt;"=IF",1,"")</f>
        <v/>
      </c>
      <c r="DR363" s="917" t="str">
        <f>IF(LEFT(CELLformula(DD363),3)&lt;&gt;"=IF",1,"")</f>
        <v/>
      </c>
      <c r="DS363" s="3048">
        <f t="shared" si="114"/>
        <v>0</v>
      </c>
      <c r="DT363" s="3047" t="str">
        <f t="shared" si="115"/>
        <v/>
      </c>
      <c r="DU363" s="3047" t="str">
        <f>IFERROR(IF(G363="","",SUMIF('Lighting Assumptions'!$G$3:$G$112,'6a - Lighting Counts'!G363,'Lighting Assumptions'!$H$3:$H$112)*IF(SI_IP_Units="SI",10.76,1)),"")</f>
        <v/>
      </c>
      <c r="DV363" s="3047" t="str">
        <f>IFERROR(IF($CX363="","",IF(SI_IP_Units="SI",10.76,1)*SUMIF(BAMCategories,$CY363,'Lighting Assumptions'!$E$3:E$35)),"")</f>
        <v/>
      </c>
      <c r="DW363" s="3047" t="str">
        <f>IFERROR(IF($CX363="","",IF(SI_IP_Units="SI",10.76,1)*SUMIF(BAMCategories,$CY363,IF(bpf_reference="ACP",'Lighting Assumptions 90.1-2010'!$E$3:E$35,'Lighting Assumptions 90.1-2016'!$E$3:E$35))),"")</f>
        <v/>
      </c>
      <c r="EW363" s="855"/>
      <c r="EX363" s="855"/>
      <c r="EY363" s="855"/>
      <c r="EZ363" s="855"/>
    </row>
    <row r="364" spans="4:156" x14ac:dyDescent="0.25">
      <c r="D364" s="3019"/>
      <c r="E364" s="3020"/>
      <c r="F364" s="3021">
        <f t="shared" si="102"/>
        <v>0</v>
      </c>
      <c r="G364" s="3059"/>
      <c r="H364" s="3060"/>
      <c r="I364" s="3061"/>
      <c r="J364" s="3061"/>
      <c r="K364" s="3061"/>
      <c r="L364" s="3061"/>
      <c r="M364" s="3061"/>
      <c r="N364" s="3061"/>
      <c r="O364" s="3061"/>
      <c r="P364" s="3061"/>
      <c r="Q364" s="3061"/>
      <c r="R364" s="3061"/>
      <c r="S364" s="3061"/>
      <c r="T364" s="3061"/>
      <c r="U364" s="3061"/>
      <c r="V364" s="3061"/>
      <c r="W364" s="3061"/>
      <c r="X364" s="3061"/>
      <c r="Y364" s="3061"/>
      <c r="Z364" s="3061"/>
      <c r="AA364" s="3061"/>
      <c r="AB364" s="3061"/>
      <c r="AC364" s="3061"/>
      <c r="AD364" s="3061"/>
      <c r="AE364" s="3061"/>
      <c r="AF364" s="3061"/>
      <c r="AG364" s="3061"/>
      <c r="AH364" s="3061"/>
      <c r="AI364" s="3061"/>
      <c r="AJ364" s="3061"/>
      <c r="AK364" s="3061"/>
      <c r="AL364" s="3061"/>
      <c r="AM364" s="3061"/>
      <c r="AN364" s="3061"/>
      <c r="AO364" s="3061"/>
      <c r="AP364" s="3061"/>
      <c r="AQ364" s="3061"/>
      <c r="AR364" s="3061"/>
      <c r="AS364" s="3061"/>
      <c r="AT364" s="3061"/>
      <c r="AU364" s="3061"/>
      <c r="AV364" s="3061"/>
      <c r="AW364" s="3061"/>
      <c r="AX364" s="3061"/>
      <c r="AY364" s="3061"/>
      <c r="AZ364" s="3061"/>
      <c r="BA364" s="3061"/>
      <c r="BB364" s="3061"/>
      <c r="BC364" s="3061"/>
      <c r="BD364" s="3061"/>
      <c r="BE364" s="3061"/>
      <c r="BF364" s="3061"/>
      <c r="BG364" s="3061"/>
      <c r="BH364" s="3061"/>
      <c r="BI364" s="3061"/>
      <c r="BJ364" s="3061"/>
      <c r="BK364" s="3061"/>
      <c r="BL364" s="3061"/>
      <c r="BM364" s="3061"/>
      <c r="BN364" s="3061"/>
      <c r="BO364" s="3061"/>
      <c r="BP364" s="3061"/>
      <c r="BQ364" s="3061"/>
      <c r="BR364" s="3061"/>
      <c r="BS364" s="3061"/>
      <c r="BT364" s="3061"/>
      <c r="BU364" s="3061"/>
      <c r="BV364" s="3061"/>
      <c r="BW364" s="3061"/>
      <c r="BX364" s="3061"/>
      <c r="BY364" s="3061"/>
      <c r="BZ364" s="3061"/>
      <c r="CA364" s="3061"/>
      <c r="CB364" s="3061"/>
      <c r="CC364" s="3061"/>
      <c r="CD364" s="3061"/>
      <c r="CE364" s="3061"/>
      <c r="CF364" s="3061"/>
      <c r="CG364" s="3061"/>
      <c r="CH364" s="3061"/>
      <c r="CI364" s="3061"/>
      <c r="CJ364" s="3061"/>
      <c r="CK364" s="3061"/>
      <c r="CL364" s="3061"/>
      <c r="CM364" s="3061"/>
      <c r="CN364" s="3061"/>
      <c r="CO364" s="3061"/>
      <c r="CP364" s="3061"/>
      <c r="CQ364" s="3061"/>
      <c r="CR364" s="3061"/>
      <c r="CS364" s="3062"/>
      <c r="CT364" s="3063"/>
      <c r="CU364" s="3064">
        <f t="shared" si="106"/>
        <v>1</v>
      </c>
      <c r="CV364" s="3022" t="str">
        <f>IF(OR(CT364="",CT364="None"),"-",DO364*CU364*SUMIF('Lighting Assumptions'!$G$3:$G$112,'6a - Lighting Counts'!G364,'Lighting Assumptions'!$J$3:$J$112))</f>
        <v>-</v>
      </c>
      <c r="CW364" s="3021"/>
      <c r="CX364" s="3021"/>
      <c r="CY364" s="3046"/>
      <c r="CZ364" s="2098">
        <f t="shared" si="107"/>
        <v>0</v>
      </c>
      <c r="DA364" s="2098" t="str">
        <f t="shared" si="108"/>
        <v>-</v>
      </c>
      <c r="DB364" s="2098">
        <f t="shared" si="109"/>
        <v>0</v>
      </c>
      <c r="DC364" s="3023" t="str">
        <f t="shared" si="110"/>
        <v>-</v>
      </c>
      <c r="DD364" s="3024" t="str">
        <f t="shared" si="111"/>
        <v/>
      </c>
      <c r="DE364" s="3025" t="str">
        <f t="shared" si="112"/>
        <v>-</v>
      </c>
      <c r="DF364" s="3024" t="str">
        <f t="shared" si="103"/>
        <v>-</v>
      </c>
      <c r="DG364" s="2098">
        <f t="shared" si="113"/>
        <v>0</v>
      </c>
      <c r="DH364" s="2098">
        <f t="array" ref="DH364">MIN(SUMPRODUCT(I364:CR364,IF($I$25:$CR$25="yes",1,0),$I$23:$CR$23),H364)</f>
        <v>0</v>
      </c>
      <c r="DI364" s="3026"/>
      <c r="DJ364" s="3021"/>
      <c r="DN364" s="917" t="str">
        <f>IF(CS364="","-",SUMIF('Lighting Assumptions'!$G$3:$G$112,'6a - Lighting Counts'!G364,'Lighting Assumptions'!$J$3:$J$112))</f>
        <v>-</v>
      </c>
      <c r="DO364" s="917" t="str">
        <f t="shared" si="104"/>
        <v>-</v>
      </c>
      <c r="DP364" s="917" t="str">
        <f t="shared" si="105"/>
        <v>-</v>
      </c>
      <c r="DQ364" s="917" t="str">
        <f>IF(LEFT(CELLformula(DF364),3)&lt;&gt;"=IF",1,"")</f>
        <v/>
      </c>
      <c r="DR364" s="917" t="str">
        <f>IF(LEFT(CELLformula(DD364),3)&lt;&gt;"=IF",1,"")</f>
        <v/>
      </c>
      <c r="DS364" s="3048">
        <f t="shared" si="114"/>
        <v>0</v>
      </c>
      <c r="DT364" s="3047" t="str">
        <f t="shared" si="115"/>
        <v/>
      </c>
      <c r="DU364" s="3047" t="str">
        <f>IFERROR(IF(G364="","",SUMIF('Lighting Assumptions'!$G$3:$G$112,'6a - Lighting Counts'!G364,'Lighting Assumptions'!$H$3:$H$112)*IF(SI_IP_Units="SI",10.76,1)),"")</f>
        <v/>
      </c>
      <c r="DV364" s="3047" t="str">
        <f>IFERROR(IF($CX364="","",IF(SI_IP_Units="SI",10.76,1)*SUMIF(BAMCategories,$CY364,'Lighting Assumptions'!$E$3:E$35)),"")</f>
        <v/>
      </c>
      <c r="DW364" s="3047" t="str">
        <f>IFERROR(IF($CX364="","",IF(SI_IP_Units="SI",10.76,1)*SUMIF(BAMCategories,$CY364,IF(bpf_reference="ACP",'Lighting Assumptions 90.1-2010'!$E$3:E$35,'Lighting Assumptions 90.1-2016'!$E$3:E$35))),"")</f>
        <v/>
      </c>
      <c r="EW364" s="855"/>
      <c r="EX364" s="855"/>
      <c r="EY364" s="855"/>
      <c r="EZ364" s="855"/>
    </row>
    <row r="365" spans="4:156" x14ac:dyDescent="0.25">
      <c r="D365" s="3019"/>
      <c r="E365" s="3020"/>
      <c r="F365" s="3021">
        <f t="shared" si="102"/>
        <v>0</v>
      </c>
      <c r="G365" s="3059"/>
      <c r="H365" s="3060"/>
      <c r="I365" s="3061"/>
      <c r="J365" s="3061"/>
      <c r="K365" s="3061"/>
      <c r="L365" s="3061"/>
      <c r="M365" s="3061"/>
      <c r="N365" s="3061"/>
      <c r="O365" s="3061"/>
      <c r="P365" s="3061"/>
      <c r="Q365" s="3061"/>
      <c r="R365" s="3061"/>
      <c r="S365" s="3061"/>
      <c r="T365" s="3061"/>
      <c r="U365" s="3061"/>
      <c r="V365" s="3061"/>
      <c r="W365" s="3061"/>
      <c r="X365" s="3061"/>
      <c r="Y365" s="3061"/>
      <c r="Z365" s="3061"/>
      <c r="AA365" s="3061"/>
      <c r="AB365" s="3061"/>
      <c r="AC365" s="3061"/>
      <c r="AD365" s="3061"/>
      <c r="AE365" s="3061"/>
      <c r="AF365" s="3061"/>
      <c r="AG365" s="3061"/>
      <c r="AH365" s="3061"/>
      <c r="AI365" s="3061"/>
      <c r="AJ365" s="3061"/>
      <c r="AK365" s="3061"/>
      <c r="AL365" s="3061"/>
      <c r="AM365" s="3061"/>
      <c r="AN365" s="3061"/>
      <c r="AO365" s="3061"/>
      <c r="AP365" s="3061"/>
      <c r="AQ365" s="3061"/>
      <c r="AR365" s="3061"/>
      <c r="AS365" s="3061"/>
      <c r="AT365" s="3061"/>
      <c r="AU365" s="3061"/>
      <c r="AV365" s="3061"/>
      <c r="AW365" s="3061"/>
      <c r="AX365" s="3061"/>
      <c r="AY365" s="3061"/>
      <c r="AZ365" s="3061"/>
      <c r="BA365" s="3061"/>
      <c r="BB365" s="3061"/>
      <c r="BC365" s="3061"/>
      <c r="BD365" s="3061"/>
      <c r="BE365" s="3061"/>
      <c r="BF365" s="3061"/>
      <c r="BG365" s="3061"/>
      <c r="BH365" s="3061"/>
      <c r="BI365" s="3061"/>
      <c r="BJ365" s="3061"/>
      <c r="BK365" s="3061"/>
      <c r="BL365" s="3061"/>
      <c r="BM365" s="3061"/>
      <c r="BN365" s="3061"/>
      <c r="BO365" s="3061"/>
      <c r="BP365" s="3061"/>
      <c r="BQ365" s="3061"/>
      <c r="BR365" s="3061"/>
      <c r="BS365" s="3061"/>
      <c r="BT365" s="3061"/>
      <c r="BU365" s="3061"/>
      <c r="BV365" s="3061"/>
      <c r="BW365" s="3061"/>
      <c r="BX365" s="3061"/>
      <c r="BY365" s="3061"/>
      <c r="BZ365" s="3061"/>
      <c r="CA365" s="3061"/>
      <c r="CB365" s="3061"/>
      <c r="CC365" s="3061"/>
      <c r="CD365" s="3061"/>
      <c r="CE365" s="3061"/>
      <c r="CF365" s="3061"/>
      <c r="CG365" s="3061"/>
      <c r="CH365" s="3061"/>
      <c r="CI365" s="3061"/>
      <c r="CJ365" s="3061"/>
      <c r="CK365" s="3061"/>
      <c r="CL365" s="3061"/>
      <c r="CM365" s="3061"/>
      <c r="CN365" s="3061"/>
      <c r="CO365" s="3061"/>
      <c r="CP365" s="3061"/>
      <c r="CQ365" s="3061"/>
      <c r="CR365" s="3061"/>
      <c r="CS365" s="3062"/>
      <c r="CT365" s="3063"/>
      <c r="CU365" s="3064">
        <f t="shared" si="106"/>
        <v>1</v>
      </c>
      <c r="CV365" s="3022" t="str">
        <f>IF(OR(CT365="",CT365="None"),"-",DO365*CU365*SUMIF('Lighting Assumptions'!$G$3:$G$112,'6a - Lighting Counts'!G365,'Lighting Assumptions'!$J$3:$J$112))</f>
        <v>-</v>
      </c>
      <c r="CW365" s="3021"/>
      <c r="CX365" s="3021"/>
      <c r="CY365" s="3046"/>
      <c r="CZ365" s="2098">
        <f t="shared" si="107"/>
        <v>0</v>
      </c>
      <c r="DA365" s="2098" t="str">
        <f t="shared" si="108"/>
        <v>-</v>
      </c>
      <c r="DB365" s="2098">
        <f t="shared" si="109"/>
        <v>0</v>
      </c>
      <c r="DC365" s="3023" t="str">
        <f t="shared" si="110"/>
        <v>-</v>
      </c>
      <c r="DD365" s="3024" t="str">
        <f t="shared" si="111"/>
        <v/>
      </c>
      <c r="DE365" s="3025" t="str">
        <f t="shared" si="112"/>
        <v>-</v>
      </c>
      <c r="DF365" s="3024" t="str">
        <f t="shared" si="103"/>
        <v>-</v>
      </c>
      <c r="DG365" s="2098">
        <f t="shared" si="113"/>
        <v>0</v>
      </c>
      <c r="DH365" s="2098">
        <f t="array" ref="DH365">MIN(SUMPRODUCT(I365:CR365,IF($I$25:$CR$25="yes",1,0),$I$23:$CR$23),H365)</f>
        <v>0</v>
      </c>
      <c r="DI365" s="3026"/>
      <c r="DJ365" s="3021"/>
      <c r="DN365" s="917" t="str">
        <f>IF(CS365="","-",SUMIF('Lighting Assumptions'!$G$3:$G$112,'6a - Lighting Counts'!G365,'Lighting Assumptions'!$J$3:$J$112))</f>
        <v>-</v>
      </c>
      <c r="DO365" s="917" t="str">
        <f t="shared" si="104"/>
        <v>-</v>
      </c>
      <c r="DP365" s="917" t="str">
        <f t="shared" si="105"/>
        <v>-</v>
      </c>
      <c r="DQ365" s="917" t="str">
        <f>IF(LEFT(CELLformula(DF365),3)&lt;&gt;"=IF",1,"")</f>
        <v/>
      </c>
      <c r="DR365" s="917" t="str">
        <f>IF(LEFT(CELLformula(DD365),3)&lt;&gt;"=IF",1,"")</f>
        <v/>
      </c>
      <c r="DS365" s="3048">
        <f t="shared" si="114"/>
        <v>0</v>
      </c>
      <c r="DT365" s="3047" t="str">
        <f t="shared" si="115"/>
        <v/>
      </c>
      <c r="DU365" s="3047" t="str">
        <f>IFERROR(IF(G365="","",SUMIF('Lighting Assumptions'!$G$3:$G$112,'6a - Lighting Counts'!G365,'Lighting Assumptions'!$H$3:$H$112)*IF(SI_IP_Units="SI",10.76,1)),"")</f>
        <v/>
      </c>
      <c r="DV365" s="3047" t="str">
        <f>IFERROR(IF($CX365="","",IF(SI_IP_Units="SI",10.76,1)*SUMIF(BAMCategories,$CY365,'Lighting Assumptions'!$E$3:E$35)),"")</f>
        <v/>
      </c>
      <c r="DW365" s="3047" t="str">
        <f>IFERROR(IF($CX365="","",IF(SI_IP_Units="SI",10.76,1)*SUMIF(BAMCategories,$CY365,IF(bpf_reference="ACP",'Lighting Assumptions 90.1-2010'!$E$3:E$35,'Lighting Assumptions 90.1-2016'!$E$3:E$35))),"")</f>
        <v/>
      </c>
      <c r="EW365" s="855"/>
      <c r="EX365" s="855"/>
      <c r="EY365" s="855"/>
      <c r="EZ365" s="855"/>
    </row>
    <row r="366" spans="4:156" x14ac:dyDescent="0.25">
      <c r="D366" s="3019"/>
      <c r="E366" s="3020"/>
      <c r="F366" s="3021">
        <f t="shared" si="102"/>
        <v>0</v>
      </c>
      <c r="G366" s="3059"/>
      <c r="H366" s="3060"/>
      <c r="I366" s="3061"/>
      <c r="J366" s="3061"/>
      <c r="K366" s="3061"/>
      <c r="L366" s="3061"/>
      <c r="M366" s="3061"/>
      <c r="N366" s="3061"/>
      <c r="O366" s="3061"/>
      <c r="P366" s="3061"/>
      <c r="Q366" s="3061"/>
      <c r="R366" s="3061"/>
      <c r="S366" s="3061"/>
      <c r="T366" s="3061"/>
      <c r="U366" s="3061"/>
      <c r="V366" s="3061"/>
      <c r="W366" s="3061"/>
      <c r="X366" s="3061"/>
      <c r="Y366" s="3061"/>
      <c r="Z366" s="3061"/>
      <c r="AA366" s="3061"/>
      <c r="AB366" s="3061"/>
      <c r="AC366" s="3061"/>
      <c r="AD366" s="3061"/>
      <c r="AE366" s="3061"/>
      <c r="AF366" s="3061"/>
      <c r="AG366" s="3061"/>
      <c r="AH366" s="3061"/>
      <c r="AI366" s="3061"/>
      <c r="AJ366" s="3061"/>
      <c r="AK366" s="3061"/>
      <c r="AL366" s="3061"/>
      <c r="AM366" s="3061"/>
      <c r="AN366" s="3061"/>
      <c r="AO366" s="3061"/>
      <c r="AP366" s="3061"/>
      <c r="AQ366" s="3061"/>
      <c r="AR366" s="3061"/>
      <c r="AS366" s="3061"/>
      <c r="AT366" s="3061"/>
      <c r="AU366" s="3061"/>
      <c r="AV366" s="3061"/>
      <c r="AW366" s="3061"/>
      <c r="AX366" s="3061"/>
      <c r="AY366" s="3061"/>
      <c r="AZ366" s="3061"/>
      <c r="BA366" s="3061"/>
      <c r="BB366" s="3061"/>
      <c r="BC366" s="3061"/>
      <c r="BD366" s="3061"/>
      <c r="BE366" s="3061"/>
      <c r="BF366" s="3061"/>
      <c r="BG366" s="3061"/>
      <c r="BH366" s="3061"/>
      <c r="BI366" s="3061"/>
      <c r="BJ366" s="3061"/>
      <c r="BK366" s="3061"/>
      <c r="BL366" s="3061"/>
      <c r="BM366" s="3061"/>
      <c r="BN366" s="3061"/>
      <c r="BO366" s="3061"/>
      <c r="BP366" s="3061"/>
      <c r="BQ366" s="3061"/>
      <c r="BR366" s="3061"/>
      <c r="BS366" s="3061"/>
      <c r="BT366" s="3061"/>
      <c r="BU366" s="3061"/>
      <c r="BV366" s="3061"/>
      <c r="BW366" s="3061"/>
      <c r="BX366" s="3061"/>
      <c r="BY366" s="3061"/>
      <c r="BZ366" s="3061"/>
      <c r="CA366" s="3061"/>
      <c r="CB366" s="3061"/>
      <c r="CC366" s="3061"/>
      <c r="CD366" s="3061"/>
      <c r="CE366" s="3061"/>
      <c r="CF366" s="3061"/>
      <c r="CG366" s="3061"/>
      <c r="CH366" s="3061"/>
      <c r="CI366" s="3061"/>
      <c r="CJ366" s="3061"/>
      <c r="CK366" s="3061"/>
      <c r="CL366" s="3061"/>
      <c r="CM366" s="3061"/>
      <c r="CN366" s="3061"/>
      <c r="CO366" s="3061"/>
      <c r="CP366" s="3061"/>
      <c r="CQ366" s="3061"/>
      <c r="CR366" s="3061"/>
      <c r="CS366" s="3062"/>
      <c r="CT366" s="3063"/>
      <c r="CU366" s="3064">
        <f t="shared" si="106"/>
        <v>1</v>
      </c>
      <c r="CV366" s="3022" t="str">
        <f>IF(OR(CT366="",CT366="None"),"-",DO366*CU366*SUMIF('Lighting Assumptions'!$G$3:$G$112,'6a - Lighting Counts'!G366,'Lighting Assumptions'!$J$3:$J$112))</f>
        <v>-</v>
      </c>
      <c r="CW366" s="3021"/>
      <c r="CX366" s="3021"/>
      <c r="CY366" s="3046"/>
      <c r="CZ366" s="2098">
        <f t="shared" si="107"/>
        <v>0</v>
      </c>
      <c r="DA366" s="2098" t="str">
        <f t="shared" si="108"/>
        <v>-</v>
      </c>
      <c r="DB366" s="2098">
        <f t="shared" si="109"/>
        <v>0</v>
      </c>
      <c r="DC366" s="3023" t="str">
        <f t="shared" si="110"/>
        <v>-</v>
      </c>
      <c r="DD366" s="3024" t="str">
        <f t="shared" si="111"/>
        <v/>
      </c>
      <c r="DE366" s="3025" t="str">
        <f t="shared" si="112"/>
        <v>-</v>
      </c>
      <c r="DF366" s="3024" t="str">
        <f t="shared" si="103"/>
        <v>-</v>
      </c>
      <c r="DG366" s="2098">
        <f t="shared" si="113"/>
        <v>0</v>
      </c>
      <c r="DH366" s="2098">
        <f t="array" ref="DH366">MIN(SUMPRODUCT(I366:CR366,IF($I$25:$CR$25="yes",1,0),$I$23:$CR$23),H366)</f>
        <v>0</v>
      </c>
      <c r="DI366" s="3026"/>
      <c r="DJ366" s="3021"/>
      <c r="DN366" s="917" t="str">
        <f>IF(CS366="","-",SUMIF('Lighting Assumptions'!$G$3:$G$112,'6a - Lighting Counts'!G366,'Lighting Assumptions'!$J$3:$J$112))</f>
        <v>-</v>
      </c>
      <c r="DO366" s="917" t="str">
        <f t="shared" si="104"/>
        <v>-</v>
      </c>
      <c r="DP366" s="917" t="str">
        <f t="shared" si="105"/>
        <v>-</v>
      </c>
      <c r="DQ366" s="917" t="str">
        <f>IF(LEFT(CELLformula(DF366),3)&lt;&gt;"=IF",1,"")</f>
        <v/>
      </c>
      <c r="DR366" s="917" t="str">
        <f>IF(LEFT(CELLformula(DD366),3)&lt;&gt;"=IF",1,"")</f>
        <v/>
      </c>
      <c r="DS366" s="3048">
        <f t="shared" si="114"/>
        <v>0</v>
      </c>
      <c r="DT366" s="3047" t="str">
        <f t="shared" si="115"/>
        <v/>
      </c>
      <c r="DU366" s="3047" t="str">
        <f>IFERROR(IF(G366="","",SUMIF('Lighting Assumptions'!$G$3:$G$112,'6a - Lighting Counts'!G366,'Lighting Assumptions'!$H$3:$H$112)*IF(SI_IP_Units="SI",10.76,1)),"")</f>
        <v/>
      </c>
      <c r="DV366" s="3047" t="str">
        <f>IFERROR(IF($CX366="","",IF(SI_IP_Units="SI",10.76,1)*SUMIF(BAMCategories,$CY366,'Lighting Assumptions'!$E$3:E$35)),"")</f>
        <v/>
      </c>
      <c r="DW366" s="3047" t="str">
        <f>IFERROR(IF($CX366="","",IF(SI_IP_Units="SI",10.76,1)*SUMIF(BAMCategories,$CY366,IF(bpf_reference="ACP",'Lighting Assumptions 90.1-2010'!$E$3:E$35,'Lighting Assumptions 90.1-2016'!$E$3:E$35))),"")</f>
        <v/>
      </c>
      <c r="EW366" s="855"/>
      <c r="EX366" s="855"/>
      <c r="EY366" s="855"/>
      <c r="EZ366" s="855"/>
    </row>
    <row r="367" spans="4:156" x14ac:dyDescent="0.25">
      <c r="D367" s="3019"/>
      <c r="E367" s="3020"/>
      <c r="F367" s="3021">
        <f t="shared" si="102"/>
        <v>0</v>
      </c>
      <c r="G367" s="3059"/>
      <c r="H367" s="3060"/>
      <c r="I367" s="3061"/>
      <c r="J367" s="3061"/>
      <c r="K367" s="3061"/>
      <c r="L367" s="3061"/>
      <c r="M367" s="3061"/>
      <c r="N367" s="3061"/>
      <c r="O367" s="3061"/>
      <c r="P367" s="3061"/>
      <c r="Q367" s="3061"/>
      <c r="R367" s="3061"/>
      <c r="S367" s="3061"/>
      <c r="T367" s="3061"/>
      <c r="U367" s="3061"/>
      <c r="V367" s="3061"/>
      <c r="W367" s="3061"/>
      <c r="X367" s="3061"/>
      <c r="Y367" s="3061"/>
      <c r="Z367" s="3061"/>
      <c r="AA367" s="3061"/>
      <c r="AB367" s="3061"/>
      <c r="AC367" s="3061"/>
      <c r="AD367" s="3061"/>
      <c r="AE367" s="3061"/>
      <c r="AF367" s="3061"/>
      <c r="AG367" s="3061"/>
      <c r="AH367" s="3061"/>
      <c r="AI367" s="3061"/>
      <c r="AJ367" s="3061"/>
      <c r="AK367" s="3061"/>
      <c r="AL367" s="3061"/>
      <c r="AM367" s="3061"/>
      <c r="AN367" s="3061"/>
      <c r="AO367" s="3061"/>
      <c r="AP367" s="3061"/>
      <c r="AQ367" s="3061"/>
      <c r="AR367" s="3061"/>
      <c r="AS367" s="3061"/>
      <c r="AT367" s="3061"/>
      <c r="AU367" s="3061"/>
      <c r="AV367" s="3061"/>
      <c r="AW367" s="3061"/>
      <c r="AX367" s="3061"/>
      <c r="AY367" s="3061"/>
      <c r="AZ367" s="3061"/>
      <c r="BA367" s="3061"/>
      <c r="BB367" s="3061"/>
      <c r="BC367" s="3061"/>
      <c r="BD367" s="3061"/>
      <c r="BE367" s="3061"/>
      <c r="BF367" s="3061"/>
      <c r="BG367" s="3061"/>
      <c r="BH367" s="3061"/>
      <c r="BI367" s="3061"/>
      <c r="BJ367" s="3061"/>
      <c r="BK367" s="3061"/>
      <c r="BL367" s="3061"/>
      <c r="BM367" s="3061"/>
      <c r="BN367" s="3061"/>
      <c r="BO367" s="3061"/>
      <c r="BP367" s="3061"/>
      <c r="BQ367" s="3061"/>
      <c r="BR367" s="3061"/>
      <c r="BS367" s="3061"/>
      <c r="BT367" s="3061"/>
      <c r="BU367" s="3061"/>
      <c r="BV367" s="3061"/>
      <c r="BW367" s="3061"/>
      <c r="BX367" s="3061"/>
      <c r="BY367" s="3061"/>
      <c r="BZ367" s="3061"/>
      <c r="CA367" s="3061"/>
      <c r="CB367" s="3061"/>
      <c r="CC367" s="3061"/>
      <c r="CD367" s="3061"/>
      <c r="CE367" s="3061"/>
      <c r="CF367" s="3061"/>
      <c r="CG367" s="3061"/>
      <c r="CH367" s="3061"/>
      <c r="CI367" s="3061"/>
      <c r="CJ367" s="3061"/>
      <c r="CK367" s="3061"/>
      <c r="CL367" s="3061"/>
      <c r="CM367" s="3061"/>
      <c r="CN367" s="3061"/>
      <c r="CO367" s="3061"/>
      <c r="CP367" s="3061"/>
      <c r="CQ367" s="3061"/>
      <c r="CR367" s="3061"/>
      <c r="CS367" s="3062"/>
      <c r="CT367" s="3063"/>
      <c r="CU367" s="3064">
        <f t="shared" si="106"/>
        <v>1</v>
      </c>
      <c r="CV367" s="3022" t="str">
        <f>IF(OR(CT367="",CT367="None"),"-",DO367*CU367*SUMIF('Lighting Assumptions'!$G$3:$G$112,'6a - Lighting Counts'!G367,'Lighting Assumptions'!$J$3:$J$112))</f>
        <v>-</v>
      </c>
      <c r="CW367" s="3021"/>
      <c r="CX367" s="3021"/>
      <c r="CY367" s="3046"/>
      <c r="CZ367" s="2098">
        <f t="shared" si="107"/>
        <v>0</v>
      </c>
      <c r="DA367" s="2098" t="str">
        <f t="shared" si="108"/>
        <v>-</v>
      </c>
      <c r="DB367" s="2098">
        <f t="shared" si="109"/>
        <v>0</v>
      </c>
      <c r="DC367" s="3023" t="str">
        <f t="shared" si="110"/>
        <v>-</v>
      </c>
      <c r="DD367" s="3024" t="str">
        <f t="shared" si="111"/>
        <v/>
      </c>
      <c r="DE367" s="3025" t="str">
        <f t="shared" si="112"/>
        <v>-</v>
      </c>
      <c r="DF367" s="3024" t="str">
        <f t="shared" si="103"/>
        <v>-</v>
      </c>
      <c r="DG367" s="2098">
        <f t="shared" si="113"/>
        <v>0</v>
      </c>
      <c r="DH367" s="2098">
        <f t="array" ref="DH367">MIN(SUMPRODUCT(I367:CR367,IF($I$25:$CR$25="yes",1,0),$I$23:$CR$23),H367)</f>
        <v>0</v>
      </c>
      <c r="DI367" s="3026"/>
      <c r="DJ367" s="3021"/>
      <c r="DN367" s="917" t="str">
        <f>IF(CS367="","-",SUMIF('Lighting Assumptions'!$G$3:$G$112,'6a - Lighting Counts'!G367,'Lighting Assumptions'!$J$3:$J$112))</f>
        <v>-</v>
      </c>
      <c r="DO367" s="917" t="str">
        <f t="shared" si="104"/>
        <v>-</v>
      </c>
      <c r="DP367" s="917" t="str">
        <f t="shared" si="105"/>
        <v>-</v>
      </c>
      <c r="DQ367" s="917" t="str">
        <f>IF(LEFT(CELLformula(DF367),3)&lt;&gt;"=IF",1,"")</f>
        <v/>
      </c>
      <c r="DR367" s="917" t="str">
        <f>IF(LEFT(CELLformula(DD367),3)&lt;&gt;"=IF",1,"")</f>
        <v/>
      </c>
      <c r="DS367" s="3048">
        <f t="shared" si="114"/>
        <v>0</v>
      </c>
      <c r="DT367" s="3047" t="str">
        <f t="shared" si="115"/>
        <v/>
      </c>
      <c r="DU367" s="3047" t="str">
        <f>IFERROR(IF(G367="","",SUMIF('Lighting Assumptions'!$G$3:$G$112,'6a - Lighting Counts'!G367,'Lighting Assumptions'!$H$3:$H$112)*IF(SI_IP_Units="SI",10.76,1)),"")</f>
        <v/>
      </c>
      <c r="DV367" s="3047" t="str">
        <f>IFERROR(IF($CX367="","",IF(SI_IP_Units="SI",10.76,1)*SUMIF(BAMCategories,$CY367,'Lighting Assumptions'!$E$3:E$35)),"")</f>
        <v/>
      </c>
      <c r="DW367" s="3047" t="str">
        <f>IFERROR(IF($CX367="","",IF(SI_IP_Units="SI",10.76,1)*SUMIF(BAMCategories,$CY367,IF(bpf_reference="ACP",'Lighting Assumptions 90.1-2010'!$E$3:E$35,'Lighting Assumptions 90.1-2016'!$E$3:E$35))),"")</f>
        <v/>
      </c>
      <c r="EW367" s="855"/>
      <c r="EX367" s="855"/>
      <c r="EY367" s="855"/>
      <c r="EZ367" s="855"/>
    </row>
    <row r="368" spans="4:156" x14ac:dyDescent="0.25">
      <c r="D368" s="3019"/>
      <c r="E368" s="3020"/>
      <c r="F368" s="3021">
        <f t="shared" si="102"/>
        <v>0</v>
      </c>
      <c r="G368" s="3059"/>
      <c r="H368" s="3060"/>
      <c r="I368" s="3061"/>
      <c r="J368" s="3061"/>
      <c r="K368" s="3061"/>
      <c r="L368" s="3061"/>
      <c r="M368" s="3061"/>
      <c r="N368" s="3061"/>
      <c r="O368" s="3061"/>
      <c r="P368" s="3061"/>
      <c r="Q368" s="3061"/>
      <c r="R368" s="3061"/>
      <c r="S368" s="3061"/>
      <c r="T368" s="3061"/>
      <c r="U368" s="3061"/>
      <c r="V368" s="3061"/>
      <c r="W368" s="3061"/>
      <c r="X368" s="3061"/>
      <c r="Y368" s="3061"/>
      <c r="Z368" s="3061"/>
      <c r="AA368" s="3061"/>
      <c r="AB368" s="3061"/>
      <c r="AC368" s="3061"/>
      <c r="AD368" s="3061"/>
      <c r="AE368" s="3061"/>
      <c r="AF368" s="3061"/>
      <c r="AG368" s="3061"/>
      <c r="AH368" s="3061"/>
      <c r="AI368" s="3061"/>
      <c r="AJ368" s="3061"/>
      <c r="AK368" s="3061"/>
      <c r="AL368" s="3061"/>
      <c r="AM368" s="3061"/>
      <c r="AN368" s="3061"/>
      <c r="AO368" s="3061"/>
      <c r="AP368" s="3061"/>
      <c r="AQ368" s="3061"/>
      <c r="AR368" s="3061"/>
      <c r="AS368" s="3061"/>
      <c r="AT368" s="3061"/>
      <c r="AU368" s="3061"/>
      <c r="AV368" s="3061"/>
      <c r="AW368" s="3061"/>
      <c r="AX368" s="3061"/>
      <c r="AY368" s="3061"/>
      <c r="AZ368" s="3061"/>
      <c r="BA368" s="3061"/>
      <c r="BB368" s="3061"/>
      <c r="BC368" s="3061"/>
      <c r="BD368" s="3061"/>
      <c r="BE368" s="3061"/>
      <c r="BF368" s="3061"/>
      <c r="BG368" s="3061"/>
      <c r="BH368" s="3061"/>
      <c r="BI368" s="3061"/>
      <c r="BJ368" s="3061"/>
      <c r="BK368" s="3061"/>
      <c r="BL368" s="3061"/>
      <c r="BM368" s="3061"/>
      <c r="BN368" s="3061"/>
      <c r="BO368" s="3061"/>
      <c r="BP368" s="3061"/>
      <c r="BQ368" s="3061"/>
      <c r="BR368" s="3061"/>
      <c r="BS368" s="3061"/>
      <c r="BT368" s="3061"/>
      <c r="BU368" s="3061"/>
      <c r="BV368" s="3061"/>
      <c r="BW368" s="3061"/>
      <c r="BX368" s="3061"/>
      <c r="BY368" s="3061"/>
      <c r="BZ368" s="3061"/>
      <c r="CA368" s="3061"/>
      <c r="CB368" s="3061"/>
      <c r="CC368" s="3061"/>
      <c r="CD368" s="3061"/>
      <c r="CE368" s="3061"/>
      <c r="CF368" s="3061"/>
      <c r="CG368" s="3061"/>
      <c r="CH368" s="3061"/>
      <c r="CI368" s="3061"/>
      <c r="CJ368" s="3061"/>
      <c r="CK368" s="3061"/>
      <c r="CL368" s="3061"/>
      <c r="CM368" s="3061"/>
      <c r="CN368" s="3061"/>
      <c r="CO368" s="3061"/>
      <c r="CP368" s="3061"/>
      <c r="CQ368" s="3061"/>
      <c r="CR368" s="3061"/>
      <c r="CS368" s="3062"/>
      <c r="CT368" s="3063"/>
      <c r="CU368" s="3064">
        <f t="shared" si="106"/>
        <v>1</v>
      </c>
      <c r="CV368" s="3022" t="str">
        <f>IF(OR(CT368="",CT368="None"),"-",DO368*CU368*SUMIF('Lighting Assumptions'!$G$3:$G$112,'6a - Lighting Counts'!G368,'Lighting Assumptions'!$J$3:$J$112))</f>
        <v>-</v>
      </c>
      <c r="CW368" s="3021"/>
      <c r="CX368" s="3021"/>
      <c r="CY368" s="3046"/>
      <c r="CZ368" s="2098">
        <f t="shared" si="107"/>
        <v>0</v>
      </c>
      <c r="DA368" s="2098" t="str">
        <f t="shared" si="108"/>
        <v>-</v>
      </c>
      <c r="DB368" s="2098">
        <f t="shared" si="109"/>
        <v>0</v>
      </c>
      <c r="DC368" s="3023" t="str">
        <f t="shared" si="110"/>
        <v>-</v>
      </c>
      <c r="DD368" s="3024" t="str">
        <f t="shared" si="111"/>
        <v/>
      </c>
      <c r="DE368" s="3025" t="str">
        <f t="shared" si="112"/>
        <v>-</v>
      </c>
      <c r="DF368" s="3024" t="str">
        <f t="shared" si="103"/>
        <v>-</v>
      </c>
      <c r="DG368" s="2098">
        <f t="shared" si="113"/>
        <v>0</v>
      </c>
      <c r="DH368" s="2098">
        <f t="array" ref="DH368">MIN(SUMPRODUCT(I368:CR368,IF($I$25:$CR$25="yes",1,0),$I$23:$CR$23),H368)</f>
        <v>0</v>
      </c>
      <c r="DI368" s="3026"/>
      <c r="DJ368" s="3021"/>
      <c r="DN368" s="917" t="str">
        <f>IF(CS368="","-",SUMIF('Lighting Assumptions'!$G$3:$G$112,'6a - Lighting Counts'!G368,'Lighting Assumptions'!$J$3:$J$112))</f>
        <v>-</v>
      </c>
      <c r="DO368" s="917" t="str">
        <f t="shared" si="104"/>
        <v>-</v>
      </c>
      <c r="DP368" s="917" t="str">
        <f t="shared" si="105"/>
        <v>-</v>
      </c>
      <c r="DQ368" s="917" t="str">
        <f>IF(LEFT(CELLformula(DF368),3)&lt;&gt;"=IF",1,"")</f>
        <v/>
      </c>
      <c r="DR368" s="917" t="str">
        <f>IF(LEFT(CELLformula(DD368),3)&lt;&gt;"=IF",1,"")</f>
        <v/>
      </c>
      <c r="DS368" s="3048">
        <f t="shared" si="114"/>
        <v>0</v>
      </c>
      <c r="DT368" s="3047" t="str">
        <f t="shared" si="115"/>
        <v/>
      </c>
      <c r="DU368" s="3047" t="str">
        <f>IFERROR(IF(G368="","",SUMIF('Lighting Assumptions'!$G$3:$G$112,'6a - Lighting Counts'!G368,'Lighting Assumptions'!$H$3:$H$112)*IF(SI_IP_Units="SI",10.76,1)),"")</f>
        <v/>
      </c>
      <c r="DV368" s="3047" t="str">
        <f>IFERROR(IF($CX368="","",IF(SI_IP_Units="SI",10.76,1)*SUMIF(BAMCategories,$CY368,'Lighting Assumptions'!$E$3:E$35)),"")</f>
        <v/>
      </c>
      <c r="DW368" s="3047" t="str">
        <f>IFERROR(IF($CX368="","",IF(SI_IP_Units="SI",10.76,1)*SUMIF(BAMCategories,$CY368,IF(bpf_reference="ACP",'Lighting Assumptions 90.1-2010'!$E$3:E$35,'Lighting Assumptions 90.1-2016'!$E$3:E$35))),"")</f>
        <v/>
      </c>
      <c r="EW368" s="855"/>
      <c r="EX368" s="855"/>
      <c r="EY368" s="855"/>
      <c r="EZ368" s="855"/>
    </row>
    <row r="369" spans="4:156" x14ac:dyDescent="0.25">
      <c r="D369" s="3019"/>
      <c r="E369" s="3020"/>
      <c r="F369" s="3021">
        <f t="shared" si="102"/>
        <v>0</v>
      </c>
      <c r="G369" s="3059"/>
      <c r="H369" s="3060"/>
      <c r="I369" s="3061"/>
      <c r="J369" s="3061"/>
      <c r="K369" s="3061"/>
      <c r="L369" s="3061"/>
      <c r="M369" s="3061"/>
      <c r="N369" s="3061"/>
      <c r="O369" s="3061"/>
      <c r="P369" s="3061"/>
      <c r="Q369" s="3061"/>
      <c r="R369" s="3061"/>
      <c r="S369" s="3061"/>
      <c r="T369" s="3061"/>
      <c r="U369" s="3061"/>
      <c r="V369" s="3061"/>
      <c r="W369" s="3061"/>
      <c r="X369" s="3061"/>
      <c r="Y369" s="3061"/>
      <c r="Z369" s="3061"/>
      <c r="AA369" s="3061"/>
      <c r="AB369" s="3061"/>
      <c r="AC369" s="3061"/>
      <c r="AD369" s="3061"/>
      <c r="AE369" s="3061"/>
      <c r="AF369" s="3061"/>
      <c r="AG369" s="3061"/>
      <c r="AH369" s="3061"/>
      <c r="AI369" s="3061"/>
      <c r="AJ369" s="3061"/>
      <c r="AK369" s="3061"/>
      <c r="AL369" s="3061"/>
      <c r="AM369" s="3061"/>
      <c r="AN369" s="3061"/>
      <c r="AO369" s="3061"/>
      <c r="AP369" s="3061"/>
      <c r="AQ369" s="3061"/>
      <c r="AR369" s="3061"/>
      <c r="AS369" s="3061"/>
      <c r="AT369" s="3061"/>
      <c r="AU369" s="3061"/>
      <c r="AV369" s="3061"/>
      <c r="AW369" s="3061"/>
      <c r="AX369" s="3061"/>
      <c r="AY369" s="3061"/>
      <c r="AZ369" s="3061"/>
      <c r="BA369" s="3061"/>
      <c r="BB369" s="3061"/>
      <c r="BC369" s="3061"/>
      <c r="BD369" s="3061"/>
      <c r="BE369" s="3061"/>
      <c r="BF369" s="3061"/>
      <c r="BG369" s="3061"/>
      <c r="BH369" s="3061"/>
      <c r="BI369" s="3061"/>
      <c r="BJ369" s="3061"/>
      <c r="BK369" s="3061"/>
      <c r="BL369" s="3061"/>
      <c r="BM369" s="3061"/>
      <c r="BN369" s="3061"/>
      <c r="BO369" s="3061"/>
      <c r="BP369" s="3061"/>
      <c r="BQ369" s="3061"/>
      <c r="BR369" s="3061"/>
      <c r="BS369" s="3061"/>
      <c r="BT369" s="3061"/>
      <c r="BU369" s="3061"/>
      <c r="BV369" s="3061"/>
      <c r="BW369" s="3061"/>
      <c r="BX369" s="3061"/>
      <c r="BY369" s="3061"/>
      <c r="BZ369" s="3061"/>
      <c r="CA369" s="3061"/>
      <c r="CB369" s="3061"/>
      <c r="CC369" s="3061"/>
      <c r="CD369" s="3061"/>
      <c r="CE369" s="3061"/>
      <c r="CF369" s="3061"/>
      <c r="CG369" s="3061"/>
      <c r="CH369" s="3061"/>
      <c r="CI369" s="3061"/>
      <c r="CJ369" s="3061"/>
      <c r="CK369" s="3061"/>
      <c r="CL369" s="3061"/>
      <c r="CM369" s="3061"/>
      <c r="CN369" s="3061"/>
      <c r="CO369" s="3061"/>
      <c r="CP369" s="3061"/>
      <c r="CQ369" s="3061"/>
      <c r="CR369" s="3061"/>
      <c r="CS369" s="3062"/>
      <c r="CT369" s="3063"/>
      <c r="CU369" s="3064">
        <f t="shared" si="106"/>
        <v>1</v>
      </c>
      <c r="CV369" s="3022" t="str">
        <f>IF(OR(CT369="",CT369="None"),"-",DO369*CU369*SUMIF('Lighting Assumptions'!$G$3:$G$112,'6a - Lighting Counts'!G369,'Lighting Assumptions'!$J$3:$J$112))</f>
        <v>-</v>
      </c>
      <c r="CW369" s="3021"/>
      <c r="CX369" s="3021"/>
      <c r="CY369" s="3046"/>
      <c r="CZ369" s="2098">
        <f t="shared" si="107"/>
        <v>0</v>
      </c>
      <c r="DA369" s="2098" t="str">
        <f t="shared" si="108"/>
        <v>-</v>
      </c>
      <c r="DB369" s="2098">
        <f t="shared" si="109"/>
        <v>0</v>
      </c>
      <c r="DC369" s="3023" t="str">
        <f t="shared" si="110"/>
        <v>-</v>
      </c>
      <c r="DD369" s="3024" t="str">
        <f t="shared" si="111"/>
        <v/>
      </c>
      <c r="DE369" s="3025" t="str">
        <f t="shared" si="112"/>
        <v>-</v>
      </c>
      <c r="DF369" s="3024" t="str">
        <f t="shared" si="103"/>
        <v>-</v>
      </c>
      <c r="DG369" s="2098">
        <f t="shared" si="113"/>
        <v>0</v>
      </c>
      <c r="DH369" s="2098">
        <f t="array" ref="DH369">MIN(SUMPRODUCT(I369:CR369,IF($I$25:$CR$25="yes",1,0),$I$23:$CR$23),H369)</f>
        <v>0</v>
      </c>
      <c r="DI369" s="3026"/>
      <c r="DJ369" s="3021"/>
      <c r="DN369" s="917" t="str">
        <f>IF(CS369="","-",SUMIF('Lighting Assumptions'!$G$3:$G$112,'6a - Lighting Counts'!G369,'Lighting Assumptions'!$J$3:$J$112))</f>
        <v>-</v>
      </c>
      <c r="DO369" s="917" t="str">
        <f t="shared" si="104"/>
        <v>-</v>
      </c>
      <c r="DP369" s="917" t="str">
        <f t="shared" si="105"/>
        <v>-</v>
      </c>
      <c r="DQ369" s="917" t="str">
        <f>IF(LEFT(CELLformula(DF369),3)&lt;&gt;"=IF",1,"")</f>
        <v/>
      </c>
      <c r="DR369" s="917" t="str">
        <f>IF(LEFT(CELLformula(DD369),3)&lt;&gt;"=IF",1,"")</f>
        <v/>
      </c>
      <c r="DS369" s="3048">
        <f t="shared" si="114"/>
        <v>0</v>
      </c>
      <c r="DT369" s="3047" t="str">
        <f t="shared" si="115"/>
        <v/>
      </c>
      <c r="DU369" s="3047" t="str">
        <f>IFERROR(IF(G369="","",SUMIF('Lighting Assumptions'!$G$3:$G$112,'6a - Lighting Counts'!G369,'Lighting Assumptions'!$H$3:$H$112)*IF(SI_IP_Units="SI",10.76,1)),"")</f>
        <v/>
      </c>
      <c r="DV369" s="3047" t="str">
        <f>IFERROR(IF($CX369="","",IF(SI_IP_Units="SI",10.76,1)*SUMIF(BAMCategories,$CY369,'Lighting Assumptions'!$E$3:E$35)),"")</f>
        <v/>
      </c>
      <c r="DW369" s="3047" t="str">
        <f>IFERROR(IF($CX369="","",IF(SI_IP_Units="SI",10.76,1)*SUMIF(BAMCategories,$CY369,IF(bpf_reference="ACP",'Lighting Assumptions 90.1-2010'!$E$3:E$35,'Lighting Assumptions 90.1-2016'!$E$3:E$35))),"")</f>
        <v/>
      </c>
      <c r="EW369" s="855"/>
      <c r="EX369" s="855"/>
      <c r="EY369" s="855"/>
      <c r="EZ369" s="855"/>
    </row>
    <row r="370" spans="4:156" x14ac:dyDescent="0.25">
      <c r="D370" s="3019"/>
      <c r="E370" s="3020"/>
      <c r="F370" s="3021">
        <f t="shared" si="102"/>
        <v>0</v>
      </c>
      <c r="G370" s="3059"/>
      <c r="H370" s="3060"/>
      <c r="I370" s="3061"/>
      <c r="J370" s="3061"/>
      <c r="K370" s="3061"/>
      <c r="L370" s="3061"/>
      <c r="M370" s="3061"/>
      <c r="N370" s="3061"/>
      <c r="O370" s="3061"/>
      <c r="P370" s="3061"/>
      <c r="Q370" s="3061"/>
      <c r="R370" s="3061"/>
      <c r="S370" s="3061"/>
      <c r="T370" s="3061"/>
      <c r="U370" s="3061"/>
      <c r="V370" s="3061"/>
      <c r="W370" s="3061"/>
      <c r="X370" s="3061"/>
      <c r="Y370" s="3061"/>
      <c r="Z370" s="3061"/>
      <c r="AA370" s="3061"/>
      <c r="AB370" s="3061"/>
      <c r="AC370" s="3061"/>
      <c r="AD370" s="3061"/>
      <c r="AE370" s="3061"/>
      <c r="AF370" s="3061"/>
      <c r="AG370" s="3061"/>
      <c r="AH370" s="3061"/>
      <c r="AI370" s="3061"/>
      <c r="AJ370" s="3061"/>
      <c r="AK370" s="3061"/>
      <c r="AL370" s="3061"/>
      <c r="AM370" s="3061"/>
      <c r="AN370" s="3061"/>
      <c r="AO370" s="3061"/>
      <c r="AP370" s="3061"/>
      <c r="AQ370" s="3061"/>
      <c r="AR370" s="3061"/>
      <c r="AS370" s="3061"/>
      <c r="AT370" s="3061"/>
      <c r="AU370" s="3061"/>
      <c r="AV370" s="3061"/>
      <c r="AW370" s="3061"/>
      <c r="AX370" s="3061"/>
      <c r="AY370" s="3061"/>
      <c r="AZ370" s="3061"/>
      <c r="BA370" s="3061"/>
      <c r="BB370" s="3061"/>
      <c r="BC370" s="3061"/>
      <c r="BD370" s="3061"/>
      <c r="BE370" s="3061"/>
      <c r="BF370" s="3061"/>
      <c r="BG370" s="3061"/>
      <c r="BH370" s="3061"/>
      <c r="BI370" s="3061"/>
      <c r="BJ370" s="3061"/>
      <c r="BK370" s="3061"/>
      <c r="BL370" s="3061"/>
      <c r="BM370" s="3061"/>
      <c r="BN370" s="3061"/>
      <c r="BO370" s="3061"/>
      <c r="BP370" s="3061"/>
      <c r="BQ370" s="3061"/>
      <c r="BR370" s="3061"/>
      <c r="BS370" s="3061"/>
      <c r="BT370" s="3061"/>
      <c r="BU370" s="3061"/>
      <c r="BV370" s="3061"/>
      <c r="BW370" s="3061"/>
      <c r="BX370" s="3061"/>
      <c r="BY370" s="3061"/>
      <c r="BZ370" s="3061"/>
      <c r="CA370" s="3061"/>
      <c r="CB370" s="3061"/>
      <c r="CC370" s="3061"/>
      <c r="CD370" s="3061"/>
      <c r="CE370" s="3061"/>
      <c r="CF370" s="3061"/>
      <c r="CG370" s="3061"/>
      <c r="CH370" s="3061"/>
      <c r="CI370" s="3061"/>
      <c r="CJ370" s="3061"/>
      <c r="CK370" s="3061"/>
      <c r="CL370" s="3061"/>
      <c r="CM370" s="3061"/>
      <c r="CN370" s="3061"/>
      <c r="CO370" s="3061"/>
      <c r="CP370" s="3061"/>
      <c r="CQ370" s="3061"/>
      <c r="CR370" s="3061"/>
      <c r="CS370" s="3062"/>
      <c r="CT370" s="3063"/>
      <c r="CU370" s="3064">
        <f t="shared" si="106"/>
        <v>1</v>
      </c>
      <c r="CV370" s="3022" t="str">
        <f>IF(OR(CT370="",CT370="None"),"-",DO370*CU370*SUMIF('Lighting Assumptions'!$G$3:$G$112,'6a - Lighting Counts'!G370,'Lighting Assumptions'!$J$3:$J$112))</f>
        <v>-</v>
      </c>
      <c r="CW370" s="3021"/>
      <c r="CX370" s="3021"/>
      <c r="CY370" s="3046"/>
      <c r="CZ370" s="2098">
        <f t="shared" si="107"/>
        <v>0</v>
      </c>
      <c r="DA370" s="2098" t="str">
        <f t="shared" si="108"/>
        <v>-</v>
      </c>
      <c r="DB370" s="2098">
        <f t="shared" si="109"/>
        <v>0</v>
      </c>
      <c r="DC370" s="3023" t="str">
        <f t="shared" si="110"/>
        <v>-</v>
      </c>
      <c r="DD370" s="3024" t="str">
        <f t="shared" si="111"/>
        <v/>
      </c>
      <c r="DE370" s="3025" t="str">
        <f t="shared" si="112"/>
        <v>-</v>
      </c>
      <c r="DF370" s="3024" t="str">
        <f t="shared" si="103"/>
        <v>-</v>
      </c>
      <c r="DG370" s="2098">
        <f t="shared" si="113"/>
        <v>0</v>
      </c>
      <c r="DH370" s="2098">
        <f t="array" ref="DH370">MIN(SUMPRODUCT(I370:CR370,IF($I$25:$CR$25="yes",1,0),$I$23:$CR$23),H370)</f>
        <v>0</v>
      </c>
      <c r="DI370" s="3026"/>
      <c r="DJ370" s="3021"/>
      <c r="DN370" s="917" t="str">
        <f>IF(CS370="","-",SUMIF('Lighting Assumptions'!$G$3:$G$112,'6a - Lighting Counts'!G370,'Lighting Assumptions'!$J$3:$J$112))</f>
        <v>-</v>
      </c>
      <c r="DO370" s="917" t="str">
        <f t="shared" si="104"/>
        <v>-</v>
      </c>
      <c r="DP370" s="917" t="str">
        <f t="shared" si="105"/>
        <v>-</v>
      </c>
      <c r="DQ370" s="917" t="str">
        <f>IF(LEFT(CELLformula(DF370),3)&lt;&gt;"=IF",1,"")</f>
        <v/>
      </c>
      <c r="DR370" s="917" t="str">
        <f>IF(LEFT(CELLformula(DD370),3)&lt;&gt;"=IF",1,"")</f>
        <v/>
      </c>
      <c r="DS370" s="3048">
        <f t="shared" si="114"/>
        <v>0</v>
      </c>
      <c r="DT370" s="3047" t="str">
        <f t="shared" si="115"/>
        <v/>
      </c>
      <c r="DU370" s="3047" t="str">
        <f>IFERROR(IF(G370="","",SUMIF('Lighting Assumptions'!$G$3:$G$112,'6a - Lighting Counts'!G370,'Lighting Assumptions'!$H$3:$H$112)*IF(SI_IP_Units="SI",10.76,1)),"")</f>
        <v/>
      </c>
      <c r="DV370" s="3047" t="str">
        <f>IFERROR(IF($CX370="","",IF(SI_IP_Units="SI",10.76,1)*SUMIF(BAMCategories,$CY370,'Lighting Assumptions'!$E$3:E$35)),"")</f>
        <v/>
      </c>
      <c r="DW370" s="3047" t="str">
        <f>IFERROR(IF($CX370="","",IF(SI_IP_Units="SI",10.76,1)*SUMIF(BAMCategories,$CY370,IF(bpf_reference="ACP",'Lighting Assumptions 90.1-2010'!$E$3:E$35,'Lighting Assumptions 90.1-2016'!$E$3:E$35))),"")</f>
        <v/>
      </c>
      <c r="EW370" s="855"/>
      <c r="EX370" s="855"/>
      <c r="EY370" s="855"/>
      <c r="EZ370" s="855"/>
    </row>
    <row r="371" spans="4:156" x14ac:dyDescent="0.25">
      <c r="D371" s="3019"/>
      <c r="E371" s="3020"/>
      <c r="F371" s="3021">
        <f t="shared" si="102"/>
        <v>0</v>
      </c>
      <c r="G371" s="3059"/>
      <c r="H371" s="3060"/>
      <c r="I371" s="3061"/>
      <c r="J371" s="3061"/>
      <c r="K371" s="3061"/>
      <c r="L371" s="3061"/>
      <c r="M371" s="3061"/>
      <c r="N371" s="3061"/>
      <c r="O371" s="3061"/>
      <c r="P371" s="3061"/>
      <c r="Q371" s="3061"/>
      <c r="R371" s="3061"/>
      <c r="S371" s="3061"/>
      <c r="T371" s="3061"/>
      <c r="U371" s="3061"/>
      <c r="V371" s="3061"/>
      <c r="W371" s="3061"/>
      <c r="X371" s="3061"/>
      <c r="Y371" s="3061"/>
      <c r="Z371" s="3061"/>
      <c r="AA371" s="3061"/>
      <c r="AB371" s="3061"/>
      <c r="AC371" s="3061"/>
      <c r="AD371" s="3061"/>
      <c r="AE371" s="3061"/>
      <c r="AF371" s="3061"/>
      <c r="AG371" s="3061"/>
      <c r="AH371" s="3061"/>
      <c r="AI371" s="3061"/>
      <c r="AJ371" s="3061"/>
      <c r="AK371" s="3061"/>
      <c r="AL371" s="3061"/>
      <c r="AM371" s="3061"/>
      <c r="AN371" s="3061"/>
      <c r="AO371" s="3061"/>
      <c r="AP371" s="3061"/>
      <c r="AQ371" s="3061"/>
      <c r="AR371" s="3061"/>
      <c r="AS371" s="3061"/>
      <c r="AT371" s="3061"/>
      <c r="AU371" s="3061"/>
      <c r="AV371" s="3061"/>
      <c r="AW371" s="3061"/>
      <c r="AX371" s="3061"/>
      <c r="AY371" s="3061"/>
      <c r="AZ371" s="3061"/>
      <c r="BA371" s="3061"/>
      <c r="BB371" s="3061"/>
      <c r="BC371" s="3061"/>
      <c r="BD371" s="3061"/>
      <c r="BE371" s="3061"/>
      <c r="BF371" s="3061"/>
      <c r="BG371" s="3061"/>
      <c r="BH371" s="3061"/>
      <c r="BI371" s="3061"/>
      <c r="BJ371" s="3061"/>
      <c r="BK371" s="3061"/>
      <c r="BL371" s="3061"/>
      <c r="BM371" s="3061"/>
      <c r="BN371" s="3061"/>
      <c r="BO371" s="3061"/>
      <c r="BP371" s="3061"/>
      <c r="BQ371" s="3061"/>
      <c r="BR371" s="3061"/>
      <c r="BS371" s="3061"/>
      <c r="BT371" s="3061"/>
      <c r="BU371" s="3061"/>
      <c r="BV371" s="3061"/>
      <c r="BW371" s="3061"/>
      <c r="BX371" s="3061"/>
      <c r="BY371" s="3061"/>
      <c r="BZ371" s="3061"/>
      <c r="CA371" s="3061"/>
      <c r="CB371" s="3061"/>
      <c r="CC371" s="3061"/>
      <c r="CD371" s="3061"/>
      <c r="CE371" s="3061"/>
      <c r="CF371" s="3061"/>
      <c r="CG371" s="3061"/>
      <c r="CH371" s="3061"/>
      <c r="CI371" s="3061"/>
      <c r="CJ371" s="3061"/>
      <c r="CK371" s="3061"/>
      <c r="CL371" s="3061"/>
      <c r="CM371" s="3061"/>
      <c r="CN371" s="3061"/>
      <c r="CO371" s="3061"/>
      <c r="CP371" s="3061"/>
      <c r="CQ371" s="3061"/>
      <c r="CR371" s="3061"/>
      <c r="CS371" s="3062"/>
      <c r="CT371" s="3063"/>
      <c r="CU371" s="3064">
        <f t="shared" si="106"/>
        <v>1</v>
      </c>
      <c r="CV371" s="3022" t="str">
        <f>IF(OR(CT371="",CT371="None"),"-",DO371*CU371*SUMIF('Lighting Assumptions'!$G$3:$G$112,'6a - Lighting Counts'!G371,'Lighting Assumptions'!$J$3:$J$112))</f>
        <v>-</v>
      </c>
      <c r="CW371" s="3021"/>
      <c r="CX371" s="3021"/>
      <c r="CY371" s="3046"/>
      <c r="CZ371" s="2098">
        <f t="shared" si="107"/>
        <v>0</v>
      </c>
      <c r="DA371" s="2098" t="str">
        <f t="shared" si="108"/>
        <v>-</v>
      </c>
      <c r="DB371" s="2098">
        <f t="shared" si="109"/>
        <v>0</v>
      </c>
      <c r="DC371" s="3023" t="str">
        <f t="shared" si="110"/>
        <v>-</v>
      </c>
      <c r="DD371" s="3024" t="str">
        <f t="shared" si="111"/>
        <v/>
      </c>
      <c r="DE371" s="3025" t="str">
        <f t="shared" si="112"/>
        <v>-</v>
      </c>
      <c r="DF371" s="3024" t="str">
        <f t="shared" si="103"/>
        <v>-</v>
      </c>
      <c r="DG371" s="2098">
        <f t="shared" si="113"/>
        <v>0</v>
      </c>
      <c r="DH371" s="2098">
        <f t="array" ref="DH371">MIN(SUMPRODUCT(I371:CR371,IF($I$25:$CR$25="yes",1,0),$I$23:$CR$23),H371)</f>
        <v>0</v>
      </c>
      <c r="DI371" s="3026"/>
      <c r="DJ371" s="3021"/>
      <c r="DN371" s="917" t="str">
        <f>IF(CS371="","-",SUMIF('Lighting Assumptions'!$G$3:$G$112,'6a - Lighting Counts'!G371,'Lighting Assumptions'!$J$3:$J$112))</f>
        <v>-</v>
      </c>
      <c r="DO371" s="917" t="str">
        <f t="shared" si="104"/>
        <v>-</v>
      </c>
      <c r="DP371" s="917" t="str">
        <f t="shared" si="105"/>
        <v>-</v>
      </c>
      <c r="DQ371" s="917" t="str">
        <f>IF(LEFT(CELLformula(DF371),3)&lt;&gt;"=IF",1,"")</f>
        <v/>
      </c>
      <c r="DR371" s="917" t="str">
        <f>IF(LEFT(CELLformula(DD371),3)&lt;&gt;"=IF",1,"")</f>
        <v/>
      </c>
      <c r="DS371" s="3048">
        <f t="shared" si="114"/>
        <v>0</v>
      </c>
      <c r="DT371" s="3047" t="str">
        <f t="shared" si="115"/>
        <v/>
      </c>
      <c r="DU371" s="3047" t="str">
        <f>IFERROR(IF(G371="","",SUMIF('Lighting Assumptions'!$G$3:$G$112,'6a - Lighting Counts'!G371,'Lighting Assumptions'!$H$3:$H$112)*IF(SI_IP_Units="SI",10.76,1)),"")</f>
        <v/>
      </c>
      <c r="DV371" s="3047" t="str">
        <f>IFERROR(IF($CX371="","",IF(SI_IP_Units="SI",10.76,1)*SUMIF(BAMCategories,$CY371,'Lighting Assumptions'!$E$3:E$35)),"")</f>
        <v/>
      </c>
      <c r="DW371" s="3047" t="str">
        <f>IFERROR(IF($CX371="","",IF(SI_IP_Units="SI",10.76,1)*SUMIF(BAMCategories,$CY371,IF(bpf_reference="ACP",'Lighting Assumptions 90.1-2010'!$E$3:E$35,'Lighting Assumptions 90.1-2016'!$E$3:E$35))),"")</f>
        <v/>
      </c>
      <c r="EW371" s="855"/>
      <c r="EX371" s="855"/>
      <c r="EY371" s="855"/>
      <c r="EZ371" s="855"/>
    </row>
    <row r="372" spans="4:156" x14ac:dyDescent="0.25">
      <c r="D372" s="3019"/>
      <c r="E372" s="3020"/>
      <c r="F372" s="3021">
        <f t="shared" si="102"/>
        <v>0</v>
      </c>
      <c r="G372" s="3059"/>
      <c r="H372" s="3060"/>
      <c r="I372" s="3061"/>
      <c r="J372" s="3061"/>
      <c r="K372" s="3061"/>
      <c r="L372" s="3061"/>
      <c r="M372" s="3061"/>
      <c r="N372" s="3061"/>
      <c r="O372" s="3061"/>
      <c r="P372" s="3061"/>
      <c r="Q372" s="3061"/>
      <c r="R372" s="3061"/>
      <c r="S372" s="3061"/>
      <c r="T372" s="3061"/>
      <c r="U372" s="3061"/>
      <c r="V372" s="3061"/>
      <c r="W372" s="3061"/>
      <c r="X372" s="3061"/>
      <c r="Y372" s="3061"/>
      <c r="Z372" s="3061"/>
      <c r="AA372" s="3061"/>
      <c r="AB372" s="3061"/>
      <c r="AC372" s="3061"/>
      <c r="AD372" s="3061"/>
      <c r="AE372" s="3061"/>
      <c r="AF372" s="3061"/>
      <c r="AG372" s="3061"/>
      <c r="AH372" s="3061"/>
      <c r="AI372" s="3061"/>
      <c r="AJ372" s="3061"/>
      <c r="AK372" s="3061"/>
      <c r="AL372" s="3061"/>
      <c r="AM372" s="3061"/>
      <c r="AN372" s="3061"/>
      <c r="AO372" s="3061"/>
      <c r="AP372" s="3061"/>
      <c r="AQ372" s="3061"/>
      <c r="AR372" s="3061"/>
      <c r="AS372" s="3061"/>
      <c r="AT372" s="3061"/>
      <c r="AU372" s="3061"/>
      <c r="AV372" s="3061"/>
      <c r="AW372" s="3061"/>
      <c r="AX372" s="3061"/>
      <c r="AY372" s="3061"/>
      <c r="AZ372" s="3061"/>
      <c r="BA372" s="3061"/>
      <c r="BB372" s="3061"/>
      <c r="BC372" s="3061"/>
      <c r="BD372" s="3061"/>
      <c r="BE372" s="3061"/>
      <c r="BF372" s="3061"/>
      <c r="BG372" s="3061"/>
      <c r="BH372" s="3061"/>
      <c r="BI372" s="3061"/>
      <c r="BJ372" s="3061"/>
      <c r="BK372" s="3061"/>
      <c r="BL372" s="3061"/>
      <c r="BM372" s="3061"/>
      <c r="BN372" s="3061"/>
      <c r="BO372" s="3061"/>
      <c r="BP372" s="3061"/>
      <c r="BQ372" s="3061"/>
      <c r="BR372" s="3061"/>
      <c r="BS372" s="3061"/>
      <c r="BT372" s="3061"/>
      <c r="BU372" s="3061"/>
      <c r="BV372" s="3061"/>
      <c r="BW372" s="3061"/>
      <c r="BX372" s="3061"/>
      <c r="BY372" s="3061"/>
      <c r="BZ372" s="3061"/>
      <c r="CA372" s="3061"/>
      <c r="CB372" s="3061"/>
      <c r="CC372" s="3061"/>
      <c r="CD372" s="3061"/>
      <c r="CE372" s="3061"/>
      <c r="CF372" s="3061"/>
      <c r="CG372" s="3061"/>
      <c r="CH372" s="3061"/>
      <c r="CI372" s="3061"/>
      <c r="CJ372" s="3061"/>
      <c r="CK372" s="3061"/>
      <c r="CL372" s="3061"/>
      <c r="CM372" s="3061"/>
      <c r="CN372" s="3061"/>
      <c r="CO372" s="3061"/>
      <c r="CP372" s="3061"/>
      <c r="CQ372" s="3061"/>
      <c r="CR372" s="3061"/>
      <c r="CS372" s="3062"/>
      <c r="CT372" s="3063"/>
      <c r="CU372" s="3064">
        <f t="shared" si="106"/>
        <v>1</v>
      </c>
      <c r="CV372" s="3022" t="str">
        <f>IF(OR(CT372="",CT372="None"),"-",DO372*CU372*SUMIF('Lighting Assumptions'!$G$3:$G$112,'6a - Lighting Counts'!G372,'Lighting Assumptions'!$J$3:$J$112))</f>
        <v>-</v>
      </c>
      <c r="CW372" s="3021"/>
      <c r="CX372" s="3021"/>
      <c r="CY372" s="3046"/>
      <c r="CZ372" s="2098">
        <f t="shared" si="107"/>
        <v>0</v>
      </c>
      <c r="DA372" s="2098" t="str">
        <f t="shared" si="108"/>
        <v>-</v>
      </c>
      <c r="DB372" s="2098">
        <f t="shared" si="109"/>
        <v>0</v>
      </c>
      <c r="DC372" s="3023" t="str">
        <f t="shared" si="110"/>
        <v>-</v>
      </c>
      <c r="DD372" s="3024" t="str">
        <f t="shared" si="111"/>
        <v/>
      </c>
      <c r="DE372" s="3025" t="str">
        <f t="shared" si="112"/>
        <v>-</v>
      </c>
      <c r="DF372" s="3024" t="str">
        <f t="shared" si="103"/>
        <v>-</v>
      </c>
      <c r="DG372" s="2098">
        <f t="shared" si="113"/>
        <v>0</v>
      </c>
      <c r="DH372" s="2098">
        <f t="array" ref="DH372">MIN(SUMPRODUCT(I372:CR372,IF($I$25:$CR$25="yes",1,0),$I$23:$CR$23),H372)</f>
        <v>0</v>
      </c>
      <c r="DI372" s="3026"/>
      <c r="DJ372" s="3021"/>
      <c r="DN372" s="917" t="str">
        <f>IF(CS372="","-",SUMIF('Lighting Assumptions'!$G$3:$G$112,'6a - Lighting Counts'!G372,'Lighting Assumptions'!$J$3:$J$112))</f>
        <v>-</v>
      </c>
      <c r="DO372" s="917" t="str">
        <f t="shared" si="104"/>
        <v>-</v>
      </c>
      <c r="DP372" s="917" t="str">
        <f t="shared" si="105"/>
        <v>-</v>
      </c>
      <c r="DQ372" s="917" t="str">
        <f>IF(LEFT(CELLformula(DF372),3)&lt;&gt;"=IF",1,"")</f>
        <v/>
      </c>
      <c r="DR372" s="917" t="str">
        <f>IF(LEFT(CELLformula(DD372),3)&lt;&gt;"=IF",1,"")</f>
        <v/>
      </c>
      <c r="DS372" s="3048">
        <f t="shared" si="114"/>
        <v>0</v>
      </c>
      <c r="DT372" s="3047" t="str">
        <f t="shared" si="115"/>
        <v/>
      </c>
      <c r="DU372" s="3047" t="str">
        <f>IFERROR(IF(G372="","",SUMIF('Lighting Assumptions'!$G$3:$G$112,'6a - Lighting Counts'!G372,'Lighting Assumptions'!$H$3:$H$112)*IF(SI_IP_Units="SI",10.76,1)),"")</f>
        <v/>
      </c>
      <c r="DV372" s="3047" t="str">
        <f>IFERROR(IF($CX372="","",IF(SI_IP_Units="SI",10.76,1)*SUMIF(BAMCategories,$CY372,'Lighting Assumptions'!$E$3:E$35)),"")</f>
        <v/>
      </c>
      <c r="DW372" s="3047" t="str">
        <f>IFERROR(IF($CX372="","",IF(SI_IP_Units="SI",10.76,1)*SUMIF(BAMCategories,$CY372,IF(bpf_reference="ACP",'Lighting Assumptions 90.1-2010'!$E$3:E$35,'Lighting Assumptions 90.1-2016'!$E$3:E$35))),"")</f>
        <v/>
      </c>
      <c r="EW372" s="855"/>
      <c r="EX372" s="855"/>
      <c r="EY372" s="855"/>
      <c r="EZ372" s="855"/>
    </row>
    <row r="373" spans="4:156" x14ac:dyDescent="0.25">
      <c r="D373" s="3019"/>
      <c r="E373" s="3020"/>
      <c r="F373" s="3021">
        <f t="shared" si="102"/>
        <v>0</v>
      </c>
      <c r="G373" s="3059"/>
      <c r="H373" s="3060"/>
      <c r="I373" s="3061"/>
      <c r="J373" s="3061"/>
      <c r="K373" s="3061"/>
      <c r="L373" s="3061"/>
      <c r="M373" s="3061"/>
      <c r="N373" s="3061"/>
      <c r="O373" s="3061"/>
      <c r="P373" s="3061"/>
      <c r="Q373" s="3061"/>
      <c r="R373" s="3061"/>
      <c r="S373" s="3061"/>
      <c r="T373" s="3061"/>
      <c r="U373" s="3061"/>
      <c r="V373" s="3061"/>
      <c r="W373" s="3061"/>
      <c r="X373" s="3061"/>
      <c r="Y373" s="3061"/>
      <c r="Z373" s="3061"/>
      <c r="AA373" s="3061"/>
      <c r="AB373" s="3061"/>
      <c r="AC373" s="3061"/>
      <c r="AD373" s="3061"/>
      <c r="AE373" s="3061"/>
      <c r="AF373" s="3061"/>
      <c r="AG373" s="3061"/>
      <c r="AH373" s="3061"/>
      <c r="AI373" s="3061"/>
      <c r="AJ373" s="3061"/>
      <c r="AK373" s="3061"/>
      <c r="AL373" s="3061"/>
      <c r="AM373" s="3061"/>
      <c r="AN373" s="3061"/>
      <c r="AO373" s="3061"/>
      <c r="AP373" s="3061"/>
      <c r="AQ373" s="3061"/>
      <c r="AR373" s="3061"/>
      <c r="AS373" s="3061"/>
      <c r="AT373" s="3061"/>
      <c r="AU373" s="3061"/>
      <c r="AV373" s="3061"/>
      <c r="AW373" s="3061"/>
      <c r="AX373" s="3061"/>
      <c r="AY373" s="3061"/>
      <c r="AZ373" s="3061"/>
      <c r="BA373" s="3061"/>
      <c r="BB373" s="3061"/>
      <c r="BC373" s="3061"/>
      <c r="BD373" s="3061"/>
      <c r="BE373" s="3061"/>
      <c r="BF373" s="3061"/>
      <c r="BG373" s="3061"/>
      <c r="BH373" s="3061"/>
      <c r="BI373" s="3061"/>
      <c r="BJ373" s="3061"/>
      <c r="BK373" s="3061"/>
      <c r="BL373" s="3061"/>
      <c r="BM373" s="3061"/>
      <c r="BN373" s="3061"/>
      <c r="BO373" s="3061"/>
      <c r="BP373" s="3061"/>
      <c r="BQ373" s="3061"/>
      <c r="BR373" s="3061"/>
      <c r="BS373" s="3061"/>
      <c r="BT373" s="3061"/>
      <c r="BU373" s="3061"/>
      <c r="BV373" s="3061"/>
      <c r="BW373" s="3061"/>
      <c r="BX373" s="3061"/>
      <c r="BY373" s="3061"/>
      <c r="BZ373" s="3061"/>
      <c r="CA373" s="3061"/>
      <c r="CB373" s="3061"/>
      <c r="CC373" s="3061"/>
      <c r="CD373" s="3061"/>
      <c r="CE373" s="3061"/>
      <c r="CF373" s="3061"/>
      <c r="CG373" s="3061"/>
      <c r="CH373" s="3061"/>
      <c r="CI373" s="3061"/>
      <c r="CJ373" s="3061"/>
      <c r="CK373" s="3061"/>
      <c r="CL373" s="3061"/>
      <c r="CM373" s="3061"/>
      <c r="CN373" s="3061"/>
      <c r="CO373" s="3061"/>
      <c r="CP373" s="3061"/>
      <c r="CQ373" s="3061"/>
      <c r="CR373" s="3061"/>
      <c r="CS373" s="3062"/>
      <c r="CT373" s="3063"/>
      <c r="CU373" s="3064">
        <f t="shared" si="106"/>
        <v>1</v>
      </c>
      <c r="CV373" s="3022" t="str">
        <f>IF(OR(CT373="",CT373="None"),"-",DO373*CU373*SUMIF('Lighting Assumptions'!$G$3:$G$112,'6a - Lighting Counts'!G373,'Lighting Assumptions'!$J$3:$J$112))</f>
        <v>-</v>
      </c>
      <c r="CW373" s="3021"/>
      <c r="CX373" s="3021"/>
      <c r="CY373" s="3046"/>
      <c r="CZ373" s="2098">
        <f t="shared" si="107"/>
        <v>0</v>
      </c>
      <c r="DA373" s="2098" t="str">
        <f t="shared" si="108"/>
        <v>-</v>
      </c>
      <c r="DB373" s="2098">
        <f t="shared" si="109"/>
        <v>0</v>
      </c>
      <c r="DC373" s="3023" t="str">
        <f t="shared" si="110"/>
        <v>-</v>
      </c>
      <c r="DD373" s="3024" t="str">
        <f t="shared" si="111"/>
        <v/>
      </c>
      <c r="DE373" s="3025" t="str">
        <f t="shared" si="112"/>
        <v>-</v>
      </c>
      <c r="DF373" s="3024" t="str">
        <f t="shared" si="103"/>
        <v>-</v>
      </c>
      <c r="DG373" s="2098">
        <f t="shared" si="113"/>
        <v>0</v>
      </c>
      <c r="DH373" s="2098">
        <f t="array" ref="DH373">MIN(SUMPRODUCT(I373:CR373,IF($I$25:$CR$25="yes",1,0),$I$23:$CR$23),H373)</f>
        <v>0</v>
      </c>
      <c r="DI373" s="3026"/>
      <c r="DJ373" s="3021"/>
      <c r="DN373" s="917" t="str">
        <f>IF(CS373="","-",SUMIF('Lighting Assumptions'!$G$3:$G$112,'6a - Lighting Counts'!G373,'Lighting Assumptions'!$J$3:$J$112))</f>
        <v>-</v>
      </c>
      <c r="DO373" s="917" t="str">
        <f t="shared" si="104"/>
        <v>-</v>
      </c>
      <c r="DP373" s="917" t="str">
        <f t="shared" si="105"/>
        <v>-</v>
      </c>
      <c r="DQ373" s="917" t="str">
        <f>IF(LEFT(CELLformula(DF373),3)&lt;&gt;"=IF",1,"")</f>
        <v/>
      </c>
      <c r="DR373" s="917" t="str">
        <f>IF(LEFT(CELLformula(DD373),3)&lt;&gt;"=IF",1,"")</f>
        <v/>
      </c>
      <c r="DS373" s="3048">
        <f t="shared" si="114"/>
        <v>0</v>
      </c>
      <c r="DT373" s="3047" t="str">
        <f t="shared" si="115"/>
        <v/>
      </c>
      <c r="DU373" s="3047" t="str">
        <f>IFERROR(IF(G373="","",SUMIF('Lighting Assumptions'!$G$3:$G$112,'6a - Lighting Counts'!G373,'Lighting Assumptions'!$H$3:$H$112)*IF(SI_IP_Units="SI",10.76,1)),"")</f>
        <v/>
      </c>
      <c r="DV373" s="3047" t="str">
        <f>IFERROR(IF($CX373="","",IF(SI_IP_Units="SI",10.76,1)*SUMIF(BAMCategories,$CY373,'Lighting Assumptions'!$E$3:E$35)),"")</f>
        <v/>
      </c>
      <c r="DW373" s="3047" t="str">
        <f>IFERROR(IF($CX373="","",IF(SI_IP_Units="SI",10.76,1)*SUMIF(BAMCategories,$CY373,IF(bpf_reference="ACP",'Lighting Assumptions 90.1-2010'!$E$3:E$35,'Lighting Assumptions 90.1-2016'!$E$3:E$35))),"")</f>
        <v/>
      </c>
      <c r="EW373" s="855"/>
      <c r="EX373" s="855"/>
      <c r="EY373" s="855"/>
      <c r="EZ373" s="855"/>
    </row>
    <row r="374" spans="4:156" x14ac:dyDescent="0.25">
      <c r="D374" s="3019"/>
      <c r="E374" s="3020"/>
      <c r="F374" s="3021">
        <f t="shared" si="102"/>
        <v>0</v>
      </c>
      <c r="G374" s="3059"/>
      <c r="H374" s="3060"/>
      <c r="I374" s="3061"/>
      <c r="J374" s="3061"/>
      <c r="K374" s="3061"/>
      <c r="L374" s="3061"/>
      <c r="M374" s="3061"/>
      <c r="N374" s="3061"/>
      <c r="O374" s="3061"/>
      <c r="P374" s="3061"/>
      <c r="Q374" s="3061"/>
      <c r="R374" s="3061"/>
      <c r="S374" s="3061"/>
      <c r="T374" s="3061"/>
      <c r="U374" s="3061"/>
      <c r="V374" s="3061"/>
      <c r="W374" s="3061"/>
      <c r="X374" s="3061"/>
      <c r="Y374" s="3061"/>
      <c r="Z374" s="3061"/>
      <c r="AA374" s="3061"/>
      <c r="AB374" s="3061"/>
      <c r="AC374" s="3061"/>
      <c r="AD374" s="3061"/>
      <c r="AE374" s="3061"/>
      <c r="AF374" s="3061"/>
      <c r="AG374" s="3061"/>
      <c r="AH374" s="3061"/>
      <c r="AI374" s="3061"/>
      <c r="AJ374" s="3061"/>
      <c r="AK374" s="3061"/>
      <c r="AL374" s="3061"/>
      <c r="AM374" s="3061"/>
      <c r="AN374" s="3061"/>
      <c r="AO374" s="3061"/>
      <c r="AP374" s="3061"/>
      <c r="AQ374" s="3061"/>
      <c r="AR374" s="3061"/>
      <c r="AS374" s="3061"/>
      <c r="AT374" s="3061"/>
      <c r="AU374" s="3061"/>
      <c r="AV374" s="3061"/>
      <c r="AW374" s="3061"/>
      <c r="AX374" s="3061"/>
      <c r="AY374" s="3061"/>
      <c r="AZ374" s="3061"/>
      <c r="BA374" s="3061"/>
      <c r="BB374" s="3061"/>
      <c r="BC374" s="3061"/>
      <c r="BD374" s="3061"/>
      <c r="BE374" s="3061"/>
      <c r="BF374" s="3061"/>
      <c r="BG374" s="3061"/>
      <c r="BH374" s="3061"/>
      <c r="BI374" s="3061"/>
      <c r="BJ374" s="3061"/>
      <c r="BK374" s="3061"/>
      <c r="BL374" s="3061"/>
      <c r="BM374" s="3061"/>
      <c r="BN374" s="3061"/>
      <c r="BO374" s="3061"/>
      <c r="BP374" s="3061"/>
      <c r="BQ374" s="3061"/>
      <c r="BR374" s="3061"/>
      <c r="BS374" s="3061"/>
      <c r="BT374" s="3061"/>
      <c r="BU374" s="3061"/>
      <c r="BV374" s="3061"/>
      <c r="BW374" s="3061"/>
      <c r="BX374" s="3061"/>
      <c r="BY374" s="3061"/>
      <c r="BZ374" s="3061"/>
      <c r="CA374" s="3061"/>
      <c r="CB374" s="3061"/>
      <c r="CC374" s="3061"/>
      <c r="CD374" s="3061"/>
      <c r="CE374" s="3061"/>
      <c r="CF374" s="3061"/>
      <c r="CG374" s="3061"/>
      <c r="CH374" s="3061"/>
      <c r="CI374" s="3061"/>
      <c r="CJ374" s="3061"/>
      <c r="CK374" s="3061"/>
      <c r="CL374" s="3061"/>
      <c r="CM374" s="3061"/>
      <c r="CN374" s="3061"/>
      <c r="CO374" s="3061"/>
      <c r="CP374" s="3061"/>
      <c r="CQ374" s="3061"/>
      <c r="CR374" s="3061"/>
      <c r="CS374" s="3062"/>
      <c r="CT374" s="3063"/>
      <c r="CU374" s="3064">
        <f t="shared" si="106"/>
        <v>1</v>
      </c>
      <c r="CV374" s="3022" t="str">
        <f>IF(OR(CT374="",CT374="None"),"-",DO374*CU374*SUMIF('Lighting Assumptions'!$G$3:$G$112,'6a - Lighting Counts'!G374,'Lighting Assumptions'!$J$3:$J$112))</f>
        <v>-</v>
      </c>
      <c r="CW374" s="3021"/>
      <c r="CX374" s="3021"/>
      <c r="CY374" s="3046"/>
      <c r="CZ374" s="2098">
        <f t="shared" si="107"/>
        <v>0</v>
      </c>
      <c r="DA374" s="2098" t="str">
        <f t="shared" si="108"/>
        <v>-</v>
      </c>
      <c r="DB374" s="2098">
        <f t="shared" si="109"/>
        <v>0</v>
      </c>
      <c r="DC374" s="3023" t="str">
        <f t="shared" si="110"/>
        <v>-</v>
      </c>
      <c r="DD374" s="3024" t="str">
        <f t="shared" si="111"/>
        <v/>
      </c>
      <c r="DE374" s="3025" t="str">
        <f t="shared" si="112"/>
        <v>-</v>
      </c>
      <c r="DF374" s="3024" t="str">
        <f t="shared" si="103"/>
        <v>-</v>
      </c>
      <c r="DG374" s="2098">
        <f t="shared" si="113"/>
        <v>0</v>
      </c>
      <c r="DH374" s="2098">
        <f t="array" ref="DH374">MIN(SUMPRODUCT(I374:CR374,IF($I$25:$CR$25="yes",1,0),$I$23:$CR$23),H374)</f>
        <v>0</v>
      </c>
      <c r="DI374" s="3026"/>
      <c r="DJ374" s="3021"/>
      <c r="DN374" s="917" t="str">
        <f>IF(CS374="","-",SUMIF('Lighting Assumptions'!$G$3:$G$112,'6a - Lighting Counts'!G374,'Lighting Assumptions'!$J$3:$J$112))</f>
        <v>-</v>
      </c>
      <c r="DO374" s="917" t="str">
        <f t="shared" si="104"/>
        <v>-</v>
      </c>
      <c r="DP374" s="917" t="str">
        <f t="shared" si="105"/>
        <v>-</v>
      </c>
      <c r="DQ374" s="917" t="str">
        <f>IF(LEFT(CELLformula(DF374),3)&lt;&gt;"=IF",1,"")</f>
        <v/>
      </c>
      <c r="DR374" s="917" t="str">
        <f>IF(LEFT(CELLformula(DD374),3)&lt;&gt;"=IF",1,"")</f>
        <v/>
      </c>
      <c r="DS374" s="3048">
        <f t="shared" si="114"/>
        <v>0</v>
      </c>
      <c r="DT374" s="3047" t="str">
        <f t="shared" si="115"/>
        <v/>
      </c>
      <c r="DU374" s="3047" t="str">
        <f>IFERROR(IF(G374="","",SUMIF('Lighting Assumptions'!$G$3:$G$112,'6a - Lighting Counts'!G374,'Lighting Assumptions'!$H$3:$H$112)*IF(SI_IP_Units="SI",10.76,1)),"")</f>
        <v/>
      </c>
      <c r="DV374" s="3047" t="str">
        <f>IFERROR(IF($CX374="","",IF(SI_IP_Units="SI",10.76,1)*SUMIF(BAMCategories,$CY374,'Lighting Assumptions'!$E$3:E$35)),"")</f>
        <v/>
      </c>
      <c r="DW374" s="3047" t="str">
        <f>IFERROR(IF($CX374="","",IF(SI_IP_Units="SI",10.76,1)*SUMIF(BAMCategories,$CY374,IF(bpf_reference="ACP",'Lighting Assumptions 90.1-2010'!$E$3:E$35,'Lighting Assumptions 90.1-2016'!$E$3:E$35))),"")</f>
        <v/>
      </c>
      <c r="EW374" s="855"/>
      <c r="EX374" s="855"/>
      <c r="EY374" s="855"/>
      <c r="EZ374" s="855"/>
    </row>
    <row r="375" spans="4:156" x14ac:dyDescent="0.25">
      <c r="D375" s="3019"/>
      <c r="E375" s="3020"/>
      <c r="F375" s="3021">
        <f t="shared" si="102"/>
        <v>0</v>
      </c>
      <c r="G375" s="3059"/>
      <c r="H375" s="3060"/>
      <c r="I375" s="3061"/>
      <c r="J375" s="3061"/>
      <c r="K375" s="3061"/>
      <c r="L375" s="3061"/>
      <c r="M375" s="3061"/>
      <c r="N375" s="3061"/>
      <c r="O375" s="3061"/>
      <c r="P375" s="3061"/>
      <c r="Q375" s="3061"/>
      <c r="R375" s="3061"/>
      <c r="S375" s="3061"/>
      <c r="T375" s="3061"/>
      <c r="U375" s="3061"/>
      <c r="V375" s="3061"/>
      <c r="W375" s="3061"/>
      <c r="X375" s="3061"/>
      <c r="Y375" s="3061"/>
      <c r="Z375" s="3061"/>
      <c r="AA375" s="3061"/>
      <c r="AB375" s="3061"/>
      <c r="AC375" s="3061"/>
      <c r="AD375" s="3061"/>
      <c r="AE375" s="3061"/>
      <c r="AF375" s="3061"/>
      <c r="AG375" s="3061"/>
      <c r="AH375" s="3061"/>
      <c r="AI375" s="3061"/>
      <c r="AJ375" s="3061"/>
      <c r="AK375" s="3061"/>
      <c r="AL375" s="3061"/>
      <c r="AM375" s="3061"/>
      <c r="AN375" s="3061"/>
      <c r="AO375" s="3061"/>
      <c r="AP375" s="3061"/>
      <c r="AQ375" s="3061"/>
      <c r="AR375" s="3061"/>
      <c r="AS375" s="3061"/>
      <c r="AT375" s="3061"/>
      <c r="AU375" s="3061"/>
      <c r="AV375" s="3061"/>
      <c r="AW375" s="3061"/>
      <c r="AX375" s="3061"/>
      <c r="AY375" s="3061"/>
      <c r="AZ375" s="3061"/>
      <c r="BA375" s="3061"/>
      <c r="BB375" s="3061"/>
      <c r="BC375" s="3061"/>
      <c r="BD375" s="3061"/>
      <c r="BE375" s="3061"/>
      <c r="BF375" s="3061"/>
      <c r="BG375" s="3061"/>
      <c r="BH375" s="3061"/>
      <c r="BI375" s="3061"/>
      <c r="BJ375" s="3061"/>
      <c r="BK375" s="3061"/>
      <c r="BL375" s="3061"/>
      <c r="BM375" s="3061"/>
      <c r="BN375" s="3061"/>
      <c r="BO375" s="3061"/>
      <c r="BP375" s="3061"/>
      <c r="BQ375" s="3061"/>
      <c r="BR375" s="3061"/>
      <c r="BS375" s="3061"/>
      <c r="BT375" s="3061"/>
      <c r="BU375" s="3061"/>
      <c r="BV375" s="3061"/>
      <c r="BW375" s="3061"/>
      <c r="BX375" s="3061"/>
      <c r="BY375" s="3061"/>
      <c r="BZ375" s="3061"/>
      <c r="CA375" s="3061"/>
      <c r="CB375" s="3061"/>
      <c r="CC375" s="3061"/>
      <c r="CD375" s="3061"/>
      <c r="CE375" s="3061"/>
      <c r="CF375" s="3061"/>
      <c r="CG375" s="3061"/>
      <c r="CH375" s="3061"/>
      <c r="CI375" s="3061"/>
      <c r="CJ375" s="3061"/>
      <c r="CK375" s="3061"/>
      <c r="CL375" s="3061"/>
      <c r="CM375" s="3061"/>
      <c r="CN375" s="3061"/>
      <c r="CO375" s="3061"/>
      <c r="CP375" s="3061"/>
      <c r="CQ375" s="3061"/>
      <c r="CR375" s="3061"/>
      <c r="CS375" s="3062"/>
      <c r="CT375" s="3063"/>
      <c r="CU375" s="3064">
        <f t="shared" si="106"/>
        <v>1</v>
      </c>
      <c r="CV375" s="3022" t="str">
        <f>IF(OR(CT375="",CT375="None"),"-",DO375*CU375*SUMIF('Lighting Assumptions'!$G$3:$G$112,'6a - Lighting Counts'!G375,'Lighting Assumptions'!$J$3:$J$112))</f>
        <v>-</v>
      </c>
      <c r="CW375" s="3021"/>
      <c r="CX375" s="3021"/>
      <c r="CY375" s="3046"/>
      <c r="CZ375" s="2098">
        <f t="shared" si="107"/>
        <v>0</v>
      </c>
      <c r="DA375" s="2098" t="str">
        <f t="shared" si="108"/>
        <v>-</v>
      </c>
      <c r="DB375" s="2098">
        <f t="shared" si="109"/>
        <v>0</v>
      </c>
      <c r="DC375" s="3023" t="str">
        <f t="shared" si="110"/>
        <v>-</v>
      </c>
      <c r="DD375" s="3024" t="str">
        <f t="shared" si="111"/>
        <v/>
      </c>
      <c r="DE375" s="3025" t="str">
        <f t="shared" si="112"/>
        <v>-</v>
      </c>
      <c r="DF375" s="3024" t="str">
        <f t="shared" si="103"/>
        <v>-</v>
      </c>
      <c r="DG375" s="2098">
        <f t="shared" si="113"/>
        <v>0</v>
      </c>
      <c r="DH375" s="2098">
        <f t="array" ref="DH375">MIN(SUMPRODUCT(I375:CR375,IF($I$25:$CR$25="yes",1,0),$I$23:$CR$23),H375)</f>
        <v>0</v>
      </c>
      <c r="DI375" s="3026"/>
      <c r="DJ375" s="3021"/>
      <c r="DN375" s="917" t="str">
        <f>IF(CS375="","-",SUMIF('Lighting Assumptions'!$G$3:$G$112,'6a - Lighting Counts'!G375,'Lighting Assumptions'!$J$3:$J$112))</f>
        <v>-</v>
      </c>
      <c r="DO375" s="917" t="str">
        <f t="shared" si="104"/>
        <v>-</v>
      </c>
      <c r="DP375" s="917" t="str">
        <f t="shared" si="105"/>
        <v>-</v>
      </c>
      <c r="DQ375" s="917" t="str">
        <f>IF(LEFT(CELLformula(DF375),3)&lt;&gt;"=IF",1,"")</f>
        <v/>
      </c>
      <c r="DR375" s="917" t="str">
        <f>IF(LEFT(CELLformula(DD375),3)&lt;&gt;"=IF",1,"")</f>
        <v/>
      </c>
      <c r="DS375" s="3048">
        <f t="shared" si="114"/>
        <v>0</v>
      </c>
      <c r="DT375" s="3047" t="str">
        <f t="shared" si="115"/>
        <v/>
      </c>
      <c r="DU375" s="3047" t="str">
        <f>IFERROR(IF(G375="","",SUMIF('Lighting Assumptions'!$G$3:$G$112,'6a - Lighting Counts'!G375,'Lighting Assumptions'!$H$3:$H$112)*IF(SI_IP_Units="SI",10.76,1)),"")</f>
        <v/>
      </c>
      <c r="DV375" s="3047" t="str">
        <f>IFERROR(IF($CX375="","",IF(SI_IP_Units="SI",10.76,1)*SUMIF(BAMCategories,$CY375,'Lighting Assumptions'!$E$3:E$35)),"")</f>
        <v/>
      </c>
      <c r="DW375" s="3047" t="str">
        <f>IFERROR(IF($CX375="","",IF(SI_IP_Units="SI",10.76,1)*SUMIF(BAMCategories,$CY375,IF(bpf_reference="ACP",'Lighting Assumptions 90.1-2010'!$E$3:E$35,'Lighting Assumptions 90.1-2016'!$E$3:E$35))),"")</f>
        <v/>
      </c>
      <c r="EW375" s="855"/>
      <c r="EX375" s="855"/>
      <c r="EY375" s="855"/>
      <c r="EZ375" s="855"/>
    </row>
    <row r="376" spans="4:156" x14ac:dyDescent="0.25">
      <c r="D376" s="3019"/>
      <c r="E376" s="3020"/>
      <c r="F376" s="3021">
        <f t="shared" si="102"/>
        <v>0</v>
      </c>
      <c r="G376" s="3059"/>
      <c r="H376" s="3060"/>
      <c r="I376" s="3061"/>
      <c r="J376" s="3061"/>
      <c r="K376" s="3061"/>
      <c r="L376" s="3061"/>
      <c r="M376" s="3061"/>
      <c r="N376" s="3061"/>
      <c r="O376" s="3061"/>
      <c r="P376" s="3061"/>
      <c r="Q376" s="3061"/>
      <c r="R376" s="3061"/>
      <c r="S376" s="3061"/>
      <c r="T376" s="3061"/>
      <c r="U376" s="3061"/>
      <c r="V376" s="3061"/>
      <c r="W376" s="3061"/>
      <c r="X376" s="3061"/>
      <c r="Y376" s="3061"/>
      <c r="Z376" s="3061"/>
      <c r="AA376" s="3061"/>
      <c r="AB376" s="3061"/>
      <c r="AC376" s="3061"/>
      <c r="AD376" s="3061"/>
      <c r="AE376" s="3061"/>
      <c r="AF376" s="3061"/>
      <c r="AG376" s="3061"/>
      <c r="AH376" s="3061"/>
      <c r="AI376" s="3061"/>
      <c r="AJ376" s="3061"/>
      <c r="AK376" s="3061"/>
      <c r="AL376" s="3061"/>
      <c r="AM376" s="3061"/>
      <c r="AN376" s="3061"/>
      <c r="AO376" s="3061"/>
      <c r="AP376" s="3061"/>
      <c r="AQ376" s="3061"/>
      <c r="AR376" s="3061"/>
      <c r="AS376" s="3061"/>
      <c r="AT376" s="3061"/>
      <c r="AU376" s="3061"/>
      <c r="AV376" s="3061"/>
      <c r="AW376" s="3061"/>
      <c r="AX376" s="3061"/>
      <c r="AY376" s="3061"/>
      <c r="AZ376" s="3061"/>
      <c r="BA376" s="3061"/>
      <c r="BB376" s="3061"/>
      <c r="BC376" s="3061"/>
      <c r="BD376" s="3061"/>
      <c r="BE376" s="3061"/>
      <c r="BF376" s="3061"/>
      <c r="BG376" s="3061"/>
      <c r="BH376" s="3061"/>
      <c r="BI376" s="3061"/>
      <c r="BJ376" s="3061"/>
      <c r="BK376" s="3061"/>
      <c r="BL376" s="3061"/>
      <c r="BM376" s="3061"/>
      <c r="BN376" s="3061"/>
      <c r="BO376" s="3061"/>
      <c r="BP376" s="3061"/>
      <c r="BQ376" s="3061"/>
      <c r="BR376" s="3061"/>
      <c r="BS376" s="3061"/>
      <c r="BT376" s="3061"/>
      <c r="BU376" s="3061"/>
      <c r="BV376" s="3061"/>
      <c r="BW376" s="3061"/>
      <c r="BX376" s="3061"/>
      <c r="BY376" s="3061"/>
      <c r="BZ376" s="3061"/>
      <c r="CA376" s="3061"/>
      <c r="CB376" s="3061"/>
      <c r="CC376" s="3061"/>
      <c r="CD376" s="3061"/>
      <c r="CE376" s="3061"/>
      <c r="CF376" s="3061"/>
      <c r="CG376" s="3061"/>
      <c r="CH376" s="3061"/>
      <c r="CI376" s="3061"/>
      <c r="CJ376" s="3061"/>
      <c r="CK376" s="3061"/>
      <c r="CL376" s="3061"/>
      <c r="CM376" s="3061"/>
      <c r="CN376" s="3061"/>
      <c r="CO376" s="3061"/>
      <c r="CP376" s="3061"/>
      <c r="CQ376" s="3061"/>
      <c r="CR376" s="3061"/>
      <c r="CS376" s="3062"/>
      <c r="CT376" s="3063"/>
      <c r="CU376" s="3064">
        <f t="shared" si="106"/>
        <v>1</v>
      </c>
      <c r="CV376" s="3022" t="str">
        <f>IF(OR(CT376="",CT376="None"),"-",DO376*CU376*SUMIF('Lighting Assumptions'!$G$3:$G$112,'6a - Lighting Counts'!G376,'Lighting Assumptions'!$J$3:$J$112))</f>
        <v>-</v>
      </c>
      <c r="CW376" s="3021"/>
      <c r="CX376" s="3021"/>
      <c r="CY376" s="3046"/>
      <c r="CZ376" s="2098">
        <f t="shared" si="107"/>
        <v>0</v>
      </c>
      <c r="DA376" s="2098" t="str">
        <f t="shared" si="108"/>
        <v>-</v>
      </c>
      <c r="DB376" s="2098">
        <f t="shared" si="109"/>
        <v>0</v>
      </c>
      <c r="DC376" s="3023" t="str">
        <f t="shared" si="110"/>
        <v>-</v>
      </c>
      <c r="DD376" s="3024" t="str">
        <f t="shared" si="111"/>
        <v/>
      </c>
      <c r="DE376" s="3025" t="str">
        <f t="shared" si="112"/>
        <v>-</v>
      </c>
      <c r="DF376" s="3024" t="str">
        <f t="shared" si="103"/>
        <v>-</v>
      </c>
      <c r="DG376" s="2098">
        <f t="shared" si="113"/>
        <v>0</v>
      </c>
      <c r="DH376" s="2098">
        <f t="array" ref="DH376">MIN(SUMPRODUCT(I376:CR376,IF($I$25:$CR$25="yes",1,0),$I$23:$CR$23),H376)</f>
        <v>0</v>
      </c>
      <c r="DI376" s="3026"/>
      <c r="DJ376" s="3021"/>
      <c r="DN376" s="917" t="str">
        <f>IF(CS376="","-",SUMIF('Lighting Assumptions'!$G$3:$G$112,'6a - Lighting Counts'!G376,'Lighting Assumptions'!$J$3:$J$112))</f>
        <v>-</v>
      </c>
      <c r="DO376" s="917" t="str">
        <f t="shared" si="104"/>
        <v>-</v>
      </c>
      <c r="DP376" s="917" t="str">
        <f t="shared" si="105"/>
        <v>-</v>
      </c>
      <c r="DQ376" s="917" t="str">
        <f>IF(LEFT(CELLformula(DF376),3)&lt;&gt;"=IF",1,"")</f>
        <v/>
      </c>
      <c r="DR376" s="917" t="str">
        <f>IF(LEFT(CELLformula(DD376),3)&lt;&gt;"=IF",1,"")</f>
        <v/>
      </c>
      <c r="DS376" s="3048">
        <f t="shared" si="114"/>
        <v>0</v>
      </c>
      <c r="DT376" s="3047" t="str">
        <f t="shared" si="115"/>
        <v/>
      </c>
      <c r="DU376" s="3047" t="str">
        <f>IFERROR(IF(G376="","",SUMIF('Lighting Assumptions'!$G$3:$G$112,'6a - Lighting Counts'!G376,'Lighting Assumptions'!$H$3:$H$112)*IF(SI_IP_Units="SI",10.76,1)),"")</f>
        <v/>
      </c>
      <c r="DV376" s="3047" t="str">
        <f>IFERROR(IF($CX376="","",IF(SI_IP_Units="SI",10.76,1)*SUMIF(BAMCategories,$CY376,'Lighting Assumptions'!$E$3:E$35)),"")</f>
        <v/>
      </c>
      <c r="DW376" s="3047" t="str">
        <f>IFERROR(IF($CX376="","",IF(SI_IP_Units="SI",10.76,1)*SUMIF(BAMCategories,$CY376,IF(bpf_reference="ACP",'Lighting Assumptions 90.1-2010'!$E$3:E$35,'Lighting Assumptions 90.1-2016'!$E$3:E$35))),"")</f>
        <v/>
      </c>
      <c r="EW376" s="855"/>
      <c r="EX376" s="855"/>
      <c r="EY376" s="855"/>
      <c r="EZ376" s="855"/>
    </row>
    <row r="377" spans="4:156" x14ac:dyDescent="0.25">
      <c r="D377" s="3019"/>
      <c r="E377" s="3020"/>
      <c r="F377" s="3021">
        <f t="shared" si="102"/>
        <v>0</v>
      </c>
      <c r="G377" s="3059"/>
      <c r="H377" s="3060"/>
      <c r="I377" s="3061"/>
      <c r="J377" s="3061"/>
      <c r="K377" s="3061"/>
      <c r="L377" s="3061"/>
      <c r="M377" s="3061"/>
      <c r="N377" s="3061"/>
      <c r="O377" s="3061"/>
      <c r="P377" s="3061"/>
      <c r="Q377" s="3061"/>
      <c r="R377" s="3061"/>
      <c r="S377" s="3061"/>
      <c r="T377" s="3061"/>
      <c r="U377" s="3061"/>
      <c r="V377" s="3061"/>
      <c r="W377" s="3061"/>
      <c r="X377" s="3061"/>
      <c r="Y377" s="3061"/>
      <c r="Z377" s="3061"/>
      <c r="AA377" s="3061"/>
      <c r="AB377" s="3061"/>
      <c r="AC377" s="3061"/>
      <c r="AD377" s="3061"/>
      <c r="AE377" s="3061"/>
      <c r="AF377" s="3061"/>
      <c r="AG377" s="3061"/>
      <c r="AH377" s="3061"/>
      <c r="AI377" s="3061"/>
      <c r="AJ377" s="3061"/>
      <c r="AK377" s="3061"/>
      <c r="AL377" s="3061"/>
      <c r="AM377" s="3061"/>
      <c r="AN377" s="3061"/>
      <c r="AO377" s="3061"/>
      <c r="AP377" s="3061"/>
      <c r="AQ377" s="3061"/>
      <c r="AR377" s="3061"/>
      <c r="AS377" s="3061"/>
      <c r="AT377" s="3061"/>
      <c r="AU377" s="3061"/>
      <c r="AV377" s="3061"/>
      <c r="AW377" s="3061"/>
      <c r="AX377" s="3061"/>
      <c r="AY377" s="3061"/>
      <c r="AZ377" s="3061"/>
      <c r="BA377" s="3061"/>
      <c r="BB377" s="3061"/>
      <c r="BC377" s="3061"/>
      <c r="BD377" s="3061"/>
      <c r="BE377" s="3061"/>
      <c r="BF377" s="3061"/>
      <c r="BG377" s="3061"/>
      <c r="BH377" s="3061"/>
      <c r="BI377" s="3061"/>
      <c r="BJ377" s="3061"/>
      <c r="BK377" s="3061"/>
      <c r="BL377" s="3061"/>
      <c r="BM377" s="3061"/>
      <c r="BN377" s="3061"/>
      <c r="BO377" s="3061"/>
      <c r="BP377" s="3061"/>
      <c r="BQ377" s="3061"/>
      <c r="BR377" s="3061"/>
      <c r="BS377" s="3061"/>
      <c r="BT377" s="3061"/>
      <c r="BU377" s="3061"/>
      <c r="BV377" s="3061"/>
      <c r="BW377" s="3061"/>
      <c r="BX377" s="3061"/>
      <c r="BY377" s="3061"/>
      <c r="BZ377" s="3061"/>
      <c r="CA377" s="3061"/>
      <c r="CB377" s="3061"/>
      <c r="CC377" s="3061"/>
      <c r="CD377" s="3061"/>
      <c r="CE377" s="3061"/>
      <c r="CF377" s="3061"/>
      <c r="CG377" s="3061"/>
      <c r="CH377" s="3061"/>
      <c r="CI377" s="3061"/>
      <c r="CJ377" s="3061"/>
      <c r="CK377" s="3061"/>
      <c r="CL377" s="3061"/>
      <c r="CM377" s="3061"/>
      <c r="CN377" s="3061"/>
      <c r="CO377" s="3061"/>
      <c r="CP377" s="3061"/>
      <c r="CQ377" s="3061"/>
      <c r="CR377" s="3061"/>
      <c r="CS377" s="3062"/>
      <c r="CT377" s="3063"/>
      <c r="CU377" s="3064">
        <f t="shared" si="106"/>
        <v>1</v>
      </c>
      <c r="CV377" s="3022" t="str">
        <f>IF(OR(CT377="",CT377="None"),"-",DO377*CU377*SUMIF('Lighting Assumptions'!$G$3:$G$112,'6a - Lighting Counts'!G377,'Lighting Assumptions'!$J$3:$J$112))</f>
        <v>-</v>
      </c>
      <c r="CW377" s="3021"/>
      <c r="CX377" s="3021"/>
      <c r="CY377" s="3046"/>
      <c r="CZ377" s="2098">
        <f t="shared" si="107"/>
        <v>0</v>
      </c>
      <c r="DA377" s="2098" t="str">
        <f t="shared" si="108"/>
        <v>-</v>
      </c>
      <c r="DB377" s="2098">
        <f t="shared" si="109"/>
        <v>0</v>
      </c>
      <c r="DC377" s="3023" t="str">
        <f t="shared" si="110"/>
        <v>-</v>
      </c>
      <c r="DD377" s="3024" t="str">
        <f t="shared" si="111"/>
        <v/>
      </c>
      <c r="DE377" s="3025" t="str">
        <f t="shared" si="112"/>
        <v>-</v>
      </c>
      <c r="DF377" s="3024" t="str">
        <f t="shared" si="103"/>
        <v>-</v>
      </c>
      <c r="DG377" s="2098">
        <f t="shared" si="113"/>
        <v>0</v>
      </c>
      <c r="DH377" s="2098">
        <f t="array" ref="DH377">MIN(SUMPRODUCT(I377:CR377,IF($I$25:$CR$25="yes",1,0),$I$23:$CR$23),H377)</f>
        <v>0</v>
      </c>
      <c r="DI377" s="3026"/>
      <c r="DJ377" s="3021"/>
      <c r="DN377" s="917" t="str">
        <f>IF(CS377="","-",SUMIF('Lighting Assumptions'!$G$3:$G$112,'6a - Lighting Counts'!G377,'Lighting Assumptions'!$J$3:$J$112))</f>
        <v>-</v>
      </c>
      <c r="DO377" s="917" t="str">
        <f t="shared" si="104"/>
        <v>-</v>
      </c>
      <c r="DP377" s="917" t="str">
        <f t="shared" si="105"/>
        <v>-</v>
      </c>
      <c r="DQ377" s="917" t="str">
        <f>IF(LEFT(CELLformula(DF377),3)&lt;&gt;"=IF",1,"")</f>
        <v/>
      </c>
      <c r="DR377" s="917" t="str">
        <f>IF(LEFT(CELLformula(DD377),3)&lt;&gt;"=IF",1,"")</f>
        <v/>
      </c>
      <c r="DS377" s="3048">
        <f t="shared" si="114"/>
        <v>0</v>
      </c>
      <c r="DT377" s="3047" t="str">
        <f t="shared" si="115"/>
        <v/>
      </c>
      <c r="DU377" s="3047" t="str">
        <f>IFERROR(IF(G377="","",SUMIF('Lighting Assumptions'!$G$3:$G$112,'6a - Lighting Counts'!G377,'Lighting Assumptions'!$H$3:$H$112)*IF(SI_IP_Units="SI",10.76,1)),"")</f>
        <v/>
      </c>
      <c r="DV377" s="3047" t="str">
        <f>IFERROR(IF($CX377="","",IF(SI_IP_Units="SI",10.76,1)*SUMIF(BAMCategories,$CY377,'Lighting Assumptions'!$E$3:E$35)),"")</f>
        <v/>
      </c>
      <c r="DW377" s="3047" t="str">
        <f>IFERROR(IF($CX377="","",IF(SI_IP_Units="SI",10.76,1)*SUMIF(BAMCategories,$CY377,IF(bpf_reference="ACP",'Lighting Assumptions 90.1-2010'!$E$3:E$35,'Lighting Assumptions 90.1-2016'!$E$3:E$35))),"")</f>
        <v/>
      </c>
      <c r="EW377" s="855"/>
      <c r="EX377" s="855"/>
      <c r="EY377" s="855"/>
      <c r="EZ377" s="855"/>
    </row>
    <row r="378" spans="4:156" x14ac:dyDescent="0.25">
      <c r="D378" s="3019"/>
      <c r="E378" s="3020"/>
      <c r="F378" s="3021">
        <f t="shared" si="102"/>
        <v>0</v>
      </c>
      <c r="G378" s="3059"/>
      <c r="H378" s="3060"/>
      <c r="I378" s="3061"/>
      <c r="J378" s="3061"/>
      <c r="K378" s="3061"/>
      <c r="L378" s="3061"/>
      <c r="M378" s="3061"/>
      <c r="N378" s="3061"/>
      <c r="O378" s="3061"/>
      <c r="P378" s="3061"/>
      <c r="Q378" s="3061"/>
      <c r="R378" s="3061"/>
      <c r="S378" s="3061"/>
      <c r="T378" s="3061"/>
      <c r="U378" s="3061"/>
      <c r="V378" s="3061"/>
      <c r="W378" s="3061"/>
      <c r="X378" s="3061"/>
      <c r="Y378" s="3061"/>
      <c r="Z378" s="3061"/>
      <c r="AA378" s="3061"/>
      <c r="AB378" s="3061"/>
      <c r="AC378" s="3061"/>
      <c r="AD378" s="3061"/>
      <c r="AE378" s="3061"/>
      <c r="AF378" s="3061"/>
      <c r="AG378" s="3061"/>
      <c r="AH378" s="3061"/>
      <c r="AI378" s="3061"/>
      <c r="AJ378" s="3061"/>
      <c r="AK378" s="3061"/>
      <c r="AL378" s="3061"/>
      <c r="AM378" s="3061"/>
      <c r="AN378" s="3061"/>
      <c r="AO378" s="3061"/>
      <c r="AP378" s="3061"/>
      <c r="AQ378" s="3061"/>
      <c r="AR378" s="3061"/>
      <c r="AS378" s="3061"/>
      <c r="AT378" s="3061"/>
      <c r="AU378" s="3061"/>
      <c r="AV378" s="3061"/>
      <c r="AW378" s="3061"/>
      <c r="AX378" s="3061"/>
      <c r="AY378" s="3061"/>
      <c r="AZ378" s="3061"/>
      <c r="BA378" s="3061"/>
      <c r="BB378" s="3061"/>
      <c r="BC378" s="3061"/>
      <c r="BD378" s="3061"/>
      <c r="BE378" s="3061"/>
      <c r="BF378" s="3061"/>
      <c r="BG378" s="3061"/>
      <c r="BH378" s="3061"/>
      <c r="BI378" s="3061"/>
      <c r="BJ378" s="3061"/>
      <c r="BK378" s="3061"/>
      <c r="BL378" s="3061"/>
      <c r="BM378" s="3061"/>
      <c r="BN378" s="3061"/>
      <c r="BO378" s="3061"/>
      <c r="BP378" s="3061"/>
      <c r="BQ378" s="3061"/>
      <c r="BR378" s="3061"/>
      <c r="BS378" s="3061"/>
      <c r="BT378" s="3061"/>
      <c r="BU378" s="3061"/>
      <c r="BV378" s="3061"/>
      <c r="BW378" s="3061"/>
      <c r="BX378" s="3061"/>
      <c r="BY378" s="3061"/>
      <c r="BZ378" s="3061"/>
      <c r="CA378" s="3061"/>
      <c r="CB378" s="3061"/>
      <c r="CC378" s="3061"/>
      <c r="CD378" s="3061"/>
      <c r="CE378" s="3061"/>
      <c r="CF378" s="3061"/>
      <c r="CG378" s="3061"/>
      <c r="CH378" s="3061"/>
      <c r="CI378" s="3061"/>
      <c r="CJ378" s="3061"/>
      <c r="CK378" s="3061"/>
      <c r="CL378" s="3061"/>
      <c r="CM378" s="3061"/>
      <c r="CN378" s="3061"/>
      <c r="CO378" s="3061"/>
      <c r="CP378" s="3061"/>
      <c r="CQ378" s="3061"/>
      <c r="CR378" s="3061"/>
      <c r="CS378" s="3062"/>
      <c r="CT378" s="3063"/>
      <c r="CU378" s="3064">
        <f t="shared" si="106"/>
        <v>1</v>
      </c>
      <c r="CV378" s="3022" t="str">
        <f>IF(OR(CT378="",CT378="None"),"-",DO378*CU378*SUMIF('Lighting Assumptions'!$G$3:$G$112,'6a - Lighting Counts'!G378,'Lighting Assumptions'!$J$3:$J$112))</f>
        <v>-</v>
      </c>
      <c r="CW378" s="3021"/>
      <c r="CX378" s="3021"/>
      <c r="CY378" s="3046"/>
      <c r="CZ378" s="2098">
        <f t="shared" si="107"/>
        <v>0</v>
      </c>
      <c r="DA378" s="2098" t="str">
        <f t="shared" si="108"/>
        <v>-</v>
      </c>
      <c r="DB378" s="2098">
        <f t="shared" si="109"/>
        <v>0</v>
      </c>
      <c r="DC378" s="3023" t="str">
        <f t="shared" si="110"/>
        <v>-</v>
      </c>
      <c r="DD378" s="3024" t="str">
        <f t="shared" si="111"/>
        <v/>
      </c>
      <c r="DE378" s="3025" t="str">
        <f t="shared" si="112"/>
        <v>-</v>
      </c>
      <c r="DF378" s="3024" t="str">
        <f t="shared" si="103"/>
        <v>-</v>
      </c>
      <c r="DG378" s="2098">
        <f t="shared" si="113"/>
        <v>0</v>
      </c>
      <c r="DH378" s="2098">
        <f t="array" ref="DH378">MIN(SUMPRODUCT(I378:CR378,IF($I$25:$CR$25="yes",1,0),$I$23:$CR$23),H378)</f>
        <v>0</v>
      </c>
      <c r="DI378" s="3026"/>
      <c r="DJ378" s="3021"/>
      <c r="DN378" s="917" t="str">
        <f>IF(CS378="","-",SUMIF('Lighting Assumptions'!$G$3:$G$112,'6a - Lighting Counts'!G378,'Lighting Assumptions'!$J$3:$J$112))</f>
        <v>-</v>
      </c>
      <c r="DO378" s="917" t="str">
        <f t="shared" si="104"/>
        <v>-</v>
      </c>
      <c r="DP378" s="917" t="str">
        <f t="shared" si="105"/>
        <v>-</v>
      </c>
      <c r="DQ378" s="917" t="str">
        <f>IF(LEFT(CELLformula(DF378),3)&lt;&gt;"=IF",1,"")</f>
        <v/>
      </c>
      <c r="DR378" s="917" t="str">
        <f>IF(LEFT(CELLformula(DD378),3)&lt;&gt;"=IF",1,"")</f>
        <v/>
      </c>
      <c r="DS378" s="3048">
        <f t="shared" si="114"/>
        <v>0</v>
      </c>
      <c r="DT378" s="3047" t="str">
        <f t="shared" si="115"/>
        <v/>
      </c>
      <c r="DU378" s="3047" t="str">
        <f>IFERROR(IF(G378="","",SUMIF('Lighting Assumptions'!$G$3:$G$112,'6a - Lighting Counts'!G378,'Lighting Assumptions'!$H$3:$H$112)*IF(SI_IP_Units="SI",10.76,1)),"")</f>
        <v/>
      </c>
      <c r="DV378" s="3047" t="str">
        <f>IFERROR(IF($CX378="","",IF(SI_IP_Units="SI",10.76,1)*SUMIF(BAMCategories,$CY378,'Lighting Assumptions'!$E$3:E$35)),"")</f>
        <v/>
      </c>
      <c r="DW378" s="3047" t="str">
        <f>IFERROR(IF($CX378="","",IF(SI_IP_Units="SI",10.76,1)*SUMIF(BAMCategories,$CY378,IF(bpf_reference="ACP",'Lighting Assumptions 90.1-2010'!$E$3:E$35,'Lighting Assumptions 90.1-2016'!$E$3:E$35))),"")</f>
        <v/>
      </c>
      <c r="EW378" s="855"/>
      <c r="EX378" s="855"/>
      <c r="EY378" s="855"/>
      <c r="EZ378" s="855"/>
    </row>
    <row r="379" spans="4:156" x14ac:dyDescent="0.25">
      <c r="D379" s="3019"/>
      <c r="E379" s="3020"/>
      <c r="F379" s="3021">
        <f t="shared" si="102"/>
        <v>0</v>
      </c>
      <c r="G379" s="3059"/>
      <c r="H379" s="3060"/>
      <c r="I379" s="3061"/>
      <c r="J379" s="3061"/>
      <c r="K379" s="3061"/>
      <c r="L379" s="3061"/>
      <c r="M379" s="3061"/>
      <c r="N379" s="3061"/>
      <c r="O379" s="3061"/>
      <c r="P379" s="3061"/>
      <c r="Q379" s="3061"/>
      <c r="R379" s="3061"/>
      <c r="S379" s="3061"/>
      <c r="T379" s="3061"/>
      <c r="U379" s="3061"/>
      <c r="V379" s="3061"/>
      <c r="W379" s="3061"/>
      <c r="X379" s="3061"/>
      <c r="Y379" s="3061"/>
      <c r="Z379" s="3061"/>
      <c r="AA379" s="3061"/>
      <c r="AB379" s="3061"/>
      <c r="AC379" s="3061"/>
      <c r="AD379" s="3061"/>
      <c r="AE379" s="3061"/>
      <c r="AF379" s="3061"/>
      <c r="AG379" s="3061"/>
      <c r="AH379" s="3061"/>
      <c r="AI379" s="3061"/>
      <c r="AJ379" s="3061"/>
      <c r="AK379" s="3061"/>
      <c r="AL379" s="3061"/>
      <c r="AM379" s="3061"/>
      <c r="AN379" s="3061"/>
      <c r="AO379" s="3061"/>
      <c r="AP379" s="3061"/>
      <c r="AQ379" s="3061"/>
      <c r="AR379" s="3061"/>
      <c r="AS379" s="3061"/>
      <c r="AT379" s="3061"/>
      <c r="AU379" s="3061"/>
      <c r="AV379" s="3061"/>
      <c r="AW379" s="3061"/>
      <c r="AX379" s="3061"/>
      <c r="AY379" s="3061"/>
      <c r="AZ379" s="3061"/>
      <c r="BA379" s="3061"/>
      <c r="BB379" s="3061"/>
      <c r="BC379" s="3061"/>
      <c r="BD379" s="3061"/>
      <c r="BE379" s="3061"/>
      <c r="BF379" s="3061"/>
      <c r="BG379" s="3061"/>
      <c r="BH379" s="3061"/>
      <c r="BI379" s="3061"/>
      <c r="BJ379" s="3061"/>
      <c r="BK379" s="3061"/>
      <c r="BL379" s="3061"/>
      <c r="BM379" s="3061"/>
      <c r="BN379" s="3061"/>
      <c r="BO379" s="3061"/>
      <c r="BP379" s="3061"/>
      <c r="BQ379" s="3061"/>
      <c r="BR379" s="3061"/>
      <c r="BS379" s="3061"/>
      <c r="BT379" s="3061"/>
      <c r="BU379" s="3061"/>
      <c r="BV379" s="3061"/>
      <c r="BW379" s="3061"/>
      <c r="BX379" s="3061"/>
      <c r="BY379" s="3061"/>
      <c r="BZ379" s="3061"/>
      <c r="CA379" s="3061"/>
      <c r="CB379" s="3061"/>
      <c r="CC379" s="3061"/>
      <c r="CD379" s="3061"/>
      <c r="CE379" s="3061"/>
      <c r="CF379" s="3061"/>
      <c r="CG379" s="3061"/>
      <c r="CH379" s="3061"/>
      <c r="CI379" s="3061"/>
      <c r="CJ379" s="3061"/>
      <c r="CK379" s="3061"/>
      <c r="CL379" s="3061"/>
      <c r="CM379" s="3061"/>
      <c r="CN379" s="3061"/>
      <c r="CO379" s="3061"/>
      <c r="CP379" s="3061"/>
      <c r="CQ379" s="3061"/>
      <c r="CR379" s="3061"/>
      <c r="CS379" s="3062"/>
      <c r="CT379" s="3063"/>
      <c r="CU379" s="3064">
        <f t="shared" si="106"/>
        <v>1</v>
      </c>
      <c r="CV379" s="3022" t="str">
        <f>IF(OR(CT379="",CT379="None"),"-",DO379*CU379*SUMIF('Lighting Assumptions'!$G$3:$G$112,'6a - Lighting Counts'!G379,'Lighting Assumptions'!$J$3:$J$112))</f>
        <v>-</v>
      </c>
      <c r="CW379" s="3021"/>
      <c r="CX379" s="3021"/>
      <c r="CY379" s="3046"/>
      <c r="CZ379" s="2098">
        <f t="shared" si="107"/>
        <v>0</v>
      </c>
      <c r="DA379" s="2098" t="str">
        <f t="shared" si="108"/>
        <v>-</v>
      </c>
      <c r="DB379" s="2098">
        <f t="shared" si="109"/>
        <v>0</v>
      </c>
      <c r="DC379" s="3023" t="str">
        <f t="shared" si="110"/>
        <v>-</v>
      </c>
      <c r="DD379" s="3024" t="str">
        <f t="shared" si="111"/>
        <v/>
      </c>
      <c r="DE379" s="3025" t="str">
        <f t="shared" si="112"/>
        <v>-</v>
      </c>
      <c r="DF379" s="3024" t="str">
        <f t="shared" si="103"/>
        <v>-</v>
      </c>
      <c r="DG379" s="2098">
        <f t="shared" si="113"/>
        <v>0</v>
      </c>
      <c r="DH379" s="2098">
        <f t="array" ref="DH379">MIN(SUMPRODUCT(I379:CR379,IF($I$25:$CR$25="yes",1,0),$I$23:$CR$23),H379)</f>
        <v>0</v>
      </c>
      <c r="DI379" s="3026"/>
      <c r="DJ379" s="3021"/>
      <c r="DN379" s="917" t="str">
        <f>IF(CS379="","-",SUMIF('Lighting Assumptions'!$G$3:$G$112,'6a - Lighting Counts'!G379,'Lighting Assumptions'!$J$3:$J$112))</f>
        <v>-</v>
      </c>
      <c r="DO379" s="917" t="str">
        <f t="shared" si="104"/>
        <v>-</v>
      </c>
      <c r="DP379" s="917" t="str">
        <f t="shared" si="105"/>
        <v>-</v>
      </c>
      <c r="DQ379" s="917" t="str">
        <f>IF(LEFT(CELLformula(DF379),3)&lt;&gt;"=IF",1,"")</f>
        <v/>
      </c>
      <c r="DR379" s="917" t="str">
        <f>IF(LEFT(CELLformula(DD379),3)&lt;&gt;"=IF",1,"")</f>
        <v/>
      </c>
      <c r="DS379" s="3048">
        <f t="shared" si="114"/>
        <v>0</v>
      </c>
      <c r="DT379" s="3047" t="str">
        <f t="shared" si="115"/>
        <v/>
      </c>
      <c r="DU379" s="3047" t="str">
        <f>IFERROR(IF(G379="","",SUMIF('Lighting Assumptions'!$G$3:$G$112,'6a - Lighting Counts'!G379,'Lighting Assumptions'!$H$3:$H$112)*IF(SI_IP_Units="SI",10.76,1)),"")</f>
        <v/>
      </c>
      <c r="DV379" s="3047" t="str">
        <f>IFERROR(IF($CX379="","",IF(SI_IP_Units="SI",10.76,1)*SUMIF(BAMCategories,$CY379,'Lighting Assumptions'!$E$3:E$35)),"")</f>
        <v/>
      </c>
      <c r="DW379" s="3047" t="str">
        <f>IFERROR(IF($CX379="","",IF(SI_IP_Units="SI",10.76,1)*SUMIF(BAMCategories,$CY379,IF(bpf_reference="ACP",'Lighting Assumptions 90.1-2010'!$E$3:E$35,'Lighting Assumptions 90.1-2016'!$E$3:E$35))),"")</f>
        <v/>
      </c>
      <c r="EW379" s="855"/>
      <c r="EX379" s="855"/>
      <c r="EY379" s="855"/>
      <c r="EZ379" s="855"/>
    </row>
    <row r="380" spans="4:156" x14ac:dyDescent="0.25">
      <c r="D380" s="3019"/>
      <c r="E380" s="3020"/>
      <c r="F380" s="3021">
        <f t="shared" si="102"/>
        <v>0</v>
      </c>
      <c r="G380" s="3059"/>
      <c r="H380" s="3060"/>
      <c r="I380" s="3061"/>
      <c r="J380" s="3061"/>
      <c r="K380" s="3061"/>
      <c r="L380" s="3061"/>
      <c r="M380" s="3061"/>
      <c r="N380" s="3061"/>
      <c r="O380" s="3061"/>
      <c r="P380" s="3061"/>
      <c r="Q380" s="3061"/>
      <c r="R380" s="3061"/>
      <c r="S380" s="3061"/>
      <c r="T380" s="3061"/>
      <c r="U380" s="3061"/>
      <c r="V380" s="3061"/>
      <c r="W380" s="3061"/>
      <c r="X380" s="3061"/>
      <c r="Y380" s="3061"/>
      <c r="Z380" s="3061"/>
      <c r="AA380" s="3061"/>
      <c r="AB380" s="3061"/>
      <c r="AC380" s="3061"/>
      <c r="AD380" s="3061"/>
      <c r="AE380" s="3061"/>
      <c r="AF380" s="3061"/>
      <c r="AG380" s="3061"/>
      <c r="AH380" s="3061"/>
      <c r="AI380" s="3061"/>
      <c r="AJ380" s="3061"/>
      <c r="AK380" s="3061"/>
      <c r="AL380" s="3061"/>
      <c r="AM380" s="3061"/>
      <c r="AN380" s="3061"/>
      <c r="AO380" s="3061"/>
      <c r="AP380" s="3061"/>
      <c r="AQ380" s="3061"/>
      <c r="AR380" s="3061"/>
      <c r="AS380" s="3061"/>
      <c r="AT380" s="3061"/>
      <c r="AU380" s="3061"/>
      <c r="AV380" s="3061"/>
      <c r="AW380" s="3061"/>
      <c r="AX380" s="3061"/>
      <c r="AY380" s="3061"/>
      <c r="AZ380" s="3061"/>
      <c r="BA380" s="3061"/>
      <c r="BB380" s="3061"/>
      <c r="BC380" s="3061"/>
      <c r="BD380" s="3061"/>
      <c r="BE380" s="3061"/>
      <c r="BF380" s="3061"/>
      <c r="BG380" s="3061"/>
      <c r="BH380" s="3061"/>
      <c r="BI380" s="3061"/>
      <c r="BJ380" s="3061"/>
      <c r="BK380" s="3061"/>
      <c r="BL380" s="3061"/>
      <c r="BM380" s="3061"/>
      <c r="BN380" s="3061"/>
      <c r="BO380" s="3061"/>
      <c r="BP380" s="3061"/>
      <c r="BQ380" s="3061"/>
      <c r="BR380" s="3061"/>
      <c r="BS380" s="3061"/>
      <c r="BT380" s="3061"/>
      <c r="BU380" s="3061"/>
      <c r="BV380" s="3061"/>
      <c r="BW380" s="3061"/>
      <c r="BX380" s="3061"/>
      <c r="BY380" s="3061"/>
      <c r="BZ380" s="3061"/>
      <c r="CA380" s="3061"/>
      <c r="CB380" s="3061"/>
      <c r="CC380" s="3061"/>
      <c r="CD380" s="3061"/>
      <c r="CE380" s="3061"/>
      <c r="CF380" s="3061"/>
      <c r="CG380" s="3061"/>
      <c r="CH380" s="3061"/>
      <c r="CI380" s="3061"/>
      <c r="CJ380" s="3061"/>
      <c r="CK380" s="3061"/>
      <c r="CL380" s="3061"/>
      <c r="CM380" s="3061"/>
      <c r="CN380" s="3061"/>
      <c r="CO380" s="3061"/>
      <c r="CP380" s="3061"/>
      <c r="CQ380" s="3061"/>
      <c r="CR380" s="3061"/>
      <c r="CS380" s="3062"/>
      <c r="CT380" s="3063"/>
      <c r="CU380" s="3064">
        <f t="shared" si="106"/>
        <v>1</v>
      </c>
      <c r="CV380" s="3022" t="str">
        <f>IF(OR(CT380="",CT380="None"),"-",DO380*CU380*SUMIF('Lighting Assumptions'!$G$3:$G$112,'6a - Lighting Counts'!G380,'Lighting Assumptions'!$J$3:$J$112))</f>
        <v>-</v>
      </c>
      <c r="CW380" s="3021"/>
      <c r="CX380" s="3021"/>
      <c r="CY380" s="3046"/>
      <c r="CZ380" s="2098">
        <f t="shared" si="107"/>
        <v>0</v>
      </c>
      <c r="DA380" s="2098" t="str">
        <f t="shared" si="108"/>
        <v>-</v>
      </c>
      <c r="DB380" s="2098">
        <f t="shared" si="109"/>
        <v>0</v>
      </c>
      <c r="DC380" s="3023" t="str">
        <f t="shared" si="110"/>
        <v>-</v>
      </c>
      <c r="DD380" s="3024" t="str">
        <f t="shared" si="111"/>
        <v/>
      </c>
      <c r="DE380" s="3025" t="str">
        <f t="shared" si="112"/>
        <v>-</v>
      </c>
      <c r="DF380" s="3024" t="str">
        <f t="shared" si="103"/>
        <v>-</v>
      </c>
      <c r="DG380" s="2098">
        <f t="shared" si="113"/>
        <v>0</v>
      </c>
      <c r="DH380" s="2098">
        <f t="array" ref="DH380">MIN(SUMPRODUCT(I380:CR380,IF($I$25:$CR$25="yes",1,0),$I$23:$CR$23),H380)</f>
        <v>0</v>
      </c>
      <c r="DI380" s="3026"/>
      <c r="DJ380" s="3021"/>
      <c r="DN380" s="917" t="str">
        <f>IF(CS380="","-",SUMIF('Lighting Assumptions'!$G$3:$G$112,'6a - Lighting Counts'!G380,'Lighting Assumptions'!$J$3:$J$112))</f>
        <v>-</v>
      </c>
      <c r="DO380" s="917" t="str">
        <f t="shared" si="104"/>
        <v>-</v>
      </c>
      <c r="DP380" s="917" t="str">
        <f t="shared" si="105"/>
        <v>-</v>
      </c>
      <c r="DQ380" s="917" t="str">
        <f>IF(LEFT(CELLformula(DF380),3)&lt;&gt;"=IF",1,"")</f>
        <v/>
      </c>
      <c r="DR380" s="917" t="str">
        <f>IF(LEFT(CELLformula(DD380),3)&lt;&gt;"=IF",1,"")</f>
        <v/>
      </c>
      <c r="DS380" s="3048">
        <f t="shared" si="114"/>
        <v>0</v>
      </c>
      <c r="DT380" s="3047" t="str">
        <f t="shared" si="115"/>
        <v/>
      </c>
      <c r="DU380" s="3047" t="str">
        <f>IFERROR(IF(G380="","",SUMIF('Lighting Assumptions'!$G$3:$G$112,'6a - Lighting Counts'!G380,'Lighting Assumptions'!$H$3:$H$112)*IF(SI_IP_Units="SI",10.76,1)),"")</f>
        <v/>
      </c>
      <c r="DV380" s="3047" t="str">
        <f>IFERROR(IF($CX380="","",IF(SI_IP_Units="SI",10.76,1)*SUMIF(BAMCategories,$CY380,'Lighting Assumptions'!$E$3:E$35)),"")</f>
        <v/>
      </c>
      <c r="DW380" s="3047" t="str">
        <f>IFERROR(IF($CX380="","",IF(SI_IP_Units="SI",10.76,1)*SUMIF(BAMCategories,$CY380,IF(bpf_reference="ACP",'Lighting Assumptions 90.1-2010'!$E$3:E$35,'Lighting Assumptions 90.1-2016'!$E$3:E$35))),"")</f>
        <v/>
      </c>
      <c r="EW380" s="855"/>
      <c r="EX380" s="855"/>
      <c r="EY380" s="855"/>
      <c r="EZ380" s="855"/>
    </row>
    <row r="381" spans="4:156" x14ac:dyDescent="0.25">
      <c r="D381" s="3019"/>
      <c r="E381" s="3020"/>
      <c r="F381" s="3021">
        <f t="shared" si="102"/>
        <v>0</v>
      </c>
      <c r="G381" s="3059"/>
      <c r="H381" s="3060"/>
      <c r="I381" s="3061"/>
      <c r="J381" s="3061"/>
      <c r="K381" s="3061"/>
      <c r="L381" s="3061"/>
      <c r="M381" s="3061"/>
      <c r="N381" s="3061"/>
      <c r="O381" s="3061"/>
      <c r="P381" s="3061"/>
      <c r="Q381" s="3061"/>
      <c r="R381" s="3061"/>
      <c r="S381" s="3061"/>
      <c r="T381" s="3061"/>
      <c r="U381" s="3061"/>
      <c r="V381" s="3061"/>
      <c r="W381" s="3061"/>
      <c r="X381" s="3061"/>
      <c r="Y381" s="3061"/>
      <c r="Z381" s="3061"/>
      <c r="AA381" s="3061"/>
      <c r="AB381" s="3061"/>
      <c r="AC381" s="3061"/>
      <c r="AD381" s="3061"/>
      <c r="AE381" s="3061"/>
      <c r="AF381" s="3061"/>
      <c r="AG381" s="3061"/>
      <c r="AH381" s="3061"/>
      <c r="AI381" s="3061"/>
      <c r="AJ381" s="3061"/>
      <c r="AK381" s="3061"/>
      <c r="AL381" s="3061"/>
      <c r="AM381" s="3061"/>
      <c r="AN381" s="3061"/>
      <c r="AO381" s="3061"/>
      <c r="AP381" s="3061"/>
      <c r="AQ381" s="3061"/>
      <c r="AR381" s="3061"/>
      <c r="AS381" s="3061"/>
      <c r="AT381" s="3061"/>
      <c r="AU381" s="3061"/>
      <c r="AV381" s="3061"/>
      <c r="AW381" s="3061"/>
      <c r="AX381" s="3061"/>
      <c r="AY381" s="3061"/>
      <c r="AZ381" s="3061"/>
      <c r="BA381" s="3061"/>
      <c r="BB381" s="3061"/>
      <c r="BC381" s="3061"/>
      <c r="BD381" s="3061"/>
      <c r="BE381" s="3061"/>
      <c r="BF381" s="3061"/>
      <c r="BG381" s="3061"/>
      <c r="BH381" s="3061"/>
      <c r="BI381" s="3061"/>
      <c r="BJ381" s="3061"/>
      <c r="BK381" s="3061"/>
      <c r="BL381" s="3061"/>
      <c r="BM381" s="3061"/>
      <c r="BN381" s="3061"/>
      <c r="BO381" s="3061"/>
      <c r="BP381" s="3061"/>
      <c r="BQ381" s="3061"/>
      <c r="BR381" s="3061"/>
      <c r="BS381" s="3061"/>
      <c r="BT381" s="3061"/>
      <c r="BU381" s="3061"/>
      <c r="BV381" s="3061"/>
      <c r="BW381" s="3061"/>
      <c r="BX381" s="3061"/>
      <c r="BY381" s="3061"/>
      <c r="BZ381" s="3061"/>
      <c r="CA381" s="3061"/>
      <c r="CB381" s="3061"/>
      <c r="CC381" s="3061"/>
      <c r="CD381" s="3061"/>
      <c r="CE381" s="3061"/>
      <c r="CF381" s="3061"/>
      <c r="CG381" s="3061"/>
      <c r="CH381" s="3061"/>
      <c r="CI381" s="3061"/>
      <c r="CJ381" s="3061"/>
      <c r="CK381" s="3061"/>
      <c r="CL381" s="3061"/>
      <c r="CM381" s="3061"/>
      <c r="CN381" s="3061"/>
      <c r="CO381" s="3061"/>
      <c r="CP381" s="3061"/>
      <c r="CQ381" s="3061"/>
      <c r="CR381" s="3061"/>
      <c r="CS381" s="3062"/>
      <c r="CT381" s="3063"/>
      <c r="CU381" s="3064">
        <f t="shared" si="106"/>
        <v>1</v>
      </c>
      <c r="CV381" s="3022" t="str">
        <f>IF(OR(CT381="",CT381="None"),"-",DO381*CU381*SUMIF('Lighting Assumptions'!$G$3:$G$112,'6a - Lighting Counts'!G381,'Lighting Assumptions'!$J$3:$J$112))</f>
        <v>-</v>
      </c>
      <c r="CW381" s="3021"/>
      <c r="CX381" s="3021"/>
      <c r="CY381" s="3046"/>
      <c r="CZ381" s="2098">
        <f t="shared" si="107"/>
        <v>0</v>
      </c>
      <c r="DA381" s="2098" t="str">
        <f t="shared" si="108"/>
        <v>-</v>
      </c>
      <c r="DB381" s="2098">
        <f t="shared" si="109"/>
        <v>0</v>
      </c>
      <c r="DC381" s="3023" t="str">
        <f t="shared" si="110"/>
        <v>-</v>
      </c>
      <c r="DD381" s="3024" t="str">
        <f t="shared" si="111"/>
        <v/>
      </c>
      <c r="DE381" s="3025" t="str">
        <f t="shared" si="112"/>
        <v>-</v>
      </c>
      <c r="DF381" s="3024" t="str">
        <f t="shared" si="103"/>
        <v>-</v>
      </c>
      <c r="DG381" s="2098">
        <f t="shared" si="113"/>
        <v>0</v>
      </c>
      <c r="DH381" s="2098">
        <f t="array" ref="DH381">MIN(SUMPRODUCT(I381:CR381,IF($I$25:$CR$25="yes",1,0),$I$23:$CR$23),H381)</f>
        <v>0</v>
      </c>
      <c r="DI381" s="3026"/>
      <c r="DJ381" s="3021"/>
      <c r="DN381" s="917" t="str">
        <f>IF(CS381="","-",SUMIF('Lighting Assumptions'!$G$3:$G$112,'6a - Lighting Counts'!G381,'Lighting Assumptions'!$J$3:$J$112))</f>
        <v>-</v>
      </c>
      <c r="DO381" s="917" t="str">
        <f t="shared" si="104"/>
        <v>-</v>
      </c>
      <c r="DP381" s="917" t="str">
        <f t="shared" si="105"/>
        <v>-</v>
      </c>
      <c r="DQ381" s="917" t="str">
        <f>IF(LEFT(CELLformula(DF381),3)&lt;&gt;"=IF",1,"")</f>
        <v/>
      </c>
      <c r="DR381" s="917" t="str">
        <f>IF(LEFT(CELLformula(DD381),3)&lt;&gt;"=IF",1,"")</f>
        <v/>
      </c>
      <c r="DS381" s="3048">
        <f t="shared" si="114"/>
        <v>0</v>
      </c>
      <c r="DT381" s="3047" t="str">
        <f t="shared" si="115"/>
        <v/>
      </c>
      <c r="DU381" s="3047" t="str">
        <f>IFERROR(IF(G381="","",SUMIF('Lighting Assumptions'!$G$3:$G$112,'6a - Lighting Counts'!G381,'Lighting Assumptions'!$H$3:$H$112)*IF(SI_IP_Units="SI",10.76,1)),"")</f>
        <v/>
      </c>
      <c r="DV381" s="3047" t="str">
        <f>IFERROR(IF($CX381="","",IF(SI_IP_Units="SI",10.76,1)*SUMIF(BAMCategories,$CY381,'Lighting Assumptions'!$E$3:E$35)),"")</f>
        <v/>
      </c>
      <c r="DW381" s="3047" t="str">
        <f>IFERROR(IF($CX381="","",IF(SI_IP_Units="SI",10.76,1)*SUMIF(BAMCategories,$CY381,IF(bpf_reference="ACP",'Lighting Assumptions 90.1-2010'!$E$3:E$35,'Lighting Assumptions 90.1-2016'!$E$3:E$35))),"")</f>
        <v/>
      </c>
      <c r="EW381" s="855"/>
      <c r="EX381" s="855"/>
      <c r="EY381" s="855"/>
      <c r="EZ381" s="855"/>
    </row>
    <row r="382" spans="4:156" x14ac:dyDescent="0.25">
      <c r="D382" s="3019"/>
      <c r="E382" s="3020"/>
      <c r="F382" s="3021">
        <f t="shared" si="102"/>
        <v>0</v>
      </c>
      <c r="G382" s="3059"/>
      <c r="H382" s="3060"/>
      <c r="I382" s="3061"/>
      <c r="J382" s="3061"/>
      <c r="K382" s="3061"/>
      <c r="L382" s="3061"/>
      <c r="M382" s="3061"/>
      <c r="N382" s="3061"/>
      <c r="O382" s="3061"/>
      <c r="P382" s="3061"/>
      <c r="Q382" s="3061"/>
      <c r="R382" s="3061"/>
      <c r="S382" s="3061"/>
      <c r="T382" s="3061"/>
      <c r="U382" s="3061"/>
      <c r="V382" s="3061"/>
      <c r="W382" s="3061"/>
      <c r="X382" s="3061"/>
      <c r="Y382" s="3061"/>
      <c r="Z382" s="3061"/>
      <c r="AA382" s="3061"/>
      <c r="AB382" s="3061"/>
      <c r="AC382" s="3061"/>
      <c r="AD382" s="3061"/>
      <c r="AE382" s="3061"/>
      <c r="AF382" s="3061"/>
      <c r="AG382" s="3061"/>
      <c r="AH382" s="3061"/>
      <c r="AI382" s="3061"/>
      <c r="AJ382" s="3061"/>
      <c r="AK382" s="3061"/>
      <c r="AL382" s="3061"/>
      <c r="AM382" s="3061"/>
      <c r="AN382" s="3061"/>
      <c r="AO382" s="3061"/>
      <c r="AP382" s="3061"/>
      <c r="AQ382" s="3061"/>
      <c r="AR382" s="3061"/>
      <c r="AS382" s="3061"/>
      <c r="AT382" s="3061"/>
      <c r="AU382" s="3061"/>
      <c r="AV382" s="3061"/>
      <c r="AW382" s="3061"/>
      <c r="AX382" s="3061"/>
      <c r="AY382" s="3061"/>
      <c r="AZ382" s="3061"/>
      <c r="BA382" s="3061"/>
      <c r="BB382" s="3061"/>
      <c r="BC382" s="3061"/>
      <c r="BD382" s="3061"/>
      <c r="BE382" s="3061"/>
      <c r="BF382" s="3061"/>
      <c r="BG382" s="3061"/>
      <c r="BH382" s="3061"/>
      <c r="BI382" s="3061"/>
      <c r="BJ382" s="3061"/>
      <c r="BK382" s="3061"/>
      <c r="BL382" s="3061"/>
      <c r="BM382" s="3061"/>
      <c r="BN382" s="3061"/>
      <c r="BO382" s="3061"/>
      <c r="BP382" s="3061"/>
      <c r="BQ382" s="3061"/>
      <c r="BR382" s="3061"/>
      <c r="BS382" s="3061"/>
      <c r="BT382" s="3061"/>
      <c r="BU382" s="3061"/>
      <c r="BV382" s="3061"/>
      <c r="BW382" s="3061"/>
      <c r="BX382" s="3061"/>
      <c r="BY382" s="3061"/>
      <c r="BZ382" s="3061"/>
      <c r="CA382" s="3061"/>
      <c r="CB382" s="3061"/>
      <c r="CC382" s="3061"/>
      <c r="CD382" s="3061"/>
      <c r="CE382" s="3061"/>
      <c r="CF382" s="3061"/>
      <c r="CG382" s="3061"/>
      <c r="CH382" s="3061"/>
      <c r="CI382" s="3061"/>
      <c r="CJ382" s="3061"/>
      <c r="CK382" s="3061"/>
      <c r="CL382" s="3061"/>
      <c r="CM382" s="3061"/>
      <c r="CN382" s="3061"/>
      <c r="CO382" s="3061"/>
      <c r="CP382" s="3061"/>
      <c r="CQ382" s="3061"/>
      <c r="CR382" s="3061"/>
      <c r="CS382" s="3062"/>
      <c r="CT382" s="3063"/>
      <c r="CU382" s="3064">
        <f t="shared" si="106"/>
        <v>1</v>
      </c>
      <c r="CV382" s="3022" t="str">
        <f>IF(OR(CT382="",CT382="None"),"-",DO382*CU382*SUMIF('Lighting Assumptions'!$G$3:$G$112,'6a - Lighting Counts'!G382,'Lighting Assumptions'!$J$3:$J$112))</f>
        <v>-</v>
      </c>
      <c r="CW382" s="3021"/>
      <c r="CX382" s="3021"/>
      <c r="CY382" s="3046"/>
      <c r="CZ382" s="2098">
        <f t="shared" si="107"/>
        <v>0</v>
      </c>
      <c r="DA382" s="2098" t="str">
        <f t="shared" si="108"/>
        <v>-</v>
      </c>
      <c r="DB382" s="2098">
        <f t="shared" si="109"/>
        <v>0</v>
      </c>
      <c r="DC382" s="3023" t="str">
        <f t="shared" si="110"/>
        <v>-</v>
      </c>
      <c r="DD382" s="3024" t="str">
        <f t="shared" si="111"/>
        <v/>
      </c>
      <c r="DE382" s="3025" t="str">
        <f t="shared" si="112"/>
        <v>-</v>
      </c>
      <c r="DF382" s="3024" t="str">
        <f t="shared" si="103"/>
        <v>-</v>
      </c>
      <c r="DG382" s="2098">
        <f t="shared" si="113"/>
        <v>0</v>
      </c>
      <c r="DH382" s="2098">
        <f t="array" ref="DH382">MIN(SUMPRODUCT(I382:CR382,IF($I$25:$CR$25="yes",1,0),$I$23:$CR$23),H382)</f>
        <v>0</v>
      </c>
      <c r="DI382" s="3026"/>
      <c r="DJ382" s="3021"/>
      <c r="DN382" s="917" t="str">
        <f>IF(CS382="","-",SUMIF('Lighting Assumptions'!$G$3:$G$112,'6a - Lighting Counts'!G382,'Lighting Assumptions'!$J$3:$J$112))</f>
        <v>-</v>
      </c>
      <c r="DO382" s="917" t="str">
        <f t="shared" si="104"/>
        <v>-</v>
      </c>
      <c r="DP382" s="917" t="str">
        <f t="shared" si="105"/>
        <v>-</v>
      </c>
      <c r="DQ382" s="917" t="str">
        <f>IF(LEFT(CELLformula(DF382),3)&lt;&gt;"=IF",1,"")</f>
        <v/>
      </c>
      <c r="DR382" s="917" t="str">
        <f>IF(LEFT(CELLformula(DD382),3)&lt;&gt;"=IF",1,"")</f>
        <v/>
      </c>
      <c r="DS382" s="3048">
        <f t="shared" si="114"/>
        <v>0</v>
      </c>
      <c r="DT382" s="3047" t="str">
        <f t="shared" si="115"/>
        <v/>
      </c>
      <c r="DU382" s="3047" t="str">
        <f>IFERROR(IF(G382="","",SUMIF('Lighting Assumptions'!$G$3:$G$112,'6a - Lighting Counts'!G382,'Lighting Assumptions'!$H$3:$H$112)*IF(SI_IP_Units="SI",10.76,1)),"")</f>
        <v/>
      </c>
      <c r="DV382" s="3047" t="str">
        <f>IFERROR(IF($CX382="","",IF(SI_IP_Units="SI",10.76,1)*SUMIF(BAMCategories,$CY382,'Lighting Assumptions'!$E$3:E$35)),"")</f>
        <v/>
      </c>
      <c r="DW382" s="3047" t="str">
        <f>IFERROR(IF($CX382="","",IF(SI_IP_Units="SI",10.76,1)*SUMIF(BAMCategories,$CY382,IF(bpf_reference="ACP",'Lighting Assumptions 90.1-2010'!$E$3:E$35,'Lighting Assumptions 90.1-2016'!$E$3:E$35))),"")</f>
        <v/>
      </c>
      <c r="EW382" s="855"/>
      <c r="EX382" s="855"/>
      <c r="EY382" s="855"/>
      <c r="EZ382" s="855"/>
    </row>
    <row r="383" spans="4:156" x14ac:dyDescent="0.25">
      <c r="D383" s="3019"/>
      <c r="E383" s="3020"/>
      <c r="F383" s="3021">
        <f t="shared" si="102"/>
        <v>0</v>
      </c>
      <c r="G383" s="3059"/>
      <c r="H383" s="3060"/>
      <c r="I383" s="3061"/>
      <c r="J383" s="3061"/>
      <c r="K383" s="3061"/>
      <c r="L383" s="3061"/>
      <c r="M383" s="3061"/>
      <c r="N383" s="3061"/>
      <c r="O383" s="3061"/>
      <c r="P383" s="3061"/>
      <c r="Q383" s="3061"/>
      <c r="R383" s="3061"/>
      <c r="S383" s="3061"/>
      <c r="T383" s="3061"/>
      <c r="U383" s="3061"/>
      <c r="V383" s="3061"/>
      <c r="W383" s="3061"/>
      <c r="X383" s="3061"/>
      <c r="Y383" s="3061"/>
      <c r="Z383" s="3061"/>
      <c r="AA383" s="3061"/>
      <c r="AB383" s="3061"/>
      <c r="AC383" s="3061"/>
      <c r="AD383" s="3061"/>
      <c r="AE383" s="3061"/>
      <c r="AF383" s="3061"/>
      <c r="AG383" s="3061"/>
      <c r="AH383" s="3061"/>
      <c r="AI383" s="3061"/>
      <c r="AJ383" s="3061"/>
      <c r="AK383" s="3061"/>
      <c r="AL383" s="3061"/>
      <c r="AM383" s="3061"/>
      <c r="AN383" s="3061"/>
      <c r="AO383" s="3061"/>
      <c r="AP383" s="3061"/>
      <c r="AQ383" s="3061"/>
      <c r="AR383" s="3061"/>
      <c r="AS383" s="3061"/>
      <c r="AT383" s="3061"/>
      <c r="AU383" s="3061"/>
      <c r="AV383" s="3061"/>
      <c r="AW383" s="3061"/>
      <c r="AX383" s="3061"/>
      <c r="AY383" s="3061"/>
      <c r="AZ383" s="3061"/>
      <c r="BA383" s="3061"/>
      <c r="BB383" s="3061"/>
      <c r="BC383" s="3061"/>
      <c r="BD383" s="3061"/>
      <c r="BE383" s="3061"/>
      <c r="BF383" s="3061"/>
      <c r="BG383" s="3061"/>
      <c r="BH383" s="3061"/>
      <c r="BI383" s="3061"/>
      <c r="BJ383" s="3061"/>
      <c r="BK383" s="3061"/>
      <c r="BL383" s="3061"/>
      <c r="BM383" s="3061"/>
      <c r="BN383" s="3061"/>
      <c r="BO383" s="3061"/>
      <c r="BP383" s="3061"/>
      <c r="BQ383" s="3061"/>
      <c r="BR383" s="3061"/>
      <c r="BS383" s="3061"/>
      <c r="BT383" s="3061"/>
      <c r="BU383" s="3061"/>
      <c r="BV383" s="3061"/>
      <c r="BW383" s="3061"/>
      <c r="BX383" s="3061"/>
      <c r="BY383" s="3061"/>
      <c r="BZ383" s="3061"/>
      <c r="CA383" s="3061"/>
      <c r="CB383" s="3061"/>
      <c r="CC383" s="3061"/>
      <c r="CD383" s="3061"/>
      <c r="CE383" s="3061"/>
      <c r="CF383" s="3061"/>
      <c r="CG383" s="3061"/>
      <c r="CH383" s="3061"/>
      <c r="CI383" s="3061"/>
      <c r="CJ383" s="3061"/>
      <c r="CK383" s="3061"/>
      <c r="CL383" s="3061"/>
      <c r="CM383" s="3061"/>
      <c r="CN383" s="3061"/>
      <c r="CO383" s="3061"/>
      <c r="CP383" s="3061"/>
      <c r="CQ383" s="3061"/>
      <c r="CR383" s="3061"/>
      <c r="CS383" s="3062"/>
      <c r="CT383" s="3063"/>
      <c r="CU383" s="3064">
        <f t="shared" si="106"/>
        <v>1</v>
      </c>
      <c r="CV383" s="3022" t="str">
        <f>IF(OR(CT383="",CT383="None"),"-",DO383*CU383*SUMIF('Lighting Assumptions'!$G$3:$G$112,'6a - Lighting Counts'!G383,'Lighting Assumptions'!$J$3:$J$112))</f>
        <v>-</v>
      </c>
      <c r="CW383" s="3021"/>
      <c r="CX383" s="3021"/>
      <c r="CY383" s="3046"/>
      <c r="CZ383" s="2098">
        <f t="shared" si="107"/>
        <v>0</v>
      </c>
      <c r="DA383" s="2098" t="str">
        <f t="shared" si="108"/>
        <v>-</v>
      </c>
      <c r="DB383" s="2098">
        <f t="shared" si="109"/>
        <v>0</v>
      </c>
      <c r="DC383" s="3023" t="str">
        <f t="shared" si="110"/>
        <v>-</v>
      </c>
      <c r="DD383" s="3024" t="str">
        <f t="shared" si="111"/>
        <v/>
      </c>
      <c r="DE383" s="3025" t="str">
        <f t="shared" si="112"/>
        <v>-</v>
      </c>
      <c r="DF383" s="3024" t="str">
        <f t="shared" si="103"/>
        <v>-</v>
      </c>
      <c r="DG383" s="2098">
        <f t="shared" si="113"/>
        <v>0</v>
      </c>
      <c r="DH383" s="2098">
        <f t="array" ref="DH383">MIN(SUMPRODUCT(I383:CR383,IF($I$25:$CR$25="yes",1,0),$I$23:$CR$23),H383)</f>
        <v>0</v>
      </c>
      <c r="DI383" s="3026"/>
      <c r="DJ383" s="3021"/>
      <c r="DN383" s="917" t="str">
        <f>IF(CS383="","-",SUMIF('Lighting Assumptions'!$G$3:$G$112,'6a - Lighting Counts'!G383,'Lighting Assumptions'!$J$3:$J$112))</f>
        <v>-</v>
      </c>
      <c r="DO383" s="917" t="str">
        <f t="shared" si="104"/>
        <v>-</v>
      </c>
      <c r="DP383" s="917" t="str">
        <f t="shared" si="105"/>
        <v>-</v>
      </c>
      <c r="DQ383" s="917" t="str">
        <f>IF(LEFT(CELLformula(DF383),3)&lt;&gt;"=IF",1,"")</f>
        <v/>
      </c>
      <c r="DR383" s="917" t="str">
        <f>IF(LEFT(CELLformula(DD383),3)&lt;&gt;"=IF",1,"")</f>
        <v/>
      </c>
      <c r="DS383" s="3048">
        <f t="shared" si="114"/>
        <v>0</v>
      </c>
      <c r="DT383" s="3047" t="str">
        <f t="shared" si="115"/>
        <v/>
      </c>
      <c r="DU383" s="3047" t="str">
        <f>IFERROR(IF(G383="","",SUMIF('Lighting Assumptions'!$G$3:$G$112,'6a - Lighting Counts'!G383,'Lighting Assumptions'!$H$3:$H$112)*IF(SI_IP_Units="SI",10.76,1)),"")</f>
        <v/>
      </c>
      <c r="DV383" s="3047" t="str">
        <f>IFERROR(IF($CX383="","",IF(SI_IP_Units="SI",10.76,1)*SUMIF(BAMCategories,$CY383,'Lighting Assumptions'!$E$3:E$35)),"")</f>
        <v/>
      </c>
      <c r="DW383" s="3047" t="str">
        <f>IFERROR(IF($CX383="","",IF(SI_IP_Units="SI",10.76,1)*SUMIF(BAMCategories,$CY383,IF(bpf_reference="ACP",'Lighting Assumptions 90.1-2010'!$E$3:E$35,'Lighting Assumptions 90.1-2016'!$E$3:E$35))),"")</f>
        <v/>
      </c>
      <c r="EW383" s="855"/>
      <c r="EX383" s="855"/>
      <c r="EY383" s="855"/>
      <c r="EZ383" s="855"/>
    </row>
    <row r="384" spans="4:156" x14ac:dyDescent="0.25">
      <c r="D384" s="3019"/>
      <c r="E384" s="3020"/>
      <c r="F384" s="3021">
        <f t="shared" si="102"/>
        <v>0</v>
      </c>
      <c r="G384" s="3059"/>
      <c r="H384" s="3060"/>
      <c r="I384" s="3061"/>
      <c r="J384" s="3061"/>
      <c r="K384" s="3061"/>
      <c r="L384" s="3061"/>
      <c r="M384" s="3061"/>
      <c r="N384" s="3061"/>
      <c r="O384" s="3061"/>
      <c r="P384" s="3061"/>
      <c r="Q384" s="3061"/>
      <c r="R384" s="3061"/>
      <c r="S384" s="3061"/>
      <c r="T384" s="3061"/>
      <c r="U384" s="3061"/>
      <c r="V384" s="3061"/>
      <c r="W384" s="3061"/>
      <c r="X384" s="3061"/>
      <c r="Y384" s="3061"/>
      <c r="Z384" s="3061"/>
      <c r="AA384" s="3061"/>
      <c r="AB384" s="3061"/>
      <c r="AC384" s="3061"/>
      <c r="AD384" s="3061"/>
      <c r="AE384" s="3061"/>
      <c r="AF384" s="3061"/>
      <c r="AG384" s="3061"/>
      <c r="AH384" s="3061"/>
      <c r="AI384" s="3061"/>
      <c r="AJ384" s="3061"/>
      <c r="AK384" s="3061"/>
      <c r="AL384" s="3061"/>
      <c r="AM384" s="3061"/>
      <c r="AN384" s="3061"/>
      <c r="AO384" s="3061"/>
      <c r="AP384" s="3061"/>
      <c r="AQ384" s="3061"/>
      <c r="AR384" s="3061"/>
      <c r="AS384" s="3061"/>
      <c r="AT384" s="3061"/>
      <c r="AU384" s="3061"/>
      <c r="AV384" s="3061"/>
      <c r="AW384" s="3061"/>
      <c r="AX384" s="3061"/>
      <c r="AY384" s="3061"/>
      <c r="AZ384" s="3061"/>
      <c r="BA384" s="3061"/>
      <c r="BB384" s="3061"/>
      <c r="BC384" s="3061"/>
      <c r="BD384" s="3061"/>
      <c r="BE384" s="3061"/>
      <c r="BF384" s="3061"/>
      <c r="BG384" s="3061"/>
      <c r="BH384" s="3061"/>
      <c r="BI384" s="3061"/>
      <c r="BJ384" s="3061"/>
      <c r="BK384" s="3061"/>
      <c r="BL384" s="3061"/>
      <c r="BM384" s="3061"/>
      <c r="BN384" s="3061"/>
      <c r="BO384" s="3061"/>
      <c r="BP384" s="3061"/>
      <c r="BQ384" s="3061"/>
      <c r="BR384" s="3061"/>
      <c r="BS384" s="3061"/>
      <c r="BT384" s="3061"/>
      <c r="BU384" s="3061"/>
      <c r="BV384" s="3061"/>
      <c r="BW384" s="3061"/>
      <c r="BX384" s="3061"/>
      <c r="BY384" s="3061"/>
      <c r="BZ384" s="3061"/>
      <c r="CA384" s="3061"/>
      <c r="CB384" s="3061"/>
      <c r="CC384" s="3061"/>
      <c r="CD384" s="3061"/>
      <c r="CE384" s="3061"/>
      <c r="CF384" s="3061"/>
      <c r="CG384" s="3061"/>
      <c r="CH384" s="3061"/>
      <c r="CI384" s="3061"/>
      <c r="CJ384" s="3061"/>
      <c r="CK384" s="3061"/>
      <c r="CL384" s="3061"/>
      <c r="CM384" s="3061"/>
      <c r="CN384" s="3061"/>
      <c r="CO384" s="3061"/>
      <c r="CP384" s="3061"/>
      <c r="CQ384" s="3061"/>
      <c r="CR384" s="3061"/>
      <c r="CS384" s="3062"/>
      <c r="CT384" s="3063"/>
      <c r="CU384" s="3064">
        <f t="shared" si="106"/>
        <v>1</v>
      </c>
      <c r="CV384" s="3022" t="str">
        <f>IF(OR(CT384="",CT384="None"),"-",DO384*CU384*SUMIF('Lighting Assumptions'!$G$3:$G$112,'6a - Lighting Counts'!G384,'Lighting Assumptions'!$J$3:$J$112))</f>
        <v>-</v>
      </c>
      <c r="CW384" s="3021"/>
      <c r="CX384" s="3021"/>
      <c r="CY384" s="3046"/>
      <c r="CZ384" s="2098">
        <f t="shared" si="107"/>
        <v>0</v>
      </c>
      <c r="DA384" s="2098" t="str">
        <f t="shared" si="108"/>
        <v>-</v>
      </c>
      <c r="DB384" s="2098">
        <f t="shared" si="109"/>
        <v>0</v>
      </c>
      <c r="DC384" s="3023" t="str">
        <f t="shared" si="110"/>
        <v>-</v>
      </c>
      <c r="DD384" s="3024" t="str">
        <f t="shared" si="111"/>
        <v/>
      </c>
      <c r="DE384" s="3025" t="str">
        <f t="shared" si="112"/>
        <v>-</v>
      </c>
      <c r="DF384" s="3024" t="str">
        <f t="shared" si="103"/>
        <v>-</v>
      </c>
      <c r="DG384" s="2098">
        <f t="shared" si="113"/>
        <v>0</v>
      </c>
      <c r="DH384" s="2098">
        <f t="array" ref="DH384">MIN(SUMPRODUCT(I384:CR384,IF($I$25:$CR$25="yes",1,0),$I$23:$CR$23),H384)</f>
        <v>0</v>
      </c>
      <c r="DI384" s="3026"/>
      <c r="DJ384" s="3021"/>
      <c r="DN384" s="917" t="str">
        <f>IF(CS384="","-",SUMIF('Lighting Assumptions'!$G$3:$G$112,'6a - Lighting Counts'!G384,'Lighting Assumptions'!$J$3:$J$112))</f>
        <v>-</v>
      </c>
      <c r="DO384" s="917" t="str">
        <f t="shared" si="104"/>
        <v>-</v>
      </c>
      <c r="DP384" s="917" t="str">
        <f t="shared" si="105"/>
        <v>-</v>
      </c>
      <c r="DQ384" s="917" t="str">
        <f>IF(LEFT(CELLformula(DF384),3)&lt;&gt;"=IF",1,"")</f>
        <v/>
      </c>
      <c r="DR384" s="917" t="str">
        <f>IF(LEFT(CELLformula(DD384),3)&lt;&gt;"=IF",1,"")</f>
        <v/>
      </c>
      <c r="DS384" s="3048">
        <f t="shared" si="114"/>
        <v>0</v>
      </c>
      <c r="DT384" s="3047" t="str">
        <f t="shared" si="115"/>
        <v/>
      </c>
      <c r="DU384" s="3047" t="str">
        <f>IFERROR(IF(G384="","",SUMIF('Lighting Assumptions'!$G$3:$G$112,'6a - Lighting Counts'!G384,'Lighting Assumptions'!$H$3:$H$112)*IF(SI_IP_Units="SI",10.76,1)),"")</f>
        <v/>
      </c>
      <c r="DV384" s="3047" t="str">
        <f>IFERROR(IF($CX384="","",IF(SI_IP_Units="SI",10.76,1)*SUMIF(BAMCategories,$CY384,'Lighting Assumptions'!$E$3:E$35)),"")</f>
        <v/>
      </c>
      <c r="DW384" s="3047" t="str">
        <f>IFERROR(IF($CX384="","",IF(SI_IP_Units="SI",10.76,1)*SUMIF(BAMCategories,$CY384,IF(bpf_reference="ACP",'Lighting Assumptions 90.1-2010'!$E$3:E$35,'Lighting Assumptions 90.1-2016'!$E$3:E$35))),"")</f>
        <v/>
      </c>
      <c r="EW384" s="855"/>
      <c r="EX384" s="855"/>
      <c r="EY384" s="855"/>
      <c r="EZ384" s="855"/>
    </row>
    <row r="385" spans="4:156" x14ac:dyDescent="0.25">
      <c r="D385" s="3019"/>
      <c r="E385" s="3020"/>
      <c r="F385" s="3021">
        <f t="shared" si="102"/>
        <v>0</v>
      </c>
      <c r="G385" s="3059"/>
      <c r="H385" s="3060"/>
      <c r="I385" s="3061"/>
      <c r="J385" s="3061"/>
      <c r="K385" s="3061"/>
      <c r="L385" s="3061"/>
      <c r="M385" s="3061"/>
      <c r="N385" s="3061"/>
      <c r="O385" s="3061"/>
      <c r="P385" s="3061"/>
      <c r="Q385" s="3061"/>
      <c r="R385" s="3061"/>
      <c r="S385" s="3061"/>
      <c r="T385" s="3061"/>
      <c r="U385" s="3061"/>
      <c r="V385" s="3061"/>
      <c r="W385" s="3061"/>
      <c r="X385" s="3061"/>
      <c r="Y385" s="3061"/>
      <c r="Z385" s="3061"/>
      <c r="AA385" s="3061"/>
      <c r="AB385" s="3061"/>
      <c r="AC385" s="3061"/>
      <c r="AD385" s="3061"/>
      <c r="AE385" s="3061"/>
      <c r="AF385" s="3061"/>
      <c r="AG385" s="3061"/>
      <c r="AH385" s="3061"/>
      <c r="AI385" s="3061"/>
      <c r="AJ385" s="3061"/>
      <c r="AK385" s="3061"/>
      <c r="AL385" s="3061"/>
      <c r="AM385" s="3061"/>
      <c r="AN385" s="3061"/>
      <c r="AO385" s="3061"/>
      <c r="AP385" s="3061"/>
      <c r="AQ385" s="3061"/>
      <c r="AR385" s="3061"/>
      <c r="AS385" s="3061"/>
      <c r="AT385" s="3061"/>
      <c r="AU385" s="3061"/>
      <c r="AV385" s="3061"/>
      <c r="AW385" s="3061"/>
      <c r="AX385" s="3061"/>
      <c r="AY385" s="3061"/>
      <c r="AZ385" s="3061"/>
      <c r="BA385" s="3061"/>
      <c r="BB385" s="3061"/>
      <c r="BC385" s="3061"/>
      <c r="BD385" s="3061"/>
      <c r="BE385" s="3061"/>
      <c r="BF385" s="3061"/>
      <c r="BG385" s="3061"/>
      <c r="BH385" s="3061"/>
      <c r="BI385" s="3061"/>
      <c r="BJ385" s="3061"/>
      <c r="BK385" s="3061"/>
      <c r="BL385" s="3061"/>
      <c r="BM385" s="3061"/>
      <c r="BN385" s="3061"/>
      <c r="BO385" s="3061"/>
      <c r="BP385" s="3061"/>
      <c r="BQ385" s="3061"/>
      <c r="BR385" s="3061"/>
      <c r="BS385" s="3061"/>
      <c r="BT385" s="3061"/>
      <c r="BU385" s="3061"/>
      <c r="BV385" s="3061"/>
      <c r="BW385" s="3061"/>
      <c r="BX385" s="3061"/>
      <c r="BY385" s="3061"/>
      <c r="BZ385" s="3061"/>
      <c r="CA385" s="3061"/>
      <c r="CB385" s="3061"/>
      <c r="CC385" s="3061"/>
      <c r="CD385" s="3061"/>
      <c r="CE385" s="3061"/>
      <c r="CF385" s="3061"/>
      <c r="CG385" s="3061"/>
      <c r="CH385" s="3061"/>
      <c r="CI385" s="3061"/>
      <c r="CJ385" s="3061"/>
      <c r="CK385" s="3061"/>
      <c r="CL385" s="3061"/>
      <c r="CM385" s="3061"/>
      <c r="CN385" s="3061"/>
      <c r="CO385" s="3061"/>
      <c r="CP385" s="3061"/>
      <c r="CQ385" s="3061"/>
      <c r="CR385" s="3061"/>
      <c r="CS385" s="3062"/>
      <c r="CT385" s="3063"/>
      <c r="CU385" s="3064">
        <f t="shared" si="106"/>
        <v>1</v>
      </c>
      <c r="CV385" s="3022" t="str">
        <f>IF(OR(CT385="",CT385="None"),"-",DO385*CU385*SUMIF('Lighting Assumptions'!$G$3:$G$112,'6a - Lighting Counts'!G385,'Lighting Assumptions'!$J$3:$J$112))</f>
        <v>-</v>
      </c>
      <c r="CW385" s="3021"/>
      <c r="CX385" s="3021"/>
      <c r="CY385" s="3046"/>
      <c r="CZ385" s="2098">
        <f t="shared" si="107"/>
        <v>0</v>
      </c>
      <c r="DA385" s="2098" t="str">
        <f t="shared" si="108"/>
        <v>-</v>
      </c>
      <c r="DB385" s="2098">
        <f t="shared" si="109"/>
        <v>0</v>
      </c>
      <c r="DC385" s="3023" t="str">
        <f t="shared" si="110"/>
        <v>-</v>
      </c>
      <c r="DD385" s="3024" t="str">
        <f t="shared" si="111"/>
        <v/>
      </c>
      <c r="DE385" s="3025" t="str">
        <f t="shared" si="112"/>
        <v>-</v>
      </c>
      <c r="DF385" s="3024" t="str">
        <f t="shared" si="103"/>
        <v>-</v>
      </c>
      <c r="DG385" s="2098">
        <f t="shared" si="113"/>
        <v>0</v>
      </c>
      <c r="DH385" s="2098">
        <f t="array" ref="DH385">MIN(SUMPRODUCT(I385:CR385,IF($I$25:$CR$25="yes",1,0),$I$23:$CR$23),H385)</f>
        <v>0</v>
      </c>
      <c r="DI385" s="3026"/>
      <c r="DJ385" s="3021"/>
      <c r="DN385" s="917" t="str">
        <f>IF(CS385="","-",SUMIF('Lighting Assumptions'!$G$3:$G$112,'6a - Lighting Counts'!G385,'Lighting Assumptions'!$J$3:$J$112))</f>
        <v>-</v>
      </c>
      <c r="DO385" s="917" t="str">
        <f t="shared" si="104"/>
        <v>-</v>
      </c>
      <c r="DP385" s="917" t="str">
        <f t="shared" si="105"/>
        <v>-</v>
      </c>
      <c r="DQ385" s="917" t="str">
        <f>IF(LEFT(CELLformula(DF385),3)&lt;&gt;"=IF",1,"")</f>
        <v/>
      </c>
      <c r="DR385" s="917" t="str">
        <f>IF(LEFT(CELLformula(DD385),3)&lt;&gt;"=IF",1,"")</f>
        <v/>
      </c>
      <c r="DS385" s="3048">
        <f t="shared" si="114"/>
        <v>0</v>
      </c>
      <c r="DT385" s="3047" t="str">
        <f t="shared" si="115"/>
        <v/>
      </c>
      <c r="DU385" s="3047" t="str">
        <f>IFERROR(IF(G385="","",SUMIF('Lighting Assumptions'!$G$3:$G$112,'6a - Lighting Counts'!G385,'Lighting Assumptions'!$H$3:$H$112)*IF(SI_IP_Units="SI",10.76,1)),"")</f>
        <v/>
      </c>
      <c r="DV385" s="3047" t="str">
        <f>IFERROR(IF($CX385="","",IF(SI_IP_Units="SI",10.76,1)*SUMIF(BAMCategories,$CY385,'Lighting Assumptions'!$E$3:E$35)),"")</f>
        <v/>
      </c>
      <c r="DW385" s="3047" t="str">
        <f>IFERROR(IF($CX385="","",IF(SI_IP_Units="SI",10.76,1)*SUMIF(BAMCategories,$CY385,IF(bpf_reference="ACP",'Lighting Assumptions 90.1-2010'!$E$3:E$35,'Lighting Assumptions 90.1-2016'!$E$3:E$35))),"")</f>
        <v/>
      </c>
      <c r="EW385" s="855"/>
      <c r="EX385" s="855"/>
      <c r="EY385" s="855"/>
      <c r="EZ385" s="855"/>
    </row>
    <row r="386" spans="4:156" x14ac:dyDescent="0.25">
      <c r="D386" s="3019"/>
      <c r="E386" s="3020"/>
      <c r="F386" s="3021">
        <f t="shared" si="102"/>
        <v>0</v>
      </c>
      <c r="G386" s="3059"/>
      <c r="H386" s="3060"/>
      <c r="I386" s="3061"/>
      <c r="J386" s="3061"/>
      <c r="K386" s="3061"/>
      <c r="L386" s="3061"/>
      <c r="M386" s="3061"/>
      <c r="N386" s="3061"/>
      <c r="O386" s="3061"/>
      <c r="P386" s="3061"/>
      <c r="Q386" s="3061"/>
      <c r="R386" s="3061"/>
      <c r="S386" s="3061"/>
      <c r="T386" s="3061"/>
      <c r="U386" s="3061"/>
      <c r="V386" s="3061"/>
      <c r="W386" s="3061"/>
      <c r="X386" s="3061"/>
      <c r="Y386" s="3061"/>
      <c r="Z386" s="3061"/>
      <c r="AA386" s="3061"/>
      <c r="AB386" s="3061"/>
      <c r="AC386" s="3061"/>
      <c r="AD386" s="3061"/>
      <c r="AE386" s="3061"/>
      <c r="AF386" s="3061"/>
      <c r="AG386" s="3061"/>
      <c r="AH386" s="3061"/>
      <c r="AI386" s="3061"/>
      <c r="AJ386" s="3061"/>
      <c r="AK386" s="3061"/>
      <c r="AL386" s="3061"/>
      <c r="AM386" s="3061"/>
      <c r="AN386" s="3061"/>
      <c r="AO386" s="3061"/>
      <c r="AP386" s="3061"/>
      <c r="AQ386" s="3061"/>
      <c r="AR386" s="3061"/>
      <c r="AS386" s="3061"/>
      <c r="AT386" s="3061"/>
      <c r="AU386" s="3061"/>
      <c r="AV386" s="3061"/>
      <c r="AW386" s="3061"/>
      <c r="AX386" s="3061"/>
      <c r="AY386" s="3061"/>
      <c r="AZ386" s="3061"/>
      <c r="BA386" s="3061"/>
      <c r="BB386" s="3061"/>
      <c r="BC386" s="3061"/>
      <c r="BD386" s="3061"/>
      <c r="BE386" s="3061"/>
      <c r="BF386" s="3061"/>
      <c r="BG386" s="3061"/>
      <c r="BH386" s="3061"/>
      <c r="BI386" s="3061"/>
      <c r="BJ386" s="3061"/>
      <c r="BK386" s="3061"/>
      <c r="BL386" s="3061"/>
      <c r="BM386" s="3061"/>
      <c r="BN386" s="3061"/>
      <c r="BO386" s="3061"/>
      <c r="BP386" s="3061"/>
      <c r="BQ386" s="3061"/>
      <c r="BR386" s="3061"/>
      <c r="BS386" s="3061"/>
      <c r="BT386" s="3061"/>
      <c r="BU386" s="3061"/>
      <c r="BV386" s="3061"/>
      <c r="BW386" s="3061"/>
      <c r="BX386" s="3061"/>
      <c r="BY386" s="3061"/>
      <c r="BZ386" s="3061"/>
      <c r="CA386" s="3061"/>
      <c r="CB386" s="3061"/>
      <c r="CC386" s="3061"/>
      <c r="CD386" s="3061"/>
      <c r="CE386" s="3061"/>
      <c r="CF386" s="3061"/>
      <c r="CG386" s="3061"/>
      <c r="CH386" s="3061"/>
      <c r="CI386" s="3061"/>
      <c r="CJ386" s="3061"/>
      <c r="CK386" s="3061"/>
      <c r="CL386" s="3061"/>
      <c r="CM386" s="3061"/>
      <c r="CN386" s="3061"/>
      <c r="CO386" s="3061"/>
      <c r="CP386" s="3061"/>
      <c r="CQ386" s="3061"/>
      <c r="CR386" s="3061"/>
      <c r="CS386" s="3062"/>
      <c r="CT386" s="3063"/>
      <c r="CU386" s="3064">
        <f t="shared" si="106"/>
        <v>1</v>
      </c>
      <c r="CV386" s="3022" t="str">
        <f>IF(OR(CT386="",CT386="None"),"-",DO386*CU386*SUMIF('Lighting Assumptions'!$G$3:$G$112,'6a - Lighting Counts'!G386,'Lighting Assumptions'!$J$3:$J$112))</f>
        <v>-</v>
      </c>
      <c r="CW386" s="3021"/>
      <c r="CX386" s="3021"/>
      <c r="CY386" s="3046"/>
      <c r="CZ386" s="2098">
        <f t="shared" si="107"/>
        <v>0</v>
      </c>
      <c r="DA386" s="2098" t="str">
        <f t="shared" si="108"/>
        <v>-</v>
      </c>
      <c r="DB386" s="2098">
        <f t="shared" si="109"/>
        <v>0</v>
      </c>
      <c r="DC386" s="3023" t="str">
        <f t="shared" si="110"/>
        <v>-</v>
      </c>
      <c r="DD386" s="3024" t="str">
        <f t="shared" si="111"/>
        <v/>
      </c>
      <c r="DE386" s="3025" t="str">
        <f t="shared" si="112"/>
        <v>-</v>
      </c>
      <c r="DF386" s="3024" t="str">
        <f t="shared" si="103"/>
        <v>-</v>
      </c>
      <c r="DG386" s="2098">
        <f t="shared" si="113"/>
        <v>0</v>
      </c>
      <c r="DH386" s="2098">
        <f t="array" ref="DH386">MIN(SUMPRODUCT(I386:CR386,IF($I$25:$CR$25="yes",1,0),$I$23:$CR$23),H386)</f>
        <v>0</v>
      </c>
      <c r="DI386" s="3026"/>
      <c r="DJ386" s="3021"/>
      <c r="DN386" s="917" t="str">
        <f>IF(CS386="","-",SUMIF('Lighting Assumptions'!$G$3:$G$112,'6a - Lighting Counts'!G386,'Lighting Assumptions'!$J$3:$J$112))</f>
        <v>-</v>
      </c>
      <c r="DO386" s="917" t="str">
        <f t="shared" si="104"/>
        <v>-</v>
      </c>
      <c r="DP386" s="917" t="str">
        <f t="shared" si="105"/>
        <v>-</v>
      </c>
      <c r="DQ386" s="917" t="str">
        <f>IF(LEFT(CELLformula(DF386),3)&lt;&gt;"=IF",1,"")</f>
        <v/>
      </c>
      <c r="DR386" s="917" t="str">
        <f>IF(LEFT(CELLformula(DD386),3)&lt;&gt;"=IF",1,"")</f>
        <v/>
      </c>
      <c r="DS386" s="3048">
        <f t="shared" si="114"/>
        <v>0</v>
      </c>
      <c r="DT386" s="3047" t="str">
        <f t="shared" si="115"/>
        <v/>
      </c>
      <c r="DU386" s="3047" t="str">
        <f>IFERROR(IF(G386="","",SUMIF('Lighting Assumptions'!$G$3:$G$112,'6a - Lighting Counts'!G386,'Lighting Assumptions'!$H$3:$H$112)*IF(SI_IP_Units="SI",10.76,1)),"")</f>
        <v/>
      </c>
      <c r="DV386" s="3047" t="str">
        <f>IFERROR(IF($CX386="","",IF(SI_IP_Units="SI",10.76,1)*SUMIF(BAMCategories,$CY386,'Lighting Assumptions'!$E$3:E$35)),"")</f>
        <v/>
      </c>
      <c r="DW386" s="3047" t="str">
        <f>IFERROR(IF($CX386="","",IF(SI_IP_Units="SI",10.76,1)*SUMIF(BAMCategories,$CY386,IF(bpf_reference="ACP",'Lighting Assumptions 90.1-2010'!$E$3:E$35,'Lighting Assumptions 90.1-2016'!$E$3:E$35))),"")</f>
        <v/>
      </c>
      <c r="EW386" s="855"/>
      <c r="EX386" s="855"/>
      <c r="EY386" s="855"/>
      <c r="EZ386" s="855"/>
    </row>
    <row r="387" spans="4:156" x14ac:dyDescent="0.25">
      <c r="D387" s="3019"/>
      <c r="E387" s="3020"/>
      <c r="F387" s="3021">
        <f t="shared" si="102"/>
        <v>0</v>
      </c>
      <c r="G387" s="3059"/>
      <c r="H387" s="3060"/>
      <c r="I387" s="3061"/>
      <c r="J387" s="3061"/>
      <c r="K387" s="3061"/>
      <c r="L387" s="3061"/>
      <c r="M387" s="3061"/>
      <c r="N387" s="3061"/>
      <c r="O387" s="3061"/>
      <c r="P387" s="3061"/>
      <c r="Q387" s="3061"/>
      <c r="R387" s="3061"/>
      <c r="S387" s="3061"/>
      <c r="T387" s="3061"/>
      <c r="U387" s="3061"/>
      <c r="V387" s="3061"/>
      <c r="W387" s="3061"/>
      <c r="X387" s="3061"/>
      <c r="Y387" s="3061"/>
      <c r="Z387" s="3061"/>
      <c r="AA387" s="3061"/>
      <c r="AB387" s="3061"/>
      <c r="AC387" s="3061"/>
      <c r="AD387" s="3061"/>
      <c r="AE387" s="3061"/>
      <c r="AF387" s="3061"/>
      <c r="AG387" s="3061"/>
      <c r="AH387" s="3061"/>
      <c r="AI387" s="3061"/>
      <c r="AJ387" s="3061"/>
      <c r="AK387" s="3061"/>
      <c r="AL387" s="3061"/>
      <c r="AM387" s="3061"/>
      <c r="AN387" s="3061"/>
      <c r="AO387" s="3061"/>
      <c r="AP387" s="3061"/>
      <c r="AQ387" s="3061"/>
      <c r="AR387" s="3061"/>
      <c r="AS387" s="3061"/>
      <c r="AT387" s="3061"/>
      <c r="AU387" s="3061"/>
      <c r="AV387" s="3061"/>
      <c r="AW387" s="3061"/>
      <c r="AX387" s="3061"/>
      <c r="AY387" s="3061"/>
      <c r="AZ387" s="3061"/>
      <c r="BA387" s="3061"/>
      <c r="BB387" s="3061"/>
      <c r="BC387" s="3061"/>
      <c r="BD387" s="3061"/>
      <c r="BE387" s="3061"/>
      <c r="BF387" s="3061"/>
      <c r="BG387" s="3061"/>
      <c r="BH387" s="3061"/>
      <c r="BI387" s="3061"/>
      <c r="BJ387" s="3061"/>
      <c r="BK387" s="3061"/>
      <c r="BL387" s="3061"/>
      <c r="BM387" s="3061"/>
      <c r="BN387" s="3061"/>
      <c r="BO387" s="3061"/>
      <c r="BP387" s="3061"/>
      <c r="BQ387" s="3061"/>
      <c r="BR387" s="3061"/>
      <c r="BS387" s="3061"/>
      <c r="BT387" s="3061"/>
      <c r="BU387" s="3061"/>
      <c r="BV387" s="3061"/>
      <c r="BW387" s="3061"/>
      <c r="BX387" s="3061"/>
      <c r="BY387" s="3061"/>
      <c r="BZ387" s="3061"/>
      <c r="CA387" s="3061"/>
      <c r="CB387" s="3061"/>
      <c r="CC387" s="3061"/>
      <c r="CD387" s="3061"/>
      <c r="CE387" s="3061"/>
      <c r="CF387" s="3061"/>
      <c r="CG387" s="3061"/>
      <c r="CH387" s="3061"/>
      <c r="CI387" s="3061"/>
      <c r="CJ387" s="3061"/>
      <c r="CK387" s="3061"/>
      <c r="CL387" s="3061"/>
      <c r="CM387" s="3061"/>
      <c r="CN387" s="3061"/>
      <c r="CO387" s="3061"/>
      <c r="CP387" s="3061"/>
      <c r="CQ387" s="3061"/>
      <c r="CR387" s="3061"/>
      <c r="CS387" s="3062"/>
      <c r="CT387" s="3063"/>
      <c r="CU387" s="3064">
        <f t="shared" si="106"/>
        <v>1</v>
      </c>
      <c r="CV387" s="3022" t="str">
        <f>IF(OR(CT387="",CT387="None"),"-",DO387*CU387*SUMIF('Lighting Assumptions'!$G$3:$G$112,'6a - Lighting Counts'!G387,'Lighting Assumptions'!$J$3:$J$112))</f>
        <v>-</v>
      </c>
      <c r="CW387" s="3021"/>
      <c r="CX387" s="3021"/>
      <c r="CY387" s="3046"/>
      <c r="CZ387" s="2098">
        <f t="shared" si="107"/>
        <v>0</v>
      </c>
      <c r="DA387" s="2098" t="str">
        <f t="shared" si="108"/>
        <v>-</v>
      </c>
      <c r="DB387" s="2098">
        <f t="shared" si="109"/>
        <v>0</v>
      </c>
      <c r="DC387" s="3023" t="str">
        <f t="shared" si="110"/>
        <v>-</v>
      </c>
      <c r="DD387" s="3024" t="str">
        <f t="shared" si="111"/>
        <v/>
      </c>
      <c r="DE387" s="3025" t="str">
        <f t="shared" si="112"/>
        <v>-</v>
      </c>
      <c r="DF387" s="3024" t="str">
        <f t="shared" si="103"/>
        <v>-</v>
      </c>
      <c r="DG387" s="2098">
        <f t="shared" si="113"/>
        <v>0</v>
      </c>
      <c r="DH387" s="2098">
        <f t="array" ref="DH387">MIN(SUMPRODUCT(I387:CR387,IF($I$25:$CR$25="yes",1,0),$I$23:$CR$23),H387)</f>
        <v>0</v>
      </c>
      <c r="DI387" s="3026"/>
      <c r="DJ387" s="3021"/>
      <c r="DN387" s="917" t="str">
        <f>IF(CS387="","-",SUMIF('Lighting Assumptions'!$G$3:$G$112,'6a - Lighting Counts'!G387,'Lighting Assumptions'!$J$3:$J$112))</f>
        <v>-</v>
      </c>
      <c r="DO387" s="917" t="str">
        <f t="shared" si="104"/>
        <v>-</v>
      </c>
      <c r="DP387" s="917" t="str">
        <f t="shared" si="105"/>
        <v>-</v>
      </c>
      <c r="DQ387" s="917" t="str">
        <f>IF(LEFT(CELLformula(DF387),3)&lt;&gt;"=IF",1,"")</f>
        <v/>
      </c>
      <c r="DR387" s="917" t="str">
        <f>IF(LEFT(CELLformula(DD387),3)&lt;&gt;"=IF",1,"")</f>
        <v/>
      </c>
      <c r="DS387" s="3048">
        <f t="shared" si="114"/>
        <v>0</v>
      </c>
      <c r="DT387" s="3047" t="str">
        <f t="shared" si="115"/>
        <v/>
      </c>
      <c r="DU387" s="3047" t="str">
        <f>IFERROR(IF(G387="","",SUMIF('Lighting Assumptions'!$G$3:$G$112,'6a - Lighting Counts'!G387,'Lighting Assumptions'!$H$3:$H$112)*IF(SI_IP_Units="SI",10.76,1)),"")</f>
        <v/>
      </c>
      <c r="DV387" s="3047" t="str">
        <f>IFERROR(IF($CX387="","",IF(SI_IP_Units="SI",10.76,1)*SUMIF(BAMCategories,$CY387,'Lighting Assumptions'!$E$3:E$35)),"")</f>
        <v/>
      </c>
      <c r="DW387" s="3047" t="str">
        <f>IFERROR(IF($CX387="","",IF(SI_IP_Units="SI",10.76,1)*SUMIF(BAMCategories,$CY387,IF(bpf_reference="ACP",'Lighting Assumptions 90.1-2010'!$E$3:E$35,'Lighting Assumptions 90.1-2016'!$E$3:E$35))),"")</f>
        <v/>
      </c>
      <c r="EW387" s="855"/>
      <c r="EX387" s="855"/>
      <c r="EY387" s="855"/>
      <c r="EZ387" s="855"/>
    </row>
    <row r="388" spans="4:156" x14ac:dyDescent="0.25">
      <c r="D388" s="3019"/>
      <c r="E388" s="3020"/>
      <c r="F388" s="3021">
        <f t="shared" si="102"/>
        <v>0</v>
      </c>
      <c r="G388" s="3059"/>
      <c r="H388" s="3060"/>
      <c r="I388" s="3061"/>
      <c r="J388" s="3061"/>
      <c r="K388" s="3061"/>
      <c r="L388" s="3061"/>
      <c r="M388" s="3061"/>
      <c r="N388" s="3061"/>
      <c r="O388" s="3061"/>
      <c r="P388" s="3061"/>
      <c r="Q388" s="3061"/>
      <c r="R388" s="3061"/>
      <c r="S388" s="3061"/>
      <c r="T388" s="3061"/>
      <c r="U388" s="3061"/>
      <c r="V388" s="3061"/>
      <c r="W388" s="3061"/>
      <c r="X388" s="3061"/>
      <c r="Y388" s="3061"/>
      <c r="Z388" s="3061"/>
      <c r="AA388" s="3061"/>
      <c r="AB388" s="3061"/>
      <c r="AC388" s="3061"/>
      <c r="AD388" s="3061"/>
      <c r="AE388" s="3061"/>
      <c r="AF388" s="3061"/>
      <c r="AG388" s="3061"/>
      <c r="AH388" s="3061"/>
      <c r="AI388" s="3061"/>
      <c r="AJ388" s="3061"/>
      <c r="AK388" s="3061"/>
      <c r="AL388" s="3061"/>
      <c r="AM388" s="3061"/>
      <c r="AN388" s="3061"/>
      <c r="AO388" s="3061"/>
      <c r="AP388" s="3061"/>
      <c r="AQ388" s="3061"/>
      <c r="AR388" s="3061"/>
      <c r="AS388" s="3061"/>
      <c r="AT388" s="3061"/>
      <c r="AU388" s="3061"/>
      <c r="AV388" s="3061"/>
      <c r="AW388" s="3061"/>
      <c r="AX388" s="3061"/>
      <c r="AY388" s="3061"/>
      <c r="AZ388" s="3061"/>
      <c r="BA388" s="3061"/>
      <c r="BB388" s="3061"/>
      <c r="BC388" s="3061"/>
      <c r="BD388" s="3061"/>
      <c r="BE388" s="3061"/>
      <c r="BF388" s="3061"/>
      <c r="BG388" s="3061"/>
      <c r="BH388" s="3061"/>
      <c r="BI388" s="3061"/>
      <c r="BJ388" s="3061"/>
      <c r="BK388" s="3061"/>
      <c r="BL388" s="3061"/>
      <c r="BM388" s="3061"/>
      <c r="BN388" s="3061"/>
      <c r="BO388" s="3061"/>
      <c r="BP388" s="3061"/>
      <c r="BQ388" s="3061"/>
      <c r="BR388" s="3061"/>
      <c r="BS388" s="3061"/>
      <c r="BT388" s="3061"/>
      <c r="BU388" s="3061"/>
      <c r="BV388" s="3061"/>
      <c r="BW388" s="3061"/>
      <c r="BX388" s="3061"/>
      <c r="BY388" s="3061"/>
      <c r="BZ388" s="3061"/>
      <c r="CA388" s="3061"/>
      <c r="CB388" s="3061"/>
      <c r="CC388" s="3061"/>
      <c r="CD388" s="3061"/>
      <c r="CE388" s="3061"/>
      <c r="CF388" s="3061"/>
      <c r="CG388" s="3061"/>
      <c r="CH388" s="3061"/>
      <c r="CI388" s="3061"/>
      <c r="CJ388" s="3061"/>
      <c r="CK388" s="3061"/>
      <c r="CL388" s="3061"/>
      <c r="CM388" s="3061"/>
      <c r="CN388" s="3061"/>
      <c r="CO388" s="3061"/>
      <c r="CP388" s="3061"/>
      <c r="CQ388" s="3061"/>
      <c r="CR388" s="3061"/>
      <c r="CS388" s="3062"/>
      <c r="CT388" s="3063"/>
      <c r="CU388" s="3064">
        <f t="shared" si="106"/>
        <v>1</v>
      </c>
      <c r="CV388" s="3022" t="str">
        <f>IF(OR(CT388="",CT388="None"),"-",DO388*CU388*SUMIF('Lighting Assumptions'!$G$3:$G$112,'6a - Lighting Counts'!G388,'Lighting Assumptions'!$J$3:$J$112))</f>
        <v>-</v>
      </c>
      <c r="CW388" s="3021"/>
      <c r="CX388" s="3021"/>
      <c r="CY388" s="3046"/>
      <c r="CZ388" s="2098">
        <f t="shared" si="107"/>
        <v>0</v>
      </c>
      <c r="DA388" s="2098" t="str">
        <f t="shared" si="108"/>
        <v>-</v>
      </c>
      <c r="DB388" s="2098">
        <f t="shared" si="109"/>
        <v>0</v>
      </c>
      <c r="DC388" s="3023" t="str">
        <f t="shared" si="110"/>
        <v>-</v>
      </c>
      <c r="DD388" s="3024" t="str">
        <f t="shared" si="111"/>
        <v/>
      </c>
      <c r="DE388" s="3025" t="str">
        <f t="shared" si="112"/>
        <v>-</v>
      </c>
      <c r="DF388" s="3024" t="str">
        <f t="shared" si="103"/>
        <v>-</v>
      </c>
      <c r="DG388" s="2098">
        <f t="shared" si="113"/>
        <v>0</v>
      </c>
      <c r="DH388" s="2098">
        <f t="array" ref="DH388">MIN(SUMPRODUCT(I388:CR388,IF($I$25:$CR$25="yes",1,0),$I$23:$CR$23),H388)</f>
        <v>0</v>
      </c>
      <c r="DI388" s="3026"/>
      <c r="DJ388" s="3021"/>
      <c r="DN388" s="917" t="str">
        <f>IF(CS388="","-",SUMIF('Lighting Assumptions'!$G$3:$G$112,'6a - Lighting Counts'!G388,'Lighting Assumptions'!$J$3:$J$112))</f>
        <v>-</v>
      </c>
      <c r="DO388" s="917" t="str">
        <f t="shared" si="104"/>
        <v>-</v>
      </c>
      <c r="DP388" s="917" t="str">
        <f t="shared" si="105"/>
        <v>-</v>
      </c>
      <c r="DQ388" s="917" t="str">
        <f>IF(LEFT(CELLformula(DF388),3)&lt;&gt;"=IF",1,"")</f>
        <v/>
      </c>
      <c r="DR388" s="917" t="str">
        <f>IF(LEFT(CELLformula(DD388),3)&lt;&gt;"=IF",1,"")</f>
        <v/>
      </c>
      <c r="DS388" s="3048">
        <f t="shared" si="114"/>
        <v>0</v>
      </c>
      <c r="DT388" s="3047" t="str">
        <f t="shared" si="115"/>
        <v/>
      </c>
      <c r="DU388" s="3047" t="str">
        <f>IFERROR(IF(G388="","",SUMIF('Lighting Assumptions'!$G$3:$G$112,'6a - Lighting Counts'!G388,'Lighting Assumptions'!$H$3:$H$112)*IF(SI_IP_Units="SI",10.76,1)),"")</f>
        <v/>
      </c>
      <c r="DV388" s="3047" t="str">
        <f>IFERROR(IF($CX388="","",IF(SI_IP_Units="SI",10.76,1)*SUMIF(BAMCategories,$CY388,'Lighting Assumptions'!$E$3:E$35)),"")</f>
        <v/>
      </c>
      <c r="DW388" s="3047" t="str">
        <f>IFERROR(IF($CX388="","",IF(SI_IP_Units="SI",10.76,1)*SUMIF(BAMCategories,$CY388,IF(bpf_reference="ACP",'Lighting Assumptions 90.1-2010'!$E$3:E$35,'Lighting Assumptions 90.1-2016'!$E$3:E$35))),"")</f>
        <v/>
      </c>
      <c r="EW388" s="855"/>
      <c r="EX388" s="855"/>
      <c r="EY388" s="855"/>
      <c r="EZ388" s="855"/>
    </row>
    <row r="389" spans="4:156" x14ac:dyDescent="0.25">
      <c r="D389" s="3019"/>
      <c r="E389" s="3020"/>
      <c r="F389" s="3021">
        <f t="shared" si="102"/>
        <v>0</v>
      </c>
      <c r="G389" s="3059"/>
      <c r="H389" s="3060"/>
      <c r="I389" s="3061"/>
      <c r="J389" s="3061"/>
      <c r="K389" s="3061"/>
      <c r="L389" s="3061"/>
      <c r="M389" s="3061"/>
      <c r="N389" s="3061"/>
      <c r="O389" s="3061"/>
      <c r="P389" s="3061"/>
      <c r="Q389" s="3061"/>
      <c r="R389" s="3061"/>
      <c r="S389" s="3061"/>
      <c r="T389" s="3061"/>
      <c r="U389" s="3061"/>
      <c r="V389" s="3061"/>
      <c r="W389" s="3061"/>
      <c r="X389" s="3061"/>
      <c r="Y389" s="3061"/>
      <c r="Z389" s="3061"/>
      <c r="AA389" s="3061"/>
      <c r="AB389" s="3061"/>
      <c r="AC389" s="3061"/>
      <c r="AD389" s="3061"/>
      <c r="AE389" s="3061"/>
      <c r="AF389" s="3061"/>
      <c r="AG389" s="3061"/>
      <c r="AH389" s="3061"/>
      <c r="AI389" s="3061"/>
      <c r="AJ389" s="3061"/>
      <c r="AK389" s="3061"/>
      <c r="AL389" s="3061"/>
      <c r="AM389" s="3061"/>
      <c r="AN389" s="3061"/>
      <c r="AO389" s="3061"/>
      <c r="AP389" s="3061"/>
      <c r="AQ389" s="3061"/>
      <c r="AR389" s="3061"/>
      <c r="AS389" s="3061"/>
      <c r="AT389" s="3061"/>
      <c r="AU389" s="3061"/>
      <c r="AV389" s="3061"/>
      <c r="AW389" s="3061"/>
      <c r="AX389" s="3061"/>
      <c r="AY389" s="3061"/>
      <c r="AZ389" s="3061"/>
      <c r="BA389" s="3061"/>
      <c r="BB389" s="3061"/>
      <c r="BC389" s="3061"/>
      <c r="BD389" s="3061"/>
      <c r="BE389" s="3061"/>
      <c r="BF389" s="3061"/>
      <c r="BG389" s="3061"/>
      <c r="BH389" s="3061"/>
      <c r="BI389" s="3061"/>
      <c r="BJ389" s="3061"/>
      <c r="BK389" s="3061"/>
      <c r="BL389" s="3061"/>
      <c r="BM389" s="3061"/>
      <c r="BN389" s="3061"/>
      <c r="BO389" s="3061"/>
      <c r="BP389" s="3061"/>
      <c r="BQ389" s="3061"/>
      <c r="BR389" s="3061"/>
      <c r="BS389" s="3061"/>
      <c r="BT389" s="3061"/>
      <c r="BU389" s="3061"/>
      <c r="BV389" s="3061"/>
      <c r="BW389" s="3061"/>
      <c r="BX389" s="3061"/>
      <c r="BY389" s="3061"/>
      <c r="BZ389" s="3061"/>
      <c r="CA389" s="3061"/>
      <c r="CB389" s="3061"/>
      <c r="CC389" s="3061"/>
      <c r="CD389" s="3061"/>
      <c r="CE389" s="3061"/>
      <c r="CF389" s="3061"/>
      <c r="CG389" s="3061"/>
      <c r="CH389" s="3061"/>
      <c r="CI389" s="3061"/>
      <c r="CJ389" s="3061"/>
      <c r="CK389" s="3061"/>
      <c r="CL389" s="3061"/>
      <c r="CM389" s="3061"/>
      <c r="CN389" s="3061"/>
      <c r="CO389" s="3061"/>
      <c r="CP389" s="3061"/>
      <c r="CQ389" s="3061"/>
      <c r="CR389" s="3061"/>
      <c r="CS389" s="3062"/>
      <c r="CT389" s="3063"/>
      <c r="CU389" s="3064">
        <f t="shared" si="106"/>
        <v>1</v>
      </c>
      <c r="CV389" s="3022" t="str">
        <f>IF(OR(CT389="",CT389="None"),"-",DO389*CU389*SUMIF('Lighting Assumptions'!$G$3:$G$112,'6a - Lighting Counts'!G389,'Lighting Assumptions'!$J$3:$J$112))</f>
        <v>-</v>
      </c>
      <c r="CW389" s="3021"/>
      <c r="CX389" s="3021"/>
      <c r="CY389" s="3046"/>
      <c r="CZ389" s="2098">
        <f t="shared" si="107"/>
        <v>0</v>
      </c>
      <c r="DA389" s="2098" t="str">
        <f t="shared" si="108"/>
        <v>-</v>
      </c>
      <c r="DB389" s="2098">
        <f t="shared" si="109"/>
        <v>0</v>
      </c>
      <c r="DC389" s="3023" t="str">
        <f t="shared" si="110"/>
        <v>-</v>
      </c>
      <c r="DD389" s="3024" t="str">
        <f t="shared" si="111"/>
        <v/>
      </c>
      <c r="DE389" s="3025" t="str">
        <f t="shared" si="112"/>
        <v>-</v>
      </c>
      <c r="DF389" s="3024" t="str">
        <f t="shared" si="103"/>
        <v>-</v>
      </c>
      <c r="DG389" s="2098">
        <f t="shared" si="113"/>
        <v>0</v>
      </c>
      <c r="DH389" s="2098">
        <f t="array" ref="DH389">MIN(SUMPRODUCT(I389:CR389,IF($I$25:$CR$25="yes",1,0),$I$23:$CR$23),H389)</f>
        <v>0</v>
      </c>
      <c r="DI389" s="3026"/>
      <c r="DJ389" s="3021"/>
      <c r="DN389" s="917" t="str">
        <f>IF(CS389="","-",SUMIF('Lighting Assumptions'!$G$3:$G$112,'6a - Lighting Counts'!G389,'Lighting Assumptions'!$J$3:$J$112))</f>
        <v>-</v>
      </c>
      <c r="DO389" s="917" t="str">
        <f t="shared" si="104"/>
        <v>-</v>
      </c>
      <c r="DP389" s="917" t="str">
        <f t="shared" si="105"/>
        <v>-</v>
      </c>
      <c r="DQ389" s="917" t="str">
        <f>IF(LEFT(CELLformula(DF389),3)&lt;&gt;"=IF",1,"")</f>
        <v/>
      </c>
      <c r="DR389" s="917" t="str">
        <f>IF(LEFT(CELLformula(DD389),3)&lt;&gt;"=IF",1,"")</f>
        <v/>
      </c>
      <c r="DS389" s="3048">
        <f t="shared" si="114"/>
        <v>0</v>
      </c>
      <c r="DT389" s="3047" t="str">
        <f t="shared" si="115"/>
        <v/>
      </c>
      <c r="DU389" s="3047" t="str">
        <f>IFERROR(IF(G389="","",SUMIF('Lighting Assumptions'!$G$3:$G$112,'6a - Lighting Counts'!G389,'Lighting Assumptions'!$H$3:$H$112)*IF(SI_IP_Units="SI",10.76,1)),"")</f>
        <v/>
      </c>
      <c r="DV389" s="3047" t="str">
        <f>IFERROR(IF($CX389="","",IF(SI_IP_Units="SI",10.76,1)*SUMIF(BAMCategories,$CY389,'Lighting Assumptions'!$E$3:E$35)),"")</f>
        <v/>
      </c>
      <c r="DW389" s="3047" t="str">
        <f>IFERROR(IF($CX389="","",IF(SI_IP_Units="SI",10.76,1)*SUMIF(BAMCategories,$CY389,IF(bpf_reference="ACP",'Lighting Assumptions 90.1-2010'!$E$3:E$35,'Lighting Assumptions 90.1-2016'!$E$3:E$35))),"")</f>
        <v/>
      </c>
      <c r="EW389" s="855"/>
      <c r="EX389" s="855"/>
      <c r="EY389" s="855"/>
      <c r="EZ389" s="855"/>
    </row>
    <row r="390" spans="4:156" x14ac:dyDescent="0.25">
      <c r="D390" s="3019"/>
      <c r="E390" s="3020"/>
      <c r="F390" s="3021">
        <f t="shared" si="102"/>
        <v>0</v>
      </c>
      <c r="G390" s="3059"/>
      <c r="H390" s="3060"/>
      <c r="I390" s="3061"/>
      <c r="J390" s="3061"/>
      <c r="K390" s="3061"/>
      <c r="L390" s="3061"/>
      <c r="M390" s="3061"/>
      <c r="N390" s="3061"/>
      <c r="O390" s="3061"/>
      <c r="P390" s="3061"/>
      <c r="Q390" s="3061"/>
      <c r="R390" s="3061"/>
      <c r="S390" s="3061"/>
      <c r="T390" s="3061"/>
      <c r="U390" s="3061"/>
      <c r="V390" s="3061"/>
      <c r="W390" s="3061"/>
      <c r="X390" s="3061"/>
      <c r="Y390" s="3061"/>
      <c r="Z390" s="3061"/>
      <c r="AA390" s="3061"/>
      <c r="AB390" s="3061"/>
      <c r="AC390" s="3061"/>
      <c r="AD390" s="3061"/>
      <c r="AE390" s="3061"/>
      <c r="AF390" s="3061"/>
      <c r="AG390" s="3061"/>
      <c r="AH390" s="3061"/>
      <c r="AI390" s="3061"/>
      <c r="AJ390" s="3061"/>
      <c r="AK390" s="3061"/>
      <c r="AL390" s="3061"/>
      <c r="AM390" s="3061"/>
      <c r="AN390" s="3061"/>
      <c r="AO390" s="3061"/>
      <c r="AP390" s="3061"/>
      <c r="AQ390" s="3061"/>
      <c r="AR390" s="3061"/>
      <c r="AS390" s="3061"/>
      <c r="AT390" s="3061"/>
      <c r="AU390" s="3061"/>
      <c r="AV390" s="3061"/>
      <c r="AW390" s="3061"/>
      <c r="AX390" s="3061"/>
      <c r="AY390" s="3061"/>
      <c r="AZ390" s="3061"/>
      <c r="BA390" s="3061"/>
      <c r="BB390" s="3061"/>
      <c r="BC390" s="3061"/>
      <c r="BD390" s="3061"/>
      <c r="BE390" s="3061"/>
      <c r="BF390" s="3061"/>
      <c r="BG390" s="3061"/>
      <c r="BH390" s="3061"/>
      <c r="BI390" s="3061"/>
      <c r="BJ390" s="3061"/>
      <c r="BK390" s="3061"/>
      <c r="BL390" s="3061"/>
      <c r="BM390" s="3061"/>
      <c r="BN390" s="3061"/>
      <c r="BO390" s="3061"/>
      <c r="BP390" s="3061"/>
      <c r="BQ390" s="3061"/>
      <c r="BR390" s="3061"/>
      <c r="BS390" s="3061"/>
      <c r="BT390" s="3061"/>
      <c r="BU390" s="3061"/>
      <c r="BV390" s="3061"/>
      <c r="BW390" s="3061"/>
      <c r="BX390" s="3061"/>
      <c r="BY390" s="3061"/>
      <c r="BZ390" s="3061"/>
      <c r="CA390" s="3061"/>
      <c r="CB390" s="3061"/>
      <c r="CC390" s="3061"/>
      <c r="CD390" s="3061"/>
      <c r="CE390" s="3061"/>
      <c r="CF390" s="3061"/>
      <c r="CG390" s="3061"/>
      <c r="CH390" s="3061"/>
      <c r="CI390" s="3061"/>
      <c r="CJ390" s="3061"/>
      <c r="CK390" s="3061"/>
      <c r="CL390" s="3061"/>
      <c r="CM390" s="3061"/>
      <c r="CN390" s="3061"/>
      <c r="CO390" s="3061"/>
      <c r="CP390" s="3061"/>
      <c r="CQ390" s="3061"/>
      <c r="CR390" s="3061"/>
      <c r="CS390" s="3062"/>
      <c r="CT390" s="3063"/>
      <c r="CU390" s="3064">
        <f t="shared" si="106"/>
        <v>1</v>
      </c>
      <c r="CV390" s="3022" t="str">
        <f>IF(OR(CT390="",CT390="None"),"-",DO390*CU390*SUMIF('Lighting Assumptions'!$G$3:$G$112,'6a - Lighting Counts'!G390,'Lighting Assumptions'!$J$3:$J$112))</f>
        <v>-</v>
      </c>
      <c r="CW390" s="3021"/>
      <c r="CX390" s="3021"/>
      <c r="CY390" s="3046"/>
      <c r="CZ390" s="2098">
        <f t="shared" si="107"/>
        <v>0</v>
      </c>
      <c r="DA390" s="2098" t="str">
        <f t="shared" si="108"/>
        <v>-</v>
      </c>
      <c r="DB390" s="2098">
        <f t="shared" si="109"/>
        <v>0</v>
      </c>
      <c r="DC390" s="3023" t="str">
        <f t="shared" si="110"/>
        <v>-</v>
      </c>
      <c r="DD390" s="3024" t="str">
        <f t="shared" si="111"/>
        <v/>
      </c>
      <c r="DE390" s="3025" t="str">
        <f t="shared" si="112"/>
        <v>-</v>
      </c>
      <c r="DF390" s="3024" t="str">
        <f t="shared" si="103"/>
        <v>-</v>
      </c>
      <c r="DG390" s="2098">
        <f t="shared" si="113"/>
        <v>0</v>
      </c>
      <c r="DH390" s="2098">
        <f t="array" ref="DH390">MIN(SUMPRODUCT(I390:CR390,IF($I$25:$CR$25="yes",1,0),$I$23:$CR$23),H390)</f>
        <v>0</v>
      </c>
      <c r="DI390" s="3026"/>
      <c r="DJ390" s="3021"/>
      <c r="DN390" s="917" t="str">
        <f>IF(CS390="","-",SUMIF('Lighting Assumptions'!$G$3:$G$112,'6a - Lighting Counts'!G390,'Lighting Assumptions'!$J$3:$J$112))</f>
        <v>-</v>
      </c>
      <c r="DO390" s="917" t="str">
        <f t="shared" si="104"/>
        <v>-</v>
      </c>
      <c r="DP390" s="917" t="str">
        <f t="shared" si="105"/>
        <v>-</v>
      </c>
      <c r="DQ390" s="917" t="str">
        <f>IF(LEFT(CELLformula(DF390),3)&lt;&gt;"=IF",1,"")</f>
        <v/>
      </c>
      <c r="DR390" s="917" t="str">
        <f>IF(LEFT(CELLformula(DD390),3)&lt;&gt;"=IF",1,"")</f>
        <v/>
      </c>
      <c r="DS390" s="3048">
        <f t="shared" si="114"/>
        <v>0</v>
      </c>
      <c r="DT390" s="3047" t="str">
        <f t="shared" si="115"/>
        <v/>
      </c>
      <c r="DU390" s="3047" t="str">
        <f>IFERROR(IF(G390="","",SUMIF('Lighting Assumptions'!$G$3:$G$112,'6a - Lighting Counts'!G390,'Lighting Assumptions'!$H$3:$H$112)*IF(SI_IP_Units="SI",10.76,1)),"")</f>
        <v/>
      </c>
      <c r="DV390" s="3047" t="str">
        <f>IFERROR(IF($CX390="","",IF(SI_IP_Units="SI",10.76,1)*SUMIF(BAMCategories,$CY390,'Lighting Assumptions'!$E$3:E$35)),"")</f>
        <v/>
      </c>
      <c r="DW390" s="3047" t="str">
        <f>IFERROR(IF($CX390="","",IF(SI_IP_Units="SI",10.76,1)*SUMIF(BAMCategories,$CY390,IF(bpf_reference="ACP",'Lighting Assumptions 90.1-2010'!$E$3:E$35,'Lighting Assumptions 90.1-2016'!$E$3:E$35))),"")</f>
        <v/>
      </c>
      <c r="EW390" s="855"/>
      <c r="EX390" s="855"/>
      <c r="EY390" s="855"/>
      <c r="EZ390" s="855"/>
    </row>
    <row r="391" spans="4:156" x14ac:dyDescent="0.25">
      <c r="D391" s="3019"/>
      <c r="E391" s="3020"/>
      <c r="F391" s="3021">
        <f t="shared" si="102"/>
        <v>0</v>
      </c>
      <c r="G391" s="3059"/>
      <c r="H391" s="3060"/>
      <c r="I391" s="3061"/>
      <c r="J391" s="3061"/>
      <c r="K391" s="3061"/>
      <c r="L391" s="3061"/>
      <c r="M391" s="3061"/>
      <c r="N391" s="3061"/>
      <c r="O391" s="3061"/>
      <c r="P391" s="3061"/>
      <c r="Q391" s="3061"/>
      <c r="R391" s="3061"/>
      <c r="S391" s="3061"/>
      <c r="T391" s="3061"/>
      <c r="U391" s="3061"/>
      <c r="V391" s="3061"/>
      <c r="W391" s="3061"/>
      <c r="X391" s="3061"/>
      <c r="Y391" s="3061"/>
      <c r="Z391" s="3061"/>
      <c r="AA391" s="3061"/>
      <c r="AB391" s="3061"/>
      <c r="AC391" s="3061"/>
      <c r="AD391" s="3061"/>
      <c r="AE391" s="3061"/>
      <c r="AF391" s="3061"/>
      <c r="AG391" s="3061"/>
      <c r="AH391" s="3061"/>
      <c r="AI391" s="3061"/>
      <c r="AJ391" s="3061"/>
      <c r="AK391" s="3061"/>
      <c r="AL391" s="3061"/>
      <c r="AM391" s="3061"/>
      <c r="AN391" s="3061"/>
      <c r="AO391" s="3061"/>
      <c r="AP391" s="3061"/>
      <c r="AQ391" s="3061"/>
      <c r="AR391" s="3061"/>
      <c r="AS391" s="3061"/>
      <c r="AT391" s="3061"/>
      <c r="AU391" s="3061"/>
      <c r="AV391" s="3061"/>
      <c r="AW391" s="3061"/>
      <c r="AX391" s="3061"/>
      <c r="AY391" s="3061"/>
      <c r="AZ391" s="3061"/>
      <c r="BA391" s="3061"/>
      <c r="BB391" s="3061"/>
      <c r="BC391" s="3061"/>
      <c r="BD391" s="3061"/>
      <c r="BE391" s="3061"/>
      <c r="BF391" s="3061"/>
      <c r="BG391" s="3061"/>
      <c r="BH391" s="3061"/>
      <c r="BI391" s="3061"/>
      <c r="BJ391" s="3061"/>
      <c r="BK391" s="3061"/>
      <c r="BL391" s="3061"/>
      <c r="BM391" s="3061"/>
      <c r="BN391" s="3061"/>
      <c r="BO391" s="3061"/>
      <c r="BP391" s="3061"/>
      <c r="BQ391" s="3061"/>
      <c r="BR391" s="3061"/>
      <c r="BS391" s="3061"/>
      <c r="BT391" s="3061"/>
      <c r="BU391" s="3061"/>
      <c r="BV391" s="3061"/>
      <c r="BW391" s="3061"/>
      <c r="BX391" s="3061"/>
      <c r="BY391" s="3061"/>
      <c r="BZ391" s="3061"/>
      <c r="CA391" s="3061"/>
      <c r="CB391" s="3061"/>
      <c r="CC391" s="3061"/>
      <c r="CD391" s="3061"/>
      <c r="CE391" s="3061"/>
      <c r="CF391" s="3061"/>
      <c r="CG391" s="3061"/>
      <c r="CH391" s="3061"/>
      <c r="CI391" s="3061"/>
      <c r="CJ391" s="3061"/>
      <c r="CK391" s="3061"/>
      <c r="CL391" s="3061"/>
      <c r="CM391" s="3061"/>
      <c r="CN391" s="3061"/>
      <c r="CO391" s="3061"/>
      <c r="CP391" s="3061"/>
      <c r="CQ391" s="3061"/>
      <c r="CR391" s="3061"/>
      <c r="CS391" s="3062"/>
      <c r="CT391" s="3063"/>
      <c r="CU391" s="3064">
        <f t="shared" si="106"/>
        <v>1</v>
      </c>
      <c r="CV391" s="3022" t="str">
        <f>IF(OR(CT391="",CT391="None"),"-",DO391*CU391*SUMIF('Lighting Assumptions'!$G$3:$G$112,'6a - Lighting Counts'!G391,'Lighting Assumptions'!$J$3:$J$112))</f>
        <v>-</v>
      </c>
      <c r="CW391" s="3021"/>
      <c r="CX391" s="3021"/>
      <c r="CY391" s="3046"/>
      <c r="CZ391" s="2098">
        <f t="shared" si="107"/>
        <v>0</v>
      </c>
      <c r="DA391" s="2098" t="str">
        <f t="shared" si="108"/>
        <v>-</v>
      </c>
      <c r="DB391" s="2098">
        <f t="shared" si="109"/>
        <v>0</v>
      </c>
      <c r="DC391" s="3023" t="str">
        <f t="shared" si="110"/>
        <v>-</v>
      </c>
      <c r="DD391" s="3024" t="str">
        <f t="shared" si="111"/>
        <v/>
      </c>
      <c r="DE391" s="3025" t="str">
        <f t="shared" si="112"/>
        <v>-</v>
      </c>
      <c r="DF391" s="3024" t="str">
        <f t="shared" si="103"/>
        <v>-</v>
      </c>
      <c r="DG391" s="2098">
        <f t="shared" si="113"/>
        <v>0</v>
      </c>
      <c r="DH391" s="2098">
        <f t="array" ref="DH391">MIN(SUMPRODUCT(I391:CR391,IF($I$25:$CR$25="yes",1,0),$I$23:$CR$23),H391)</f>
        <v>0</v>
      </c>
      <c r="DI391" s="3026"/>
      <c r="DJ391" s="3021"/>
      <c r="DN391" s="917" t="str">
        <f>IF(CS391="","-",SUMIF('Lighting Assumptions'!$G$3:$G$112,'6a - Lighting Counts'!G391,'Lighting Assumptions'!$J$3:$J$112))</f>
        <v>-</v>
      </c>
      <c r="DO391" s="917" t="str">
        <f t="shared" si="104"/>
        <v>-</v>
      </c>
      <c r="DP391" s="917" t="str">
        <f t="shared" si="105"/>
        <v>-</v>
      </c>
      <c r="DQ391" s="917" t="str">
        <f>IF(LEFT(CELLformula(DF391),3)&lt;&gt;"=IF",1,"")</f>
        <v/>
      </c>
      <c r="DR391" s="917" t="str">
        <f>IF(LEFT(CELLformula(DD391),3)&lt;&gt;"=IF",1,"")</f>
        <v/>
      </c>
      <c r="DS391" s="3048">
        <f t="shared" si="114"/>
        <v>0</v>
      </c>
      <c r="DT391" s="3047" t="str">
        <f t="shared" si="115"/>
        <v/>
      </c>
      <c r="DU391" s="3047" t="str">
        <f>IFERROR(IF(G391="","",SUMIF('Lighting Assumptions'!$G$3:$G$112,'6a - Lighting Counts'!G391,'Lighting Assumptions'!$H$3:$H$112)*IF(SI_IP_Units="SI",10.76,1)),"")</f>
        <v/>
      </c>
      <c r="DV391" s="3047" t="str">
        <f>IFERROR(IF($CX391="","",IF(SI_IP_Units="SI",10.76,1)*SUMIF(BAMCategories,$CY391,'Lighting Assumptions'!$E$3:E$35)),"")</f>
        <v/>
      </c>
      <c r="DW391" s="3047" t="str">
        <f>IFERROR(IF($CX391="","",IF(SI_IP_Units="SI",10.76,1)*SUMIF(BAMCategories,$CY391,IF(bpf_reference="ACP",'Lighting Assumptions 90.1-2010'!$E$3:E$35,'Lighting Assumptions 90.1-2016'!$E$3:E$35))),"")</f>
        <v/>
      </c>
      <c r="EW391" s="855"/>
      <c r="EX391" s="855"/>
      <c r="EY391" s="855"/>
      <c r="EZ391" s="855"/>
    </row>
    <row r="392" spans="4:156" x14ac:dyDescent="0.25">
      <c r="D392" s="3019"/>
      <c r="E392" s="3020"/>
      <c r="F392" s="3021">
        <f t="shared" si="102"/>
        <v>0</v>
      </c>
      <c r="G392" s="3059"/>
      <c r="H392" s="3060"/>
      <c r="I392" s="3061"/>
      <c r="J392" s="3061"/>
      <c r="K392" s="3061"/>
      <c r="L392" s="3061"/>
      <c r="M392" s="3061"/>
      <c r="N392" s="3061"/>
      <c r="O392" s="3061"/>
      <c r="P392" s="3061"/>
      <c r="Q392" s="3061"/>
      <c r="R392" s="3061"/>
      <c r="S392" s="3061"/>
      <c r="T392" s="3061"/>
      <c r="U392" s="3061"/>
      <c r="V392" s="3061"/>
      <c r="W392" s="3061"/>
      <c r="X392" s="3061"/>
      <c r="Y392" s="3061"/>
      <c r="Z392" s="3061"/>
      <c r="AA392" s="3061"/>
      <c r="AB392" s="3061"/>
      <c r="AC392" s="3061"/>
      <c r="AD392" s="3061"/>
      <c r="AE392" s="3061"/>
      <c r="AF392" s="3061"/>
      <c r="AG392" s="3061"/>
      <c r="AH392" s="3061"/>
      <c r="AI392" s="3061"/>
      <c r="AJ392" s="3061"/>
      <c r="AK392" s="3061"/>
      <c r="AL392" s="3061"/>
      <c r="AM392" s="3061"/>
      <c r="AN392" s="3061"/>
      <c r="AO392" s="3061"/>
      <c r="AP392" s="3061"/>
      <c r="AQ392" s="3061"/>
      <c r="AR392" s="3061"/>
      <c r="AS392" s="3061"/>
      <c r="AT392" s="3061"/>
      <c r="AU392" s="3061"/>
      <c r="AV392" s="3061"/>
      <c r="AW392" s="3061"/>
      <c r="AX392" s="3061"/>
      <c r="AY392" s="3061"/>
      <c r="AZ392" s="3061"/>
      <c r="BA392" s="3061"/>
      <c r="BB392" s="3061"/>
      <c r="BC392" s="3061"/>
      <c r="BD392" s="3061"/>
      <c r="BE392" s="3061"/>
      <c r="BF392" s="3061"/>
      <c r="BG392" s="3061"/>
      <c r="BH392" s="3061"/>
      <c r="BI392" s="3061"/>
      <c r="BJ392" s="3061"/>
      <c r="BK392" s="3061"/>
      <c r="BL392" s="3061"/>
      <c r="BM392" s="3061"/>
      <c r="BN392" s="3061"/>
      <c r="BO392" s="3061"/>
      <c r="BP392" s="3061"/>
      <c r="BQ392" s="3061"/>
      <c r="BR392" s="3061"/>
      <c r="BS392" s="3061"/>
      <c r="BT392" s="3061"/>
      <c r="BU392" s="3061"/>
      <c r="BV392" s="3061"/>
      <c r="BW392" s="3061"/>
      <c r="BX392" s="3061"/>
      <c r="BY392" s="3061"/>
      <c r="BZ392" s="3061"/>
      <c r="CA392" s="3061"/>
      <c r="CB392" s="3061"/>
      <c r="CC392" s="3061"/>
      <c r="CD392" s="3061"/>
      <c r="CE392" s="3061"/>
      <c r="CF392" s="3061"/>
      <c r="CG392" s="3061"/>
      <c r="CH392" s="3061"/>
      <c r="CI392" s="3061"/>
      <c r="CJ392" s="3061"/>
      <c r="CK392" s="3061"/>
      <c r="CL392" s="3061"/>
      <c r="CM392" s="3061"/>
      <c r="CN392" s="3061"/>
      <c r="CO392" s="3061"/>
      <c r="CP392" s="3061"/>
      <c r="CQ392" s="3061"/>
      <c r="CR392" s="3061"/>
      <c r="CS392" s="3062"/>
      <c r="CT392" s="3063"/>
      <c r="CU392" s="3064">
        <f t="shared" si="106"/>
        <v>1</v>
      </c>
      <c r="CV392" s="3022" t="str">
        <f>IF(OR(CT392="",CT392="None"),"-",DO392*CU392*SUMIF('Lighting Assumptions'!$G$3:$G$112,'6a - Lighting Counts'!G392,'Lighting Assumptions'!$J$3:$J$112))</f>
        <v>-</v>
      </c>
      <c r="CW392" s="3021"/>
      <c r="CX392" s="3021"/>
      <c r="CY392" s="3046"/>
      <c r="CZ392" s="2098">
        <f t="shared" si="107"/>
        <v>0</v>
      </c>
      <c r="DA392" s="2098" t="str">
        <f t="shared" si="108"/>
        <v>-</v>
      </c>
      <c r="DB392" s="2098">
        <f t="shared" si="109"/>
        <v>0</v>
      </c>
      <c r="DC392" s="3023" t="str">
        <f t="shared" si="110"/>
        <v>-</v>
      </c>
      <c r="DD392" s="3024" t="str">
        <f t="shared" si="111"/>
        <v/>
      </c>
      <c r="DE392" s="3025" t="str">
        <f t="shared" si="112"/>
        <v>-</v>
      </c>
      <c r="DF392" s="3024" t="str">
        <f t="shared" si="103"/>
        <v>-</v>
      </c>
      <c r="DG392" s="2098">
        <f t="shared" si="113"/>
        <v>0</v>
      </c>
      <c r="DH392" s="2098">
        <f t="array" ref="DH392">MIN(SUMPRODUCT(I392:CR392,IF($I$25:$CR$25="yes",1,0),$I$23:$CR$23),H392)</f>
        <v>0</v>
      </c>
      <c r="DI392" s="3026"/>
      <c r="DJ392" s="3021"/>
      <c r="DN392" s="917" t="str">
        <f>IF(CS392="","-",SUMIF('Lighting Assumptions'!$G$3:$G$112,'6a - Lighting Counts'!G392,'Lighting Assumptions'!$J$3:$J$112))</f>
        <v>-</v>
      </c>
      <c r="DO392" s="917" t="str">
        <f t="shared" si="104"/>
        <v>-</v>
      </c>
      <c r="DP392" s="917" t="str">
        <f t="shared" si="105"/>
        <v>-</v>
      </c>
      <c r="DQ392" s="917" t="str">
        <f>IF(LEFT(CELLformula(DF392),3)&lt;&gt;"=IF",1,"")</f>
        <v/>
      </c>
      <c r="DR392" s="917" t="str">
        <f>IF(LEFT(CELLformula(DD392),3)&lt;&gt;"=IF",1,"")</f>
        <v/>
      </c>
      <c r="DS392" s="3048">
        <f t="shared" si="114"/>
        <v>0</v>
      </c>
      <c r="DT392" s="3047" t="str">
        <f t="shared" si="115"/>
        <v/>
      </c>
      <c r="DU392" s="3047" t="str">
        <f>IFERROR(IF(G392="","",SUMIF('Lighting Assumptions'!$G$3:$G$112,'6a - Lighting Counts'!G392,'Lighting Assumptions'!$H$3:$H$112)*IF(SI_IP_Units="SI",10.76,1)),"")</f>
        <v/>
      </c>
      <c r="DV392" s="3047" t="str">
        <f>IFERROR(IF($CX392="","",IF(SI_IP_Units="SI",10.76,1)*SUMIF(BAMCategories,$CY392,'Lighting Assumptions'!$E$3:E$35)),"")</f>
        <v/>
      </c>
      <c r="DW392" s="3047" t="str">
        <f>IFERROR(IF($CX392="","",IF(SI_IP_Units="SI",10.76,1)*SUMIF(BAMCategories,$CY392,IF(bpf_reference="ACP",'Lighting Assumptions 90.1-2010'!$E$3:E$35,'Lighting Assumptions 90.1-2016'!$E$3:E$35))),"")</f>
        <v/>
      </c>
      <c r="EW392" s="855"/>
      <c r="EX392" s="855"/>
      <c r="EY392" s="855"/>
      <c r="EZ392" s="855"/>
    </row>
    <row r="393" spans="4:156" x14ac:dyDescent="0.25">
      <c r="D393" s="3019"/>
      <c r="E393" s="3020"/>
      <c r="F393" s="3021">
        <f t="shared" si="102"/>
        <v>0</v>
      </c>
      <c r="G393" s="3059"/>
      <c r="H393" s="3060"/>
      <c r="I393" s="3061"/>
      <c r="J393" s="3061"/>
      <c r="K393" s="3061"/>
      <c r="L393" s="3061"/>
      <c r="M393" s="3061"/>
      <c r="N393" s="3061"/>
      <c r="O393" s="3061"/>
      <c r="P393" s="3061"/>
      <c r="Q393" s="3061"/>
      <c r="R393" s="3061"/>
      <c r="S393" s="3061"/>
      <c r="T393" s="3061"/>
      <c r="U393" s="3061"/>
      <c r="V393" s="3061"/>
      <c r="W393" s="3061"/>
      <c r="X393" s="3061"/>
      <c r="Y393" s="3061"/>
      <c r="Z393" s="3061"/>
      <c r="AA393" s="3061"/>
      <c r="AB393" s="3061"/>
      <c r="AC393" s="3061"/>
      <c r="AD393" s="3061"/>
      <c r="AE393" s="3061"/>
      <c r="AF393" s="3061"/>
      <c r="AG393" s="3061"/>
      <c r="AH393" s="3061"/>
      <c r="AI393" s="3061"/>
      <c r="AJ393" s="3061"/>
      <c r="AK393" s="3061"/>
      <c r="AL393" s="3061"/>
      <c r="AM393" s="3061"/>
      <c r="AN393" s="3061"/>
      <c r="AO393" s="3061"/>
      <c r="AP393" s="3061"/>
      <c r="AQ393" s="3061"/>
      <c r="AR393" s="3061"/>
      <c r="AS393" s="3061"/>
      <c r="AT393" s="3061"/>
      <c r="AU393" s="3061"/>
      <c r="AV393" s="3061"/>
      <c r="AW393" s="3061"/>
      <c r="AX393" s="3061"/>
      <c r="AY393" s="3061"/>
      <c r="AZ393" s="3061"/>
      <c r="BA393" s="3061"/>
      <c r="BB393" s="3061"/>
      <c r="BC393" s="3061"/>
      <c r="BD393" s="3061"/>
      <c r="BE393" s="3061"/>
      <c r="BF393" s="3061"/>
      <c r="BG393" s="3061"/>
      <c r="BH393" s="3061"/>
      <c r="BI393" s="3061"/>
      <c r="BJ393" s="3061"/>
      <c r="BK393" s="3061"/>
      <c r="BL393" s="3061"/>
      <c r="BM393" s="3061"/>
      <c r="BN393" s="3061"/>
      <c r="BO393" s="3061"/>
      <c r="BP393" s="3061"/>
      <c r="BQ393" s="3061"/>
      <c r="BR393" s="3061"/>
      <c r="BS393" s="3061"/>
      <c r="BT393" s="3061"/>
      <c r="BU393" s="3061"/>
      <c r="BV393" s="3061"/>
      <c r="BW393" s="3061"/>
      <c r="BX393" s="3061"/>
      <c r="BY393" s="3061"/>
      <c r="BZ393" s="3061"/>
      <c r="CA393" s="3061"/>
      <c r="CB393" s="3061"/>
      <c r="CC393" s="3061"/>
      <c r="CD393" s="3061"/>
      <c r="CE393" s="3061"/>
      <c r="CF393" s="3061"/>
      <c r="CG393" s="3061"/>
      <c r="CH393" s="3061"/>
      <c r="CI393" s="3061"/>
      <c r="CJ393" s="3061"/>
      <c r="CK393" s="3061"/>
      <c r="CL393" s="3061"/>
      <c r="CM393" s="3061"/>
      <c r="CN393" s="3061"/>
      <c r="CO393" s="3061"/>
      <c r="CP393" s="3061"/>
      <c r="CQ393" s="3061"/>
      <c r="CR393" s="3061"/>
      <c r="CS393" s="3062"/>
      <c r="CT393" s="3063"/>
      <c r="CU393" s="3064">
        <f t="shared" si="106"/>
        <v>1</v>
      </c>
      <c r="CV393" s="3022" t="str">
        <f>IF(OR(CT393="",CT393="None"),"-",DO393*CU393*SUMIF('Lighting Assumptions'!$G$3:$G$112,'6a - Lighting Counts'!G393,'Lighting Assumptions'!$J$3:$J$112))</f>
        <v>-</v>
      </c>
      <c r="CW393" s="3021"/>
      <c r="CX393" s="3021"/>
      <c r="CY393" s="3046"/>
      <c r="CZ393" s="2098">
        <f t="shared" si="107"/>
        <v>0</v>
      </c>
      <c r="DA393" s="2098" t="str">
        <f t="shared" si="108"/>
        <v>-</v>
      </c>
      <c r="DB393" s="2098">
        <f t="shared" si="109"/>
        <v>0</v>
      </c>
      <c r="DC393" s="3023" t="str">
        <f t="shared" si="110"/>
        <v>-</v>
      </c>
      <c r="DD393" s="3024" t="str">
        <f t="shared" si="111"/>
        <v/>
      </c>
      <c r="DE393" s="3025" t="str">
        <f t="shared" si="112"/>
        <v>-</v>
      </c>
      <c r="DF393" s="3024" t="str">
        <f t="shared" si="103"/>
        <v>-</v>
      </c>
      <c r="DG393" s="2098">
        <f t="shared" si="113"/>
        <v>0</v>
      </c>
      <c r="DH393" s="2098">
        <f t="array" ref="DH393">MIN(SUMPRODUCT(I393:CR393,IF($I$25:$CR$25="yes",1,0),$I$23:$CR$23),H393)</f>
        <v>0</v>
      </c>
      <c r="DI393" s="3026"/>
      <c r="DJ393" s="3021"/>
      <c r="DN393" s="917" t="str">
        <f>IF(CS393="","-",SUMIF('Lighting Assumptions'!$G$3:$G$112,'6a - Lighting Counts'!G393,'Lighting Assumptions'!$J$3:$J$112))</f>
        <v>-</v>
      </c>
      <c r="DO393" s="917" t="str">
        <f t="shared" si="104"/>
        <v>-</v>
      </c>
      <c r="DP393" s="917" t="str">
        <f t="shared" si="105"/>
        <v>-</v>
      </c>
      <c r="DQ393" s="917" t="str">
        <f>IF(LEFT(CELLformula(DF393),3)&lt;&gt;"=IF",1,"")</f>
        <v/>
      </c>
      <c r="DR393" s="917" t="str">
        <f>IF(LEFT(CELLformula(DD393),3)&lt;&gt;"=IF",1,"")</f>
        <v/>
      </c>
      <c r="DS393" s="3048">
        <f t="shared" si="114"/>
        <v>0</v>
      </c>
      <c r="DT393" s="3047" t="str">
        <f t="shared" si="115"/>
        <v/>
      </c>
      <c r="DU393" s="3047" t="str">
        <f>IFERROR(IF(G393="","",SUMIF('Lighting Assumptions'!$G$3:$G$112,'6a - Lighting Counts'!G393,'Lighting Assumptions'!$H$3:$H$112)*IF(SI_IP_Units="SI",10.76,1)),"")</f>
        <v/>
      </c>
      <c r="DV393" s="3047" t="str">
        <f>IFERROR(IF($CX393="","",IF(SI_IP_Units="SI",10.76,1)*SUMIF(BAMCategories,$CY393,'Lighting Assumptions'!$E$3:E$35)),"")</f>
        <v/>
      </c>
      <c r="DW393" s="3047" t="str">
        <f>IFERROR(IF($CX393="","",IF(SI_IP_Units="SI",10.76,1)*SUMIF(BAMCategories,$CY393,IF(bpf_reference="ACP",'Lighting Assumptions 90.1-2010'!$E$3:E$35,'Lighting Assumptions 90.1-2016'!$E$3:E$35))),"")</f>
        <v/>
      </c>
      <c r="EW393" s="855"/>
      <c r="EX393" s="855"/>
      <c r="EY393" s="855"/>
      <c r="EZ393" s="855"/>
    </row>
    <row r="394" spans="4:156" x14ac:dyDescent="0.25">
      <c r="D394" s="3019"/>
      <c r="E394" s="3020"/>
      <c r="F394" s="3021">
        <f t="shared" si="102"/>
        <v>0</v>
      </c>
      <c r="G394" s="3059"/>
      <c r="H394" s="3060"/>
      <c r="I394" s="3061"/>
      <c r="J394" s="3061"/>
      <c r="K394" s="3061"/>
      <c r="L394" s="3061"/>
      <c r="M394" s="3061"/>
      <c r="N394" s="3061"/>
      <c r="O394" s="3061"/>
      <c r="P394" s="3061"/>
      <c r="Q394" s="3061"/>
      <c r="R394" s="3061"/>
      <c r="S394" s="3061"/>
      <c r="T394" s="3061"/>
      <c r="U394" s="3061"/>
      <c r="V394" s="3061"/>
      <c r="W394" s="3061"/>
      <c r="X394" s="3061"/>
      <c r="Y394" s="3061"/>
      <c r="Z394" s="3061"/>
      <c r="AA394" s="3061"/>
      <c r="AB394" s="3061"/>
      <c r="AC394" s="3061"/>
      <c r="AD394" s="3061"/>
      <c r="AE394" s="3061"/>
      <c r="AF394" s="3061"/>
      <c r="AG394" s="3061"/>
      <c r="AH394" s="3061"/>
      <c r="AI394" s="3061"/>
      <c r="AJ394" s="3061"/>
      <c r="AK394" s="3061"/>
      <c r="AL394" s="3061"/>
      <c r="AM394" s="3061"/>
      <c r="AN394" s="3061"/>
      <c r="AO394" s="3061"/>
      <c r="AP394" s="3061"/>
      <c r="AQ394" s="3061"/>
      <c r="AR394" s="3061"/>
      <c r="AS394" s="3061"/>
      <c r="AT394" s="3061"/>
      <c r="AU394" s="3061"/>
      <c r="AV394" s="3061"/>
      <c r="AW394" s="3061"/>
      <c r="AX394" s="3061"/>
      <c r="AY394" s="3061"/>
      <c r="AZ394" s="3061"/>
      <c r="BA394" s="3061"/>
      <c r="BB394" s="3061"/>
      <c r="BC394" s="3061"/>
      <c r="BD394" s="3061"/>
      <c r="BE394" s="3061"/>
      <c r="BF394" s="3061"/>
      <c r="BG394" s="3061"/>
      <c r="BH394" s="3061"/>
      <c r="BI394" s="3061"/>
      <c r="BJ394" s="3061"/>
      <c r="BK394" s="3061"/>
      <c r="BL394" s="3061"/>
      <c r="BM394" s="3061"/>
      <c r="BN394" s="3061"/>
      <c r="BO394" s="3061"/>
      <c r="BP394" s="3061"/>
      <c r="BQ394" s="3061"/>
      <c r="BR394" s="3061"/>
      <c r="BS394" s="3061"/>
      <c r="BT394" s="3061"/>
      <c r="BU394" s="3061"/>
      <c r="BV394" s="3061"/>
      <c r="BW394" s="3061"/>
      <c r="BX394" s="3061"/>
      <c r="BY394" s="3061"/>
      <c r="BZ394" s="3061"/>
      <c r="CA394" s="3061"/>
      <c r="CB394" s="3061"/>
      <c r="CC394" s="3061"/>
      <c r="CD394" s="3061"/>
      <c r="CE394" s="3061"/>
      <c r="CF394" s="3061"/>
      <c r="CG394" s="3061"/>
      <c r="CH394" s="3061"/>
      <c r="CI394" s="3061"/>
      <c r="CJ394" s="3061"/>
      <c r="CK394" s="3061"/>
      <c r="CL394" s="3061"/>
      <c r="CM394" s="3061"/>
      <c r="CN394" s="3061"/>
      <c r="CO394" s="3061"/>
      <c r="CP394" s="3061"/>
      <c r="CQ394" s="3061"/>
      <c r="CR394" s="3061"/>
      <c r="CS394" s="3062"/>
      <c r="CT394" s="3063"/>
      <c r="CU394" s="3064">
        <f t="shared" si="106"/>
        <v>1</v>
      </c>
      <c r="CV394" s="3022" t="str">
        <f>IF(OR(CT394="",CT394="None"),"-",DO394*CU394*SUMIF('Lighting Assumptions'!$G$3:$G$112,'6a - Lighting Counts'!G394,'Lighting Assumptions'!$J$3:$J$112))</f>
        <v>-</v>
      </c>
      <c r="CW394" s="3021"/>
      <c r="CX394" s="3021"/>
      <c r="CY394" s="3046"/>
      <c r="CZ394" s="2098">
        <f t="shared" si="107"/>
        <v>0</v>
      </c>
      <c r="DA394" s="2098" t="str">
        <f t="shared" si="108"/>
        <v>-</v>
      </c>
      <c r="DB394" s="2098">
        <f t="shared" si="109"/>
        <v>0</v>
      </c>
      <c r="DC394" s="3023" t="str">
        <f t="shared" si="110"/>
        <v>-</v>
      </c>
      <c r="DD394" s="3024" t="str">
        <f t="shared" si="111"/>
        <v/>
      </c>
      <c r="DE394" s="3025" t="str">
        <f t="shared" si="112"/>
        <v>-</v>
      </c>
      <c r="DF394" s="3024" t="str">
        <f t="shared" si="103"/>
        <v>-</v>
      </c>
      <c r="DG394" s="2098">
        <f t="shared" si="113"/>
        <v>0</v>
      </c>
      <c r="DH394" s="2098">
        <f t="array" ref="DH394">MIN(SUMPRODUCT(I394:CR394,IF($I$25:$CR$25="yes",1,0),$I$23:$CR$23),H394)</f>
        <v>0</v>
      </c>
      <c r="DI394" s="3026"/>
      <c r="DJ394" s="3021"/>
      <c r="DN394" s="917" t="str">
        <f>IF(CS394="","-",SUMIF('Lighting Assumptions'!$G$3:$G$112,'6a - Lighting Counts'!G394,'Lighting Assumptions'!$J$3:$J$112))</f>
        <v>-</v>
      </c>
      <c r="DO394" s="917" t="str">
        <f t="shared" si="104"/>
        <v>-</v>
      </c>
      <c r="DP394" s="917" t="str">
        <f t="shared" si="105"/>
        <v>-</v>
      </c>
      <c r="DQ394" s="917" t="str">
        <f>IF(LEFT(CELLformula(DF394),3)&lt;&gt;"=IF",1,"")</f>
        <v/>
      </c>
      <c r="DR394" s="917" t="str">
        <f>IF(LEFT(CELLformula(DD394),3)&lt;&gt;"=IF",1,"")</f>
        <v/>
      </c>
      <c r="DS394" s="3048">
        <f t="shared" si="114"/>
        <v>0</v>
      </c>
      <c r="DT394" s="3047" t="str">
        <f t="shared" si="115"/>
        <v/>
      </c>
      <c r="DU394" s="3047" t="str">
        <f>IFERROR(IF(G394="","",SUMIF('Lighting Assumptions'!$G$3:$G$112,'6a - Lighting Counts'!G394,'Lighting Assumptions'!$H$3:$H$112)*IF(SI_IP_Units="SI",10.76,1)),"")</f>
        <v/>
      </c>
      <c r="DV394" s="3047" t="str">
        <f>IFERROR(IF($CX394="","",IF(SI_IP_Units="SI",10.76,1)*SUMIF(BAMCategories,$CY394,'Lighting Assumptions'!$E$3:E$35)),"")</f>
        <v/>
      </c>
      <c r="DW394" s="3047" t="str">
        <f>IFERROR(IF($CX394="","",IF(SI_IP_Units="SI",10.76,1)*SUMIF(BAMCategories,$CY394,IF(bpf_reference="ACP",'Lighting Assumptions 90.1-2010'!$E$3:E$35,'Lighting Assumptions 90.1-2016'!$E$3:E$35))),"")</f>
        <v/>
      </c>
      <c r="EW394" s="855"/>
      <c r="EX394" s="855"/>
      <c r="EY394" s="855"/>
      <c r="EZ394" s="855"/>
    </row>
    <row r="395" spans="4:156" x14ac:dyDescent="0.25">
      <c r="D395" s="3019"/>
      <c r="E395" s="3020"/>
      <c r="F395" s="3021">
        <f t="shared" si="102"/>
        <v>0</v>
      </c>
      <c r="G395" s="3059"/>
      <c r="H395" s="3060"/>
      <c r="I395" s="3061"/>
      <c r="J395" s="3061"/>
      <c r="K395" s="3061"/>
      <c r="L395" s="3061"/>
      <c r="M395" s="3061"/>
      <c r="N395" s="3061"/>
      <c r="O395" s="3061"/>
      <c r="P395" s="3061"/>
      <c r="Q395" s="3061"/>
      <c r="R395" s="3061"/>
      <c r="S395" s="3061"/>
      <c r="T395" s="3061"/>
      <c r="U395" s="3061"/>
      <c r="V395" s="3061"/>
      <c r="W395" s="3061"/>
      <c r="X395" s="3061"/>
      <c r="Y395" s="3061"/>
      <c r="Z395" s="3061"/>
      <c r="AA395" s="3061"/>
      <c r="AB395" s="3061"/>
      <c r="AC395" s="3061"/>
      <c r="AD395" s="3061"/>
      <c r="AE395" s="3061"/>
      <c r="AF395" s="3061"/>
      <c r="AG395" s="3061"/>
      <c r="AH395" s="3061"/>
      <c r="AI395" s="3061"/>
      <c r="AJ395" s="3061"/>
      <c r="AK395" s="3061"/>
      <c r="AL395" s="3061"/>
      <c r="AM395" s="3061"/>
      <c r="AN395" s="3061"/>
      <c r="AO395" s="3061"/>
      <c r="AP395" s="3061"/>
      <c r="AQ395" s="3061"/>
      <c r="AR395" s="3061"/>
      <c r="AS395" s="3061"/>
      <c r="AT395" s="3061"/>
      <c r="AU395" s="3061"/>
      <c r="AV395" s="3061"/>
      <c r="AW395" s="3061"/>
      <c r="AX395" s="3061"/>
      <c r="AY395" s="3061"/>
      <c r="AZ395" s="3061"/>
      <c r="BA395" s="3061"/>
      <c r="BB395" s="3061"/>
      <c r="BC395" s="3061"/>
      <c r="BD395" s="3061"/>
      <c r="BE395" s="3061"/>
      <c r="BF395" s="3061"/>
      <c r="BG395" s="3061"/>
      <c r="BH395" s="3061"/>
      <c r="BI395" s="3061"/>
      <c r="BJ395" s="3061"/>
      <c r="BK395" s="3061"/>
      <c r="BL395" s="3061"/>
      <c r="BM395" s="3061"/>
      <c r="BN395" s="3061"/>
      <c r="BO395" s="3061"/>
      <c r="BP395" s="3061"/>
      <c r="BQ395" s="3061"/>
      <c r="BR395" s="3061"/>
      <c r="BS395" s="3061"/>
      <c r="BT395" s="3061"/>
      <c r="BU395" s="3061"/>
      <c r="BV395" s="3061"/>
      <c r="BW395" s="3061"/>
      <c r="BX395" s="3061"/>
      <c r="BY395" s="3061"/>
      <c r="BZ395" s="3061"/>
      <c r="CA395" s="3061"/>
      <c r="CB395" s="3061"/>
      <c r="CC395" s="3061"/>
      <c r="CD395" s="3061"/>
      <c r="CE395" s="3061"/>
      <c r="CF395" s="3061"/>
      <c r="CG395" s="3061"/>
      <c r="CH395" s="3061"/>
      <c r="CI395" s="3061"/>
      <c r="CJ395" s="3061"/>
      <c r="CK395" s="3061"/>
      <c r="CL395" s="3061"/>
      <c r="CM395" s="3061"/>
      <c r="CN395" s="3061"/>
      <c r="CO395" s="3061"/>
      <c r="CP395" s="3061"/>
      <c r="CQ395" s="3061"/>
      <c r="CR395" s="3061"/>
      <c r="CS395" s="3062"/>
      <c r="CT395" s="3063"/>
      <c r="CU395" s="3064">
        <f t="shared" si="106"/>
        <v>1</v>
      </c>
      <c r="CV395" s="3022" t="str">
        <f>IF(OR(CT395="",CT395="None"),"-",DO395*CU395*SUMIF('Lighting Assumptions'!$G$3:$G$112,'6a - Lighting Counts'!G395,'Lighting Assumptions'!$J$3:$J$112))</f>
        <v>-</v>
      </c>
      <c r="CW395" s="3021"/>
      <c r="CX395" s="3021"/>
      <c r="CY395" s="3046"/>
      <c r="CZ395" s="2098">
        <f t="shared" si="107"/>
        <v>0</v>
      </c>
      <c r="DA395" s="2098" t="str">
        <f t="shared" si="108"/>
        <v>-</v>
      </c>
      <c r="DB395" s="2098">
        <f t="shared" si="109"/>
        <v>0</v>
      </c>
      <c r="DC395" s="3023" t="str">
        <f t="shared" si="110"/>
        <v>-</v>
      </c>
      <c r="DD395" s="3024" t="str">
        <f t="shared" si="111"/>
        <v/>
      </c>
      <c r="DE395" s="3025" t="str">
        <f t="shared" si="112"/>
        <v>-</v>
      </c>
      <c r="DF395" s="3024" t="str">
        <f t="shared" si="103"/>
        <v>-</v>
      </c>
      <c r="DG395" s="2098">
        <f t="shared" si="113"/>
        <v>0</v>
      </c>
      <c r="DH395" s="2098">
        <f t="array" ref="DH395">MIN(SUMPRODUCT(I395:CR395,IF($I$25:$CR$25="yes",1,0),$I$23:$CR$23),H395)</f>
        <v>0</v>
      </c>
      <c r="DI395" s="3026"/>
      <c r="DJ395" s="3021"/>
      <c r="DN395" s="917" t="str">
        <f>IF(CS395="","-",SUMIF('Lighting Assumptions'!$G$3:$G$112,'6a - Lighting Counts'!G395,'Lighting Assumptions'!$J$3:$J$112))</f>
        <v>-</v>
      </c>
      <c r="DO395" s="917" t="str">
        <f t="shared" si="104"/>
        <v>-</v>
      </c>
      <c r="DP395" s="917" t="str">
        <f t="shared" si="105"/>
        <v>-</v>
      </c>
      <c r="DQ395" s="917" t="str">
        <f>IF(LEFT(CELLformula(DF395),3)&lt;&gt;"=IF",1,"")</f>
        <v/>
      </c>
      <c r="DR395" s="917" t="str">
        <f>IF(LEFT(CELLformula(DD395),3)&lt;&gt;"=IF",1,"")</f>
        <v/>
      </c>
      <c r="DS395" s="3048">
        <f t="shared" si="114"/>
        <v>0</v>
      </c>
      <c r="DT395" s="3047" t="str">
        <f t="shared" si="115"/>
        <v/>
      </c>
      <c r="DU395" s="3047" t="str">
        <f>IFERROR(IF(G395="","",SUMIF('Lighting Assumptions'!$G$3:$G$112,'6a - Lighting Counts'!G395,'Lighting Assumptions'!$H$3:$H$112)*IF(SI_IP_Units="SI",10.76,1)),"")</f>
        <v/>
      </c>
      <c r="DV395" s="3047" t="str">
        <f>IFERROR(IF($CX395="","",IF(SI_IP_Units="SI",10.76,1)*SUMIF(BAMCategories,$CY395,'Lighting Assumptions'!$E$3:E$35)),"")</f>
        <v/>
      </c>
      <c r="DW395" s="3047" t="str">
        <f>IFERROR(IF($CX395="","",IF(SI_IP_Units="SI",10.76,1)*SUMIF(BAMCategories,$CY395,IF(bpf_reference="ACP",'Lighting Assumptions 90.1-2010'!$E$3:E$35,'Lighting Assumptions 90.1-2016'!$E$3:E$35))),"")</f>
        <v/>
      </c>
      <c r="EW395" s="855"/>
      <c r="EX395" s="855"/>
      <c r="EY395" s="855"/>
      <c r="EZ395" s="855"/>
    </row>
    <row r="396" spans="4:156" x14ac:dyDescent="0.25">
      <c r="D396" s="3019"/>
      <c r="E396" s="3020"/>
      <c r="F396" s="3021">
        <f t="shared" si="102"/>
        <v>0</v>
      </c>
      <c r="G396" s="3059"/>
      <c r="H396" s="3060"/>
      <c r="I396" s="3061"/>
      <c r="J396" s="3061"/>
      <c r="K396" s="3061"/>
      <c r="L396" s="3061"/>
      <c r="M396" s="3061"/>
      <c r="N396" s="3061"/>
      <c r="O396" s="3061"/>
      <c r="P396" s="3061"/>
      <c r="Q396" s="3061"/>
      <c r="R396" s="3061"/>
      <c r="S396" s="3061"/>
      <c r="T396" s="3061"/>
      <c r="U396" s="3061"/>
      <c r="V396" s="3061"/>
      <c r="W396" s="3061"/>
      <c r="X396" s="3061"/>
      <c r="Y396" s="3061"/>
      <c r="Z396" s="3061"/>
      <c r="AA396" s="3061"/>
      <c r="AB396" s="3061"/>
      <c r="AC396" s="3061"/>
      <c r="AD396" s="3061"/>
      <c r="AE396" s="3061"/>
      <c r="AF396" s="3061"/>
      <c r="AG396" s="3061"/>
      <c r="AH396" s="3061"/>
      <c r="AI396" s="3061"/>
      <c r="AJ396" s="3061"/>
      <c r="AK396" s="3061"/>
      <c r="AL396" s="3061"/>
      <c r="AM396" s="3061"/>
      <c r="AN396" s="3061"/>
      <c r="AO396" s="3061"/>
      <c r="AP396" s="3061"/>
      <c r="AQ396" s="3061"/>
      <c r="AR396" s="3061"/>
      <c r="AS396" s="3061"/>
      <c r="AT396" s="3061"/>
      <c r="AU396" s="3061"/>
      <c r="AV396" s="3061"/>
      <c r="AW396" s="3061"/>
      <c r="AX396" s="3061"/>
      <c r="AY396" s="3061"/>
      <c r="AZ396" s="3061"/>
      <c r="BA396" s="3061"/>
      <c r="BB396" s="3061"/>
      <c r="BC396" s="3061"/>
      <c r="BD396" s="3061"/>
      <c r="BE396" s="3061"/>
      <c r="BF396" s="3061"/>
      <c r="BG396" s="3061"/>
      <c r="BH396" s="3061"/>
      <c r="BI396" s="3061"/>
      <c r="BJ396" s="3061"/>
      <c r="BK396" s="3061"/>
      <c r="BL396" s="3061"/>
      <c r="BM396" s="3061"/>
      <c r="BN396" s="3061"/>
      <c r="BO396" s="3061"/>
      <c r="BP396" s="3061"/>
      <c r="BQ396" s="3061"/>
      <c r="BR396" s="3061"/>
      <c r="BS396" s="3061"/>
      <c r="BT396" s="3061"/>
      <c r="BU396" s="3061"/>
      <c r="BV396" s="3061"/>
      <c r="BW396" s="3061"/>
      <c r="BX396" s="3061"/>
      <c r="BY396" s="3061"/>
      <c r="BZ396" s="3061"/>
      <c r="CA396" s="3061"/>
      <c r="CB396" s="3061"/>
      <c r="CC396" s="3061"/>
      <c r="CD396" s="3061"/>
      <c r="CE396" s="3061"/>
      <c r="CF396" s="3061"/>
      <c r="CG396" s="3061"/>
      <c r="CH396" s="3061"/>
      <c r="CI396" s="3061"/>
      <c r="CJ396" s="3061"/>
      <c r="CK396" s="3061"/>
      <c r="CL396" s="3061"/>
      <c r="CM396" s="3061"/>
      <c r="CN396" s="3061"/>
      <c r="CO396" s="3061"/>
      <c r="CP396" s="3061"/>
      <c r="CQ396" s="3061"/>
      <c r="CR396" s="3061"/>
      <c r="CS396" s="3062"/>
      <c r="CT396" s="3063"/>
      <c r="CU396" s="3064">
        <f t="shared" si="106"/>
        <v>1</v>
      </c>
      <c r="CV396" s="3022" t="str">
        <f>IF(OR(CT396="",CT396="None"),"-",DO396*CU396*SUMIF('Lighting Assumptions'!$G$3:$G$112,'6a - Lighting Counts'!G396,'Lighting Assumptions'!$J$3:$J$112))</f>
        <v>-</v>
      </c>
      <c r="CW396" s="3021"/>
      <c r="CX396" s="3021"/>
      <c r="CY396" s="3046"/>
      <c r="CZ396" s="2098">
        <f t="shared" si="107"/>
        <v>0</v>
      </c>
      <c r="DA396" s="2098" t="str">
        <f t="shared" si="108"/>
        <v>-</v>
      </c>
      <c r="DB396" s="2098">
        <f t="shared" si="109"/>
        <v>0</v>
      </c>
      <c r="DC396" s="3023" t="str">
        <f t="shared" si="110"/>
        <v>-</v>
      </c>
      <c r="DD396" s="3024" t="str">
        <f t="shared" si="111"/>
        <v/>
      </c>
      <c r="DE396" s="3025" t="str">
        <f t="shared" si="112"/>
        <v>-</v>
      </c>
      <c r="DF396" s="3024" t="str">
        <f t="shared" si="103"/>
        <v>-</v>
      </c>
      <c r="DG396" s="2098">
        <f t="shared" si="113"/>
        <v>0</v>
      </c>
      <c r="DH396" s="2098">
        <f t="array" ref="DH396">MIN(SUMPRODUCT(I396:CR396,IF($I$25:$CR$25="yes",1,0),$I$23:$CR$23),H396)</f>
        <v>0</v>
      </c>
      <c r="DI396" s="3026"/>
      <c r="DJ396" s="3021"/>
      <c r="DN396" s="917" t="str">
        <f>IF(CS396="","-",SUMIF('Lighting Assumptions'!$G$3:$G$112,'6a - Lighting Counts'!G396,'Lighting Assumptions'!$J$3:$J$112))</f>
        <v>-</v>
      </c>
      <c r="DO396" s="917" t="str">
        <f t="shared" si="104"/>
        <v>-</v>
      </c>
      <c r="DP396" s="917" t="str">
        <f t="shared" si="105"/>
        <v>-</v>
      </c>
      <c r="DQ396" s="917" t="str">
        <f>IF(LEFT(CELLformula(DF396),3)&lt;&gt;"=IF",1,"")</f>
        <v/>
      </c>
      <c r="DR396" s="917" t="str">
        <f>IF(LEFT(CELLformula(DD396),3)&lt;&gt;"=IF",1,"")</f>
        <v/>
      </c>
      <c r="DS396" s="3048">
        <f t="shared" si="114"/>
        <v>0</v>
      </c>
      <c r="DT396" s="3047" t="str">
        <f t="shared" si="115"/>
        <v/>
      </c>
      <c r="DU396" s="3047" t="str">
        <f>IFERROR(IF(G396="","",SUMIF('Lighting Assumptions'!$G$3:$G$112,'6a - Lighting Counts'!G396,'Lighting Assumptions'!$H$3:$H$112)*IF(SI_IP_Units="SI",10.76,1)),"")</f>
        <v/>
      </c>
      <c r="DV396" s="3047" t="str">
        <f>IFERROR(IF($CX396="","",IF(SI_IP_Units="SI",10.76,1)*SUMIF(BAMCategories,$CY396,'Lighting Assumptions'!$E$3:E$35)),"")</f>
        <v/>
      </c>
      <c r="DW396" s="3047" t="str">
        <f>IFERROR(IF($CX396="","",IF(SI_IP_Units="SI",10.76,1)*SUMIF(BAMCategories,$CY396,IF(bpf_reference="ACP",'Lighting Assumptions 90.1-2010'!$E$3:E$35,'Lighting Assumptions 90.1-2016'!$E$3:E$35))),"")</f>
        <v/>
      </c>
      <c r="EW396" s="855"/>
      <c r="EX396" s="855"/>
      <c r="EY396" s="855"/>
      <c r="EZ396" s="855"/>
    </row>
    <row r="397" spans="4:156" x14ac:dyDescent="0.25">
      <c r="D397" s="3019"/>
      <c r="E397" s="3020"/>
      <c r="F397" s="3021">
        <f t="shared" si="102"/>
        <v>0</v>
      </c>
      <c r="G397" s="3059"/>
      <c r="H397" s="3060"/>
      <c r="I397" s="3061"/>
      <c r="J397" s="3061"/>
      <c r="K397" s="3061"/>
      <c r="L397" s="3061"/>
      <c r="M397" s="3061"/>
      <c r="N397" s="3061"/>
      <c r="O397" s="3061"/>
      <c r="P397" s="3061"/>
      <c r="Q397" s="3061"/>
      <c r="R397" s="3061"/>
      <c r="S397" s="3061"/>
      <c r="T397" s="3061"/>
      <c r="U397" s="3061"/>
      <c r="V397" s="3061"/>
      <c r="W397" s="3061"/>
      <c r="X397" s="3061"/>
      <c r="Y397" s="3061"/>
      <c r="Z397" s="3061"/>
      <c r="AA397" s="3061"/>
      <c r="AB397" s="3061"/>
      <c r="AC397" s="3061"/>
      <c r="AD397" s="3061"/>
      <c r="AE397" s="3061"/>
      <c r="AF397" s="3061"/>
      <c r="AG397" s="3061"/>
      <c r="AH397" s="3061"/>
      <c r="AI397" s="3061"/>
      <c r="AJ397" s="3061"/>
      <c r="AK397" s="3061"/>
      <c r="AL397" s="3061"/>
      <c r="AM397" s="3061"/>
      <c r="AN397" s="3061"/>
      <c r="AO397" s="3061"/>
      <c r="AP397" s="3061"/>
      <c r="AQ397" s="3061"/>
      <c r="AR397" s="3061"/>
      <c r="AS397" s="3061"/>
      <c r="AT397" s="3061"/>
      <c r="AU397" s="3061"/>
      <c r="AV397" s="3061"/>
      <c r="AW397" s="3061"/>
      <c r="AX397" s="3061"/>
      <c r="AY397" s="3061"/>
      <c r="AZ397" s="3061"/>
      <c r="BA397" s="3061"/>
      <c r="BB397" s="3061"/>
      <c r="BC397" s="3061"/>
      <c r="BD397" s="3061"/>
      <c r="BE397" s="3061"/>
      <c r="BF397" s="3061"/>
      <c r="BG397" s="3061"/>
      <c r="BH397" s="3061"/>
      <c r="BI397" s="3061"/>
      <c r="BJ397" s="3061"/>
      <c r="BK397" s="3061"/>
      <c r="BL397" s="3061"/>
      <c r="BM397" s="3061"/>
      <c r="BN397" s="3061"/>
      <c r="BO397" s="3061"/>
      <c r="BP397" s="3061"/>
      <c r="BQ397" s="3061"/>
      <c r="BR397" s="3061"/>
      <c r="BS397" s="3061"/>
      <c r="BT397" s="3061"/>
      <c r="BU397" s="3061"/>
      <c r="BV397" s="3061"/>
      <c r="BW397" s="3061"/>
      <c r="BX397" s="3061"/>
      <c r="BY397" s="3061"/>
      <c r="BZ397" s="3061"/>
      <c r="CA397" s="3061"/>
      <c r="CB397" s="3061"/>
      <c r="CC397" s="3061"/>
      <c r="CD397" s="3061"/>
      <c r="CE397" s="3061"/>
      <c r="CF397" s="3061"/>
      <c r="CG397" s="3061"/>
      <c r="CH397" s="3061"/>
      <c r="CI397" s="3061"/>
      <c r="CJ397" s="3061"/>
      <c r="CK397" s="3061"/>
      <c r="CL397" s="3061"/>
      <c r="CM397" s="3061"/>
      <c r="CN397" s="3061"/>
      <c r="CO397" s="3061"/>
      <c r="CP397" s="3061"/>
      <c r="CQ397" s="3061"/>
      <c r="CR397" s="3061"/>
      <c r="CS397" s="3062"/>
      <c r="CT397" s="3063"/>
      <c r="CU397" s="3064">
        <f t="shared" si="106"/>
        <v>1</v>
      </c>
      <c r="CV397" s="3022" t="str">
        <f>IF(OR(CT397="",CT397="None"),"-",DO397*CU397*SUMIF('Lighting Assumptions'!$G$3:$G$112,'6a - Lighting Counts'!G397,'Lighting Assumptions'!$J$3:$J$112))</f>
        <v>-</v>
      </c>
      <c r="CW397" s="3021"/>
      <c r="CX397" s="3021"/>
      <c r="CY397" s="3046"/>
      <c r="CZ397" s="2098">
        <f t="shared" si="107"/>
        <v>0</v>
      </c>
      <c r="DA397" s="2098" t="str">
        <f t="shared" si="108"/>
        <v>-</v>
      </c>
      <c r="DB397" s="2098">
        <f t="shared" si="109"/>
        <v>0</v>
      </c>
      <c r="DC397" s="3023" t="str">
        <f t="shared" si="110"/>
        <v>-</v>
      </c>
      <c r="DD397" s="3024" t="str">
        <f t="shared" si="111"/>
        <v/>
      </c>
      <c r="DE397" s="3025" t="str">
        <f t="shared" si="112"/>
        <v>-</v>
      </c>
      <c r="DF397" s="3024" t="str">
        <f t="shared" si="103"/>
        <v>-</v>
      </c>
      <c r="DG397" s="2098">
        <f t="shared" si="113"/>
        <v>0</v>
      </c>
      <c r="DH397" s="2098">
        <f t="array" ref="DH397">MIN(SUMPRODUCT(I397:CR397,IF($I$25:$CR$25="yes",1,0),$I$23:$CR$23),H397)</f>
        <v>0</v>
      </c>
      <c r="DI397" s="3026"/>
      <c r="DJ397" s="3021"/>
      <c r="DN397" s="917" t="str">
        <f>IF(CS397="","-",SUMIF('Lighting Assumptions'!$G$3:$G$112,'6a - Lighting Counts'!G397,'Lighting Assumptions'!$J$3:$J$112))</f>
        <v>-</v>
      </c>
      <c r="DO397" s="917" t="str">
        <f t="shared" si="104"/>
        <v>-</v>
      </c>
      <c r="DP397" s="917" t="str">
        <f t="shared" si="105"/>
        <v>-</v>
      </c>
      <c r="DQ397" s="917" t="str">
        <f>IF(LEFT(CELLformula(DF397),3)&lt;&gt;"=IF",1,"")</f>
        <v/>
      </c>
      <c r="DR397" s="917" t="str">
        <f>IF(LEFT(CELLformula(DD397),3)&lt;&gt;"=IF",1,"")</f>
        <v/>
      </c>
      <c r="DS397" s="3048">
        <f t="shared" si="114"/>
        <v>0</v>
      </c>
      <c r="DT397" s="3047" t="str">
        <f t="shared" si="115"/>
        <v/>
      </c>
      <c r="DU397" s="3047" t="str">
        <f>IFERROR(IF(G397="","",SUMIF('Lighting Assumptions'!$G$3:$G$112,'6a - Lighting Counts'!G397,'Lighting Assumptions'!$H$3:$H$112)*IF(SI_IP_Units="SI",10.76,1)),"")</f>
        <v/>
      </c>
      <c r="DV397" s="3047" t="str">
        <f>IFERROR(IF($CX397="","",IF(SI_IP_Units="SI",10.76,1)*SUMIF(BAMCategories,$CY397,'Lighting Assumptions'!$E$3:E$35)),"")</f>
        <v/>
      </c>
      <c r="DW397" s="3047" t="str">
        <f>IFERROR(IF($CX397="","",IF(SI_IP_Units="SI",10.76,1)*SUMIF(BAMCategories,$CY397,IF(bpf_reference="ACP",'Lighting Assumptions 90.1-2010'!$E$3:E$35,'Lighting Assumptions 90.1-2016'!$E$3:E$35))),"")</f>
        <v/>
      </c>
      <c r="EW397" s="855"/>
      <c r="EX397" s="855"/>
      <c r="EY397" s="855"/>
      <c r="EZ397" s="855"/>
    </row>
    <row r="398" spans="4:156" x14ac:dyDescent="0.25">
      <c r="D398" s="3019"/>
      <c r="E398" s="3020"/>
      <c r="F398" s="3021">
        <f t="shared" si="102"/>
        <v>0</v>
      </c>
      <c r="G398" s="3059"/>
      <c r="H398" s="3060"/>
      <c r="I398" s="3061"/>
      <c r="J398" s="3061"/>
      <c r="K398" s="3061"/>
      <c r="L398" s="3061"/>
      <c r="M398" s="3061"/>
      <c r="N398" s="3061"/>
      <c r="O398" s="3061"/>
      <c r="P398" s="3061"/>
      <c r="Q398" s="3061"/>
      <c r="R398" s="3061"/>
      <c r="S398" s="3061"/>
      <c r="T398" s="3061"/>
      <c r="U398" s="3061"/>
      <c r="V398" s="3061"/>
      <c r="W398" s="3061"/>
      <c r="X398" s="3061"/>
      <c r="Y398" s="3061"/>
      <c r="Z398" s="3061"/>
      <c r="AA398" s="3061"/>
      <c r="AB398" s="3061"/>
      <c r="AC398" s="3061"/>
      <c r="AD398" s="3061"/>
      <c r="AE398" s="3061"/>
      <c r="AF398" s="3061"/>
      <c r="AG398" s="3061"/>
      <c r="AH398" s="3061"/>
      <c r="AI398" s="3061"/>
      <c r="AJ398" s="3061"/>
      <c r="AK398" s="3061"/>
      <c r="AL398" s="3061"/>
      <c r="AM398" s="3061"/>
      <c r="AN398" s="3061"/>
      <c r="AO398" s="3061"/>
      <c r="AP398" s="3061"/>
      <c r="AQ398" s="3061"/>
      <c r="AR398" s="3061"/>
      <c r="AS398" s="3061"/>
      <c r="AT398" s="3061"/>
      <c r="AU398" s="3061"/>
      <c r="AV398" s="3061"/>
      <c r="AW398" s="3061"/>
      <c r="AX398" s="3061"/>
      <c r="AY398" s="3061"/>
      <c r="AZ398" s="3061"/>
      <c r="BA398" s="3061"/>
      <c r="BB398" s="3061"/>
      <c r="BC398" s="3061"/>
      <c r="BD398" s="3061"/>
      <c r="BE398" s="3061"/>
      <c r="BF398" s="3061"/>
      <c r="BG398" s="3061"/>
      <c r="BH398" s="3061"/>
      <c r="BI398" s="3061"/>
      <c r="BJ398" s="3061"/>
      <c r="BK398" s="3061"/>
      <c r="BL398" s="3061"/>
      <c r="BM398" s="3061"/>
      <c r="BN398" s="3061"/>
      <c r="BO398" s="3061"/>
      <c r="BP398" s="3061"/>
      <c r="BQ398" s="3061"/>
      <c r="BR398" s="3061"/>
      <c r="BS398" s="3061"/>
      <c r="BT398" s="3061"/>
      <c r="BU398" s="3061"/>
      <c r="BV398" s="3061"/>
      <c r="BW398" s="3061"/>
      <c r="BX398" s="3061"/>
      <c r="BY398" s="3061"/>
      <c r="BZ398" s="3061"/>
      <c r="CA398" s="3061"/>
      <c r="CB398" s="3061"/>
      <c r="CC398" s="3061"/>
      <c r="CD398" s="3061"/>
      <c r="CE398" s="3061"/>
      <c r="CF398" s="3061"/>
      <c r="CG398" s="3061"/>
      <c r="CH398" s="3061"/>
      <c r="CI398" s="3061"/>
      <c r="CJ398" s="3061"/>
      <c r="CK398" s="3061"/>
      <c r="CL398" s="3061"/>
      <c r="CM398" s="3061"/>
      <c r="CN398" s="3061"/>
      <c r="CO398" s="3061"/>
      <c r="CP398" s="3061"/>
      <c r="CQ398" s="3061"/>
      <c r="CR398" s="3061"/>
      <c r="CS398" s="3062"/>
      <c r="CT398" s="3063"/>
      <c r="CU398" s="3064">
        <f t="shared" si="106"/>
        <v>1</v>
      </c>
      <c r="CV398" s="3022" t="str">
        <f>IF(OR(CT398="",CT398="None"),"-",DO398*CU398*SUMIF('Lighting Assumptions'!$G$3:$G$112,'6a - Lighting Counts'!G398,'Lighting Assumptions'!$J$3:$J$112))</f>
        <v>-</v>
      </c>
      <c r="CW398" s="3021"/>
      <c r="CX398" s="3021"/>
      <c r="CY398" s="3046"/>
      <c r="CZ398" s="2098">
        <f t="shared" si="107"/>
        <v>0</v>
      </c>
      <c r="DA398" s="2098" t="str">
        <f t="shared" si="108"/>
        <v>-</v>
      </c>
      <c r="DB398" s="2098">
        <f t="shared" si="109"/>
        <v>0</v>
      </c>
      <c r="DC398" s="3023" t="str">
        <f t="shared" si="110"/>
        <v>-</v>
      </c>
      <c r="DD398" s="3024" t="str">
        <f t="shared" si="111"/>
        <v/>
      </c>
      <c r="DE398" s="3025" t="str">
        <f t="shared" si="112"/>
        <v>-</v>
      </c>
      <c r="DF398" s="3024" t="str">
        <f t="shared" si="103"/>
        <v>-</v>
      </c>
      <c r="DG398" s="2098">
        <f t="shared" si="113"/>
        <v>0</v>
      </c>
      <c r="DH398" s="2098">
        <f t="array" ref="DH398">MIN(SUMPRODUCT(I398:CR398,IF($I$25:$CR$25="yes",1,0),$I$23:$CR$23),H398)</f>
        <v>0</v>
      </c>
      <c r="DI398" s="3026"/>
      <c r="DJ398" s="3021"/>
      <c r="DN398" s="917" t="str">
        <f>IF(CS398="","-",SUMIF('Lighting Assumptions'!$G$3:$G$112,'6a - Lighting Counts'!G398,'Lighting Assumptions'!$J$3:$J$112))</f>
        <v>-</v>
      </c>
      <c r="DO398" s="917" t="str">
        <f t="shared" si="104"/>
        <v>-</v>
      </c>
      <c r="DP398" s="917" t="str">
        <f t="shared" si="105"/>
        <v>-</v>
      </c>
      <c r="DQ398" s="917" t="str">
        <f>IF(LEFT(CELLformula(DF398),3)&lt;&gt;"=IF",1,"")</f>
        <v/>
      </c>
      <c r="DR398" s="917" t="str">
        <f>IF(LEFT(CELLformula(DD398),3)&lt;&gt;"=IF",1,"")</f>
        <v/>
      </c>
      <c r="DS398" s="3048">
        <f t="shared" si="114"/>
        <v>0</v>
      </c>
      <c r="DT398" s="3047" t="str">
        <f t="shared" si="115"/>
        <v/>
      </c>
      <c r="DU398" s="3047" t="str">
        <f>IFERROR(IF(G398="","",SUMIF('Lighting Assumptions'!$G$3:$G$112,'6a - Lighting Counts'!G398,'Lighting Assumptions'!$H$3:$H$112)*IF(SI_IP_Units="SI",10.76,1)),"")</f>
        <v/>
      </c>
      <c r="DV398" s="3047" t="str">
        <f>IFERROR(IF($CX398="","",IF(SI_IP_Units="SI",10.76,1)*SUMIF(BAMCategories,$CY398,'Lighting Assumptions'!$E$3:E$35)),"")</f>
        <v/>
      </c>
      <c r="DW398" s="3047" t="str">
        <f>IFERROR(IF($CX398="","",IF(SI_IP_Units="SI",10.76,1)*SUMIF(BAMCategories,$CY398,IF(bpf_reference="ACP",'Lighting Assumptions 90.1-2010'!$E$3:E$35,'Lighting Assumptions 90.1-2016'!$E$3:E$35))),"")</f>
        <v/>
      </c>
      <c r="EW398" s="855"/>
      <c r="EX398" s="855"/>
      <c r="EY398" s="855"/>
      <c r="EZ398" s="855"/>
    </row>
    <row r="399" spans="4:156" x14ac:dyDescent="0.25">
      <c r="D399" s="3019"/>
      <c r="E399" s="3020"/>
      <c r="F399" s="3021">
        <f t="shared" si="102"/>
        <v>0</v>
      </c>
      <c r="G399" s="3059"/>
      <c r="H399" s="3060"/>
      <c r="I399" s="3061"/>
      <c r="J399" s="3061"/>
      <c r="K399" s="3061"/>
      <c r="L399" s="3061"/>
      <c r="M399" s="3061"/>
      <c r="N399" s="3061"/>
      <c r="O399" s="3061"/>
      <c r="P399" s="3061"/>
      <c r="Q399" s="3061"/>
      <c r="R399" s="3061"/>
      <c r="S399" s="3061"/>
      <c r="T399" s="3061"/>
      <c r="U399" s="3061"/>
      <c r="V399" s="3061"/>
      <c r="W399" s="3061"/>
      <c r="X399" s="3061"/>
      <c r="Y399" s="3061"/>
      <c r="Z399" s="3061"/>
      <c r="AA399" s="3061"/>
      <c r="AB399" s="3061"/>
      <c r="AC399" s="3061"/>
      <c r="AD399" s="3061"/>
      <c r="AE399" s="3061"/>
      <c r="AF399" s="3061"/>
      <c r="AG399" s="3061"/>
      <c r="AH399" s="3061"/>
      <c r="AI399" s="3061"/>
      <c r="AJ399" s="3061"/>
      <c r="AK399" s="3061"/>
      <c r="AL399" s="3061"/>
      <c r="AM399" s="3061"/>
      <c r="AN399" s="3061"/>
      <c r="AO399" s="3061"/>
      <c r="AP399" s="3061"/>
      <c r="AQ399" s="3061"/>
      <c r="AR399" s="3061"/>
      <c r="AS399" s="3061"/>
      <c r="AT399" s="3061"/>
      <c r="AU399" s="3061"/>
      <c r="AV399" s="3061"/>
      <c r="AW399" s="3061"/>
      <c r="AX399" s="3061"/>
      <c r="AY399" s="3061"/>
      <c r="AZ399" s="3061"/>
      <c r="BA399" s="3061"/>
      <c r="BB399" s="3061"/>
      <c r="BC399" s="3061"/>
      <c r="BD399" s="3061"/>
      <c r="BE399" s="3061"/>
      <c r="BF399" s="3061"/>
      <c r="BG399" s="3061"/>
      <c r="BH399" s="3061"/>
      <c r="BI399" s="3061"/>
      <c r="BJ399" s="3061"/>
      <c r="BK399" s="3061"/>
      <c r="BL399" s="3061"/>
      <c r="BM399" s="3061"/>
      <c r="BN399" s="3061"/>
      <c r="BO399" s="3061"/>
      <c r="BP399" s="3061"/>
      <c r="BQ399" s="3061"/>
      <c r="BR399" s="3061"/>
      <c r="BS399" s="3061"/>
      <c r="BT399" s="3061"/>
      <c r="BU399" s="3061"/>
      <c r="BV399" s="3061"/>
      <c r="BW399" s="3061"/>
      <c r="BX399" s="3061"/>
      <c r="BY399" s="3061"/>
      <c r="BZ399" s="3061"/>
      <c r="CA399" s="3061"/>
      <c r="CB399" s="3061"/>
      <c r="CC399" s="3061"/>
      <c r="CD399" s="3061"/>
      <c r="CE399" s="3061"/>
      <c r="CF399" s="3061"/>
      <c r="CG399" s="3061"/>
      <c r="CH399" s="3061"/>
      <c r="CI399" s="3061"/>
      <c r="CJ399" s="3061"/>
      <c r="CK399" s="3061"/>
      <c r="CL399" s="3061"/>
      <c r="CM399" s="3061"/>
      <c r="CN399" s="3061"/>
      <c r="CO399" s="3061"/>
      <c r="CP399" s="3061"/>
      <c r="CQ399" s="3061"/>
      <c r="CR399" s="3061"/>
      <c r="CS399" s="3062"/>
      <c r="CT399" s="3063"/>
      <c r="CU399" s="3064">
        <f t="shared" si="106"/>
        <v>1</v>
      </c>
      <c r="CV399" s="3022" t="str">
        <f>IF(OR(CT399="",CT399="None"),"-",DO399*CU399*SUMIF('Lighting Assumptions'!$G$3:$G$112,'6a - Lighting Counts'!G399,'Lighting Assumptions'!$J$3:$J$112))</f>
        <v>-</v>
      </c>
      <c r="CW399" s="3021"/>
      <c r="CX399" s="3021"/>
      <c r="CY399" s="3046"/>
      <c r="CZ399" s="2098">
        <f t="shared" si="107"/>
        <v>0</v>
      </c>
      <c r="DA399" s="2098" t="str">
        <f t="shared" si="108"/>
        <v>-</v>
      </c>
      <c r="DB399" s="2098">
        <f t="shared" si="109"/>
        <v>0</v>
      </c>
      <c r="DC399" s="3023" t="str">
        <f t="shared" si="110"/>
        <v>-</v>
      </c>
      <c r="DD399" s="3024" t="str">
        <f t="shared" si="111"/>
        <v/>
      </c>
      <c r="DE399" s="3025" t="str">
        <f t="shared" si="112"/>
        <v>-</v>
      </c>
      <c r="DF399" s="3024" t="str">
        <f t="shared" si="103"/>
        <v>-</v>
      </c>
      <c r="DG399" s="2098">
        <f t="shared" si="113"/>
        <v>0</v>
      </c>
      <c r="DH399" s="2098">
        <f t="array" ref="DH399">MIN(SUMPRODUCT(I399:CR399,IF($I$25:$CR$25="yes",1,0),$I$23:$CR$23),H399)</f>
        <v>0</v>
      </c>
      <c r="DI399" s="3026"/>
      <c r="DJ399" s="3021"/>
      <c r="DN399" s="917" t="str">
        <f>IF(CS399="","-",SUMIF('Lighting Assumptions'!$G$3:$G$112,'6a - Lighting Counts'!G399,'Lighting Assumptions'!$J$3:$J$112))</f>
        <v>-</v>
      </c>
      <c r="DO399" s="917" t="str">
        <f t="shared" si="104"/>
        <v>-</v>
      </c>
      <c r="DP399" s="917" t="str">
        <f t="shared" si="105"/>
        <v>-</v>
      </c>
      <c r="DQ399" s="917" t="str">
        <f>IF(LEFT(CELLformula(DF399),3)&lt;&gt;"=IF",1,"")</f>
        <v/>
      </c>
      <c r="DR399" s="917" t="str">
        <f>IF(LEFT(CELLformula(DD399),3)&lt;&gt;"=IF",1,"")</f>
        <v/>
      </c>
      <c r="DS399" s="3048">
        <f t="shared" si="114"/>
        <v>0</v>
      </c>
      <c r="DT399" s="3047" t="str">
        <f t="shared" si="115"/>
        <v/>
      </c>
      <c r="DU399" s="3047" t="str">
        <f>IFERROR(IF(G399="","",SUMIF('Lighting Assumptions'!$G$3:$G$112,'6a - Lighting Counts'!G399,'Lighting Assumptions'!$H$3:$H$112)*IF(SI_IP_Units="SI",10.76,1)),"")</f>
        <v/>
      </c>
      <c r="DV399" s="3047" t="str">
        <f>IFERROR(IF($CX399="","",IF(SI_IP_Units="SI",10.76,1)*SUMIF(BAMCategories,$CY399,'Lighting Assumptions'!$E$3:E$35)),"")</f>
        <v/>
      </c>
      <c r="DW399" s="3047" t="str">
        <f>IFERROR(IF($CX399="","",IF(SI_IP_Units="SI",10.76,1)*SUMIF(BAMCategories,$CY399,IF(bpf_reference="ACP",'Lighting Assumptions 90.1-2010'!$E$3:E$35,'Lighting Assumptions 90.1-2016'!$E$3:E$35))),"")</f>
        <v/>
      </c>
      <c r="EW399" s="855"/>
      <c r="EX399" s="855"/>
      <c r="EY399" s="855"/>
      <c r="EZ399" s="855"/>
    </row>
    <row r="400" spans="4:156" x14ac:dyDescent="0.25">
      <c r="D400" s="3019"/>
      <c r="E400" s="3020"/>
      <c r="F400" s="3021">
        <f t="shared" si="102"/>
        <v>0</v>
      </c>
      <c r="G400" s="3059"/>
      <c r="H400" s="3060"/>
      <c r="I400" s="3061"/>
      <c r="J400" s="3061"/>
      <c r="K400" s="3061"/>
      <c r="L400" s="3061"/>
      <c r="M400" s="3061"/>
      <c r="N400" s="3061"/>
      <c r="O400" s="3061"/>
      <c r="P400" s="3061"/>
      <c r="Q400" s="3061"/>
      <c r="R400" s="3061"/>
      <c r="S400" s="3061"/>
      <c r="T400" s="3061"/>
      <c r="U400" s="3061"/>
      <c r="V400" s="3061"/>
      <c r="W400" s="3061"/>
      <c r="X400" s="3061"/>
      <c r="Y400" s="3061"/>
      <c r="Z400" s="3061"/>
      <c r="AA400" s="3061"/>
      <c r="AB400" s="3061"/>
      <c r="AC400" s="3061"/>
      <c r="AD400" s="3061"/>
      <c r="AE400" s="3061"/>
      <c r="AF400" s="3061"/>
      <c r="AG400" s="3061"/>
      <c r="AH400" s="3061"/>
      <c r="AI400" s="3061"/>
      <c r="AJ400" s="3061"/>
      <c r="AK400" s="3061"/>
      <c r="AL400" s="3061"/>
      <c r="AM400" s="3061"/>
      <c r="AN400" s="3061"/>
      <c r="AO400" s="3061"/>
      <c r="AP400" s="3061"/>
      <c r="AQ400" s="3061"/>
      <c r="AR400" s="3061"/>
      <c r="AS400" s="3061"/>
      <c r="AT400" s="3061"/>
      <c r="AU400" s="3061"/>
      <c r="AV400" s="3061"/>
      <c r="AW400" s="3061"/>
      <c r="AX400" s="3061"/>
      <c r="AY400" s="3061"/>
      <c r="AZ400" s="3061"/>
      <c r="BA400" s="3061"/>
      <c r="BB400" s="3061"/>
      <c r="BC400" s="3061"/>
      <c r="BD400" s="3061"/>
      <c r="BE400" s="3061"/>
      <c r="BF400" s="3061"/>
      <c r="BG400" s="3061"/>
      <c r="BH400" s="3061"/>
      <c r="BI400" s="3061"/>
      <c r="BJ400" s="3061"/>
      <c r="BK400" s="3061"/>
      <c r="BL400" s="3061"/>
      <c r="BM400" s="3061"/>
      <c r="BN400" s="3061"/>
      <c r="BO400" s="3061"/>
      <c r="BP400" s="3061"/>
      <c r="BQ400" s="3061"/>
      <c r="BR400" s="3061"/>
      <c r="BS400" s="3061"/>
      <c r="BT400" s="3061"/>
      <c r="BU400" s="3061"/>
      <c r="BV400" s="3061"/>
      <c r="BW400" s="3061"/>
      <c r="BX400" s="3061"/>
      <c r="BY400" s="3061"/>
      <c r="BZ400" s="3061"/>
      <c r="CA400" s="3061"/>
      <c r="CB400" s="3061"/>
      <c r="CC400" s="3061"/>
      <c r="CD400" s="3061"/>
      <c r="CE400" s="3061"/>
      <c r="CF400" s="3061"/>
      <c r="CG400" s="3061"/>
      <c r="CH400" s="3061"/>
      <c r="CI400" s="3061"/>
      <c r="CJ400" s="3061"/>
      <c r="CK400" s="3061"/>
      <c r="CL400" s="3061"/>
      <c r="CM400" s="3061"/>
      <c r="CN400" s="3061"/>
      <c r="CO400" s="3061"/>
      <c r="CP400" s="3061"/>
      <c r="CQ400" s="3061"/>
      <c r="CR400" s="3061"/>
      <c r="CS400" s="3062"/>
      <c r="CT400" s="3063"/>
      <c r="CU400" s="3064">
        <f t="shared" si="106"/>
        <v>1</v>
      </c>
      <c r="CV400" s="3022" t="str">
        <f>IF(OR(CT400="",CT400="None"),"-",DO400*CU400*SUMIF('Lighting Assumptions'!$G$3:$G$112,'6a - Lighting Counts'!G400,'Lighting Assumptions'!$J$3:$J$112))</f>
        <v>-</v>
      </c>
      <c r="CW400" s="3021"/>
      <c r="CX400" s="3021"/>
      <c r="CY400" s="3046"/>
      <c r="CZ400" s="2098">
        <f t="shared" si="107"/>
        <v>0</v>
      </c>
      <c r="DA400" s="2098" t="str">
        <f t="shared" si="108"/>
        <v>-</v>
      </c>
      <c r="DB400" s="2098">
        <f t="shared" si="109"/>
        <v>0</v>
      </c>
      <c r="DC400" s="3023" t="str">
        <f t="shared" si="110"/>
        <v>-</v>
      </c>
      <c r="DD400" s="3024" t="str">
        <f t="shared" si="111"/>
        <v/>
      </c>
      <c r="DE400" s="3025" t="str">
        <f t="shared" si="112"/>
        <v>-</v>
      </c>
      <c r="DF400" s="3024" t="str">
        <f t="shared" si="103"/>
        <v>-</v>
      </c>
      <c r="DG400" s="2098">
        <f t="shared" si="113"/>
        <v>0</v>
      </c>
      <c r="DH400" s="2098">
        <f t="array" ref="DH400">MIN(SUMPRODUCT(I400:CR400,IF($I$25:$CR$25="yes",1,0),$I$23:$CR$23),H400)</f>
        <v>0</v>
      </c>
      <c r="DI400" s="3026"/>
      <c r="DJ400" s="3021"/>
      <c r="DN400" s="917" t="str">
        <f>IF(CS400="","-",SUMIF('Lighting Assumptions'!$G$3:$G$112,'6a - Lighting Counts'!G400,'Lighting Assumptions'!$J$3:$J$112))</f>
        <v>-</v>
      </c>
      <c r="DO400" s="917" t="str">
        <f t="shared" si="104"/>
        <v>-</v>
      </c>
      <c r="DP400" s="917" t="str">
        <f t="shared" si="105"/>
        <v>-</v>
      </c>
      <c r="DQ400" s="917" t="str">
        <f>IF(LEFT(CELLformula(DF400),3)&lt;&gt;"=IF",1,"")</f>
        <v/>
      </c>
      <c r="DR400" s="917" t="str">
        <f>IF(LEFT(CELLformula(DD400),3)&lt;&gt;"=IF",1,"")</f>
        <v/>
      </c>
      <c r="DS400" s="3048">
        <f t="shared" si="114"/>
        <v>0</v>
      </c>
      <c r="DT400" s="3047" t="str">
        <f t="shared" si="115"/>
        <v/>
      </c>
      <c r="DU400" s="3047" t="str">
        <f>IFERROR(IF(G400="","",SUMIF('Lighting Assumptions'!$G$3:$G$112,'6a - Lighting Counts'!G400,'Lighting Assumptions'!$H$3:$H$112)*IF(SI_IP_Units="SI",10.76,1)),"")</f>
        <v/>
      </c>
      <c r="DV400" s="3047" t="str">
        <f>IFERROR(IF($CX400="","",IF(SI_IP_Units="SI",10.76,1)*SUMIF(BAMCategories,$CY400,'Lighting Assumptions'!$E$3:E$35)),"")</f>
        <v/>
      </c>
      <c r="DW400" s="3047" t="str">
        <f>IFERROR(IF($CX400="","",IF(SI_IP_Units="SI",10.76,1)*SUMIF(BAMCategories,$CY400,IF(bpf_reference="ACP",'Lighting Assumptions 90.1-2010'!$E$3:E$35,'Lighting Assumptions 90.1-2016'!$E$3:E$35))),"")</f>
        <v/>
      </c>
      <c r="EW400" s="855"/>
      <c r="EX400" s="855"/>
      <c r="EY400" s="855"/>
      <c r="EZ400" s="855"/>
    </row>
    <row r="401" spans="4:156" x14ac:dyDescent="0.25">
      <c r="D401" s="3019"/>
      <c r="E401" s="3020"/>
      <c r="F401" s="3021">
        <f t="shared" si="102"/>
        <v>0</v>
      </c>
      <c r="G401" s="3059"/>
      <c r="H401" s="3060"/>
      <c r="I401" s="3061"/>
      <c r="J401" s="3061"/>
      <c r="K401" s="3061"/>
      <c r="L401" s="3061"/>
      <c r="M401" s="3061"/>
      <c r="N401" s="3061"/>
      <c r="O401" s="3061"/>
      <c r="P401" s="3061"/>
      <c r="Q401" s="3061"/>
      <c r="R401" s="3061"/>
      <c r="S401" s="3061"/>
      <c r="T401" s="3061"/>
      <c r="U401" s="3061"/>
      <c r="V401" s="3061"/>
      <c r="W401" s="3061"/>
      <c r="X401" s="3061"/>
      <c r="Y401" s="3061"/>
      <c r="Z401" s="3061"/>
      <c r="AA401" s="3061"/>
      <c r="AB401" s="3061"/>
      <c r="AC401" s="3061"/>
      <c r="AD401" s="3061"/>
      <c r="AE401" s="3061"/>
      <c r="AF401" s="3061"/>
      <c r="AG401" s="3061"/>
      <c r="AH401" s="3061"/>
      <c r="AI401" s="3061"/>
      <c r="AJ401" s="3061"/>
      <c r="AK401" s="3061"/>
      <c r="AL401" s="3061"/>
      <c r="AM401" s="3061"/>
      <c r="AN401" s="3061"/>
      <c r="AO401" s="3061"/>
      <c r="AP401" s="3061"/>
      <c r="AQ401" s="3061"/>
      <c r="AR401" s="3061"/>
      <c r="AS401" s="3061"/>
      <c r="AT401" s="3061"/>
      <c r="AU401" s="3061"/>
      <c r="AV401" s="3061"/>
      <c r="AW401" s="3061"/>
      <c r="AX401" s="3061"/>
      <c r="AY401" s="3061"/>
      <c r="AZ401" s="3061"/>
      <c r="BA401" s="3061"/>
      <c r="BB401" s="3061"/>
      <c r="BC401" s="3061"/>
      <c r="BD401" s="3061"/>
      <c r="BE401" s="3061"/>
      <c r="BF401" s="3061"/>
      <c r="BG401" s="3061"/>
      <c r="BH401" s="3061"/>
      <c r="BI401" s="3061"/>
      <c r="BJ401" s="3061"/>
      <c r="BK401" s="3061"/>
      <c r="BL401" s="3061"/>
      <c r="BM401" s="3061"/>
      <c r="BN401" s="3061"/>
      <c r="BO401" s="3061"/>
      <c r="BP401" s="3061"/>
      <c r="BQ401" s="3061"/>
      <c r="BR401" s="3061"/>
      <c r="BS401" s="3061"/>
      <c r="BT401" s="3061"/>
      <c r="BU401" s="3061"/>
      <c r="BV401" s="3061"/>
      <c r="BW401" s="3061"/>
      <c r="BX401" s="3061"/>
      <c r="BY401" s="3061"/>
      <c r="BZ401" s="3061"/>
      <c r="CA401" s="3061"/>
      <c r="CB401" s="3061"/>
      <c r="CC401" s="3061"/>
      <c r="CD401" s="3061"/>
      <c r="CE401" s="3061"/>
      <c r="CF401" s="3061"/>
      <c r="CG401" s="3061"/>
      <c r="CH401" s="3061"/>
      <c r="CI401" s="3061"/>
      <c r="CJ401" s="3061"/>
      <c r="CK401" s="3061"/>
      <c r="CL401" s="3061"/>
      <c r="CM401" s="3061"/>
      <c r="CN401" s="3061"/>
      <c r="CO401" s="3061"/>
      <c r="CP401" s="3061"/>
      <c r="CQ401" s="3061"/>
      <c r="CR401" s="3061"/>
      <c r="CS401" s="3062"/>
      <c r="CT401" s="3063"/>
      <c r="CU401" s="3064">
        <f t="shared" si="106"/>
        <v>1</v>
      </c>
      <c r="CV401" s="3022" t="str">
        <f>IF(OR(CT401="",CT401="None"),"-",DO401*CU401*SUMIF('Lighting Assumptions'!$G$3:$G$112,'6a - Lighting Counts'!G401,'Lighting Assumptions'!$J$3:$J$112))</f>
        <v>-</v>
      </c>
      <c r="CW401" s="3021"/>
      <c r="CX401" s="3021"/>
      <c r="CY401" s="3046"/>
      <c r="CZ401" s="2098">
        <f t="shared" si="107"/>
        <v>0</v>
      </c>
      <c r="DA401" s="2098" t="str">
        <f t="shared" si="108"/>
        <v>-</v>
      </c>
      <c r="DB401" s="2098">
        <f t="shared" si="109"/>
        <v>0</v>
      </c>
      <c r="DC401" s="3023" t="str">
        <f t="shared" si="110"/>
        <v>-</v>
      </c>
      <c r="DD401" s="3024" t="str">
        <f t="shared" si="111"/>
        <v/>
      </c>
      <c r="DE401" s="3025" t="str">
        <f t="shared" si="112"/>
        <v>-</v>
      </c>
      <c r="DF401" s="3024" t="str">
        <f t="shared" si="103"/>
        <v>-</v>
      </c>
      <c r="DG401" s="2098">
        <f t="shared" si="113"/>
        <v>0</v>
      </c>
      <c r="DH401" s="2098">
        <f t="array" ref="DH401">MIN(SUMPRODUCT(I401:CR401,IF($I$25:$CR$25="yes",1,0),$I$23:$CR$23),H401)</f>
        <v>0</v>
      </c>
      <c r="DI401" s="3026"/>
      <c r="DJ401" s="3021"/>
      <c r="DN401" s="917" t="str">
        <f>IF(CS401="","-",SUMIF('Lighting Assumptions'!$G$3:$G$112,'6a - Lighting Counts'!G401,'Lighting Assumptions'!$J$3:$J$112))</f>
        <v>-</v>
      </c>
      <c r="DO401" s="917" t="str">
        <f t="shared" si="104"/>
        <v>-</v>
      </c>
      <c r="DP401" s="917" t="str">
        <f t="shared" si="105"/>
        <v>-</v>
      </c>
      <c r="DQ401" s="917" t="str">
        <f>IF(LEFT(CELLformula(DF401),3)&lt;&gt;"=IF",1,"")</f>
        <v/>
      </c>
      <c r="DR401" s="917" t="str">
        <f>IF(LEFT(CELLformula(DD401),3)&lt;&gt;"=IF",1,"")</f>
        <v/>
      </c>
      <c r="DS401" s="3048">
        <f t="shared" si="114"/>
        <v>0</v>
      </c>
      <c r="DT401" s="3047" t="str">
        <f t="shared" si="115"/>
        <v/>
      </c>
      <c r="DU401" s="3047" t="str">
        <f>IFERROR(IF(G401="","",SUMIF('Lighting Assumptions'!$G$3:$G$112,'6a - Lighting Counts'!G401,'Lighting Assumptions'!$H$3:$H$112)*IF(SI_IP_Units="SI",10.76,1)),"")</f>
        <v/>
      </c>
      <c r="DV401" s="3047" t="str">
        <f>IFERROR(IF($CX401="","",IF(SI_IP_Units="SI",10.76,1)*SUMIF(BAMCategories,$CY401,'Lighting Assumptions'!$E$3:E$35)),"")</f>
        <v/>
      </c>
      <c r="DW401" s="3047" t="str">
        <f>IFERROR(IF($CX401="","",IF(SI_IP_Units="SI",10.76,1)*SUMIF(BAMCategories,$CY401,IF(bpf_reference="ACP",'Lighting Assumptions 90.1-2010'!$E$3:E$35,'Lighting Assumptions 90.1-2016'!$E$3:E$35))),"")</f>
        <v/>
      </c>
      <c r="EW401" s="855"/>
      <c r="EX401" s="855"/>
      <c r="EY401" s="855"/>
      <c r="EZ401" s="855"/>
    </row>
    <row r="402" spans="4:156" x14ac:dyDescent="0.25">
      <c r="D402" s="3019"/>
      <c r="E402" s="3020"/>
      <c r="F402" s="3021">
        <f t="shared" si="102"/>
        <v>0</v>
      </c>
      <c r="G402" s="3059"/>
      <c r="H402" s="3060"/>
      <c r="I402" s="3061"/>
      <c r="J402" s="3061"/>
      <c r="K402" s="3061"/>
      <c r="L402" s="3061"/>
      <c r="M402" s="3061"/>
      <c r="N402" s="3061"/>
      <c r="O402" s="3061"/>
      <c r="P402" s="3061"/>
      <c r="Q402" s="3061"/>
      <c r="R402" s="3061"/>
      <c r="S402" s="3061"/>
      <c r="T402" s="3061"/>
      <c r="U402" s="3061"/>
      <c r="V402" s="3061"/>
      <c r="W402" s="3061"/>
      <c r="X402" s="3061"/>
      <c r="Y402" s="3061"/>
      <c r="Z402" s="3061"/>
      <c r="AA402" s="3061"/>
      <c r="AB402" s="3061"/>
      <c r="AC402" s="3061"/>
      <c r="AD402" s="3061"/>
      <c r="AE402" s="3061"/>
      <c r="AF402" s="3061"/>
      <c r="AG402" s="3061"/>
      <c r="AH402" s="3061"/>
      <c r="AI402" s="3061"/>
      <c r="AJ402" s="3061"/>
      <c r="AK402" s="3061"/>
      <c r="AL402" s="3061"/>
      <c r="AM402" s="3061"/>
      <c r="AN402" s="3061"/>
      <c r="AO402" s="3061"/>
      <c r="AP402" s="3061"/>
      <c r="AQ402" s="3061"/>
      <c r="AR402" s="3061"/>
      <c r="AS402" s="3061"/>
      <c r="AT402" s="3061"/>
      <c r="AU402" s="3061"/>
      <c r="AV402" s="3061"/>
      <c r="AW402" s="3061"/>
      <c r="AX402" s="3061"/>
      <c r="AY402" s="3061"/>
      <c r="AZ402" s="3061"/>
      <c r="BA402" s="3061"/>
      <c r="BB402" s="3061"/>
      <c r="BC402" s="3061"/>
      <c r="BD402" s="3061"/>
      <c r="BE402" s="3061"/>
      <c r="BF402" s="3061"/>
      <c r="BG402" s="3061"/>
      <c r="BH402" s="3061"/>
      <c r="BI402" s="3061"/>
      <c r="BJ402" s="3061"/>
      <c r="BK402" s="3061"/>
      <c r="BL402" s="3061"/>
      <c r="BM402" s="3061"/>
      <c r="BN402" s="3061"/>
      <c r="BO402" s="3061"/>
      <c r="BP402" s="3061"/>
      <c r="BQ402" s="3061"/>
      <c r="BR402" s="3061"/>
      <c r="BS402" s="3061"/>
      <c r="BT402" s="3061"/>
      <c r="BU402" s="3061"/>
      <c r="BV402" s="3061"/>
      <c r="BW402" s="3061"/>
      <c r="BX402" s="3061"/>
      <c r="BY402" s="3061"/>
      <c r="BZ402" s="3061"/>
      <c r="CA402" s="3061"/>
      <c r="CB402" s="3061"/>
      <c r="CC402" s="3061"/>
      <c r="CD402" s="3061"/>
      <c r="CE402" s="3061"/>
      <c r="CF402" s="3061"/>
      <c r="CG402" s="3061"/>
      <c r="CH402" s="3061"/>
      <c r="CI402" s="3061"/>
      <c r="CJ402" s="3061"/>
      <c r="CK402" s="3061"/>
      <c r="CL402" s="3061"/>
      <c r="CM402" s="3061"/>
      <c r="CN402" s="3061"/>
      <c r="CO402" s="3061"/>
      <c r="CP402" s="3061"/>
      <c r="CQ402" s="3061"/>
      <c r="CR402" s="3061"/>
      <c r="CS402" s="3062"/>
      <c r="CT402" s="3063"/>
      <c r="CU402" s="3064">
        <f t="shared" si="106"/>
        <v>1</v>
      </c>
      <c r="CV402" s="3022" t="str">
        <f>IF(OR(CT402="",CT402="None"),"-",DO402*CU402*SUMIF('Lighting Assumptions'!$G$3:$G$112,'6a - Lighting Counts'!G402,'Lighting Assumptions'!$J$3:$J$112))</f>
        <v>-</v>
      </c>
      <c r="CW402" s="3021"/>
      <c r="CX402" s="3021"/>
      <c r="CY402" s="3046"/>
      <c r="CZ402" s="2098">
        <f t="shared" si="107"/>
        <v>0</v>
      </c>
      <c r="DA402" s="2098" t="str">
        <f t="shared" si="108"/>
        <v>-</v>
      </c>
      <c r="DB402" s="2098">
        <f t="shared" si="109"/>
        <v>0</v>
      </c>
      <c r="DC402" s="3023" t="str">
        <f t="shared" si="110"/>
        <v>-</v>
      </c>
      <c r="DD402" s="3024" t="str">
        <f t="shared" si="111"/>
        <v/>
      </c>
      <c r="DE402" s="3025" t="str">
        <f t="shared" si="112"/>
        <v>-</v>
      </c>
      <c r="DF402" s="3024" t="str">
        <f t="shared" si="103"/>
        <v>-</v>
      </c>
      <c r="DG402" s="2098">
        <f t="shared" si="113"/>
        <v>0</v>
      </c>
      <c r="DH402" s="2098">
        <f t="array" ref="DH402">MIN(SUMPRODUCT(I402:CR402,IF($I$25:$CR$25="yes",1,0),$I$23:$CR$23),H402)</f>
        <v>0</v>
      </c>
      <c r="DI402" s="3026"/>
      <c r="DJ402" s="3021"/>
      <c r="DN402" s="917" t="str">
        <f>IF(CS402="","-",SUMIF('Lighting Assumptions'!$G$3:$G$112,'6a - Lighting Counts'!G402,'Lighting Assumptions'!$J$3:$J$112))</f>
        <v>-</v>
      </c>
      <c r="DO402" s="917" t="str">
        <f t="shared" si="104"/>
        <v>-</v>
      </c>
      <c r="DP402" s="917" t="str">
        <f t="shared" si="105"/>
        <v>-</v>
      </c>
      <c r="DQ402" s="917" t="str">
        <f>IF(LEFT(CELLformula(DF402),3)&lt;&gt;"=IF",1,"")</f>
        <v/>
      </c>
      <c r="DR402" s="917" t="str">
        <f>IF(LEFT(CELLformula(DD402),3)&lt;&gt;"=IF",1,"")</f>
        <v/>
      </c>
      <c r="DS402" s="3048">
        <f t="shared" si="114"/>
        <v>0</v>
      </c>
      <c r="DT402" s="3047" t="str">
        <f t="shared" si="115"/>
        <v/>
      </c>
      <c r="DU402" s="3047" t="str">
        <f>IFERROR(IF(G402="","",SUMIF('Lighting Assumptions'!$G$3:$G$112,'6a - Lighting Counts'!G402,'Lighting Assumptions'!$H$3:$H$112)*IF(SI_IP_Units="SI",10.76,1)),"")</f>
        <v/>
      </c>
      <c r="DV402" s="3047" t="str">
        <f>IFERROR(IF($CX402="","",IF(SI_IP_Units="SI",10.76,1)*SUMIF(BAMCategories,$CY402,'Lighting Assumptions'!$E$3:E$35)),"")</f>
        <v/>
      </c>
      <c r="DW402" s="3047" t="str">
        <f>IFERROR(IF($CX402="","",IF(SI_IP_Units="SI",10.76,1)*SUMIF(BAMCategories,$CY402,IF(bpf_reference="ACP",'Lighting Assumptions 90.1-2010'!$E$3:E$35,'Lighting Assumptions 90.1-2016'!$E$3:E$35))),"")</f>
        <v/>
      </c>
      <c r="EW402" s="855"/>
      <c r="EX402" s="855"/>
      <c r="EY402" s="855"/>
      <c r="EZ402" s="855"/>
    </row>
    <row r="403" spans="4:156" x14ac:dyDescent="0.25">
      <c r="D403" s="3019"/>
      <c r="E403" s="3020"/>
      <c r="F403" s="3021">
        <f t="shared" si="102"/>
        <v>0</v>
      </c>
      <c r="G403" s="3059"/>
      <c r="H403" s="3060"/>
      <c r="I403" s="3061"/>
      <c r="J403" s="3061"/>
      <c r="K403" s="3061"/>
      <c r="L403" s="3061"/>
      <c r="M403" s="3061"/>
      <c r="N403" s="3061"/>
      <c r="O403" s="3061"/>
      <c r="P403" s="3061"/>
      <c r="Q403" s="3061"/>
      <c r="R403" s="3061"/>
      <c r="S403" s="3061"/>
      <c r="T403" s="3061"/>
      <c r="U403" s="3061"/>
      <c r="V403" s="3061"/>
      <c r="W403" s="3061"/>
      <c r="X403" s="3061"/>
      <c r="Y403" s="3061"/>
      <c r="Z403" s="3061"/>
      <c r="AA403" s="3061"/>
      <c r="AB403" s="3061"/>
      <c r="AC403" s="3061"/>
      <c r="AD403" s="3061"/>
      <c r="AE403" s="3061"/>
      <c r="AF403" s="3061"/>
      <c r="AG403" s="3061"/>
      <c r="AH403" s="3061"/>
      <c r="AI403" s="3061"/>
      <c r="AJ403" s="3061"/>
      <c r="AK403" s="3061"/>
      <c r="AL403" s="3061"/>
      <c r="AM403" s="3061"/>
      <c r="AN403" s="3061"/>
      <c r="AO403" s="3061"/>
      <c r="AP403" s="3061"/>
      <c r="AQ403" s="3061"/>
      <c r="AR403" s="3061"/>
      <c r="AS403" s="3061"/>
      <c r="AT403" s="3061"/>
      <c r="AU403" s="3061"/>
      <c r="AV403" s="3061"/>
      <c r="AW403" s="3061"/>
      <c r="AX403" s="3061"/>
      <c r="AY403" s="3061"/>
      <c r="AZ403" s="3061"/>
      <c r="BA403" s="3061"/>
      <c r="BB403" s="3061"/>
      <c r="BC403" s="3061"/>
      <c r="BD403" s="3061"/>
      <c r="BE403" s="3061"/>
      <c r="BF403" s="3061"/>
      <c r="BG403" s="3061"/>
      <c r="BH403" s="3061"/>
      <c r="BI403" s="3061"/>
      <c r="BJ403" s="3061"/>
      <c r="BK403" s="3061"/>
      <c r="BL403" s="3061"/>
      <c r="BM403" s="3061"/>
      <c r="BN403" s="3061"/>
      <c r="BO403" s="3061"/>
      <c r="BP403" s="3061"/>
      <c r="BQ403" s="3061"/>
      <c r="BR403" s="3061"/>
      <c r="BS403" s="3061"/>
      <c r="BT403" s="3061"/>
      <c r="BU403" s="3061"/>
      <c r="BV403" s="3061"/>
      <c r="BW403" s="3061"/>
      <c r="BX403" s="3061"/>
      <c r="BY403" s="3061"/>
      <c r="BZ403" s="3061"/>
      <c r="CA403" s="3061"/>
      <c r="CB403" s="3061"/>
      <c r="CC403" s="3061"/>
      <c r="CD403" s="3061"/>
      <c r="CE403" s="3061"/>
      <c r="CF403" s="3061"/>
      <c r="CG403" s="3061"/>
      <c r="CH403" s="3061"/>
      <c r="CI403" s="3061"/>
      <c r="CJ403" s="3061"/>
      <c r="CK403" s="3061"/>
      <c r="CL403" s="3061"/>
      <c r="CM403" s="3061"/>
      <c r="CN403" s="3061"/>
      <c r="CO403" s="3061"/>
      <c r="CP403" s="3061"/>
      <c r="CQ403" s="3061"/>
      <c r="CR403" s="3061"/>
      <c r="CS403" s="3062"/>
      <c r="CT403" s="3063"/>
      <c r="CU403" s="3064">
        <f t="shared" si="106"/>
        <v>1</v>
      </c>
      <c r="CV403" s="3022" t="str">
        <f>IF(OR(CT403="",CT403="None"),"-",DO403*CU403*SUMIF('Lighting Assumptions'!$G$3:$G$112,'6a - Lighting Counts'!G403,'Lighting Assumptions'!$J$3:$J$112))</f>
        <v>-</v>
      </c>
      <c r="CW403" s="3021"/>
      <c r="CX403" s="3021"/>
      <c r="CY403" s="3046"/>
      <c r="CZ403" s="2098">
        <f t="shared" si="107"/>
        <v>0</v>
      </c>
      <c r="DA403" s="2098" t="str">
        <f t="shared" si="108"/>
        <v>-</v>
      </c>
      <c r="DB403" s="2098">
        <f t="shared" si="109"/>
        <v>0</v>
      </c>
      <c r="DC403" s="3023" t="str">
        <f t="shared" si="110"/>
        <v>-</v>
      </c>
      <c r="DD403" s="3024" t="str">
        <f t="shared" si="111"/>
        <v/>
      </c>
      <c r="DE403" s="3025" t="str">
        <f t="shared" si="112"/>
        <v>-</v>
      </c>
      <c r="DF403" s="3024" t="str">
        <f t="shared" si="103"/>
        <v>-</v>
      </c>
      <c r="DG403" s="2098">
        <f t="shared" si="113"/>
        <v>0</v>
      </c>
      <c r="DH403" s="2098">
        <f t="array" ref="DH403">MIN(SUMPRODUCT(I403:CR403,IF($I$25:$CR$25="yes",1,0),$I$23:$CR$23),H403)</f>
        <v>0</v>
      </c>
      <c r="DI403" s="3026"/>
      <c r="DJ403" s="3021"/>
      <c r="DN403" s="917" t="str">
        <f>IF(CS403="","-",SUMIF('Lighting Assumptions'!$G$3:$G$112,'6a - Lighting Counts'!G403,'Lighting Assumptions'!$J$3:$J$112))</f>
        <v>-</v>
      </c>
      <c r="DO403" s="917" t="str">
        <f t="shared" si="104"/>
        <v>-</v>
      </c>
      <c r="DP403" s="917" t="str">
        <f t="shared" si="105"/>
        <v>-</v>
      </c>
      <c r="DQ403" s="917" t="str">
        <f>IF(LEFT(CELLformula(DF403),3)&lt;&gt;"=IF",1,"")</f>
        <v/>
      </c>
      <c r="DR403" s="917" t="str">
        <f>IF(LEFT(CELLformula(DD403),3)&lt;&gt;"=IF",1,"")</f>
        <v/>
      </c>
      <c r="DS403" s="3048">
        <f t="shared" si="114"/>
        <v>0</v>
      </c>
      <c r="DT403" s="3047" t="str">
        <f t="shared" si="115"/>
        <v/>
      </c>
      <c r="DU403" s="3047" t="str">
        <f>IFERROR(IF(G403="","",SUMIF('Lighting Assumptions'!$G$3:$G$112,'6a - Lighting Counts'!G403,'Lighting Assumptions'!$H$3:$H$112)*IF(SI_IP_Units="SI",10.76,1)),"")</f>
        <v/>
      </c>
      <c r="DV403" s="3047" t="str">
        <f>IFERROR(IF($CX403="","",IF(SI_IP_Units="SI",10.76,1)*SUMIF(BAMCategories,$CY403,'Lighting Assumptions'!$E$3:E$35)),"")</f>
        <v/>
      </c>
      <c r="DW403" s="3047" t="str">
        <f>IFERROR(IF($CX403="","",IF(SI_IP_Units="SI",10.76,1)*SUMIF(BAMCategories,$CY403,IF(bpf_reference="ACP",'Lighting Assumptions 90.1-2010'!$E$3:E$35,'Lighting Assumptions 90.1-2016'!$E$3:E$35))),"")</f>
        <v/>
      </c>
      <c r="EW403" s="855"/>
      <c r="EX403" s="855"/>
      <c r="EY403" s="855"/>
      <c r="EZ403" s="855"/>
    </row>
    <row r="404" spans="4:156" x14ac:dyDescent="0.25">
      <c r="D404" s="3019"/>
      <c r="E404" s="3020"/>
      <c r="F404" s="3021">
        <f t="shared" si="102"/>
        <v>0</v>
      </c>
      <c r="G404" s="3059"/>
      <c r="H404" s="3060"/>
      <c r="I404" s="3061"/>
      <c r="J404" s="3061"/>
      <c r="K404" s="3061"/>
      <c r="L404" s="3061"/>
      <c r="M404" s="3061"/>
      <c r="N404" s="3061"/>
      <c r="O404" s="3061"/>
      <c r="P404" s="3061"/>
      <c r="Q404" s="3061"/>
      <c r="R404" s="3061"/>
      <c r="S404" s="3061"/>
      <c r="T404" s="3061"/>
      <c r="U404" s="3061"/>
      <c r="V404" s="3061"/>
      <c r="W404" s="3061"/>
      <c r="X404" s="3061"/>
      <c r="Y404" s="3061"/>
      <c r="Z404" s="3061"/>
      <c r="AA404" s="3061"/>
      <c r="AB404" s="3061"/>
      <c r="AC404" s="3061"/>
      <c r="AD404" s="3061"/>
      <c r="AE404" s="3061"/>
      <c r="AF404" s="3061"/>
      <c r="AG404" s="3061"/>
      <c r="AH404" s="3061"/>
      <c r="AI404" s="3061"/>
      <c r="AJ404" s="3061"/>
      <c r="AK404" s="3061"/>
      <c r="AL404" s="3061"/>
      <c r="AM404" s="3061"/>
      <c r="AN404" s="3061"/>
      <c r="AO404" s="3061"/>
      <c r="AP404" s="3061"/>
      <c r="AQ404" s="3061"/>
      <c r="AR404" s="3061"/>
      <c r="AS404" s="3061"/>
      <c r="AT404" s="3061"/>
      <c r="AU404" s="3061"/>
      <c r="AV404" s="3061"/>
      <c r="AW404" s="3061"/>
      <c r="AX404" s="3061"/>
      <c r="AY404" s="3061"/>
      <c r="AZ404" s="3061"/>
      <c r="BA404" s="3061"/>
      <c r="BB404" s="3061"/>
      <c r="BC404" s="3061"/>
      <c r="BD404" s="3061"/>
      <c r="BE404" s="3061"/>
      <c r="BF404" s="3061"/>
      <c r="BG404" s="3061"/>
      <c r="BH404" s="3061"/>
      <c r="BI404" s="3061"/>
      <c r="BJ404" s="3061"/>
      <c r="BK404" s="3061"/>
      <c r="BL404" s="3061"/>
      <c r="BM404" s="3061"/>
      <c r="BN404" s="3061"/>
      <c r="BO404" s="3061"/>
      <c r="BP404" s="3061"/>
      <c r="BQ404" s="3061"/>
      <c r="BR404" s="3061"/>
      <c r="BS404" s="3061"/>
      <c r="BT404" s="3061"/>
      <c r="BU404" s="3061"/>
      <c r="BV404" s="3061"/>
      <c r="BW404" s="3061"/>
      <c r="BX404" s="3061"/>
      <c r="BY404" s="3061"/>
      <c r="BZ404" s="3061"/>
      <c r="CA404" s="3061"/>
      <c r="CB404" s="3061"/>
      <c r="CC404" s="3061"/>
      <c r="CD404" s="3061"/>
      <c r="CE404" s="3061"/>
      <c r="CF404" s="3061"/>
      <c r="CG404" s="3061"/>
      <c r="CH404" s="3061"/>
      <c r="CI404" s="3061"/>
      <c r="CJ404" s="3061"/>
      <c r="CK404" s="3061"/>
      <c r="CL404" s="3061"/>
      <c r="CM404" s="3061"/>
      <c r="CN404" s="3061"/>
      <c r="CO404" s="3061"/>
      <c r="CP404" s="3061"/>
      <c r="CQ404" s="3061"/>
      <c r="CR404" s="3061"/>
      <c r="CS404" s="3062"/>
      <c r="CT404" s="3063"/>
      <c r="CU404" s="3064">
        <f t="shared" si="106"/>
        <v>1</v>
      </c>
      <c r="CV404" s="3022" t="str">
        <f>IF(OR(CT404="",CT404="None"),"-",DO404*CU404*SUMIF('Lighting Assumptions'!$G$3:$G$112,'6a - Lighting Counts'!G404,'Lighting Assumptions'!$J$3:$J$112))</f>
        <v>-</v>
      </c>
      <c r="CW404" s="3021"/>
      <c r="CX404" s="3021"/>
      <c r="CY404" s="3046"/>
      <c r="CZ404" s="2098">
        <f t="shared" si="107"/>
        <v>0</v>
      </c>
      <c r="DA404" s="2098" t="str">
        <f t="shared" si="108"/>
        <v>-</v>
      </c>
      <c r="DB404" s="2098">
        <f t="shared" si="109"/>
        <v>0</v>
      </c>
      <c r="DC404" s="3023" t="str">
        <f t="shared" si="110"/>
        <v>-</v>
      </c>
      <c r="DD404" s="3024" t="str">
        <f t="shared" si="111"/>
        <v/>
      </c>
      <c r="DE404" s="3025" t="str">
        <f t="shared" si="112"/>
        <v>-</v>
      </c>
      <c r="DF404" s="3024" t="str">
        <f t="shared" si="103"/>
        <v>-</v>
      </c>
      <c r="DG404" s="2098">
        <f t="shared" si="113"/>
        <v>0</v>
      </c>
      <c r="DH404" s="2098">
        <f t="array" ref="DH404">MIN(SUMPRODUCT(I404:CR404,IF($I$25:$CR$25="yes",1,0),$I$23:$CR$23),H404)</f>
        <v>0</v>
      </c>
      <c r="DI404" s="3026"/>
      <c r="DJ404" s="3021"/>
      <c r="DN404" s="917" t="str">
        <f>IF(CS404="","-",SUMIF('Lighting Assumptions'!$G$3:$G$112,'6a - Lighting Counts'!G404,'Lighting Assumptions'!$J$3:$J$112))</f>
        <v>-</v>
      </c>
      <c r="DO404" s="917" t="str">
        <f t="shared" si="104"/>
        <v>-</v>
      </c>
      <c r="DP404" s="917" t="str">
        <f t="shared" si="105"/>
        <v>-</v>
      </c>
      <c r="DQ404" s="917" t="str">
        <f>IF(LEFT(CELLformula(DF404),3)&lt;&gt;"=IF",1,"")</f>
        <v/>
      </c>
      <c r="DR404" s="917" t="str">
        <f>IF(LEFT(CELLformula(DD404),3)&lt;&gt;"=IF",1,"")</f>
        <v/>
      </c>
      <c r="DS404" s="3048">
        <f t="shared" si="114"/>
        <v>0</v>
      </c>
      <c r="DT404" s="3047" t="str">
        <f t="shared" si="115"/>
        <v/>
      </c>
      <c r="DU404" s="3047" t="str">
        <f>IFERROR(IF(G404="","",SUMIF('Lighting Assumptions'!$G$3:$G$112,'6a - Lighting Counts'!G404,'Lighting Assumptions'!$H$3:$H$112)*IF(SI_IP_Units="SI",10.76,1)),"")</f>
        <v/>
      </c>
      <c r="DV404" s="3047" t="str">
        <f>IFERROR(IF($CX404="","",IF(SI_IP_Units="SI",10.76,1)*SUMIF(BAMCategories,$CY404,'Lighting Assumptions'!$E$3:E$35)),"")</f>
        <v/>
      </c>
      <c r="DW404" s="3047" t="str">
        <f>IFERROR(IF($CX404="","",IF(SI_IP_Units="SI",10.76,1)*SUMIF(BAMCategories,$CY404,IF(bpf_reference="ACP",'Lighting Assumptions 90.1-2010'!$E$3:E$35,'Lighting Assumptions 90.1-2016'!$E$3:E$35))),"")</f>
        <v/>
      </c>
      <c r="EW404" s="855"/>
      <c r="EX404" s="855"/>
      <c r="EY404" s="855"/>
      <c r="EZ404" s="855"/>
    </row>
    <row r="405" spans="4:156" x14ac:dyDescent="0.25">
      <c r="D405" s="3019"/>
      <c r="E405" s="3020"/>
      <c r="F405" s="3021">
        <f t="shared" si="102"/>
        <v>0</v>
      </c>
      <c r="G405" s="3059"/>
      <c r="H405" s="3060"/>
      <c r="I405" s="3061"/>
      <c r="J405" s="3061"/>
      <c r="K405" s="3061"/>
      <c r="L405" s="3061"/>
      <c r="M405" s="3061"/>
      <c r="N405" s="3061"/>
      <c r="O405" s="3061"/>
      <c r="P405" s="3061"/>
      <c r="Q405" s="3061"/>
      <c r="R405" s="3061"/>
      <c r="S405" s="3061"/>
      <c r="T405" s="3061"/>
      <c r="U405" s="3061"/>
      <c r="V405" s="3061"/>
      <c r="W405" s="3061"/>
      <c r="X405" s="3061"/>
      <c r="Y405" s="3061"/>
      <c r="Z405" s="3061"/>
      <c r="AA405" s="3061"/>
      <c r="AB405" s="3061"/>
      <c r="AC405" s="3061"/>
      <c r="AD405" s="3061"/>
      <c r="AE405" s="3061"/>
      <c r="AF405" s="3061"/>
      <c r="AG405" s="3061"/>
      <c r="AH405" s="3061"/>
      <c r="AI405" s="3061"/>
      <c r="AJ405" s="3061"/>
      <c r="AK405" s="3061"/>
      <c r="AL405" s="3061"/>
      <c r="AM405" s="3061"/>
      <c r="AN405" s="3061"/>
      <c r="AO405" s="3061"/>
      <c r="AP405" s="3061"/>
      <c r="AQ405" s="3061"/>
      <c r="AR405" s="3061"/>
      <c r="AS405" s="3061"/>
      <c r="AT405" s="3061"/>
      <c r="AU405" s="3061"/>
      <c r="AV405" s="3061"/>
      <c r="AW405" s="3061"/>
      <c r="AX405" s="3061"/>
      <c r="AY405" s="3061"/>
      <c r="AZ405" s="3061"/>
      <c r="BA405" s="3061"/>
      <c r="BB405" s="3061"/>
      <c r="BC405" s="3061"/>
      <c r="BD405" s="3061"/>
      <c r="BE405" s="3061"/>
      <c r="BF405" s="3061"/>
      <c r="BG405" s="3061"/>
      <c r="BH405" s="3061"/>
      <c r="BI405" s="3061"/>
      <c r="BJ405" s="3061"/>
      <c r="BK405" s="3061"/>
      <c r="BL405" s="3061"/>
      <c r="BM405" s="3061"/>
      <c r="BN405" s="3061"/>
      <c r="BO405" s="3061"/>
      <c r="BP405" s="3061"/>
      <c r="BQ405" s="3061"/>
      <c r="BR405" s="3061"/>
      <c r="BS405" s="3061"/>
      <c r="BT405" s="3061"/>
      <c r="BU405" s="3061"/>
      <c r="BV405" s="3061"/>
      <c r="BW405" s="3061"/>
      <c r="BX405" s="3061"/>
      <c r="BY405" s="3061"/>
      <c r="BZ405" s="3061"/>
      <c r="CA405" s="3061"/>
      <c r="CB405" s="3061"/>
      <c r="CC405" s="3061"/>
      <c r="CD405" s="3061"/>
      <c r="CE405" s="3061"/>
      <c r="CF405" s="3061"/>
      <c r="CG405" s="3061"/>
      <c r="CH405" s="3061"/>
      <c r="CI405" s="3061"/>
      <c r="CJ405" s="3061"/>
      <c r="CK405" s="3061"/>
      <c r="CL405" s="3061"/>
      <c r="CM405" s="3061"/>
      <c r="CN405" s="3061"/>
      <c r="CO405" s="3061"/>
      <c r="CP405" s="3061"/>
      <c r="CQ405" s="3061"/>
      <c r="CR405" s="3061"/>
      <c r="CS405" s="3062"/>
      <c r="CT405" s="3063"/>
      <c r="CU405" s="3064">
        <f t="shared" si="106"/>
        <v>1</v>
      </c>
      <c r="CV405" s="3022" t="str">
        <f>IF(OR(CT405="",CT405="None"),"-",DO405*CU405*SUMIF('Lighting Assumptions'!$G$3:$G$112,'6a - Lighting Counts'!G405,'Lighting Assumptions'!$J$3:$J$112))</f>
        <v>-</v>
      </c>
      <c r="CW405" s="3021"/>
      <c r="CX405" s="3021"/>
      <c r="CY405" s="3046"/>
      <c r="CZ405" s="2098">
        <f t="shared" si="107"/>
        <v>0</v>
      </c>
      <c r="DA405" s="2098" t="str">
        <f t="shared" si="108"/>
        <v>-</v>
      </c>
      <c r="DB405" s="2098">
        <f t="shared" si="109"/>
        <v>0</v>
      </c>
      <c r="DC405" s="3023" t="str">
        <f t="shared" si="110"/>
        <v>-</v>
      </c>
      <c r="DD405" s="3024" t="str">
        <f t="shared" si="111"/>
        <v/>
      </c>
      <c r="DE405" s="3025" t="str">
        <f t="shared" si="112"/>
        <v>-</v>
      </c>
      <c r="DF405" s="3024" t="str">
        <f t="shared" si="103"/>
        <v>-</v>
      </c>
      <c r="DG405" s="2098">
        <f t="shared" si="113"/>
        <v>0</v>
      </c>
      <c r="DH405" s="2098">
        <f t="array" ref="DH405">MIN(SUMPRODUCT(I405:CR405,IF($I$25:$CR$25="yes",1,0),$I$23:$CR$23),H405)</f>
        <v>0</v>
      </c>
      <c r="DI405" s="3026"/>
      <c r="DJ405" s="3021"/>
      <c r="DN405" s="917" t="str">
        <f>IF(CS405="","-",SUMIF('Lighting Assumptions'!$G$3:$G$112,'6a - Lighting Counts'!G405,'Lighting Assumptions'!$J$3:$J$112))</f>
        <v>-</v>
      </c>
      <c r="DO405" s="917" t="str">
        <f t="shared" si="104"/>
        <v>-</v>
      </c>
      <c r="DP405" s="917" t="str">
        <f t="shared" si="105"/>
        <v>-</v>
      </c>
      <c r="DQ405" s="917" t="str">
        <f>IF(LEFT(CELLformula(DF405),3)&lt;&gt;"=IF",1,"")</f>
        <v/>
      </c>
      <c r="DR405" s="917" t="str">
        <f>IF(LEFT(CELLformula(DD405),3)&lt;&gt;"=IF",1,"")</f>
        <v/>
      </c>
      <c r="DS405" s="3048">
        <f t="shared" si="114"/>
        <v>0</v>
      </c>
      <c r="DT405" s="3047" t="str">
        <f t="shared" si="115"/>
        <v/>
      </c>
      <c r="DU405" s="3047" t="str">
        <f>IFERROR(IF(G405="","",SUMIF('Lighting Assumptions'!$G$3:$G$112,'6a - Lighting Counts'!G405,'Lighting Assumptions'!$H$3:$H$112)*IF(SI_IP_Units="SI",10.76,1)),"")</f>
        <v/>
      </c>
      <c r="DV405" s="3047" t="str">
        <f>IFERROR(IF($CX405="","",IF(SI_IP_Units="SI",10.76,1)*SUMIF(BAMCategories,$CY405,'Lighting Assumptions'!$E$3:E$35)),"")</f>
        <v/>
      </c>
      <c r="DW405" s="3047" t="str">
        <f>IFERROR(IF($CX405="","",IF(SI_IP_Units="SI",10.76,1)*SUMIF(BAMCategories,$CY405,IF(bpf_reference="ACP",'Lighting Assumptions 90.1-2010'!$E$3:E$35,'Lighting Assumptions 90.1-2016'!$E$3:E$35))),"")</f>
        <v/>
      </c>
      <c r="EW405" s="855"/>
      <c r="EX405" s="855"/>
      <c r="EY405" s="855"/>
      <c r="EZ405" s="855"/>
    </row>
    <row r="406" spans="4:156" x14ac:dyDescent="0.25">
      <c r="D406" s="3019"/>
      <c r="E406" s="3020"/>
      <c r="F406" s="3021">
        <f t="shared" si="102"/>
        <v>0</v>
      </c>
      <c r="G406" s="3059"/>
      <c r="H406" s="3060"/>
      <c r="I406" s="3061"/>
      <c r="J406" s="3061"/>
      <c r="K406" s="3061"/>
      <c r="L406" s="3061"/>
      <c r="M406" s="3061"/>
      <c r="N406" s="3061"/>
      <c r="O406" s="3061"/>
      <c r="P406" s="3061"/>
      <c r="Q406" s="3061"/>
      <c r="R406" s="3061"/>
      <c r="S406" s="3061"/>
      <c r="T406" s="3061"/>
      <c r="U406" s="3061"/>
      <c r="V406" s="3061"/>
      <c r="W406" s="3061"/>
      <c r="X406" s="3061"/>
      <c r="Y406" s="3061"/>
      <c r="Z406" s="3061"/>
      <c r="AA406" s="3061"/>
      <c r="AB406" s="3061"/>
      <c r="AC406" s="3061"/>
      <c r="AD406" s="3061"/>
      <c r="AE406" s="3061"/>
      <c r="AF406" s="3061"/>
      <c r="AG406" s="3061"/>
      <c r="AH406" s="3061"/>
      <c r="AI406" s="3061"/>
      <c r="AJ406" s="3061"/>
      <c r="AK406" s="3061"/>
      <c r="AL406" s="3061"/>
      <c r="AM406" s="3061"/>
      <c r="AN406" s="3061"/>
      <c r="AO406" s="3061"/>
      <c r="AP406" s="3061"/>
      <c r="AQ406" s="3061"/>
      <c r="AR406" s="3061"/>
      <c r="AS406" s="3061"/>
      <c r="AT406" s="3061"/>
      <c r="AU406" s="3061"/>
      <c r="AV406" s="3061"/>
      <c r="AW406" s="3061"/>
      <c r="AX406" s="3061"/>
      <c r="AY406" s="3061"/>
      <c r="AZ406" s="3061"/>
      <c r="BA406" s="3061"/>
      <c r="BB406" s="3061"/>
      <c r="BC406" s="3061"/>
      <c r="BD406" s="3061"/>
      <c r="BE406" s="3061"/>
      <c r="BF406" s="3061"/>
      <c r="BG406" s="3061"/>
      <c r="BH406" s="3061"/>
      <c r="BI406" s="3061"/>
      <c r="BJ406" s="3061"/>
      <c r="BK406" s="3061"/>
      <c r="BL406" s="3061"/>
      <c r="BM406" s="3061"/>
      <c r="BN406" s="3061"/>
      <c r="BO406" s="3061"/>
      <c r="BP406" s="3061"/>
      <c r="BQ406" s="3061"/>
      <c r="BR406" s="3061"/>
      <c r="BS406" s="3061"/>
      <c r="BT406" s="3061"/>
      <c r="BU406" s="3061"/>
      <c r="BV406" s="3061"/>
      <c r="BW406" s="3061"/>
      <c r="BX406" s="3061"/>
      <c r="BY406" s="3061"/>
      <c r="BZ406" s="3061"/>
      <c r="CA406" s="3061"/>
      <c r="CB406" s="3061"/>
      <c r="CC406" s="3061"/>
      <c r="CD406" s="3061"/>
      <c r="CE406" s="3061"/>
      <c r="CF406" s="3061"/>
      <c r="CG406" s="3061"/>
      <c r="CH406" s="3061"/>
      <c r="CI406" s="3061"/>
      <c r="CJ406" s="3061"/>
      <c r="CK406" s="3061"/>
      <c r="CL406" s="3061"/>
      <c r="CM406" s="3061"/>
      <c r="CN406" s="3061"/>
      <c r="CO406" s="3061"/>
      <c r="CP406" s="3061"/>
      <c r="CQ406" s="3061"/>
      <c r="CR406" s="3061"/>
      <c r="CS406" s="3062"/>
      <c r="CT406" s="3063"/>
      <c r="CU406" s="3064">
        <f t="shared" si="106"/>
        <v>1</v>
      </c>
      <c r="CV406" s="3022" t="str">
        <f>IF(OR(CT406="",CT406="None"),"-",DO406*CU406*SUMIF('Lighting Assumptions'!$G$3:$G$112,'6a - Lighting Counts'!G406,'Lighting Assumptions'!$J$3:$J$112))</f>
        <v>-</v>
      </c>
      <c r="CW406" s="3021"/>
      <c r="CX406" s="3021"/>
      <c r="CY406" s="3046"/>
      <c r="CZ406" s="2098">
        <f t="shared" si="107"/>
        <v>0</v>
      </c>
      <c r="DA406" s="2098" t="str">
        <f t="shared" si="108"/>
        <v>-</v>
      </c>
      <c r="DB406" s="2098">
        <f t="shared" si="109"/>
        <v>0</v>
      </c>
      <c r="DC406" s="3023" t="str">
        <f t="shared" si="110"/>
        <v>-</v>
      </c>
      <c r="DD406" s="3024" t="str">
        <f t="shared" si="111"/>
        <v/>
      </c>
      <c r="DE406" s="3025" t="str">
        <f t="shared" si="112"/>
        <v>-</v>
      </c>
      <c r="DF406" s="3024" t="str">
        <f t="shared" si="103"/>
        <v>-</v>
      </c>
      <c r="DG406" s="2098">
        <f t="shared" si="113"/>
        <v>0</v>
      </c>
      <c r="DH406" s="2098">
        <f t="array" ref="DH406">MIN(SUMPRODUCT(I406:CR406,IF($I$25:$CR$25="yes",1,0),$I$23:$CR$23),H406)</f>
        <v>0</v>
      </c>
      <c r="DI406" s="3026"/>
      <c r="DJ406" s="3021"/>
      <c r="DN406" s="917" t="str">
        <f>IF(CS406="","-",SUMIF('Lighting Assumptions'!$G$3:$G$112,'6a - Lighting Counts'!G406,'Lighting Assumptions'!$J$3:$J$112))</f>
        <v>-</v>
      </c>
      <c r="DO406" s="917" t="str">
        <f t="shared" si="104"/>
        <v>-</v>
      </c>
      <c r="DP406" s="917" t="str">
        <f t="shared" si="105"/>
        <v>-</v>
      </c>
      <c r="DQ406" s="917" t="str">
        <f>IF(LEFT(CELLformula(DF406),3)&lt;&gt;"=IF",1,"")</f>
        <v/>
      </c>
      <c r="DR406" s="917" t="str">
        <f>IF(LEFT(CELLformula(DD406),3)&lt;&gt;"=IF",1,"")</f>
        <v/>
      </c>
      <c r="DS406" s="3048">
        <f t="shared" si="114"/>
        <v>0</v>
      </c>
      <c r="DT406" s="3047" t="str">
        <f t="shared" si="115"/>
        <v/>
      </c>
      <c r="DU406" s="3047" t="str">
        <f>IFERROR(IF(G406="","",SUMIF('Lighting Assumptions'!$G$3:$G$112,'6a - Lighting Counts'!G406,'Lighting Assumptions'!$H$3:$H$112)*IF(SI_IP_Units="SI",10.76,1)),"")</f>
        <v/>
      </c>
      <c r="DV406" s="3047" t="str">
        <f>IFERROR(IF($CX406="","",IF(SI_IP_Units="SI",10.76,1)*SUMIF(BAMCategories,$CY406,'Lighting Assumptions'!$E$3:E$35)),"")</f>
        <v/>
      </c>
      <c r="DW406" s="3047" t="str">
        <f>IFERROR(IF($CX406="","",IF(SI_IP_Units="SI",10.76,1)*SUMIF(BAMCategories,$CY406,IF(bpf_reference="ACP",'Lighting Assumptions 90.1-2010'!$E$3:E$35,'Lighting Assumptions 90.1-2016'!$E$3:E$35))),"")</f>
        <v/>
      </c>
      <c r="EW406" s="855"/>
      <c r="EX406" s="855"/>
      <c r="EY406" s="855"/>
      <c r="EZ406" s="855"/>
    </row>
    <row r="407" spans="4:156" x14ac:dyDescent="0.25">
      <c r="D407" s="3019"/>
      <c r="E407" s="3020"/>
      <c r="F407" s="3021">
        <f t="shared" si="102"/>
        <v>0</v>
      </c>
      <c r="G407" s="3059"/>
      <c r="H407" s="3060"/>
      <c r="I407" s="3061"/>
      <c r="J407" s="3061"/>
      <c r="K407" s="3061"/>
      <c r="L407" s="3061"/>
      <c r="M407" s="3061"/>
      <c r="N407" s="3061"/>
      <c r="O407" s="3061"/>
      <c r="P407" s="3061"/>
      <c r="Q407" s="3061"/>
      <c r="R407" s="3061"/>
      <c r="S407" s="3061"/>
      <c r="T407" s="3061"/>
      <c r="U407" s="3061"/>
      <c r="V407" s="3061"/>
      <c r="W407" s="3061"/>
      <c r="X407" s="3061"/>
      <c r="Y407" s="3061"/>
      <c r="Z407" s="3061"/>
      <c r="AA407" s="3061"/>
      <c r="AB407" s="3061"/>
      <c r="AC407" s="3061"/>
      <c r="AD407" s="3061"/>
      <c r="AE407" s="3061"/>
      <c r="AF407" s="3061"/>
      <c r="AG407" s="3061"/>
      <c r="AH407" s="3061"/>
      <c r="AI407" s="3061"/>
      <c r="AJ407" s="3061"/>
      <c r="AK407" s="3061"/>
      <c r="AL407" s="3061"/>
      <c r="AM407" s="3061"/>
      <c r="AN407" s="3061"/>
      <c r="AO407" s="3061"/>
      <c r="AP407" s="3061"/>
      <c r="AQ407" s="3061"/>
      <c r="AR407" s="3061"/>
      <c r="AS407" s="3061"/>
      <c r="AT407" s="3061"/>
      <c r="AU407" s="3061"/>
      <c r="AV407" s="3061"/>
      <c r="AW407" s="3061"/>
      <c r="AX407" s="3061"/>
      <c r="AY407" s="3061"/>
      <c r="AZ407" s="3061"/>
      <c r="BA407" s="3061"/>
      <c r="BB407" s="3061"/>
      <c r="BC407" s="3061"/>
      <c r="BD407" s="3061"/>
      <c r="BE407" s="3061"/>
      <c r="BF407" s="3061"/>
      <c r="BG407" s="3061"/>
      <c r="BH407" s="3061"/>
      <c r="BI407" s="3061"/>
      <c r="BJ407" s="3061"/>
      <c r="BK407" s="3061"/>
      <c r="BL407" s="3061"/>
      <c r="BM407" s="3061"/>
      <c r="BN407" s="3061"/>
      <c r="BO407" s="3061"/>
      <c r="BP407" s="3061"/>
      <c r="BQ407" s="3061"/>
      <c r="BR407" s="3061"/>
      <c r="BS407" s="3061"/>
      <c r="BT407" s="3061"/>
      <c r="BU407" s="3061"/>
      <c r="BV407" s="3061"/>
      <c r="BW407" s="3061"/>
      <c r="BX407" s="3061"/>
      <c r="BY407" s="3061"/>
      <c r="BZ407" s="3061"/>
      <c r="CA407" s="3061"/>
      <c r="CB407" s="3061"/>
      <c r="CC407" s="3061"/>
      <c r="CD407" s="3061"/>
      <c r="CE407" s="3061"/>
      <c r="CF407" s="3061"/>
      <c r="CG407" s="3061"/>
      <c r="CH407" s="3061"/>
      <c r="CI407" s="3061"/>
      <c r="CJ407" s="3061"/>
      <c r="CK407" s="3061"/>
      <c r="CL407" s="3061"/>
      <c r="CM407" s="3061"/>
      <c r="CN407" s="3061"/>
      <c r="CO407" s="3061"/>
      <c r="CP407" s="3061"/>
      <c r="CQ407" s="3061"/>
      <c r="CR407" s="3061"/>
      <c r="CS407" s="3062"/>
      <c r="CT407" s="3063"/>
      <c r="CU407" s="3064">
        <f t="shared" si="106"/>
        <v>1</v>
      </c>
      <c r="CV407" s="3022" t="str">
        <f>IF(OR(CT407="",CT407="None"),"-",DO407*CU407*SUMIF('Lighting Assumptions'!$G$3:$G$112,'6a - Lighting Counts'!G407,'Lighting Assumptions'!$J$3:$J$112))</f>
        <v>-</v>
      </c>
      <c r="CW407" s="3021"/>
      <c r="CX407" s="3021"/>
      <c r="CY407" s="3046"/>
      <c r="CZ407" s="2098">
        <f t="shared" si="107"/>
        <v>0</v>
      </c>
      <c r="DA407" s="2098" t="str">
        <f t="shared" si="108"/>
        <v>-</v>
      </c>
      <c r="DB407" s="2098">
        <f t="shared" si="109"/>
        <v>0</v>
      </c>
      <c r="DC407" s="3023" t="str">
        <f t="shared" si="110"/>
        <v>-</v>
      </c>
      <c r="DD407" s="3024" t="str">
        <f t="shared" si="111"/>
        <v/>
      </c>
      <c r="DE407" s="3025" t="str">
        <f t="shared" si="112"/>
        <v>-</v>
      </c>
      <c r="DF407" s="3024" t="str">
        <f t="shared" si="103"/>
        <v>-</v>
      </c>
      <c r="DG407" s="2098">
        <f t="shared" si="113"/>
        <v>0</v>
      </c>
      <c r="DH407" s="2098">
        <f t="array" ref="DH407">MIN(SUMPRODUCT(I407:CR407,IF($I$25:$CR$25="yes",1,0),$I$23:$CR$23),H407)</f>
        <v>0</v>
      </c>
      <c r="DI407" s="3026"/>
      <c r="DJ407" s="3021"/>
      <c r="DN407" s="917" t="str">
        <f>IF(CS407="","-",SUMIF('Lighting Assumptions'!$G$3:$G$112,'6a - Lighting Counts'!G407,'Lighting Assumptions'!$J$3:$J$112))</f>
        <v>-</v>
      </c>
      <c r="DO407" s="917" t="str">
        <f t="shared" si="104"/>
        <v>-</v>
      </c>
      <c r="DP407" s="917" t="str">
        <f t="shared" si="105"/>
        <v>-</v>
      </c>
      <c r="DQ407" s="917" t="str">
        <f>IF(LEFT(CELLformula(DF407),3)&lt;&gt;"=IF",1,"")</f>
        <v/>
      </c>
      <c r="DR407" s="917" t="str">
        <f>IF(LEFT(CELLformula(DD407),3)&lt;&gt;"=IF",1,"")</f>
        <v/>
      </c>
      <c r="DS407" s="3048">
        <f t="shared" si="114"/>
        <v>0</v>
      </c>
      <c r="DT407" s="3047" t="str">
        <f t="shared" si="115"/>
        <v/>
      </c>
      <c r="DU407" s="3047" t="str">
        <f>IFERROR(IF(G407="","",SUMIF('Lighting Assumptions'!$G$3:$G$112,'6a - Lighting Counts'!G407,'Lighting Assumptions'!$H$3:$H$112)*IF(SI_IP_Units="SI",10.76,1)),"")</f>
        <v/>
      </c>
      <c r="DV407" s="3047" t="str">
        <f>IFERROR(IF($CX407="","",IF(SI_IP_Units="SI",10.76,1)*SUMIF(BAMCategories,$CY407,'Lighting Assumptions'!$E$3:E$35)),"")</f>
        <v/>
      </c>
      <c r="DW407" s="3047" t="str">
        <f>IFERROR(IF($CX407="","",IF(SI_IP_Units="SI",10.76,1)*SUMIF(BAMCategories,$CY407,IF(bpf_reference="ACP",'Lighting Assumptions 90.1-2010'!$E$3:E$35,'Lighting Assumptions 90.1-2016'!$E$3:E$35))),"")</f>
        <v/>
      </c>
      <c r="EW407" s="855"/>
      <c r="EX407" s="855"/>
      <c r="EY407" s="855"/>
      <c r="EZ407" s="855"/>
    </row>
    <row r="408" spans="4:156" x14ac:dyDescent="0.25">
      <c r="D408" s="3019"/>
      <c r="E408" s="3020"/>
      <c r="F408" s="3021">
        <f t="shared" si="102"/>
        <v>0</v>
      </c>
      <c r="G408" s="3059"/>
      <c r="H408" s="3060"/>
      <c r="I408" s="3061"/>
      <c r="J408" s="3061"/>
      <c r="K408" s="3061"/>
      <c r="L408" s="3061"/>
      <c r="M408" s="3061"/>
      <c r="N408" s="3061"/>
      <c r="O408" s="3061"/>
      <c r="P408" s="3061"/>
      <c r="Q408" s="3061"/>
      <c r="R408" s="3061"/>
      <c r="S408" s="3061"/>
      <c r="T408" s="3061"/>
      <c r="U408" s="3061"/>
      <c r="V408" s="3061"/>
      <c r="W408" s="3061"/>
      <c r="X408" s="3061"/>
      <c r="Y408" s="3061"/>
      <c r="Z408" s="3061"/>
      <c r="AA408" s="3061"/>
      <c r="AB408" s="3061"/>
      <c r="AC408" s="3061"/>
      <c r="AD408" s="3061"/>
      <c r="AE408" s="3061"/>
      <c r="AF408" s="3061"/>
      <c r="AG408" s="3061"/>
      <c r="AH408" s="3061"/>
      <c r="AI408" s="3061"/>
      <c r="AJ408" s="3061"/>
      <c r="AK408" s="3061"/>
      <c r="AL408" s="3061"/>
      <c r="AM408" s="3061"/>
      <c r="AN408" s="3061"/>
      <c r="AO408" s="3061"/>
      <c r="AP408" s="3061"/>
      <c r="AQ408" s="3061"/>
      <c r="AR408" s="3061"/>
      <c r="AS408" s="3061"/>
      <c r="AT408" s="3061"/>
      <c r="AU408" s="3061"/>
      <c r="AV408" s="3061"/>
      <c r="AW408" s="3061"/>
      <c r="AX408" s="3061"/>
      <c r="AY408" s="3061"/>
      <c r="AZ408" s="3061"/>
      <c r="BA408" s="3061"/>
      <c r="BB408" s="3061"/>
      <c r="BC408" s="3061"/>
      <c r="BD408" s="3061"/>
      <c r="BE408" s="3061"/>
      <c r="BF408" s="3061"/>
      <c r="BG408" s="3061"/>
      <c r="BH408" s="3061"/>
      <c r="BI408" s="3061"/>
      <c r="BJ408" s="3061"/>
      <c r="BK408" s="3061"/>
      <c r="BL408" s="3061"/>
      <c r="BM408" s="3061"/>
      <c r="BN408" s="3061"/>
      <c r="BO408" s="3061"/>
      <c r="BP408" s="3061"/>
      <c r="BQ408" s="3061"/>
      <c r="BR408" s="3061"/>
      <c r="BS408" s="3061"/>
      <c r="BT408" s="3061"/>
      <c r="BU408" s="3061"/>
      <c r="BV408" s="3061"/>
      <c r="BW408" s="3061"/>
      <c r="BX408" s="3061"/>
      <c r="BY408" s="3061"/>
      <c r="BZ408" s="3061"/>
      <c r="CA408" s="3061"/>
      <c r="CB408" s="3061"/>
      <c r="CC408" s="3061"/>
      <c r="CD408" s="3061"/>
      <c r="CE408" s="3061"/>
      <c r="CF408" s="3061"/>
      <c r="CG408" s="3061"/>
      <c r="CH408" s="3061"/>
      <c r="CI408" s="3061"/>
      <c r="CJ408" s="3061"/>
      <c r="CK408" s="3061"/>
      <c r="CL408" s="3061"/>
      <c r="CM408" s="3061"/>
      <c r="CN408" s="3061"/>
      <c r="CO408" s="3061"/>
      <c r="CP408" s="3061"/>
      <c r="CQ408" s="3061"/>
      <c r="CR408" s="3061"/>
      <c r="CS408" s="3062"/>
      <c r="CT408" s="3063"/>
      <c r="CU408" s="3064">
        <f t="shared" si="106"/>
        <v>1</v>
      </c>
      <c r="CV408" s="3022" t="str">
        <f>IF(OR(CT408="",CT408="None"),"-",DO408*CU408*SUMIF('Lighting Assumptions'!$G$3:$G$112,'6a - Lighting Counts'!G408,'Lighting Assumptions'!$J$3:$J$112))</f>
        <v>-</v>
      </c>
      <c r="CW408" s="3021"/>
      <c r="CX408" s="3021"/>
      <c r="CY408" s="3046"/>
      <c r="CZ408" s="2098">
        <f t="shared" si="107"/>
        <v>0</v>
      </c>
      <c r="DA408" s="2098" t="str">
        <f t="shared" si="108"/>
        <v>-</v>
      </c>
      <c r="DB408" s="2098">
        <f t="shared" si="109"/>
        <v>0</v>
      </c>
      <c r="DC408" s="3023" t="str">
        <f t="shared" si="110"/>
        <v>-</v>
      </c>
      <c r="DD408" s="3024" t="str">
        <f t="shared" si="111"/>
        <v/>
      </c>
      <c r="DE408" s="3025" t="str">
        <f t="shared" si="112"/>
        <v>-</v>
      </c>
      <c r="DF408" s="3024" t="str">
        <f t="shared" si="103"/>
        <v>-</v>
      </c>
      <c r="DG408" s="2098">
        <f t="shared" si="113"/>
        <v>0</v>
      </c>
      <c r="DH408" s="2098">
        <f t="array" ref="DH408">MIN(SUMPRODUCT(I408:CR408,IF($I$25:$CR$25="yes",1,0),$I$23:$CR$23),H408)</f>
        <v>0</v>
      </c>
      <c r="DI408" s="3026"/>
      <c r="DJ408" s="3021"/>
      <c r="DN408" s="917" t="str">
        <f>IF(CS408="","-",SUMIF('Lighting Assumptions'!$G$3:$G$112,'6a - Lighting Counts'!G408,'Lighting Assumptions'!$J$3:$J$112))</f>
        <v>-</v>
      </c>
      <c r="DO408" s="917" t="str">
        <f t="shared" si="104"/>
        <v>-</v>
      </c>
      <c r="DP408" s="917" t="str">
        <f t="shared" si="105"/>
        <v>-</v>
      </c>
      <c r="DQ408" s="917" t="str">
        <f>IF(LEFT(CELLformula(DF408),3)&lt;&gt;"=IF",1,"")</f>
        <v/>
      </c>
      <c r="DR408" s="917" t="str">
        <f>IF(LEFT(CELLformula(DD408),3)&lt;&gt;"=IF",1,"")</f>
        <v/>
      </c>
      <c r="DS408" s="3048">
        <f t="shared" si="114"/>
        <v>0</v>
      </c>
      <c r="DT408" s="3047" t="str">
        <f t="shared" si="115"/>
        <v/>
      </c>
      <c r="DU408" s="3047" t="str">
        <f>IFERROR(IF(G408="","",SUMIF('Lighting Assumptions'!$G$3:$G$112,'6a - Lighting Counts'!G408,'Lighting Assumptions'!$H$3:$H$112)*IF(SI_IP_Units="SI",10.76,1)),"")</f>
        <v/>
      </c>
      <c r="DV408" s="3047" t="str">
        <f>IFERROR(IF($CX408="","",IF(SI_IP_Units="SI",10.76,1)*SUMIF(BAMCategories,$CY408,'Lighting Assumptions'!$E$3:E$35)),"")</f>
        <v/>
      </c>
      <c r="DW408" s="3047" t="str">
        <f>IFERROR(IF($CX408="","",IF(SI_IP_Units="SI",10.76,1)*SUMIF(BAMCategories,$CY408,IF(bpf_reference="ACP",'Lighting Assumptions 90.1-2010'!$E$3:E$35,'Lighting Assumptions 90.1-2016'!$E$3:E$35))),"")</f>
        <v/>
      </c>
      <c r="EW408" s="855"/>
      <c r="EX408" s="855"/>
      <c r="EY408" s="855"/>
      <c r="EZ408" s="855"/>
    </row>
    <row r="409" spans="4:156" x14ac:dyDescent="0.25">
      <c r="D409" s="3019"/>
      <c r="E409" s="3020"/>
      <c r="F409" s="3021">
        <f t="shared" si="102"/>
        <v>0</v>
      </c>
      <c r="G409" s="3059"/>
      <c r="H409" s="3060"/>
      <c r="I409" s="3061"/>
      <c r="J409" s="3061"/>
      <c r="K409" s="3061"/>
      <c r="L409" s="3061"/>
      <c r="M409" s="3061"/>
      <c r="N409" s="3061"/>
      <c r="O409" s="3061"/>
      <c r="P409" s="3061"/>
      <c r="Q409" s="3061"/>
      <c r="R409" s="3061"/>
      <c r="S409" s="3061"/>
      <c r="T409" s="3061"/>
      <c r="U409" s="3061"/>
      <c r="V409" s="3061"/>
      <c r="W409" s="3061"/>
      <c r="X409" s="3061"/>
      <c r="Y409" s="3061"/>
      <c r="Z409" s="3061"/>
      <c r="AA409" s="3061"/>
      <c r="AB409" s="3061"/>
      <c r="AC409" s="3061"/>
      <c r="AD409" s="3061"/>
      <c r="AE409" s="3061"/>
      <c r="AF409" s="3061"/>
      <c r="AG409" s="3061"/>
      <c r="AH409" s="3061"/>
      <c r="AI409" s="3061"/>
      <c r="AJ409" s="3061"/>
      <c r="AK409" s="3061"/>
      <c r="AL409" s="3061"/>
      <c r="AM409" s="3061"/>
      <c r="AN409" s="3061"/>
      <c r="AO409" s="3061"/>
      <c r="AP409" s="3061"/>
      <c r="AQ409" s="3061"/>
      <c r="AR409" s="3061"/>
      <c r="AS409" s="3061"/>
      <c r="AT409" s="3061"/>
      <c r="AU409" s="3061"/>
      <c r="AV409" s="3061"/>
      <c r="AW409" s="3061"/>
      <c r="AX409" s="3061"/>
      <c r="AY409" s="3061"/>
      <c r="AZ409" s="3061"/>
      <c r="BA409" s="3061"/>
      <c r="BB409" s="3061"/>
      <c r="BC409" s="3061"/>
      <c r="BD409" s="3061"/>
      <c r="BE409" s="3061"/>
      <c r="BF409" s="3061"/>
      <c r="BG409" s="3061"/>
      <c r="BH409" s="3061"/>
      <c r="BI409" s="3061"/>
      <c r="BJ409" s="3061"/>
      <c r="BK409" s="3061"/>
      <c r="BL409" s="3061"/>
      <c r="BM409" s="3061"/>
      <c r="BN409" s="3061"/>
      <c r="BO409" s="3061"/>
      <c r="BP409" s="3061"/>
      <c r="BQ409" s="3061"/>
      <c r="BR409" s="3061"/>
      <c r="BS409" s="3061"/>
      <c r="BT409" s="3061"/>
      <c r="BU409" s="3061"/>
      <c r="BV409" s="3061"/>
      <c r="BW409" s="3061"/>
      <c r="BX409" s="3061"/>
      <c r="BY409" s="3061"/>
      <c r="BZ409" s="3061"/>
      <c r="CA409" s="3061"/>
      <c r="CB409" s="3061"/>
      <c r="CC409" s="3061"/>
      <c r="CD409" s="3061"/>
      <c r="CE409" s="3061"/>
      <c r="CF409" s="3061"/>
      <c r="CG409" s="3061"/>
      <c r="CH409" s="3061"/>
      <c r="CI409" s="3061"/>
      <c r="CJ409" s="3061"/>
      <c r="CK409" s="3061"/>
      <c r="CL409" s="3061"/>
      <c r="CM409" s="3061"/>
      <c r="CN409" s="3061"/>
      <c r="CO409" s="3061"/>
      <c r="CP409" s="3061"/>
      <c r="CQ409" s="3061"/>
      <c r="CR409" s="3061"/>
      <c r="CS409" s="3062"/>
      <c r="CT409" s="3063"/>
      <c r="CU409" s="3064">
        <f t="shared" si="106"/>
        <v>1</v>
      </c>
      <c r="CV409" s="3022" t="str">
        <f>IF(OR(CT409="",CT409="None"),"-",DO409*CU409*SUMIF('Lighting Assumptions'!$G$3:$G$112,'6a - Lighting Counts'!G409,'Lighting Assumptions'!$J$3:$J$112))</f>
        <v>-</v>
      </c>
      <c r="CW409" s="3021"/>
      <c r="CX409" s="3021"/>
      <c r="CY409" s="3046"/>
      <c r="CZ409" s="2098">
        <f t="shared" si="107"/>
        <v>0</v>
      </c>
      <c r="DA409" s="2098" t="str">
        <f t="shared" si="108"/>
        <v>-</v>
      </c>
      <c r="DB409" s="2098">
        <f t="shared" si="109"/>
        <v>0</v>
      </c>
      <c r="DC409" s="3023" t="str">
        <f t="shared" si="110"/>
        <v>-</v>
      </c>
      <c r="DD409" s="3024" t="str">
        <f t="shared" si="111"/>
        <v/>
      </c>
      <c r="DE409" s="3025" t="str">
        <f t="shared" si="112"/>
        <v>-</v>
      </c>
      <c r="DF409" s="3024" t="str">
        <f t="shared" si="103"/>
        <v>-</v>
      </c>
      <c r="DG409" s="2098">
        <f t="shared" si="113"/>
        <v>0</v>
      </c>
      <c r="DH409" s="2098">
        <f t="array" ref="DH409">MIN(SUMPRODUCT(I409:CR409,IF($I$25:$CR$25="yes",1,0),$I$23:$CR$23),H409)</f>
        <v>0</v>
      </c>
      <c r="DI409" s="3026"/>
      <c r="DJ409" s="3021"/>
      <c r="DN409" s="917" t="str">
        <f>IF(CS409="","-",SUMIF('Lighting Assumptions'!$G$3:$G$112,'6a - Lighting Counts'!G409,'Lighting Assumptions'!$J$3:$J$112))</f>
        <v>-</v>
      </c>
      <c r="DO409" s="917" t="str">
        <f t="shared" si="104"/>
        <v>-</v>
      </c>
      <c r="DP409" s="917" t="str">
        <f t="shared" si="105"/>
        <v>-</v>
      </c>
      <c r="DQ409" s="917" t="str">
        <f>IF(LEFT(CELLformula(DF409),3)&lt;&gt;"=IF",1,"")</f>
        <v/>
      </c>
      <c r="DR409" s="917" t="str">
        <f>IF(LEFT(CELLformula(DD409),3)&lt;&gt;"=IF",1,"")</f>
        <v/>
      </c>
      <c r="DS409" s="3048">
        <f t="shared" si="114"/>
        <v>0</v>
      </c>
      <c r="DT409" s="3047" t="str">
        <f t="shared" si="115"/>
        <v/>
      </c>
      <c r="DU409" s="3047" t="str">
        <f>IFERROR(IF(G409="","",SUMIF('Lighting Assumptions'!$G$3:$G$112,'6a - Lighting Counts'!G409,'Lighting Assumptions'!$H$3:$H$112)*IF(SI_IP_Units="SI",10.76,1)),"")</f>
        <v/>
      </c>
      <c r="DV409" s="3047" t="str">
        <f>IFERROR(IF($CX409="","",IF(SI_IP_Units="SI",10.76,1)*SUMIF(BAMCategories,$CY409,'Lighting Assumptions'!$E$3:E$35)),"")</f>
        <v/>
      </c>
      <c r="DW409" s="3047" t="str">
        <f>IFERROR(IF($CX409="","",IF(SI_IP_Units="SI",10.76,1)*SUMIF(BAMCategories,$CY409,IF(bpf_reference="ACP",'Lighting Assumptions 90.1-2010'!$E$3:E$35,'Lighting Assumptions 90.1-2016'!$E$3:E$35))),"")</f>
        <v/>
      </c>
      <c r="EW409" s="855"/>
      <c r="EX409" s="855"/>
      <c r="EY409" s="855"/>
      <c r="EZ409" s="855"/>
    </row>
    <row r="410" spans="4:156" x14ac:dyDescent="0.25">
      <c r="D410" s="3019"/>
      <c r="E410" s="3020"/>
      <c r="F410" s="3021">
        <f t="shared" si="102"/>
        <v>0</v>
      </c>
      <c r="G410" s="3059"/>
      <c r="H410" s="3060"/>
      <c r="I410" s="3061"/>
      <c r="J410" s="3061"/>
      <c r="K410" s="3061"/>
      <c r="L410" s="3061"/>
      <c r="M410" s="3061"/>
      <c r="N410" s="3061"/>
      <c r="O410" s="3061"/>
      <c r="P410" s="3061"/>
      <c r="Q410" s="3061"/>
      <c r="R410" s="3061"/>
      <c r="S410" s="3061"/>
      <c r="T410" s="3061"/>
      <c r="U410" s="3061"/>
      <c r="V410" s="3061"/>
      <c r="W410" s="3061"/>
      <c r="X410" s="3061"/>
      <c r="Y410" s="3061"/>
      <c r="Z410" s="3061"/>
      <c r="AA410" s="3061"/>
      <c r="AB410" s="3061"/>
      <c r="AC410" s="3061"/>
      <c r="AD410" s="3061"/>
      <c r="AE410" s="3061"/>
      <c r="AF410" s="3061"/>
      <c r="AG410" s="3061"/>
      <c r="AH410" s="3061"/>
      <c r="AI410" s="3061"/>
      <c r="AJ410" s="3061"/>
      <c r="AK410" s="3061"/>
      <c r="AL410" s="3061"/>
      <c r="AM410" s="3061"/>
      <c r="AN410" s="3061"/>
      <c r="AO410" s="3061"/>
      <c r="AP410" s="3061"/>
      <c r="AQ410" s="3061"/>
      <c r="AR410" s="3061"/>
      <c r="AS410" s="3061"/>
      <c r="AT410" s="3061"/>
      <c r="AU410" s="3061"/>
      <c r="AV410" s="3061"/>
      <c r="AW410" s="3061"/>
      <c r="AX410" s="3061"/>
      <c r="AY410" s="3061"/>
      <c r="AZ410" s="3061"/>
      <c r="BA410" s="3061"/>
      <c r="BB410" s="3061"/>
      <c r="BC410" s="3061"/>
      <c r="BD410" s="3061"/>
      <c r="BE410" s="3061"/>
      <c r="BF410" s="3061"/>
      <c r="BG410" s="3061"/>
      <c r="BH410" s="3061"/>
      <c r="BI410" s="3061"/>
      <c r="BJ410" s="3061"/>
      <c r="BK410" s="3061"/>
      <c r="BL410" s="3061"/>
      <c r="BM410" s="3061"/>
      <c r="BN410" s="3061"/>
      <c r="BO410" s="3061"/>
      <c r="BP410" s="3061"/>
      <c r="BQ410" s="3061"/>
      <c r="BR410" s="3061"/>
      <c r="BS410" s="3061"/>
      <c r="BT410" s="3061"/>
      <c r="BU410" s="3061"/>
      <c r="BV410" s="3061"/>
      <c r="BW410" s="3061"/>
      <c r="BX410" s="3061"/>
      <c r="BY410" s="3061"/>
      <c r="BZ410" s="3061"/>
      <c r="CA410" s="3061"/>
      <c r="CB410" s="3061"/>
      <c r="CC410" s="3061"/>
      <c r="CD410" s="3061"/>
      <c r="CE410" s="3061"/>
      <c r="CF410" s="3061"/>
      <c r="CG410" s="3061"/>
      <c r="CH410" s="3061"/>
      <c r="CI410" s="3061"/>
      <c r="CJ410" s="3061"/>
      <c r="CK410" s="3061"/>
      <c r="CL410" s="3061"/>
      <c r="CM410" s="3061"/>
      <c r="CN410" s="3061"/>
      <c r="CO410" s="3061"/>
      <c r="CP410" s="3061"/>
      <c r="CQ410" s="3061"/>
      <c r="CR410" s="3061"/>
      <c r="CS410" s="3062"/>
      <c r="CT410" s="3063"/>
      <c r="CU410" s="3064">
        <f t="shared" si="106"/>
        <v>1</v>
      </c>
      <c r="CV410" s="3022" t="str">
        <f>IF(OR(CT410="",CT410="None"),"-",DO410*CU410*SUMIF('Lighting Assumptions'!$G$3:$G$112,'6a - Lighting Counts'!G410,'Lighting Assumptions'!$J$3:$J$112))</f>
        <v>-</v>
      </c>
      <c r="CW410" s="3021"/>
      <c r="CX410" s="3021"/>
      <c r="CY410" s="3046"/>
      <c r="CZ410" s="2098">
        <f t="shared" si="107"/>
        <v>0</v>
      </c>
      <c r="DA410" s="2098" t="str">
        <f t="shared" si="108"/>
        <v>-</v>
      </c>
      <c r="DB410" s="2098">
        <f t="shared" si="109"/>
        <v>0</v>
      </c>
      <c r="DC410" s="3023" t="str">
        <f t="shared" si="110"/>
        <v>-</v>
      </c>
      <c r="DD410" s="3024" t="str">
        <f t="shared" si="111"/>
        <v/>
      </c>
      <c r="DE410" s="3025" t="str">
        <f t="shared" si="112"/>
        <v>-</v>
      </c>
      <c r="DF410" s="3024" t="str">
        <f t="shared" si="103"/>
        <v>-</v>
      </c>
      <c r="DG410" s="2098">
        <f t="shared" si="113"/>
        <v>0</v>
      </c>
      <c r="DH410" s="2098">
        <f t="array" ref="DH410">MIN(SUMPRODUCT(I410:CR410,IF($I$25:$CR$25="yes",1,0),$I$23:$CR$23),H410)</f>
        <v>0</v>
      </c>
      <c r="DI410" s="3026"/>
      <c r="DJ410" s="3021"/>
      <c r="DN410" s="917" t="str">
        <f>IF(CS410="","-",SUMIF('Lighting Assumptions'!$G$3:$G$112,'6a - Lighting Counts'!G410,'Lighting Assumptions'!$J$3:$J$112))</f>
        <v>-</v>
      </c>
      <c r="DO410" s="917" t="str">
        <f t="shared" si="104"/>
        <v>-</v>
      </c>
      <c r="DP410" s="917" t="str">
        <f t="shared" si="105"/>
        <v>-</v>
      </c>
      <c r="DQ410" s="917" t="str">
        <f>IF(LEFT(CELLformula(DF410),3)&lt;&gt;"=IF",1,"")</f>
        <v/>
      </c>
      <c r="DR410" s="917" t="str">
        <f>IF(LEFT(CELLformula(DD410),3)&lt;&gt;"=IF",1,"")</f>
        <v/>
      </c>
      <c r="DS410" s="3048">
        <f t="shared" si="114"/>
        <v>0</v>
      </c>
      <c r="DT410" s="3047" t="str">
        <f t="shared" si="115"/>
        <v/>
      </c>
      <c r="DU410" s="3047" t="str">
        <f>IFERROR(IF(G410="","",SUMIF('Lighting Assumptions'!$G$3:$G$112,'6a - Lighting Counts'!G410,'Lighting Assumptions'!$H$3:$H$112)*IF(SI_IP_Units="SI",10.76,1)),"")</f>
        <v/>
      </c>
      <c r="DV410" s="3047" t="str">
        <f>IFERROR(IF($CX410="","",IF(SI_IP_Units="SI",10.76,1)*SUMIF(BAMCategories,$CY410,'Lighting Assumptions'!$E$3:E$35)),"")</f>
        <v/>
      </c>
      <c r="DW410" s="3047" t="str">
        <f>IFERROR(IF($CX410="","",IF(SI_IP_Units="SI",10.76,1)*SUMIF(BAMCategories,$CY410,IF(bpf_reference="ACP",'Lighting Assumptions 90.1-2010'!$E$3:E$35,'Lighting Assumptions 90.1-2016'!$E$3:E$35))),"")</f>
        <v/>
      </c>
      <c r="EW410" s="855"/>
      <c r="EX410" s="855"/>
      <c r="EY410" s="855"/>
      <c r="EZ410" s="855"/>
    </row>
    <row r="411" spans="4:156" x14ac:dyDescent="0.25">
      <c r="D411" s="3019"/>
      <c r="E411" s="3020"/>
      <c r="F411" s="3021">
        <f t="shared" si="102"/>
        <v>0</v>
      </c>
      <c r="G411" s="3059"/>
      <c r="H411" s="3060"/>
      <c r="I411" s="3061"/>
      <c r="J411" s="3061"/>
      <c r="K411" s="3061"/>
      <c r="L411" s="3061"/>
      <c r="M411" s="3061"/>
      <c r="N411" s="3061"/>
      <c r="O411" s="3061"/>
      <c r="P411" s="3061"/>
      <c r="Q411" s="3061"/>
      <c r="R411" s="3061"/>
      <c r="S411" s="3061"/>
      <c r="T411" s="3061"/>
      <c r="U411" s="3061"/>
      <c r="V411" s="3061"/>
      <c r="W411" s="3061"/>
      <c r="X411" s="3061"/>
      <c r="Y411" s="3061"/>
      <c r="Z411" s="3061"/>
      <c r="AA411" s="3061"/>
      <c r="AB411" s="3061"/>
      <c r="AC411" s="3061"/>
      <c r="AD411" s="3061"/>
      <c r="AE411" s="3061"/>
      <c r="AF411" s="3061"/>
      <c r="AG411" s="3061"/>
      <c r="AH411" s="3061"/>
      <c r="AI411" s="3061"/>
      <c r="AJ411" s="3061"/>
      <c r="AK411" s="3061"/>
      <c r="AL411" s="3061"/>
      <c r="AM411" s="3061"/>
      <c r="AN411" s="3061"/>
      <c r="AO411" s="3061"/>
      <c r="AP411" s="3061"/>
      <c r="AQ411" s="3061"/>
      <c r="AR411" s="3061"/>
      <c r="AS411" s="3061"/>
      <c r="AT411" s="3061"/>
      <c r="AU411" s="3061"/>
      <c r="AV411" s="3061"/>
      <c r="AW411" s="3061"/>
      <c r="AX411" s="3061"/>
      <c r="AY411" s="3061"/>
      <c r="AZ411" s="3061"/>
      <c r="BA411" s="3061"/>
      <c r="BB411" s="3061"/>
      <c r="BC411" s="3061"/>
      <c r="BD411" s="3061"/>
      <c r="BE411" s="3061"/>
      <c r="BF411" s="3061"/>
      <c r="BG411" s="3061"/>
      <c r="BH411" s="3061"/>
      <c r="BI411" s="3061"/>
      <c r="BJ411" s="3061"/>
      <c r="BK411" s="3061"/>
      <c r="BL411" s="3061"/>
      <c r="BM411" s="3061"/>
      <c r="BN411" s="3061"/>
      <c r="BO411" s="3061"/>
      <c r="BP411" s="3061"/>
      <c r="BQ411" s="3061"/>
      <c r="BR411" s="3061"/>
      <c r="BS411" s="3061"/>
      <c r="BT411" s="3061"/>
      <c r="BU411" s="3061"/>
      <c r="BV411" s="3061"/>
      <c r="BW411" s="3061"/>
      <c r="BX411" s="3061"/>
      <c r="BY411" s="3061"/>
      <c r="BZ411" s="3061"/>
      <c r="CA411" s="3061"/>
      <c r="CB411" s="3061"/>
      <c r="CC411" s="3061"/>
      <c r="CD411" s="3061"/>
      <c r="CE411" s="3061"/>
      <c r="CF411" s="3061"/>
      <c r="CG411" s="3061"/>
      <c r="CH411" s="3061"/>
      <c r="CI411" s="3061"/>
      <c r="CJ411" s="3061"/>
      <c r="CK411" s="3061"/>
      <c r="CL411" s="3061"/>
      <c r="CM411" s="3061"/>
      <c r="CN411" s="3061"/>
      <c r="CO411" s="3061"/>
      <c r="CP411" s="3061"/>
      <c r="CQ411" s="3061"/>
      <c r="CR411" s="3061"/>
      <c r="CS411" s="3062"/>
      <c r="CT411" s="3063"/>
      <c r="CU411" s="3064">
        <f t="shared" si="106"/>
        <v>1</v>
      </c>
      <c r="CV411" s="3022" t="str">
        <f>IF(OR(CT411="",CT411="None"),"-",DO411*CU411*SUMIF('Lighting Assumptions'!$G$3:$G$112,'6a - Lighting Counts'!G411,'Lighting Assumptions'!$J$3:$J$112))</f>
        <v>-</v>
      </c>
      <c r="CW411" s="3021"/>
      <c r="CX411" s="3021"/>
      <c r="CY411" s="3046"/>
      <c r="CZ411" s="2098">
        <f t="shared" si="107"/>
        <v>0</v>
      </c>
      <c r="DA411" s="2098" t="str">
        <f t="shared" si="108"/>
        <v>-</v>
      </c>
      <c r="DB411" s="2098">
        <f t="shared" si="109"/>
        <v>0</v>
      </c>
      <c r="DC411" s="3023" t="str">
        <f t="shared" si="110"/>
        <v>-</v>
      </c>
      <c r="DD411" s="3024" t="str">
        <f t="shared" si="111"/>
        <v/>
      </c>
      <c r="DE411" s="3025" t="str">
        <f t="shared" si="112"/>
        <v>-</v>
      </c>
      <c r="DF411" s="3024" t="str">
        <f t="shared" si="103"/>
        <v>-</v>
      </c>
      <c r="DG411" s="2098">
        <f t="shared" si="113"/>
        <v>0</v>
      </c>
      <c r="DH411" s="2098">
        <f t="array" ref="DH411">MIN(SUMPRODUCT(I411:CR411,IF($I$25:$CR$25="yes",1,0),$I$23:$CR$23),H411)</f>
        <v>0</v>
      </c>
      <c r="DI411" s="3026"/>
      <c r="DJ411" s="3021"/>
      <c r="DN411" s="917" t="str">
        <f>IF(CS411="","-",SUMIF('Lighting Assumptions'!$G$3:$G$112,'6a - Lighting Counts'!G411,'Lighting Assumptions'!$J$3:$J$112))</f>
        <v>-</v>
      </c>
      <c r="DO411" s="917" t="str">
        <f t="shared" si="104"/>
        <v>-</v>
      </c>
      <c r="DP411" s="917" t="str">
        <f t="shared" si="105"/>
        <v>-</v>
      </c>
      <c r="DQ411" s="917" t="str">
        <f>IF(LEFT(CELLformula(DF411),3)&lt;&gt;"=IF",1,"")</f>
        <v/>
      </c>
      <c r="DR411" s="917" t="str">
        <f>IF(LEFT(CELLformula(DD411),3)&lt;&gt;"=IF",1,"")</f>
        <v/>
      </c>
      <c r="DS411" s="3048">
        <f t="shared" si="114"/>
        <v>0</v>
      </c>
      <c r="DT411" s="3047" t="str">
        <f t="shared" si="115"/>
        <v/>
      </c>
      <c r="DU411" s="3047" t="str">
        <f>IFERROR(IF(G411="","",SUMIF('Lighting Assumptions'!$G$3:$G$112,'6a - Lighting Counts'!G411,'Lighting Assumptions'!$H$3:$H$112)*IF(SI_IP_Units="SI",10.76,1)),"")</f>
        <v/>
      </c>
      <c r="DV411" s="3047" t="str">
        <f>IFERROR(IF($CX411="","",IF(SI_IP_Units="SI",10.76,1)*SUMIF(BAMCategories,$CY411,'Lighting Assumptions'!$E$3:E$35)),"")</f>
        <v/>
      </c>
      <c r="DW411" s="3047" t="str">
        <f>IFERROR(IF($CX411="","",IF(SI_IP_Units="SI",10.76,1)*SUMIF(BAMCategories,$CY411,IF(bpf_reference="ACP",'Lighting Assumptions 90.1-2010'!$E$3:E$35,'Lighting Assumptions 90.1-2016'!$E$3:E$35))),"")</f>
        <v/>
      </c>
      <c r="EW411" s="855"/>
      <c r="EX411" s="855"/>
      <c r="EY411" s="855"/>
      <c r="EZ411" s="855"/>
    </row>
    <row r="412" spans="4:156" x14ac:dyDescent="0.25">
      <c r="D412" s="3019"/>
      <c r="E412" s="3020"/>
      <c r="F412" s="3021">
        <f t="shared" si="102"/>
        <v>0</v>
      </c>
      <c r="G412" s="3059"/>
      <c r="H412" s="3060"/>
      <c r="I412" s="3061"/>
      <c r="J412" s="3061"/>
      <c r="K412" s="3061"/>
      <c r="L412" s="3061"/>
      <c r="M412" s="3061"/>
      <c r="N412" s="3061"/>
      <c r="O412" s="3061"/>
      <c r="P412" s="3061"/>
      <c r="Q412" s="3061"/>
      <c r="R412" s="3061"/>
      <c r="S412" s="3061"/>
      <c r="T412" s="3061"/>
      <c r="U412" s="3061"/>
      <c r="V412" s="3061"/>
      <c r="W412" s="3061"/>
      <c r="X412" s="3061"/>
      <c r="Y412" s="3061"/>
      <c r="Z412" s="3061"/>
      <c r="AA412" s="3061"/>
      <c r="AB412" s="3061"/>
      <c r="AC412" s="3061"/>
      <c r="AD412" s="3061"/>
      <c r="AE412" s="3061"/>
      <c r="AF412" s="3061"/>
      <c r="AG412" s="3061"/>
      <c r="AH412" s="3061"/>
      <c r="AI412" s="3061"/>
      <c r="AJ412" s="3061"/>
      <c r="AK412" s="3061"/>
      <c r="AL412" s="3061"/>
      <c r="AM412" s="3061"/>
      <c r="AN412" s="3061"/>
      <c r="AO412" s="3061"/>
      <c r="AP412" s="3061"/>
      <c r="AQ412" s="3061"/>
      <c r="AR412" s="3061"/>
      <c r="AS412" s="3061"/>
      <c r="AT412" s="3061"/>
      <c r="AU412" s="3061"/>
      <c r="AV412" s="3061"/>
      <c r="AW412" s="3061"/>
      <c r="AX412" s="3061"/>
      <c r="AY412" s="3061"/>
      <c r="AZ412" s="3061"/>
      <c r="BA412" s="3061"/>
      <c r="BB412" s="3061"/>
      <c r="BC412" s="3061"/>
      <c r="BD412" s="3061"/>
      <c r="BE412" s="3061"/>
      <c r="BF412" s="3061"/>
      <c r="BG412" s="3061"/>
      <c r="BH412" s="3061"/>
      <c r="BI412" s="3061"/>
      <c r="BJ412" s="3061"/>
      <c r="BK412" s="3061"/>
      <c r="BL412" s="3061"/>
      <c r="BM412" s="3061"/>
      <c r="BN412" s="3061"/>
      <c r="BO412" s="3061"/>
      <c r="BP412" s="3061"/>
      <c r="BQ412" s="3061"/>
      <c r="BR412" s="3061"/>
      <c r="BS412" s="3061"/>
      <c r="BT412" s="3061"/>
      <c r="BU412" s="3061"/>
      <c r="BV412" s="3061"/>
      <c r="BW412" s="3061"/>
      <c r="BX412" s="3061"/>
      <c r="BY412" s="3061"/>
      <c r="BZ412" s="3061"/>
      <c r="CA412" s="3061"/>
      <c r="CB412" s="3061"/>
      <c r="CC412" s="3061"/>
      <c r="CD412" s="3061"/>
      <c r="CE412" s="3061"/>
      <c r="CF412" s="3061"/>
      <c r="CG412" s="3061"/>
      <c r="CH412" s="3061"/>
      <c r="CI412" s="3061"/>
      <c r="CJ412" s="3061"/>
      <c r="CK412" s="3061"/>
      <c r="CL412" s="3061"/>
      <c r="CM412" s="3061"/>
      <c r="CN412" s="3061"/>
      <c r="CO412" s="3061"/>
      <c r="CP412" s="3061"/>
      <c r="CQ412" s="3061"/>
      <c r="CR412" s="3061"/>
      <c r="CS412" s="3062"/>
      <c r="CT412" s="3063"/>
      <c r="CU412" s="3064">
        <f t="shared" si="106"/>
        <v>1</v>
      </c>
      <c r="CV412" s="3022" t="str">
        <f>IF(OR(CT412="",CT412="None"),"-",DO412*CU412*SUMIF('Lighting Assumptions'!$G$3:$G$112,'6a - Lighting Counts'!G412,'Lighting Assumptions'!$J$3:$J$112))</f>
        <v>-</v>
      </c>
      <c r="CW412" s="3021"/>
      <c r="CX412" s="3021"/>
      <c r="CY412" s="3046"/>
      <c r="CZ412" s="2098">
        <f t="shared" si="107"/>
        <v>0</v>
      </c>
      <c r="DA412" s="2098" t="str">
        <f t="shared" si="108"/>
        <v>-</v>
      </c>
      <c r="DB412" s="2098">
        <f t="shared" si="109"/>
        <v>0</v>
      </c>
      <c r="DC412" s="3023" t="str">
        <f t="shared" si="110"/>
        <v>-</v>
      </c>
      <c r="DD412" s="3024" t="str">
        <f t="shared" si="111"/>
        <v/>
      </c>
      <c r="DE412" s="3025" t="str">
        <f t="shared" si="112"/>
        <v>-</v>
      </c>
      <c r="DF412" s="3024" t="str">
        <f t="shared" si="103"/>
        <v>-</v>
      </c>
      <c r="DG412" s="2098">
        <f t="shared" si="113"/>
        <v>0</v>
      </c>
      <c r="DH412" s="2098">
        <f t="array" ref="DH412">MIN(SUMPRODUCT(I412:CR412,IF($I$25:$CR$25="yes",1,0),$I$23:$CR$23),H412)</f>
        <v>0</v>
      </c>
      <c r="DI412" s="3026"/>
      <c r="DJ412" s="3021"/>
      <c r="DN412" s="917" t="str">
        <f>IF(CS412="","-",SUMIF('Lighting Assumptions'!$G$3:$G$112,'6a - Lighting Counts'!G412,'Lighting Assumptions'!$J$3:$J$112))</f>
        <v>-</v>
      </c>
      <c r="DO412" s="917" t="str">
        <f t="shared" si="104"/>
        <v>-</v>
      </c>
      <c r="DP412" s="917" t="str">
        <f t="shared" si="105"/>
        <v>-</v>
      </c>
      <c r="DQ412" s="917" t="str">
        <f>IF(LEFT(CELLformula(DF412),3)&lt;&gt;"=IF",1,"")</f>
        <v/>
      </c>
      <c r="DR412" s="917" t="str">
        <f>IF(LEFT(CELLformula(DD412),3)&lt;&gt;"=IF",1,"")</f>
        <v/>
      </c>
      <c r="DS412" s="3048">
        <f t="shared" si="114"/>
        <v>0</v>
      </c>
      <c r="DT412" s="3047" t="str">
        <f t="shared" si="115"/>
        <v/>
      </c>
      <c r="DU412" s="3047" t="str">
        <f>IFERROR(IF(G412="","",SUMIF('Lighting Assumptions'!$G$3:$G$112,'6a - Lighting Counts'!G412,'Lighting Assumptions'!$H$3:$H$112)*IF(SI_IP_Units="SI",10.76,1)),"")</f>
        <v/>
      </c>
      <c r="DV412" s="3047" t="str">
        <f>IFERROR(IF($CX412="","",IF(SI_IP_Units="SI",10.76,1)*SUMIF(BAMCategories,$CY412,'Lighting Assumptions'!$E$3:E$35)),"")</f>
        <v/>
      </c>
      <c r="DW412" s="3047" t="str">
        <f>IFERROR(IF($CX412="","",IF(SI_IP_Units="SI",10.76,1)*SUMIF(BAMCategories,$CY412,IF(bpf_reference="ACP",'Lighting Assumptions 90.1-2010'!$E$3:E$35,'Lighting Assumptions 90.1-2016'!$E$3:E$35))),"")</f>
        <v/>
      </c>
      <c r="EW412" s="855"/>
      <c r="EX412" s="855"/>
      <c r="EY412" s="855"/>
      <c r="EZ412" s="855"/>
    </row>
    <row r="413" spans="4:156" x14ac:dyDescent="0.25">
      <c r="D413" s="3019"/>
      <c r="E413" s="3020"/>
      <c r="F413" s="3021">
        <f t="shared" ref="F413:F476" si="116">IF(ISBLANK(D413)=FALSE,1,0)</f>
        <v>0</v>
      </c>
      <c r="G413" s="3059"/>
      <c r="H413" s="3060"/>
      <c r="I413" s="3061"/>
      <c r="J413" s="3061"/>
      <c r="K413" s="3061"/>
      <c r="L413" s="3061"/>
      <c r="M413" s="3061"/>
      <c r="N413" s="3061"/>
      <c r="O413" s="3061"/>
      <c r="P413" s="3061"/>
      <c r="Q413" s="3061"/>
      <c r="R413" s="3061"/>
      <c r="S413" s="3061"/>
      <c r="T413" s="3061"/>
      <c r="U413" s="3061"/>
      <c r="V413" s="3061"/>
      <c r="W413" s="3061"/>
      <c r="X413" s="3061"/>
      <c r="Y413" s="3061"/>
      <c r="Z413" s="3061"/>
      <c r="AA413" s="3061"/>
      <c r="AB413" s="3061"/>
      <c r="AC413" s="3061"/>
      <c r="AD413" s="3061"/>
      <c r="AE413" s="3061"/>
      <c r="AF413" s="3061"/>
      <c r="AG413" s="3061"/>
      <c r="AH413" s="3061"/>
      <c r="AI413" s="3061"/>
      <c r="AJ413" s="3061"/>
      <c r="AK413" s="3061"/>
      <c r="AL413" s="3061"/>
      <c r="AM413" s="3061"/>
      <c r="AN413" s="3061"/>
      <c r="AO413" s="3061"/>
      <c r="AP413" s="3061"/>
      <c r="AQ413" s="3061"/>
      <c r="AR413" s="3061"/>
      <c r="AS413" s="3061"/>
      <c r="AT413" s="3061"/>
      <c r="AU413" s="3061"/>
      <c r="AV413" s="3061"/>
      <c r="AW413" s="3061"/>
      <c r="AX413" s="3061"/>
      <c r="AY413" s="3061"/>
      <c r="AZ413" s="3061"/>
      <c r="BA413" s="3061"/>
      <c r="BB413" s="3061"/>
      <c r="BC413" s="3061"/>
      <c r="BD413" s="3061"/>
      <c r="BE413" s="3061"/>
      <c r="BF413" s="3061"/>
      <c r="BG413" s="3061"/>
      <c r="BH413" s="3061"/>
      <c r="BI413" s="3061"/>
      <c r="BJ413" s="3061"/>
      <c r="BK413" s="3061"/>
      <c r="BL413" s="3061"/>
      <c r="BM413" s="3061"/>
      <c r="BN413" s="3061"/>
      <c r="BO413" s="3061"/>
      <c r="BP413" s="3061"/>
      <c r="BQ413" s="3061"/>
      <c r="BR413" s="3061"/>
      <c r="BS413" s="3061"/>
      <c r="BT413" s="3061"/>
      <c r="BU413" s="3061"/>
      <c r="BV413" s="3061"/>
      <c r="BW413" s="3061"/>
      <c r="BX413" s="3061"/>
      <c r="BY413" s="3061"/>
      <c r="BZ413" s="3061"/>
      <c r="CA413" s="3061"/>
      <c r="CB413" s="3061"/>
      <c r="CC413" s="3061"/>
      <c r="CD413" s="3061"/>
      <c r="CE413" s="3061"/>
      <c r="CF413" s="3061"/>
      <c r="CG413" s="3061"/>
      <c r="CH413" s="3061"/>
      <c r="CI413" s="3061"/>
      <c r="CJ413" s="3061"/>
      <c r="CK413" s="3061"/>
      <c r="CL413" s="3061"/>
      <c r="CM413" s="3061"/>
      <c r="CN413" s="3061"/>
      <c r="CO413" s="3061"/>
      <c r="CP413" s="3061"/>
      <c r="CQ413" s="3061"/>
      <c r="CR413" s="3061"/>
      <c r="CS413" s="3062"/>
      <c r="CT413" s="3063"/>
      <c r="CU413" s="3064">
        <f t="shared" si="106"/>
        <v>1</v>
      </c>
      <c r="CV413" s="3022" t="str">
        <f>IF(OR(CT413="",CT413="None"),"-",DO413*CU413*SUMIF('Lighting Assumptions'!$G$3:$G$112,'6a - Lighting Counts'!G413,'Lighting Assumptions'!$J$3:$J$112))</f>
        <v>-</v>
      </c>
      <c r="CW413" s="3021"/>
      <c r="CX413" s="3021"/>
      <c r="CY413" s="3046"/>
      <c r="CZ413" s="2098">
        <f t="shared" si="107"/>
        <v>0</v>
      </c>
      <c r="DA413" s="2098" t="str">
        <f t="shared" si="108"/>
        <v>-</v>
      </c>
      <c r="DB413" s="2098">
        <f t="shared" si="109"/>
        <v>0</v>
      </c>
      <c r="DC413" s="3023" t="str">
        <f t="shared" si="110"/>
        <v>-</v>
      </c>
      <c r="DD413" s="3024" t="str">
        <f t="shared" si="111"/>
        <v/>
      </c>
      <c r="DE413" s="3025" t="str">
        <f t="shared" si="112"/>
        <v>-</v>
      </c>
      <c r="DF413" s="3024" t="str">
        <f t="shared" ref="DF413:DF476" si="117">IF(ISBLANK(H413)=FALSE,(CZ413-IF(ISNUMBER(CV413)=TRUE,CV413,0)*CS413)/H413,"-")</f>
        <v>-</v>
      </c>
      <c r="DG413" s="2098">
        <f t="shared" si="113"/>
        <v>0</v>
      </c>
      <c r="DH413" s="2098">
        <f t="array" ref="DH413">MIN(SUMPRODUCT(I413:CR413,IF($I$25:$CR$25="yes",1,0),$I$23:$CR$23),H413)</f>
        <v>0</v>
      </c>
      <c r="DI413" s="3026"/>
      <c r="DJ413" s="3021"/>
      <c r="DN413" s="917" t="str">
        <f>IF(CS413="","-",SUMIF('Lighting Assumptions'!$G$3:$G$112,'6a - Lighting Counts'!G413,'Lighting Assumptions'!$J$3:$J$112))</f>
        <v>-</v>
      </c>
      <c r="DO413" s="917" t="str">
        <f t="shared" ref="DO413:DO476" si="118">IF(CT413="","-",IF(CT413="Other",1,1.25))</f>
        <v>-</v>
      </c>
      <c r="DP413" s="917" t="str">
        <f t="shared" ref="DP413:DP476" si="119">IF(DO413="-","-",DO413*CV413)</f>
        <v>-</v>
      </c>
      <c r="DQ413" s="917" t="str">
        <f>IF(LEFT(CELLformula(DF413),3)&lt;&gt;"=IF",1,"")</f>
        <v/>
      </c>
      <c r="DR413" s="917" t="str">
        <f>IF(LEFT(CELLformula(DD413),3)&lt;&gt;"=IF",1,"")</f>
        <v/>
      </c>
      <c r="DS413" s="3048">
        <f t="shared" si="114"/>
        <v>0</v>
      </c>
      <c r="DT413" s="3047" t="str">
        <f t="shared" si="115"/>
        <v/>
      </c>
      <c r="DU413" s="3047" t="str">
        <f>IFERROR(IF(G413="","",SUMIF('Lighting Assumptions'!$G$3:$G$112,'6a - Lighting Counts'!G413,'Lighting Assumptions'!$H$3:$H$112)*IF(SI_IP_Units="SI",10.76,1)),"")</f>
        <v/>
      </c>
      <c r="DV413" s="3047" t="str">
        <f>IFERROR(IF($CX413="","",IF(SI_IP_Units="SI",10.76,1)*SUMIF(BAMCategories,$CY413,'Lighting Assumptions'!$E$3:E$35)),"")</f>
        <v/>
      </c>
      <c r="DW413" s="3047" t="str">
        <f>IFERROR(IF($CX413="","",IF(SI_IP_Units="SI",10.76,1)*SUMIF(BAMCategories,$CY413,IF(bpf_reference="ACP",'Lighting Assumptions 90.1-2010'!$E$3:E$35,'Lighting Assumptions 90.1-2016'!$E$3:E$35))),"")</f>
        <v/>
      </c>
      <c r="EW413" s="855"/>
      <c r="EX413" s="855"/>
      <c r="EY413" s="855"/>
      <c r="EZ413" s="855"/>
    </row>
    <row r="414" spans="4:156" x14ac:dyDescent="0.25">
      <c r="D414" s="3019"/>
      <c r="E414" s="3020"/>
      <c r="F414" s="3021">
        <f t="shared" si="116"/>
        <v>0</v>
      </c>
      <c r="G414" s="3059"/>
      <c r="H414" s="3060"/>
      <c r="I414" s="3061"/>
      <c r="J414" s="3061"/>
      <c r="K414" s="3061"/>
      <c r="L414" s="3061"/>
      <c r="M414" s="3061"/>
      <c r="N414" s="3061"/>
      <c r="O414" s="3061"/>
      <c r="P414" s="3061"/>
      <c r="Q414" s="3061"/>
      <c r="R414" s="3061"/>
      <c r="S414" s="3061"/>
      <c r="T414" s="3061"/>
      <c r="U414" s="3061"/>
      <c r="V414" s="3061"/>
      <c r="W414" s="3061"/>
      <c r="X414" s="3061"/>
      <c r="Y414" s="3061"/>
      <c r="Z414" s="3061"/>
      <c r="AA414" s="3061"/>
      <c r="AB414" s="3061"/>
      <c r="AC414" s="3061"/>
      <c r="AD414" s="3061"/>
      <c r="AE414" s="3061"/>
      <c r="AF414" s="3061"/>
      <c r="AG414" s="3061"/>
      <c r="AH414" s="3061"/>
      <c r="AI414" s="3061"/>
      <c r="AJ414" s="3061"/>
      <c r="AK414" s="3061"/>
      <c r="AL414" s="3061"/>
      <c r="AM414" s="3061"/>
      <c r="AN414" s="3061"/>
      <c r="AO414" s="3061"/>
      <c r="AP414" s="3061"/>
      <c r="AQ414" s="3061"/>
      <c r="AR414" s="3061"/>
      <c r="AS414" s="3061"/>
      <c r="AT414" s="3061"/>
      <c r="AU414" s="3061"/>
      <c r="AV414" s="3061"/>
      <c r="AW414" s="3061"/>
      <c r="AX414" s="3061"/>
      <c r="AY414" s="3061"/>
      <c r="AZ414" s="3061"/>
      <c r="BA414" s="3061"/>
      <c r="BB414" s="3061"/>
      <c r="BC414" s="3061"/>
      <c r="BD414" s="3061"/>
      <c r="BE414" s="3061"/>
      <c r="BF414" s="3061"/>
      <c r="BG414" s="3061"/>
      <c r="BH414" s="3061"/>
      <c r="BI414" s="3061"/>
      <c r="BJ414" s="3061"/>
      <c r="BK414" s="3061"/>
      <c r="BL414" s="3061"/>
      <c r="BM414" s="3061"/>
      <c r="BN414" s="3061"/>
      <c r="BO414" s="3061"/>
      <c r="BP414" s="3061"/>
      <c r="BQ414" s="3061"/>
      <c r="BR414" s="3061"/>
      <c r="BS414" s="3061"/>
      <c r="BT414" s="3061"/>
      <c r="BU414" s="3061"/>
      <c r="BV414" s="3061"/>
      <c r="BW414" s="3061"/>
      <c r="BX414" s="3061"/>
      <c r="BY414" s="3061"/>
      <c r="BZ414" s="3061"/>
      <c r="CA414" s="3061"/>
      <c r="CB414" s="3061"/>
      <c r="CC414" s="3061"/>
      <c r="CD414" s="3061"/>
      <c r="CE414" s="3061"/>
      <c r="CF414" s="3061"/>
      <c r="CG414" s="3061"/>
      <c r="CH414" s="3061"/>
      <c r="CI414" s="3061"/>
      <c r="CJ414" s="3061"/>
      <c r="CK414" s="3061"/>
      <c r="CL414" s="3061"/>
      <c r="CM414" s="3061"/>
      <c r="CN414" s="3061"/>
      <c r="CO414" s="3061"/>
      <c r="CP414" s="3061"/>
      <c r="CQ414" s="3061"/>
      <c r="CR414" s="3061"/>
      <c r="CS414" s="3062"/>
      <c r="CT414" s="3063"/>
      <c r="CU414" s="3064">
        <f t="shared" ref="CU414:CU477" si="120">IF(OR(CT414="Manual-On Individual Workstation",CT414="Partial-Auto-On Individual Workstation",CT414="Other Individual Workstation"),1.3,1)</f>
        <v>1</v>
      </c>
      <c r="CV414" s="3022" t="str">
        <f>IF(OR(CT414="",CT414="None"),"-",DO414*CU414*SUMIF('Lighting Assumptions'!$G$3:$G$112,'6a - Lighting Counts'!G414,'Lighting Assumptions'!$J$3:$J$112))</f>
        <v>-</v>
      </c>
      <c r="CW414" s="3021"/>
      <c r="CX414" s="3021"/>
      <c r="CY414" s="3046"/>
      <c r="CZ414" s="2098">
        <f t="shared" ref="CZ414:CZ477" si="121">IFERROR(SUMPRODUCT(I414:CR414,$I$23:$CR$23),0)+IFERROR(DW414*CX414,0)</f>
        <v>0</v>
      </c>
      <c r="DA414" s="2098" t="str">
        <f t="shared" ref="DA414:DA477" si="122">IF(DD414="","-",IF(H414="",0,DD414*H414))</f>
        <v>-</v>
      </c>
      <c r="DB414" s="2098">
        <f t="shared" ref="DB414:DB477" si="123">SUMPRODUCT(I414:CR414,$I$24:$CR$24)</f>
        <v>0</v>
      </c>
      <c r="DC414" s="3023" t="str">
        <f t="shared" ref="DC414:DC477" si="124">IF(ISBLANK(H414)=FALSE,CZ414/H414,"-")</f>
        <v>-</v>
      </c>
      <c r="DD414" s="3024" t="str">
        <f t="shared" ref="DD414:DD477" si="125">IFERROR(DS414/H414,"")</f>
        <v/>
      </c>
      <c r="DE414" s="3025" t="str">
        <f t="shared" ref="DE414:DE477" si="126">IF(ISBLANK(H414)=FALSE,DB414/H414,"-")</f>
        <v>-</v>
      </c>
      <c r="DF414" s="3024" t="str">
        <f t="shared" si="117"/>
        <v>-</v>
      </c>
      <c r="DG414" s="2098">
        <f t="shared" ref="DG414:DG477" si="127">IFERROR(DF414*H414,0)</f>
        <v>0</v>
      </c>
      <c r="DH414" s="2098">
        <f t="array" ref="DH414">MIN(SUMPRODUCT(I414:CR414,IF($I$25:$CR$25="yes",1,0),$I$23:$CR$23),H414)</f>
        <v>0</v>
      </c>
      <c r="DI414" s="3026"/>
      <c r="DJ414" s="3021"/>
      <c r="DN414" s="917" t="str">
        <f>IF(CS414="","-",SUMIF('Lighting Assumptions'!$G$3:$G$112,'6a - Lighting Counts'!G414,'Lighting Assumptions'!$J$3:$J$112))</f>
        <v>-</v>
      </c>
      <c r="DO414" s="917" t="str">
        <f t="shared" si="118"/>
        <v>-</v>
      </c>
      <c r="DP414" s="917" t="str">
        <f t="shared" si="119"/>
        <v>-</v>
      </c>
      <c r="DQ414" s="917" t="str">
        <f>IF(LEFT(CELLformula(DF414),3)&lt;&gt;"=IF",1,"")</f>
        <v/>
      </c>
      <c r="DR414" s="917" t="str">
        <f>IF(LEFT(CELLformula(DD414),3)&lt;&gt;"=IF",1,"")</f>
        <v/>
      </c>
      <c r="DS414" s="3048">
        <f t="shared" ref="DS414:DS477" si="128">IFERROR(DU414*MAX(H414-CX414,0),0)+(IFERROR(DV414*MAX(0,CX414),0))</f>
        <v>0</v>
      </c>
      <c r="DT414" s="3047" t="str">
        <f t="shared" ref="DT414:DT477" si="129">IFERROR(DS414/H414,"")</f>
        <v/>
      </c>
      <c r="DU414" s="3047" t="str">
        <f>IFERROR(IF(G414="","",SUMIF('Lighting Assumptions'!$G$3:$G$112,'6a - Lighting Counts'!G414,'Lighting Assumptions'!$H$3:$H$112)*IF(SI_IP_Units="SI",10.76,1)),"")</f>
        <v/>
      </c>
      <c r="DV414" s="3047" t="str">
        <f>IFERROR(IF($CX414="","",IF(SI_IP_Units="SI",10.76,1)*SUMIF(BAMCategories,$CY414,'Lighting Assumptions'!$E$3:E$35)),"")</f>
        <v/>
      </c>
      <c r="DW414" s="3047" t="str">
        <f>IFERROR(IF($CX414="","",IF(SI_IP_Units="SI",10.76,1)*SUMIF(BAMCategories,$CY414,IF(bpf_reference="ACP",'Lighting Assumptions 90.1-2010'!$E$3:E$35,'Lighting Assumptions 90.1-2016'!$E$3:E$35))),"")</f>
        <v/>
      </c>
      <c r="EW414" s="855"/>
      <c r="EX414" s="855"/>
      <c r="EY414" s="855"/>
      <c r="EZ414" s="855"/>
    </row>
    <row r="415" spans="4:156" x14ac:dyDescent="0.25">
      <c r="D415" s="3019"/>
      <c r="E415" s="3020"/>
      <c r="F415" s="3021">
        <f t="shared" si="116"/>
        <v>0</v>
      </c>
      <c r="G415" s="3059"/>
      <c r="H415" s="3060"/>
      <c r="I415" s="3061"/>
      <c r="J415" s="3061"/>
      <c r="K415" s="3061"/>
      <c r="L415" s="3061"/>
      <c r="M415" s="3061"/>
      <c r="N415" s="3061"/>
      <c r="O415" s="3061"/>
      <c r="P415" s="3061"/>
      <c r="Q415" s="3061"/>
      <c r="R415" s="3061"/>
      <c r="S415" s="3061"/>
      <c r="T415" s="3061"/>
      <c r="U415" s="3061"/>
      <c r="V415" s="3061"/>
      <c r="W415" s="3061"/>
      <c r="X415" s="3061"/>
      <c r="Y415" s="3061"/>
      <c r="Z415" s="3061"/>
      <c r="AA415" s="3061"/>
      <c r="AB415" s="3061"/>
      <c r="AC415" s="3061"/>
      <c r="AD415" s="3061"/>
      <c r="AE415" s="3061"/>
      <c r="AF415" s="3061"/>
      <c r="AG415" s="3061"/>
      <c r="AH415" s="3061"/>
      <c r="AI415" s="3061"/>
      <c r="AJ415" s="3061"/>
      <c r="AK415" s="3061"/>
      <c r="AL415" s="3061"/>
      <c r="AM415" s="3061"/>
      <c r="AN415" s="3061"/>
      <c r="AO415" s="3061"/>
      <c r="AP415" s="3061"/>
      <c r="AQ415" s="3061"/>
      <c r="AR415" s="3061"/>
      <c r="AS415" s="3061"/>
      <c r="AT415" s="3061"/>
      <c r="AU415" s="3061"/>
      <c r="AV415" s="3061"/>
      <c r="AW415" s="3061"/>
      <c r="AX415" s="3061"/>
      <c r="AY415" s="3061"/>
      <c r="AZ415" s="3061"/>
      <c r="BA415" s="3061"/>
      <c r="BB415" s="3061"/>
      <c r="BC415" s="3061"/>
      <c r="BD415" s="3061"/>
      <c r="BE415" s="3061"/>
      <c r="BF415" s="3061"/>
      <c r="BG415" s="3061"/>
      <c r="BH415" s="3061"/>
      <c r="BI415" s="3061"/>
      <c r="BJ415" s="3061"/>
      <c r="BK415" s="3061"/>
      <c r="BL415" s="3061"/>
      <c r="BM415" s="3061"/>
      <c r="BN415" s="3061"/>
      <c r="BO415" s="3061"/>
      <c r="BP415" s="3061"/>
      <c r="BQ415" s="3061"/>
      <c r="BR415" s="3061"/>
      <c r="BS415" s="3061"/>
      <c r="BT415" s="3061"/>
      <c r="BU415" s="3061"/>
      <c r="BV415" s="3061"/>
      <c r="BW415" s="3061"/>
      <c r="BX415" s="3061"/>
      <c r="BY415" s="3061"/>
      <c r="BZ415" s="3061"/>
      <c r="CA415" s="3061"/>
      <c r="CB415" s="3061"/>
      <c r="CC415" s="3061"/>
      <c r="CD415" s="3061"/>
      <c r="CE415" s="3061"/>
      <c r="CF415" s="3061"/>
      <c r="CG415" s="3061"/>
      <c r="CH415" s="3061"/>
      <c r="CI415" s="3061"/>
      <c r="CJ415" s="3061"/>
      <c r="CK415" s="3061"/>
      <c r="CL415" s="3061"/>
      <c r="CM415" s="3061"/>
      <c r="CN415" s="3061"/>
      <c r="CO415" s="3061"/>
      <c r="CP415" s="3061"/>
      <c r="CQ415" s="3061"/>
      <c r="CR415" s="3061"/>
      <c r="CS415" s="3062"/>
      <c r="CT415" s="3063"/>
      <c r="CU415" s="3064">
        <f t="shared" si="120"/>
        <v>1</v>
      </c>
      <c r="CV415" s="3022" t="str">
        <f>IF(OR(CT415="",CT415="None"),"-",DO415*CU415*SUMIF('Lighting Assumptions'!$G$3:$G$112,'6a - Lighting Counts'!G415,'Lighting Assumptions'!$J$3:$J$112))</f>
        <v>-</v>
      </c>
      <c r="CW415" s="3021"/>
      <c r="CX415" s="3021"/>
      <c r="CY415" s="3046"/>
      <c r="CZ415" s="2098">
        <f t="shared" si="121"/>
        <v>0</v>
      </c>
      <c r="DA415" s="2098" t="str">
        <f t="shared" si="122"/>
        <v>-</v>
      </c>
      <c r="DB415" s="2098">
        <f t="shared" si="123"/>
        <v>0</v>
      </c>
      <c r="DC415" s="3023" t="str">
        <f t="shared" si="124"/>
        <v>-</v>
      </c>
      <c r="DD415" s="3024" t="str">
        <f t="shared" si="125"/>
        <v/>
      </c>
      <c r="DE415" s="3025" t="str">
        <f t="shared" si="126"/>
        <v>-</v>
      </c>
      <c r="DF415" s="3024" t="str">
        <f t="shared" si="117"/>
        <v>-</v>
      </c>
      <c r="DG415" s="2098">
        <f t="shared" si="127"/>
        <v>0</v>
      </c>
      <c r="DH415" s="2098">
        <f t="array" ref="DH415">MIN(SUMPRODUCT(I415:CR415,IF($I$25:$CR$25="yes",1,0),$I$23:$CR$23),H415)</f>
        <v>0</v>
      </c>
      <c r="DI415" s="3026"/>
      <c r="DJ415" s="3021"/>
      <c r="DN415" s="917" t="str">
        <f>IF(CS415="","-",SUMIF('Lighting Assumptions'!$G$3:$G$112,'6a - Lighting Counts'!G415,'Lighting Assumptions'!$J$3:$J$112))</f>
        <v>-</v>
      </c>
      <c r="DO415" s="917" t="str">
        <f t="shared" si="118"/>
        <v>-</v>
      </c>
      <c r="DP415" s="917" t="str">
        <f t="shared" si="119"/>
        <v>-</v>
      </c>
      <c r="DQ415" s="917" t="str">
        <f>IF(LEFT(CELLformula(DF415),3)&lt;&gt;"=IF",1,"")</f>
        <v/>
      </c>
      <c r="DR415" s="917" t="str">
        <f>IF(LEFT(CELLformula(DD415),3)&lt;&gt;"=IF",1,"")</f>
        <v/>
      </c>
      <c r="DS415" s="3048">
        <f t="shared" si="128"/>
        <v>0</v>
      </c>
      <c r="DT415" s="3047" t="str">
        <f t="shared" si="129"/>
        <v/>
      </c>
      <c r="DU415" s="3047" t="str">
        <f>IFERROR(IF(G415="","",SUMIF('Lighting Assumptions'!$G$3:$G$112,'6a - Lighting Counts'!G415,'Lighting Assumptions'!$H$3:$H$112)*IF(SI_IP_Units="SI",10.76,1)),"")</f>
        <v/>
      </c>
      <c r="DV415" s="3047" t="str">
        <f>IFERROR(IF($CX415="","",IF(SI_IP_Units="SI",10.76,1)*SUMIF(BAMCategories,$CY415,'Lighting Assumptions'!$E$3:E$35)),"")</f>
        <v/>
      </c>
      <c r="DW415" s="3047" t="str">
        <f>IFERROR(IF($CX415="","",IF(SI_IP_Units="SI",10.76,1)*SUMIF(BAMCategories,$CY415,IF(bpf_reference="ACP",'Lighting Assumptions 90.1-2010'!$E$3:E$35,'Lighting Assumptions 90.1-2016'!$E$3:E$35))),"")</f>
        <v/>
      </c>
      <c r="EW415" s="855"/>
      <c r="EX415" s="855"/>
      <c r="EY415" s="855"/>
      <c r="EZ415" s="855"/>
    </row>
    <row r="416" spans="4:156" x14ac:dyDescent="0.25">
      <c r="D416" s="3019"/>
      <c r="E416" s="3020"/>
      <c r="F416" s="3021">
        <f t="shared" si="116"/>
        <v>0</v>
      </c>
      <c r="G416" s="3059"/>
      <c r="H416" s="3060"/>
      <c r="I416" s="3061"/>
      <c r="J416" s="3061"/>
      <c r="K416" s="3061"/>
      <c r="L416" s="3061"/>
      <c r="M416" s="3061"/>
      <c r="N416" s="3061"/>
      <c r="O416" s="3061"/>
      <c r="P416" s="3061"/>
      <c r="Q416" s="3061"/>
      <c r="R416" s="3061"/>
      <c r="S416" s="3061"/>
      <c r="T416" s="3061"/>
      <c r="U416" s="3061"/>
      <c r="V416" s="3061"/>
      <c r="W416" s="3061"/>
      <c r="X416" s="3061"/>
      <c r="Y416" s="3061"/>
      <c r="Z416" s="3061"/>
      <c r="AA416" s="3061"/>
      <c r="AB416" s="3061"/>
      <c r="AC416" s="3061"/>
      <c r="AD416" s="3061"/>
      <c r="AE416" s="3061"/>
      <c r="AF416" s="3061"/>
      <c r="AG416" s="3061"/>
      <c r="AH416" s="3061"/>
      <c r="AI416" s="3061"/>
      <c r="AJ416" s="3061"/>
      <c r="AK416" s="3061"/>
      <c r="AL416" s="3061"/>
      <c r="AM416" s="3061"/>
      <c r="AN416" s="3061"/>
      <c r="AO416" s="3061"/>
      <c r="AP416" s="3061"/>
      <c r="AQ416" s="3061"/>
      <c r="AR416" s="3061"/>
      <c r="AS416" s="3061"/>
      <c r="AT416" s="3061"/>
      <c r="AU416" s="3061"/>
      <c r="AV416" s="3061"/>
      <c r="AW416" s="3061"/>
      <c r="AX416" s="3061"/>
      <c r="AY416" s="3061"/>
      <c r="AZ416" s="3061"/>
      <c r="BA416" s="3061"/>
      <c r="BB416" s="3061"/>
      <c r="BC416" s="3061"/>
      <c r="BD416" s="3061"/>
      <c r="BE416" s="3061"/>
      <c r="BF416" s="3061"/>
      <c r="BG416" s="3061"/>
      <c r="BH416" s="3061"/>
      <c r="BI416" s="3061"/>
      <c r="BJ416" s="3061"/>
      <c r="BK416" s="3061"/>
      <c r="BL416" s="3061"/>
      <c r="BM416" s="3061"/>
      <c r="BN416" s="3061"/>
      <c r="BO416" s="3061"/>
      <c r="BP416" s="3061"/>
      <c r="BQ416" s="3061"/>
      <c r="BR416" s="3061"/>
      <c r="BS416" s="3061"/>
      <c r="BT416" s="3061"/>
      <c r="BU416" s="3061"/>
      <c r="BV416" s="3061"/>
      <c r="BW416" s="3061"/>
      <c r="BX416" s="3061"/>
      <c r="BY416" s="3061"/>
      <c r="BZ416" s="3061"/>
      <c r="CA416" s="3061"/>
      <c r="CB416" s="3061"/>
      <c r="CC416" s="3061"/>
      <c r="CD416" s="3061"/>
      <c r="CE416" s="3061"/>
      <c r="CF416" s="3061"/>
      <c r="CG416" s="3061"/>
      <c r="CH416" s="3061"/>
      <c r="CI416" s="3061"/>
      <c r="CJ416" s="3061"/>
      <c r="CK416" s="3061"/>
      <c r="CL416" s="3061"/>
      <c r="CM416" s="3061"/>
      <c r="CN416" s="3061"/>
      <c r="CO416" s="3061"/>
      <c r="CP416" s="3061"/>
      <c r="CQ416" s="3061"/>
      <c r="CR416" s="3061"/>
      <c r="CS416" s="3062"/>
      <c r="CT416" s="3063"/>
      <c r="CU416" s="3064">
        <f t="shared" si="120"/>
        <v>1</v>
      </c>
      <c r="CV416" s="3022" t="str">
        <f>IF(OR(CT416="",CT416="None"),"-",DO416*CU416*SUMIF('Lighting Assumptions'!$G$3:$G$112,'6a - Lighting Counts'!G416,'Lighting Assumptions'!$J$3:$J$112))</f>
        <v>-</v>
      </c>
      <c r="CW416" s="3021"/>
      <c r="CX416" s="3021"/>
      <c r="CY416" s="3046"/>
      <c r="CZ416" s="2098">
        <f t="shared" si="121"/>
        <v>0</v>
      </c>
      <c r="DA416" s="2098" t="str">
        <f t="shared" si="122"/>
        <v>-</v>
      </c>
      <c r="DB416" s="2098">
        <f t="shared" si="123"/>
        <v>0</v>
      </c>
      <c r="DC416" s="3023" t="str">
        <f t="shared" si="124"/>
        <v>-</v>
      </c>
      <c r="DD416" s="3024" t="str">
        <f t="shared" si="125"/>
        <v/>
      </c>
      <c r="DE416" s="3025" t="str">
        <f t="shared" si="126"/>
        <v>-</v>
      </c>
      <c r="DF416" s="3024" t="str">
        <f t="shared" si="117"/>
        <v>-</v>
      </c>
      <c r="DG416" s="2098">
        <f t="shared" si="127"/>
        <v>0</v>
      </c>
      <c r="DH416" s="2098">
        <f t="array" ref="DH416">MIN(SUMPRODUCT(I416:CR416,IF($I$25:$CR$25="yes",1,0),$I$23:$CR$23),H416)</f>
        <v>0</v>
      </c>
      <c r="DI416" s="3026"/>
      <c r="DJ416" s="3021"/>
      <c r="DN416" s="917" t="str">
        <f>IF(CS416="","-",SUMIF('Lighting Assumptions'!$G$3:$G$112,'6a - Lighting Counts'!G416,'Lighting Assumptions'!$J$3:$J$112))</f>
        <v>-</v>
      </c>
      <c r="DO416" s="917" t="str">
        <f t="shared" si="118"/>
        <v>-</v>
      </c>
      <c r="DP416" s="917" t="str">
        <f t="shared" si="119"/>
        <v>-</v>
      </c>
      <c r="DQ416" s="917" t="str">
        <f>IF(LEFT(CELLformula(DF416),3)&lt;&gt;"=IF",1,"")</f>
        <v/>
      </c>
      <c r="DR416" s="917" t="str">
        <f>IF(LEFT(CELLformula(DD416),3)&lt;&gt;"=IF",1,"")</f>
        <v/>
      </c>
      <c r="DS416" s="3048">
        <f t="shared" si="128"/>
        <v>0</v>
      </c>
      <c r="DT416" s="3047" t="str">
        <f t="shared" si="129"/>
        <v/>
      </c>
      <c r="DU416" s="3047" t="str">
        <f>IFERROR(IF(G416="","",SUMIF('Lighting Assumptions'!$G$3:$G$112,'6a - Lighting Counts'!G416,'Lighting Assumptions'!$H$3:$H$112)*IF(SI_IP_Units="SI",10.76,1)),"")</f>
        <v/>
      </c>
      <c r="DV416" s="3047" t="str">
        <f>IFERROR(IF($CX416="","",IF(SI_IP_Units="SI",10.76,1)*SUMIF(BAMCategories,$CY416,'Lighting Assumptions'!$E$3:E$35)),"")</f>
        <v/>
      </c>
      <c r="DW416" s="3047" t="str">
        <f>IFERROR(IF($CX416="","",IF(SI_IP_Units="SI",10.76,1)*SUMIF(BAMCategories,$CY416,IF(bpf_reference="ACP",'Lighting Assumptions 90.1-2010'!$E$3:E$35,'Lighting Assumptions 90.1-2016'!$E$3:E$35))),"")</f>
        <v/>
      </c>
      <c r="EW416" s="855"/>
      <c r="EX416" s="855"/>
      <c r="EY416" s="855"/>
      <c r="EZ416" s="855"/>
    </row>
    <row r="417" spans="4:156" x14ac:dyDescent="0.25">
      <c r="D417" s="3019"/>
      <c r="E417" s="3020"/>
      <c r="F417" s="3021">
        <f t="shared" si="116"/>
        <v>0</v>
      </c>
      <c r="G417" s="3059"/>
      <c r="H417" s="3060"/>
      <c r="I417" s="3061"/>
      <c r="J417" s="3061"/>
      <c r="K417" s="3061"/>
      <c r="L417" s="3061"/>
      <c r="M417" s="3061"/>
      <c r="N417" s="3061"/>
      <c r="O417" s="3061"/>
      <c r="P417" s="3061"/>
      <c r="Q417" s="3061"/>
      <c r="R417" s="3061"/>
      <c r="S417" s="3061"/>
      <c r="T417" s="3061"/>
      <c r="U417" s="3061"/>
      <c r="V417" s="3061"/>
      <c r="W417" s="3061"/>
      <c r="X417" s="3061"/>
      <c r="Y417" s="3061"/>
      <c r="Z417" s="3061"/>
      <c r="AA417" s="3061"/>
      <c r="AB417" s="3061"/>
      <c r="AC417" s="3061"/>
      <c r="AD417" s="3061"/>
      <c r="AE417" s="3061"/>
      <c r="AF417" s="3061"/>
      <c r="AG417" s="3061"/>
      <c r="AH417" s="3061"/>
      <c r="AI417" s="3061"/>
      <c r="AJ417" s="3061"/>
      <c r="AK417" s="3061"/>
      <c r="AL417" s="3061"/>
      <c r="AM417" s="3061"/>
      <c r="AN417" s="3061"/>
      <c r="AO417" s="3061"/>
      <c r="AP417" s="3061"/>
      <c r="AQ417" s="3061"/>
      <c r="AR417" s="3061"/>
      <c r="AS417" s="3061"/>
      <c r="AT417" s="3061"/>
      <c r="AU417" s="3061"/>
      <c r="AV417" s="3061"/>
      <c r="AW417" s="3061"/>
      <c r="AX417" s="3061"/>
      <c r="AY417" s="3061"/>
      <c r="AZ417" s="3061"/>
      <c r="BA417" s="3061"/>
      <c r="BB417" s="3061"/>
      <c r="BC417" s="3061"/>
      <c r="BD417" s="3061"/>
      <c r="BE417" s="3061"/>
      <c r="BF417" s="3061"/>
      <c r="BG417" s="3061"/>
      <c r="BH417" s="3061"/>
      <c r="BI417" s="3061"/>
      <c r="BJ417" s="3061"/>
      <c r="BK417" s="3061"/>
      <c r="BL417" s="3061"/>
      <c r="BM417" s="3061"/>
      <c r="BN417" s="3061"/>
      <c r="BO417" s="3061"/>
      <c r="BP417" s="3061"/>
      <c r="BQ417" s="3061"/>
      <c r="BR417" s="3061"/>
      <c r="BS417" s="3061"/>
      <c r="BT417" s="3061"/>
      <c r="BU417" s="3061"/>
      <c r="BV417" s="3061"/>
      <c r="BW417" s="3061"/>
      <c r="BX417" s="3061"/>
      <c r="BY417" s="3061"/>
      <c r="BZ417" s="3061"/>
      <c r="CA417" s="3061"/>
      <c r="CB417" s="3061"/>
      <c r="CC417" s="3061"/>
      <c r="CD417" s="3061"/>
      <c r="CE417" s="3061"/>
      <c r="CF417" s="3061"/>
      <c r="CG417" s="3061"/>
      <c r="CH417" s="3061"/>
      <c r="CI417" s="3061"/>
      <c r="CJ417" s="3061"/>
      <c r="CK417" s="3061"/>
      <c r="CL417" s="3061"/>
      <c r="CM417" s="3061"/>
      <c r="CN417" s="3061"/>
      <c r="CO417" s="3061"/>
      <c r="CP417" s="3061"/>
      <c r="CQ417" s="3061"/>
      <c r="CR417" s="3061"/>
      <c r="CS417" s="3062"/>
      <c r="CT417" s="3063"/>
      <c r="CU417" s="3064">
        <f t="shared" si="120"/>
        <v>1</v>
      </c>
      <c r="CV417" s="3022" t="str">
        <f>IF(OR(CT417="",CT417="None"),"-",DO417*CU417*SUMIF('Lighting Assumptions'!$G$3:$G$112,'6a - Lighting Counts'!G417,'Lighting Assumptions'!$J$3:$J$112))</f>
        <v>-</v>
      </c>
      <c r="CW417" s="3021"/>
      <c r="CX417" s="3021"/>
      <c r="CY417" s="3046"/>
      <c r="CZ417" s="2098">
        <f t="shared" si="121"/>
        <v>0</v>
      </c>
      <c r="DA417" s="2098" t="str">
        <f t="shared" si="122"/>
        <v>-</v>
      </c>
      <c r="DB417" s="2098">
        <f t="shared" si="123"/>
        <v>0</v>
      </c>
      <c r="DC417" s="3023" t="str">
        <f t="shared" si="124"/>
        <v>-</v>
      </c>
      <c r="DD417" s="3024" t="str">
        <f t="shared" si="125"/>
        <v/>
      </c>
      <c r="DE417" s="3025" t="str">
        <f t="shared" si="126"/>
        <v>-</v>
      </c>
      <c r="DF417" s="3024" t="str">
        <f t="shared" si="117"/>
        <v>-</v>
      </c>
      <c r="DG417" s="2098">
        <f t="shared" si="127"/>
        <v>0</v>
      </c>
      <c r="DH417" s="2098">
        <f t="array" ref="DH417">MIN(SUMPRODUCT(I417:CR417,IF($I$25:$CR$25="yes",1,0),$I$23:$CR$23),H417)</f>
        <v>0</v>
      </c>
      <c r="DI417" s="3026"/>
      <c r="DJ417" s="3021"/>
      <c r="DN417" s="917" t="str">
        <f>IF(CS417="","-",SUMIF('Lighting Assumptions'!$G$3:$G$112,'6a - Lighting Counts'!G417,'Lighting Assumptions'!$J$3:$J$112))</f>
        <v>-</v>
      </c>
      <c r="DO417" s="917" t="str">
        <f t="shared" si="118"/>
        <v>-</v>
      </c>
      <c r="DP417" s="917" t="str">
        <f t="shared" si="119"/>
        <v>-</v>
      </c>
      <c r="DQ417" s="917" t="str">
        <f>IF(LEFT(CELLformula(DF417),3)&lt;&gt;"=IF",1,"")</f>
        <v/>
      </c>
      <c r="DR417" s="917" t="str">
        <f>IF(LEFT(CELLformula(DD417),3)&lt;&gt;"=IF",1,"")</f>
        <v/>
      </c>
      <c r="DS417" s="3048">
        <f t="shared" si="128"/>
        <v>0</v>
      </c>
      <c r="DT417" s="3047" t="str">
        <f t="shared" si="129"/>
        <v/>
      </c>
      <c r="DU417" s="3047" t="str">
        <f>IFERROR(IF(G417="","",SUMIF('Lighting Assumptions'!$G$3:$G$112,'6a - Lighting Counts'!G417,'Lighting Assumptions'!$H$3:$H$112)*IF(SI_IP_Units="SI",10.76,1)),"")</f>
        <v/>
      </c>
      <c r="DV417" s="3047" t="str">
        <f>IFERROR(IF($CX417="","",IF(SI_IP_Units="SI",10.76,1)*SUMIF(BAMCategories,$CY417,'Lighting Assumptions'!$E$3:E$35)),"")</f>
        <v/>
      </c>
      <c r="DW417" s="3047" t="str">
        <f>IFERROR(IF($CX417="","",IF(SI_IP_Units="SI",10.76,1)*SUMIF(BAMCategories,$CY417,IF(bpf_reference="ACP",'Lighting Assumptions 90.1-2010'!$E$3:E$35,'Lighting Assumptions 90.1-2016'!$E$3:E$35))),"")</f>
        <v/>
      </c>
      <c r="EW417" s="855"/>
      <c r="EX417" s="855"/>
      <c r="EY417" s="855"/>
      <c r="EZ417" s="855"/>
    </row>
    <row r="418" spans="4:156" x14ac:dyDescent="0.25">
      <c r="D418" s="3019"/>
      <c r="E418" s="3020"/>
      <c r="F418" s="3021">
        <f t="shared" si="116"/>
        <v>0</v>
      </c>
      <c r="G418" s="3059"/>
      <c r="H418" s="3060"/>
      <c r="I418" s="3061"/>
      <c r="J418" s="3061"/>
      <c r="K418" s="3061"/>
      <c r="L418" s="3061"/>
      <c r="M418" s="3061"/>
      <c r="N418" s="3061"/>
      <c r="O418" s="3061"/>
      <c r="P418" s="3061"/>
      <c r="Q418" s="3061"/>
      <c r="R418" s="3061"/>
      <c r="S418" s="3061"/>
      <c r="T418" s="3061"/>
      <c r="U418" s="3061"/>
      <c r="V418" s="3061"/>
      <c r="W418" s="3061"/>
      <c r="X418" s="3061"/>
      <c r="Y418" s="3061"/>
      <c r="Z418" s="3061"/>
      <c r="AA418" s="3061"/>
      <c r="AB418" s="3061"/>
      <c r="AC418" s="3061"/>
      <c r="AD418" s="3061"/>
      <c r="AE418" s="3061"/>
      <c r="AF418" s="3061"/>
      <c r="AG418" s="3061"/>
      <c r="AH418" s="3061"/>
      <c r="AI418" s="3061"/>
      <c r="AJ418" s="3061"/>
      <c r="AK418" s="3061"/>
      <c r="AL418" s="3061"/>
      <c r="AM418" s="3061"/>
      <c r="AN418" s="3061"/>
      <c r="AO418" s="3061"/>
      <c r="AP418" s="3061"/>
      <c r="AQ418" s="3061"/>
      <c r="AR418" s="3061"/>
      <c r="AS418" s="3061"/>
      <c r="AT418" s="3061"/>
      <c r="AU418" s="3061"/>
      <c r="AV418" s="3061"/>
      <c r="AW418" s="3061"/>
      <c r="AX418" s="3061"/>
      <c r="AY418" s="3061"/>
      <c r="AZ418" s="3061"/>
      <c r="BA418" s="3061"/>
      <c r="BB418" s="3061"/>
      <c r="BC418" s="3061"/>
      <c r="BD418" s="3061"/>
      <c r="BE418" s="3061"/>
      <c r="BF418" s="3061"/>
      <c r="BG418" s="3061"/>
      <c r="BH418" s="3061"/>
      <c r="BI418" s="3061"/>
      <c r="BJ418" s="3061"/>
      <c r="BK418" s="3061"/>
      <c r="BL418" s="3061"/>
      <c r="BM418" s="3061"/>
      <c r="BN418" s="3061"/>
      <c r="BO418" s="3061"/>
      <c r="BP418" s="3061"/>
      <c r="BQ418" s="3061"/>
      <c r="BR418" s="3061"/>
      <c r="BS418" s="3061"/>
      <c r="BT418" s="3061"/>
      <c r="BU418" s="3061"/>
      <c r="BV418" s="3061"/>
      <c r="BW418" s="3061"/>
      <c r="BX418" s="3061"/>
      <c r="BY418" s="3061"/>
      <c r="BZ418" s="3061"/>
      <c r="CA418" s="3061"/>
      <c r="CB418" s="3061"/>
      <c r="CC418" s="3061"/>
      <c r="CD418" s="3061"/>
      <c r="CE418" s="3061"/>
      <c r="CF418" s="3061"/>
      <c r="CG418" s="3061"/>
      <c r="CH418" s="3061"/>
      <c r="CI418" s="3061"/>
      <c r="CJ418" s="3061"/>
      <c r="CK418" s="3061"/>
      <c r="CL418" s="3061"/>
      <c r="CM418" s="3061"/>
      <c r="CN418" s="3061"/>
      <c r="CO418" s="3061"/>
      <c r="CP418" s="3061"/>
      <c r="CQ418" s="3061"/>
      <c r="CR418" s="3061"/>
      <c r="CS418" s="3062"/>
      <c r="CT418" s="3063"/>
      <c r="CU418" s="3064">
        <f t="shared" si="120"/>
        <v>1</v>
      </c>
      <c r="CV418" s="3022" t="str">
        <f>IF(OR(CT418="",CT418="None"),"-",DO418*CU418*SUMIF('Lighting Assumptions'!$G$3:$G$112,'6a - Lighting Counts'!G418,'Lighting Assumptions'!$J$3:$J$112))</f>
        <v>-</v>
      </c>
      <c r="CW418" s="3021"/>
      <c r="CX418" s="3021"/>
      <c r="CY418" s="3046"/>
      <c r="CZ418" s="2098">
        <f t="shared" si="121"/>
        <v>0</v>
      </c>
      <c r="DA418" s="2098" t="str">
        <f t="shared" si="122"/>
        <v>-</v>
      </c>
      <c r="DB418" s="2098">
        <f t="shared" si="123"/>
        <v>0</v>
      </c>
      <c r="DC418" s="3023" t="str">
        <f t="shared" si="124"/>
        <v>-</v>
      </c>
      <c r="DD418" s="3024" t="str">
        <f t="shared" si="125"/>
        <v/>
      </c>
      <c r="DE418" s="3025" t="str">
        <f t="shared" si="126"/>
        <v>-</v>
      </c>
      <c r="DF418" s="3024" t="str">
        <f t="shared" si="117"/>
        <v>-</v>
      </c>
      <c r="DG418" s="2098">
        <f t="shared" si="127"/>
        <v>0</v>
      </c>
      <c r="DH418" s="2098">
        <f t="array" ref="DH418">MIN(SUMPRODUCT(I418:CR418,IF($I$25:$CR$25="yes",1,0),$I$23:$CR$23),H418)</f>
        <v>0</v>
      </c>
      <c r="DI418" s="3026"/>
      <c r="DJ418" s="3021"/>
      <c r="DN418" s="917" t="str">
        <f>IF(CS418="","-",SUMIF('Lighting Assumptions'!$G$3:$G$112,'6a - Lighting Counts'!G418,'Lighting Assumptions'!$J$3:$J$112))</f>
        <v>-</v>
      </c>
      <c r="DO418" s="917" t="str">
        <f t="shared" si="118"/>
        <v>-</v>
      </c>
      <c r="DP418" s="917" t="str">
        <f t="shared" si="119"/>
        <v>-</v>
      </c>
      <c r="DQ418" s="917" t="str">
        <f>IF(LEFT(CELLformula(DF418),3)&lt;&gt;"=IF",1,"")</f>
        <v/>
      </c>
      <c r="DR418" s="917" t="str">
        <f>IF(LEFT(CELLformula(DD418),3)&lt;&gt;"=IF",1,"")</f>
        <v/>
      </c>
      <c r="DS418" s="3048">
        <f t="shared" si="128"/>
        <v>0</v>
      </c>
      <c r="DT418" s="3047" t="str">
        <f t="shared" si="129"/>
        <v/>
      </c>
      <c r="DU418" s="3047" t="str">
        <f>IFERROR(IF(G418="","",SUMIF('Lighting Assumptions'!$G$3:$G$112,'6a - Lighting Counts'!G418,'Lighting Assumptions'!$H$3:$H$112)*IF(SI_IP_Units="SI",10.76,1)),"")</f>
        <v/>
      </c>
      <c r="DV418" s="3047" t="str">
        <f>IFERROR(IF($CX418="","",IF(SI_IP_Units="SI",10.76,1)*SUMIF(BAMCategories,$CY418,'Lighting Assumptions'!$E$3:E$35)),"")</f>
        <v/>
      </c>
      <c r="DW418" s="3047" t="str">
        <f>IFERROR(IF($CX418="","",IF(SI_IP_Units="SI",10.76,1)*SUMIF(BAMCategories,$CY418,IF(bpf_reference="ACP",'Lighting Assumptions 90.1-2010'!$E$3:E$35,'Lighting Assumptions 90.1-2016'!$E$3:E$35))),"")</f>
        <v/>
      </c>
      <c r="EW418" s="855"/>
      <c r="EX418" s="855"/>
      <c r="EY418" s="855"/>
      <c r="EZ418" s="855"/>
    </row>
    <row r="419" spans="4:156" x14ac:dyDescent="0.25">
      <c r="D419" s="3019"/>
      <c r="E419" s="3020"/>
      <c r="F419" s="3021">
        <f t="shared" si="116"/>
        <v>0</v>
      </c>
      <c r="G419" s="3059"/>
      <c r="H419" s="3060"/>
      <c r="I419" s="3061"/>
      <c r="J419" s="3061"/>
      <c r="K419" s="3061"/>
      <c r="L419" s="3061"/>
      <c r="M419" s="3061"/>
      <c r="N419" s="3061"/>
      <c r="O419" s="3061"/>
      <c r="P419" s="3061"/>
      <c r="Q419" s="3061"/>
      <c r="R419" s="3061"/>
      <c r="S419" s="3061"/>
      <c r="T419" s="3061"/>
      <c r="U419" s="3061"/>
      <c r="V419" s="3061"/>
      <c r="W419" s="3061"/>
      <c r="X419" s="3061"/>
      <c r="Y419" s="3061"/>
      <c r="Z419" s="3061"/>
      <c r="AA419" s="3061"/>
      <c r="AB419" s="3061"/>
      <c r="AC419" s="3061"/>
      <c r="AD419" s="3061"/>
      <c r="AE419" s="3061"/>
      <c r="AF419" s="3061"/>
      <c r="AG419" s="3061"/>
      <c r="AH419" s="3061"/>
      <c r="AI419" s="3061"/>
      <c r="AJ419" s="3061"/>
      <c r="AK419" s="3061"/>
      <c r="AL419" s="3061"/>
      <c r="AM419" s="3061"/>
      <c r="AN419" s="3061"/>
      <c r="AO419" s="3061"/>
      <c r="AP419" s="3061"/>
      <c r="AQ419" s="3061"/>
      <c r="AR419" s="3061"/>
      <c r="AS419" s="3061"/>
      <c r="AT419" s="3061"/>
      <c r="AU419" s="3061"/>
      <c r="AV419" s="3061"/>
      <c r="AW419" s="3061"/>
      <c r="AX419" s="3061"/>
      <c r="AY419" s="3061"/>
      <c r="AZ419" s="3061"/>
      <c r="BA419" s="3061"/>
      <c r="BB419" s="3061"/>
      <c r="BC419" s="3061"/>
      <c r="BD419" s="3061"/>
      <c r="BE419" s="3061"/>
      <c r="BF419" s="3061"/>
      <c r="BG419" s="3061"/>
      <c r="BH419" s="3061"/>
      <c r="BI419" s="3061"/>
      <c r="BJ419" s="3061"/>
      <c r="BK419" s="3061"/>
      <c r="BL419" s="3061"/>
      <c r="BM419" s="3061"/>
      <c r="BN419" s="3061"/>
      <c r="BO419" s="3061"/>
      <c r="BP419" s="3061"/>
      <c r="BQ419" s="3061"/>
      <c r="BR419" s="3061"/>
      <c r="BS419" s="3061"/>
      <c r="BT419" s="3061"/>
      <c r="BU419" s="3061"/>
      <c r="BV419" s="3061"/>
      <c r="BW419" s="3061"/>
      <c r="BX419" s="3061"/>
      <c r="BY419" s="3061"/>
      <c r="BZ419" s="3061"/>
      <c r="CA419" s="3061"/>
      <c r="CB419" s="3061"/>
      <c r="CC419" s="3061"/>
      <c r="CD419" s="3061"/>
      <c r="CE419" s="3061"/>
      <c r="CF419" s="3061"/>
      <c r="CG419" s="3061"/>
      <c r="CH419" s="3061"/>
      <c r="CI419" s="3061"/>
      <c r="CJ419" s="3061"/>
      <c r="CK419" s="3061"/>
      <c r="CL419" s="3061"/>
      <c r="CM419" s="3061"/>
      <c r="CN419" s="3061"/>
      <c r="CO419" s="3061"/>
      <c r="CP419" s="3061"/>
      <c r="CQ419" s="3061"/>
      <c r="CR419" s="3061"/>
      <c r="CS419" s="3062"/>
      <c r="CT419" s="3063"/>
      <c r="CU419" s="3064">
        <f t="shared" si="120"/>
        <v>1</v>
      </c>
      <c r="CV419" s="3022" t="str">
        <f>IF(OR(CT419="",CT419="None"),"-",DO419*CU419*SUMIF('Lighting Assumptions'!$G$3:$G$112,'6a - Lighting Counts'!G419,'Lighting Assumptions'!$J$3:$J$112))</f>
        <v>-</v>
      </c>
      <c r="CW419" s="3021"/>
      <c r="CX419" s="3021"/>
      <c r="CY419" s="3046"/>
      <c r="CZ419" s="2098">
        <f t="shared" si="121"/>
        <v>0</v>
      </c>
      <c r="DA419" s="2098" t="str">
        <f t="shared" si="122"/>
        <v>-</v>
      </c>
      <c r="DB419" s="2098">
        <f t="shared" si="123"/>
        <v>0</v>
      </c>
      <c r="DC419" s="3023" t="str">
        <f t="shared" si="124"/>
        <v>-</v>
      </c>
      <c r="DD419" s="3024" t="str">
        <f t="shared" si="125"/>
        <v/>
      </c>
      <c r="DE419" s="3025" t="str">
        <f t="shared" si="126"/>
        <v>-</v>
      </c>
      <c r="DF419" s="3024" t="str">
        <f t="shared" si="117"/>
        <v>-</v>
      </c>
      <c r="DG419" s="2098">
        <f t="shared" si="127"/>
        <v>0</v>
      </c>
      <c r="DH419" s="2098">
        <f t="array" ref="DH419">MIN(SUMPRODUCT(I419:CR419,IF($I$25:$CR$25="yes",1,0),$I$23:$CR$23),H419)</f>
        <v>0</v>
      </c>
      <c r="DI419" s="3026"/>
      <c r="DJ419" s="3021"/>
      <c r="DN419" s="917" t="str">
        <f>IF(CS419="","-",SUMIF('Lighting Assumptions'!$G$3:$G$112,'6a - Lighting Counts'!G419,'Lighting Assumptions'!$J$3:$J$112))</f>
        <v>-</v>
      </c>
      <c r="DO419" s="917" t="str">
        <f t="shared" si="118"/>
        <v>-</v>
      </c>
      <c r="DP419" s="917" t="str">
        <f t="shared" si="119"/>
        <v>-</v>
      </c>
      <c r="DQ419" s="917" t="str">
        <f>IF(LEFT(CELLformula(DF419),3)&lt;&gt;"=IF",1,"")</f>
        <v/>
      </c>
      <c r="DR419" s="917" t="str">
        <f>IF(LEFT(CELLformula(DD419),3)&lt;&gt;"=IF",1,"")</f>
        <v/>
      </c>
      <c r="DS419" s="3048">
        <f t="shared" si="128"/>
        <v>0</v>
      </c>
      <c r="DT419" s="3047" t="str">
        <f t="shared" si="129"/>
        <v/>
      </c>
      <c r="DU419" s="3047" t="str">
        <f>IFERROR(IF(G419="","",SUMIF('Lighting Assumptions'!$G$3:$G$112,'6a - Lighting Counts'!G419,'Lighting Assumptions'!$H$3:$H$112)*IF(SI_IP_Units="SI",10.76,1)),"")</f>
        <v/>
      </c>
      <c r="DV419" s="3047" t="str">
        <f>IFERROR(IF($CX419="","",IF(SI_IP_Units="SI",10.76,1)*SUMIF(BAMCategories,$CY419,'Lighting Assumptions'!$E$3:E$35)),"")</f>
        <v/>
      </c>
      <c r="DW419" s="3047" t="str">
        <f>IFERROR(IF($CX419="","",IF(SI_IP_Units="SI",10.76,1)*SUMIF(BAMCategories,$CY419,IF(bpf_reference="ACP",'Lighting Assumptions 90.1-2010'!$E$3:E$35,'Lighting Assumptions 90.1-2016'!$E$3:E$35))),"")</f>
        <v/>
      </c>
      <c r="EW419" s="855"/>
      <c r="EX419" s="855"/>
      <c r="EY419" s="855"/>
      <c r="EZ419" s="855"/>
    </row>
    <row r="420" spans="4:156" x14ac:dyDescent="0.25">
      <c r="D420" s="3019"/>
      <c r="E420" s="3020"/>
      <c r="F420" s="3021">
        <f t="shared" si="116"/>
        <v>0</v>
      </c>
      <c r="G420" s="3059"/>
      <c r="H420" s="3060"/>
      <c r="I420" s="3061"/>
      <c r="J420" s="3061"/>
      <c r="K420" s="3061"/>
      <c r="L420" s="3061"/>
      <c r="M420" s="3061"/>
      <c r="N420" s="3061"/>
      <c r="O420" s="3061"/>
      <c r="P420" s="3061"/>
      <c r="Q420" s="3061"/>
      <c r="R420" s="3061"/>
      <c r="S420" s="3061"/>
      <c r="T420" s="3061"/>
      <c r="U420" s="3061"/>
      <c r="V420" s="3061"/>
      <c r="W420" s="3061"/>
      <c r="X420" s="3061"/>
      <c r="Y420" s="3061"/>
      <c r="Z420" s="3061"/>
      <c r="AA420" s="3061"/>
      <c r="AB420" s="3061"/>
      <c r="AC420" s="3061"/>
      <c r="AD420" s="3061"/>
      <c r="AE420" s="3061"/>
      <c r="AF420" s="3061"/>
      <c r="AG420" s="3061"/>
      <c r="AH420" s="3061"/>
      <c r="AI420" s="3061"/>
      <c r="AJ420" s="3061"/>
      <c r="AK420" s="3061"/>
      <c r="AL420" s="3061"/>
      <c r="AM420" s="3061"/>
      <c r="AN420" s="3061"/>
      <c r="AO420" s="3061"/>
      <c r="AP420" s="3061"/>
      <c r="AQ420" s="3061"/>
      <c r="AR420" s="3061"/>
      <c r="AS420" s="3061"/>
      <c r="AT420" s="3061"/>
      <c r="AU420" s="3061"/>
      <c r="AV420" s="3061"/>
      <c r="AW420" s="3061"/>
      <c r="AX420" s="3061"/>
      <c r="AY420" s="3061"/>
      <c r="AZ420" s="3061"/>
      <c r="BA420" s="3061"/>
      <c r="BB420" s="3061"/>
      <c r="BC420" s="3061"/>
      <c r="BD420" s="3061"/>
      <c r="BE420" s="3061"/>
      <c r="BF420" s="3061"/>
      <c r="BG420" s="3061"/>
      <c r="BH420" s="3061"/>
      <c r="BI420" s="3061"/>
      <c r="BJ420" s="3061"/>
      <c r="BK420" s="3061"/>
      <c r="BL420" s="3061"/>
      <c r="BM420" s="3061"/>
      <c r="BN420" s="3061"/>
      <c r="BO420" s="3061"/>
      <c r="BP420" s="3061"/>
      <c r="BQ420" s="3061"/>
      <c r="BR420" s="3061"/>
      <c r="BS420" s="3061"/>
      <c r="BT420" s="3061"/>
      <c r="BU420" s="3061"/>
      <c r="BV420" s="3061"/>
      <c r="BW420" s="3061"/>
      <c r="BX420" s="3061"/>
      <c r="BY420" s="3061"/>
      <c r="BZ420" s="3061"/>
      <c r="CA420" s="3061"/>
      <c r="CB420" s="3061"/>
      <c r="CC420" s="3061"/>
      <c r="CD420" s="3061"/>
      <c r="CE420" s="3061"/>
      <c r="CF420" s="3061"/>
      <c r="CG420" s="3061"/>
      <c r="CH420" s="3061"/>
      <c r="CI420" s="3061"/>
      <c r="CJ420" s="3061"/>
      <c r="CK420" s="3061"/>
      <c r="CL420" s="3061"/>
      <c r="CM420" s="3061"/>
      <c r="CN420" s="3061"/>
      <c r="CO420" s="3061"/>
      <c r="CP420" s="3061"/>
      <c r="CQ420" s="3061"/>
      <c r="CR420" s="3061"/>
      <c r="CS420" s="3062"/>
      <c r="CT420" s="3063"/>
      <c r="CU420" s="3064">
        <f t="shared" si="120"/>
        <v>1</v>
      </c>
      <c r="CV420" s="3022" t="str">
        <f>IF(OR(CT420="",CT420="None"),"-",DO420*CU420*SUMIF('Lighting Assumptions'!$G$3:$G$112,'6a - Lighting Counts'!G420,'Lighting Assumptions'!$J$3:$J$112))</f>
        <v>-</v>
      </c>
      <c r="CW420" s="3021"/>
      <c r="CX420" s="3021"/>
      <c r="CY420" s="3046"/>
      <c r="CZ420" s="2098">
        <f t="shared" si="121"/>
        <v>0</v>
      </c>
      <c r="DA420" s="2098" t="str">
        <f t="shared" si="122"/>
        <v>-</v>
      </c>
      <c r="DB420" s="2098">
        <f t="shared" si="123"/>
        <v>0</v>
      </c>
      <c r="DC420" s="3023" t="str">
        <f t="shared" si="124"/>
        <v>-</v>
      </c>
      <c r="DD420" s="3024" t="str">
        <f t="shared" si="125"/>
        <v/>
      </c>
      <c r="DE420" s="3025" t="str">
        <f t="shared" si="126"/>
        <v>-</v>
      </c>
      <c r="DF420" s="3024" t="str">
        <f t="shared" si="117"/>
        <v>-</v>
      </c>
      <c r="DG420" s="2098">
        <f t="shared" si="127"/>
        <v>0</v>
      </c>
      <c r="DH420" s="2098">
        <f t="array" ref="DH420">MIN(SUMPRODUCT(I420:CR420,IF($I$25:$CR$25="yes",1,0),$I$23:$CR$23),H420)</f>
        <v>0</v>
      </c>
      <c r="DI420" s="3026"/>
      <c r="DJ420" s="3021"/>
      <c r="DN420" s="917" t="str">
        <f>IF(CS420="","-",SUMIF('Lighting Assumptions'!$G$3:$G$112,'6a - Lighting Counts'!G420,'Lighting Assumptions'!$J$3:$J$112))</f>
        <v>-</v>
      </c>
      <c r="DO420" s="917" t="str">
        <f t="shared" si="118"/>
        <v>-</v>
      </c>
      <c r="DP420" s="917" t="str">
        <f t="shared" si="119"/>
        <v>-</v>
      </c>
      <c r="DQ420" s="917" t="str">
        <f>IF(LEFT(CELLformula(DF420),3)&lt;&gt;"=IF",1,"")</f>
        <v/>
      </c>
      <c r="DR420" s="917" t="str">
        <f>IF(LEFT(CELLformula(DD420),3)&lt;&gt;"=IF",1,"")</f>
        <v/>
      </c>
      <c r="DS420" s="3048">
        <f t="shared" si="128"/>
        <v>0</v>
      </c>
      <c r="DT420" s="3047" t="str">
        <f t="shared" si="129"/>
        <v/>
      </c>
      <c r="DU420" s="3047" t="str">
        <f>IFERROR(IF(G420="","",SUMIF('Lighting Assumptions'!$G$3:$G$112,'6a - Lighting Counts'!G420,'Lighting Assumptions'!$H$3:$H$112)*IF(SI_IP_Units="SI",10.76,1)),"")</f>
        <v/>
      </c>
      <c r="DV420" s="3047" t="str">
        <f>IFERROR(IF($CX420="","",IF(SI_IP_Units="SI",10.76,1)*SUMIF(BAMCategories,$CY420,'Lighting Assumptions'!$E$3:E$35)),"")</f>
        <v/>
      </c>
      <c r="DW420" s="3047" t="str">
        <f>IFERROR(IF($CX420="","",IF(SI_IP_Units="SI",10.76,1)*SUMIF(BAMCategories,$CY420,IF(bpf_reference="ACP",'Lighting Assumptions 90.1-2010'!$E$3:E$35,'Lighting Assumptions 90.1-2016'!$E$3:E$35))),"")</f>
        <v/>
      </c>
      <c r="EW420" s="855"/>
      <c r="EX420" s="855"/>
      <c r="EY420" s="855"/>
      <c r="EZ420" s="855"/>
    </row>
    <row r="421" spans="4:156" x14ac:dyDescent="0.25">
      <c r="D421" s="3019"/>
      <c r="E421" s="3020"/>
      <c r="F421" s="3021">
        <f t="shared" si="116"/>
        <v>0</v>
      </c>
      <c r="G421" s="3059"/>
      <c r="H421" s="3060"/>
      <c r="I421" s="3061"/>
      <c r="J421" s="3061"/>
      <c r="K421" s="3061"/>
      <c r="L421" s="3061"/>
      <c r="M421" s="3061"/>
      <c r="N421" s="3061"/>
      <c r="O421" s="3061"/>
      <c r="P421" s="3061"/>
      <c r="Q421" s="3061"/>
      <c r="R421" s="3061"/>
      <c r="S421" s="3061"/>
      <c r="T421" s="3061"/>
      <c r="U421" s="3061"/>
      <c r="V421" s="3061"/>
      <c r="W421" s="3061"/>
      <c r="X421" s="3061"/>
      <c r="Y421" s="3061"/>
      <c r="Z421" s="3061"/>
      <c r="AA421" s="3061"/>
      <c r="AB421" s="3061"/>
      <c r="AC421" s="3061"/>
      <c r="AD421" s="3061"/>
      <c r="AE421" s="3061"/>
      <c r="AF421" s="3061"/>
      <c r="AG421" s="3061"/>
      <c r="AH421" s="3061"/>
      <c r="AI421" s="3061"/>
      <c r="AJ421" s="3061"/>
      <c r="AK421" s="3061"/>
      <c r="AL421" s="3061"/>
      <c r="AM421" s="3061"/>
      <c r="AN421" s="3061"/>
      <c r="AO421" s="3061"/>
      <c r="AP421" s="3061"/>
      <c r="AQ421" s="3061"/>
      <c r="AR421" s="3061"/>
      <c r="AS421" s="3061"/>
      <c r="AT421" s="3061"/>
      <c r="AU421" s="3061"/>
      <c r="AV421" s="3061"/>
      <c r="AW421" s="3061"/>
      <c r="AX421" s="3061"/>
      <c r="AY421" s="3061"/>
      <c r="AZ421" s="3061"/>
      <c r="BA421" s="3061"/>
      <c r="BB421" s="3061"/>
      <c r="BC421" s="3061"/>
      <c r="BD421" s="3061"/>
      <c r="BE421" s="3061"/>
      <c r="BF421" s="3061"/>
      <c r="BG421" s="3061"/>
      <c r="BH421" s="3061"/>
      <c r="BI421" s="3061"/>
      <c r="BJ421" s="3061"/>
      <c r="BK421" s="3061"/>
      <c r="BL421" s="3061"/>
      <c r="BM421" s="3061"/>
      <c r="BN421" s="3061"/>
      <c r="BO421" s="3061"/>
      <c r="BP421" s="3061"/>
      <c r="BQ421" s="3061"/>
      <c r="BR421" s="3061"/>
      <c r="BS421" s="3061"/>
      <c r="BT421" s="3061"/>
      <c r="BU421" s="3061"/>
      <c r="BV421" s="3061"/>
      <c r="BW421" s="3061"/>
      <c r="BX421" s="3061"/>
      <c r="BY421" s="3061"/>
      <c r="BZ421" s="3061"/>
      <c r="CA421" s="3061"/>
      <c r="CB421" s="3061"/>
      <c r="CC421" s="3061"/>
      <c r="CD421" s="3061"/>
      <c r="CE421" s="3061"/>
      <c r="CF421" s="3061"/>
      <c r="CG421" s="3061"/>
      <c r="CH421" s="3061"/>
      <c r="CI421" s="3061"/>
      <c r="CJ421" s="3061"/>
      <c r="CK421" s="3061"/>
      <c r="CL421" s="3061"/>
      <c r="CM421" s="3061"/>
      <c r="CN421" s="3061"/>
      <c r="CO421" s="3061"/>
      <c r="CP421" s="3061"/>
      <c r="CQ421" s="3061"/>
      <c r="CR421" s="3061"/>
      <c r="CS421" s="3062"/>
      <c r="CT421" s="3063"/>
      <c r="CU421" s="3064">
        <f t="shared" si="120"/>
        <v>1</v>
      </c>
      <c r="CV421" s="3022" t="str">
        <f>IF(OR(CT421="",CT421="None"),"-",DO421*CU421*SUMIF('Lighting Assumptions'!$G$3:$G$112,'6a - Lighting Counts'!G421,'Lighting Assumptions'!$J$3:$J$112))</f>
        <v>-</v>
      </c>
      <c r="CW421" s="3021"/>
      <c r="CX421" s="3021"/>
      <c r="CY421" s="3046"/>
      <c r="CZ421" s="2098">
        <f t="shared" si="121"/>
        <v>0</v>
      </c>
      <c r="DA421" s="2098" t="str">
        <f t="shared" si="122"/>
        <v>-</v>
      </c>
      <c r="DB421" s="2098">
        <f t="shared" si="123"/>
        <v>0</v>
      </c>
      <c r="DC421" s="3023" t="str">
        <f t="shared" si="124"/>
        <v>-</v>
      </c>
      <c r="DD421" s="3024" t="str">
        <f t="shared" si="125"/>
        <v/>
      </c>
      <c r="DE421" s="3025" t="str">
        <f t="shared" si="126"/>
        <v>-</v>
      </c>
      <c r="DF421" s="3024" t="str">
        <f t="shared" si="117"/>
        <v>-</v>
      </c>
      <c r="DG421" s="2098">
        <f t="shared" si="127"/>
        <v>0</v>
      </c>
      <c r="DH421" s="2098">
        <f t="array" ref="DH421">MIN(SUMPRODUCT(I421:CR421,IF($I$25:$CR$25="yes",1,0),$I$23:$CR$23),H421)</f>
        <v>0</v>
      </c>
      <c r="DI421" s="3026"/>
      <c r="DJ421" s="3021"/>
      <c r="DN421" s="917" t="str">
        <f>IF(CS421="","-",SUMIF('Lighting Assumptions'!$G$3:$G$112,'6a - Lighting Counts'!G421,'Lighting Assumptions'!$J$3:$J$112))</f>
        <v>-</v>
      </c>
      <c r="DO421" s="917" t="str">
        <f t="shared" si="118"/>
        <v>-</v>
      </c>
      <c r="DP421" s="917" t="str">
        <f t="shared" si="119"/>
        <v>-</v>
      </c>
      <c r="DQ421" s="917" t="str">
        <f>IF(LEFT(CELLformula(DF421),3)&lt;&gt;"=IF",1,"")</f>
        <v/>
      </c>
      <c r="DR421" s="917" t="str">
        <f>IF(LEFT(CELLformula(DD421),3)&lt;&gt;"=IF",1,"")</f>
        <v/>
      </c>
      <c r="DS421" s="3048">
        <f t="shared" si="128"/>
        <v>0</v>
      </c>
      <c r="DT421" s="3047" t="str">
        <f t="shared" si="129"/>
        <v/>
      </c>
      <c r="DU421" s="3047" t="str">
        <f>IFERROR(IF(G421="","",SUMIF('Lighting Assumptions'!$G$3:$G$112,'6a - Lighting Counts'!G421,'Lighting Assumptions'!$H$3:$H$112)*IF(SI_IP_Units="SI",10.76,1)),"")</f>
        <v/>
      </c>
      <c r="DV421" s="3047" t="str">
        <f>IFERROR(IF($CX421="","",IF(SI_IP_Units="SI",10.76,1)*SUMIF(BAMCategories,$CY421,'Lighting Assumptions'!$E$3:E$35)),"")</f>
        <v/>
      </c>
      <c r="DW421" s="3047" t="str">
        <f>IFERROR(IF($CX421="","",IF(SI_IP_Units="SI",10.76,1)*SUMIF(BAMCategories,$CY421,IF(bpf_reference="ACP",'Lighting Assumptions 90.1-2010'!$E$3:E$35,'Lighting Assumptions 90.1-2016'!$E$3:E$35))),"")</f>
        <v/>
      </c>
      <c r="EW421" s="855"/>
      <c r="EX421" s="855"/>
      <c r="EY421" s="855"/>
      <c r="EZ421" s="855"/>
    </row>
    <row r="422" spans="4:156" x14ac:dyDescent="0.25">
      <c r="D422" s="3019"/>
      <c r="E422" s="3020"/>
      <c r="F422" s="3021">
        <f t="shared" si="116"/>
        <v>0</v>
      </c>
      <c r="G422" s="3059"/>
      <c r="H422" s="3060"/>
      <c r="I422" s="3061"/>
      <c r="J422" s="3061"/>
      <c r="K422" s="3061"/>
      <c r="L422" s="3061"/>
      <c r="M422" s="3061"/>
      <c r="N422" s="3061"/>
      <c r="O422" s="3061"/>
      <c r="P422" s="3061"/>
      <c r="Q422" s="3061"/>
      <c r="R422" s="3061"/>
      <c r="S422" s="3061"/>
      <c r="T422" s="3061"/>
      <c r="U422" s="3061"/>
      <c r="V422" s="3061"/>
      <c r="W422" s="3061"/>
      <c r="X422" s="3061"/>
      <c r="Y422" s="3061"/>
      <c r="Z422" s="3061"/>
      <c r="AA422" s="3061"/>
      <c r="AB422" s="3061"/>
      <c r="AC422" s="3061"/>
      <c r="AD422" s="3061"/>
      <c r="AE422" s="3061"/>
      <c r="AF422" s="3061"/>
      <c r="AG422" s="3061"/>
      <c r="AH422" s="3061"/>
      <c r="AI422" s="3061"/>
      <c r="AJ422" s="3061"/>
      <c r="AK422" s="3061"/>
      <c r="AL422" s="3061"/>
      <c r="AM422" s="3061"/>
      <c r="AN422" s="3061"/>
      <c r="AO422" s="3061"/>
      <c r="AP422" s="3061"/>
      <c r="AQ422" s="3061"/>
      <c r="AR422" s="3061"/>
      <c r="AS422" s="3061"/>
      <c r="AT422" s="3061"/>
      <c r="AU422" s="3061"/>
      <c r="AV422" s="3061"/>
      <c r="AW422" s="3061"/>
      <c r="AX422" s="3061"/>
      <c r="AY422" s="3061"/>
      <c r="AZ422" s="3061"/>
      <c r="BA422" s="3061"/>
      <c r="BB422" s="3061"/>
      <c r="BC422" s="3061"/>
      <c r="BD422" s="3061"/>
      <c r="BE422" s="3061"/>
      <c r="BF422" s="3061"/>
      <c r="BG422" s="3061"/>
      <c r="BH422" s="3061"/>
      <c r="BI422" s="3061"/>
      <c r="BJ422" s="3061"/>
      <c r="BK422" s="3061"/>
      <c r="BL422" s="3061"/>
      <c r="BM422" s="3061"/>
      <c r="BN422" s="3061"/>
      <c r="BO422" s="3061"/>
      <c r="BP422" s="3061"/>
      <c r="BQ422" s="3061"/>
      <c r="BR422" s="3061"/>
      <c r="BS422" s="3061"/>
      <c r="BT422" s="3061"/>
      <c r="BU422" s="3061"/>
      <c r="BV422" s="3061"/>
      <c r="BW422" s="3061"/>
      <c r="BX422" s="3061"/>
      <c r="BY422" s="3061"/>
      <c r="BZ422" s="3061"/>
      <c r="CA422" s="3061"/>
      <c r="CB422" s="3061"/>
      <c r="CC422" s="3061"/>
      <c r="CD422" s="3061"/>
      <c r="CE422" s="3061"/>
      <c r="CF422" s="3061"/>
      <c r="CG422" s="3061"/>
      <c r="CH422" s="3061"/>
      <c r="CI422" s="3061"/>
      <c r="CJ422" s="3061"/>
      <c r="CK422" s="3061"/>
      <c r="CL422" s="3061"/>
      <c r="CM422" s="3061"/>
      <c r="CN422" s="3061"/>
      <c r="CO422" s="3061"/>
      <c r="CP422" s="3061"/>
      <c r="CQ422" s="3061"/>
      <c r="CR422" s="3061"/>
      <c r="CS422" s="3062"/>
      <c r="CT422" s="3063"/>
      <c r="CU422" s="3064">
        <f t="shared" si="120"/>
        <v>1</v>
      </c>
      <c r="CV422" s="3022" t="str">
        <f>IF(OR(CT422="",CT422="None"),"-",DO422*CU422*SUMIF('Lighting Assumptions'!$G$3:$G$112,'6a - Lighting Counts'!G422,'Lighting Assumptions'!$J$3:$J$112))</f>
        <v>-</v>
      </c>
      <c r="CW422" s="3021"/>
      <c r="CX422" s="3021"/>
      <c r="CY422" s="3046"/>
      <c r="CZ422" s="2098">
        <f t="shared" si="121"/>
        <v>0</v>
      </c>
      <c r="DA422" s="2098" t="str">
        <f t="shared" si="122"/>
        <v>-</v>
      </c>
      <c r="DB422" s="2098">
        <f t="shared" si="123"/>
        <v>0</v>
      </c>
      <c r="DC422" s="3023" t="str">
        <f t="shared" si="124"/>
        <v>-</v>
      </c>
      <c r="DD422" s="3024" t="str">
        <f t="shared" si="125"/>
        <v/>
      </c>
      <c r="DE422" s="3025" t="str">
        <f t="shared" si="126"/>
        <v>-</v>
      </c>
      <c r="DF422" s="3024" t="str">
        <f t="shared" si="117"/>
        <v>-</v>
      </c>
      <c r="DG422" s="2098">
        <f t="shared" si="127"/>
        <v>0</v>
      </c>
      <c r="DH422" s="2098">
        <f t="array" ref="DH422">MIN(SUMPRODUCT(I422:CR422,IF($I$25:$CR$25="yes",1,0),$I$23:$CR$23),H422)</f>
        <v>0</v>
      </c>
      <c r="DI422" s="3026"/>
      <c r="DJ422" s="3021"/>
      <c r="DN422" s="917" t="str">
        <f>IF(CS422="","-",SUMIF('Lighting Assumptions'!$G$3:$G$112,'6a - Lighting Counts'!G422,'Lighting Assumptions'!$J$3:$J$112))</f>
        <v>-</v>
      </c>
      <c r="DO422" s="917" t="str">
        <f t="shared" si="118"/>
        <v>-</v>
      </c>
      <c r="DP422" s="917" t="str">
        <f t="shared" si="119"/>
        <v>-</v>
      </c>
      <c r="DQ422" s="917" t="str">
        <f>IF(LEFT(CELLformula(DF422),3)&lt;&gt;"=IF",1,"")</f>
        <v/>
      </c>
      <c r="DR422" s="917" t="str">
        <f>IF(LEFT(CELLformula(DD422),3)&lt;&gt;"=IF",1,"")</f>
        <v/>
      </c>
      <c r="DS422" s="3048">
        <f t="shared" si="128"/>
        <v>0</v>
      </c>
      <c r="DT422" s="3047" t="str">
        <f t="shared" si="129"/>
        <v/>
      </c>
      <c r="DU422" s="3047" t="str">
        <f>IFERROR(IF(G422="","",SUMIF('Lighting Assumptions'!$G$3:$G$112,'6a - Lighting Counts'!G422,'Lighting Assumptions'!$H$3:$H$112)*IF(SI_IP_Units="SI",10.76,1)),"")</f>
        <v/>
      </c>
      <c r="DV422" s="3047" t="str">
        <f>IFERROR(IF($CX422="","",IF(SI_IP_Units="SI",10.76,1)*SUMIF(BAMCategories,$CY422,'Lighting Assumptions'!$E$3:E$35)),"")</f>
        <v/>
      </c>
      <c r="DW422" s="3047" t="str">
        <f>IFERROR(IF($CX422="","",IF(SI_IP_Units="SI",10.76,1)*SUMIF(BAMCategories,$CY422,IF(bpf_reference="ACP",'Lighting Assumptions 90.1-2010'!$E$3:E$35,'Lighting Assumptions 90.1-2016'!$E$3:E$35))),"")</f>
        <v/>
      </c>
      <c r="EW422" s="855"/>
      <c r="EX422" s="855"/>
      <c r="EY422" s="855"/>
      <c r="EZ422" s="855"/>
    </row>
    <row r="423" spans="4:156" x14ac:dyDescent="0.25">
      <c r="D423" s="3019"/>
      <c r="E423" s="3020"/>
      <c r="F423" s="3021">
        <f t="shared" si="116"/>
        <v>0</v>
      </c>
      <c r="G423" s="3059"/>
      <c r="H423" s="3060"/>
      <c r="I423" s="3061"/>
      <c r="J423" s="3061"/>
      <c r="K423" s="3061"/>
      <c r="L423" s="3061"/>
      <c r="M423" s="3061"/>
      <c r="N423" s="3061"/>
      <c r="O423" s="3061"/>
      <c r="P423" s="3061"/>
      <c r="Q423" s="3061"/>
      <c r="R423" s="3061"/>
      <c r="S423" s="3061"/>
      <c r="T423" s="3061"/>
      <c r="U423" s="3061"/>
      <c r="V423" s="3061"/>
      <c r="W423" s="3061"/>
      <c r="X423" s="3061"/>
      <c r="Y423" s="3061"/>
      <c r="Z423" s="3061"/>
      <c r="AA423" s="3061"/>
      <c r="AB423" s="3061"/>
      <c r="AC423" s="3061"/>
      <c r="AD423" s="3061"/>
      <c r="AE423" s="3061"/>
      <c r="AF423" s="3061"/>
      <c r="AG423" s="3061"/>
      <c r="AH423" s="3061"/>
      <c r="AI423" s="3061"/>
      <c r="AJ423" s="3061"/>
      <c r="AK423" s="3061"/>
      <c r="AL423" s="3061"/>
      <c r="AM423" s="3061"/>
      <c r="AN423" s="3061"/>
      <c r="AO423" s="3061"/>
      <c r="AP423" s="3061"/>
      <c r="AQ423" s="3061"/>
      <c r="AR423" s="3061"/>
      <c r="AS423" s="3061"/>
      <c r="AT423" s="3061"/>
      <c r="AU423" s="3061"/>
      <c r="AV423" s="3061"/>
      <c r="AW423" s="3061"/>
      <c r="AX423" s="3061"/>
      <c r="AY423" s="3061"/>
      <c r="AZ423" s="3061"/>
      <c r="BA423" s="3061"/>
      <c r="BB423" s="3061"/>
      <c r="BC423" s="3061"/>
      <c r="BD423" s="3061"/>
      <c r="BE423" s="3061"/>
      <c r="BF423" s="3061"/>
      <c r="BG423" s="3061"/>
      <c r="BH423" s="3061"/>
      <c r="BI423" s="3061"/>
      <c r="BJ423" s="3061"/>
      <c r="BK423" s="3061"/>
      <c r="BL423" s="3061"/>
      <c r="BM423" s="3061"/>
      <c r="BN423" s="3061"/>
      <c r="BO423" s="3061"/>
      <c r="BP423" s="3061"/>
      <c r="BQ423" s="3061"/>
      <c r="BR423" s="3061"/>
      <c r="BS423" s="3061"/>
      <c r="BT423" s="3061"/>
      <c r="BU423" s="3061"/>
      <c r="BV423" s="3061"/>
      <c r="BW423" s="3061"/>
      <c r="BX423" s="3061"/>
      <c r="BY423" s="3061"/>
      <c r="BZ423" s="3061"/>
      <c r="CA423" s="3061"/>
      <c r="CB423" s="3061"/>
      <c r="CC423" s="3061"/>
      <c r="CD423" s="3061"/>
      <c r="CE423" s="3061"/>
      <c r="CF423" s="3061"/>
      <c r="CG423" s="3061"/>
      <c r="CH423" s="3061"/>
      <c r="CI423" s="3061"/>
      <c r="CJ423" s="3061"/>
      <c r="CK423" s="3061"/>
      <c r="CL423" s="3061"/>
      <c r="CM423" s="3061"/>
      <c r="CN423" s="3061"/>
      <c r="CO423" s="3061"/>
      <c r="CP423" s="3061"/>
      <c r="CQ423" s="3061"/>
      <c r="CR423" s="3061"/>
      <c r="CS423" s="3062"/>
      <c r="CT423" s="3063"/>
      <c r="CU423" s="3064">
        <f t="shared" si="120"/>
        <v>1</v>
      </c>
      <c r="CV423" s="3022" t="str">
        <f>IF(OR(CT423="",CT423="None"),"-",DO423*CU423*SUMIF('Lighting Assumptions'!$G$3:$G$112,'6a - Lighting Counts'!G423,'Lighting Assumptions'!$J$3:$J$112))</f>
        <v>-</v>
      </c>
      <c r="CW423" s="3021"/>
      <c r="CX423" s="3021"/>
      <c r="CY423" s="3046"/>
      <c r="CZ423" s="2098">
        <f t="shared" si="121"/>
        <v>0</v>
      </c>
      <c r="DA423" s="2098" t="str">
        <f t="shared" si="122"/>
        <v>-</v>
      </c>
      <c r="DB423" s="2098">
        <f t="shared" si="123"/>
        <v>0</v>
      </c>
      <c r="DC423" s="3023" t="str">
        <f t="shared" si="124"/>
        <v>-</v>
      </c>
      <c r="DD423" s="3024" t="str">
        <f t="shared" si="125"/>
        <v/>
      </c>
      <c r="DE423" s="3025" t="str">
        <f t="shared" si="126"/>
        <v>-</v>
      </c>
      <c r="DF423" s="3024" t="str">
        <f t="shared" si="117"/>
        <v>-</v>
      </c>
      <c r="DG423" s="2098">
        <f t="shared" si="127"/>
        <v>0</v>
      </c>
      <c r="DH423" s="2098">
        <f t="array" ref="DH423">MIN(SUMPRODUCT(I423:CR423,IF($I$25:$CR$25="yes",1,0),$I$23:$CR$23),H423)</f>
        <v>0</v>
      </c>
      <c r="DI423" s="3026"/>
      <c r="DJ423" s="3021"/>
      <c r="DN423" s="917" t="str">
        <f>IF(CS423="","-",SUMIF('Lighting Assumptions'!$G$3:$G$112,'6a - Lighting Counts'!G423,'Lighting Assumptions'!$J$3:$J$112))</f>
        <v>-</v>
      </c>
      <c r="DO423" s="917" t="str">
        <f t="shared" si="118"/>
        <v>-</v>
      </c>
      <c r="DP423" s="917" t="str">
        <f t="shared" si="119"/>
        <v>-</v>
      </c>
      <c r="DQ423" s="917" t="str">
        <f>IF(LEFT(CELLformula(DF423),3)&lt;&gt;"=IF",1,"")</f>
        <v/>
      </c>
      <c r="DR423" s="917" t="str">
        <f>IF(LEFT(CELLformula(DD423),3)&lt;&gt;"=IF",1,"")</f>
        <v/>
      </c>
      <c r="DS423" s="3048">
        <f t="shared" si="128"/>
        <v>0</v>
      </c>
      <c r="DT423" s="3047" t="str">
        <f t="shared" si="129"/>
        <v/>
      </c>
      <c r="DU423" s="3047" t="str">
        <f>IFERROR(IF(G423="","",SUMIF('Lighting Assumptions'!$G$3:$G$112,'6a - Lighting Counts'!G423,'Lighting Assumptions'!$H$3:$H$112)*IF(SI_IP_Units="SI",10.76,1)),"")</f>
        <v/>
      </c>
      <c r="DV423" s="3047" t="str">
        <f>IFERROR(IF($CX423="","",IF(SI_IP_Units="SI",10.76,1)*SUMIF(BAMCategories,$CY423,'Lighting Assumptions'!$E$3:E$35)),"")</f>
        <v/>
      </c>
      <c r="DW423" s="3047" t="str">
        <f>IFERROR(IF($CX423="","",IF(SI_IP_Units="SI",10.76,1)*SUMIF(BAMCategories,$CY423,IF(bpf_reference="ACP",'Lighting Assumptions 90.1-2010'!$E$3:E$35,'Lighting Assumptions 90.1-2016'!$E$3:E$35))),"")</f>
        <v/>
      </c>
      <c r="EW423" s="855"/>
      <c r="EX423" s="855"/>
      <c r="EY423" s="855"/>
      <c r="EZ423" s="855"/>
    </row>
    <row r="424" spans="4:156" x14ac:dyDescent="0.25">
      <c r="D424" s="3019"/>
      <c r="E424" s="3020"/>
      <c r="F424" s="3021">
        <f t="shared" si="116"/>
        <v>0</v>
      </c>
      <c r="G424" s="3059"/>
      <c r="H424" s="3060"/>
      <c r="I424" s="3061"/>
      <c r="J424" s="3061"/>
      <c r="K424" s="3061"/>
      <c r="L424" s="3061"/>
      <c r="M424" s="3061"/>
      <c r="N424" s="3061"/>
      <c r="O424" s="3061"/>
      <c r="P424" s="3061"/>
      <c r="Q424" s="3061"/>
      <c r="R424" s="3061"/>
      <c r="S424" s="3061"/>
      <c r="T424" s="3061"/>
      <c r="U424" s="3061"/>
      <c r="V424" s="3061"/>
      <c r="W424" s="3061"/>
      <c r="X424" s="3061"/>
      <c r="Y424" s="3061"/>
      <c r="Z424" s="3061"/>
      <c r="AA424" s="3061"/>
      <c r="AB424" s="3061"/>
      <c r="AC424" s="3061"/>
      <c r="AD424" s="3061"/>
      <c r="AE424" s="3061"/>
      <c r="AF424" s="3061"/>
      <c r="AG424" s="3061"/>
      <c r="AH424" s="3061"/>
      <c r="AI424" s="3061"/>
      <c r="AJ424" s="3061"/>
      <c r="AK424" s="3061"/>
      <c r="AL424" s="3061"/>
      <c r="AM424" s="3061"/>
      <c r="AN424" s="3061"/>
      <c r="AO424" s="3061"/>
      <c r="AP424" s="3061"/>
      <c r="AQ424" s="3061"/>
      <c r="AR424" s="3061"/>
      <c r="AS424" s="3061"/>
      <c r="AT424" s="3061"/>
      <c r="AU424" s="3061"/>
      <c r="AV424" s="3061"/>
      <c r="AW424" s="3061"/>
      <c r="AX424" s="3061"/>
      <c r="AY424" s="3061"/>
      <c r="AZ424" s="3061"/>
      <c r="BA424" s="3061"/>
      <c r="BB424" s="3061"/>
      <c r="BC424" s="3061"/>
      <c r="BD424" s="3061"/>
      <c r="BE424" s="3061"/>
      <c r="BF424" s="3061"/>
      <c r="BG424" s="3061"/>
      <c r="BH424" s="3061"/>
      <c r="BI424" s="3061"/>
      <c r="BJ424" s="3061"/>
      <c r="BK424" s="3061"/>
      <c r="BL424" s="3061"/>
      <c r="BM424" s="3061"/>
      <c r="BN424" s="3061"/>
      <c r="BO424" s="3061"/>
      <c r="BP424" s="3061"/>
      <c r="BQ424" s="3061"/>
      <c r="BR424" s="3061"/>
      <c r="BS424" s="3061"/>
      <c r="BT424" s="3061"/>
      <c r="BU424" s="3061"/>
      <c r="BV424" s="3061"/>
      <c r="BW424" s="3061"/>
      <c r="BX424" s="3061"/>
      <c r="BY424" s="3061"/>
      <c r="BZ424" s="3061"/>
      <c r="CA424" s="3061"/>
      <c r="CB424" s="3061"/>
      <c r="CC424" s="3061"/>
      <c r="CD424" s="3061"/>
      <c r="CE424" s="3061"/>
      <c r="CF424" s="3061"/>
      <c r="CG424" s="3061"/>
      <c r="CH424" s="3061"/>
      <c r="CI424" s="3061"/>
      <c r="CJ424" s="3061"/>
      <c r="CK424" s="3061"/>
      <c r="CL424" s="3061"/>
      <c r="CM424" s="3061"/>
      <c r="CN424" s="3061"/>
      <c r="CO424" s="3061"/>
      <c r="CP424" s="3061"/>
      <c r="CQ424" s="3061"/>
      <c r="CR424" s="3061"/>
      <c r="CS424" s="3062"/>
      <c r="CT424" s="3063"/>
      <c r="CU424" s="3064">
        <f t="shared" si="120"/>
        <v>1</v>
      </c>
      <c r="CV424" s="3022" t="str">
        <f>IF(OR(CT424="",CT424="None"),"-",DO424*CU424*SUMIF('Lighting Assumptions'!$G$3:$G$112,'6a - Lighting Counts'!G424,'Lighting Assumptions'!$J$3:$J$112))</f>
        <v>-</v>
      </c>
      <c r="CW424" s="3021"/>
      <c r="CX424" s="3021"/>
      <c r="CY424" s="3046"/>
      <c r="CZ424" s="2098">
        <f t="shared" si="121"/>
        <v>0</v>
      </c>
      <c r="DA424" s="2098" t="str">
        <f t="shared" si="122"/>
        <v>-</v>
      </c>
      <c r="DB424" s="2098">
        <f t="shared" si="123"/>
        <v>0</v>
      </c>
      <c r="DC424" s="3023" t="str">
        <f t="shared" si="124"/>
        <v>-</v>
      </c>
      <c r="DD424" s="3024" t="str">
        <f t="shared" si="125"/>
        <v/>
      </c>
      <c r="DE424" s="3025" t="str">
        <f t="shared" si="126"/>
        <v>-</v>
      </c>
      <c r="DF424" s="3024" t="str">
        <f t="shared" si="117"/>
        <v>-</v>
      </c>
      <c r="DG424" s="2098">
        <f t="shared" si="127"/>
        <v>0</v>
      </c>
      <c r="DH424" s="2098">
        <f t="array" ref="DH424">MIN(SUMPRODUCT(I424:CR424,IF($I$25:$CR$25="yes",1,0),$I$23:$CR$23),H424)</f>
        <v>0</v>
      </c>
      <c r="DI424" s="3026"/>
      <c r="DJ424" s="3021"/>
      <c r="DN424" s="917" t="str">
        <f>IF(CS424="","-",SUMIF('Lighting Assumptions'!$G$3:$G$112,'6a - Lighting Counts'!G424,'Lighting Assumptions'!$J$3:$J$112))</f>
        <v>-</v>
      </c>
      <c r="DO424" s="917" t="str">
        <f t="shared" si="118"/>
        <v>-</v>
      </c>
      <c r="DP424" s="917" t="str">
        <f t="shared" si="119"/>
        <v>-</v>
      </c>
      <c r="DQ424" s="917" t="str">
        <f>IF(LEFT(CELLformula(DF424),3)&lt;&gt;"=IF",1,"")</f>
        <v/>
      </c>
      <c r="DR424" s="917" t="str">
        <f>IF(LEFT(CELLformula(DD424),3)&lt;&gt;"=IF",1,"")</f>
        <v/>
      </c>
      <c r="DS424" s="3048">
        <f t="shared" si="128"/>
        <v>0</v>
      </c>
      <c r="DT424" s="3047" t="str">
        <f t="shared" si="129"/>
        <v/>
      </c>
      <c r="DU424" s="3047" t="str">
        <f>IFERROR(IF(G424="","",SUMIF('Lighting Assumptions'!$G$3:$G$112,'6a - Lighting Counts'!G424,'Lighting Assumptions'!$H$3:$H$112)*IF(SI_IP_Units="SI",10.76,1)),"")</f>
        <v/>
      </c>
      <c r="DV424" s="3047" t="str">
        <f>IFERROR(IF($CX424="","",IF(SI_IP_Units="SI",10.76,1)*SUMIF(BAMCategories,$CY424,'Lighting Assumptions'!$E$3:E$35)),"")</f>
        <v/>
      </c>
      <c r="DW424" s="3047" t="str">
        <f>IFERROR(IF($CX424="","",IF(SI_IP_Units="SI",10.76,1)*SUMIF(BAMCategories,$CY424,IF(bpf_reference="ACP",'Lighting Assumptions 90.1-2010'!$E$3:E$35,'Lighting Assumptions 90.1-2016'!$E$3:E$35))),"")</f>
        <v/>
      </c>
      <c r="EW424" s="855"/>
      <c r="EX424" s="855"/>
      <c r="EY424" s="855"/>
      <c r="EZ424" s="855"/>
    </row>
    <row r="425" spans="4:156" x14ac:dyDescent="0.25">
      <c r="D425" s="3019"/>
      <c r="E425" s="3020"/>
      <c r="F425" s="3021">
        <f t="shared" si="116"/>
        <v>0</v>
      </c>
      <c r="G425" s="3059"/>
      <c r="H425" s="3060"/>
      <c r="I425" s="3061"/>
      <c r="J425" s="3061"/>
      <c r="K425" s="3061"/>
      <c r="L425" s="3061"/>
      <c r="M425" s="3061"/>
      <c r="N425" s="3061"/>
      <c r="O425" s="3061"/>
      <c r="P425" s="3061"/>
      <c r="Q425" s="3061"/>
      <c r="R425" s="3061"/>
      <c r="S425" s="3061"/>
      <c r="T425" s="3061"/>
      <c r="U425" s="3061"/>
      <c r="V425" s="3061"/>
      <c r="W425" s="3061"/>
      <c r="X425" s="3061"/>
      <c r="Y425" s="3061"/>
      <c r="Z425" s="3061"/>
      <c r="AA425" s="3061"/>
      <c r="AB425" s="3061"/>
      <c r="AC425" s="3061"/>
      <c r="AD425" s="3061"/>
      <c r="AE425" s="3061"/>
      <c r="AF425" s="3061"/>
      <c r="AG425" s="3061"/>
      <c r="AH425" s="3061"/>
      <c r="AI425" s="3061"/>
      <c r="AJ425" s="3061"/>
      <c r="AK425" s="3061"/>
      <c r="AL425" s="3061"/>
      <c r="AM425" s="3061"/>
      <c r="AN425" s="3061"/>
      <c r="AO425" s="3061"/>
      <c r="AP425" s="3061"/>
      <c r="AQ425" s="3061"/>
      <c r="AR425" s="3061"/>
      <c r="AS425" s="3061"/>
      <c r="AT425" s="3061"/>
      <c r="AU425" s="3061"/>
      <c r="AV425" s="3061"/>
      <c r="AW425" s="3061"/>
      <c r="AX425" s="3061"/>
      <c r="AY425" s="3061"/>
      <c r="AZ425" s="3061"/>
      <c r="BA425" s="3061"/>
      <c r="BB425" s="3061"/>
      <c r="BC425" s="3061"/>
      <c r="BD425" s="3061"/>
      <c r="BE425" s="3061"/>
      <c r="BF425" s="3061"/>
      <c r="BG425" s="3061"/>
      <c r="BH425" s="3061"/>
      <c r="BI425" s="3061"/>
      <c r="BJ425" s="3061"/>
      <c r="BK425" s="3061"/>
      <c r="BL425" s="3061"/>
      <c r="BM425" s="3061"/>
      <c r="BN425" s="3061"/>
      <c r="BO425" s="3061"/>
      <c r="BP425" s="3061"/>
      <c r="BQ425" s="3061"/>
      <c r="BR425" s="3061"/>
      <c r="BS425" s="3061"/>
      <c r="BT425" s="3061"/>
      <c r="BU425" s="3061"/>
      <c r="BV425" s="3061"/>
      <c r="BW425" s="3061"/>
      <c r="BX425" s="3061"/>
      <c r="BY425" s="3061"/>
      <c r="BZ425" s="3061"/>
      <c r="CA425" s="3061"/>
      <c r="CB425" s="3061"/>
      <c r="CC425" s="3061"/>
      <c r="CD425" s="3061"/>
      <c r="CE425" s="3061"/>
      <c r="CF425" s="3061"/>
      <c r="CG425" s="3061"/>
      <c r="CH425" s="3061"/>
      <c r="CI425" s="3061"/>
      <c r="CJ425" s="3061"/>
      <c r="CK425" s="3061"/>
      <c r="CL425" s="3061"/>
      <c r="CM425" s="3061"/>
      <c r="CN425" s="3061"/>
      <c r="CO425" s="3061"/>
      <c r="CP425" s="3061"/>
      <c r="CQ425" s="3061"/>
      <c r="CR425" s="3061"/>
      <c r="CS425" s="3062"/>
      <c r="CT425" s="3063"/>
      <c r="CU425" s="3064">
        <f t="shared" si="120"/>
        <v>1</v>
      </c>
      <c r="CV425" s="3022" t="str">
        <f>IF(OR(CT425="",CT425="None"),"-",DO425*CU425*SUMIF('Lighting Assumptions'!$G$3:$G$112,'6a - Lighting Counts'!G425,'Lighting Assumptions'!$J$3:$J$112))</f>
        <v>-</v>
      </c>
      <c r="CW425" s="3021"/>
      <c r="CX425" s="3021"/>
      <c r="CY425" s="3046"/>
      <c r="CZ425" s="2098">
        <f t="shared" si="121"/>
        <v>0</v>
      </c>
      <c r="DA425" s="2098" t="str">
        <f t="shared" si="122"/>
        <v>-</v>
      </c>
      <c r="DB425" s="2098">
        <f t="shared" si="123"/>
        <v>0</v>
      </c>
      <c r="DC425" s="3023" t="str">
        <f t="shared" si="124"/>
        <v>-</v>
      </c>
      <c r="DD425" s="3024" t="str">
        <f t="shared" si="125"/>
        <v/>
      </c>
      <c r="DE425" s="3025" t="str">
        <f t="shared" si="126"/>
        <v>-</v>
      </c>
      <c r="DF425" s="3024" t="str">
        <f t="shared" si="117"/>
        <v>-</v>
      </c>
      <c r="DG425" s="2098">
        <f t="shared" si="127"/>
        <v>0</v>
      </c>
      <c r="DH425" s="2098">
        <f t="array" ref="DH425">MIN(SUMPRODUCT(I425:CR425,IF($I$25:$CR$25="yes",1,0),$I$23:$CR$23),H425)</f>
        <v>0</v>
      </c>
      <c r="DI425" s="3026"/>
      <c r="DJ425" s="3021"/>
      <c r="DN425" s="917" t="str">
        <f>IF(CS425="","-",SUMIF('Lighting Assumptions'!$G$3:$G$112,'6a - Lighting Counts'!G425,'Lighting Assumptions'!$J$3:$J$112))</f>
        <v>-</v>
      </c>
      <c r="DO425" s="917" t="str">
        <f t="shared" si="118"/>
        <v>-</v>
      </c>
      <c r="DP425" s="917" t="str">
        <f t="shared" si="119"/>
        <v>-</v>
      </c>
      <c r="DQ425" s="917" t="str">
        <f>IF(LEFT(CELLformula(DF425),3)&lt;&gt;"=IF",1,"")</f>
        <v/>
      </c>
      <c r="DR425" s="917" t="str">
        <f>IF(LEFT(CELLformula(DD425),3)&lt;&gt;"=IF",1,"")</f>
        <v/>
      </c>
      <c r="DS425" s="3048">
        <f t="shared" si="128"/>
        <v>0</v>
      </c>
      <c r="DT425" s="3047" t="str">
        <f t="shared" si="129"/>
        <v/>
      </c>
      <c r="DU425" s="3047" t="str">
        <f>IFERROR(IF(G425="","",SUMIF('Lighting Assumptions'!$G$3:$G$112,'6a - Lighting Counts'!G425,'Lighting Assumptions'!$H$3:$H$112)*IF(SI_IP_Units="SI",10.76,1)),"")</f>
        <v/>
      </c>
      <c r="DV425" s="3047" t="str">
        <f>IFERROR(IF($CX425="","",IF(SI_IP_Units="SI",10.76,1)*SUMIF(BAMCategories,$CY425,'Lighting Assumptions'!$E$3:E$35)),"")</f>
        <v/>
      </c>
      <c r="DW425" s="3047" t="str">
        <f>IFERROR(IF($CX425="","",IF(SI_IP_Units="SI",10.76,1)*SUMIF(BAMCategories,$CY425,IF(bpf_reference="ACP",'Lighting Assumptions 90.1-2010'!$E$3:E$35,'Lighting Assumptions 90.1-2016'!$E$3:E$35))),"")</f>
        <v/>
      </c>
      <c r="EW425" s="855"/>
      <c r="EX425" s="855"/>
      <c r="EY425" s="855"/>
      <c r="EZ425" s="855"/>
    </row>
    <row r="426" spans="4:156" x14ac:dyDescent="0.25">
      <c r="D426" s="3019"/>
      <c r="E426" s="3028"/>
      <c r="F426" s="3021">
        <f t="shared" si="116"/>
        <v>0</v>
      </c>
      <c r="G426" s="3059"/>
      <c r="H426" s="3060"/>
      <c r="I426" s="3061"/>
      <c r="J426" s="3061"/>
      <c r="K426" s="3061"/>
      <c r="L426" s="3061"/>
      <c r="M426" s="3061"/>
      <c r="N426" s="3061"/>
      <c r="O426" s="3061"/>
      <c r="P426" s="3061"/>
      <c r="Q426" s="3061"/>
      <c r="R426" s="3061"/>
      <c r="S426" s="3061"/>
      <c r="T426" s="3061"/>
      <c r="U426" s="3061"/>
      <c r="V426" s="3061"/>
      <c r="W426" s="3061"/>
      <c r="X426" s="3061"/>
      <c r="Y426" s="3061"/>
      <c r="Z426" s="3061"/>
      <c r="AA426" s="3061"/>
      <c r="AB426" s="3061"/>
      <c r="AC426" s="3061"/>
      <c r="AD426" s="3061"/>
      <c r="AE426" s="3061"/>
      <c r="AF426" s="3061"/>
      <c r="AG426" s="3061"/>
      <c r="AH426" s="3061"/>
      <c r="AI426" s="3061"/>
      <c r="AJ426" s="3061"/>
      <c r="AK426" s="3061"/>
      <c r="AL426" s="3061"/>
      <c r="AM426" s="3061"/>
      <c r="AN426" s="3061"/>
      <c r="AO426" s="3061"/>
      <c r="AP426" s="3061"/>
      <c r="AQ426" s="3061"/>
      <c r="AR426" s="3061"/>
      <c r="AS426" s="3061"/>
      <c r="AT426" s="3061"/>
      <c r="AU426" s="3061"/>
      <c r="AV426" s="3061"/>
      <c r="AW426" s="3061"/>
      <c r="AX426" s="3061"/>
      <c r="AY426" s="3061"/>
      <c r="AZ426" s="3061"/>
      <c r="BA426" s="3061"/>
      <c r="BB426" s="3061"/>
      <c r="BC426" s="3061"/>
      <c r="BD426" s="3061"/>
      <c r="BE426" s="3061"/>
      <c r="BF426" s="3061"/>
      <c r="BG426" s="3061"/>
      <c r="BH426" s="3061"/>
      <c r="BI426" s="3061"/>
      <c r="BJ426" s="3061"/>
      <c r="BK426" s="3061"/>
      <c r="BL426" s="3061"/>
      <c r="BM426" s="3061"/>
      <c r="BN426" s="3061"/>
      <c r="BO426" s="3061"/>
      <c r="BP426" s="3061"/>
      <c r="BQ426" s="3061"/>
      <c r="BR426" s="3061"/>
      <c r="BS426" s="3061"/>
      <c r="BT426" s="3061"/>
      <c r="BU426" s="3061"/>
      <c r="BV426" s="3061"/>
      <c r="BW426" s="3061"/>
      <c r="BX426" s="3061"/>
      <c r="BY426" s="3061"/>
      <c r="BZ426" s="3061"/>
      <c r="CA426" s="3061"/>
      <c r="CB426" s="3061"/>
      <c r="CC426" s="3061"/>
      <c r="CD426" s="3061"/>
      <c r="CE426" s="3061"/>
      <c r="CF426" s="3061"/>
      <c r="CG426" s="3061"/>
      <c r="CH426" s="3061"/>
      <c r="CI426" s="3061"/>
      <c r="CJ426" s="3061"/>
      <c r="CK426" s="3061"/>
      <c r="CL426" s="3061"/>
      <c r="CM426" s="3061"/>
      <c r="CN426" s="3061"/>
      <c r="CO426" s="3061"/>
      <c r="CP426" s="3061"/>
      <c r="CQ426" s="3061"/>
      <c r="CR426" s="3061"/>
      <c r="CS426" s="3062"/>
      <c r="CT426" s="3063"/>
      <c r="CU426" s="3064">
        <f t="shared" si="120"/>
        <v>1</v>
      </c>
      <c r="CV426" s="3022" t="str">
        <f>IF(OR(CT426="",CT426="None"),"-",DO426*CU426*SUMIF('Lighting Assumptions'!$G$3:$G$112,'6a - Lighting Counts'!G426,'Lighting Assumptions'!$J$3:$J$112))</f>
        <v>-</v>
      </c>
      <c r="CW426" s="3021"/>
      <c r="CX426" s="3021"/>
      <c r="CY426" s="3046"/>
      <c r="CZ426" s="2098">
        <f t="shared" si="121"/>
        <v>0</v>
      </c>
      <c r="DA426" s="2098" t="str">
        <f t="shared" si="122"/>
        <v>-</v>
      </c>
      <c r="DB426" s="2098">
        <f t="shared" si="123"/>
        <v>0</v>
      </c>
      <c r="DC426" s="3023" t="str">
        <f t="shared" si="124"/>
        <v>-</v>
      </c>
      <c r="DD426" s="3024" t="str">
        <f t="shared" si="125"/>
        <v/>
      </c>
      <c r="DE426" s="3025" t="str">
        <f t="shared" si="126"/>
        <v>-</v>
      </c>
      <c r="DF426" s="3024" t="str">
        <f t="shared" si="117"/>
        <v>-</v>
      </c>
      <c r="DG426" s="2098">
        <f t="shared" si="127"/>
        <v>0</v>
      </c>
      <c r="DH426" s="2098">
        <f t="array" ref="DH426">MIN(SUMPRODUCT(I426:CR426,IF($I$25:$CR$25="yes",1,0),$I$23:$CR$23),H426)</f>
        <v>0</v>
      </c>
      <c r="DI426" s="3026"/>
      <c r="DJ426" s="3021"/>
      <c r="DN426" s="917" t="str">
        <f>IF(CS426="","-",SUMIF('Lighting Assumptions'!$G$3:$G$112,'6a - Lighting Counts'!G426,'Lighting Assumptions'!$J$3:$J$112))</f>
        <v>-</v>
      </c>
      <c r="DO426" s="917" t="str">
        <f t="shared" si="118"/>
        <v>-</v>
      </c>
      <c r="DP426" s="917" t="str">
        <f t="shared" si="119"/>
        <v>-</v>
      </c>
      <c r="DQ426" s="917" t="str">
        <f>IF(LEFT(CELLformula(DF426),3)&lt;&gt;"=IF",1,"")</f>
        <v/>
      </c>
      <c r="DR426" s="917" t="str">
        <f>IF(LEFT(CELLformula(DD426),3)&lt;&gt;"=IF",1,"")</f>
        <v/>
      </c>
      <c r="DS426" s="3048">
        <f t="shared" si="128"/>
        <v>0</v>
      </c>
      <c r="DT426" s="3047" t="str">
        <f t="shared" si="129"/>
        <v/>
      </c>
      <c r="DU426" s="3047" t="str">
        <f>IFERROR(IF(G426="","",SUMIF('Lighting Assumptions'!$G$3:$G$112,'6a - Lighting Counts'!G426,'Lighting Assumptions'!$H$3:$H$112)*IF(SI_IP_Units="SI",10.76,1)),"")</f>
        <v/>
      </c>
      <c r="DV426" s="3047" t="str">
        <f>IFERROR(IF($CX426="","",IF(SI_IP_Units="SI",10.76,1)*SUMIF(BAMCategories,$CY426,'Lighting Assumptions'!$E$3:E$35)),"")</f>
        <v/>
      </c>
      <c r="DW426" s="3047" t="str">
        <f>IFERROR(IF($CX426="","",IF(SI_IP_Units="SI",10.76,1)*SUMIF(BAMCategories,$CY426,IF(bpf_reference="ACP",'Lighting Assumptions 90.1-2010'!$E$3:E$35,'Lighting Assumptions 90.1-2016'!$E$3:E$35))),"")</f>
        <v/>
      </c>
      <c r="EW426" s="855"/>
      <c r="EX426" s="855"/>
      <c r="EY426" s="855"/>
      <c r="EZ426" s="855"/>
    </row>
    <row r="427" spans="4:156" x14ac:dyDescent="0.25">
      <c r="D427" s="3019"/>
      <c r="E427" s="3028"/>
      <c r="F427" s="3021">
        <f t="shared" si="116"/>
        <v>0</v>
      </c>
      <c r="G427" s="3059"/>
      <c r="H427" s="3060"/>
      <c r="I427" s="3061"/>
      <c r="J427" s="3061"/>
      <c r="K427" s="3061"/>
      <c r="L427" s="3061"/>
      <c r="M427" s="3061"/>
      <c r="N427" s="3061"/>
      <c r="O427" s="3061"/>
      <c r="P427" s="3061"/>
      <c r="Q427" s="3061"/>
      <c r="R427" s="3061"/>
      <c r="S427" s="3061"/>
      <c r="T427" s="3061"/>
      <c r="U427" s="3061"/>
      <c r="V427" s="3061"/>
      <c r="W427" s="3061"/>
      <c r="X427" s="3061"/>
      <c r="Y427" s="3061"/>
      <c r="Z427" s="3061"/>
      <c r="AA427" s="3061"/>
      <c r="AB427" s="3061"/>
      <c r="AC427" s="3061"/>
      <c r="AD427" s="3061"/>
      <c r="AE427" s="3061"/>
      <c r="AF427" s="3061"/>
      <c r="AG427" s="3061"/>
      <c r="AH427" s="3061"/>
      <c r="AI427" s="3061"/>
      <c r="AJ427" s="3061"/>
      <c r="AK427" s="3061"/>
      <c r="AL427" s="3061"/>
      <c r="AM427" s="3061"/>
      <c r="AN427" s="3061"/>
      <c r="AO427" s="3061"/>
      <c r="AP427" s="3061"/>
      <c r="AQ427" s="3061"/>
      <c r="AR427" s="3061"/>
      <c r="AS427" s="3061"/>
      <c r="AT427" s="3061"/>
      <c r="AU427" s="3061"/>
      <c r="AV427" s="3061"/>
      <c r="AW427" s="3061"/>
      <c r="AX427" s="3061"/>
      <c r="AY427" s="3061"/>
      <c r="AZ427" s="3061"/>
      <c r="BA427" s="3061"/>
      <c r="BB427" s="3061"/>
      <c r="BC427" s="3061"/>
      <c r="BD427" s="3061"/>
      <c r="BE427" s="3061"/>
      <c r="BF427" s="3061"/>
      <c r="BG427" s="3061"/>
      <c r="BH427" s="3061"/>
      <c r="BI427" s="3061"/>
      <c r="BJ427" s="3061"/>
      <c r="BK427" s="3061"/>
      <c r="BL427" s="3061"/>
      <c r="BM427" s="3061"/>
      <c r="BN427" s="3061"/>
      <c r="BO427" s="3061"/>
      <c r="BP427" s="3061"/>
      <c r="BQ427" s="3061"/>
      <c r="BR427" s="3061"/>
      <c r="BS427" s="3061"/>
      <c r="BT427" s="3061"/>
      <c r="BU427" s="3061"/>
      <c r="BV427" s="3061"/>
      <c r="BW427" s="3061"/>
      <c r="BX427" s="3061"/>
      <c r="BY427" s="3061"/>
      <c r="BZ427" s="3061"/>
      <c r="CA427" s="3061"/>
      <c r="CB427" s="3061"/>
      <c r="CC427" s="3061"/>
      <c r="CD427" s="3061"/>
      <c r="CE427" s="3061"/>
      <c r="CF427" s="3061"/>
      <c r="CG427" s="3061"/>
      <c r="CH427" s="3061"/>
      <c r="CI427" s="3061"/>
      <c r="CJ427" s="3061"/>
      <c r="CK427" s="3061"/>
      <c r="CL427" s="3061"/>
      <c r="CM427" s="3061"/>
      <c r="CN427" s="3061"/>
      <c r="CO427" s="3061"/>
      <c r="CP427" s="3061"/>
      <c r="CQ427" s="3061"/>
      <c r="CR427" s="3061"/>
      <c r="CS427" s="3062"/>
      <c r="CT427" s="3063"/>
      <c r="CU427" s="3064">
        <f t="shared" si="120"/>
        <v>1</v>
      </c>
      <c r="CV427" s="3022" t="str">
        <f>IF(OR(CT427="",CT427="None"),"-",DO427*CU427*SUMIF('Lighting Assumptions'!$G$3:$G$112,'6a - Lighting Counts'!G427,'Lighting Assumptions'!$J$3:$J$112))</f>
        <v>-</v>
      </c>
      <c r="CW427" s="3021"/>
      <c r="CX427" s="3021"/>
      <c r="CY427" s="3046"/>
      <c r="CZ427" s="2098">
        <f t="shared" si="121"/>
        <v>0</v>
      </c>
      <c r="DA427" s="2098" t="str">
        <f t="shared" si="122"/>
        <v>-</v>
      </c>
      <c r="DB427" s="2098">
        <f t="shared" si="123"/>
        <v>0</v>
      </c>
      <c r="DC427" s="3023" t="str">
        <f t="shared" si="124"/>
        <v>-</v>
      </c>
      <c r="DD427" s="3024" t="str">
        <f t="shared" si="125"/>
        <v/>
      </c>
      <c r="DE427" s="3025" t="str">
        <f t="shared" si="126"/>
        <v>-</v>
      </c>
      <c r="DF427" s="3024" t="str">
        <f t="shared" si="117"/>
        <v>-</v>
      </c>
      <c r="DG427" s="2098">
        <f t="shared" si="127"/>
        <v>0</v>
      </c>
      <c r="DH427" s="2098">
        <f t="array" ref="DH427">MIN(SUMPRODUCT(I427:CR427,IF($I$25:$CR$25="yes",1,0),$I$23:$CR$23),H427)</f>
        <v>0</v>
      </c>
      <c r="DI427" s="3026"/>
      <c r="DJ427" s="3021"/>
      <c r="DN427" s="917" t="str">
        <f>IF(CS427="","-",SUMIF('Lighting Assumptions'!$G$3:$G$112,'6a - Lighting Counts'!G427,'Lighting Assumptions'!$J$3:$J$112))</f>
        <v>-</v>
      </c>
      <c r="DO427" s="917" t="str">
        <f t="shared" si="118"/>
        <v>-</v>
      </c>
      <c r="DP427" s="917" t="str">
        <f t="shared" si="119"/>
        <v>-</v>
      </c>
      <c r="DQ427" s="917" t="str">
        <f>IF(LEFT(CELLformula(DF427),3)&lt;&gt;"=IF",1,"")</f>
        <v/>
      </c>
      <c r="DR427" s="917" t="str">
        <f>IF(LEFT(CELLformula(DD427),3)&lt;&gt;"=IF",1,"")</f>
        <v/>
      </c>
      <c r="DS427" s="3048">
        <f t="shared" si="128"/>
        <v>0</v>
      </c>
      <c r="DT427" s="3047" t="str">
        <f t="shared" si="129"/>
        <v/>
      </c>
      <c r="DU427" s="3047" t="str">
        <f>IFERROR(IF(G427="","",SUMIF('Lighting Assumptions'!$G$3:$G$112,'6a - Lighting Counts'!G427,'Lighting Assumptions'!$H$3:$H$112)*IF(SI_IP_Units="SI",10.76,1)),"")</f>
        <v/>
      </c>
      <c r="DV427" s="3047" t="str">
        <f>IFERROR(IF($CX427="","",IF(SI_IP_Units="SI",10.76,1)*SUMIF(BAMCategories,$CY427,'Lighting Assumptions'!$E$3:E$35)),"")</f>
        <v/>
      </c>
      <c r="DW427" s="3047" t="str">
        <f>IFERROR(IF($CX427="","",IF(SI_IP_Units="SI",10.76,1)*SUMIF(BAMCategories,$CY427,IF(bpf_reference="ACP",'Lighting Assumptions 90.1-2010'!$E$3:E$35,'Lighting Assumptions 90.1-2016'!$E$3:E$35))),"")</f>
        <v/>
      </c>
      <c r="EW427" s="855"/>
      <c r="EX427" s="855"/>
      <c r="EY427" s="855"/>
      <c r="EZ427" s="855"/>
    </row>
    <row r="428" spans="4:156" x14ac:dyDescent="0.25">
      <c r="D428" s="3019"/>
      <c r="E428" s="3028"/>
      <c r="F428" s="3021">
        <f t="shared" si="116"/>
        <v>0</v>
      </c>
      <c r="G428" s="3059"/>
      <c r="H428" s="3060"/>
      <c r="I428" s="3061"/>
      <c r="J428" s="3061"/>
      <c r="K428" s="3061"/>
      <c r="L428" s="3061"/>
      <c r="M428" s="3061"/>
      <c r="N428" s="3061"/>
      <c r="O428" s="3061"/>
      <c r="P428" s="3061"/>
      <c r="Q428" s="3061"/>
      <c r="R428" s="3061"/>
      <c r="S428" s="3061"/>
      <c r="T428" s="3061"/>
      <c r="U428" s="3061"/>
      <c r="V428" s="3061"/>
      <c r="W428" s="3061"/>
      <c r="X428" s="3061"/>
      <c r="Y428" s="3061"/>
      <c r="Z428" s="3061"/>
      <c r="AA428" s="3061"/>
      <c r="AB428" s="3061"/>
      <c r="AC428" s="3061"/>
      <c r="AD428" s="3061"/>
      <c r="AE428" s="3061"/>
      <c r="AF428" s="3061"/>
      <c r="AG428" s="3061"/>
      <c r="AH428" s="3061"/>
      <c r="AI428" s="3061"/>
      <c r="AJ428" s="3061"/>
      <c r="AK428" s="3061"/>
      <c r="AL428" s="3061"/>
      <c r="AM428" s="3061"/>
      <c r="AN428" s="3061"/>
      <c r="AO428" s="3061"/>
      <c r="AP428" s="3061"/>
      <c r="AQ428" s="3061"/>
      <c r="AR428" s="3061"/>
      <c r="AS428" s="3061"/>
      <c r="AT428" s="3061"/>
      <c r="AU428" s="3061"/>
      <c r="AV428" s="3061"/>
      <c r="AW428" s="3061"/>
      <c r="AX428" s="3061"/>
      <c r="AY428" s="3061"/>
      <c r="AZ428" s="3061"/>
      <c r="BA428" s="3061"/>
      <c r="BB428" s="3061"/>
      <c r="BC428" s="3061"/>
      <c r="BD428" s="3061"/>
      <c r="BE428" s="3061"/>
      <c r="BF428" s="3061"/>
      <c r="BG428" s="3061"/>
      <c r="BH428" s="3061"/>
      <c r="BI428" s="3061"/>
      <c r="BJ428" s="3061"/>
      <c r="BK428" s="3061"/>
      <c r="BL428" s="3061"/>
      <c r="BM428" s="3061"/>
      <c r="BN428" s="3061"/>
      <c r="BO428" s="3061"/>
      <c r="BP428" s="3061"/>
      <c r="BQ428" s="3061"/>
      <c r="BR428" s="3061"/>
      <c r="BS428" s="3061"/>
      <c r="BT428" s="3061"/>
      <c r="BU428" s="3061"/>
      <c r="BV428" s="3061"/>
      <c r="BW428" s="3061"/>
      <c r="BX428" s="3061"/>
      <c r="BY428" s="3061"/>
      <c r="BZ428" s="3061"/>
      <c r="CA428" s="3061"/>
      <c r="CB428" s="3061"/>
      <c r="CC428" s="3061"/>
      <c r="CD428" s="3061"/>
      <c r="CE428" s="3061"/>
      <c r="CF428" s="3061"/>
      <c r="CG428" s="3061"/>
      <c r="CH428" s="3061"/>
      <c r="CI428" s="3061"/>
      <c r="CJ428" s="3061"/>
      <c r="CK428" s="3061"/>
      <c r="CL428" s="3061"/>
      <c r="CM428" s="3061"/>
      <c r="CN428" s="3061"/>
      <c r="CO428" s="3061"/>
      <c r="CP428" s="3061"/>
      <c r="CQ428" s="3061"/>
      <c r="CR428" s="3061"/>
      <c r="CS428" s="3062"/>
      <c r="CT428" s="3063"/>
      <c r="CU428" s="3064">
        <f t="shared" si="120"/>
        <v>1</v>
      </c>
      <c r="CV428" s="3022" t="str">
        <f>IF(OR(CT428="",CT428="None"),"-",DO428*CU428*SUMIF('Lighting Assumptions'!$G$3:$G$112,'6a - Lighting Counts'!G428,'Lighting Assumptions'!$J$3:$J$112))</f>
        <v>-</v>
      </c>
      <c r="CW428" s="3021"/>
      <c r="CX428" s="3021"/>
      <c r="CY428" s="3046"/>
      <c r="CZ428" s="2098">
        <f t="shared" si="121"/>
        <v>0</v>
      </c>
      <c r="DA428" s="2098" t="str">
        <f t="shared" si="122"/>
        <v>-</v>
      </c>
      <c r="DB428" s="2098">
        <f t="shared" si="123"/>
        <v>0</v>
      </c>
      <c r="DC428" s="3023" t="str">
        <f t="shared" si="124"/>
        <v>-</v>
      </c>
      <c r="DD428" s="3024" t="str">
        <f t="shared" si="125"/>
        <v/>
      </c>
      <c r="DE428" s="3025" t="str">
        <f t="shared" si="126"/>
        <v>-</v>
      </c>
      <c r="DF428" s="3024" t="str">
        <f t="shared" si="117"/>
        <v>-</v>
      </c>
      <c r="DG428" s="2098">
        <f t="shared" si="127"/>
        <v>0</v>
      </c>
      <c r="DH428" s="2098">
        <f t="array" ref="DH428">MIN(SUMPRODUCT(I428:CR428,IF($I$25:$CR$25="yes",1,0),$I$23:$CR$23),H428)</f>
        <v>0</v>
      </c>
      <c r="DI428" s="3026"/>
      <c r="DJ428" s="3021"/>
      <c r="DN428" s="917" t="str">
        <f>IF(CS428="","-",SUMIF('Lighting Assumptions'!$G$3:$G$112,'6a - Lighting Counts'!G428,'Lighting Assumptions'!$J$3:$J$112))</f>
        <v>-</v>
      </c>
      <c r="DO428" s="917" t="str">
        <f t="shared" si="118"/>
        <v>-</v>
      </c>
      <c r="DP428" s="917" t="str">
        <f t="shared" si="119"/>
        <v>-</v>
      </c>
      <c r="DQ428" s="917" t="str">
        <f>IF(LEFT(CELLformula(DF428),3)&lt;&gt;"=IF",1,"")</f>
        <v/>
      </c>
      <c r="DR428" s="917" t="str">
        <f>IF(LEFT(CELLformula(DD428),3)&lt;&gt;"=IF",1,"")</f>
        <v/>
      </c>
      <c r="DS428" s="3048">
        <f t="shared" si="128"/>
        <v>0</v>
      </c>
      <c r="DT428" s="3047" t="str">
        <f t="shared" si="129"/>
        <v/>
      </c>
      <c r="DU428" s="3047" t="str">
        <f>IFERROR(IF(G428="","",SUMIF('Lighting Assumptions'!$G$3:$G$112,'6a - Lighting Counts'!G428,'Lighting Assumptions'!$H$3:$H$112)*IF(SI_IP_Units="SI",10.76,1)),"")</f>
        <v/>
      </c>
      <c r="DV428" s="3047" t="str">
        <f>IFERROR(IF($CX428="","",IF(SI_IP_Units="SI",10.76,1)*SUMIF(BAMCategories,$CY428,'Lighting Assumptions'!$E$3:E$35)),"")</f>
        <v/>
      </c>
      <c r="DW428" s="3047" t="str">
        <f>IFERROR(IF($CX428="","",IF(SI_IP_Units="SI",10.76,1)*SUMIF(BAMCategories,$CY428,IF(bpf_reference="ACP",'Lighting Assumptions 90.1-2010'!$E$3:E$35,'Lighting Assumptions 90.1-2016'!$E$3:E$35))),"")</f>
        <v/>
      </c>
      <c r="EW428" s="855"/>
      <c r="EX428" s="855"/>
      <c r="EY428" s="855"/>
      <c r="EZ428" s="855"/>
    </row>
    <row r="429" spans="4:156" x14ac:dyDescent="0.25">
      <c r="D429" s="3019"/>
      <c r="E429" s="3028"/>
      <c r="F429" s="3021">
        <f t="shared" si="116"/>
        <v>0</v>
      </c>
      <c r="G429" s="3059"/>
      <c r="H429" s="3060"/>
      <c r="I429" s="3061"/>
      <c r="J429" s="3061"/>
      <c r="K429" s="3061"/>
      <c r="L429" s="3061"/>
      <c r="M429" s="3061"/>
      <c r="N429" s="3061"/>
      <c r="O429" s="3061"/>
      <c r="P429" s="3061"/>
      <c r="Q429" s="3061"/>
      <c r="R429" s="3061"/>
      <c r="S429" s="3061"/>
      <c r="T429" s="3061"/>
      <c r="U429" s="3061"/>
      <c r="V429" s="3061"/>
      <c r="W429" s="3061"/>
      <c r="X429" s="3061"/>
      <c r="Y429" s="3061"/>
      <c r="Z429" s="3061"/>
      <c r="AA429" s="3061"/>
      <c r="AB429" s="3061"/>
      <c r="AC429" s="3061"/>
      <c r="AD429" s="3061"/>
      <c r="AE429" s="3061"/>
      <c r="AF429" s="3061"/>
      <c r="AG429" s="3061"/>
      <c r="AH429" s="3061"/>
      <c r="AI429" s="3061"/>
      <c r="AJ429" s="3061"/>
      <c r="AK429" s="3061"/>
      <c r="AL429" s="3061"/>
      <c r="AM429" s="3061"/>
      <c r="AN429" s="3061"/>
      <c r="AO429" s="3061"/>
      <c r="AP429" s="3061"/>
      <c r="AQ429" s="3061"/>
      <c r="AR429" s="3061"/>
      <c r="AS429" s="3061"/>
      <c r="AT429" s="3061"/>
      <c r="AU429" s="3061"/>
      <c r="AV429" s="3061"/>
      <c r="AW429" s="3061"/>
      <c r="AX429" s="3061"/>
      <c r="AY429" s="3061"/>
      <c r="AZ429" s="3061"/>
      <c r="BA429" s="3061"/>
      <c r="BB429" s="3061"/>
      <c r="BC429" s="3061"/>
      <c r="BD429" s="3061"/>
      <c r="BE429" s="3061"/>
      <c r="BF429" s="3061"/>
      <c r="BG429" s="3061"/>
      <c r="BH429" s="3061"/>
      <c r="BI429" s="3061"/>
      <c r="BJ429" s="3061"/>
      <c r="BK429" s="3061"/>
      <c r="BL429" s="3061"/>
      <c r="BM429" s="3061"/>
      <c r="BN429" s="3061"/>
      <c r="BO429" s="3061"/>
      <c r="BP429" s="3061"/>
      <c r="BQ429" s="3061"/>
      <c r="BR429" s="3061"/>
      <c r="BS429" s="3061"/>
      <c r="BT429" s="3061"/>
      <c r="BU429" s="3061"/>
      <c r="BV429" s="3061"/>
      <c r="BW429" s="3061"/>
      <c r="BX429" s="3061"/>
      <c r="BY429" s="3061"/>
      <c r="BZ429" s="3061"/>
      <c r="CA429" s="3061"/>
      <c r="CB429" s="3061"/>
      <c r="CC429" s="3061"/>
      <c r="CD429" s="3061"/>
      <c r="CE429" s="3061"/>
      <c r="CF429" s="3061"/>
      <c r="CG429" s="3061"/>
      <c r="CH429" s="3061"/>
      <c r="CI429" s="3061"/>
      <c r="CJ429" s="3061"/>
      <c r="CK429" s="3061"/>
      <c r="CL429" s="3061"/>
      <c r="CM429" s="3061"/>
      <c r="CN429" s="3061"/>
      <c r="CO429" s="3061"/>
      <c r="CP429" s="3061"/>
      <c r="CQ429" s="3061"/>
      <c r="CR429" s="3061"/>
      <c r="CS429" s="3062"/>
      <c r="CT429" s="3063"/>
      <c r="CU429" s="3064">
        <f t="shared" si="120"/>
        <v>1</v>
      </c>
      <c r="CV429" s="3022" t="str">
        <f>IF(OR(CT429="",CT429="None"),"-",DO429*CU429*SUMIF('Lighting Assumptions'!$G$3:$G$112,'6a - Lighting Counts'!G429,'Lighting Assumptions'!$J$3:$J$112))</f>
        <v>-</v>
      </c>
      <c r="CW429" s="3021"/>
      <c r="CX429" s="3021"/>
      <c r="CY429" s="3046"/>
      <c r="CZ429" s="2098">
        <f t="shared" si="121"/>
        <v>0</v>
      </c>
      <c r="DA429" s="2098" t="str">
        <f t="shared" si="122"/>
        <v>-</v>
      </c>
      <c r="DB429" s="2098">
        <f t="shared" si="123"/>
        <v>0</v>
      </c>
      <c r="DC429" s="3023" t="str">
        <f t="shared" si="124"/>
        <v>-</v>
      </c>
      <c r="DD429" s="3024" t="str">
        <f t="shared" si="125"/>
        <v/>
      </c>
      <c r="DE429" s="3025" t="str">
        <f t="shared" si="126"/>
        <v>-</v>
      </c>
      <c r="DF429" s="3024" t="str">
        <f t="shared" si="117"/>
        <v>-</v>
      </c>
      <c r="DG429" s="2098">
        <f t="shared" si="127"/>
        <v>0</v>
      </c>
      <c r="DH429" s="2098">
        <f t="array" ref="DH429">MIN(SUMPRODUCT(I429:CR429,IF($I$25:$CR$25="yes",1,0),$I$23:$CR$23),H429)</f>
        <v>0</v>
      </c>
      <c r="DI429" s="3026"/>
      <c r="DJ429" s="3021"/>
      <c r="DN429" s="917" t="str">
        <f>IF(CS429="","-",SUMIF('Lighting Assumptions'!$G$3:$G$112,'6a - Lighting Counts'!G429,'Lighting Assumptions'!$J$3:$J$112))</f>
        <v>-</v>
      </c>
      <c r="DO429" s="917" t="str">
        <f t="shared" si="118"/>
        <v>-</v>
      </c>
      <c r="DP429" s="917" t="str">
        <f t="shared" si="119"/>
        <v>-</v>
      </c>
      <c r="DQ429" s="917" t="str">
        <f>IF(LEFT(CELLformula(DF429),3)&lt;&gt;"=IF",1,"")</f>
        <v/>
      </c>
      <c r="DR429" s="917" t="str">
        <f>IF(LEFT(CELLformula(DD429),3)&lt;&gt;"=IF",1,"")</f>
        <v/>
      </c>
      <c r="DS429" s="3048">
        <f t="shared" si="128"/>
        <v>0</v>
      </c>
      <c r="DT429" s="3047" t="str">
        <f t="shared" si="129"/>
        <v/>
      </c>
      <c r="DU429" s="3047" t="str">
        <f>IFERROR(IF(G429="","",SUMIF('Lighting Assumptions'!$G$3:$G$112,'6a - Lighting Counts'!G429,'Lighting Assumptions'!$H$3:$H$112)*IF(SI_IP_Units="SI",10.76,1)),"")</f>
        <v/>
      </c>
      <c r="DV429" s="3047" t="str">
        <f>IFERROR(IF($CX429="","",IF(SI_IP_Units="SI",10.76,1)*SUMIF(BAMCategories,$CY429,'Lighting Assumptions'!$E$3:E$35)),"")</f>
        <v/>
      </c>
      <c r="DW429" s="3047" t="str">
        <f>IFERROR(IF($CX429="","",IF(SI_IP_Units="SI",10.76,1)*SUMIF(BAMCategories,$CY429,IF(bpf_reference="ACP",'Lighting Assumptions 90.1-2010'!$E$3:E$35,'Lighting Assumptions 90.1-2016'!$E$3:E$35))),"")</f>
        <v/>
      </c>
      <c r="EW429" s="855"/>
      <c r="EX429" s="855"/>
      <c r="EY429" s="855"/>
      <c r="EZ429" s="855"/>
    </row>
    <row r="430" spans="4:156" x14ac:dyDescent="0.25">
      <c r="D430" s="3019"/>
      <c r="E430" s="3028"/>
      <c r="F430" s="3021">
        <f t="shared" si="116"/>
        <v>0</v>
      </c>
      <c r="G430" s="3059"/>
      <c r="H430" s="3060"/>
      <c r="I430" s="3061"/>
      <c r="J430" s="3061"/>
      <c r="K430" s="3061"/>
      <c r="L430" s="3061"/>
      <c r="M430" s="3061"/>
      <c r="N430" s="3061"/>
      <c r="O430" s="3061"/>
      <c r="P430" s="3061"/>
      <c r="Q430" s="3061"/>
      <c r="R430" s="3061"/>
      <c r="S430" s="3061"/>
      <c r="T430" s="3061"/>
      <c r="U430" s="3061"/>
      <c r="V430" s="3061"/>
      <c r="W430" s="3061"/>
      <c r="X430" s="3061"/>
      <c r="Y430" s="3061"/>
      <c r="Z430" s="3061"/>
      <c r="AA430" s="3061"/>
      <c r="AB430" s="3061"/>
      <c r="AC430" s="3061"/>
      <c r="AD430" s="3061"/>
      <c r="AE430" s="3061"/>
      <c r="AF430" s="3061"/>
      <c r="AG430" s="3061"/>
      <c r="AH430" s="3061"/>
      <c r="AI430" s="3061"/>
      <c r="AJ430" s="3061"/>
      <c r="AK430" s="3061"/>
      <c r="AL430" s="3061"/>
      <c r="AM430" s="3061"/>
      <c r="AN430" s="3061"/>
      <c r="AO430" s="3061"/>
      <c r="AP430" s="3061"/>
      <c r="AQ430" s="3061"/>
      <c r="AR430" s="3061"/>
      <c r="AS430" s="3061"/>
      <c r="AT430" s="3061"/>
      <c r="AU430" s="3061"/>
      <c r="AV430" s="3061"/>
      <c r="AW430" s="3061"/>
      <c r="AX430" s="3061"/>
      <c r="AY430" s="3061"/>
      <c r="AZ430" s="3061"/>
      <c r="BA430" s="3061"/>
      <c r="BB430" s="3061"/>
      <c r="BC430" s="3061"/>
      <c r="BD430" s="3061"/>
      <c r="BE430" s="3061"/>
      <c r="BF430" s="3061"/>
      <c r="BG430" s="3061"/>
      <c r="BH430" s="3061"/>
      <c r="BI430" s="3061"/>
      <c r="BJ430" s="3061"/>
      <c r="BK430" s="3061"/>
      <c r="BL430" s="3061"/>
      <c r="BM430" s="3061"/>
      <c r="BN430" s="3061"/>
      <c r="BO430" s="3061"/>
      <c r="BP430" s="3061"/>
      <c r="BQ430" s="3061"/>
      <c r="BR430" s="3061"/>
      <c r="BS430" s="3061"/>
      <c r="BT430" s="3061"/>
      <c r="BU430" s="3061"/>
      <c r="BV430" s="3061"/>
      <c r="BW430" s="3061"/>
      <c r="BX430" s="3061"/>
      <c r="BY430" s="3061"/>
      <c r="BZ430" s="3061"/>
      <c r="CA430" s="3061"/>
      <c r="CB430" s="3061"/>
      <c r="CC430" s="3061"/>
      <c r="CD430" s="3061"/>
      <c r="CE430" s="3061"/>
      <c r="CF430" s="3061"/>
      <c r="CG430" s="3061"/>
      <c r="CH430" s="3061"/>
      <c r="CI430" s="3061"/>
      <c r="CJ430" s="3061"/>
      <c r="CK430" s="3061"/>
      <c r="CL430" s="3061"/>
      <c r="CM430" s="3061"/>
      <c r="CN430" s="3061"/>
      <c r="CO430" s="3061"/>
      <c r="CP430" s="3061"/>
      <c r="CQ430" s="3061"/>
      <c r="CR430" s="3061"/>
      <c r="CS430" s="3062"/>
      <c r="CT430" s="3063"/>
      <c r="CU430" s="3064">
        <f t="shared" si="120"/>
        <v>1</v>
      </c>
      <c r="CV430" s="3022" t="str">
        <f>IF(OR(CT430="",CT430="None"),"-",DO430*CU430*SUMIF('Lighting Assumptions'!$G$3:$G$112,'6a - Lighting Counts'!G430,'Lighting Assumptions'!$J$3:$J$112))</f>
        <v>-</v>
      </c>
      <c r="CW430" s="3021"/>
      <c r="CX430" s="3021"/>
      <c r="CY430" s="3046"/>
      <c r="CZ430" s="2098">
        <f t="shared" si="121"/>
        <v>0</v>
      </c>
      <c r="DA430" s="2098" t="str">
        <f t="shared" si="122"/>
        <v>-</v>
      </c>
      <c r="DB430" s="2098">
        <f t="shared" si="123"/>
        <v>0</v>
      </c>
      <c r="DC430" s="3023" t="str">
        <f t="shared" si="124"/>
        <v>-</v>
      </c>
      <c r="DD430" s="3024" t="str">
        <f t="shared" si="125"/>
        <v/>
      </c>
      <c r="DE430" s="3025" t="str">
        <f t="shared" si="126"/>
        <v>-</v>
      </c>
      <c r="DF430" s="3024" t="str">
        <f t="shared" si="117"/>
        <v>-</v>
      </c>
      <c r="DG430" s="2098">
        <f t="shared" si="127"/>
        <v>0</v>
      </c>
      <c r="DH430" s="2098">
        <f t="array" ref="DH430">MIN(SUMPRODUCT(I430:CR430,IF($I$25:$CR$25="yes",1,0),$I$23:$CR$23),H430)</f>
        <v>0</v>
      </c>
      <c r="DI430" s="3026"/>
      <c r="DJ430" s="3021"/>
      <c r="DN430" s="917" t="str">
        <f>IF(CS430="","-",SUMIF('Lighting Assumptions'!$G$3:$G$112,'6a - Lighting Counts'!G430,'Lighting Assumptions'!$J$3:$J$112))</f>
        <v>-</v>
      </c>
      <c r="DO430" s="917" t="str">
        <f t="shared" si="118"/>
        <v>-</v>
      </c>
      <c r="DP430" s="917" t="str">
        <f t="shared" si="119"/>
        <v>-</v>
      </c>
      <c r="DQ430" s="917" t="str">
        <f>IF(LEFT(CELLformula(DF430),3)&lt;&gt;"=IF",1,"")</f>
        <v/>
      </c>
      <c r="DR430" s="917" t="str">
        <f>IF(LEFT(CELLformula(DD430),3)&lt;&gt;"=IF",1,"")</f>
        <v/>
      </c>
      <c r="DS430" s="3048">
        <f t="shared" si="128"/>
        <v>0</v>
      </c>
      <c r="DT430" s="3047" t="str">
        <f t="shared" si="129"/>
        <v/>
      </c>
      <c r="DU430" s="3047" t="str">
        <f>IFERROR(IF(G430="","",SUMIF('Lighting Assumptions'!$G$3:$G$112,'6a - Lighting Counts'!G430,'Lighting Assumptions'!$H$3:$H$112)*IF(SI_IP_Units="SI",10.76,1)),"")</f>
        <v/>
      </c>
      <c r="DV430" s="3047" t="str">
        <f>IFERROR(IF($CX430="","",IF(SI_IP_Units="SI",10.76,1)*SUMIF(BAMCategories,$CY430,'Lighting Assumptions'!$E$3:E$35)),"")</f>
        <v/>
      </c>
      <c r="DW430" s="3047" t="str">
        <f>IFERROR(IF($CX430="","",IF(SI_IP_Units="SI",10.76,1)*SUMIF(BAMCategories,$CY430,IF(bpf_reference="ACP",'Lighting Assumptions 90.1-2010'!$E$3:E$35,'Lighting Assumptions 90.1-2016'!$E$3:E$35))),"")</f>
        <v/>
      </c>
      <c r="EW430" s="855"/>
      <c r="EX430" s="855"/>
      <c r="EY430" s="855"/>
      <c r="EZ430" s="855"/>
    </row>
    <row r="431" spans="4:156" x14ac:dyDescent="0.25">
      <c r="D431" s="3019"/>
      <c r="E431" s="3028"/>
      <c r="F431" s="3021">
        <f t="shared" si="116"/>
        <v>0</v>
      </c>
      <c r="G431" s="3059"/>
      <c r="H431" s="3060"/>
      <c r="I431" s="3061"/>
      <c r="J431" s="3061"/>
      <c r="K431" s="3061"/>
      <c r="L431" s="3061"/>
      <c r="M431" s="3061"/>
      <c r="N431" s="3061"/>
      <c r="O431" s="3061"/>
      <c r="P431" s="3061"/>
      <c r="Q431" s="3061"/>
      <c r="R431" s="3061"/>
      <c r="S431" s="3061"/>
      <c r="T431" s="3061"/>
      <c r="U431" s="3061"/>
      <c r="V431" s="3061"/>
      <c r="W431" s="3061"/>
      <c r="X431" s="3061"/>
      <c r="Y431" s="3061"/>
      <c r="Z431" s="3061"/>
      <c r="AA431" s="3061"/>
      <c r="AB431" s="3061"/>
      <c r="AC431" s="3061"/>
      <c r="AD431" s="3061"/>
      <c r="AE431" s="3061"/>
      <c r="AF431" s="3061"/>
      <c r="AG431" s="3061"/>
      <c r="AH431" s="3061"/>
      <c r="AI431" s="3061"/>
      <c r="AJ431" s="3061"/>
      <c r="AK431" s="3061"/>
      <c r="AL431" s="3061"/>
      <c r="AM431" s="3061"/>
      <c r="AN431" s="3061"/>
      <c r="AO431" s="3061"/>
      <c r="AP431" s="3061"/>
      <c r="AQ431" s="3061"/>
      <c r="AR431" s="3061"/>
      <c r="AS431" s="3061"/>
      <c r="AT431" s="3061"/>
      <c r="AU431" s="3061"/>
      <c r="AV431" s="3061"/>
      <c r="AW431" s="3061"/>
      <c r="AX431" s="3061"/>
      <c r="AY431" s="3061"/>
      <c r="AZ431" s="3061"/>
      <c r="BA431" s="3061"/>
      <c r="BB431" s="3061"/>
      <c r="BC431" s="3061"/>
      <c r="BD431" s="3061"/>
      <c r="BE431" s="3061"/>
      <c r="BF431" s="3061"/>
      <c r="BG431" s="3061"/>
      <c r="BH431" s="3061"/>
      <c r="BI431" s="3061"/>
      <c r="BJ431" s="3061"/>
      <c r="BK431" s="3061"/>
      <c r="BL431" s="3061"/>
      <c r="BM431" s="3061"/>
      <c r="BN431" s="3061"/>
      <c r="BO431" s="3061"/>
      <c r="BP431" s="3061"/>
      <c r="BQ431" s="3061"/>
      <c r="BR431" s="3061"/>
      <c r="BS431" s="3061"/>
      <c r="BT431" s="3061"/>
      <c r="BU431" s="3061"/>
      <c r="BV431" s="3061"/>
      <c r="BW431" s="3061"/>
      <c r="BX431" s="3061"/>
      <c r="BY431" s="3061"/>
      <c r="BZ431" s="3061"/>
      <c r="CA431" s="3061"/>
      <c r="CB431" s="3061"/>
      <c r="CC431" s="3061"/>
      <c r="CD431" s="3061"/>
      <c r="CE431" s="3061"/>
      <c r="CF431" s="3061"/>
      <c r="CG431" s="3061"/>
      <c r="CH431" s="3061"/>
      <c r="CI431" s="3061"/>
      <c r="CJ431" s="3061"/>
      <c r="CK431" s="3061"/>
      <c r="CL431" s="3061"/>
      <c r="CM431" s="3061"/>
      <c r="CN431" s="3061"/>
      <c r="CO431" s="3061"/>
      <c r="CP431" s="3061"/>
      <c r="CQ431" s="3061"/>
      <c r="CR431" s="3061"/>
      <c r="CS431" s="3062"/>
      <c r="CT431" s="3063"/>
      <c r="CU431" s="3064">
        <f t="shared" si="120"/>
        <v>1</v>
      </c>
      <c r="CV431" s="3022" t="str">
        <f>IF(OR(CT431="",CT431="None"),"-",DO431*CU431*SUMIF('Lighting Assumptions'!$G$3:$G$112,'6a - Lighting Counts'!G431,'Lighting Assumptions'!$J$3:$J$112))</f>
        <v>-</v>
      </c>
      <c r="CW431" s="3021"/>
      <c r="CX431" s="3021"/>
      <c r="CY431" s="3046"/>
      <c r="CZ431" s="2098">
        <f t="shared" si="121"/>
        <v>0</v>
      </c>
      <c r="DA431" s="2098" t="str">
        <f t="shared" si="122"/>
        <v>-</v>
      </c>
      <c r="DB431" s="2098">
        <f t="shared" si="123"/>
        <v>0</v>
      </c>
      <c r="DC431" s="3023" t="str">
        <f t="shared" si="124"/>
        <v>-</v>
      </c>
      <c r="DD431" s="3024" t="str">
        <f t="shared" si="125"/>
        <v/>
      </c>
      <c r="DE431" s="3025" t="str">
        <f t="shared" si="126"/>
        <v>-</v>
      </c>
      <c r="DF431" s="3024" t="str">
        <f t="shared" si="117"/>
        <v>-</v>
      </c>
      <c r="DG431" s="2098">
        <f t="shared" si="127"/>
        <v>0</v>
      </c>
      <c r="DH431" s="2098">
        <f t="array" ref="DH431">MIN(SUMPRODUCT(I431:CR431,IF($I$25:$CR$25="yes",1,0),$I$23:$CR$23),H431)</f>
        <v>0</v>
      </c>
      <c r="DI431" s="3026"/>
      <c r="DJ431" s="3021"/>
      <c r="DN431" s="917" t="str">
        <f>IF(CS431="","-",SUMIF('Lighting Assumptions'!$G$3:$G$112,'6a - Lighting Counts'!G431,'Lighting Assumptions'!$J$3:$J$112))</f>
        <v>-</v>
      </c>
      <c r="DO431" s="917" t="str">
        <f t="shared" si="118"/>
        <v>-</v>
      </c>
      <c r="DP431" s="917" t="str">
        <f t="shared" si="119"/>
        <v>-</v>
      </c>
      <c r="DQ431" s="917" t="str">
        <f>IF(LEFT(CELLformula(DF431),3)&lt;&gt;"=IF",1,"")</f>
        <v/>
      </c>
      <c r="DR431" s="917" t="str">
        <f>IF(LEFT(CELLformula(DD431),3)&lt;&gt;"=IF",1,"")</f>
        <v/>
      </c>
      <c r="DS431" s="3048">
        <f t="shared" si="128"/>
        <v>0</v>
      </c>
      <c r="DT431" s="3047" t="str">
        <f t="shared" si="129"/>
        <v/>
      </c>
      <c r="DU431" s="3047" t="str">
        <f>IFERROR(IF(G431="","",SUMIF('Lighting Assumptions'!$G$3:$G$112,'6a - Lighting Counts'!G431,'Lighting Assumptions'!$H$3:$H$112)*IF(SI_IP_Units="SI",10.76,1)),"")</f>
        <v/>
      </c>
      <c r="DV431" s="3047" t="str">
        <f>IFERROR(IF($CX431="","",IF(SI_IP_Units="SI",10.76,1)*SUMIF(BAMCategories,$CY431,'Lighting Assumptions'!$E$3:E$35)),"")</f>
        <v/>
      </c>
      <c r="DW431" s="3047" t="str">
        <f>IFERROR(IF($CX431="","",IF(SI_IP_Units="SI",10.76,1)*SUMIF(BAMCategories,$CY431,IF(bpf_reference="ACP",'Lighting Assumptions 90.1-2010'!$E$3:E$35,'Lighting Assumptions 90.1-2016'!$E$3:E$35))),"")</f>
        <v/>
      </c>
      <c r="EW431" s="855"/>
      <c r="EX431" s="855"/>
      <c r="EY431" s="855"/>
      <c r="EZ431" s="855"/>
    </row>
    <row r="432" spans="4:156" x14ac:dyDescent="0.25">
      <c r="D432" s="3019"/>
      <c r="E432" s="3028"/>
      <c r="F432" s="3021">
        <f t="shared" si="116"/>
        <v>0</v>
      </c>
      <c r="G432" s="3059"/>
      <c r="H432" s="3060"/>
      <c r="I432" s="3061"/>
      <c r="J432" s="3061"/>
      <c r="K432" s="3061"/>
      <c r="L432" s="3061"/>
      <c r="M432" s="3061"/>
      <c r="N432" s="3061"/>
      <c r="O432" s="3061"/>
      <c r="P432" s="3061"/>
      <c r="Q432" s="3061"/>
      <c r="R432" s="3061"/>
      <c r="S432" s="3061"/>
      <c r="T432" s="3061"/>
      <c r="U432" s="3061"/>
      <c r="V432" s="3061"/>
      <c r="W432" s="3061"/>
      <c r="X432" s="3061"/>
      <c r="Y432" s="3061"/>
      <c r="Z432" s="3061"/>
      <c r="AA432" s="3061"/>
      <c r="AB432" s="3061"/>
      <c r="AC432" s="3061"/>
      <c r="AD432" s="3061"/>
      <c r="AE432" s="3061"/>
      <c r="AF432" s="3061"/>
      <c r="AG432" s="3061"/>
      <c r="AH432" s="3061"/>
      <c r="AI432" s="3061"/>
      <c r="AJ432" s="3061"/>
      <c r="AK432" s="3061"/>
      <c r="AL432" s="3061"/>
      <c r="AM432" s="3061"/>
      <c r="AN432" s="3061"/>
      <c r="AO432" s="3061"/>
      <c r="AP432" s="3061"/>
      <c r="AQ432" s="3061"/>
      <c r="AR432" s="3061"/>
      <c r="AS432" s="3061"/>
      <c r="AT432" s="3061"/>
      <c r="AU432" s="3061"/>
      <c r="AV432" s="3061"/>
      <c r="AW432" s="3061"/>
      <c r="AX432" s="3061"/>
      <c r="AY432" s="3061"/>
      <c r="AZ432" s="3061"/>
      <c r="BA432" s="3061"/>
      <c r="BB432" s="3061"/>
      <c r="BC432" s="3061"/>
      <c r="BD432" s="3061"/>
      <c r="BE432" s="3061"/>
      <c r="BF432" s="3061"/>
      <c r="BG432" s="3061"/>
      <c r="BH432" s="3061"/>
      <c r="BI432" s="3061"/>
      <c r="BJ432" s="3061"/>
      <c r="BK432" s="3061"/>
      <c r="BL432" s="3061"/>
      <c r="BM432" s="3061"/>
      <c r="BN432" s="3061"/>
      <c r="BO432" s="3061"/>
      <c r="BP432" s="3061"/>
      <c r="BQ432" s="3061"/>
      <c r="BR432" s="3061"/>
      <c r="BS432" s="3061"/>
      <c r="BT432" s="3061"/>
      <c r="BU432" s="3061"/>
      <c r="BV432" s="3061"/>
      <c r="BW432" s="3061"/>
      <c r="BX432" s="3061"/>
      <c r="BY432" s="3061"/>
      <c r="BZ432" s="3061"/>
      <c r="CA432" s="3061"/>
      <c r="CB432" s="3061"/>
      <c r="CC432" s="3061"/>
      <c r="CD432" s="3061"/>
      <c r="CE432" s="3061"/>
      <c r="CF432" s="3061"/>
      <c r="CG432" s="3061"/>
      <c r="CH432" s="3061"/>
      <c r="CI432" s="3061"/>
      <c r="CJ432" s="3061"/>
      <c r="CK432" s="3061"/>
      <c r="CL432" s="3061"/>
      <c r="CM432" s="3061"/>
      <c r="CN432" s="3061"/>
      <c r="CO432" s="3061"/>
      <c r="CP432" s="3061"/>
      <c r="CQ432" s="3061"/>
      <c r="CR432" s="3061"/>
      <c r="CS432" s="3062"/>
      <c r="CT432" s="3063"/>
      <c r="CU432" s="3064">
        <f t="shared" si="120"/>
        <v>1</v>
      </c>
      <c r="CV432" s="3022" t="str">
        <f>IF(OR(CT432="",CT432="None"),"-",DO432*CU432*SUMIF('Lighting Assumptions'!$G$3:$G$112,'6a - Lighting Counts'!G432,'Lighting Assumptions'!$J$3:$J$112))</f>
        <v>-</v>
      </c>
      <c r="CW432" s="3021"/>
      <c r="CX432" s="3021"/>
      <c r="CY432" s="3046"/>
      <c r="CZ432" s="2098">
        <f t="shared" si="121"/>
        <v>0</v>
      </c>
      <c r="DA432" s="2098" t="str">
        <f t="shared" si="122"/>
        <v>-</v>
      </c>
      <c r="DB432" s="2098">
        <f t="shared" si="123"/>
        <v>0</v>
      </c>
      <c r="DC432" s="3023" t="str">
        <f t="shared" si="124"/>
        <v>-</v>
      </c>
      <c r="DD432" s="3024" t="str">
        <f t="shared" si="125"/>
        <v/>
      </c>
      <c r="DE432" s="3025" t="str">
        <f t="shared" si="126"/>
        <v>-</v>
      </c>
      <c r="DF432" s="3024" t="str">
        <f t="shared" si="117"/>
        <v>-</v>
      </c>
      <c r="DG432" s="2098">
        <f t="shared" si="127"/>
        <v>0</v>
      </c>
      <c r="DH432" s="2098">
        <f t="array" ref="DH432">MIN(SUMPRODUCT(I432:CR432,IF($I$25:$CR$25="yes",1,0),$I$23:$CR$23),H432)</f>
        <v>0</v>
      </c>
      <c r="DI432" s="3026"/>
      <c r="DJ432" s="3021"/>
      <c r="DN432" s="917" t="str">
        <f>IF(CS432="","-",SUMIF('Lighting Assumptions'!$G$3:$G$112,'6a - Lighting Counts'!G432,'Lighting Assumptions'!$J$3:$J$112))</f>
        <v>-</v>
      </c>
      <c r="DO432" s="917" t="str">
        <f t="shared" si="118"/>
        <v>-</v>
      </c>
      <c r="DP432" s="917" t="str">
        <f t="shared" si="119"/>
        <v>-</v>
      </c>
      <c r="DQ432" s="917" t="str">
        <f>IF(LEFT(CELLformula(DF432),3)&lt;&gt;"=IF",1,"")</f>
        <v/>
      </c>
      <c r="DR432" s="917" t="str">
        <f>IF(LEFT(CELLformula(DD432),3)&lt;&gt;"=IF",1,"")</f>
        <v/>
      </c>
      <c r="DS432" s="3048">
        <f t="shared" si="128"/>
        <v>0</v>
      </c>
      <c r="DT432" s="3047" t="str">
        <f t="shared" si="129"/>
        <v/>
      </c>
      <c r="DU432" s="3047" t="str">
        <f>IFERROR(IF(G432="","",SUMIF('Lighting Assumptions'!$G$3:$G$112,'6a - Lighting Counts'!G432,'Lighting Assumptions'!$H$3:$H$112)*IF(SI_IP_Units="SI",10.76,1)),"")</f>
        <v/>
      </c>
      <c r="DV432" s="3047" t="str">
        <f>IFERROR(IF($CX432="","",IF(SI_IP_Units="SI",10.76,1)*SUMIF(BAMCategories,$CY432,'Lighting Assumptions'!$E$3:E$35)),"")</f>
        <v/>
      </c>
      <c r="DW432" s="3047" t="str">
        <f>IFERROR(IF($CX432="","",IF(SI_IP_Units="SI",10.76,1)*SUMIF(BAMCategories,$CY432,IF(bpf_reference="ACP",'Lighting Assumptions 90.1-2010'!$E$3:E$35,'Lighting Assumptions 90.1-2016'!$E$3:E$35))),"")</f>
        <v/>
      </c>
      <c r="EW432" s="855"/>
      <c r="EX432" s="855"/>
      <c r="EY432" s="855"/>
      <c r="EZ432" s="855"/>
    </row>
    <row r="433" spans="4:156" x14ac:dyDescent="0.25">
      <c r="D433" s="3029"/>
      <c r="E433" s="3028"/>
      <c r="F433" s="3021">
        <f t="shared" si="116"/>
        <v>0</v>
      </c>
      <c r="G433" s="3059"/>
      <c r="H433" s="3060"/>
      <c r="I433" s="3061"/>
      <c r="J433" s="3061"/>
      <c r="K433" s="3061"/>
      <c r="L433" s="3061"/>
      <c r="M433" s="3061"/>
      <c r="N433" s="3061"/>
      <c r="O433" s="3061"/>
      <c r="P433" s="3061"/>
      <c r="Q433" s="3061"/>
      <c r="R433" s="3061"/>
      <c r="S433" s="3061"/>
      <c r="T433" s="3061"/>
      <c r="U433" s="3061"/>
      <c r="V433" s="3061"/>
      <c r="W433" s="3061"/>
      <c r="X433" s="3061"/>
      <c r="Y433" s="3061"/>
      <c r="Z433" s="3061"/>
      <c r="AA433" s="3061"/>
      <c r="AB433" s="3061"/>
      <c r="AC433" s="3061"/>
      <c r="AD433" s="3061"/>
      <c r="AE433" s="3061"/>
      <c r="AF433" s="3061"/>
      <c r="AG433" s="3061"/>
      <c r="AH433" s="3061"/>
      <c r="AI433" s="3061"/>
      <c r="AJ433" s="3061"/>
      <c r="AK433" s="3061"/>
      <c r="AL433" s="3061"/>
      <c r="AM433" s="3061"/>
      <c r="AN433" s="3061"/>
      <c r="AO433" s="3061"/>
      <c r="AP433" s="3061"/>
      <c r="AQ433" s="3061"/>
      <c r="AR433" s="3061"/>
      <c r="AS433" s="3061"/>
      <c r="AT433" s="3061"/>
      <c r="AU433" s="3061"/>
      <c r="AV433" s="3061"/>
      <c r="AW433" s="3061"/>
      <c r="AX433" s="3061"/>
      <c r="AY433" s="3061"/>
      <c r="AZ433" s="3061"/>
      <c r="BA433" s="3061"/>
      <c r="BB433" s="3061"/>
      <c r="BC433" s="3061"/>
      <c r="BD433" s="3061"/>
      <c r="BE433" s="3061"/>
      <c r="BF433" s="3061"/>
      <c r="BG433" s="3061"/>
      <c r="BH433" s="3061"/>
      <c r="BI433" s="3061"/>
      <c r="BJ433" s="3061"/>
      <c r="BK433" s="3061"/>
      <c r="BL433" s="3061"/>
      <c r="BM433" s="3061"/>
      <c r="BN433" s="3061"/>
      <c r="BO433" s="3061"/>
      <c r="BP433" s="3061"/>
      <c r="BQ433" s="3061"/>
      <c r="BR433" s="3061"/>
      <c r="BS433" s="3061"/>
      <c r="BT433" s="3061"/>
      <c r="BU433" s="3061"/>
      <c r="BV433" s="3061"/>
      <c r="BW433" s="3061"/>
      <c r="BX433" s="3061"/>
      <c r="BY433" s="3061"/>
      <c r="BZ433" s="3061"/>
      <c r="CA433" s="3061"/>
      <c r="CB433" s="3061"/>
      <c r="CC433" s="3061"/>
      <c r="CD433" s="3061"/>
      <c r="CE433" s="3061"/>
      <c r="CF433" s="3061"/>
      <c r="CG433" s="3061"/>
      <c r="CH433" s="3061"/>
      <c r="CI433" s="3061"/>
      <c r="CJ433" s="3061"/>
      <c r="CK433" s="3061"/>
      <c r="CL433" s="3061"/>
      <c r="CM433" s="3061"/>
      <c r="CN433" s="3061"/>
      <c r="CO433" s="3061"/>
      <c r="CP433" s="3061"/>
      <c r="CQ433" s="3061"/>
      <c r="CR433" s="3061"/>
      <c r="CS433" s="3062"/>
      <c r="CT433" s="3063"/>
      <c r="CU433" s="3064">
        <f t="shared" si="120"/>
        <v>1</v>
      </c>
      <c r="CV433" s="3022" t="str">
        <f>IF(OR(CT433="",CT433="None"),"-",DO433*CU433*SUMIF('Lighting Assumptions'!$G$3:$G$112,'6a - Lighting Counts'!G433,'Lighting Assumptions'!$J$3:$J$112))</f>
        <v>-</v>
      </c>
      <c r="CW433" s="3021"/>
      <c r="CX433" s="3021"/>
      <c r="CY433" s="3046"/>
      <c r="CZ433" s="2098">
        <f t="shared" si="121"/>
        <v>0</v>
      </c>
      <c r="DA433" s="2098" t="str">
        <f t="shared" si="122"/>
        <v>-</v>
      </c>
      <c r="DB433" s="2098">
        <f t="shared" si="123"/>
        <v>0</v>
      </c>
      <c r="DC433" s="3023" t="str">
        <f t="shared" si="124"/>
        <v>-</v>
      </c>
      <c r="DD433" s="3024" t="str">
        <f t="shared" si="125"/>
        <v/>
      </c>
      <c r="DE433" s="3025" t="str">
        <f t="shared" si="126"/>
        <v>-</v>
      </c>
      <c r="DF433" s="3024" t="str">
        <f t="shared" si="117"/>
        <v>-</v>
      </c>
      <c r="DG433" s="2098">
        <f t="shared" si="127"/>
        <v>0</v>
      </c>
      <c r="DH433" s="2098">
        <f t="array" ref="DH433">MIN(SUMPRODUCT(I433:CR433,IF($I$25:$CR$25="yes",1,0),$I$23:$CR$23),H433)</f>
        <v>0</v>
      </c>
      <c r="DI433" s="3026"/>
      <c r="DJ433" s="3021"/>
      <c r="DN433" s="917" t="str">
        <f>IF(CS433="","-",SUMIF('Lighting Assumptions'!$G$3:$G$112,'6a - Lighting Counts'!G433,'Lighting Assumptions'!$J$3:$J$112))</f>
        <v>-</v>
      </c>
      <c r="DO433" s="917" t="str">
        <f t="shared" si="118"/>
        <v>-</v>
      </c>
      <c r="DP433" s="917" t="str">
        <f t="shared" si="119"/>
        <v>-</v>
      </c>
      <c r="DQ433" s="917" t="str">
        <f>IF(LEFT(CELLformula(DF433),3)&lt;&gt;"=IF",1,"")</f>
        <v/>
      </c>
      <c r="DR433" s="917" t="str">
        <f>IF(LEFT(CELLformula(DD433),3)&lt;&gt;"=IF",1,"")</f>
        <v/>
      </c>
      <c r="DS433" s="3048">
        <f t="shared" si="128"/>
        <v>0</v>
      </c>
      <c r="DT433" s="3047" t="str">
        <f t="shared" si="129"/>
        <v/>
      </c>
      <c r="DU433" s="3047" t="str">
        <f>IFERROR(IF(G433="","",SUMIF('Lighting Assumptions'!$G$3:$G$112,'6a - Lighting Counts'!G433,'Lighting Assumptions'!$H$3:$H$112)*IF(SI_IP_Units="SI",10.76,1)),"")</f>
        <v/>
      </c>
      <c r="DV433" s="3047" t="str">
        <f>IFERROR(IF($CX433="","",IF(SI_IP_Units="SI",10.76,1)*SUMIF(BAMCategories,$CY433,'Lighting Assumptions'!$E$3:E$35)),"")</f>
        <v/>
      </c>
      <c r="DW433" s="3047" t="str">
        <f>IFERROR(IF($CX433="","",IF(SI_IP_Units="SI",10.76,1)*SUMIF(BAMCategories,$CY433,IF(bpf_reference="ACP",'Lighting Assumptions 90.1-2010'!$E$3:E$35,'Lighting Assumptions 90.1-2016'!$E$3:E$35))),"")</f>
        <v/>
      </c>
      <c r="EW433" s="855"/>
      <c r="EX433" s="855"/>
      <c r="EY433" s="855"/>
      <c r="EZ433" s="855"/>
    </row>
    <row r="434" spans="4:156" x14ac:dyDescent="0.25">
      <c r="D434" s="3029"/>
      <c r="E434" s="3028"/>
      <c r="F434" s="3021">
        <f t="shared" si="116"/>
        <v>0</v>
      </c>
      <c r="G434" s="3059"/>
      <c r="H434" s="3060"/>
      <c r="I434" s="3061"/>
      <c r="J434" s="3061"/>
      <c r="K434" s="3061"/>
      <c r="L434" s="3061"/>
      <c r="M434" s="3061"/>
      <c r="N434" s="3061"/>
      <c r="O434" s="3061"/>
      <c r="P434" s="3061"/>
      <c r="Q434" s="3061"/>
      <c r="R434" s="3061"/>
      <c r="S434" s="3061"/>
      <c r="T434" s="3061"/>
      <c r="U434" s="3061"/>
      <c r="V434" s="3061"/>
      <c r="W434" s="3061"/>
      <c r="X434" s="3061"/>
      <c r="Y434" s="3061"/>
      <c r="Z434" s="3061"/>
      <c r="AA434" s="3061"/>
      <c r="AB434" s="3061"/>
      <c r="AC434" s="3061"/>
      <c r="AD434" s="3061"/>
      <c r="AE434" s="3061"/>
      <c r="AF434" s="3061"/>
      <c r="AG434" s="3061"/>
      <c r="AH434" s="3061"/>
      <c r="AI434" s="3061"/>
      <c r="AJ434" s="3061"/>
      <c r="AK434" s="3061"/>
      <c r="AL434" s="3061"/>
      <c r="AM434" s="3061"/>
      <c r="AN434" s="3061"/>
      <c r="AO434" s="3061"/>
      <c r="AP434" s="3061"/>
      <c r="AQ434" s="3061"/>
      <c r="AR434" s="3061"/>
      <c r="AS434" s="3061"/>
      <c r="AT434" s="3061"/>
      <c r="AU434" s="3061"/>
      <c r="AV434" s="3061"/>
      <c r="AW434" s="3061"/>
      <c r="AX434" s="3061"/>
      <c r="AY434" s="3061"/>
      <c r="AZ434" s="3061"/>
      <c r="BA434" s="3061"/>
      <c r="BB434" s="3061"/>
      <c r="BC434" s="3061"/>
      <c r="BD434" s="3061"/>
      <c r="BE434" s="3061"/>
      <c r="BF434" s="3061"/>
      <c r="BG434" s="3061"/>
      <c r="BH434" s="3061"/>
      <c r="BI434" s="3061"/>
      <c r="BJ434" s="3061"/>
      <c r="BK434" s="3061"/>
      <c r="BL434" s="3061"/>
      <c r="BM434" s="3061"/>
      <c r="BN434" s="3061"/>
      <c r="BO434" s="3061"/>
      <c r="BP434" s="3061"/>
      <c r="BQ434" s="3061"/>
      <c r="BR434" s="3061"/>
      <c r="BS434" s="3061"/>
      <c r="BT434" s="3061"/>
      <c r="BU434" s="3061"/>
      <c r="BV434" s="3061"/>
      <c r="BW434" s="3061"/>
      <c r="BX434" s="3061"/>
      <c r="BY434" s="3061"/>
      <c r="BZ434" s="3061"/>
      <c r="CA434" s="3061"/>
      <c r="CB434" s="3061"/>
      <c r="CC434" s="3061"/>
      <c r="CD434" s="3061"/>
      <c r="CE434" s="3061"/>
      <c r="CF434" s="3061"/>
      <c r="CG434" s="3061"/>
      <c r="CH434" s="3061"/>
      <c r="CI434" s="3061"/>
      <c r="CJ434" s="3061"/>
      <c r="CK434" s="3061"/>
      <c r="CL434" s="3061"/>
      <c r="CM434" s="3061"/>
      <c r="CN434" s="3061"/>
      <c r="CO434" s="3061"/>
      <c r="CP434" s="3061"/>
      <c r="CQ434" s="3061"/>
      <c r="CR434" s="3061"/>
      <c r="CS434" s="3062"/>
      <c r="CT434" s="3063"/>
      <c r="CU434" s="3064">
        <f t="shared" si="120"/>
        <v>1</v>
      </c>
      <c r="CV434" s="3022" t="str">
        <f>IF(OR(CT434="",CT434="None"),"-",DO434*CU434*SUMIF('Lighting Assumptions'!$G$3:$G$112,'6a - Lighting Counts'!G434,'Lighting Assumptions'!$J$3:$J$112))</f>
        <v>-</v>
      </c>
      <c r="CW434" s="3021"/>
      <c r="CX434" s="3021"/>
      <c r="CY434" s="3046"/>
      <c r="CZ434" s="2098">
        <f t="shared" si="121"/>
        <v>0</v>
      </c>
      <c r="DA434" s="2098" t="str">
        <f t="shared" si="122"/>
        <v>-</v>
      </c>
      <c r="DB434" s="2098">
        <f t="shared" si="123"/>
        <v>0</v>
      </c>
      <c r="DC434" s="3023" t="str">
        <f t="shared" si="124"/>
        <v>-</v>
      </c>
      <c r="DD434" s="3024" t="str">
        <f t="shared" si="125"/>
        <v/>
      </c>
      <c r="DE434" s="3025" t="str">
        <f t="shared" si="126"/>
        <v>-</v>
      </c>
      <c r="DF434" s="3024" t="str">
        <f t="shared" si="117"/>
        <v>-</v>
      </c>
      <c r="DG434" s="2098">
        <f t="shared" si="127"/>
        <v>0</v>
      </c>
      <c r="DH434" s="2098">
        <f t="array" ref="DH434">MIN(SUMPRODUCT(I434:CR434,IF($I$25:$CR$25="yes",1,0),$I$23:$CR$23),H434)</f>
        <v>0</v>
      </c>
      <c r="DI434" s="3026"/>
      <c r="DJ434" s="3021"/>
      <c r="DN434" s="917" t="str">
        <f>IF(CS434="","-",SUMIF('Lighting Assumptions'!$G$3:$G$112,'6a - Lighting Counts'!G434,'Lighting Assumptions'!$J$3:$J$112))</f>
        <v>-</v>
      </c>
      <c r="DO434" s="917" t="str">
        <f t="shared" si="118"/>
        <v>-</v>
      </c>
      <c r="DP434" s="917" t="str">
        <f t="shared" si="119"/>
        <v>-</v>
      </c>
      <c r="DQ434" s="917" t="str">
        <f>IF(LEFT(CELLformula(DF434),3)&lt;&gt;"=IF",1,"")</f>
        <v/>
      </c>
      <c r="DR434" s="917" t="str">
        <f>IF(LEFT(CELLformula(DD434),3)&lt;&gt;"=IF",1,"")</f>
        <v/>
      </c>
      <c r="DS434" s="3048">
        <f t="shared" si="128"/>
        <v>0</v>
      </c>
      <c r="DT434" s="3047" t="str">
        <f t="shared" si="129"/>
        <v/>
      </c>
      <c r="DU434" s="3047" t="str">
        <f>IFERROR(IF(G434="","",SUMIF('Lighting Assumptions'!$G$3:$G$112,'6a - Lighting Counts'!G434,'Lighting Assumptions'!$H$3:$H$112)*IF(SI_IP_Units="SI",10.76,1)),"")</f>
        <v/>
      </c>
      <c r="DV434" s="3047" t="str">
        <f>IFERROR(IF($CX434="","",IF(SI_IP_Units="SI",10.76,1)*SUMIF(BAMCategories,$CY434,'Lighting Assumptions'!$E$3:E$35)),"")</f>
        <v/>
      </c>
      <c r="DW434" s="3047" t="str">
        <f>IFERROR(IF($CX434="","",IF(SI_IP_Units="SI",10.76,1)*SUMIF(BAMCategories,$CY434,IF(bpf_reference="ACP",'Lighting Assumptions 90.1-2010'!$E$3:E$35,'Lighting Assumptions 90.1-2016'!$E$3:E$35))),"")</f>
        <v/>
      </c>
      <c r="EW434" s="855"/>
      <c r="EX434" s="855"/>
      <c r="EY434" s="855"/>
      <c r="EZ434" s="855"/>
    </row>
    <row r="435" spans="4:156" x14ac:dyDescent="0.25">
      <c r="D435" s="3029"/>
      <c r="E435" s="3028"/>
      <c r="F435" s="3021">
        <f t="shared" si="116"/>
        <v>0</v>
      </c>
      <c r="G435" s="3059"/>
      <c r="H435" s="3060"/>
      <c r="I435" s="3061"/>
      <c r="J435" s="3061"/>
      <c r="K435" s="3061"/>
      <c r="L435" s="3061"/>
      <c r="M435" s="3061"/>
      <c r="N435" s="3061"/>
      <c r="O435" s="3061"/>
      <c r="P435" s="3061"/>
      <c r="Q435" s="3061"/>
      <c r="R435" s="3061"/>
      <c r="S435" s="3061"/>
      <c r="T435" s="3061"/>
      <c r="U435" s="3061"/>
      <c r="V435" s="3061"/>
      <c r="W435" s="3061"/>
      <c r="X435" s="3061"/>
      <c r="Y435" s="3061"/>
      <c r="Z435" s="3061"/>
      <c r="AA435" s="3061"/>
      <c r="AB435" s="3061"/>
      <c r="AC435" s="3061"/>
      <c r="AD435" s="3061"/>
      <c r="AE435" s="3061"/>
      <c r="AF435" s="3061"/>
      <c r="AG435" s="3061"/>
      <c r="AH435" s="3061"/>
      <c r="AI435" s="3061"/>
      <c r="AJ435" s="3061"/>
      <c r="AK435" s="3061"/>
      <c r="AL435" s="3061"/>
      <c r="AM435" s="3061"/>
      <c r="AN435" s="3061"/>
      <c r="AO435" s="3061"/>
      <c r="AP435" s="3061"/>
      <c r="AQ435" s="3061"/>
      <c r="AR435" s="3061"/>
      <c r="AS435" s="3061"/>
      <c r="AT435" s="3061"/>
      <c r="AU435" s="3061"/>
      <c r="AV435" s="3061"/>
      <c r="AW435" s="3061"/>
      <c r="AX435" s="3061"/>
      <c r="AY435" s="3061"/>
      <c r="AZ435" s="3061"/>
      <c r="BA435" s="3061"/>
      <c r="BB435" s="3061"/>
      <c r="BC435" s="3061"/>
      <c r="BD435" s="3061"/>
      <c r="BE435" s="3061"/>
      <c r="BF435" s="3061"/>
      <c r="BG435" s="3061"/>
      <c r="BH435" s="3061"/>
      <c r="BI435" s="3061"/>
      <c r="BJ435" s="3061"/>
      <c r="BK435" s="3061"/>
      <c r="BL435" s="3061"/>
      <c r="BM435" s="3061"/>
      <c r="BN435" s="3061"/>
      <c r="BO435" s="3061"/>
      <c r="BP435" s="3061"/>
      <c r="BQ435" s="3061"/>
      <c r="BR435" s="3061"/>
      <c r="BS435" s="3061"/>
      <c r="BT435" s="3061"/>
      <c r="BU435" s="3061"/>
      <c r="BV435" s="3061"/>
      <c r="BW435" s="3061"/>
      <c r="BX435" s="3061"/>
      <c r="BY435" s="3061"/>
      <c r="BZ435" s="3061"/>
      <c r="CA435" s="3061"/>
      <c r="CB435" s="3061"/>
      <c r="CC435" s="3061"/>
      <c r="CD435" s="3061"/>
      <c r="CE435" s="3061"/>
      <c r="CF435" s="3061"/>
      <c r="CG435" s="3061"/>
      <c r="CH435" s="3061"/>
      <c r="CI435" s="3061"/>
      <c r="CJ435" s="3061"/>
      <c r="CK435" s="3061"/>
      <c r="CL435" s="3061"/>
      <c r="CM435" s="3061"/>
      <c r="CN435" s="3061"/>
      <c r="CO435" s="3061"/>
      <c r="CP435" s="3061"/>
      <c r="CQ435" s="3061"/>
      <c r="CR435" s="3061"/>
      <c r="CS435" s="3062"/>
      <c r="CT435" s="3063"/>
      <c r="CU435" s="3064">
        <f t="shared" si="120"/>
        <v>1</v>
      </c>
      <c r="CV435" s="3022" t="str">
        <f>IF(OR(CT435="",CT435="None"),"-",DO435*CU435*SUMIF('Lighting Assumptions'!$G$3:$G$112,'6a - Lighting Counts'!G435,'Lighting Assumptions'!$J$3:$J$112))</f>
        <v>-</v>
      </c>
      <c r="CW435" s="3021"/>
      <c r="CX435" s="3021"/>
      <c r="CY435" s="3046"/>
      <c r="CZ435" s="2098">
        <f t="shared" si="121"/>
        <v>0</v>
      </c>
      <c r="DA435" s="2098" t="str">
        <f t="shared" si="122"/>
        <v>-</v>
      </c>
      <c r="DB435" s="2098">
        <f t="shared" si="123"/>
        <v>0</v>
      </c>
      <c r="DC435" s="3023" t="str">
        <f t="shared" si="124"/>
        <v>-</v>
      </c>
      <c r="DD435" s="3024" t="str">
        <f t="shared" si="125"/>
        <v/>
      </c>
      <c r="DE435" s="3025" t="str">
        <f t="shared" si="126"/>
        <v>-</v>
      </c>
      <c r="DF435" s="3024" t="str">
        <f t="shared" si="117"/>
        <v>-</v>
      </c>
      <c r="DG435" s="2098">
        <f t="shared" si="127"/>
        <v>0</v>
      </c>
      <c r="DH435" s="2098">
        <f t="array" ref="DH435">MIN(SUMPRODUCT(I435:CR435,IF($I$25:$CR$25="yes",1,0),$I$23:$CR$23),H435)</f>
        <v>0</v>
      </c>
      <c r="DI435" s="3026"/>
      <c r="DJ435" s="3021"/>
      <c r="DN435" s="917" t="str">
        <f>IF(CS435="","-",SUMIF('Lighting Assumptions'!$G$3:$G$112,'6a - Lighting Counts'!G435,'Lighting Assumptions'!$J$3:$J$112))</f>
        <v>-</v>
      </c>
      <c r="DO435" s="917" t="str">
        <f t="shared" si="118"/>
        <v>-</v>
      </c>
      <c r="DP435" s="917" t="str">
        <f t="shared" si="119"/>
        <v>-</v>
      </c>
      <c r="DQ435" s="917" t="str">
        <f>IF(LEFT(CELLformula(DF435),3)&lt;&gt;"=IF",1,"")</f>
        <v/>
      </c>
      <c r="DR435" s="917" t="str">
        <f>IF(LEFT(CELLformula(DD435),3)&lt;&gt;"=IF",1,"")</f>
        <v/>
      </c>
      <c r="DS435" s="3048">
        <f t="shared" si="128"/>
        <v>0</v>
      </c>
      <c r="DT435" s="3047" t="str">
        <f t="shared" si="129"/>
        <v/>
      </c>
      <c r="DU435" s="3047" t="str">
        <f>IFERROR(IF(G435="","",SUMIF('Lighting Assumptions'!$G$3:$G$112,'6a - Lighting Counts'!G435,'Lighting Assumptions'!$H$3:$H$112)*IF(SI_IP_Units="SI",10.76,1)),"")</f>
        <v/>
      </c>
      <c r="DV435" s="3047" t="str">
        <f>IFERROR(IF($CX435="","",IF(SI_IP_Units="SI",10.76,1)*SUMIF(BAMCategories,$CY435,'Lighting Assumptions'!$E$3:E$35)),"")</f>
        <v/>
      </c>
      <c r="DW435" s="3047" t="str">
        <f>IFERROR(IF($CX435="","",IF(SI_IP_Units="SI",10.76,1)*SUMIF(BAMCategories,$CY435,IF(bpf_reference="ACP",'Lighting Assumptions 90.1-2010'!$E$3:E$35,'Lighting Assumptions 90.1-2016'!$E$3:E$35))),"")</f>
        <v/>
      </c>
      <c r="EW435" s="855"/>
      <c r="EX435" s="855"/>
      <c r="EY435" s="855"/>
      <c r="EZ435" s="855"/>
    </row>
    <row r="436" spans="4:156" x14ac:dyDescent="0.25">
      <c r="D436" s="3029"/>
      <c r="E436" s="3028"/>
      <c r="F436" s="3021">
        <f t="shared" si="116"/>
        <v>0</v>
      </c>
      <c r="G436" s="3059"/>
      <c r="H436" s="3060"/>
      <c r="I436" s="3061"/>
      <c r="J436" s="3061"/>
      <c r="K436" s="3061"/>
      <c r="L436" s="3061"/>
      <c r="M436" s="3061"/>
      <c r="N436" s="3061"/>
      <c r="O436" s="3061"/>
      <c r="P436" s="3061"/>
      <c r="Q436" s="3061"/>
      <c r="R436" s="3061"/>
      <c r="S436" s="3061"/>
      <c r="T436" s="3061"/>
      <c r="U436" s="3061"/>
      <c r="V436" s="3061"/>
      <c r="W436" s="3061"/>
      <c r="X436" s="3061"/>
      <c r="Y436" s="3061"/>
      <c r="Z436" s="3061"/>
      <c r="AA436" s="3061"/>
      <c r="AB436" s="3061"/>
      <c r="AC436" s="3061"/>
      <c r="AD436" s="3061"/>
      <c r="AE436" s="3061"/>
      <c r="AF436" s="3061"/>
      <c r="AG436" s="3061"/>
      <c r="AH436" s="3061"/>
      <c r="AI436" s="3061"/>
      <c r="AJ436" s="3061"/>
      <c r="AK436" s="3061"/>
      <c r="AL436" s="3061"/>
      <c r="AM436" s="3061"/>
      <c r="AN436" s="3061"/>
      <c r="AO436" s="3061"/>
      <c r="AP436" s="3061"/>
      <c r="AQ436" s="3061"/>
      <c r="AR436" s="3061"/>
      <c r="AS436" s="3061"/>
      <c r="AT436" s="3061"/>
      <c r="AU436" s="3061"/>
      <c r="AV436" s="3061"/>
      <c r="AW436" s="3061"/>
      <c r="AX436" s="3061"/>
      <c r="AY436" s="3061"/>
      <c r="AZ436" s="3061"/>
      <c r="BA436" s="3061"/>
      <c r="BB436" s="3061"/>
      <c r="BC436" s="3061"/>
      <c r="BD436" s="3061"/>
      <c r="BE436" s="3061"/>
      <c r="BF436" s="3061"/>
      <c r="BG436" s="3061"/>
      <c r="BH436" s="3061"/>
      <c r="BI436" s="3061"/>
      <c r="BJ436" s="3061"/>
      <c r="BK436" s="3061"/>
      <c r="BL436" s="3061"/>
      <c r="BM436" s="3061"/>
      <c r="BN436" s="3061"/>
      <c r="BO436" s="3061"/>
      <c r="BP436" s="3061"/>
      <c r="BQ436" s="3061"/>
      <c r="BR436" s="3061"/>
      <c r="BS436" s="3061"/>
      <c r="BT436" s="3061"/>
      <c r="BU436" s="3061"/>
      <c r="BV436" s="3061"/>
      <c r="BW436" s="3061"/>
      <c r="BX436" s="3061"/>
      <c r="BY436" s="3061"/>
      <c r="BZ436" s="3061"/>
      <c r="CA436" s="3061"/>
      <c r="CB436" s="3061"/>
      <c r="CC436" s="3061"/>
      <c r="CD436" s="3061"/>
      <c r="CE436" s="3061"/>
      <c r="CF436" s="3061"/>
      <c r="CG436" s="3061"/>
      <c r="CH436" s="3061"/>
      <c r="CI436" s="3061"/>
      <c r="CJ436" s="3061"/>
      <c r="CK436" s="3061"/>
      <c r="CL436" s="3061"/>
      <c r="CM436" s="3061"/>
      <c r="CN436" s="3061"/>
      <c r="CO436" s="3061"/>
      <c r="CP436" s="3061"/>
      <c r="CQ436" s="3061"/>
      <c r="CR436" s="3061"/>
      <c r="CS436" s="3062"/>
      <c r="CT436" s="3063"/>
      <c r="CU436" s="3064">
        <f t="shared" si="120"/>
        <v>1</v>
      </c>
      <c r="CV436" s="3022" t="str">
        <f>IF(OR(CT436="",CT436="None"),"-",DO436*CU436*SUMIF('Lighting Assumptions'!$G$3:$G$112,'6a - Lighting Counts'!G436,'Lighting Assumptions'!$J$3:$J$112))</f>
        <v>-</v>
      </c>
      <c r="CW436" s="3021"/>
      <c r="CX436" s="3021"/>
      <c r="CY436" s="3046"/>
      <c r="CZ436" s="2098">
        <f t="shared" si="121"/>
        <v>0</v>
      </c>
      <c r="DA436" s="2098" t="str">
        <f t="shared" si="122"/>
        <v>-</v>
      </c>
      <c r="DB436" s="2098">
        <f t="shared" si="123"/>
        <v>0</v>
      </c>
      <c r="DC436" s="3023" t="str">
        <f t="shared" si="124"/>
        <v>-</v>
      </c>
      <c r="DD436" s="3024" t="str">
        <f t="shared" si="125"/>
        <v/>
      </c>
      <c r="DE436" s="3025" t="str">
        <f t="shared" si="126"/>
        <v>-</v>
      </c>
      <c r="DF436" s="3024" t="str">
        <f t="shared" si="117"/>
        <v>-</v>
      </c>
      <c r="DG436" s="2098">
        <f t="shared" si="127"/>
        <v>0</v>
      </c>
      <c r="DH436" s="2098">
        <f t="array" ref="DH436">MIN(SUMPRODUCT(I436:CR436,IF($I$25:$CR$25="yes",1,0),$I$23:$CR$23),H436)</f>
        <v>0</v>
      </c>
      <c r="DI436" s="3026"/>
      <c r="DJ436" s="3021"/>
      <c r="DN436" s="917" t="str">
        <f>IF(CS436="","-",SUMIF('Lighting Assumptions'!$G$3:$G$112,'6a - Lighting Counts'!G436,'Lighting Assumptions'!$J$3:$J$112))</f>
        <v>-</v>
      </c>
      <c r="DO436" s="917" t="str">
        <f t="shared" si="118"/>
        <v>-</v>
      </c>
      <c r="DP436" s="917" t="str">
        <f t="shared" si="119"/>
        <v>-</v>
      </c>
      <c r="DQ436" s="917" t="str">
        <f>IF(LEFT(CELLformula(DF436),3)&lt;&gt;"=IF",1,"")</f>
        <v/>
      </c>
      <c r="DR436" s="917" t="str">
        <f>IF(LEFT(CELLformula(DD436),3)&lt;&gt;"=IF",1,"")</f>
        <v/>
      </c>
      <c r="DS436" s="3048">
        <f t="shared" si="128"/>
        <v>0</v>
      </c>
      <c r="DT436" s="3047" t="str">
        <f t="shared" si="129"/>
        <v/>
      </c>
      <c r="DU436" s="3047" t="str">
        <f>IFERROR(IF(G436="","",SUMIF('Lighting Assumptions'!$G$3:$G$112,'6a - Lighting Counts'!G436,'Lighting Assumptions'!$H$3:$H$112)*IF(SI_IP_Units="SI",10.76,1)),"")</f>
        <v/>
      </c>
      <c r="DV436" s="3047" t="str">
        <f>IFERROR(IF($CX436="","",IF(SI_IP_Units="SI",10.76,1)*SUMIF(BAMCategories,$CY436,'Lighting Assumptions'!$E$3:E$35)),"")</f>
        <v/>
      </c>
      <c r="DW436" s="3047" t="str">
        <f>IFERROR(IF($CX436="","",IF(SI_IP_Units="SI",10.76,1)*SUMIF(BAMCategories,$CY436,IF(bpf_reference="ACP",'Lighting Assumptions 90.1-2010'!$E$3:E$35,'Lighting Assumptions 90.1-2016'!$E$3:E$35))),"")</f>
        <v/>
      </c>
      <c r="EW436" s="855"/>
      <c r="EX436" s="855"/>
      <c r="EY436" s="855"/>
      <c r="EZ436" s="855"/>
    </row>
    <row r="437" spans="4:156" x14ac:dyDescent="0.25">
      <c r="D437" s="3029"/>
      <c r="E437" s="3028"/>
      <c r="F437" s="3021">
        <f t="shared" si="116"/>
        <v>0</v>
      </c>
      <c r="G437" s="3059"/>
      <c r="H437" s="3060"/>
      <c r="I437" s="3061"/>
      <c r="J437" s="3061"/>
      <c r="K437" s="3061"/>
      <c r="L437" s="3061"/>
      <c r="M437" s="3061"/>
      <c r="N437" s="3061"/>
      <c r="O437" s="3061"/>
      <c r="P437" s="3061"/>
      <c r="Q437" s="3061"/>
      <c r="R437" s="3061"/>
      <c r="S437" s="3061"/>
      <c r="T437" s="3061"/>
      <c r="U437" s="3061"/>
      <c r="V437" s="3061"/>
      <c r="W437" s="3061"/>
      <c r="X437" s="3061"/>
      <c r="Y437" s="3061"/>
      <c r="Z437" s="3061"/>
      <c r="AA437" s="3061"/>
      <c r="AB437" s="3061"/>
      <c r="AC437" s="3061"/>
      <c r="AD437" s="3061"/>
      <c r="AE437" s="3061"/>
      <c r="AF437" s="3061"/>
      <c r="AG437" s="3061"/>
      <c r="AH437" s="3061"/>
      <c r="AI437" s="3061"/>
      <c r="AJ437" s="3061"/>
      <c r="AK437" s="3061"/>
      <c r="AL437" s="3061"/>
      <c r="AM437" s="3061"/>
      <c r="AN437" s="3061"/>
      <c r="AO437" s="3061"/>
      <c r="AP437" s="3061"/>
      <c r="AQ437" s="3061"/>
      <c r="AR437" s="3061"/>
      <c r="AS437" s="3061"/>
      <c r="AT437" s="3061"/>
      <c r="AU437" s="3061"/>
      <c r="AV437" s="3061"/>
      <c r="AW437" s="3061"/>
      <c r="AX437" s="3061"/>
      <c r="AY437" s="3061"/>
      <c r="AZ437" s="3061"/>
      <c r="BA437" s="3061"/>
      <c r="BB437" s="3061"/>
      <c r="BC437" s="3061"/>
      <c r="BD437" s="3061"/>
      <c r="BE437" s="3061"/>
      <c r="BF437" s="3061"/>
      <c r="BG437" s="3061"/>
      <c r="BH437" s="3061"/>
      <c r="BI437" s="3061"/>
      <c r="BJ437" s="3061"/>
      <c r="BK437" s="3061"/>
      <c r="BL437" s="3061"/>
      <c r="BM437" s="3061"/>
      <c r="BN437" s="3061"/>
      <c r="BO437" s="3061"/>
      <c r="BP437" s="3061"/>
      <c r="BQ437" s="3061"/>
      <c r="BR437" s="3061"/>
      <c r="BS437" s="3061"/>
      <c r="BT437" s="3061"/>
      <c r="BU437" s="3061"/>
      <c r="BV437" s="3061"/>
      <c r="BW437" s="3061"/>
      <c r="BX437" s="3061"/>
      <c r="BY437" s="3061"/>
      <c r="BZ437" s="3061"/>
      <c r="CA437" s="3061"/>
      <c r="CB437" s="3061"/>
      <c r="CC437" s="3061"/>
      <c r="CD437" s="3061"/>
      <c r="CE437" s="3061"/>
      <c r="CF437" s="3061"/>
      <c r="CG437" s="3061"/>
      <c r="CH437" s="3061"/>
      <c r="CI437" s="3061"/>
      <c r="CJ437" s="3061"/>
      <c r="CK437" s="3061"/>
      <c r="CL437" s="3061"/>
      <c r="CM437" s="3061"/>
      <c r="CN437" s="3061"/>
      <c r="CO437" s="3061"/>
      <c r="CP437" s="3061"/>
      <c r="CQ437" s="3061"/>
      <c r="CR437" s="3061"/>
      <c r="CS437" s="3062"/>
      <c r="CT437" s="3063"/>
      <c r="CU437" s="3064">
        <f t="shared" si="120"/>
        <v>1</v>
      </c>
      <c r="CV437" s="3022" t="str">
        <f>IF(OR(CT437="",CT437="None"),"-",DO437*CU437*SUMIF('Lighting Assumptions'!$G$3:$G$112,'6a - Lighting Counts'!G437,'Lighting Assumptions'!$J$3:$J$112))</f>
        <v>-</v>
      </c>
      <c r="CW437" s="3021"/>
      <c r="CX437" s="3021"/>
      <c r="CY437" s="3046"/>
      <c r="CZ437" s="2098">
        <f t="shared" si="121"/>
        <v>0</v>
      </c>
      <c r="DA437" s="2098" t="str">
        <f t="shared" si="122"/>
        <v>-</v>
      </c>
      <c r="DB437" s="2098">
        <f t="shared" si="123"/>
        <v>0</v>
      </c>
      <c r="DC437" s="3023" t="str">
        <f t="shared" si="124"/>
        <v>-</v>
      </c>
      <c r="DD437" s="3024" t="str">
        <f t="shared" si="125"/>
        <v/>
      </c>
      <c r="DE437" s="3025" t="str">
        <f t="shared" si="126"/>
        <v>-</v>
      </c>
      <c r="DF437" s="3024" t="str">
        <f t="shared" si="117"/>
        <v>-</v>
      </c>
      <c r="DG437" s="2098">
        <f t="shared" si="127"/>
        <v>0</v>
      </c>
      <c r="DH437" s="2098">
        <f t="array" ref="DH437">MIN(SUMPRODUCT(I437:CR437,IF($I$25:$CR$25="yes",1,0),$I$23:$CR$23),H437)</f>
        <v>0</v>
      </c>
      <c r="DI437" s="3026"/>
      <c r="DJ437" s="3021"/>
      <c r="DN437" s="917" t="str">
        <f>IF(CS437="","-",SUMIF('Lighting Assumptions'!$G$3:$G$112,'6a - Lighting Counts'!G437,'Lighting Assumptions'!$J$3:$J$112))</f>
        <v>-</v>
      </c>
      <c r="DO437" s="917" t="str">
        <f t="shared" si="118"/>
        <v>-</v>
      </c>
      <c r="DP437" s="917" t="str">
        <f t="shared" si="119"/>
        <v>-</v>
      </c>
      <c r="DQ437" s="917" t="str">
        <f>IF(LEFT(CELLformula(DF437),3)&lt;&gt;"=IF",1,"")</f>
        <v/>
      </c>
      <c r="DR437" s="917" t="str">
        <f>IF(LEFT(CELLformula(DD437),3)&lt;&gt;"=IF",1,"")</f>
        <v/>
      </c>
      <c r="DS437" s="3048">
        <f t="shared" si="128"/>
        <v>0</v>
      </c>
      <c r="DT437" s="3047" t="str">
        <f t="shared" si="129"/>
        <v/>
      </c>
      <c r="DU437" s="3047" t="str">
        <f>IFERROR(IF(G437="","",SUMIF('Lighting Assumptions'!$G$3:$G$112,'6a - Lighting Counts'!G437,'Lighting Assumptions'!$H$3:$H$112)*IF(SI_IP_Units="SI",10.76,1)),"")</f>
        <v/>
      </c>
      <c r="DV437" s="3047" t="str">
        <f>IFERROR(IF($CX437="","",IF(SI_IP_Units="SI",10.76,1)*SUMIF(BAMCategories,$CY437,'Lighting Assumptions'!$E$3:E$35)),"")</f>
        <v/>
      </c>
      <c r="DW437" s="3047" t="str">
        <f>IFERROR(IF($CX437="","",IF(SI_IP_Units="SI",10.76,1)*SUMIF(BAMCategories,$CY437,IF(bpf_reference="ACP",'Lighting Assumptions 90.1-2010'!$E$3:E$35,'Lighting Assumptions 90.1-2016'!$E$3:E$35))),"")</f>
        <v/>
      </c>
      <c r="EW437" s="855"/>
      <c r="EX437" s="855"/>
      <c r="EY437" s="855"/>
      <c r="EZ437" s="855"/>
    </row>
    <row r="438" spans="4:156" x14ac:dyDescent="0.25">
      <c r="D438" s="3029"/>
      <c r="E438" s="3028"/>
      <c r="F438" s="3021">
        <f t="shared" si="116"/>
        <v>0</v>
      </c>
      <c r="G438" s="3059"/>
      <c r="H438" s="3060"/>
      <c r="I438" s="3061"/>
      <c r="J438" s="3061"/>
      <c r="K438" s="3061"/>
      <c r="L438" s="3061"/>
      <c r="M438" s="3061"/>
      <c r="N438" s="3061"/>
      <c r="O438" s="3061"/>
      <c r="P438" s="3061"/>
      <c r="Q438" s="3061"/>
      <c r="R438" s="3061"/>
      <c r="S438" s="3061"/>
      <c r="T438" s="3061"/>
      <c r="U438" s="3061"/>
      <c r="V438" s="3061"/>
      <c r="W438" s="3061"/>
      <c r="X438" s="3061"/>
      <c r="Y438" s="3061"/>
      <c r="Z438" s="3061"/>
      <c r="AA438" s="3061"/>
      <c r="AB438" s="3061"/>
      <c r="AC438" s="3061"/>
      <c r="AD438" s="3061"/>
      <c r="AE438" s="3061"/>
      <c r="AF438" s="3061"/>
      <c r="AG438" s="3061"/>
      <c r="AH438" s="3061"/>
      <c r="AI438" s="3061"/>
      <c r="AJ438" s="3061"/>
      <c r="AK438" s="3061"/>
      <c r="AL438" s="3061"/>
      <c r="AM438" s="3061"/>
      <c r="AN438" s="3061"/>
      <c r="AO438" s="3061"/>
      <c r="AP438" s="3061"/>
      <c r="AQ438" s="3061"/>
      <c r="AR438" s="3061"/>
      <c r="AS438" s="3061"/>
      <c r="AT438" s="3061"/>
      <c r="AU438" s="3061"/>
      <c r="AV438" s="3061"/>
      <c r="AW438" s="3061"/>
      <c r="AX438" s="3061"/>
      <c r="AY438" s="3061"/>
      <c r="AZ438" s="3061"/>
      <c r="BA438" s="3061"/>
      <c r="BB438" s="3061"/>
      <c r="BC438" s="3061"/>
      <c r="BD438" s="3061"/>
      <c r="BE438" s="3061"/>
      <c r="BF438" s="3061"/>
      <c r="BG438" s="3061"/>
      <c r="BH438" s="3061"/>
      <c r="BI438" s="3061"/>
      <c r="BJ438" s="3061"/>
      <c r="BK438" s="3061"/>
      <c r="BL438" s="3061"/>
      <c r="BM438" s="3061"/>
      <c r="BN438" s="3061"/>
      <c r="BO438" s="3061"/>
      <c r="BP438" s="3061"/>
      <c r="BQ438" s="3061"/>
      <c r="BR438" s="3061"/>
      <c r="BS438" s="3061"/>
      <c r="BT438" s="3061"/>
      <c r="BU438" s="3061"/>
      <c r="BV438" s="3061"/>
      <c r="BW438" s="3061"/>
      <c r="BX438" s="3061"/>
      <c r="BY438" s="3061"/>
      <c r="BZ438" s="3061"/>
      <c r="CA438" s="3061"/>
      <c r="CB438" s="3061"/>
      <c r="CC438" s="3061"/>
      <c r="CD438" s="3061"/>
      <c r="CE438" s="3061"/>
      <c r="CF438" s="3061"/>
      <c r="CG438" s="3061"/>
      <c r="CH438" s="3061"/>
      <c r="CI438" s="3061"/>
      <c r="CJ438" s="3061"/>
      <c r="CK438" s="3061"/>
      <c r="CL438" s="3061"/>
      <c r="CM438" s="3061"/>
      <c r="CN438" s="3061"/>
      <c r="CO438" s="3061"/>
      <c r="CP438" s="3061"/>
      <c r="CQ438" s="3061"/>
      <c r="CR438" s="3061"/>
      <c r="CS438" s="3062"/>
      <c r="CT438" s="3063"/>
      <c r="CU438" s="3064">
        <f t="shared" si="120"/>
        <v>1</v>
      </c>
      <c r="CV438" s="3022" t="str">
        <f>IF(OR(CT438="",CT438="None"),"-",DO438*CU438*SUMIF('Lighting Assumptions'!$G$3:$G$112,'6a - Lighting Counts'!G438,'Lighting Assumptions'!$J$3:$J$112))</f>
        <v>-</v>
      </c>
      <c r="CW438" s="3021"/>
      <c r="CX438" s="3021"/>
      <c r="CY438" s="3046"/>
      <c r="CZ438" s="2098">
        <f t="shared" si="121"/>
        <v>0</v>
      </c>
      <c r="DA438" s="2098" t="str">
        <f t="shared" si="122"/>
        <v>-</v>
      </c>
      <c r="DB438" s="2098">
        <f t="shared" si="123"/>
        <v>0</v>
      </c>
      <c r="DC438" s="3023" t="str">
        <f t="shared" si="124"/>
        <v>-</v>
      </c>
      <c r="DD438" s="3024" t="str">
        <f t="shared" si="125"/>
        <v/>
      </c>
      <c r="DE438" s="3025" t="str">
        <f t="shared" si="126"/>
        <v>-</v>
      </c>
      <c r="DF438" s="3024" t="str">
        <f t="shared" si="117"/>
        <v>-</v>
      </c>
      <c r="DG438" s="2098">
        <f t="shared" si="127"/>
        <v>0</v>
      </c>
      <c r="DH438" s="2098">
        <f t="array" ref="DH438">MIN(SUMPRODUCT(I438:CR438,IF($I$25:$CR$25="yes",1,0),$I$23:$CR$23),H438)</f>
        <v>0</v>
      </c>
      <c r="DI438" s="3026"/>
      <c r="DJ438" s="3021"/>
      <c r="DN438" s="917" t="str">
        <f>IF(CS438="","-",SUMIF('Lighting Assumptions'!$G$3:$G$112,'6a - Lighting Counts'!G438,'Lighting Assumptions'!$J$3:$J$112))</f>
        <v>-</v>
      </c>
      <c r="DO438" s="917" t="str">
        <f t="shared" si="118"/>
        <v>-</v>
      </c>
      <c r="DP438" s="917" t="str">
        <f t="shared" si="119"/>
        <v>-</v>
      </c>
      <c r="DQ438" s="917" t="str">
        <f>IF(LEFT(CELLformula(DF438),3)&lt;&gt;"=IF",1,"")</f>
        <v/>
      </c>
      <c r="DR438" s="917" t="str">
        <f>IF(LEFT(CELLformula(DD438),3)&lt;&gt;"=IF",1,"")</f>
        <v/>
      </c>
      <c r="DS438" s="3048">
        <f t="shared" si="128"/>
        <v>0</v>
      </c>
      <c r="DT438" s="3047" t="str">
        <f t="shared" si="129"/>
        <v/>
      </c>
      <c r="DU438" s="3047" t="str">
        <f>IFERROR(IF(G438="","",SUMIF('Lighting Assumptions'!$G$3:$G$112,'6a - Lighting Counts'!G438,'Lighting Assumptions'!$H$3:$H$112)*IF(SI_IP_Units="SI",10.76,1)),"")</f>
        <v/>
      </c>
      <c r="DV438" s="3047" t="str">
        <f>IFERROR(IF($CX438="","",IF(SI_IP_Units="SI",10.76,1)*SUMIF(BAMCategories,$CY438,'Lighting Assumptions'!$E$3:E$35)),"")</f>
        <v/>
      </c>
      <c r="DW438" s="3047" t="str">
        <f>IFERROR(IF($CX438="","",IF(SI_IP_Units="SI",10.76,1)*SUMIF(BAMCategories,$CY438,IF(bpf_reference="ACP",'Lighting Assumptions 90.1-2010'!$E$3:E$35,'Lighting Assumptions 90.1-2016'!$E$3:E$35))),"")</f>
        <v/>
      </c>
      <c r="EW438" s="855"/>
      <c r="EX438" s="855"/>
      <c r="EY438" s="855"/>
      <c r="EZ438" s="855"/>
    </row>
    <row r="439" spans="4:156" x14ac:dyDescent="0.25">
      <c r="D439" s="3029"/>
      <c r="E439" s="3028"/>
      <c r="F439" s="3021">
        <f t="shared" si="116"/>
        <v>0</v>
      </c>
      <c r="G439" s="3059"/>
      <c r="H439" s="3060"/>
      <c r="I439" s="3061"/>
      <c r="J439" s="3061"/>
      <c r="K439" s="3061"/>
      <c r="L439" s="3061"/>
      <c r="M439" s="3061"/>
      <c r="N439" s="3061"/>
      <c r="O439" s="3061"/>
      <c r="P439" s="3061"/>
      <c r="Q439" s="3061"/>
      <c r="R439" s="3061"/>
      <c r="S439" s="3061"/>
      <c r="T439" s="3061"/>
      <c r="U439" s="3061"/>
      <c r="V439" s="3061"/>
      <c r="W439" s="3061"/>
      <c r="X439" s="3061"/>
      <c r="Y439" s="3061"/>
      <c r="Z439" s="3061"/>
      <c r="AA439" s="3061"/>
      <c r="AB439" s="3061"/>
      <c r="AC439" s="3061"/>
      <c r="AD439" s="3061"/>
      <c r="AE439" s="3061"/>
      <c r="AF439" s="3061"/>
      <c r="AG439" s="3061"/>
      <c r="AH439" s="3061"/>
      <c r="AI439" s="3061"/>
      <c r="AJ439" s="3061"/>
      <c r="AK439" s="3061"/>
      <c r="AL439" s="3061"/>
      <c r="AM439" s="3061"/>
      <c r="AN439" s="3061"/>
      <c r="AO439" s="3061"/>
      <c r="AP439" s="3061"/>
      <c r="AQ439" s="3061"/>
      <c r="AR439" s="3061"/>
      <c r="AS439" s="3061"/>
      <c r="AT439" s="3061"/>
      <c r="AU439" s="3061"/>
      <c r="AV439" s="3061"/>
      <c r="AW439" s="3061"/>
      <c r="AX439" s="3061"/>
      <c r="AY439" s="3061"/>
      <c r="AZ439" s="3061"/>
      <c r="BA439" s="3061"/>
      <c r="BB439" s="3061"/>
      <c r="BC439" s="3061"/>
      <c r="BD439" s="3061"/>
      <c r="BE439" s="3061"/>
      <c r="BF439" s="3061"/>
      <c r="BG439" s="3061"/>
      <c r="BH439" s="3061"/>
      <c r="BI439" s="3061"/>
      <c r="BJ439" s="3061"/>
      <c r="BK439" s="3061"/>
      <c r="BL439" s="3061"/>
      <c r="BM439" s="3061"/>
      <c r="BN439" s="3061"/>
      <c r="BO439" s="3061"/>
      <c r="BP439" s="3061"/>
      <c r="BQ439" s="3061"/>
      <c r="BR439" s="3061"/>
      <c r="BS439" s="3061"/>
      <c r="BT439" s="3061"/>
      <c r="BU439" s="3061"/>
      <c r="BV439" s="3061"/>
      <c r="BW439" s="3061"/>
      <c r="BX439" s="3061"/>
      <c r="BY439" s="3061"/>
      <c r="BZ439" s="3061"/>
      <c r="CA439" s="3061"/>
      <c r="CB439" s="3061"/>
      <c r="CC439" s="3061"/>
      <c r="CD439" s="3061"/>
      <c r="CE439" s="3061"/>
      <c r="CF439" s="3061"/>
      <c r="CG439" s="3061"/>
      <c r="CH439" s="3061"/>
      <c r="CI439" s="3061"/>
      <c r="CJ439" s="3061"/>
      <c r="CK439" s="3061"/>
      <c r="CL439" s="3061"/>
      <c r="CM439" s="3061"/>
      <c r="CN439" s="3061"/>
      <c r="CO439" s="3061"/>
      <c r="CP439" s="3061"/>
      <c r="CQ439" s="3061"/>
      <c r="CR439" s="3061"/>
      <c r="CS439" s="3062"/>
      <c r="CT439" s="3063"/>
      <c r="CU439" s="3064">
        <f t="shared" si="120"/>
        <v>1</v>
      </c>
      <c r="CV439" s="3022" t="str">
        <f>IF(OR(CT439="",CT439="None"),"-",DO439*CU439*SUMIF('Lighting Assumptions'!$G$3:$G$112,'6a - Lighting Counts'!G439,'Lighting Assumptions'!$J$3:$J$112))</f>
        <v>-</v>
      </c>
      <c r="CW439" s="3021"/>
      <c r="CX439" s="3021"/>
      <c r="CY439" s="3046"/>
      <c r="CZ439" s="2098">
        <f t="shared" si="121"/>
        <v>0</v>
      </c>
      <c r="DA439" s="2098" t="str">
        <f t="shared" si="122"/>
        <v>-</v>
      </c>
      <c r="DB439" s="2098">
        <f t="shared" si="123"/>
        <v>0</v>
      </c>
      <c r="DC439" s="3023" t="str">
        <f t="shared" si="124"/>
        <v>-</v>
      </c>
      <c r="DD439" s="3024" t="str">
        <f t="shared" si="125"/>
        <v/>
      </c>
      <c r="DE439" s="3025" t="str">
        <f t="shared" si="126"/>
        <v>-</v>
      </c>
      <c r="DF439" s="3024" t="str">
        <f t="shared" si="117"/>
        <v>-</v>
      </c>
      <c r="DG439" s="2098">
        <f t="shared" si="127"/>
        <v>0</v>
      </c>
      <c r="DH439" s="2098">
        <f t="array" ref="DH439">MIN(SUMPRODUCT(I439:CR439,IF($I$25:$CR$25="yes",1,0),$I$23:$CR$23),H439)</f>
        <v>0</v>
      </c>
      <c r="DI439" s="3026"/>
      <c r="DJ439" s="3021"/>
      <c r="DN439" s="917" t="str">
        <f>IF(CS439="","-",SUMIF('Lighting Assumptions'!$G$3:$G$112,'6a - Lighting Counts'!G439,'Lighting Assumptions'!$J$3:$J$112))</f>
        <v>-</v>
      </c>
      <c r="DO439" s="917" t="str">
        <f t="shared" si="118"/>
        <v>-</v>
      </c>
      <c r="DP439" s="917" t="str">
        <f t="shared" si="119"/>
        <v>-</v>
      </c>
      <c r="DQ439" s="917" t="str">
        <f>IF(LEFT(CELLformula(DF439),3)&lt;&gt;"=IF",1,"")</f>
        <v/>
      </c>
      <c r="DR439" s="917" t="str">
        <f>IF(LEFT(CELLformula(DD439),3)&lt;&gt;"=IF",1,"")</f>
        <v/>
      </c>
      <c r="DS439" s="3048">
        <f t="shared" si="128"/>
        <v>0</v>
      </c>
      <c r="DT439" s="3047" t="str">
        <f t="shared" si="129"/>
        <v/>
      </c>
      <c r="DU439" s="3047" t="str">
        <f>IFERROR(IF(G439="","",SUMIF('Lighting Assumptions'!$G$3:$G$112,'6a - Lighting Counts'!G439,'Lighting Assumptions'!$H$3:$H$112)*IF(SI_IP_Units="SI",10.76,1)),"")</f>
        <v/>
      </c>
      <c r="DV439" s="3047" t="str">
        <f>IFERROR(IF($CX439="","",IF(SI_IP_Units="SI",10.76,1)*SUMIF(BAMCategories,$CY439,'Lighting Assumptions'!$E$3:E$35)),"")</f>
        <v/>
      </c>
      <c r="DW439" s="3047" t="str">
        <f>IFERROR(IF($CX439="","",IF(SI_IP_Units="SI",10.76,1)*SUMIF(BAMCategories,$CY439,IF(bpf_reference="ACP",'Lighting Assumptions 90.1-2010'!$E$3:E$35,'Lighting Assumptions 90.1-2016'!$E$3:E$35))),"")</f>
        <v/>
      </c>
      <c r="EW439" s="855"/>
      <c r="EX439" s="855"/>
      <c r="EY439" s="855"/>
      <c r="EZ439" s="855"/>
    </row>
    <row r="440" spans="4:156" x14ac:dyDescent="0.25">
      <c r="D440" s="3029"/>
      <c r="E440" s="3028"/>
      <c r="F440" s="3021">
        <f t="shared" si="116"/>
        <v>0</v>
      </c>
      <c r="G440" s="3059"/>
      <c r="H440" s="3060"/>
      <c r="I440" s="3061"/>
      <c r="J440" s="3061"/>
      <c r="K440" s="3061"/>
      <c r="L440" s="3061"/>
      <c r="M440" s="3061"/>
      <c r="N440" s="3061"/>
      <c r="O440" s="3061"/>
      <c r="P440" s="3061"/>
      <c r="Q440" s="3061"/>
      <c r="R440" s="3061"/>
      <c r="S440" s="3061"/>
      <c r="T440" s="3061"/>
      <c r="U440" s="3061"/>
      <c r="V440" s="3061"/>
      <c r="W440" s="3061"/>
      <c r="X440" s="3061"/>
      <c r="Y440" s="3061"/>
      <c r="Z440" s="3061"/>
      <c r="AA440" s="3061"/>
      <c r="AB440" s="3061"/>
      <c r="AC440" s="3061"/>
      <c r="AD440" s="3061"/>
      <c r="AE440" s="3061"/>
      <c r="AF440" s="3061"/>
      <c r="AG440" s="3061"/>
      <c r="AH440" s="3061"/>
      <c r="AI440" s="3061"/>
      <c r="AJ440" s="3061"/>
      <c r="AK440" s="3061"/>
      <c r="AL440" s="3061"/>
      <c r="AM440" s="3061"/>
      <c r="AN440" s="3061"/>
      <c r="AO440" s="3061"/>
      <c r="AP440" s="3061"/>
      <c r="AQ440" s="3061"/>
      <c r="AR440" s="3061"/>
      <c r="AS440" s="3061"/>
      <c r="AT440" s="3061"/>
      <c r="AU440" s="3061"/>
      <c r="AV440" s="3061"/>
      <c r="AW440" s="3061"/>
      <c r="AX440" s="3061"/>
      <c r="AY440" s="3061"/>
      <c r="AZ440" s="3061"/>
      <c r="BA440" s="3061"/>
      <c r="BB440" s="3061"/>
      <c r="BC440" s="3061"/>
      <c r="BD440" s="3061"/>
      <c r="BE440" s="3061"/>
      <c r="BF440" s="3061"/>
      <c r="BG440" s="3061"/>
      <c r="BH440" s="3061"/>
      <c r="BI440" s="3061"/>
      <c r="BJ440" s="3061"/>
      <c r="BK440" s="3061"/>
      <c r="BL440" s="3061"/>
      <c r="BM440" s="3061"/>
      <c r="BN440" s="3061"/>
      <c r="BO440" s="3061"/>
      <c r="BP440" s="3061"/>
      <c r="BQ440" s="3061"/>
      <c r="BR440" s="3061"/>
      <c r="BS440" s="3061"/>
      <c r="BT440" s="3061"/>
      <c r="BU440" s="3061"/>
      <c r="BV440" s="3061"/>
      <c r="BW440" s="3061"/>
      <c r="BX440" s="3061"/>
      <c r="BY440" s="3061"/>
      <c r="BZ440" s="3061"/>
      <c r="CA440" s="3061"/>
      <c r="CB440" s="3061"/>
      <c r="CC440" s="3061"/>
      <c r="CD440" s="3061"/>
      <c r="CE440" s="3061"/>
      <c r="CF440" s="3061"/>
      <c r="CG440" s="3061"/>
      <c r="CH440" s="3061"/>
      <c r="CI440" s="3061"/>
      <c r="CJ440" s="3061"/>
      <c r="CK440" s="3061"/>
      <c r="CL440" s="3061"/>
      <c r="CM440" s="3061"/>
      <c r="CN440" s="3061"/>
      <c r="CO440" s="3061"/>
      <c r="CP440" s="3061"/>
      <c r="CQ440" s="3061"/>
      <c r="CR440" s="3061"/>
      <c r="CS440" s="3062"/>
      <c r="CT440" s="3063"/>
      <c r="CU440" s="3064">
        <f t="shared" si="120"/>
        <v>1</v>
      </c>
      <c r="CV440" s="3022" t="str">
        <f>IF(OR(CT440="",CT440="None"),"-",DO440*CU440*SUMIF('Lighting Assumptions'!$G$3:$G$112,'6a - Lighting Counts'!G440,'Lighting Assumptions'!$J$3:$J$112))</f>
        <v>-</v>
      </c>
      <c r="CW440" s="3021"/>
      <c r="CX440" s="3021"/>
      <c r="CY440" s="3046"/>
      <c r="CZ440" s="2098">
        <f t="shared" si="121"/>
        <v>0</v>
      </c>
      <c r="DA440" s="2098" t="str">
        <f t="shared" si="122"/>
        <v>-</v>
      </c>
      <c r="DB440" s="2098">
        <f t="shared" si="123"/>
        <v>0</v>
      </c>
      <c r="DC440" s="3023" t="str">
        <f t="shared" si="124"/>
        <v>-</v>
      </c>
      <c r="DD440" s="3024" t="str">
        <f t="shared" si="125"/>
        <v/>
      </c>
      <c r="DE440" s="3025" t="str">
        <f t="shared" si="126"/>
        <v>-</v>
      </c>
      <c r="DF440" s="3024" t="str">
        <f t="shared" si="117"/>
        <v>-</v>
      </c>
      <c r="DG440" s="2098">
        <f t="shared" si="127"/>
        <v>0</v>
      </c>
      <c r="DH440" s="2098">
        <f t="array" ref="DH440">MIN(SUMPRODUCT(I440:CR440,IF($I$25:$CR$25="yes",1,0),$I$23:$CR$23),H440)</f>
        <v>0</v>
      </c>
      <c r="DI440" s="3026"/>
      <c r="DJ440" s="3021"/>
      <c r="DN440" s="917" t="str">
        <f>IF(CS440="","-",SUMIF('Lighting Assumptions'!$G$3:$G$112,'6a - Lighting Counts'!G440,'Lighting Assumptions'!$J$3:$J$112))</f>
        <v>-</v>
      </c>
      <c r="DO440" s="917" t="str">
        <f t="shared" si="118"/>
        <v>-</v>
      </c>
      <c r="DP440" s="917" t="str">
        <f t="shared" si="119"/>
        <v>-</v>
      </c>
      <c r="DQ440" s="917" t="str">
        <f>IF(LEFT(CELLformula(DF440),3)&lt;&gt;"=IF",1,"")</f>
        <v/>
      </c>
      <c r="DR440" s="917" t="str">
        <f>IF(LEFT(CELLformula(DD440),3)&lt;&gt;"=IF",1,"")</f>
        <v/>
      </c>
      <c r="DS440" s="3048">
        <f t="shared" si="128"/>
        <v>0</v>
      </c>
      <c r="DT440" s="3047" t="str">
        <f t="shared" si="129"/>
        <v/>
      </c>
      <c r="DU440" s="3047" t="str">
        <f>IFERROR(IF(G440="","",SUMIF('Lighting Assumptions'!$G$3:$G$112,'6a - Lighting Counts'!G440,'Lighting Assumptions'!$H$3:$H$112)*IF(SI_IP_Units="SI",10.76,1)),"")</f>
        <v/>
      </c>
      <c r="DV440" s="3047" t="str">
        <f>IFERROR(IF($CX440="","",IF(SI_IP_Units="SI",10.76,1)*SUMIF(BAMCategories,$CY440,'Lighting Assumptions'!$E$3:E$35)),"")</f>
        <v/>
      </c>
      <c r="DW440" s="3047" t="str">
        <f>IFERROR(IF($CX440="","",IF(SI_IP_Units="SI",10.76,1)*SUMIF(BAMCategories,$CY440,IF(bpf_reference="ACP",'Lighting Assumptions 90.1-2010'!$E$3:E$35,'Lighting Assumptions 90.1-2016'!$E$3:E$35))),"")</f>
        <v/>
      </c>
      <c r="EW440" s="855"/>
      <c r="EX440" s="855"/>
      <c r="EY440" s="855"/>
      <c r="EZ440" s="855"/>
    </row>
    <row r="441" spans="4:156" x14ac:dyDescent="0.25">
      <c r="D441" s="3029"/>
      <c r="E441" s="3028"/>
      <c r="F441" s="3021">
        <f t="shared" si="116"/>
        <v>0</v>
      </c>
      <c r="G441" s="3059"/>
      <c r="H441" s="3060"/>
      <c r="I441" s="3061"/>
      <c r="J441" s="3061"/>
      <c r="K441" s="3061"/>
      <c r="L441" s="3061"/>
      <c r="M441" s="3061"/>
      <c r="N441" s="3061"/>
      <c r="O441" s="3061"/>
      <c r="P441" s="3061"/>
      <c r="Q441" s="3061"/>
      <c r="R441" s="3061"/>
      <c r="S441" s="3061"/>
      <c r="T441" s="3061"/>
      <c r="U441" s="3061"/>
      <c r="V441" s="3061"/>
      <c r="W441" s="3061"/>
      <c r="X441" s="3061"/>
      <c r="Y441" s="3061"/>
      <c r="Z441" s="3061"/>
      <c r="AA441" s="3061"/>
      <c r="AB441" s="3061"/>
      <c r="AC441" s="3061"/>
      <c r="AD441" s="3061"/>
      <c r="AE441" s="3061"/>
      <c r="AF441" s="3061"/>
      <c r="AG441" s="3061"/>
      <c r="AH441" s="3061"/>
      <c r="AI441" s="3061"/>
      <c r="AJ441" s="3061"/>
      <c r="AK441" s="3061"/>
      <c r="AL441" s="3061"/>
      <c r="AM441" s="3061"/>
      <c r="AN441" s="3061"/>
      <c r="AO441" s="3061"/>
      <c r="AP441" s="3061"/>
      <c r="AQ441" s="3061"/>
      <c r="AR441" s="3061"/>
      <c r="AS441" s="3061"/>
      <c r="AT441" s="3061"/>
      <c r="AU441" s="3061"/>
      <c r="AV441" s="3061"/>
      <c r="AW441" s="3061"/>
      <c r="AX441" s="3061"/>
      <c r="AY441" s="3061"/>
      <c r="AZ441" s="3061"/>
      <c r="BA441" s="3061"/>
      <c r="BB441" s="3061"/>
      <c r="BC441" s="3061"/>
      <c r="BD441" s="3061"/>
      <c r="BE441" s="3061"/>
      <c r="BF441" s="3061"/>
      <c r="BG441" s="3061"/>
      <c r="BH441" s="3061"/>
      <c r="BI441" s="3061"/>
      <c r="BJ441" s="3061"/>
      <c r="BK441" s="3061"/>
      <c r="BL441" s="3061"/>
      <c r="BM441" s="3061"/>
      <c r="BN441" s="3061"/>
      <c r="BO441" s="3061"/>
      <c r="BP441" s="3061"/>
      <c r="BQ441" s="3061"/>
      <c r="BR441" s="3061"/>
      <c r="BS441" s="3061"/>
      <c r="BT441" s="3061"/>
      <c r="BU441" s="3061"/>
      <c r="BV441" s="3061"/>
      <c r="BW441" s="3061"/>
      <c r="BX441" s="3061"/>
      <c r="BY441" s="3061"/>
      <c r="BZ441" s="3061"/>
      <c r="CA441" s="3061"/>
      <c r="CB441" s="3061"/>
      <c r="CC441" s="3061"/>
      <c r="CD441" s="3061"/>
      <c r="CE441" s="3061"/>
      <c r="CF441" s="3061"/>
      <c r="CG441" s="3061"/>
      <c r="CH441" s="3061"/>
      <c r="CI441" s="3061"/>
      <c r="CJ441" s="3061"/>
      <c r="CK441" s="3061"/>
      <c r="CL441" s="3061"/>
      <c r="CM441" s="3061"/>
      <c r="CN441" s="3061"/>
      <c r="CO441" s="3061"/>
      <c r="CP441" s="3061"/>
      <c r="CQ441" s="3061"/>
      <c r="CR441" s="3061"/>
      <c r="CS441" s="3062"/>
      <c r="CT441" s="3063"/>
      <c r="CU441" s="3064">
        <f t="shared" si="120"/>
        <v>1</v>
      </c>
      <c r="CV441" s="3022" t="str">
        <f>IF(OR(CT441="",CT441="None"),"-",DO441*CU441*SUMIF('Lighting Assumptions'!$G$3:$G$112,'6a - Lighting Counts'!G441,'Lighting Assumptions'!$J$3:$J$112))</f>
        <v>-</v>
      </c>
      <c r="CW441" s="3021"/>
      <c r="CX441" s="3021"/>
      <c r="CY441" s="3046"/>
      <c r="CZ441" s="2098">
        <f t="shared" si="121"/>
        <v>0</v>
      </c>
      <c r="DA441" s="2098" t="str">
        <f t="shared" si="122"/>
        <v>-</v>
      </c>
      <c r="DB441" s="2098">
        <f t="shared" si="123"/>
        <v>0</v>
      </c>
      <c r="DC441" s="3023" t="str">
        <f t="shared" si="124"/>
        <v>-</v>
      </c>
      <c r="DD441" s="3024" t="str">
        <f t="shared" si="125"/>
        <v/>
      </c>
      <c r="DE441" s="3025" t="str">
        <f t="shared" si="126"/>
        <v>-</v>
      </c>
      <c r="DF441" s="3024" t="str">
        <f t="shared" si="117"/>
        <v>-</v>
      </c>
      <c r="DG441" s="2098">
        <f t="shared" si="127"/>
        <v>0</v>
      </c>
      <c r="DH441" s="2098">
        <f t="array" ref="DH441">MIN(SUMPRODUCT(I441:CR441,IF($I$25:$CR$25="yes",1,0),$I$23:$CR$23),H441)</f>
        <v>0</v>
      </c>
      <c r="DI441" s="3026"/>
      <c r="DJ441" s="3021"/>
      <c r="DN441" s="917" t="str">
        <f>IF(CS441="","-",SUMIF('Lighting Assumptions'!$G$3:$G$112,'6a - Lighting Counts'!G441,'Lighting Assumptions'!$J$3:$J$112))</f>
        <v>-</v>
      </c>
      <c r="DO441" s="917" t="str">
        <f t="shared" si="118"/>
        <v>-</v>
      </c>
      <c r="DP441" s="917" t="str">
        <f t="shared" si="119"/>
        <v>-</v>
      </c>
      <c r="DQ441" s="917" t="str">
        <f>IF(LEFT(CELLformula(DF441),3)&lt;&gt;"=IF",1,"")</f>
        <v/>
      </c>
      <c r="DR441" s="917" t="str">
        <f>IF(LEFT(CELLformula(DD441),3)&lt;&gt;"=IF",1,"")</f>
        <v/>
      </c>
      <c r="DS441" s="3048">
        <f t="shared" si="128"/>
        <v>0</v>
      </c>
      <c r="DT441" s="3047" t="str">
        <f t="shared" si="129"/>
        <v/>
      </c>
      <c r="DU441" s="3047" t="str">
        <f>IFERROR(IF(G441="","",SUMIF('Lighting Assumptions'!$G$3:$G$112,'6a - Lighting Counts'!G441,'Lighting Assumptions'!$H$3:$H$112)*IF(SI_IP_Units="SI",10.76,1)),"")</f>
        <v/>
      </c>
      <c r="DV441" s="3047" t="str">
        <f>IFERROR(IF($CX441="","",IF(SI_IP_Units="SI",10.76,1)*SUMIF(BAMCategories,$CY441,'Lighting Assumptions'!$E$3:E$35)),"")</f>
        <v/>
      </c>
      <c r="DW441" s="3047" t="str">
        <f>IFERROR(IF($CX441="","",IF(SI_IP_Units="SI",10.76,1)*SUMIF(BAMCategories,$CY441,IF(bpf_reference="ACP",'Lighting Assumptions 90.1-2010'!$E$3:E$35,'Lighting Assumptions 90.1-2016'!$E$3:E$35))),"")</f>
        <v/>
      </c>
      <c r="EW441" s="855"/>
      <c r="EX441" s="855"/>
      <c r="EY441" s="855"/>
      <c r="EZ441" s="855"/>
    </row>
    <row r="442" spans="4:156" x14ac:dyDescent="0.25">
      <c r="D442" s="3029"/>
      <c r="E442" s="3028"/>
      <c r="F442" s="3021">
        <f t="shared" si="116"/>
        <v>0</v>
      </c>
      <c r="G442" s="3059"/>
      <c r="H442" s="3060"/>
      <c r="I442" s="3061"/>
      <c r="J442" s="3061"/>
      <c r="K442" s="3061"/>
      <c r="L442" s="3061"/>
      <c r="M442" s="3061"/>
      <c r="N442" s="3061"/>
      <c r="O442" s="3061"/>
      <c r="P442" s="3061"/>
      <c r="Q442" s="3061"/>
      <c r="R442" s="3061"/>
      <c r="S442" s="3061"/>
      <c r="T442" s="3061"/>
      <c r="U442" s="3061"/>
      <c r="V442" s="3061"/>
      <c r="W442" s="3061"/>
      <c r="X442" s="3061"/>
      <c r="Y442" s="3061"/>
      <c r="Z442" s="3061"/>
      <c r="AA442" s="3061"/>
      <c r="AB442" s="3061"/>
      <c r="AC442" s="3061"/>
      <c r="AD442" s="3061"/>
      <c r="AE442" s="3061"/>
      <c r="AF442" s="3061"/>
      <c r="AG442" s="3061"/>
      <c r="AH442" s="3061"/>
      <c r="AI442" s="3061"/>
      <c r="AJ442" s="3061"/>
      <c r="AK442" s="3061"/>
      <c r="AL442" s="3061"/>
      <c r="AM442" s="3061"/>
      <c r="AN442" s="3061"/>
      <c r="AO442" s="3061"/>
      <c r="AP442" s="3061"/>
      <c r="AQ442" s="3061"/>
      <c r="AR442" s="3061"/>
      <c r="AS442" s="3061"/>
      <c r="AT442" s="3061"/>
      <c r="AU442" s="3061"/>
      <c r="AV442" s="3061"/>
      <c r="AW442" s="3061"/>
      <c r="AX442" s="3061"/>
      <c r="AY442" s="3061"/>
      <c r="AZ442" s="3061"/>
      <c r="BA442" s="3061"/>
      <c r="BB442" s="3061"/>
      <c r="BC442" s="3061"/>
      <c r="BD442" s="3061"/>
      <c r="BE442" s="3061"/>
      <c r="BF442" s="3061"/>
      <c r="BG442" s="3061"/>
      <c r="BH442" s="3061"/>
      <c r="BI442" s="3061"/>
      <c r="BJ442" s="3061"/>
      <c r="BK442" s="3061"/>
      <c r="BL442" s="3061"/>
      <c r="BM442" s="3061"/>
      <c r="BN442" s="3061"/>
      <c r="BO442" s="3061"/>
      <c r="BP442" s="3061"/>
      <c r="BQ442" s="3061"/>
      <c r="BR442" s="3061"/>
      <c r="BS442" s="3061"/>
      <c r="BT442" s="3061"/>
      <c r="BU442" s="3061"/>
      <c r="BV442" s="3061"/>
      <c r="BW442" s="3061"/>
      <c r="BX442" s="3061"/>
      <c r="BY442" s="3061"/>
      <c r="BZ442" s="3061"/>
      <c r="CA442" s="3061"/>
      <c r="CB442" s="3061"/>
      <c r="CC442" s="3061"/>
      <c r="CD442" s="3061"/>
      <c r="CE442" s="3061"/>
      <c r="CF442" s="3061"/>
      <c r="CG442" s="3061"/>
      <c r="CH442" s="3061"/>
      <c r="CI442" s="3061"/>
      <c r="CJ442" s="3061"/>
      <c r="CK442" s="3061"/>
      <c r="CL442" s="3061"/>
      <c r="CM442" s="3061"/>
      <c r="CN442" s="3061"/>
      <c r="CO442" s="3061"/>
      <c r="CP442" s="3061"/>
      <c r="CQ442" s="3061"/>
      <c r="CR442" s="3061"/>
      <c r="CS442" s="3062"/>
      <c r="CT442" s="3063"/>
      <c r="CU442" s="3064">
        <f t="shared" si="120"/>
        <v>1</v>
      </c>
      <c r="CV442" s="3022" t="str">
        <f>IF(OR(CT442="",CT442="None"),"-",DO442*CU442*SUMIF('Lighting Assumptions'!$G$3:$G$112,'6a - Lighting Counts'!G442,'Lighting Assumptions'!$J$3:$J$112))</f>
        <v>-</v>
      </c>
      <c r="CW442" s="3021"/>
      <c r="CX442" s="3021"/>
      <c r="CY442" s="3046"/>
      <c r="CZ442" s="2098">
        <f t="shared" si="121"/>
        <v>0</v>
      </c>
      <c r="DA442" s="2098" t="str">
        <f t="shared" si="122"/>
        <v>-</v>
      </c>
      <c r="DB442" s="2098">
        <f t="shared" si="123"/>
        <v>0</v>
      </c>
      <c r="DC442" s="3023" t="str">
        <f t="shared" si="124"/>
        <v>-</v>
      </c>
      <c r="DD442" s="3024" t="str">
        <f t="shared" si="125"/>
        <v/>
      </c>
      <c r="DE442" s="3025" t="str">
        <f t="shared" si="126"/>
        <v>-</v>
      </c>
      <c r="DF442" s="3024" t="str">
        <f t="shared" si="117"/>
        <v>-</v>
      </c>
      <c r="DG442" s="2098">
        <f t="shared" si="127"/>
        <v>0</v>
      </c>
      <c r="DH442" s="2098">
        <f t="array" ref="DH442">MIN(SUMPRODUCT(I442:CR442,IF($I$25:$CR$25="yes",1,0),$I$23:$CR$23),H442)</f>
        <v>0</v>
      </c>
      <c r="DI442" s="3026"/>
      <c r="DJ442" s="3021"/>
      <c r="DN442" s="917" t="str">
        <f>IF(CS442="","-",SUMIF('Lighting Assumptions'!$G$3:$G$112,'6a - Lighting Counts'!G442,'Lighting Assumptions'!$J$3:$J$112))</f>
        <v>-</v>
      </c>
      <c r="DO442" s="917" t="str">
        <f t="shared" si="118"/>
        <v>-</v>
      </c>
      <c r="DP442" s="917" t="str">
        <f t="shared" si="119"/>
        <v>-</v>
      </c>
      <c r="DQ442" s="917" t="str">
        <f>IF(LEFT(CELLformula(DF442),3)&lt;&gt;"=IF",1,"")</f>
        <v/>
      </c>
      <c r="DR442" s="917" t="str">
        <f>IF(LEFT(CELLformula(DD442),3)&lt;&gt;"=IF",1,"")</f>
        <v/>
      </c>
      <c r="DS442" s="3048">
        <f t="shared" si="128"/>
        <v>0</v>
      </c>
      <c r="DT442" s="3047" t="str">
        <f t="shared" si="129"/>
        <v/>
      </c>
      <c r="DU442" s="3047" t="str">
        <f>IFERROR(IF(G442="","",SUMIF('Lighting Assumptions'!$G$3:$G$112,'6a - Lighting Counts'!G442,'Lighting Assumptions'!$H$3:$H$112)*IF(SI_IP_Units="SI",10.76,1)),"")</f>
        <v/>
      </c>
      <c r="DV442" s="3047" t="str">
        <f>IFERROR(IF($CX442="","",IF(SI_IP_Units="SI",10.76,1)*SUMIF(BAMCategories,$CY442,'Lighting Assumptions'!$E$3:E$35)),"")</f>
        <v/>
      </c>
      <c r="DW442" s="3047" t="str">
        <f>IFERROR(IF($CX442="","",IF(SI_IP_Units="SI",10.76,1)*SUMIF(BAMCategories,$CY442,IF(bpf_reference="ACP",'Lighting Assumptions 90.1-2010'!$E$3:E$35,'Lighting Assumptions 90.1-2016'!$E$3:E$35))),"")</f>
        <v/>
      </c>
      <c r="EW442" s="855"/>
      <c r="EX442" s="855"/>
      <c r="EY442" s="855"/>
      <c r="EZ442" s="855"/>
    </row>
    <row r="443" spans="4:156" x14ac:dyDescent="0.25">
      <c r="D443" s="3029"/>
      <c r="E443" s="3028"/>
      <c r="F443" s="3021">
        <f t="shared" si="116"/>
        <v>0</v>
      </c>
      <c r="G443" s="3059"/>
      <c r="H443" s="3060"/>
      <c r="I443" s="3061"/>
      <c r="J443" s="3061"/>
      <c r="K443" s="3061"/>
      <c r="L443" s="3061"/>
      <c r="M443" s="3061"/>
      <c r="N443" s="3061"/>
      <c r="O443" s="3061"/>
      <c r="P443" s="3061"/>
      <c r="Q443" s="3061"/>
      <c r="R443" s="3061"/>
      <c r="S443" s="3061"/>
      <c r="T443" s="3061"/>
      <c r="U443" s="3061"/>
      <c r="V443" s="3061"/>
      <c r="W443" s="3061"/>
      <c r="X443" s="3061"/>
      <c r="Y443" s="3061"/>
      <c r="Z443" s="3061"/>
      <c r="AA443" s="3061"/>
      <c r="AB443" s="3061"/>
      <c r="AC443" s="3061"/>
      <c r="AD443" s="3061"/>
      <c r="AE443" s="3061"/>
      <c r="AF443" s="3061"/>
      <c r="AG443" s="3061"/>
      <c r="AH443" s="3061"/>
      <c r="AI443" s="3061"/>
      <c r="AJ443" s="3061"/>
      <c r="AK443" s="3061"/>
      <c r="AL443" s="3061"/>
      <c r="AM443" s="3061"/>
      <c r="AN443" s="3061"/>
      <c r="AO443" s="3061"/>
      <c r="AP443" s="3061"/>
      <c r="AQ443" s="3061"/>
      <c r="AR443" s="3061"/>
      <c r="AS443" s="3061"/>
      <c r="AT443" s="3061"/>
      <c r="AU443" s="3061"/>
      <c r="AV443" s="3061"/>
      <c r="AW443" s="3061"/>
      <c r="AX443" s="3061"/>
      <c r="AY443" s="3061"/>
      <c r="AZ443" s="3061"/>
      <c r="BA443" s="3061"/>
      <c r="BB443" s="3061"/>
      <c r="BC443" s="3061"/>
      <c r="BD443" s="3061"/>
      <c r="BE443" s="3061"/>
      <c r="BF443" s="3061"/>
      <c r="BG443" s="3061"/>
      <c r="BH443" s="3061"/>
      <c r="BI443" s="3061"/>
      <c r="BJ443" s="3061"/>
      <c r="BK443" s="3061"/>
      <c r="BL443" s="3061"/>
      <c r="BM443" s="3061"/>
      <c r="BN443" s="3061"/>
      <c r="BO443" s="3061"/>
      <c r="BP443" s="3061"/>
      <c r="BQ443" s="3061"/>
      <c r="BR443" s="3061"/>
      <c r="BS443" s="3061"/>
      <c r="BT443" s="3061"/>
      <c r="BU443" s="3061"/>
      <c r="BV443" s="3061"/>
      <c r="BW443" s="3061"/>
      <c r="BX443" s="3061"/>
      <c r="BY443" s="3061"/>
      <c r="BZ443" s="3061"/>
      <c r="CA443" s="3061"/>
      <c r="CB443" s="3061"/>
      <c r="CC443" s="3061"/>
      <c r="CD443" s="3061"/>
      <c r="CE443" s="3061"/>
      <c r="CF443" s="3061"/>
      <c r="CG443" s="3061"/>
      <c r="CH443" s="3061"/>
      <c r="CI443" s="3061"/>
      <c r="CJ443" s="3061"/>
      <c r="CK443" s="3061"/>
      <c r="CL443" s="3061"/>
      <c r="CM443" s="3061"/>
      <c r="CN443" s="3061"/>
      <c r="CO443" s="3061"/>
      <c r="CP443" s="3061"/>
      <c r="CQ443" s="3061"/>
      <c r="CR443" s="3061"/>
      <c r="CS443" s="3062"/>
      <c r="CT443" s="3063"/>
      <c r="CU443" s="3064">
        <f t="shared" si="120"/>
        <v>1</v>
      </c>
      <c r="CV443" s="3022" t="str">
        <f>IF(OR(CT443="",CT443="None"),"-",DO443*CU443*SUMIF('Lighting Assumptions'!$G$3:$G$112,'6a - Lighting Counts'!G443,'Lighting Assumptions'!$J$3:$J$112))</f>
        <v>-</v>
      </c>
      <c r="CW443" s="3021"/>
      <c r="CX443" s="3021"/>
      <c r="CY443" s="3046"/>
      <c r="CZ443" s="2098">
        <f t="shared" si="121"/>
        <v>0</v>
      </c>
      <c r="DA443" s="2098" t="str">
        <f t="shared" si="122"/>
        <v>-</v>
      </c>
      <c r="DB443" s="2098">
        <f t="shared" si="123"/>
        <v>0</v>
      </c>
      <c r="DC443" s="3023" t="str">
        <f t="shared" si="124"/>
        <v>-</v>
      </c>
      <c r="DD443" s="3024" t="str">
        <f t="shared" si="125"/>
        <v/>
      </c>
      <c r="DE443" s="3025" t="str">
        <f t="shared" si="126"/>
        <v>-</v>
      </c>
      <c r="DF443" s="3024" t="str">
        <f t="shared" si="117"/>
        <v>-</v>
      </c>
      <c r="DG443" s="2098">
        <f t="shared" si="127"/>
        <v>0</v>
      </c>
      <c r="DH443" s="2098">
        <f t="array" ref="DH443">MIN(SUMPRODUCT(I443:CR443,IF($I$25:$CR$25="yes",1,0),$I$23:$CR$23),H443)</f>
        <v>0</v>
      </c>
      <c r="DI443" s="3026"/>
      <c r="DJ443" s="3021"/>
      <c r="DN443" s="917" t="str">
        <f>IF(CS443="","-",SUMIF('Lighting Assumptions'!$G$3:$G$112,'6a - Lighting Counts'!G443,'Lighting Assumptions'!$J$3:$J$112))</f>
        <v>-</v>
      </c>
      <c r="DO443" s="917" t="str">
        <f t="shared" si="118"/>
        <v>-</v>
      </c>
      <c r="DP443" s="917" t="str">
        <f t="shared" si="119"/>
        <v>-</v>
      </c>
      <c r="DQ443" s="917" t="str">
        <f>IF(LEFT(CELLformula(DF443),3)&lt;&gt;"=IF",1,"")</f>
        <v/>
      </c>
      <c r="DR443" s="917" t="str">
        <f>IF(LEFT(CELLformula(DD443),3)&lt;&gt;"=IF",1,"")</f>
        <v/>
      </c>
      <c r="DS443" s="3048">
        <f t="shared" si="128"/>
        <v>0</v>
      </c>
      <c r="DT443" s="3047" t="str">
        <f t="shared" si="129"/>
        <v/>
      </c>
      <c r="DU443" s="3047" t="str">
        <f>IFERROR(IF(G443="","",SUMIF('Lighting Assumptions'!$G$3:$G$112,'6a - Lighting Counts'!G443,'Lighting Assumptions'!$H$3:$H$112)*IF(SI_IP_Units="SI",10.76,1)),"")</f>
        <v/>
      </c>
      <c r="DV443" s="3047" t="str">
        <f>IFERROR(IF($CX443="","",IF(SI_IP_Units="SI",10.76,1)*SUMIF(BAMCategories,$CY443,'Lighting Assumptions'!$E$3:E$35)),"")</f>
        <v/>
      </c>
      <c r="DW443" s="3047" t="str">
        <f>IFERROR(IF($CX443="","",IF(SI_IP_Units="SI",10.76,1)*SUMIF(BAMCategories,$CY443,IF(bpf_reference="ACP",'Lighting Assumptions 90.1-2010'!$E$3:E$35,'Lighting Assumptions 90.1-2016'!$E$3:E$35))),"")</f>
        <v/>
      </c>
      <c r="EW443" s="855"/>
      <c r="EX443" s="855"/>
      <c r="EY443" s="855"/>
      <c r="EZ443" s="855"/>
    </row>
    <row r="444" spans="4:156" x14ac:dyDescent="0.25">
      <c r="D444" s="3029"/>
      <c r="E444" s="3028"/>
      <c r="F444" s="3021">
        <f t="shared" si="116"/>
        <v>0</v>
      </c>
      <c r="G444" s="3059"/>
      <c r="H444" s="3060"/>
      <c r="I444" s="3061"/>
      <c r="J444" s="3061"/>
      <c r="K444" s="3061"/>
      <c r="L444" s="3061"/>
      <c r="M444" s="3061"/>
      <c r="N444" s="3061"/>
      <c r="O444" s="3061"/>
      <c r="P444" s="3061"/>
      <c r="Q444" s="3061"/>
      <c r="R444" s="3061"/>
      <c r="S444" s="3061"/>
      <c r="T444" s="3061"/>
      <c r="U444" s="3061"/>
      <c r="V444" s="3061"/>
      <c r="W444" s="3061"/>
      <c r="X444" s="3061"/>
      <c r="Y444" s="3061"/>
      <c r="Z444" s="3061"/>
      <c r="AA444" s="3061"/>
      <c r="AB444" s="3061"/>
      <c r="AC444" s="3061"/>
      <c r="AD444" s="3061"/>
      <c r="AE444" s="3061"/>
      <c r="AF444" s="3061"/>
      <c r="AG444" s="3061"/>
      <c r="AH444" s="3061"/>
      <c r="AI444" s="3061"/>
      <c r="AJ444" s="3061"/>
      <c r="AK444" s="3061"/>
      <c r="AL444" s="3061"/>
      <c r="AM444" s="3061"/>
      <c r="AN444" s="3061"/>
      <c r="AO444" s="3061"/>
      <c r="AP444" s="3061"/>
      <c r="AQ444" s="3061"/>
      <c r="AR444" s="3061"/>
      <c r="AS444" s="3061"/>
      <c r="AT444" s="3061"/>
      <c r="AU444" s="3061"/>
      <c r="AV444" s="3061"/>
      <c r="AW444" s="3061"/>
      <c r="AX444" s="3061"/>
      <c r="AY444" s="3061"/>
      <c r="AZ444" s="3061"/>
      <c r="BA444" s="3061"/>
      <c r="BB444" s="3061"/>
      <c r="BC444" s="3061"/>
      <c r="BD444" s="3061"/>
      <c r="BE444" s="3061"/>
      <c r="BF444" s="3061"/>
      <c r="BG444" s="3061"/>
      <c r="BH444" s="3061"/>
      <c r="BI444" s="3061"/>
      <c r="BJ444" s="3061"/>
      <c r="BK444" s="3061"/>
      <c r="BL444" s="3061"/>
      <c r="BM444" s="3061"/>
      <c r="BN444" s="3061"/>
      <c r="BO444" s="3061"/>
      <c r="BP444" s="3061"/>
      <c r="BQ444" s="3061"/>
      <c r="BR444" s="3061"/>
      <c r="BS444" s="3061"/>
      <c r="BT444" s="3061"/>
      <c r="BU444" s="3061"/>
      <c r="BV444" s="3061"/>
      <c r="BW444" s="3061"/>
      <c r="BX444" s="3061"/>
      <c r="BY444" s="3061"/>
      <c r="BZ444" s="3061"/>
      <c r="CA444" s="3061"/>
      <c r="CB444" s="3061"/>
      <c r="CC444" s="3061"/>
      <c r="CD444" s="3061"/>
      <c r="CE444" s="3061"/>
      <c r="CF444" s="3061"/>
      <c r="CG444" s="3061"/>
      <c r="CH444" s="3061"/>
      <c r="CI444" s="3061"/>
      <c r="CJ444" s="3061"/>
      <c r="CK444" s="3061"/>
      <c r="CL444" s="3061"/>
      <c r="CM444" s="3061"/>
      <c r="CN444" s="3061"/>
      <c r="CO444" s="3061"/>
      <c r="CP444" s="3061"/>
      <c r="CQ444" s="3061"/>
      <c r="CR444" s="3061"/>
      <c r="CS444" s="3062"/>
      <c r="CT444" s="3063"/>
      <c r="CU444" s="3064">
        <f t="shared" si="120"/>
        <v>1</v>
      </c>
      <c r="CV444" s="3022" t="str">
        <f>IF(OR(CT444="",CT444="None"),"-",DO444*CU444*SUMIF('Lighting Assumptions'!$G$3:$G$112,'6a - Lighting Counts'!G444,'Lighting Assumptions'!$J$3:$J$112))</f>
        <v>-</v>
      </c>
      <c r="CW444" s="3021"/>
      <c r="CX444" s="3021"/>
      <c r="CY444" s="3046"/>
      <c r="CZ444" s="2098">
        <f t="shared" si="121"/>
        <v>0</v>
      </c>
      <c r="DA444" s="2098" t="str">
        <f t="shared" si="122"/>
        <v>-</v>
      </c>
      <c r="DB444" s="2098">
        <f t="shared" si="123"/>
        <v>0</v>
      </c>
      <c r="DC444" s="3023" t="str">
        <f t="shared" si="124"/>
        <v>-</v>
      </c>
      <c r="DD444" s="3024" t="str">
        <f t="shared" si="125"/>
        <v/>
      </c>
      <c r="DE444" s="3025" t="str">
        <f t="shared" si="126"/>
        <v>-</v>
      </c>
      <c r="DF444" s="3024" t="str">
        <f t="shared" si="117"/>
        <v>-</v>
      </c>
      <c r="DG444" s="2098">
        <f t="shared" si="127"/>
        <v>0</v>
      </c>
      <c r="DH444" s="2098">
        <f t="array" ref="DH444">MIN(SUMPRODUCT(I444:CR444,IF($I$25:$CR$25="yes",1,0),$I$23:$CR$23),H444)</f>
        <v>0</v>
      </c>
      <c r="DI444" s="3026"/>
      <c r="DJ444" s="3021"/>
      <c r="DN444" s="917" t="str">
        <f>IF(CS444="","-",SUMIF('Lighting Assumptions'!$G$3:$G$112,'6a - Lighting Counts'!G444,'Lighting Assumptions'!$J$3:$J$112))</f>
        <v>-</v>
      </c>
      <c r="DO444" s="917" t="str">
        <f t="shared" si="118"/>
        <v>-</v>
      </c>
      <c r="DP444" s="917" t="str">
        <f t="shared" si="119"/>
        <v>-</v>
      </c>
      <c r="DQ444" s="917" t="str">
        <f>IF(LEFT(CELLformula(DF444),3)&lt;&gt;"=IF",1,"")</f>
        <v/>
      </c>
      <c r="DR444" s="917" t="str">
        <f>IF(LEFT(CELLformula(DD444),3)&lt;&gt;"=IF",1,"")</f>
        <v/>
      </c>
      <c r="DS444" s="3048">
        <f t="shared" si="128"/>
        <v>0</v>
      </c>
      <c r="DT444" s="3047" t="str">
        <f t="shared" si="129"/>
        <v/>
      </c>
      <c r="DU444" s="3047" t="str">
        <f>IFERROR(IF(G444="","",SUMIF('Lighting Assumptions'!$G$3:$G$112,'6a - Lighting Counts'!G444,'Lighting Assumptions'!$H$3:$H$112)*IF(SI_IP_Units="SI",10.76,1)),"")</f>
        <v/>
      </c>
      <c r="DV444" s="3047" t="str">
        <f>IFERROR(IF($CX444="","",IF(SI_IP_Units="SI",10.76,1)*SUMIF(BAMCategories,$CY444,'Lighting Assumptions'!$E$3:E$35)),"")</f>
        <v/>
      </c>
      <c r="DW444" s="3047" t="str">
        <f>IFERROR(IF($CX444="","",IF(SI_IP_Units="SI",10.76,1)*SUMIF(BAMCategories,$CY444,IF(bpf_reference="ACP",'Lighting Assumptions 90.1-2010'!$E$3:E$35,'Lighting Assumptions 90.1-2016'!$E$3:E$35))),"")</f>
        <v/>
      </c>
      <c r="EW444" s="855"/>
      <c r="EX444" s="855"/>
      <c r="EY444" s="855"/>
      <c r="EZ444" s="855"/>
    </row>
    <row r="445" spans="4:156" x14ac:dyDescent="0.25">
      <c r="D445" s="3029"/>
      <c r="E445" s="3028"/>
      <c r="F445" s="3021">
        <f t="shared" si="116"/>
        <v>0</v>
      </c>
      <c r="G445" s="3059"/>
      <c r="H445" s="3060"/>
      <c r="I445" s="3061"/>
      <c r="J445" s="3061"/>
      <c r="K445" s="3061"/>
      <c r="L445" s="3061"/>
      <c r="M445" s="3061"/>
      <c r="N445" s="3061"/>
      <c r="O445" s="3061"/>
      <c r="P445" s="3061"/>
      <c r="Q445" s="3061"/>
      <c r="R445" s="3061"/>
      <c r="S445" s="3061"/>
      <c r="T445" s="3061"/>
      <c r="U445" s="3061"/>
      <c r="V445" s="3061"/>
      <c r="W445" s="3061"/>
      <c r="X445" s="3061"/>
      <c r="Y445" s="3061"/>
      <c r="Z445" s="3061"/>
      <c r="AA445" s="3061"/>
      <c r="AB445" s="3061"/>
      <c r="AC445" s="3061"/>
      <c r="AD445" s="3061"/>
      <c r="AE445" s="3061"/>
      <c r="AF445" s="3061"/>
      <c r="AG445" s="3061"/>
      <c r="AH445" s="3061"/>
      <c r="AI445" s="3061"/>
      <c r="AJ445" s="3061"/>
      <c r="AK445" s="3061"/>
      <c r="AL445" s="3061"/>
      <c r="AM445" s="3061"/>
      <c r="AN445" s="3061"/>
      <c r="AO445" s="3061"/>
      <c r="AP445" s="3061"/>
      <c r="AQ445" s="3061"/>
      <c r="AR445" s="3061"/>
      <c r="AS445" s="3061"/>
      <c r="AT445" s="3061"/>
      <c r="AU445" s="3061"/>
      <c r="AV445" s="3061"/>
      <c r="AW445" s="3061"/>
      <c r="AX445" s="3061"/>
      <c r="AY445" s="3061"/>
      <c r="AZ445" s="3061"/>
      <c r="BA445" s="3061"/>
      <c r="BB445" s="3061"/>
      <c r="BC445" s="3061"/>
      <c r="BD445" s="3061"/>
      <c r="BE445" s="3061"/>
      <c r="BF445" s="3061"/>
      <c r="BG445" s="3061"/>
      <c r="BH445" s="3061"/>
      <c r="BI445" s="3061"/>
      <c r="BJ445" s="3061"/>
      <c r="BK445" s="3061"/>
      <c r="BL445" s="3061"/>
      <c r="BM445" s="3061"/>
      <c r="BN445" s="3061"/>
      <c r="BO445" s="3061"/>
      <c r="BP445" s="3061"/>
      <c r="BQ445" s="3061"/>
      <c r="BR445" s="3061"/>
      <c r="BS445" s="3061"/>
      <c r="BT445" s="3061"/>
      <c r="BU445" s="3061"/>
      <c r="BV445" s="3061"/>
      <c r="BW445" s="3061"/>
      <c r="BX445" s="3061"/>
      <c r="BY445" s="3061"/>
      <c r="BZ445" s="3061"/>
      <c r="CA445" s="3061"/>
      <c r="CB445" s="3061"/>
      <c r="CC445" s="3061"/>
      <c r="CD445" s="3061"/>
      <c r="CE445" s="3061"/>
      <c r="CF445" s="3061"/>
      <c r="CG445" s="3061"/>
      <c r="CH445" s="3061"/>
      <c r="CI445" s="3061"/>
      <c r="CJ445" s="3061"/>
      <c r="CK445" s="3061"/>
      <c r="CL445" s="3061"/>
      <c r="CM445" s="3061"/>
      <c r="CN445" s="3061"/>
      <c r="CO445" s="3061"/>
      <c r="CP445" s="3061"/>
      <c r="CQ445" s="3061"/>
      <c r="CR445" s="3061"/>
      <c r="CS445" s="3062"/>
      <c r="CT445" s="3063"/>
      <c r="CU445" s="3064">
        <f t="shared" si="120"/>
        <v>1</v>
      </c>
      <c r="CV445" s="3022" t="str">
        <f>IF(OR(CT445="",CT445="None"),"-",DO445*CU445*SUMIF('Lighting Assumptions'!$G$3:$G$112,'6a - Lighting Counts'!G445,'Lighting Assumptions'!$J$3:$J$112))</f>
        <v>-</v>
      </c>
      <c r="CW445" s="3021"/>
      <c r="CX445" s="3021"/>
      <c r="CY445" s="3046"/>
      <c r="CZ445" s="2098">
        <f t="shared" si="121"/>
        <v>0</v>
      </c>
      <c r="DA445" s="2098" t="str">
        <f t="shared" si="122"/>
        <v>-</v>
      </c>
      <c r="DB445" s="2098">
        <f t="shared" si="123"/>
        <v>0</v>
      </c>
      <c r="DC445" s="3023" t="str">
        <f t="shared" si="124"/>
        <v>-</v>
      </c>
      <c r="DD445" s="3024" t="str">
        <f t="shared" si="125"/>
        <v/>
      </c>
      <c r="DE445" s="3025" t="str">
        <f t="shared" si="126"/>
        <v>-</v>
      </c>
      <c r="DF445" s="3024" t="str">
        <f t="shared" si="117"/>
        <v>-</v>
      </c>
      <c r="DG445" s="2098">
        <f t="shared" si="127"/>
        <v>0</v>
      </c>
      <c r="DH445" s="2098">
        <f t="array" ref="DH445">MIN(SUMPRODUCT(I445:CR445,IF($I$25:$CR$25="yes",1,0),$I$23:$CR$23),H445)</f>
        <v>0</v>
      </c>
      <c r="DI445" s="3026"/>
      <c r="DJ445" s="3021"/>
      <c r="DN445" s="917" t="str">
        <f>IF(CS445="","-",SUMIF('Lighting Assumptions'!$G$3:$G$112,'6a - Lighting Counts'!G445,'Lighting Assumptions'!$J$3:$J$112))</f>
        <v>-</v>
      </c>
      <c r="DO445" s="917" t="str">
        <f t="shared" si="118"/>
        <v>-</v>
      </c>
      <c r="DP445" s="917" t="str">
        <f t="shared" si="119"/>
        <v>-</v>
      </c>
      <c r="DQ445" s="917" t="str">
        <f>IF(LEFT(CELLformula(DF445),3)&lt;&gt;"=IF",1,"")</f>
        <v/>
      </c>
      <c r="DR445" s="917" t="str">
        <f>IF(LEFT(CELLformula(DD445),3)&lt;&gt;"=IF",1,"")</f>
        <v/>
      </c>
      <c r="DS445" s="3048">
        <f t="shared" si="128"/>
        <v>0</v>
      </c>
      <c r="DT445" s="3047" t="str">
        <f t="shared" si="129"/>
        <v/>
      </c>
      <c r="DU445" s="3047" t="str">
        <f>IFERROR(IF(G445="","",SUMIF('Lighting Assumptions'!$G$3:$G$112,'6a - Lighting Counts'!G445,'Lighting Assumptions'!$H$3:$H$112)*IF(SI_IP_Units="SI",10.76,1)),"")</f>
        <v/>
      </c>
      <c r="DV445" s="3047" t="str">
        <f>IFERROR(IF($CX445="","",IF(SI_IP_Units="SI",10.76,1)*SUMIF(BAMCategories,$CY445,'Lighting Assumptions'!$E$3:E$35)),"")</f>
        <v/>
      </c>
      <c r="DW445" s="3047" t="str">
        <f>IFERROR(IF($CX445="","",IF(SI_IP_Units="SI",10.76,1)*SUMIF(BAMCategories,$CY445,IF(bpf_reference="ACP",'Lighting Assumptions 90.1-2010'!$E$3:E$35,'Lighting Assumptions 90.1-2016'!$E$3:E$35))),"")</f>
        <v/>
      </c>
      <c r="EW445" s="855"/>
      <c r="EX445" s="855"/>
      <c r="EY445" s="855"/>
      <c r="EZ445" s="855"/>
    </row>
    <row r="446" spans="4:156" x14ac:dyDescent="0.25">
      <c r="D446" s="3029"/>
      <c r="E446" s="3028"/>
      <c r="F446" s="3021">
        <f t="shared" si="116"/>
        <v>0</v>
      </c>
      <c r="G446" s="3059"/>
      <c r="H446" s="3060"/>
      <c r="I446" s="3061"/>
      <c r="J446" s="3061"/>
      <c r="K446" s="3061"/>
      <c r="L446" s="3061"/>
      <c r="M446" s="3061"/>
      <c r="N446" s="3061"/>
      <c r="O446" s="3061"/>
      <c r="P446" s="3061"/>
      <c r="Q446" s="3061"/>
      <c r="R446" s="3061"/>
      <c r="S446" s="3061"/>
      <c r="T446" s="3061"/>
      <c r="U446" s="3061"/>
      <c r="V446" s="3061"/>
      <c r="W446" s="3061"/>
      <c r="X446" s="3061"/>
      <c r="Y446" s="3061"/>
      <c r="Z446" s="3061"/>
      <c r="AA446" s="3061"/>
      <c r="AB446" s="3061"/>
      <c r="AC446" s="3061"/>
      <c r="AD446" s="3061"/>
      <c r="AE446" s="3061"/>
      <c r="AF446" s="3061"/>
      <c r="AG446" s="3061"/>
      <c r="AH446" s="3061"/>
      <c r="AI446" s="3061"/>
      <c r="AJ446" s="3061"/>
      <c r="AK446" s="3061"/>
      <c r="AL446" s="3061"/>
      <c r="AM446" s="3061"/>
      <c r="AN446" s="3061"/>
      <c r="AO446" s="3061"/>
      <c r="AP446" s="3061"/>
      <c r="AQ446" s="3061"/>
      <c r="AR446" s="3061"/>
      <c r="AS446" s="3061"/>
      <c r="AT446" s="3061"/>
      <c r="AU446" s="3061"/>
      <c r="AV446" s="3061"/>
      <c r="AW446" s="3061"/>
      <c r="AX446" s="3061"/>
      <c r="AY446" s="3061"/>
      <c r="AZ446" s="3061"/>
      <c r="BA446" s="3061"/>
      <c r="BB446" s="3061"/>
      <c r="BC446" s="3061"/>
      <c r="BD446" s="3061"/>
      <c r="BE446" s="3061"/>
      <c r="BF446" s="3061"/>
      <c r="BG446" s="3061"/>
      <c r="BH446" s="3061"/>
      <c r="BI446" s="3061"/>
      <c r="BJ446" s="3061"/>
      <c r="BK446" s="3061"/>
      <c r="BL446" s="3061"/>
      <c r="BM446" s="3061"/>
      <c r="BN446" s="3061"/>
      <c r="BO446" s="3061"/>
      <c r="BP446" s="3061"/>
      <c r="BQ446" s="3061"/>
      <c r="BR446" s="3061"/>
      <c r="BS446" s="3061"/>
      <c r="BT446" s="3061"/>
      <c r="BU446" s="3061"/>
      <c r="BV446" s="3061"/>
      <c r="BW446" s="3061"/>
      <c r="BX446" s="3061"/>
      <c r="BY446" s="3061"/>
      <c r="BZ446" s="3061"/>
      <c r="CA446" s="3061"/>
      <c r="CB446" s="3061"/>
      <c r="CC446" s="3061"/>
      <c r="CD446" s="3061"/>
      <c r="CE446" s="3061"/>
      <c r="CF446" s="3061"/>
      <c r="CG446" s="3061"/>
      <c r="CH446" s="3061"/>
      <c r="CI446" s="3061"/>
      <c r="CJ446" s="3061"/>
      <c r="CK446" s="3061"/>
      <c r="CL446" s="3061"/>
      <c r="CM446" s="3061"/>
      <c r="CN446" s="3061"/>
      <c r="CO446" s="3061"/>
      <c r="CP446" s="3061"/>
      <c r="CQ446" s="3061"/>
      <c r="CR446" s="3061"/>
      <c r="CS446" s="3062"/>
      <c r="CT446" s="3063"/>
      <c r="CU446" s="3064">
        <f t="shared" si="120"/>
        <v>1</v>
      </c>
      <c r="CV446" s="3022" t="str">
        <f>IF(OR(CT446="",CT446="None"),"-",DO446*CU446*SUMIF('Lighting Assumptions'!$G$3:$G$112,'6a - Lighting Counts'!G446,'Lighting Assumptions'!$J$3:$J$112))</f>
        <v>-</v>
      </c>
      <c r="CW446" s="3021"/>
      <c r="CX446" s="3021"/>
      <c r="CY446" s="3046"/>
      <c r="CZ446" s="2098">
        <f t="shared" si="121"/>
        <v>0</v>
      </c>
      <c r="DA446" s="2098" t="str">
        <f t="shared" si="122"/>
        <v>-</v>
      </c>
      <c r="DB446" s="2098">
        <f t="shared" si="123"/>
        <v>0</v>
      </c>
      <c r="DC446" s="3023" t="str">
        <f t="shared" si="124"/>
        <v>-</v>
      </c>
      <c r="DD446" s="3024" t="str">
        <f t="shared" si="125"/>
        <v/>
      </c>
      <c r="DE446" s="3025" t="str">
        <f t="shared" si="126"/>
        <v>-</v>
      </c>
      <c r="DF446" s="3024" t="str">
        <f t="shared" si="117"/>
        <v>-</v>
      </c>
      <c r="DG446" s="2098">
        <f t="shared" si="127"/>
        <v>0</v>
      </c>
      <c r="DH446" s="2098">
        <f t="array" ref="DH446">MIN(SUMPRODUCT(I446:CR446,IF($I$25:$CR$25="yes",1,0),$I$23:$CR$23),H446)</f>
        <v>0</v>
      </c>
      <c r="DI446" s="3026"/>
      <c r="DJ446" s="3021"/>
      <c r="DN446" s="917" t="str">
        <f>IF(CS446="","-",SUMIF('Lighting Assumptions'!$G$3:$G$112,'6a - Lighting Counts'!G446,'Lighting Assumptions'!$J$3:$J$112))</f>
        <v>-</v>
      </c>
      <c r="DO446" s="917" t="str">
        <f t="shared" si="118"/>
        <v>-</v>
      </c>
      <c r="DP446" s="917" t="str">
        <f t="shared" si="119"/>
        <v>-</v>
      </c>
      <c r="DQ446" s="917" t="str">
        <f>IF(LEFT(CELLformula(DF446),3)&lt;&gt;"=IF",1,"")</f>
        <v/>
      </c>
      <c r="DR446" s="917" t="str">
        <f>IF(LEFT(CELLformula(DD446),3)&lt;&gt;"=IF",1,"")</f>
        <v/>
      </c>
      <c r="DS446" s="3048">
        <f t="shared" si="128"/>
        <v>0</v>
      </c>
      <c r="DT446" s="3047" t="str">
        <f t="shared" si="129"/>
        <v/>
      </c>
      <c r="DU446" s="3047" t="str">
        <f>IFERROR(IF(G446="","",SUMIF('Lighting Assumptions'!$G$3:$G$112,'6a - Lighting Counts'!G446,'Lighting Assumptions'!$H$3:$H$112)*IF(SI_IP_Units="SI",10.76,1)),"")</f>
        <v/>
      </c>
      <c r="DV446" s="3047" t="str">
        <f>IFERROR(IF($CX446="","",IF(SI_IP_Units="SI",10.76,1)*SUMIF(BAMCategories,$CY446,'Lighting Assumptions'!$E$3:E$35)),"")</f>
        <v/>
      </c>
      <c r="DW446" s="3047" t="str">
        <f>IFERROR(IF($CX446="","",IF(SI_IP_Units="SI",10.76,1)*SUMIF(BAMCategories,$CY446,IF(bpf_reference="ACP",'Lighting Assumptions 90.1-2010'!$E$3:E$35,'Lighting Assumptions 90.1-2016'!$E$3:E$35))),"")</f>
        <v/>
      </c>
      <c r="EW446" s="855"/>
      <c r="EX446" s="855"/>
      <c r="EY446" s="855"/>
      <c r="EZ446" s="855"/>
    </row>
    <row r="447" spans="4:156" x14ac:dyDescent="0.25">
      <c r="D447" s="3029"/>
      <c r="E447" s="3028"/>
      <c r="F447" s="3021">
        <f t="shared" si="116"/>
        <v>0</v>
      </c>
      <c r="G447" s="3059"/>
      <c r="H447" s="3060"/>
      <c r="I447" s="3061"/>
      <c r="J447" s="3061"/>
      <c r="K447" s="3061"/>
      <c r="L447" s="3061"/>
      <c r="M447" s="3061"/>
      <c r="N447" s="3061"/>
      <c r="O447" s="3061"/>
      <c r="P447" s="3061"/>
      <c r="Q447" s="3061"/>
      <c r="R447" s="3061"/>
      <c r="S447" s="3061"/>
      <c r="T447" s="3061"/>
      <c r="U447" s="3061"/>
      <c r="V447" s="3061"/>
      <c r="W447" s="3061"/>
      <c r="X447" s="3061"/>
      <c r="Y447" s="3061"/>
      <c r="Z447" s="3061"/>
      <c r="AA447" s="3061"/>
      <c r="AB447" s="3061"/>
      <c r="AC447" s="3061"/>
      <c r="AD447" s="3061"/>
      <c r="AE447" s="3061"/>
      <c r="AF447" s="3061"/>
      <c r="AG447" s="3061"/>
      <c r="AH447" s="3061"/>
      <c r="AI447" s="3061"/>
      <c r="AJ447" s="3061"/>
      <c r="AK447" s="3061"/>
      <c r="AL447" s="3061"/>
      <c r="AM447" s="3061"/>
      <c r="AN447" s="3061"/>
      <c r="AO447" s="3061"/>
      <c r="AP447" s="3061"/>
      <c r="AQ447" s="3061"/>
      <c r="AR447" s="3061"/>
      <c r="AS447" s="3061"/>
      <c r="AT447" s="3061"/>
      <c r="AU447" s="3061"/>
      <c r="AV447" s="3061"/>
      <c r="AW447" s="3061"/>
      <c r="AX447" s="3061"/>
      <c r="AY447" s="3061"/>
      <c r="AZ447" s="3061"/>
      <c r="BA447" s="3061"/>
      <c r="BB447" s="3061"/>
      <c r="BC447" s="3061"/>
      <c r="BD447" s="3061"/>
      <c r="BE447" s="3061"/>
      <c r="BF447" s="3061"/>
      <c r="BG447" s="3061"/>
      <c r="BH447" s="3061"/>
      <c r="BI447" s="3061"/>
      <c r="BJ447" s="3061"/>
      <c r="BK447" s="3061"/>
      <c r="BL447" s="3061"/>
      <c r="BM447" s="3061"/>
      <c r="BN447" s="3061"/>
      <c r="BO447" s="3061"/>
      <c r="BP447" s="3061"/>
      <c r="BQ447" s="3061"/>
      <c r="BR447" s="3061"/>
      <c r="BS447" s="3061"/>
      <c r="BT447" s="3061"/>
      <c r="BU447" s="3061"/>
      <c r="BV447" s="3061"/>
      <c r="BW447" s="3061"/>
      <c r="BX447" s="3061"/>
      <c r="BY447" s="3061"/>
      <c r="BZ447" s="3061"/>
      <c r="CA447" s="3061"/>
      <c r="CB447" s="3061"/>
      <c r="CC447" s="3061"/>
      <c r="CD447" s="3061"/>
      <c r="CE447" s="3061"/>
      <c r="CF447" s="3061"/>
      <c r="CG447" s="3061"/>
      <c r="CH447" s="3061"/>
      <c r="CI447" s="3061"/>
      <c r="CJ447" s="3061"/>
      <c r="CK447" s="3061"/>
      <c r="CL447" s="3061"/>
      <c r="CM447" s="3061"/>
      <c r="CN447" s="3061"/>
      <c r="CO447" s="3061"/>
      <c r="CP447" s="3061"/>
      <c r="CQ447" s="3061"/>
      <c r="CR447" s="3061"/>
      <c r="CS447" s="3062"/>
      <c r="CT447" s="3063"/>
      <c r="CU447" s="3064">
        <f t="shared" si="120"/>
        <v>1</v>
      </c>
      <c r="CV447" s="3022" t="str">
        <f>IF(OR(CT447="",CT447="None"),"-",DO447*CU447*SUMIF('Lighting Assumptions'!$G$3:$G$112,'6a - Lighting Counts'!G447,'Lighting Assumptions'!$J$3:$J$112))</f>
        <v>-</v>
      </c>
      <c r="CW447" s="3021"/>
      <c r="CX447" s="3021"/>
      <c r="CY447" s="3046"/>
      <c r="CZ447" s="2098">
        <f t="shared" si="121"/>
        <v>0</v>
      </c>
      <c r="DA447" s="2098" t="str">
        <f t="shared" si="122"/>
        <v>-</v>
      </c>
      <c r="DB447" s="2098">
        <f t="shared" si="123"/>
        <v>0</v>
      </c>
      <c r="DC447" s="3023" t="str">
        <f t="shared" si="124"/>
        <v>-</v>
      </c>
      <c r="DD447" s="3024" t="str">
        <f t="shared" si="125"/>
        <v/>
      </c>
      <c r="DE447" s="3025" t="str">
        <f t="shared" si="126"/>
        <v>-</v>
      </c>
      <c r="DF447" s="3024" t="str">
        <f t="shared" si="117"/>
        <v>-</v>
      </c>
      <c r="DG447" s="2098">
        <f t="shared" si="127"/>
        <v>0</v>
      </c>
      <c r="DH447" s="2098">
        <f t="array" ref="DH447">MIN(SUMPRODUCT(I447:CR447,IF($I$25:$CR$25="yes",1,0),$I$23:$CR$23),H447)</f>
        <v>0</v>
      </c>
      <c r="DI447" s="3026"/>
      <c r="DJ447" s="3021"/>
      <c r="DN447" s="917" t="str">
        <f>IF(CS447="","-",SUMIF('Lighting Assumptions'!$G$3:$G$112,'6a - Lighting Counts'!G447,'Lighting Assumptions'!$J$3:$J$112))</f>
        <v>-</v>
      </c>
      <c r="DO447" s="917" t="str">
        <f t="shared" si="118"/>
        <v>-</v>
      </c>
      <c r="DP447" s="917" t="str">
        <f t="shared" si="119"/>
        <v>-</v>
      </c>
      <c r="DQ447" s="917" t="str">
        <f>IF(LEFT(CELLformula(DF447),3)&lt;&gt;"=IF",1,"")</f>
        <v/>
      </c>
      <c r="DR447" s="917" t="str">
        <f>IF(LEFT(CELLformula(DD447),3)&lt;&gt;"=IF",1,"")</f>
        <v/>
      </c>
      <c r="DS447" s="3048">
        <f t="shared" si="128"/>
        <v>0</v>
      </c>
      <c r="DT447" s="3047" t="str">
        <f t="shared" si="129"/>
        <v/>
      </c>
      <c r="DU447" s="3047" t="str">
        <f>IFERROR(IF(G447="","",SUMIF('Lighting Assumptions'!$G$3:$G$112,'6a - Lighting Counts'!G447,'Lighting Assumptions'!$H$3:$H$112)*IF(SI_IP_Units="SI",10.76,1)),"")</f>
        <v/>
      </c>
      <c r="DV447" s="3047" t="str">
        <f>IFERROR(IF($CX447="","",IF(SI_IP_Units="SI",10.76,1)*SUMIF(BAMCategories,$CY447,'Lighting Assumptions'!$E$3:E$35)),"")</f>
        <v/>
      </c>
      <c r="DW447" s="3047" t="str">
        <f>IFERROR(IF($CX447="","",IF(SI_IP_Units="SI",10.76,1)*SUMIF(BAMCategories,$CY447,IF(bpf_reference="ACP",'Lighting Assumptions 90.1-2010'!$E$3:E$35,'Lighting Assumptions 90.1-2016'!$E$3:E$35))),"")</f>
        <v/>
      </c>
      <c r="EW447" s="855"/>
      <c r="EX447" s="855"/>
      <c r="EY447" s="855"/>
      <c r="EZ447" s="855"/>
    </row>
    <row r="448" spans="4:156" x14ac:dyDescent="0.25">
      <c r="D448" s="3029"/>
      <c r="E448" s="3028"/>
      <c r="F448" s="3021">
        <f t="shared" si="116"/>
        <v>0</v>
      </c>
      <c r="G448" s="3059"/>
      <c r="H448" s="3060"/>
      <c r="I448" s="3061"/>
      <c r="J448" s="3061"/>
      <c r="K448" s="3061"/>
      <c r="L448" s="3061"/>
      <c r="M448" s="3061"/>
      <c r="N448" s="3061"/>
      <c r="O448" s="3061"/>
      <c r="P448" s="3061"/>
      <c r="Q448" s="3061"/>
      <c r="R448" s="3061"/>
      <c r="S448" s="3061"/>
      <c r="T448" s="3061"/>
      <c r="U448" s="3061"/>
      <c r="V448" s="3061"/>
      <c r="W448" s="3061"/>
      <c r="X448" s="3061"/>
      <c r="Y448" s="3061"/>
      <c r="Z448" s="3061"/>
      <c r="AA448" s="3061"/>
      <c r="AB448" s="3061"/>
      <c r="AC448" s="3061"/>
      <c r="AD448" s="3061"/>
      <c r="AE448" s="3061"/>
      <c r="AF448" s="3061"/>
      <c r="AG448" s="3061"/>
      <c r="AH448" s="3061"/>
      <c r="AI448" s="3061"/>
      <c r="AJ448" s="3061"/>
      <c r="AK448" s="3061"/>
      <c r="AL448" s="3061"/>
      <c r="AM448" s="3061"/>
      <c r="AN448" s="3061"/>
      <c r="AO448" s="3061"/>
      <c r="AP448" s="3061"/>
      <c r="AQ448" s="3061"/>
      <c r="AR448" s="3061"/>
      <c r="AS448" s="3061"/>
      <c r="AT448" s="3061"/>
      <c r="AU448" s="3061"/>
      <c r="AV448" s="3061"/>
      <c r="AW448" s="3061"/>
      <c r="AX448" s="3061"/>
      <c r="AY448" s="3061"/>
      <c r="AZ448" s="3061"/>
      <c r="BA448" s="3061"/>
      <c r="BB448" s="3061"/>
      <c r="BC448" s="3061"/>
      <c r="BD448" s="3061"/>
      <c r="BE448" s="3061"/>
      <c r="BF448" s="3061"/>
      <c r="BG448" s="3061"/>
      <c r="BH448" s="3061"/>
      <c r="BI448" s="3061"/>
      <c r="BJ448" s="3061"/>
      <c r="BK448" s="3061"/>
      <c r="BL448" s="3061"/>
      <c r="BM448" s="3061"/>
      <c r="BN448" s="3061"/>
      <c r="BO448" s="3061"/>
      <c r="BP448" s="3061"/>
      <c r="BQ448" s="3061"/>
      <c r="BR448" s="3061"/>
      <c r="BS448" s="3061"/>
      <c r="BT448" s="3061"/>
      <c r="BU448" s="3061"/>
      <c r="BV448" s="3061"/>
      <c r="BW448" s="3061"/>
      <c r="BX448" s="3061"/>
      <c r="BY448" s="3061"/>
      <c r="BZ448" s="3061"/>
      <c r="CA448" s="3061"/>
      <c r="CB448" s="3061"/>
      <c r="CC448" s="3061"/>
      <c r="CD448" s="3061"/>
      <c r="CE448" s="3061"/>
      <c r="CF448" s="3061"/>
      <c r="CG448" s="3061"/>
      <c r="CH448" s="3061"/>
      <c r="CI448" s="3061"/>
      <c r="CJ448" s="3061"/>
      <c r="CK448" s="3061"/>
      <c r="CL448" s="3061"/>
      <c r="CM448" s="3061"/>
      <c r="CN448" s="3061"/>
      <c r="CO448" s="3061"/>
      <c r="CP448" s="3061"/>
      <c r="CQ448" s="3061"/>
      <c r="CR448" s="3061"/>
      <c r="CS448" s="3062"/>
      <c r="CT448" s="3063"/>
      <c r="CU448" s="3064">
        <f t="shared" si="120"/>
        <v>1</v>
      </c>
      <c r="CV448" s="3022" t="str">
        <f>IF(OR(CT448="",CT448="None"),"-",DO448*CU448*SUMIF('Lighting Assumptions'!$G$3:$G$112,'6a - Lighting Counts'!G448,'Lighting Assumptions'!$J$3:$J$112))</f>
        <v>-</v>
      </c>
      <c r="CW448" s="3021"/>
      <c r="CX448" s="3021"/>
      <c r="CY448" s="3046"/>
      <c r="CZ448" s="2098">
        <f t="shared" si="121"/>
        <v>0</v>
      </c>
      <c r="DA448" s="2098" t="str">
        <f t="shared" si="122"/>
        <v>-</v>
      </c>
      <c r="DB448" s="2098">
        <f t="shared" si="123"/>
        <v>0</v>
      </c>
      <c r="DC448" s="3023" t="str">
        <f t="shared" si="124"/>
        <v>-</v>
      </c>
      <c r="DD448" s="3024" t="str">
        <f t="shared" si="125"/>
        <v/>
      </c>
      <c r="DE448" s="3025" t="str">
        <f t="shared" si="126"/>
        <v>-</v>
      </c>
      <c r="DF448" s="3024" t="str">
        <f t="shared" si="117"/>
        <v>-</v>
      </c>
      <c r="DG448" s="2098">
        <f t="shared" si="127"/>
        <v>0</v>
      </c>
      <c r="DH448" s="2098">
        <f t="array" ref="DH448">MIN(SUMPRODUCT(I448:CR448,IF($I$25:$CR$25="yes",1,0),$I$23:$CR$23),H448)</f>
        <v>0</v>
      </c>
      <c r="DI448" s="3026"/>
      <c r="DJ448" s="3021"/>
      <c r="DN448" s="917" t="str">
        <f>IF(CS448="","-",SUMIF('Lighting Assumptions'!$G$3:$G$112,'6a - Lighting Counts'!G448,'Lighting Assumptions'!$J$3:$J$112))</f>
        <v>-</v>
      </c>
      <c r="DO448" s="917" t="str">
        <f t="shared" si="118"/>
        <v>-</v>
      </c>
      <c r="DP448" s="917" t="str">
        <f t="shared" si="119"/>
        <v>-</v>
      </c>
      <c r="DQ448" s="917" t="str">
        <f>IF(LEFT(CELLformula(DF448),3)&lt;&gt;"=IF",1,"")</f>
        <v/>
      </c>
      <c r="DR448" s="917" t="str">
        <f>IF(LEFT(CELLformula(DD448),3)&lt;&gt;"=IF",1,"")</f>
        <v/>
      </c>
      <c r="DS448" s="3048">
        <f t="shared" si="128"/>
        <v>0</v>
      </c>
      <c r="DT448" s="3047" t="str">
        <f t="shared" si="129"/>
        <v/>
      </c>
      <c r="DU448" s="3047" t="str">
        <f>IFERROR(IF(G448="","",SUMIF('Lighting Assumptions'!$G$3:$G$112,'6a - Lighting Counts'!G448,'Lighting Assumptions'!$H$3:$H$112)*IF(SI_IP_Units="SI",10.76,1)),"")</f>
        <v/>
      </c>
      <c r="DV448" s="3047" t="str">
        <f>IFERROR(IF($CX448="","",IF(SI_IP_Units="SI",10.76,1)*SUMIF(BAMCategories,$CY448,'Lighting Assumptions'!$E$3:E$35)),"")</f>
        <v/>
      </c>
      <c r="DW448" s="3047" t="str">
        <f>IFERROR(IF($CX448="","",IF(SI_IP_Units="SI",10.76,1)*SUMIF(BAMCategories,$CY448,IF(bpf_reference="ACP",'Lighting Assumptions 90.1-2010'!$E$3:E$35,'Lighting Assumptions 90.1-2016'!$E$3:E$35))),"")</f>
        <v/>
      </c>
      <c r="EW448" s="855"/>
      <c r="EX448" s="855"/>
      <c r="EY448" s="855"/>
      <c r="EZ448" s="855"/>
    </row>
    <row r="449" spans="4:156" x14ac:dyDescent="0.25">
      <c r="D449" s="3029"/>
      <c r="E449" s="3028"/>
      <c r="F449" s="3021">
        <f t="shared" si="116"/>
        <v>0</v>
      </c>
      <c r="G449" s="3059"/>
      <c r="H449" s="3060"/>
      <c r="I449" s="3061"/>
      <c r="J449" s="3061"/>
      <c r="K449" s="3061"/>
      <c r="L449" s="3061"/>
      <c r="M449" s="3061"/>
      <c r="N449" s="3061"/>
      <c r="O449" s="3061"/>
      <c r="P449" s="3061"/>
      <c r="Q449" s="3061"/>
      <c r="R449" s="3061"/>
      <c r="S449" s="3061"/>
      <c r="T449" s="3061"/>
      <c r="U449" s="3061"/>
      <c r="V449" s="3061"/>
      <c r="W449" s="3061"/>
      <c r="X449" s="3061"/>
      <c r="Y449" s="3061"/>
      <c r="Z449" s="3061"/>
      <c r="AA449" s="3061"/>
      <c r="AB449" s="3061"/>
      <c r="AC449" s="3061"/>
      <c r="AD449" s="3061"/>
      <c r="AE449" s="3061"/>
      <c r="AF449" s="3061"/>
      <c r="AG449" s="3061"/>
      <c r="AH449" s="3061"/>
      <c r="AI449" s="3061"/>
      <c r="AJ449" s="3061"/>
      <c r="AK449" s="3061"/>
      <c r="AL449" s="3061"/>
      <c r="AM449" s="3061"/>
      <c r="AN449" s="3061"/>
      <c r="AO449" s="3061"/>
      <c r="AP449" s="3061"/>
      <c r="AQ449" s="3061"/>
      <c r="AR449" s="3061"/>
      <c r="AS449" s="3061"/>
      <c r="AT449" s="3061"/>
      <c r="AU449" s="3061"/>
      <c r="AV449" s="3061"/>
      <c r="AW449" s="3061"/>
      <c r="AX449" s="3061"/>
      <c r="AY449" s="3061"/>
      <c r="AZ449" s="3061"/>
      <c r="BA449" s="3061"/>
      <c r="BB449" s="3061"/>
      <c r="BC449" s="3061"/>
      <c r="BD449" s="3061"/>
      <c r="BE449" s="3061"/>
      <c r="BF449" s="3061"/>
      <c r="BG449" s="3061"/>
      <c r="BH449" s="3061"/>
      <c r="BI449" s="3061"/>
      <c r="BJ449" s="3061"/>
      <c r="BK449" s="3061"/>
      <c r="BL449" s="3061"/>
      <c r="BM449" s="3061"/>
      <c r="BN449" s="3061"/>
      <c r="BO449" s="3061"/>
      <c r="BP449" s="3061"/>
      <c r="BQ449" s="3061"/>
      <c r="BR449" s="3061"/>
      <c r="BS449" s="3061"/>
      <c r="BT449" s="3061"/>
      <c r="BU449" s="3061"/>
      <c r="BV449" s="3061"/>
      <c r="BW449" s="3061"/>
      <c r="BX449" s="3061"/>
      <c r="BY449" s="3061"/>
      <c r="BZ449" s="3061"/>
      <c r="CA449" s="3061"/>
      <c r="CB449" s="3061"/>
      <c r="CC449" s="3061"/>
      <c r="CD449" s="3061"/>
      <c r="CE449" s="3061"/>
      <c r="CF449" s="3061"/>
      <c r="CG449" s="3061"/>
      <c r="CH449" s="3061"/>
      <c r="CI449" s="3061"/>
      <c r="CJ449" s="3061"/>
      <c r="CK449" s="3061"/>
      <c r="CL449" s="3061"/>
      <c r="CM449" s="3061"/>
      <c r="CN449" s="3061"/>
      <c r="CO449" s="3061"/>
      <c r="CP449" s="3061"/>
      <c r="CQ449" s="3061"/>
      <c r="CR449" s="3061"/>
      <c r="CS449" s="3062"/>
      <c r="CT449" s="3063"/>
      <c r="CU449" s="3064">
        <f t="shared" si="120"/>
        <v>1</v>
      </c>
      <c r="CV449" s="3022" t="str">
        <f>IF(OR(CT449="",CT449="None"),"-",DO449*CU449*SUMIF('Lighting Assumptions'!$G$3:$G$112,'6a - Lighting Counts'!G449,'Lighting Assumptions'!$J$3:$J$112))</f>
        <v>-</v>
      </c>
      <c r="CW449" s="3021"/>
      <c r="CX449" s="3021"/>
      <c r="CY449" s="3046"/>
      <c r="CZ449" s="2098">
        <f t="shared" si="121"/>
        <v>0</v>
      </c>
      <c r="DA449" s="2098" t="str">
        <f t="shared" si="122"/>
        <v>-</v>
      </c>
      <c r="DB449" s="2098">
        <f t="shared" si="123"/>
        <v>0</v>
      </c>
      <c r="DC449" s="3023" t="str">
        <f t="shared" si="124"/>
        <v>-</v>
      </c>
      <c r="DD449" s="3024" t="str">
        <f t="shared" si="125"/>
        <v/>
      </c>
      <c r="DE449" s="3025" t="str">
        <f t="shared" si="126"/>
        <v>-</v>
      </c>
      <c r="DF449" s="3024" t="str">
        <f t="shared" si="117"/>
        <v>-</v>
      </c>
      <c r="DG449" s="2098">
        <f t="shared" si="127"/>
        <v>0</v>
      </c>
      <c r="DH449" s="2098">
        <f t="array" ref="DH449">MIN(SUMPRODUCT(I449:CR449,IF($I$25:$CR$25="yes",1,0),$I$23:$CR$23),H449)</f>
        <v>0</v>
      </c>
      <c r="DI449" s="3026"/>
      <c r="DJ449" s="3021"/>
      <c r="DN449" s="917" t="str">
        <f>IF(CS449="","-",SUMIF('Lighting Assumptions'!$G$3:$G$112,'6a - Lighting Counts'!G449,'Lighting Assumptions'!$J$3:$J$112))</f>
        <v>-</v>
      </c>
      <c r="DO449" s="917" t="str">
        <f t="shared" si="118"/>
        <v>-</v>
      </c>
      <c r="DP449" s="917" t="str">
        <f t="shared" si="119"/>
        <v>-</v>
      </c>
      <c r="DQ449" s="917" t="str">
        <f>IF(LEFT(CELLformula(DF449),3)&lt;&gt;"=IF",1,"")</f>
        <v/>
      </c>
      <c r="DR449" s="917" t="str">
        <f>IF(LEFT(CELLformula(DD449),3)&lt;&gt;"=IF",1,"")</f>
        <v/>
      </c>
      <c r="DS449" s="3048">
        <f t="shared" si="128"/>
        <v>0</v>
      </c>
      <c r="DT449" s="3047" t="str">
        <f t="shared" si="129"/>
        <v/>
      </c>
      <c r="DU449" s="3047" t="str">
        <f>IFERROR(IF(G449="","",SUMIF('Lighting Assumptions'!$G$3:$G$112,'6a - Lighting Counts'!G449,'Lighting Assumptions'!$H$3:$H$112)*IF(SI_IP_Units="SI",10.76,1)),"")</f>
        <v/>
      </c>
      <c r="DV449" s="3047" t="str">
        <f>IFERROR(IF($CX449="","",IF(SI_IP_Units="SI",10.76,1)*SUMIF(BAMCategories,$CY449,'Lighting Assumptions'!$E$3:E$35)),"")</f>
        <v/>
      </c>
      <c r="DW449" s="3047" t="str">
        <f>IFERROR(IF($CX449="","",IF(SI_IP_Units="SI",10.76,1)*SUMIF(BAMCategories,$CY449,IF(bpf_reference="ACP",'Lighting Assumptions 90.1-2010'!$E$3:E$35,'Lighting Assumptions 90.1-2016'!$E$3:E$35))),"")</f>
        <v/>
      </c>
      <c r="EW449" s="855"/>
      <c r="EX449" s="855"/>
      <c r="EY449" s="855"/>
      <c r="EZ449" s="855"/>
    </row>
    <row r="450" spans="4:156" x14ac:dyDescent="0.25">
      <c r="D450" s="3029"/>
      <c r="E450" s="3028"/>
      <c r="F450" s="3021">
        <f t="shared" si="116"/>
        <v>0</v>
      </c>
      <c r="G450" s="3059"/>
      <c r="H450" s="3060"/>
      <c r="I450" s="3061"/>
      <c r="J450" s="3061"/>
      <c r="K450" s="3061"/>
      <c r="L450" s="3061"/>
      <c r="M450" s="3061"/>
      <c r="N450" s="3061"/>
      <c r="O450" s="3061"/>
      <c r="P450" s="3061"/>
      <c r="Q450" s="3061"/>
      <c r="R450" s="3061"/>
      <c r="S450" s="3061"/>
      <c r="T450" s="3061"/>
      <c r="U450" s="3061"/>
      <c r="V450" s="3061"/>
      <c r="W450" s="3061"/>
      <c r="X450" s="3061"/>
      <c r="Y450" s="3061"/>
      <c r="Z450" s="3061"/>
      <c r="AA450" s="3061"/>
      <c r="AB450" s="3061"/>
      <c r="AC450" s="3061"/>
      <c r="AD450" s="3061"/>
      <c r="AE450" s="3061"/>
      <c r="AF450" s="3061"/>
      <c r="AG450" s="3061"/>
      <c r="AH450" s="3061"/>
      <c r="AI450" s="3061"/>
      <c r="AJ450" s="3061"/>
      <c r="AK450" s="3061"/>
      <c r="AL450" s="3061"/>
      <c r="AM450" s="3061"/>
      <c r="AN450" s="3061"/>
      <c r="AO450" s="3061"/>
      <c r="AP450" s="3061"/>
      <c r="AQ450" s="3061"/>
      <c r="AR450" s="3061"/>
      <c r="AS450" s="3061"/>
      <c r="AT450" s="3061"/>
      <c r="AU450" s="3061"/>
      <c r="AV450" s="3061"/>
      <c r="AW450" s="3061"/>
      <c r="AX450" s="3061"/>
      <c r="AY450" s="3061"/>
      <c r="AZ450" s="3061"/>
      <c r="BA450" s="3061"/>
      <c r="BB450" s="3061"/>
      <c r="BC450" s="3061"/>
      <c r="BD450" s="3061"/>
      <c r="BE450" s="3061"/>
      <c r="BF450" s="3061"/>
      <c r="BG450" s="3061"/>
      <c r="BH450" s="3061"/>
      <c r="BI450" s="3061"/>
      <c r="BJ450" s="3061"/>
      <c r="BK450" s="3061"/>
      <c r="BL450" s="3061"/>
      <c r="BM450" s="3061"/>
      <c r="BN450" s="3061"/>
      <c r="BO450" s="3061"/>
      <c r="BP450" s="3061"/>
      <c r="BQ450" s="3061"/>
      <c r="BR450" s="3061"/>
      <c r="BS450" s="3061"/>
      <c r="BT450" s="3061"/>
      <c r="BU450" s="3061"/>
      <c r="BV450" s="3061"/>
      <c r="BW450" s="3061"/>
      <c r="BX450" s="3061"/>
      <c r="BY450" s="3061"/>
      <c r="BZ450" s="3061"/>
      <c r="CA450" s="3061"/>
      <c r="CB450" s="3061"/>
      <c r="CC450" s="3061"/>
      <c r="CD450" s="3061"/>
      <c r="CE450" s="3061"/>
      <c r="CF450" s="3061"/>
      <c r="CG450" s="3061"/>
      <c r="CH450" s="3061"/>
      <c r="CI450" s="3061"/>
      <c r="CJ450" s="3061"/>
      <c r="CK450" s="3061"/>
      <c r="CL450" s="3061"/>
      <c r="CM450" s="3061"/>
      <c r="CN450" s="3061"/>
      <c r="CO450" s="3061"/>
      <c r="CP450" s="3061"/>
      <c r="CQ450" s="3061"/>
      <c r="CR450" s="3061"/>
      <c r="CS450" s="3062"/>
      <c r="CT450" s="3063"/>
      <c r="CU450" s="3064">
        <f t="shared" si="120"/>
        <v>1</v>
      </c>
      <c r="CV450" s="3022" t="str">
        <f>IF(OR(CT450="",CT450="None"),"-",DO450*CU450*SUMIF('Lighting Assumptions'!$G$3:$G$112,'6a - Lighting Counts'!G450,'Lighting Assumptions'!$J$3:$J$112))</f>
        <v>-</v>
      </c>
      <c r="CW450" s="3021"/>
      <c r="CX450" s="3021"/>
      <c r="CY450" s="3046"/>
      <c r="CZ450" s="2098">
        <f t="shared" si="121"/>
        <v>0</v>
      </c>
      <c r="DA450" s="2098" t="str">
        <f t="shared" si="122"/>
        <v>-</v>
      </c>
      <c r="DB450" s="2098">
        <f t="shared" si="123"/>
        <v>0</v>
      </c>
      <c r="DC450" s="3023" t="str">
        <f t="shared" si="124"/>
        <v>-</v>
      </c>
      <c r="DD450" s="3024" t="str">
        <f t="shared" si="125"/>
        <v/>
      </c>
      <c r="DE450" s="3025" t="str">
        <f t="shared" si="126"/>
        <v>-</v>
      </c>
      <c r="DF450" s="3024" t="str">
        <f t="shared" si="117"/>
        <v>-</v>
      </c>
      <c r="DG450" s="2098">
        <f t="shared" si="127"/>
        <v>0</v>
      </c>
      <c r="DH450" s="2098">
        <f t="array" ref="DH450">MIN(SUMPRODUCT(I450:CR450,IF($I$25:$CR$25="yes",1,0),$I$23:$CR$23),H450)</f>
        <v>0</v>
      </c>
      <c r="DI450" s="3026"/>
      <c r="DJ450" s="3021"/>
      <c r="DN450" s="917" t="str">
        <f>IF(CS450="","-",SUMIF('Lighting Assumptions'!$G$3:$G$112,'6a - Lighting Counts'!G450,'Lighting Assumptions'!$J$3:$J$112))</f>
        <v>-</v>
      </c>
      <c r="DO450" s="917" t="str">
        <f t="shared" si="118"/>
        <v>-</v>
      </c>
      <c r="DP450" s="917" t="str">
        <f t="shared" si="119"/>
        <v>-</v>
      </c>
      <c r="DQ450" s="917" t="str">
        <f>IF(LEFT(CELLformula(DF450),3)&lt;&gt;"=IF",1,"")</f>
        <v/>
      </c>
      <c r="DR450" s="917" t="str">
        <f>IF(LEFT(CELLformula(DD450),3)&lt;&gt;"=IF",1,"")</f>
        <v/>
      </c>
      <c r="DS450" s="3048">
        <f t="shared" si="128"/>
        <v>0</v>
      </c>
      <c r="DT450" s="3047" t="str">
        <f t="shared" si="129"/>
        <v/>
      </c>
      <c r="DU450" s="3047" t="str">
        <f>IFERROR(IF(G450="","",SUMIF('Lighting Assumptions'!$G$3:$G$112,'6a - Lighting Counts'!G450,'Lighting Assumptions'!$H$3:$H$112)*IF(SI_IP_Units="SI",10.76,1)),"")</f>
        <v/>
      </c>
      <c r="DV450" s="3047" t="str">
        <f>IFERROR(IF($CX450="","",IF(SI_IP_Units="SI",10.76,1)*SUMIF(BAMCategories,$CY450,'Lighting Assumptions'!$E$3:E$35)),"")</f>
        <v/>
      </c>
      <c r="DW450" s="3047" t="str">
        <f>IFERROR(IF($CX450="","",IF(SI_IP_Units="SI",10.76,1)*SUMIF(BAMCategories,$CY450,IF(bpf_reference="ACP",'Lighting Assumptions 90.1-2010'!$E$3:E$35,'Lighting Assumptions 90.1-2016'!$E$3:E$35))),"")</f>
        <v/>
      </c>
      <c r="EW450" s="855"/>
      <c r="EX450" s="855"/>
      <c r="EY450" s="855"/>
      <c r="EZ450" s="855"/>
    </row>
    <row r="451" spans="4:156" x14ac:dyDescent="0.25">
      <c r="D451" s="3029"/>
      <c r="E451" s="3028"/>
      <c r="F451" s="3021">
        <f t="shared" si="116"/>
        <v>0</v>
      </c>
      <c r="G451" s="3059"/>
      <c r="H451" s="3060"/>
      <c r="I451" s="3061"/>
      <c r="J451" s="3061"/>
      <c r="K451" s="3061"/>
      <c r="L451" s="3061"/>
      <c r="M451" s="3061"/>
      <c r="N451" s="3061"/>
      <c r="O451" s="3061"/>
      <c r="P451" s="3061"/>
      <c r="Q451" s="3061"/>
      <c r="R451" s="3061"/>
      <c r="S451" s="3061"/>
      <c r="T451" s="3061"/>
      <c r="U451" s="3061"/>
      <c r="V451" s="3061"/>
      <c r="W451" s="3061"/>
      <c r="X451" s="3061"/>
      <c r="Y451" s="3061"/>
      <c r="Z451" s="3061"/>
      <c r="AA451" s="3061"/>
      <c r="AB451" s="3061"/>
      <c r="AC451" s="3061"/>
      <c r="AD451" s="3061"/>
      <c r="AE451" s="3061"/>
      <c r="AF451" s="3061"/>
      <c r="AG451" s="3061"/>
      <c r="AH451" s="3061"/>
      <c r="AI451" s="3061"/>
      <c r="AJ451" s="3061"/>
      <c r="AK451" s="3061"/>
      <c r="AL451" s="3061"/>
      <c r="AM451" s="3061"/>
      <c r="AN451" s="3061"/>
      <c r="AO451" s="3061"/>
      <c r="AP451" s="3061"/>
      <c r="AQ451" s="3061"/>
      <c r="AR451" s="3061"/>
      <c r="AS451" s="3061"/>
      <c r="AT451" s="3061"/>
      <c r="AU451" s="3061"/>
      <c r="AV451" s="3061"/>
      <c r="AW451" s="3061"/>
      <c r="AX451" s="3061"/>
      <c r="AY451" s="3061"/>
      <c r="AZ451" s="3061"/>
      <c r="BA451" s="3061"/>
      <c r="BB451" s="3061"/>
      <c r="BC451" s="3061"/>
      <c r="BD451" s="3061"/>
      <c r="BE451" s="3061"/>
      <c r="BF451" s="3061"/>
      <c r="BG451" s="3061"/>
      <c r="BH451" s="3061"/>
      <c r="BI451" s="3061"/>
      <c r="BJ451" s="3061"/>
      <c r="BK451" s="3061"/>
      <c r="BL451" s="3061"/>
      <c r="BM451" s="3061"/>
      <c r="BN451" s="3061"/>
      <c r="BO451" s="3061"/>
      <c r="BP451" s="3061"/>
      <c r="BQ451" s="3061"/>
      <c r="BR451" s="3061"/>
      <c r="BS451" s="3061"/>
      <c r="BT451" s="3061"/>
      <c r="BU451" s="3061"/>
      <c r="BV451" s="3061"/>
      <c r="BW451" s="3061"/>
      <c r="BX451" s="3061"/>
      <c r="BY451" s="3061"/>
      <c r="BZ451" s="3061"/>
      <c r="CA451" s="3061"/>
      <c r="CB451" s="3061"/>
      <c r="CC451" s="3061"/>
      <c r="CD451" s="3061"/>
      <c r="CE451" s="3061"/>
      <c r="CF451" s="3061"/>
      <c r="CG451" s="3061"/>
      <c r="CH451" s="3061"/>
      <c r="CI451" s="3061"/>
      <c r="CJ451" s="3061"/>
      <c r="CK451" s="3061"/>
      <c r="CL451" s="3061"/>
      <c r="CM451" s="3061"/>
      <c r="CN451" s="3061"/>
      <c r="CO451" s="3061"/>
      <c r="CP451" s="3061"/>
      <c r="CQ451" s="3061"/>
      <c r="CR451" s="3061"/>
      <c r="CS451" s="3062"/>
      <c r="CT451" s="3063"/>
      <c r="CU451" s="3064">
        <f t="shared" si="120"/>
        <v>1</v>
      </c>
      <c r="CV451" s="3022" t="str">
        <f>IF(OR(CT451="",CT451="None"),"-",DO451*CU451*SUMIF('Lighting Assumptions'!$G$3:$G$112,'6a - Lighting Counts'!G451,'Lighting Assumptions'!$J$3:$J$112))</f>
        <v>-</v>
      </c>
      <c r="CW451" s="3021"/>
      <c r="CX451" s="3021"/>
      <c r="CY451" s="3046"/>
      <c r="CZ451" s="2098">
        <f t="shared" si="121"/>
        <v>0</v>
      </c>
      <c r="DA451" s="2098" t="str">
        <f t="shared" si="122"/>
        <v>-</v>
      </c>
      <c r="DB451" s="2098">
        <f t="shared" si="123"/>
        <v>0</v>
      </c>
      <c r="DC451" s="3023" t="str">
        <f t="shared" si="124"/>
        <v>-</v>
      </c>
      <c r="DD451" s="3024" t="str">
        <f t="shared" si="125"/>
        <v/>
      </c>
      <c r="DE451" s="3025" t="str">
        <f t="shared" si="126"/>
        <v>-</v>
      </c>
      <c r="DF451" s="3024" t="str">
        <f t="shared" si="117"/>
        <v>-</v>
      </c>
      <c r="DG451" s="2098">
        <f t="shared" si="127"/>
        <v>0</v>
      </c>
      <c r="DH451" s="2098">
        <f t="array" ref="DH451">MIN(SUMPRODUCT(I451:CR451,IF($I$25:$CR$25="yes",1,0),$I$23:$CR$23),H451)</f>
        <v>0</v>
      </c>
      <c r="DI451" s="3026"/>
      <c r="DJ451" s="3021"/>
      <c r="DN451" s="917" t="str">
        <f>IF(CS451="","-",SUMIF('Lighting Assumptions'!$G$3:$G$112,'6a - Lighting Counts'!G451,'Lighting Assumptions'!$J$3:$J$112))</f>
        <v>-</v>
      </c>
      <c r="DO451" s="917" t="str">
        <f t="shared" si="118"/>
        <v>-</v>
      </c>
      <c r="DP451" s="917" t="str">
        <f t="shared" si="119"/>
        <v>-</v>
      </c>
      <c r="DQ451" s="917" t="str">
        <f>IF(LEFT(CELLformula(DF451),3)&lt;&gt;"=IF",1,"")</f>
        <v/>
      </c>
      <c r="DR451" s="917" t="str">
        <f>IF(LEFT(CELLformula(DD451),3)&lt;&gt;"=IF",1,"")</f>
        <v/>
      </c>
      <c r="DS451" s="3048">
        <f t="shared" si="128"/>
        <v>0</v>
      </c>
      <c r="DT451" s="3047" t="str">
        <f t="shared" si="129"/>
        <v/>
      </c>
      <c r="DU451" s="3047" t="str">
        <f>IFERROR(IF(G451="","",SUMIF('Lighting Assumptions'!$G$3:$G$112,'6a - Lighting Counts'!G451,'Lighting Assumptions'!$H$3:$H$112)*IF(SI_IP_Units="SI",10.76,1)),"")</f>
        <v/>
      </c>
      <c r="DV451" s="3047" t="str">
        <f>IFERROR(IF($CX451="","",IF(SI_IP_Units="SI",10.76,1)*SUMIF(BAMCategories,$CY451,'Lighting Assumptions'!$E$3:E$35)),"")</f>
        <v/>
      </c>
      <c r="DW451" s="3047" t="str">
        <f>IFERROR(IF($CX451="","",IF(SI_IP_Units="SI",10.76,1)*SUMIF(BAMCategories,$CY451,IF(bpf_reference="ACP",'Lighting Assumptions 90.1-2010'!$E$3:E$35,'Lighting Assumptions 90.1-2016'!$E$3:E$35))),"")</f>
        <v/>
      </c>
      <c r="EW451" s="855"/>
      <c r="EX451" s="855"/>
      <c r="EY451" s="855"/>
      <c r="EZ451" s="855"/>
    </row>
    <row r="452" spans="4:156" x14ac:dyDescent="0.25">
      <c r="D452" s="3029"/>
      <c r="E452" s="3028"/>
      <c r="F452" s="3021">
        <f t="shared" si="116"/>
        <v>0</v>
      </c>
      <c r="G452" s="3059"/>
      <c r="H452" s="3060"/>
      <c r="I452" s="3061"/>
      <c r="J452" s="3061"/>
      <c r="K452" s="3061"/>
      <c r="L452" s="3061"/>
      <c r="M452" s="3061"/>
      <c r="N452" s="3061"/>
      <c r="O452" s="3061"/>
      <c r="P452" s="3061"/>
      <c r="Q452" s="3061"/>
      <c r="R452" s="3061"/>
      <c r="S452" s="3061"/>
      <c r="T452" s="3061"/>
      <c r="U452" s="3061"/>
      <c r="V452" s="3061"/>
      <c r="W452" s="3061"/>
      <c r="X452" s="3061"/>
      <c r="Y452" s="3061"/>
      <c r="Z452" s="3061"/>
      <c r="AA452" s="3061"/>
      <c r="AB452" s="3061"/>
      <c r="AC452" s="3061"/>
      <c r="AD452" s="3061"/>
      <c r="AE452" s="3061"/>
      <c r="AF452" s="3061"/>
      <c r="AG452" s="3061"/>
      <c r="AH452" s="3061"/>
      <c r="AI452" s="3061"/>
      <c r="AJ452" s="3061"/>
      <c r="AK452" s="3061"/>
      <c r="AL452" s="3061"/>
      <c r="AM452" s="3061"/>
      <c r="AN452" s="3061"/>
      <c r="AO452" s="3061"/>
      <c r="AP452" s="3061"/>
      <c r="AQ452" s="3061"/>
      <c r="AR452" s="3061"/>
      <c r="AS452" s="3061"/>
      <c r="AT452" s="3061"/>
      <c r="AU452" s="3061"/>
      <c r="AV452" s="3061"/>
      <c r="AW452" s="3061"/>
      <c r="AX452" s="3061"/>
      <c r="AY452" s="3061"/>
      <c r="AZ452" s="3061"/>
      <c r="BA452" s="3061"/>
      <c r="BB452" s="3061"/>
      <c r="BC452" s="3061"/>
      <c r="BD452" s="3061"/>
      <c r="BE452" s="3061"/>
      <c r="BF452" s="3061"/>
      <c r="BG452" s="3061"/>
      <c r="BH452" s="3061"/>
      <c r="BI452" s="3061"/>
      <c r="BJ452" s="3061"/>
      <c r="BK452" s="3061"/>
      <c r="BL452" s="3061"/>
      <c r="BM452" s="3061"/>
      <c r="BN452" s="3061"/>
      <c r="BO452" s="3061"/>
      <c r="BP452" s="3061"/>
      <c r="BQ452" s="3061"/>
      <c r="BR452" s="3061"/>
      <c r="BS452" s="3061"/>
      <c r="BT452" s="3061"/>
      <c r="BU452" s="3061"/>
      <c r="BV452" s="3061"/>
      <c r="BW452" s="3061"/>
      <c r="BX452" s="3061"/>
      <c r="BY452" s="3061"/>
      <c r="BZ452" s="3061"/>
      <c r="CA452" s="3061"/>
      <c r="CB452" s="3061"/>
      <c r="CC452" s="3061"/>
      <c r="CD452" s="3061"/>
      <c r="CE452" s="3061"/>
      <c r="CF452" s="3061"/>
      <c r="CG452" s="3061"/>
      <c r="CH452" s="3061"/>
      <c r="CI452" s="3061"/>
      <c r="CJ452" s="3061"/>
      <c r="CK452" s="3061"/>
      <c r="CL452" s="3061"/>
      <c r="CM452" s="3061"/>
      <c r="CN452" s="3061"/>
      <c r="CO452" s="3061"/>
      <c r="CP452" s="3061"/>
      <c r="CQ452" s="3061"/>
      <c r="CR452" s="3061"/>
      <c r="CS452" s="3062"/>
      <c r="CT452" s="3063"/>
      <c r="CU452" s="3064">
        <f t="shared" si="120"/>
        <v>1</v>
      </c>
      <c r="CV452" s="3022" t="str">
        <f>IF(OR(CT452="",CT452="None"),"-",DO452*CU452*SUMIF('Lighting Assumptions'!$G$3:$G$112,'6a - Lighting Counts'!G452,'Lighting Assumptions'!$J$3:$J$112))</f>
        <v>-</v>
      </c>
      <c r="CW452" s="3021"/>
      <c r="CX452" s="3021"/>
      <c r="CY452" s="3046"/>
      <c r="CZ452" s="2098">
        <f t="shared" si="121"/>
        <v>0</v>
      </c>
      <c r="DA452" s="2098" t="str">
        <f t="shared" si="122"/>
        <v>-</v>
      </c>
      <c r="DB452" s="2098">
        <f t="shared" si="123"/>
        <v>0</v>
      </c>
      <c r="DC452" s="3023" t="str">
        <f t="shared" si="124"/>
        <v>-</v>
      </c>
      <c r="DD452" s="3024" t="str">
        <f t="shared" si="125"/>
        <v/>
      </c>
      <c r="DE452" s="3025" t="str">
        <f t="shared" si="126"/>
        <v>-</v>
      </c>
      <c r="DF452" s="3024" t="str">
        <f t="shared" si="117"/>
        <v>-</v>
      </c>
      <c r="DG452" s="2098">
        <f t="shared" si="127"/>
        <v>0</v>
      </c>
      <c r="DH452" s="2098">
        <f t="array" ref="DH452">MIN(SUMPRODUCT(I452:CR452,IF($I$25:$CR$25="yes",1,0),$I$23:$CR$23),H452)</f>
        <v>0</v>
      </c>
      <c r="DI452" s="3026"/>
      <c r="DJ452" s="3021"/>
      <c r="DN452" s="917" t="str">
        <f>IF(CS452="","-",SUMIF('Lighting Assumptions'!$G$3:$G$112,'6a - Lighting Counts'!G452,'Lighting Assumptions'!$J$3:$J$112))</f>
        <v>-</v>
      </c>
      <c r="DO452" s="917" t="str">
        <f t="shared" si="118"/>
        <v>-</v>
      </c>
      <c r="DP452" s="917" t="str">
        <f t="shared" si="119"/>
        <v>-</v>
      </c>
      <c r="DQ452" s="917" t="str">
        <f>IF(LEFT(CELLformula(DF452),3)&lt;&gt;"=IF",1,"")</f>
        <v/>
      </c>
      <c r="DR452" s="917" t="str">
        <f>IF(LEFT(CELLformula(DD452),3)&lt;&gt;"=IF",1,"")</f>
        <v/>
      </c>
      <c r="DS452" s="3048">
        <f t="shared" si="128"/>
        <v>0</v>
      </c>
      <c r="DT452" s="3047" t="str">
        <f t="shared" si="129"/>
        <v/>
      </c>
      <c r="DU452" s="3047" t="str">
        <f>IFERROR(IF(G452="","",SUMIF('Lighting Assumptions'!$G$3:$G$112,'6a - Lighting Counts'!G452,'Lighting Assumptions'!$H$3:$H$112)*IF(SI_IP_Units="SI",10.76,1)),"")</f>
        <v/>
      </c>
      <c r="DV452" s="3047" t="str">
        <f>IFERROR(IF($CX452="","",IF(SI_IP_Units="SI",10.76,1)*SUMIF(BAMCategories,$CY452,'Lighting Assumptions'!$E$3:E$35)),"")</f>
        <v/>
      </c>
      <c r="DW452" s="3047" t="str">
        <f>IFERROR(IF($CX452="","",IF(SI_IP_Units="SI",10.76,1)*SUMIF(BAMCategories,$CY452,IF(bpf_reference="ACP",'Lighting Assumptions 90.1-2010'!$E$3:E$35,'Lighting Assumptions 90.1-2016'!$E$3:E$35))),"")</f>
        <v/>
      </c>
      <c r="EW452" s="855"/>
      <c r="EX452" s="855"/>
      <c r="EY452" s="855"/>
      <c r="EZ452" s="855"/>
    </row>
    <row r="453" spans="4:156" x14ac:dyDescent="0.25">
      <c r="D453" s="3029"/>
      <c r="E453" s="3028"/>
      <c r="F453" s="3021">
        <f t="shared" si="116"/>
        <v>0</v>
      </c>
      <c r="G453" s="3059"/>
      <c r="H453" s="3060"/>
      <c r="I453" s="3061"/>
      <c r="J453" s="3061"/>
      <c r="K453" s="3061"/>
      <c r="L453" s="3061"/>
      <c r="M453" s="3061"/>
      <c r="N453" s="3061"/>
      <c r="O453" s="3061"/>
      <c r="P453" s="3061"/>
      <c r="Q453" s="3061"/>
      <c r="R453" s="3061"/>
      <c r="S453" s="3061"/>
      <c r="T453" s="3061"/>
      <c r="U453" s="3061"/>
      <c r="V453" s="3061"/>
      <c r="W453" s="3061"/>
      <c r="X453" s="3061"/>
      <c r="Y453" s="3061"/>
      <c r="Z453" s="3061"/>
      <c r="AA453" s="3061"/>
      <c r="AB453" s="3061"/>
      <c r="AC453" s="3061"/>
      <c r="AD453" s="3061"/>
      <c r="AE453" s="3061"/>
      <c r="AF453" s="3061"/>
      <c r="AG453" s="3061"/>
      <c r="AH453" s="3061"/>
      <c r="AI453" s="3061"/>
      <c r="AJ453" s="3061"/>
      <c r="AK453" s="3061"/>
      <c r="AL453" s="3061"/>
      <c r="AM453" s="3061"/>
      <c r="AN453" s="3061"/>
      <c r="AO453" s="3061"/>
      <c r="AP453" s="3061"/>
      <c r="AQ453" s="3061"/>
      <c r="AR453" s="3061"/>
      <c r="AS453" s="3061"/>
      <c r="AT453" s="3061"/>
      <c r="AU453" s="3061"/>
      <c r="AV453" s="3061"/>
      <c r="AW453" s="3061"/>
      <c r="AX453" s="3061"/>
      <c r="AY453" s="3061"/>
      <c r="AZ453" s="3061"/>
      <c r="BA453" s="3061"/>
      <c r="BB453" s="3061"/>
      <c r="BC453" s="3061"/>
      <c r="BD453" s="3061"/>
      <c r="BE453" s="3061"/>
      <c r="BF453" s="3061"/>
      <c r="BG453" s="3061"/>
      <c r="BH453" s="3061"/>
      <c r="BI453" s="3061"/>
      <c r="BJ453" s="3061"/>
      <c r="BK453" s="3061"/>
      <c r="BL453" s="3061"/>
      <c r="BM453" s="3061"/>
      <c r="BN453" s="3061"/>
      <c r="BO453" s="3061"/>
      <c r="BP453" s="3061"/>
      <c r="BQ453" s="3061"/>
      <c r="BR453" s="3061"/>
      <c r="BS453" s="3061"/>
      <c r="BT453" s="3061"/>
      <c r="BU453" s="3061"/>
      <c r="BV453" s="3061"/>
      <c r="BW453" s="3061"/>
      <c r="BX453" s="3061"/>
      <c r="BY453" s="3061"/>
      <c r="BZ453" s="3061"/>
      <c r="CA453" s="3061"/>
      <c r="CB453" s="3061"/>
      <c r="CC453" s="3061"/>
      <c r="CD453" s="3061"/>
      <c r="CE453" s="3061"/>
      <c r="CF453" s="3061"/>
      <c r="CG453" s="3061"/>
      <c r="CH453" s="3061"/>
      <c r="CI453" s="3061"/>
      <c r="CJ453" s="3061"/>
      <c r="CK453" s="3061"/>
      <c r="CL453" s="3061"/>
      <c r="CM453" s="3061"/>
      <c r="CN453" s="3061"/>
      <c r="CO453" s="3061"/>
      <c r="CP453" s="3061"/>
      <c r="CQ453" s="3061"/>
      <c r="CR453" s="3061"/>
      <c r="CS453" s="3062"/>
      <c r="CT453" s="3063"/>
      <c r="CU453" s="3064">
        <f t="shared" si="120"/>
        <v>1</v>
      </c>
      <c r="CV453" s="3022" t="str">
        <f>IF(OR(CT453="",CT453="None"),"-",DO453*CU453*SUMIF('Lighting Assumptions'!$G$3:$G$112,'6a - Lighting Counts'!G453,'Lighting Assumptions'!$J$3:$J$112))</f>
        <v>-</v>
      </c>
      <c r="CW453" s="3021"/>
      <c r="CX453" s="3021"/>
      <c r="CY453" s="3046"/>
      <c r="CZ453" s="2098">
        <f t="shared" si="121"/>
        <v>0</v>
      </c>
      <c r="DA453" s="2098" t="str">
        <f t="shared" si="122"/>
        <v>-</v>
      </c>
      <c r="DB453" s="2098">
        <f t="shared" si="123"/>
        <v>0</v>
      </c>
      <c r="DC453" s="3023" t="str">
        <f t="shared" si="124"/>
        <v>-</v>
      </c>
      <c r="DD453" s="3024" t="str">
        <f t="shared" si="125"/>
        <v/>
      </c>
      <c r="DE453" s="3025" t="str">
        <f t="shared" si="126"/>
        <v>-</v>
      </c>
      <c r="DF453" s="3024" t="str">
        <f t="shared" si="117"/>
        <v>-</v>
      </c>
      <c r="DG453" s="2098">
        <f t="shared" si="127"/>
        <v>0</v>
      </c>
      <c r="DH453" s="2098">
        <f t="array" ref="DH453">MIN(SUMPRODUCT(I453:CR453,IF($I$25:$CR$25="yes",1,0),$I$23:$CR$23),H453)</f>
        <v>0</v>
      </c>
      <c r="DI453" s="3026"/>
      <c r="DJ453" s="3021"/>
      <c r="DN453" s="917" t="str">
        <f>IF(CS453="","-",SUMIF('Lighting Assumptions'!$G$3:$G$112,'6a - Lighting Counts'!G453,'Lighting Assumptions'!$J$3:$J$112))</f>
        <v>-</v>
      </c>
      <c r="DO453" s="917" t="str">
        <f t="shared" si="118"/>
        <v>-</v>
      </c>
      <c r="DP453" s="917" t="str">
        <f t="shared" si="119"/>
        <v>-</v>
      </c>
      <c r="DQ453" s="917" t="str">
        <f>IF(LEFT(CELLformula(DF453),3)&lt;&gt;"=IF",1,"")</f>
        <v/>
      </c>
      <c r="DR453" s="917" t="str">
        <f>IF(LEFT(CELLformula(DD453),3)&lt;&gt;"=IF",1,"")</f>
        <v/>
      </c>
      <c r="DS453" s="3048">
        <f t="shared" si="128"/>
        <v>0</v>
      </c>
      <c r="DT453" s="3047" t="str">
        <f t="shared" si="129"/>
        <v/>
      </c>
      <c r="DU453" s="3047" t="str">
        <f>IFERROR(IF(G453="","",SUMIF('Lighting Assumptions'!$G$3:$G$112,'6a - Lighting Counts'!G453,'Lighting Assumptions'!$H$3:$H$112)*IF(SI_IP_Units="SI",10.76,1)),"")</f>
        <v/>
      </c>
      <c r="DV453" s="3047" t="str">
        <f>IFERROR(IF($CX453="","",IF(SI_IP_Units="SI",10.76,1)*SUMIF(BAMCategories,$CY453,'Lighting Assumptions'!$E$3:E$35)),"")</f>
        <v/>
      </c>
      <c r="DW453" s="3047" t="str">
        <f>IFERROR(IF($CX453="","",IF(SI_IP_Units="SI",10.76,1)*SUMIF(BAMCategories,$CY453,IF(bpf_reference="ACP",'Lighting Assumptions 90.1-2010'!$E$3:E$35,'Lighting Assumptions 90.1-2016'!$E$3:E$35))),"")</f>
        <v/>
      </c>
      <c r="EW453" s="855"/>
      <c r="EX453" s="855"/>
      <c r="EY453" s="855"/>
      <c r="EZ453" s="855"/>
    </row>
    <row r="454" spans="4:156" x14ac:dyDescent="0.25">
      <c r="D454" s="3029"/>
      <c r="E454" s="3028"/>
      <c r="F454" s="3021">
        <f t="shared" si="116"/>
        <v>0</v>
      </c>
      <c r="G454" s="3059"/>
      <c r="H454" s="3060"/>
      <c r="I454" s="3061"/>
      <c r="J454" s="3061"/>
      <c r="K454" s="3061"/>
      <c r="L454" s="3061"/>
      <c r="M454" s="3061"/>
      <c r="N454" s="3061"/>
      <c r="O454" s="3061"/>
      <c r="P454" s="3061"/>
      <c r="Q454" s="3061"/>
      <c r="R454" s="3061"/>
      <c r="S454" s="3061"/>
      <c r="T454" s="3061"/>
      <c r="U454" s="3061"/>
      <c r="V454" s="3061"/>
      <c r="W454" s="3061"/>
      <c r="X454" s="3061"/>
      <c r="Y454" s="3061"/>
      <c r="Z454" s="3061"/>
      <c r="AA454" s="3061"/>
      <c r="AB454" s="3061"/>
      <c r="AC454" s="3061"/>
      <c r="AD454" s="3061"/>
      <c r="AE454" s="3061"/>
      <c r="AF454" s="3061"/>
      <c r="AG454" s="3061"/>
      <c r="AH454" s="3061"/>
      <c r="AI454" s="3061"/>
      <c r="AJ454" s="3061"/>
      <c r="AK454" s="3061"/>
      <c r="AL454" s="3061"/>
      <c r="AM454" s="3061"/>
      <c r="AN454" s="3061"/>
      <c r="AO454" s="3061"/>
      <c r="AP454" s="3061"/>
      <c r="AQ454" s="3061"/>
      <c r="AR454" s="3061"/>
      <c r="AS454" s="3061"/>
      <c r="AT454" s="3061"/>
      <c r="AU454" s="3061"/>
      <c r="AV454" s="3061"/>
      <c r="AW454" s="3061"/>
      <c r="AX454" s="3061"/>
      <c r="AY454" s="3061"/>
      <c r="AZ454" s="3061"/>
      <c r="BA454" s="3061"/>
      <c r="BB454" s="3061"/>
      <c r="BC454" s="3061"/>
      <c r="BD454" s="3061"/>
      <c r="BE454" s="3061"/>
      <c r="BF454" s="3061"/>
      <c r="BG454" s="3061"/>
      <c r="BH454" s="3061"/>
      <c r="BI454" s="3061"/>
      <c r="BJ454" s="3061"/>
      <c r="BK454" s="3061"/>
      <c r="BL454" s="3061"/>
      <c r="BM454" s="3061"/>
      <c r="BN454" s="3061"/>
      <c r="BO454" s="3061"/>
      <c r="BP454" s="3061"/>
      <c r="BQ454" s="3061"/>
      <c r="BR454" s="3061"/>
      <c r="BS454" s="3061"/>
      <c r="BT454" s="3061"/>
      <c r="BU454" s="3061"/>
      <c r="BV454" s="3061"/>
      <c r="BW454" s="3061"/>
      <c r="BX454" s="3061"/>
      <c r="BY454" s="3061"/>
      <c r="BZ454" s="3061"/>
      <c r="CA454" s="3061"/>
      <c r="CB454" s="3061"/>
      <c r="CC454" s="3061"/>
      <c r="CD454" s="3061"/>
      <c r="CE454" s="3061"/>
      <c r="CF454" s="3061"/>
      <c r="CG454" s="3061"/>
      <c r="CH454" s="3061"/>
      <c r="CI454" s="3061"/>
      <c r="CJ454" s="3061"/>
      <c r="CK454" s="3061"/>
      <c r="CL454" s="3061"/>
      <c r="CM454" s="3061"/>
      <c r="CN454" s="3061"/>
      <c r="CO454" s="3061"/>
      <c r="CP454" s="3061"/>
      <c r="CQ454" s="3061"/>
      <c r="CR454" s="3061"/>
      <c r="CS454" s="3062"/>
      <c r="CT454" s="3063"/>
      <c r="CU454" s="3064">
        <f t="shared" si="120"/>
        <v>1</v>
      </c>
      <c r="CV454" s="3022" t="str">
        <f>IF(OR(CT454="",CT454="None"),"-",DO454*CU454*SUMIF('Lighting Assumptions'!$G$3:$G$112,'6a - Lighting Counts'!G454,'Lighting Assumptions'!$J$3:$J$112))</f>
        <v>-</v>
      </c>
      <c r="CW454" s="3021"/>
      <c r="CX454" s="3021"/>
      <c r="CY454" s="3046"/>
      <c r="CZ454" s="2098">
        <f t="shared" si="121"/>
        <v>0</v>
      </c>
      <c r="DA454" s="2098" t="str">
        <f t="shared" si="122"/>
        <v>-</v>
      </c>
      <c r="DB454" s="2098">
        <f t="shared" si="123"/>
        <v>0</v>
      </c>
      <c r="DC454" s="3023" t="str">
        <f t="shared" si="124"/>
        <v>-</v>
      </c>
      <c r="DD454" s="3024" t="str">
        <f t="shared" si="125"/>
        <v/>
      </c>
      <c r="DE454" s="3025" t="str">
        <f t="shared" si="126"/>
        <v>-</v>
      </c>
      <c r="DF454" s="3024" t="str">
        <f t="shared" si="117"/>
        <v>-</v>
      </c>
      <c r="DG454" s="2098">
        <f t="shared" si="127"/>
        <v>0</v>
      </c>
      <c r="DH454" s="2098">
        <f t="array" ref="DH454">MIN(SUMPRODUCT(I454:CR454,IF($I$25:$CR$25="yes",1,0),$I$23:$CR$23),H454)</f>
        <v>0</v>
      </c>
      <c r="DI454" s="3026"/>
      <c r="DJ454" s="3021"/>
      <c r="DN454" s="917" t="str">
        <f>IF(CS454="","-",SUMIF('Lighting Assumptions'!$G$3:$G$112,'6a - Lighting Counts'!G454,'Lighting Assumptions'!$J$3:$J$112))</f>
        <v>-</v>
      </c>
      <c r="DO454" s="917" t="str">
        <f t="shared" si="118"/>
        <v>-</v>
      </c>
      <c r="DP454" s="917" t="str">
        <f t="shared" si="119"/>
        <v>-</v>
      </c>
      <c r="DQ454" s="917" t="str">
        <f>IF(LEFT(CELLformula(DF454),3)&lt;&gt;"=IF",1,"")</f>
        <v/>
      </c>
      <c r="DR454" s="917" t="str">
        <f>IF(LEFT(CELLformula(DD454),3)&lt;&gt;"=IF",1,"")</f>
        <v/>
      </c>
      <c r="DS454" s="3048">
        <f t="shared" si="128"/>
        <v>0</v>
      </c>
      <c r="DT454" s="3047" t="str">
        <f t="shared" si="129"/>
        <v/>
      </c>
      <c r="DU454" s="3047" t="str">
        <f>IFERROR(IF(G454="","",SUMIF('Lighting Assumptions'!$G$3:$G$112,'6a - Lighting Counts'!G454,'Lighting Assumptions'!$H$3:$H$112)*IF(SI_IP_Units="SI",10.76,1)),"")</f>
        <v/>
      </c>
      <c r="DV454" s="3047" t="str">
        <f>IFERROR(IF($CX454="","",IF(SI_IP_Units="SI",10.76,1)*SUMIF(BAMCategories,$CY454,'Lighting Assumptions'!$E$3:E$35)),"")</f>
        <v/>
      </c>
      <c r="DW454" s="3047" t="str">
        <f>IFERROR(IF($CX454="","",IF(SI_IP_Units="SI",10.76,1)*SUMIF(BAMCategories,$CY454,IF(bpf_reference="ACP",'Lighting Assumptions 90.1-2010'!$E$3:E$35,'Lighting Assumptions 90.1-2016'!$E$3:E$35))),"")</f>
        <v/>
      </c>
      <c r="EW454" s="855"/>
      <c r="EX454" s="855"/>
      <c r="EY454" s="855"/>
      <c r="EZ454" s="855"/>
    </row>
    <row r="455" spans="4:156" x14ac:dyDescent="0.25">
      <c r="D455" s="3029"/>
      <c r="E455" s="3028"/>
      <c r="F455" s="3021">
        <f t="shared" si="116"/>
        <v>0</v>
      </c>
      <c r="G455" s="3059"/>
      <c r="H455" s="3060"/>
      <c r="I455" s="3061"/>
      <c r="J455" s="3061"/>
      <c r="K455" s="3061"/>
      <c r="L455" s="3061"/>
      <c r="M455" s="3061"/>
      <c r="N455" s="3061"/>
      <c r="O455" s="3061"/>
      <c r="P455" s="3061"/>
      <c r="Q455" s="3061"/>
      <c r="R455" s="3061"/>
      <c r="S455" s="3061"/>
      <c r="T455" s="3061"/>
      <c r="U455" s="3061"/>
      <c r="V455" s="3061"/>
      <c r="W455" s="3061"/>
      <c r="X455" s="3061"/>
      <c r="Y455" s="3061"/>
      <c r="Z455" s="3061"/>
      <c r="AA455" s="3061"/>
      <c r="AB455" s="3061"/>
      <c r="AC455" s="3061"/>
      <c r="AD455" s="3061"/>
      <c r="AE455" s="3061"/>
      <c r="AF455" s="3061"/>
      <c r="AG455" s="3061"/>
      <c r="AH455" s="3061"/>
      <c r="AI455" s="3061"/>
      <c r="AJ455" s="3061"/>
      <c r="AK455" s="3061"/>
      <c r="AL455" s="3061"/>
      <c r="AM455" s="3061"/>
      <c r="AN455" s="3061"/>
      <c r="AO455" s="3061"/>
      <c r="AP455" s="3061"/>
      <c r="AQ455" s="3061"/>
      <c r="AR455" s="3061"/>
      <c r="AS455" s="3061"/>
      <c r="AT455" s="3061"/>
      <c r="AU455" s="3061"/>
      <c r="AV455" s="3061"/>
      <c r="AW455" s="3061"/>
      <c r="AX455" s="3061"/>
      <c r="AY455" s="3061"/>
      <c r="AZ455" s="3061"/>
      <c r="BA455" s="3061"/>
      <c r="BB455" s="3061"/>
      <c r="BC455" s="3061"/>
      <c r="BD455" s="3061"/>
      <c r="BE455" s="3061"/>
      <c r="BF455" s="3061"/>
      <c r="BG455" s="3061"/>
      <c r="BH455" s="3061"/>
      <c r="BI455" s="3061"/>
      <c r="BJ455" s="3061"/>
      <c r="BK455" s="3061"/>
      <c r="BL455" s="3061"/>
      <c r="BM455" s="3061"/>
      <c r="BN455" s="3061"/>
      <c r="BO455" s="3061"/>
      <c r="BP455" s="3061"/>
      <c r="BQ455" s="3061"/>
      <c r="BR455" s="3061"/>
      <c r="BS455" s="3061"/>
      <c r="BT455" s="3061"/>
      <c r="BU455" s="3061"/>
      <c r="BV455" s="3061"/>
      <c r="BW455" s="3061"/>
      <c r="BX455" s="3061"/>
      <c r="BY455" s="3061"/>
      <c r="BZ455" s="3061"/>
      <c r="CA455" s="3061"/>
      <c r="CB455" s="3061"/>
      <c r="CC455" s="3061"/>
      <c r="CD455" s="3061"/>
      <c r="CE455" s="3061"/>
      <c r="CF455" s="3061"/>
      <c r="CG455" s="3061"/>
      <c r="CH455" s="3061"/>
      <c r="CI455" s="3061"/>
      <c r="CJ455" s="3061"/>
      <c r="CK455" s="3061"/>
      <c r="CL455" s="3061"/>
      <c r="CM455" s="3061"/>
      <c r="CN455" s="3061"/>
      <c r="CO455" s="3061"/>
      <c r="CP455" s="3061"/>
      <c r="CQ455" s="3061"/>
      <c r="CR455" s="3061"/>
      <c r="CS455" s="3062"/>
      <c r="CT455" s="3063"/>
      <c r="CU455" s="3064">
        <f t="shared" si="120"/>
        <v>1</v>
      </c>
      <c r="CV455" s="3022" t="str">
        <f>IF(OR(CT455="",CT455="None"),"-",DO455*CU455*SUMIF('Lighting Assumptions'!$G$3:$G$112,'6a - Lighting Counts'!G455,'Lighting Assumptions'!$J$3:$J$112))</f>
        <v>-</v>
      </c>
      <c r="CW455" s="3021"/>
      <c r="CX455" s="3021"/>
      <c r="CY455" s="3046"/>
      <c r="CZ455" s="2098">
        <f t="shared" si="121"/>
        <v>0</v>
      </c>
      <c r="DA455" s="2098" t="str">
        <f t="shared" si="122"/>
        <v>-</v>
      </c>
      <c r="DB455" s="2098">
        <f t="shared" si="123"/>
        <v>0</v>
      </c>
      <c r="DC455" s="3023" t="str">
        <f t="shared" si="124"/>
        <v>-</v>
      </c>
      <c r="DD455" s="3024" t="str">
        <f t="shared" si="125"/>
        <v/>
      </c>
      <c r="DE455" s="3025" t="str">
        <f t="shared" si="126"/>
        <v>-</v>
      </c>
      <c r="DF455" s="3024" t="str">
        <f t="shared" si="117"/>
        <v>-</v>
      </c>
      <c r="DG455" s="2098">
        <f t="shared" si="127"/>
        <v>0</v>
      </c>
      <c r="DH455" s="2098">
        <f t="array" ref="DH455">MIN(SUMPRODUCT(I455:CR455,IF($I$25:$CR$25="yes",1,0),$I$23:$CR$23),H455)</f>
        <v>0</v>
      </c>
      <c r="DI455" s="3026"/>
      <c r="DJ455" s="3021"/>
      <c r="DN455" s="917" t="str">
        <f>IF(CS455="","-",SUMIF('Lighting Assumptions'!$G$3:$G$112,'6a - Lighting Counts'!G455,'Lighting Assumptions'!$J$3:$J$112))</f>
        <v>-</v>
      </c>
      <c r="DO455" s="917" t="str">
        <f t="shared" si="118"/>
        <v>-</v>
      </c>
      <c r="DP455" s="917" t="str">
        <f t="shared" si="119"/>
        <v>-</v>
      </c>
      <c r="DQ455" s="917" t="str">
        <f>IF(LEFT(CELLformula(DF455),3)&lt;&gt;"=IF",1,"")</f>
        <v/>
      </c>
      <c r="DR455" s="917" t="str">
        <f>IF(LEFT(CELLformula(DD455),3)&lt;&gt;"=IF",1,"")</f>
        <v/>
      </c>
      <c r="DS455" s="3048">
        <f t="shared" si="128"/>
        <v>0</v>
      </c>
      <c r="DT455" s="3047" t="str">
        <f t="shared" si="129"/>
        <v/>
      </c>
      <c r="DU455" s="3047" t="str">
        <f>IFERROR(IF(G455="","",SUMIF('Lighting Assumptions'!$G$3:$G$112,'6a - Lighting Counts'!G455,'Lighting Assumptions'!$H$3:$H$112)*IF(SI_IP_Units="SI",10.76,1)),"")</f>
        <v/>
      </c>
      <c r="DV455" s="3047" t="str">
        <f>IFERROR(IF($CX455="","",IF(SI_IP_Units="SI",10.76,1)*SUMIF(BAMCategories,$CY455,'Lighting Assumptions'!$E$3:E$35)),"")</f>
        <v/>
      </c>
      <c r="DW455" s="3047" t="str">
        <f>IFERROR(IF($CX455="","",IF(SI_IP_Units="SI",10.76,1)*SUMIF(BAMCategories,$CY455,IF(bpf_reference="ACP",'Lighting Assumptions 90.1-2010'!$E$3:E$35,'Lighting Assumptions 90.1-2016'!$E$3:E$35))),"")</f>
        <v/>
      </c>
      <c r="EW455" s="855"/>
      <c r="EX455" s="855"/>
      <c r="EY455" s="855"/>
      <c r="EZ455" s="855"/>
    </row>
    <row r="456" spans="4:156" x14ac:dyDescent="0.25">
      <c r="D456" s="3029"/>
      <c r="E456" s="3028"/>
      <c r="F456" s="3021">
        <f t="shared" si="116"/>
        <v>0</v>
      </c>
      <c r="G456" s="3059"/>
      <c r="H456" s="3060"/>
      <c r="I456" s="3061"/>
      <c r="J456" s="3061"/>
      <c r="K456" s="3061"/>
      <c r="L456" s="3061"/>
      <c r="M456" s="3061"/>
      <c r="N456" s="3061"/>
      <c r="O456" s="3061"/>
      <c r="P456" s="3061"/>
      <c r="Q456" s="3061"/>
      <c r="R456" s="3061"/>
      <c r="S456" s="3061"/>
      <c r="T456" s="3061"/>
      <c r="U456" s="3061"/>
      <c r="V456" s="3061"/>
      <c r="W456" s="3061"/>
      <c r="X456" s="3061"/>
      <c r="Y456" s="3061"/>
      <c r="Z456" s="3061"/>
      <c r="AA456" s="3061"/>
      <c r="AB456" s="3061"/>
      <c r="AC456" s="3061"/>
      <c r="AD456" s="3061"/>
      <c r="AE456" s="3061"/>
      <c r="AF456" s="3061"/>
      <c r="AG456" s="3061"/>
      <c r="AH456" s="3061"/>
      <c r="AI456" s="3061"/>
      <c r="AJ456" s="3061"/>
      <c r="AK456" s="3061"/>
      <c r="AL456" s="3061"/>
      <c r="AM456" s="3061"/>
      <c r="AN456" s="3061"/>
      <c r="AO456" s="3061"/>
      <c r="AP456" s="3061"/>
      <c r="AQ456" s="3061"/>
      <c r="AR456" s="3061"/>
      <c r="AS456" s="3061"/>
      <c r="AT456" s="3061"/>
      <c r="AU456" s="3061"/>
      <c r="AV456" s="3061"/>
      <c r="AW456" s="3061"/>
      <c r="AX456" s="3061"/>
      <c r="AY456" s="3061"/>
      <c r="AZ456" s="3061"/>
      <c r="BA456" s="3061"/>
      <c r="BB456" s="3061"/>
      <c r="BC456" s="3061"/>
      <c r="BD456" s="3061"/>
      <c r="BE456" s="3061"/>
      <c r="BF456" s="3061"/>
      <c r="BG456" s="3061"/>
      <c r="BH456" s="3061"/>
      <c r="BI456" s="3061"/>
      <c r="BJ456" s="3061"/>
      <c r="BK456" s="3061"/>
      <c r="BL456" s="3061"/>
      <c r="BM456" s="3061"/>
      <c r="BN456" s="3061"/>
      <c r="BO456" s="3061"/>
      <c r="BP456" s="3061"/>
      <c r="BQ456" s="3061"/>
      <c r="BR456" s="3061"/>
      <c r="BS456" s="3061"/>
      <c r="BT456" s="3061"/>
      <c r="BU456" s="3061"/>
      <c r="BV456" s="3061"/>
      <c r="BW456" s="3061"/>
      <c r="BX456" s="3061"/>
      <c r="BY456" s="3061"/>
      <c r="BZ456" s="3061"/>
      <c r="CA456" s="3061"/>
      <c r="CB456" s="3061"/>
      <c r="CC456" s="3061"/>
      <c r="CD456" s="3061"/>
      <c r="CE456" s="3061"/>
      <c r="CF456" s="3061"/>
      <c r="CG456" s="3061"/>
      <c r="CH456" s="3061"/>
      <c r="CI456" s="3061"/>
      <c r="CJ456" s="3061"/>
      <c r="CK456" s="3061"/>
      <c r="CL456" s="3061"/>
      <c r="CM456" s="3061"/>
      <c r="CN456" s="3061"/>
      <c r="CO456" s="3061"/>
      <c r="CP456" s="3061"/>
      <c r="CQ456" s="3061"/>
      <c r="CR456" s="3061"/>
      <c r="CS456" s="3062"/>
      <c r="CT456" s="3063"/>
      <c r="CU456" s="3064">
        <f t="shared" si="120"/>
        <v>1</v>
      </c>
      <c r="CV456" s="3022" t="str">
        <f>IF(OR(CT456="",CT456="None"),"-",DO456*CU456*SUMIF('Lighting Assumptions'!$G$3:$G$112,'6a - Lighting Counts'!G456,'Lighting Assumptions'!$J$3:$J$112))</f>
        <v>-</v>
      </c>
      <c r="CW456" s="3021"/>
      <c r="CX456" s="3021"/>
      <c r="CY456" s="3046"/>
      <c r="CZ456" s="2098">
        <f t="shared" si="121"/>
        <v>0</v>
      </c>
      <c r="DA456" s="2098" t="str">
        <f t="shared" si="122"/>
        <v>-</v>
      </c>
      <c r="DB456" s="2098">
        <f t="shared" si="123"/>
        <v>0</v>
      </c>
      <c r="DC456" s="3023" t="str">
        <f t="shared" si="124"/>
        <v>-</v>
      </c>
      <c r="DD456" s="3024" t="str">
        <f t="shared" si="125"/>
        <v/>
      </c>
      <c r="DE456" s="3025" t="str">
        <f t="shared" si="126"/>
        <v>-</v>
      </c>
      <c r="DF456" s="3024" t="str">
        <f t="shared" si="117"/>
        <v>-</v>
      </c>
      <c r="DG456" s="2098">
        <f t="shared" si="127"/>
        <v>0</v>
      </c>
      <c r="DH456" s="2098">
        <f t="array" ref="DH456">MIN(SUMPRODUCT(I456:CR456,IF($I$25:$CR$25="yes",1,0),$I$23:$CR$23),H456)</f>
        <v>0</v>
      </c>
      <c r="DI456" s="3026"/>
      <c r="DJ456" s="3021"/>
      <c r="DN456" s="917" t="str">
        <f>IF(CS456="","-",SUMIF('Lighting Assumptions'!$G$3:$G$112,'6a - Lighting Counts'!G456,'Lighting Assumptions'!$J$3:$J$112))</f>
        <v>-</v>
      </c>
      <c r="DO456" s="917" t="str">
        <f t="shared" si="118"/>
        <v>-</v>
      </c>
      <c r="DP456" s="917" t="str">
        <f t="shared" si="119"/>
        <v>-</v>
      </c>
      <c r="DQ456" s="917" t="str">
        <f>IF(LEFT(CELLformula(DF456),3)&lt;&gt;"=IF",1,"")</f>
        <v/>
      </c>
      <c r="DR456" s="917" t="str">
        <f>IF(LEFT(CELLformula(DD456),3)&lt;&gt;"=IF",1,"")</f>
        <v/>
      </c>
      <c r="DS456" s="3048">
        <f t="shared" si="128"/>
        <v>0</v>
      </c>
      <c r="DT456" s="3047" t="str">
        <f t="shared" si="129"/>
        <v/>
      </c>
      <c r="DU456" s="3047" t="str">
        <f>IFERROR(IF(G456="","",SUMIF('Lighting Assumptions'!$G$3:$G$112,'6a - Lighting Counts'!G456,'Lighting Assumptions'!$H$3:$H$112)*IF(SI_IP_Units="SI",10.76,1)),"")</f>
        <v/>
      </c>
      <c r="DV456" s="3047" t="str">
        <f>IFERROR(IF($CX456="","",IF(SI_IP_Units="SI",10.76,1)*SUMIF(BAMCategories,$CY456,'Lighting Assumptions'!$E$3:E$35)),"")</f>
        <v/>
      </c>
      <c r="DW456" s="3047" t="str">
        <f>IFERROR(IF($CX456="","",IF(SI_IP_Units="SI",10.76,1)*SUMIF(BAMCategories,$CY456,IF(bpf_reference="ACP",'Lighting Assumptions 90.1-2010'!$E$3:E$35,'Lighting Assumptions 90.1-2016'!$E$3:E$35))),"")</f>
        <v/>
      </c>
      <c r="EW456" s="855"/>
      <c r="EX456" s="855"/>
      <c r="EY456" s="855"/>
      <c r="EZ456" s="855"/>
    </row>
    <row r="457" spans="4:156" x14ac:dyDescent="0.25">
      <c r="D457" s="3029"/>
      <c r="E457" s="3028"/>
      <c r="F457" s="3021">
        <f t="shared" si="116"/>
        <v>0</v>
      </c>
      <c r="G457" s="3059"/>
      <c r="H457" s="3060"/>
      <c r="I457" s="3061"/>
      <c r="J457" s="3061"/>
      <c r="K457" s="3061"/>
      <c r="L457" s="3061"/>
      <c r="M457" s="3061"/>
      <c r="N457" s="3061"/>
      <c r="O457" s="3061"/>
      <c r="P457" s="3061"/>
      <c r="Q457" s="3061"/>
      <c r="R457" s="3061"/>
      <c r="S457" s="3061"/>
      <c r="T457" s="3061"/>
      <c r="U457" s="3061"/>
      <c r="V457" s="3061"/>
      <c r="W457" s="3061"/>
      <c r="X457" s="3061"/>
      <c r="Y457" s="3061"/>
      <c r="Z457" s="3061"/>
      <c r="AA457" s="3061"/>
      <c r="AB457" s="3061"/>
      <c r="AC457" s="3061"/>
      <c r="AD457" s="3061"/>
      <c r="AE457" s="3061"/>
      <c r="AF457" s="3061"/>
      <c r="AG457" s="3061"/>
      <c r="AH457" s="3061"/>
      <c r="AI457" s="3061"/>
      <c r="AJ457" s="3061"/>
      <c r="AK457" s="3061"/>
      <c r="AL457" s="3061"/>
      <c r="AM457" s="3061"/>
      <c r="AN457" s="3061"/>
      <c r="AO457" s="3061"/>
      <c r="AP457" s="3061"/>
      <c r="AQ457" s="3061"/>
      <c r="AR457" s="3061"/>
      <c r="AS457" s="3061"/>
      <c r="AT457" s="3061"/>
      <c r="AU457" s="3061"/>
      <c r="AV457" s="3061"/>
      <c r="AW457" s="3061"/>
      <c r="AX457" s="3061"/>
      <c r="AY457" s="3061"/>
      <c r="AZ457" s="3061"/>
      <c r="BA457" s="3061"/>
      <c r="BB457" s="3061"/>
      <c r="BC457" s="3061"/>
      <c r="BD457" s="3061"/>
      <c r="BE457" s="3061"/>
      <c r="BF457" s="3061"/>
      <c r="BG457" s="3061"/>
      <c r="BH457" s="3061"/>
      <c r="BI457" s="3061"/>
      <c r="BJ457" s="3061"/>
      <c r="BK457" s="3061"/>
      <c r="BL457" s="3061"/>
      <c r="BM457" s="3061"/>
      <c r="BN457" s="3061"/>
      <c r="BO457" s="3061"/>
      <c r="BP457" s="3061"/>
      <c r="BQ457" s="3061"/>
      <c r="BR457" s="3061"/>
      <c r="BS457" s="3061"/>
      <c r="BT457" s="3061"/>
      <c r="BU457" s="3061"/>
      <c r="BV457" s="3061"/>
      <c r="BW457" s="3061"/>
      <c r="BX457" s="3061"/>
      <c r="BY457" s="3061"/>
      <c r="BZ457" s="3061"/>
      <c r="CA457" s="3061"/>
      <c r="CB457" s="3061"/>
      <c r="CC457" s="3061"/>
      <c r="CD457" s="3061"/>
      <c r="CE457" s="3061"/>
      <c r="CF457" s="3061"/>
      <c r="CG457" s="3061"/>
      <c r="CH457" s="3061"/>
      <c r="CI457" s="3061"/>
      <c r="CJ457" s="3061"/>
      <c r="CK457" s="3061"/>
      <c r="CL457" s="3061"/>
      <c r="CM457" s="3061"/>
      <c r="CN457" s="3061"/>
      <c r="CO457" s="3061"/>
      <c r="CP457" s="3061"/>
      <c r="CQ457" s="3061"/>
      <c r="CR457" s="3061"/>
      <c r="CS457" s="3062"/>
      <c r="CT457" s="3063"/>
      <c r="CU457" s="3064">
        <f t="shared" si="120"/>
        <v>1</v>
      </c>
      <c r="CV457" s="3022" t="str">
        <f>IF(OR(CT457="",CT457="None"),"-",DO457*CU457*SUMIF('Lighting Assumptions'!$G$3:$G$112,'6a - Lighting Counts'!G457,'Lighting Assumptions'!$J$3:$J$112))</f>
        <v>-</v>
      </c>
      <c r="CW457" s="3021"/>
      <c r="CX457" s="3021"/>
      <c r="CY457" s="3046"/>
      <c r="CZ457" s="2098">
        <f t="shared" si="121"/>
        <v>0</v>
      </c>
      <c r="DA457" s="2098" t="str">
        <f t="shared" si="122"/>
        <v>-</v>
      </c>
      <c r="DB457" s="2098">
        <f t="shared" si="123"/>
        <v>0</v>
      </c>
      <c r="DC457" s="3023" t="str">
        <f t="shared" si="124"/>
        <v>-</v>
      </c>
      <c r="DD457" s="3024" t="str">
        <f t="shared" si="125"/>
        <v/>
      </c>
      <c r="DE457" s="3025" t="str">
        <f t="shared" si="126"/>
        <v>-</v>
      </c>
      <c r="DF457" s="3024" t="str">
        <f t="shared" si="117"/>
        <v>-</v>
      </c>
      <c r="DG457" s="2098">
        <f t="shared" si="127"/>
        <v>0</v>
      </c>
      <c r="DH457" s="2098">
        <f t="array" ref="DH457">MIN(SUMPRODUCT(I457:CR457,IF($I$25:$CR$25="yes",1,0),$I$23:$CR$23),H457)</f>
        <v>0</v>
      </c>
      <c r="DI457" s="3026"/>
      <c r="DJ457" s="3021"/>
      <c r="DN457" s="917" t="str">
        <f>IF(CS457="","-",SUMIF('Lighting Assumptions'!$G$3:$G$112,'6a - Lighting Counts'!G457,'Lighting Assumptions'!$J$3:$J$112))</f>
        <v>-</v>
      </c>
      <c r="DO457" s="917" t="str">
        <f t="shared" si="118"/>
        <v>-</v>
      </c>
      <c r="DP457" s="917" t="str">
        <f t="shared" si="119"/>
        <v>-</v>
      </c>
      <c r="DQ457" s="917" t="str">
        <f>IF(LEFT(CELLformula(DF457),3)&lt;&gt;"=IF",1,"")</f>
        <v/>
      </c>
      <c r="DR457" s="917" t="str">
        <f>IF(LEFT(CELLformula(DD457),3)&lt;&gt;"=IF",1,"")</f>
        <v/>
      </c>
      <c r="DS457" s="3048">
        <f t="shared" si="128"/>
        <v>0</v>
      </c>
      <c r="DT457" s="3047" t="str">
        <f t="shared" si="129"/>
        <v/>
      </c>
      <c r="DU457" s="3047" t="str">
        <f>IFERROR(IF(G457="","",SUMIF('Lighting Assumptions'!$G$3:$G$112,'6a - Lighting Counts'!G457,'Lighting Assumptions'!$H$3:$H$112)*IF(SI_IP_Units="SI",10.76,1)),"")</f>
        <v/>
      </c>
      <c r="DV457" s="3047" t="str">
        <f>IFERROR(IF($CX457="","",IF(SI_IP_Units="SI",10.76,1)*SUMIF(BAMCategories,$CY457,'Lighting Assumptions'!$E$3:E$35)),"")</f>
        <v/>
      </c>
      <c r="DW457" s="3047" t="str">
        <f>IFERROR(IF($CX457="","",IF(SI_IP_Units="SI",10.76,1)*SUMIF(BAMCategories,$CY457,IF(bpf_reference="ACP",'Lighting Assumptions 90.1-2010'!$E$3:E$35,'Lighting Assumptions 90.1-2016'!$E$3:E$35))),"")</f>
        <v/>
      </c>
      <c r="EW457" s="855"/>
      <c r="EX457" s="855"/>
      <c r="EY457" s="855"/>
      <c r="EZ457" s="855"/>
    </row>
    <row r="458" spans="4:156" x14ac:dyDescent="0.25">
      <c r="D458" s="3029"/>
      <c r="E458" s="3028"/>
      <c r="F458" s="3021">
        <f t="shared" si="116"/>
        <v>0</v>
      </c>
      <c r="G458" s="3059"/>
      <c r="H458" s="3060"/>
      <c r="I458" s="3061"/>
      <c r="J458" s="3061"/>
      <c r="K458" s="3061"/>
      <c r="L458" s="3061"/>
      <c r="M458" s="3061"/>
      <c r="N458" s="3061"/>
      <c r="O458" s="3061"/>
      <c r="P458" s="3061"/>
      <c r="Q458" s="3061"/>
      <c r="R458" s="3061"/>
      <c r="S458" s="3061"/>
      <c r="T458" s="3061"/>
      <c r="U458" s="3061"/>
      <c r="V458" s="3061"/>
      <c r="W458" s="3061"/>
      <c r="X458" s="3061"/>
      <c r="Y458" s="3061"/>
      <c r="Z458" s="3061"/>
      <c r="AA458" s="3061"/>
      <c r="AB458" s="3061"/>
      <c r="AC458" s="3061"/>
      <c r="AD458" s="3061"/>
      <c r="AE458" s="3061"/>
      <c r="AF458" s="3061"/>
      <c r="AG458" s="3061"/>
      <c r="AH458" s="3061"/>
      <c r="AI458" s="3061"/>
      <c r="AJ458" s="3061"/>
      <c r="AK458" s="3061"/>
      <c r="AL458" s="3061"/>
      <c r="AM458" s="3061"/>
      <c r="AN458" s="3061"/>
      <c r="AO458" s="3061"/>
      <c r="AP458" s="3061"/>
      <c r="AQ458" s="3061"/>
      <c r="AR458" s="3061"/>
      <c r="AS458" s="3061"/>
      <c r="AT458" s="3061"/>
      <c r="AU458" s="3061"/>
      <c r="AV458" s="3061"/>
      <c r="AW458" s="3061"/>
      <c r="AX458" s="3061"/>
      <c r="AY458" s="3061"/>
      <c r="AZ458" s="3061"/>
      <c r="BA458" s="3061"/>
      <c r="BB458" s="3061"/>
      <c r="BC458" s="3061"/>
      <c r="BD458" s="3061"/>
      <c r="BE458" s="3061"/>
      <c r="BF458" s="3061"/>
      <c r="BG458" s="3061"/>
      <c r="BH458" s="3061"/>
      <c r="BI458" s="3061"/>
      <c r="BJ458" s="3061"/>
      <c r="BK458" s="3061"/>
      <c r="BL458" s="3061"/>
      <c r="BM458" s="3061"/>
      <c r="BN458" s="3061"/>
      <c r="BO458" s="3061"/>
      <c r="BP458" s="3061"/>
      <c r="BQ458" s="3061"/>
      <c r="BR458" s="3061"/>
      <c r="BS458" s="3061"/>
      <c r="BT458" s="3061"/>
      <c r="BU458" s="3061"/>
      <c r="BV458" s="3061"/>
      <c r="BW458" s="3061"/>
      <c r="BX458" s="3061"/>
      <c r="BY458" s="3061"/>
      <c r="BZ458" s="3061"/>
      <c r="CA458" s="3061"/>
      <c r="CB458" s="3061"/>
      <c r="CC458" s="3061"/>
      <c r="CD458" s="3061"/>
      <c r="CE458" s="3061"/>
      <c r="CF458" s="3061"/>
      <c r="CG458" s="3061"/>
      <c r="CH458" s="3061"/>
      <c r="CI458" s="3061"/>
      <c r="CJ458" s="3061"/>
      <c r="CK458" s="3061"/>
      <c r="CL458" s="3061"/>
      <c r="CM458" s="3061"/>
      <c r="CN458" s="3061"/>
      <c r="CO458" s="3061"/>
      <c r="CP458" s="3061"/>
      <c r="CQ458" s="3061"/>
      <c r="CR458" s="3061"/>
      <c r="CS458" s="3062"/>
      <c r="CT458" s="3063"/>
      <c r="CU458" s="3064">
        <f t="shared" si="120"/>
        <v>1</v>
      </c>
      <c r="CV458" s="3022" t="str">
        <f>IF(OR(CT458="",CT458="None"),"-",DO458*CU458*SUMIF('Lighting Assumptions'!$G$3:$G$112,'6a - Lighting Counts'!G458,'Lighting Assumptions'!$J$3:$J$112))</f>
        <v>-</v>
      </c>
      <c r="CW458" s="3021"/>
      <c r="CX458" s="3021"/>
      <c r="CY458" s="3046"/>
      <c r="CZ458" s="2098">
        <f t="shared" si="121"/>
        <v>0</v>
      </c>
      <c r="DA458" s="2098" t="str">
        <f t="shared" si="122"/>
        <v>-</v>
      </c>
      <c r="DB458" s="2098">
        <f t="shared" si="123"/>
        <v>0</v>
      </c>
      <c r="DC458" s="3023" t="str">
        <f t="shared" si="124"/>
        <v>-</v>
      </c>
      <c r="DD458" s="3024" t="str">
        <f t="shared" si="125"/>
        <v/>
      </c>
      <c r="DE458" s="3025" t="str">
        <f t="shared" si="126"/>
        <v>-</v>
      </c>
      <c r="DF458" s="3024" t="str">
        <f t="shared" si="117"/>
        <v>-</v>
      </c>
      <c r="DG458" s="2098">
        <f t="shared" si="127"/>
        <v>0</v>
      </c>
      <c r="DH458" s="2098">
        <f t="array" ref="DH458">MIN(SUMPRODUCT(I458:CR458,IF($I$25:$CR$25="yes",1,0),$I$23:$CR$23),H458)</f>
        <v>0</v>
      </c>
      <c r="DI458" s="3026"/>
      <c r="DJ458" s="3021"/>
      <c r="DN458" s="917" t="str">
        <f>IF(CS458="","-",SUMIF('Lighting Assumptions'!$G$3:$G$112,'6a - Lighting Counts'!G458,'Lighting Assumptions'!$J$3:$J$112))</f>
        <v>-</v>
      </c>
      <c r="DO458" s="917" t="str">
        <f t="shared" si="118"/>
        <v>-</v>
      </c>
      <c r="DP458" s="917" t="str">
        <f t="shared" si="119"/>
        <v>-</v>
      </c>
      <c r="DQ458" s="917" t="str">
        <f>IF(LEFT(CELLformula(DF458),3)&lt;&gt;"=IF",1,"")</f>
        <v/>
      </c>
      <c r="DR458" s="917" t="str">
        <f>IF(LEFT(CELLformula(DD458),3)&lt;&gt;"=IF",1,"")</f>
        <v/>
      </c>
      <c r="DS458" s="3048">
        <f t="shared" si="128"/>
        <v>0</v>
      </c>
      <c r="DT458" s="3047" t="str">
        <f t="shared" si="129"/>
        <v/>
      </c>
      <c r="DU458" s="3047" t="str">
        <f>IFERROR(IF(G458="","",SUMIF('Lighting Assumptions'!$G$3:$G$112,'6a - Lighting Counts'!G458,'Lighting Assumptions'!$H$3:$H$112)*IF(SI_IP_Units="SI",10.76,1)),"")</f>
        <v/>
      </c>
      <c r="DV458" s="3047" t="str">
        <f>IFERROR(IF($CX458="","",IF(SI_IP_Units="SI",10.76,1)*SUMIF(BAMCategories,$CY458,'Lighting Assumptions'!$E$3:E$35)),"")</f>
        <v/>
      </c>
      <c r="DW458" s="3047" t="str">
        <f>IFERROR(IF($CX458="","",IF(SI_IP_Units="SI",10.76,1)*SUMIF(BAMCategories,$CY458,IF(bpf_reference="ACP",'Lighting Assumptions 90.1-2010'!$E$3:E$35,'Lighting Assumptions 90.1-2016'!$E$3:E$35))),"")</f>
        <v/>
      </c>
      <c r="EW458" s="855"/>
      <c r="EX458" s="855"/>
      <c r="EY458" s="855"/>
      <c r="EZ458" s="855"/>
    </row>
    <row r="459" spans="4:156" x14ac:dyDescent="0.25">
      <c r="D459" s="3029"/>
      <c r="E459" s="3028"/>
      <c r="F459" s="3021">
        <f t="shared" si="116"/>
        <v>0</v>
      </c>
      <c r="G459" s="3059"/>
      <c r="H459" s="3060"/>
      <c r="I459" s="3061"/>
      <c r="J459" s="3061"/>
      <c r="K459" s="3061"/>
      <c r="L459" s="3061"/>
      <c r="M459" s="3061"/>
      <c r="N459" s="3061"/>
      <c r="O459" s="3061"/>
      <c r="P459" s="3061"/>
      <c r="Q459" s="3061"/>
      <c r="R459" s="3061"/>
      <c r="S459" s="3061"/>
      <c r="T459" s="3061"/>
      <c r="U459" s="3061"/>
      <c r="V459" s="3061"/>
      <c r="W459" s="3061"/>
      <c r="X459" s="3061"/>
      <c r="Y459" s="3061"/>
      <c r="Z459" s="3061"/>
      <c r="AA459" s="3061"/>
      <c r="AB459" s="3061"/>
      <c r="AC459" s="3061"/>
      <c r="AD459" s="3061"/>
      <c r="AE459" s="3061"/>
      <c r="AF459" s="3061"/>
      <c r="AG459" s="3061"/>
      <c r="AH459" s="3061"/>
      <c r="AI459" s="3061"/>
      <c r="AJ459" s="3061"/>
      <c r="AK459" s="3061"/>
      <c r="AL459" s="3061"/>
      <c r="AM459" s="3061"/>
      <c r="AN459" s="3061"/>
      <c r="AO459" s="3061"/>
      <c r="AP459" s="3061"/>
      <c r="AQ459" s="3061"/>
      <c r="AR459" s="3061"/>
      <c r="AS459" s="3061"/>
      <c r="AT459" s="3061"/>
      <c r="AU459" s="3061"/>
      <c r="AV459" s="3061"/>
      <c r="AW459" s="3061"/>
      <c r="AX459" s="3061"/>
      <c r="AY459" s="3061"/>
      <c r="AZ459" s="3061"/>
      <c r="BA459" s="3061"/>
      <c r="BB459" s="3061"/>
      <c r="BC459" s="3061"/>
      <c r="BD459" s="3061"/>
      <c r="BE459" s="3061"/>
      <c r="BF459" s="3061"/>
      <c r="BG459" s="3061"/>
      <c r="BH459" s="3061"/>
      <c r="BI459" s="3061"/>
      <c r="BJ459" s="3061"/>
      <c r="BK459" s="3061"/>
      <c r="BL459" s="3061"/>
      <c r="BM459" s="3061"/>
      <c r="BN459" s="3061"/>
      <c r="BO459" s="3061"/>
      <c r="BP459" s="3061"/>
      <c r="BQ459" s="3061"/>
      <c r="BR459" s="3061"/>
      <c r="BS459" s="3061"/>
      <c r="BT459" s="3061"/>
      <c r="BU459" s="3061"/>
      <c r="BV459" s="3061"/>
      <c r="BW459" s="3061"/>
      <c r="BX459" s="3061"/>
      <c r="BY459" s="3061"/>
      <c r="BZ459" s="3061"/>
      <c r="CA459" s="3061"/>
      <c r="CB459" s="3061"/>
      <c r="CC459" s="3061"/>
      <c r="CD459" s="3061"/>
      <c r="CE459" s="3061"/>
      <c r="CF459" s="3061"/>
      <c r="CG459" s="3061"/>
      <c r="CH459" s="3061"/>
      <c r="CI459" s="3061"/>
      <c r="CJ459" s="3061"/>
      <c r="CK459" s="3061"/>
      <c r="CL459" s="3061"/>
      <c r="CM459" s="3061"/>
      <c r="CN459" s="3061"/>
      <c r="CO459" s="3061"/>
      <c r="CP459" s="3061"/>
      <c r="CQ459" s="3061"/>
      <c r="CR459" s="3061"/>
      <c r="CS459" s="3062"/>
      <c r="CT459" s="3063"/>
      <c r="CU459" s="3064">
        <f t="shared" si="120"/>
        <v>1</v>
      </c>
      <c r="CV459" s="3022" t="str">
        <f>IF(OR(CT459="",CT459="None"),"-",DO459*CU459*SUMIF('Lighting Assumptions'!$G$3:$G$112,'6a - Lighting Counts'!G459,'Lighting Assumptions'!$J$3:$J$112))</f>
        <v>-</v>
      </c>
      <c r="CW459" s="3021"/>
      <c r="CX459" s="3021"/>
      <c r="CY459" s="3046"/>
      <c r="CZ459" s="2098">
        <f t="shared" si="121"/>
        <v>0</v>
      </c>
      <c r="DA459" s="2098" t="str">
        <f t="shared" si="122"/>
        <v>-</v>
      </c>
      <c r="DB459" s="2098">
        <f t="shared" si="123"/>
        <v>0</v>
      </c>
      <c r="DC459" s="3023" t="str">
        <f t="shared" si="124"/>
        <v>-</v>
      </c>
      <c r="DD459" s="3024" t="str">
        <f t="shared" si="125"/>
        <v/>
      </c>
      <c r="DE459" s="3025" t="str">
        <f t="shared" si="126"/>
        <v>-</v>
      </c>
      <c r="DF459" s="3024" t="str">
        <f t="shared" si="117"/>
        <v>-</v>
      </c>
      <c r="DG459" s="2098">
        <f t="shared" si="127"/>
        <v>0</v>
      </c>
      <c r="DH459" s="2098">
        <f t="array" ref="DH459">MIN(SUMPRODUCT(I459:CR459,IF($I$25:$CR$25="yes",1,0),$I$23:$CR$23),H459)</f>
        <v>0</v>
      </c>
      <c r="DI459" s="3026"/>
      <c r="DJ459" s="3021"/>
      <c r="DN459" s="917" t="str">
        <f>IF(CS459="","-",SUMIF('Lighting Assumptions'!$G$3:$G$112,'6a - Lighting Counts'!G459,'Lighting Assumptions'!$J$3:$J$112))</f>
        <v>-</v>
      </c>
      <c r="DO459" s="917" t="str">
        <f t="shared" si="118"/>
        <v>-</v>
      </c>
      <c r="DP459" s="917" t="str">
        <f t="shared" si="119"/>
        <v>-</v>
      </c>
      <c r="DQ459" s="917" t="str">
        <f>IF(LEFT(CELLformula(DF459),3)&lt;&gt;"=IF",1,"")</f>
        <v/>
      </c>
      <c r="DR459" s="917" t="str">
        <f>IF(LEFT(CELLformula(DD459),3)&lt;&gt;"=IF",1,"")</f>
        <v/>
      </c>
      <c r="DS459" s="3048">
        <f t="shared" si="128"/>
        <v>0</v>
      </c>
      <c r="DT459" s="3047" t="str">
        <f t="shared" si="129"/>
        <v/>
      </c>
      <c r="DU459" s="3047" t="str">
        <f>IFERROR(IF(G459="","",SUMIF('Lighting Assumptions'!$G$3:$G$112,'6a - Lighting Counts'!G459,'Lighting Assumptions'!$H$3:$H$112)*IF(SI_IP_Units="SI",10.76,1)),"")</f>
        <v/>
      </c>
      <c r="DV459" s="3047" t="str">
        <f>IFERROR(IF($CX459="","",IF(SI_IP_Units="SI",10.76,1)*SUMIF(BAMCategories,$CY459,'Lighting Assumptions'!$E$3:E$35)),"")</f>
        <v/>
      </c>
      <c r="DW459" s="3047" t="str">
        <f>IFERROR(IF($CX459="","",IF(SI_IP_Units="SI",10.76,1)*SUMIF(BAMCategories,$CY459,IF(bpf_reference="ACP",'Lighting Assumptions 90.1-2010'!$E$3:E$35,'Lighting Assumptions 90.1-2016'!$E$3:E$35))),"")</f>
        <v/>
      </c>
      <c r="EW459" s="855"/>
      <c r="EX459" s="855"/>
      <c r="EY459" s="855"/>
      <c r="EZ459" s="855"/>
    </row>
    <row r="460" spans="4:156" x14ac:dyDescent="0.25">
      <c r="D460" s="3029"/>
      <c r="E460" s="3028"/>
      <c r="F460" s="3021">
        <f t="shared" si="116"/>
        <v>0</v>
      </c>
      <c r="G460" s="3059"/>
      <c r="H460" s="3060"/>
      <c r="I460" s="3061"/>
      <c r="J460" s="3061"/>
      <c r="K460" s="3061"/>
      <c r="L460" s="3061"/>
      <c r="M460" s="3061"/>
      <c r="N460" s="3061"/>
      <c r="O460" s="3061"/>
      <c r="P460" s="3061"/>
      <c r="Q460" s="3061"/>
      <c r="R460" s="3061"/>
      <c r="S460" s="3061"/>
      <c r="T460" s="3061"/>
      <c r="U460" s="3061"/>
      <c r="V460" s="3061"/>
      <c r="W460" s="3061"/>
      <c r="X460" s="3061"/>
      <c r="Y460" s="3061"/>
      <c r="Z460" s="3061"/>
      <c r="AA460" s="3061"/>
      <c r="AB460" s="3061"/>
      <c r="AC460" s="3061"/>
      <c r="AD460" s="3061"/>
      <c r="AE460" s="3061"/>
      <c r="AF460" s="3061"/>
      <c r="AG460" s="3061"/>
      <c r="AH460" s="3061"/>
      <c r="AI460" s="3061"/>
      <c r="AJ460" s="3061"/>
      <c r="AK460" s="3061"/>
      <c r="AL460" s="3061"/>
      <c r="AM460" s="3061"/>
      <c r="AN460" s="3061"/>
      <c r="AO460" s="3061"/>
      <c r="AP460" s="3061"/>
      <c r="AQ460" s="3061"/>
      <c r="AR460" s="3061"/>
      <c r="AS460" s="3061"/>
      <c r="AT460" s="3061"/>
      <c r="AU460" s="3061"/>
      <c r="AV460" s="3061"/>
      <c r="AW460" s="3061"/>
      <c r="AX460" s="3061"/>
      <c r="AY460" s="3061"/>
      <c r="AZ460" s="3061"/>
      <c r="BA460" s="3061"/>
      <c r="BB460" s="3061"/>
      <c r="BC460" s="3061"/>
      <c r="BD460" s="3061"/>
      <c r="BE460" s="3061"/>
      <c r="BF460" s="3061"/>
      <c r="BG460" s="3061"/>
      <c r="BH460" s="3061"/>
      <c r="BI460" s="3061"/>
      <c r="BJ460" s="3061"/>
      <c r="BK460" s="3061"/>
      <c r="BL460" s="3061"/>
      <c r="BM460" s="3061"/>
      <c r="BN460" s="3061"/>
      <c r="BO460" s="3061"/>
      <c r="BP460" s="3061"/>
      <c r="BQ460" s="3061"/>
      <c r="BR460" s="3061"/>
      <c r="BS460" s="3061"/>
      <c r="BT460" s="3061"/>
      <c r="BU460" s="3061"/>
      <c r="BV460" s="3061"/>
      <c r="BW460" s="3061"/>
      <c r="BX460" s="3061"/>
      <c r="BY460" s="3061"/>
      <c r="BZ460" s="3061"/>
      <c r="CA460" s="3061"/>
      <c r="CB460" s="3061"/>
      <c r="CC460" s="3061"/>
      <c r="CD460" s="3061"/>
      <c r="CE460" s="3061"/>
      <c r="CF460" s="3061"/>
      <c r="CG460" s="3061"/>
      <c r="CH460" s="3061"/>
      <c r="CI460" s="3061"/>
      <c r="CJ460" s="3061"/>
      <c r="CK460" s="3061"/>
      <c r="CL460" s="3061"/>
      <c r="CM460" s="3061"/>
      <c r="CN460" s="3061"/>
      <c r="CO460" s="3061"/>
      <c r="CP460" s="3061"/>
      <c r="CQ460" s="3061"/>
      <c r="CR460" s="3061"/>
      <c r="CS460" s="3062"/>
      <c r="CT460" s="3063"/>
      <c r="CU460" s="3064">
        <f t="shared" si="120"/>
        <v>1</v>
      </c>
      <c r="CV460" s="3022" t="str">
        <f>IF(OR(CT460="",CT460="None"),"-",DO460*CU460*SUMIF('Lighting Assumptions'!$G$3:$G$112,'6a - Lighting Counts'!G460,'Lighting Assumptions'!$J$3:$J$112))</f>
        <v>-</v>
      </c>
      <c r="CW460" s="3021"/>
      <c r="CX460" s="3021"/>
      <c r="CY460" s="3046"/>
      <c r="CZ460" s="2098">
        <f t="shared" si="121"/>
        <v>0</v>
      </c>
      <c r="DA460" s="2098" t="str">
        <f t="shared" si="122"/>
        <v>-</v>
      </c>
      <c r="DB460" s="2098">
        <f t="shared" si="123"/>
        <v>0</v>
      </c>
      <c r="DC460" s="3023" t="str">
        <f t="shared" si="124"/>
        <v>-</v>
      </c>
      <c r="DD460" s="3024" t="str">
        <f t="shared" si="125"/>
        <v/>
      </c>
      <c r="DE460" s="3025" t="str">
        <f t="shared" si="126"/>
        <v>-</v>
      </c>
      <c r="DF460" s="3024" t="str">
        <f t="shared" si="117"/>
        <v>-</v>
      </c>
      <c r="DG460" s="2098">
        <f t="shared" si="127"/>
        <v>0</v>
      </c>
      <c r="DH460" s="2098">
        <f t="array" ref="DH460">MIN(SUMPRODUCT(I460:CR460,IF($I$25:$CR$25="yes",1,0),$I$23:$CR$23),H460)</f>
        <v>0</v>
      </c>
      <c r="DI460" s="3026"/>
      <c r="DJ460" s="3021"/>
      <c r="DN460" s="917" t="str">
        <f>IF(CS460="","-",SUMIF('Lighting Assumptions'!$G$3:$G$112,'6a - Lighting Counts'!G460,'Lighting Assumptions'!$J$3:$J$112))</f>
        <v>-</v>
      </c>
      <c r="DO460" s="917" t="str">
        <f t="shared" si="118"/>
        <v>-</v>
      </c>
      <c r="DP460" s="917" t="str">
        <f t="shared" si="119"/>
        <v>-</v>
      </c>
      <c r="DQ460" s="917" t="str">
        <f>IF(LEFT(CELLformula(DF460),3)&lt;&gt;"=IF",1,"")</f>
        <v/>
      </c>
      <c r="DR460" s="917" t="str">
        <f>IF(LEFT(CELLformula(DD460),3)&lt;&gt;"=IF",1,"")</f>
        <v/>
      </c>
      <c r="DS460" s="3048">
        <f t="shared" si="128"/>
        <v>0</v>
      </c>
      <c r="DT460" s="3047" t="str">
        <f t="shared" si="129"/>
        <v/>
      </c>
      <c r="DU460" s="3047" t="str">
        <f>IFERROR(IF(G460="","",SUMIF('Lighting Assumptions'!$G$3:$G$112,'6a - Lighting Counts'!G460,'Lighting Assumptions'!$H$3:$H$112)*IF(SI_IP_Units="SI",10.76,1)),"")</f>
        <v/>
      </c>
      <c r="DV460" s="3047" t="str">
        <f>IFERROR(IF($CX460="","",IF(SI_IP_Units="SI",10.76,1)*SUMIF(BAMCategories,$CY460,'Lighting Assumptions'!$E$3:E$35)),"")</f>
        <v/>
      </c>
      <c r="DW460" s="3047" t="str">
        <f>IFERROR(IF($CX460="","",IF(SI_IP_Units="SI",10.76,1)*SUMIF(BAMCategories,$CY460,IF(bpf_reference="ACP",'Lighting Assumptions 90.1-2010'!$E$3:E$35,'Lighting Assumptions 90.1-2016'!$E$3:E$35))),"")</f>
        <v/>
      </c>
      <c r="EW460" s="855"/>
      <c r="EX460" s="855"/>
      <c r="EY460" s="855"/>
      <c r="EZ460" s="855"/>
    </row>
    <row r="461" spans="4:156" x14ac:dyDescent="0.25">
      <c r="D461" s="3029"/>
      <c r="E461" s="3028"/>
      <c r="F461" s="3021">
        <f t="shared" si="116"/>
        <v>0</v>
      </c>
      <c r="G461" s="3059"/>
      <c r="H461" s="3060"/>
      <c r="I461" s="3061"/>
      <c r="J461" s="3061"/>
      <c r="K461" s="3061"/>
      <c r="L461" s="3061"/>
      <c r="M461" s="3061"/>
      <c r="N461" s="3061"/>
      <c r="O461" s="3061"/>
      <c r="P461" s="3061"/>
      <c r="Q461" s="3061"/>
      <c r="R461" s="3061"/>
      <c r="S461" s="3061"/>
      <c r="T461" s="3061"/>
      <c r="U461" s="3061"/>
      <c r="V461" s="3061"/>
      <c r="W461" s="3061"/>
      <c r="X461" s="3061"/>
      <c r="Y461" s="3061"/>
      <c r="Z461" s="3061"/>
      <c r="AA461" s="3061"/>
      <c r="AB461" s="3061"/>
      <c r="AC461" s="3061"/>
      <c r="AD461" s="3061"/>
      <c r="AE461" s="3061"/>
      <c r="AF461" s="3061"/>
      <c r="AG461" s="3061"/>
      <c r="AH461" s="3061"/>
      <c r="AI461" s="3061"/>
      <c r="AJ461" s="3061"/>
      <c r="AK461" s="3061"/>
      <c r="AL461" s="3061"/>
      <c r="AM461" s="3061"/>
      <c r="AN461" s="3061"/>
      <c r="AO461" s="3061"/>
      <c r="AP461" s="3061"/>
      <c r="AQ461" s="3061"/>
      <c r="AR461" s="3061"/>
      <c r="AS461" s="3061"/>
      <c r="AT461" s="3061"/>
      <c r="AU461" s="3061"/>
      <c r="AV461" s="3061"/>
      <c r="AW461" s="3061"/>
      <c r="AX461" s="3061"/>
      <c r="AY461" s="3061"/>
      <c r="AZ461" s="3061"/>
      <c r="BA461" s="3061"/>
      <c r="BB461" s="3061"/>
      <c r="BC461" s="3061"/>
      <c r="BD461" s="3061"/>
      <c r="BE461" s="3061"/>
      <c r="BF461" s="3061"/>
      <c r="BG461" s="3061"/>
      <c r="BH461" s="3061"/>
      <c r="BI461" s="3061"/>
      <c r="BJ461" s="3061"/>
      <c r="BK461" s="3061"/>
      <c r="BL461" s="3061"/>
      <c r="BM461" s="3061"/>
      <c r="BN461" s="3061"/>
      <c r="BO461" s="3061"/>
      <c r="BP461" s="3061"/>
      <c r="BQ461" s="3061"/>
      <c r="BR461" s="3061"/>
      <c r="BS461" s="3061"/>
      <c r="BT461" s="3061"/>
      <c r="BU461" s="3061"/>
      <c r="BV461" s="3061"/>
      <c r="BW461" s="3061"/>
      <c r="BX461" s="3061"/>
      <c r="BY461" s="3061"/>
      <c r="BZ461" s="3061"/>
      <c r="CA461" s="3061"/>
      <c r="CB461" s="3061"/>
      <c r="CC461" s="3061"/>
      <c r="CD461" s="3061"/>
      <c r="CE461" s="3061"/>
      <c r="CF461" s="3061"/>
      <c r="CG461" s="3061"/>
      <c r="CH461" s="3061"/>
      <c r="CI461" s="3061"/>
      <c r="CJ461" s="3061"/>
      <c r="CK461" s="3061"/>
      <c r="CL461" s="3061"/>
      <c r="CM461" s="3061"/>
      <c r="CN461" s="3061"/>
      <c r="CO461" s="3061"/>
      <c r="CP461" s="3061"/>
      <c r="CQ461" s="3061"/>
      <c r="CR461" s="3061"/>
      <c r="CS461" s="3062"/>
      <c r="CT461" s="3063"/>
      <c r="CU461" s="3064">
        <f t="shared" si="120"/>
        <v>1</v>
      </c>
      <c r="CV461" s="3022" t="str">
        <f>IF(OR(CT461="",CT461="None"),"-",DO461*CU461*SUMIF('Lighting Assumptions'!$G$3:$G$112,'6a - Lighting Counts'!G461,'Lighting Assumptions'!$J$3:$J$112))</f>
        <v>-</v>
      </c>
      <c r="CW461" s="3021"/>
      <c r="CX461" s="3021"/>
      <c r="CY461" s="3046"/>
      <c r="CZ461" s="2098">
        <f t="shared" si="121"/>
        <v>0</v>
      </c>
      <c r="DA461" s="2098" t="str">
        <f t="shared" si="122"/>
        <v>-</v>
      </c>
      <c r="DB461" s="2098">
        <f t="shared" si="123"/>
        <v>0</v>
      </c>
      <c r="DC461" s="3023" t="str">
        <f t="shared" si="124"/>
        <v>-</v>
      </c>
      <c r="DD461" s="3024" t="str">
        <f t="shared" si="125"/>
        <v/>
      </c>
      <c r="DE461" s="3025" t="str">
        <f t="shared" si="126"/>
        <v>-</v>
      </c>
      <c r="DF461" s="3024" t="str">
        <f t="shared" si="117"/>
        <v>-</v>
      </c>
      <c r="DG461" s="2098">
        <f t="shared" si="127"/>
        <v>0</v>
      </c>
      <c r="DH461" s="2098">
        <f t="array" ref="DH461">MIN(SUMPRODUCT(I461:CR461,IF($I$25:$CR$25="yes",1,0),$I$23:$CR$23),H461)</f>
        <v>0</v>
      </c>
      <c r="DI461" s="3026"/>
      <c r="DJ461" s="3021"/>
      <c r="DN461" s="917" t="str">
        <f>IF(CS461="","-",SUMIF('Lighting Assumptions'!$G$3:$G$112,'6a - Lighting Counts'!G461,'Lighting Assumptions'!$J$3:$J$112))</f>
        <v>-</v>
      </c>
      <c r="DO461" s="917" t="str">
        <f t="shared" si="118"/>
        <v>-</v>
      </c>
      <c r="DP461" s="917" t="str">
        <f t="shared" si="119"/>
        <v>-</v>
      </c>
      <c r="DQ461" s="917" t="str">
        <f>IF(LEFT(CELLformula(DF461),3)&lt;&gt;"=IF",1,"")</f>
        <v/>
      </c>
      <c r="DR461" s="917" t="str">
        <f>IF(LEFT(CELLformula(DD461),3)&lt;&gt;"=IF",1,"")</f>
        <v/>
      </c>
      <c r="DS461" s="3048">
        <f t="shared" si="128"/>
        <v>0</v>
      </c>
      <c r="DT461" s="3047" t="str">
        <f t="shared" si="129"/>
        <v/>
      </c>
      <c r="DU461" s="3047" t="str">
        <f>IFERROR(IF(G461="","",SUMIF('Lighting Assumptions'!$G$3:$G$112,'6a - Lighting Counts'!G461,'Lighting Assumptions'!$H$3:$H$112)*IF(SI_IP_Units="SI",10.76,1)),"")</f>
        <v/>
      </c>
      <c r="DV461" s="3047" t="str">
        <f>IFERROR(IF($CX461="","",IF(SI_IP_Units="SI",10.76,1)*SUMIF(BAMCategories,$CY461,'Lighting Assumptions'!$E$3:E$35)),"")</f>
        <v/>
      </c>
      <c r="DW461" s="3047" t="str">
        <f>IFERROR(IF($CX461="","",IF(SI_IP_Units="SI",10.76,1)*SUMIF(BAMCategories,$CY461,IF(bpf_reference="ACP",'Lighting Assumptions 90.1-2010'!$E$3:E$35,'Lighting Assumptions 90.1-2016'!$E$3:E$35))),"")</f>
        <v/>
      </c>
      <c r="EW461" s="855"/>
      <c r="EX461" s="855"/>
      <c r="EY461" s="855"/>
      <c r="EZ461" s="855"/>
    </row>
    <row r="462" spans="4:156" x14ac:dyDescent="0.25">
      <c r="D462" s="3029"/>
      <c r="E462" s="3028"/>
      <c r="F462" s="3021">
        <f t="shared" si="116"/>
        <v>0</v>
      </c>
      <c r="G462" s="3059"/>
      <c r="H462" s="3060"/>
      <c r="I462" s="3061"/>
      <c r="J462" s="3061"/>
      <c r="K462" s="3061"/>
      <c r="L462" s="3061"/>
      <c r="M462" s="3061"/>
      <c r="N462" s="3061"/>
      <c r="O462" s="3061"/>
      <c r="P462" s="3061"/>
      <c r="Q462" s="3061"/>
      <c r="R462" s="3061"/>
      <c r="S462" s="3061"/>
      <c r="T462" s="3061"/>
      <c r="U462" s="3061"/>
      <c r="V462" s="3061"/>
      <c r="W462" s="3061"/>
      <c r="X462" s="3061"/>
      <c r="Y462" s="3061"/>
      <c r="Z462" s="3061"/>
      <c r="AA462" s="3061"/>
      <c r="AB462" s="3061"/>
      <c r="AC462" s="3061"/>
      <c r="AD462" s="3061"/>
      <c r="AE462" s="3061"/>
      <c r="AF462" s="3061"/>
      <c r="AG462" s="3061"/>
      <c r="AH462" s="3061"/>
      <c r="AI462" s="3061"/>
      <c r="AJ462" s="3061"/>
      <c r="AK462" s="3061"/>
      <c r="AL462" s="3061"/>
      <c r="AM462" s="3061"/>
      <c r="AN462" s="3061"/>
      <c r="AO462" s="3061"/>
      <c r="AP462" s="3061"/>
      <c r="AQ462" s="3061"/>
      <c r="AR462" s="3061"/>
      <c r="AS462" s="3061"/>
      <c r="AT462" s="3061"/>
      <c r="AU462" s="3061"/>
      <c r="AV462" s="3061"/>
      <c r="AW462" s="3061"/>
      <c r="AX462" s="3061"/>
      <c r="AY462" s="3061"/>
      <c r="AZ462" s="3061"/>
      <c r="BA462" s="3061"/>
      <c r="BB462" s="3061"/>
      <c r="BC462" s="3061"/>
      <c r="BD462" s="3061"/>
      <c r="BE462" s="3061"/>
      <c r="BF462" s="3061"/>
      <c r="BG462" s="3061"/>
      <c r="BH462" s="3061"/>
      <c r="BI462" s="3061"/>
      <c r="BJ462" s="3061"/>
      <c r="BK462" s="3061"/>
      <c r="BL462" s="3061"/>
      <c r="BM462" s="3061"/>
      <c r="BN462" s="3061"/>
      <c r="BO462" s="3061"/>
      <c r="BP462" s="3061"/>
      <c r="BQ462" s="3061"/>
      <c r="BR462" s="3061"/>
      <c r="BS462" s="3061"/>
      <c r="BT462" s="3061"/>
      <c r="BU462" s="3061"/>
      <c r="BV462" s="3061"/>
      <c r="BW462" s="3061"/>
      <c r="BX462" s="3061"/>
      <c r="BY462" s="3061"/>
      <c r="BZ462" s="3061"/>
      <c r="CA462" s="3061"/>
      <c r="CB462" s="3061"/>
      <c r="CC462" s="3061"/>
      <c r="CD462" s="3061"/>
      <c r="CE462" s="3061"/>
      <c r="CF462" s="3061"/>
      <c r="CG462" s="3061"/>
      <c r="CH462" s="3061"/>
      <c r="CI462" s="3061"/>
      <c r="CJ462" s="3061"/>
      <c r="CK462" s="3061"/>
      <c r="CL462" s="3061"/>
      <c r="CM462" s="3061"/>
      <c r="CN462" s="3061"/>
      <c r="CO462" s="3061"/>
      <c r="CP462" s="3061"/>
      <c r="CQ462" s="3061"/>
      <c r="CR462" s="3061"/>
      <c r="CS462" s="3062"/>
      <c r="CT462" s="3063"/>
      <c r="CU462" s="3064">
        <f t="shared" si="120"/>
        <v>1</v>
      </c>
      <c r="CV462" s="3022" t="str">
        <f>IF(OR(CT462="",CT462="None"),"-",DO462*CU462*SUMIF('Lighting Assumptions'!$G$3:$G$112,'6a - Lighting Counts'!G462,'Lighting Assumptions'!$J$3:$J$112))</f>
        <v>-</v>
      </c>
      <c r="CW462" s="3021"/>
      <c r="CX462" s="3021"/>
      <c r="CY462" s="3046"/>
      <c r="CZ462" s="2098">
        <f t="shared" si="121"/>
        <v>0</v>
      </c>
      <c r="DA462" s="2098" t="str">
        <f t="shared" si="122"/>
        <v>-</v>
      </c>
      <c r="DB462" s="2098">
        <f t="shared" si="123"/>
        <v>0</v>
      </c>
      <c r="DC462" s="3023" t="str">
        <f t="shared" si="124"/>
        <v>-</v>
      </c>
      <c r="DD462" s="3024" t="str">
        <f t="shared" si="125"/>
        <v/>
      </c>
      <c r="DE462" s="3025" t="str">
        <f t="shared" si="126"/>
        <v>-</v>
      </c>
      <c r="DF462" s="3024" t="str">
        <f t="shared" si="117"/>
        <v>-</v>
      </c>
      <c r="DG462" s="2098">
        <f t="shared" si="127"/>
        <v>0</v>
      </c>
      <c r="DH462" s="2098">
        <f t="array" ref="DH462">MIN(SUMPRODUCT(I462:CR462,IF($I$25:$CR$25="yes",1,0),$I$23:$CR$23),H462)</f>
        <v>0</v>
      </c>
      <c r="DI462" s="3026"/>
      <c r="DJ462" s="3021"/>
      <c r="DN462" s="917" t="str">
        <f>IF(CS462="","-",SUMIF('Lighting Assumptions'!$G$3:$G$112,'6a - Lighting Counts'!G462,'Lighting Assumptions'!$J$3:$J$112))</f>
        <v>-</v>
      </c>
      <c r="DO462" s="917" t="str">
        <f t="shared" si="118"/>
        <v>-</v>
      </c>
      <c r="DP462" s="917" t="str">
        <f t="shared" si="119"/>
        <v>-</v>
      </c>
      <c r="DQ462" s="917" t="str">
        <f>IF(LEFT(CELLformula(DF462),3)&lt;&gt;"=IF",1,"")</f>
        <v/>
      </c>
      <c r="DR462" s="917" t="str">
        <f>IF(LEFT(CELLformula(DD462),3)&lt;&gt;"=IF",1,"")</f>
        <v/>
      </c>
      <c r="DS462" s="3048">
        <f t="shared" si="128"/>
        <v>0</v>
      </c>
      <c r="DT462" s="3047" t="str">
        <f t="shared" si="129"/>
        <v/>
      </c>
      <c r="DU462" s="3047" t="str">
        <f>IFERROR(IF(G462="","",SUMIF('Lighting Assumptions'!$G$3:$G$112,'6a - Lighting Counts'!G462,'Lighting Assumptions'!$H$3:$H$112)*IF(SI_IP_Units="SI",10.76,1)),"")</f>
        <v/>
      </c>
      <c r="DV462" s="3047" t="str">
        <f>IFERROR(IF($CX462="","",IF(SI_IP_Units="SI",10.76,1)*SUMIF(BAMCategories,$CY462,'Lighting Assumptions'!$E$3:E$35)),"")</f>
        <v/>
      </c>
      <c r="DW462" s="3047" t="str">
        <f>IFERROR(IF($CX462="","",IF(SI_IP_Units="SI",10.76,1)*SUMIF(BAMCategories,$CY462,IF(bpf_reference="ACP",'Lighting Assumptions 90.1-2010'!$E$3:E$35,'Lighting Assumptions 90.1-2016'!$E$3:E$35))),"")</f>
        <v/>
      </c>
      <c r="EW462" s="855"/>
      <c r="EX462" s="855"/>
      <c r="EY462" s="855"/>
      <c r="EZ462" s="855"/>
    </row>
    <row r="463" spans="4:156" x14ac:dyDescent="0.25">
      <c r="D463" s="3029"/>
      <c r="E463" s="3028"/>
      <c r="F463" s="3021">
        <f t="shared" si="116"/>
        <v>0</v>
      </c>
      <c r="G463" s="3059"/>
      <c r="H463" s="3060"/>
      <c r="I463" s="3061"/>
      <c r="J463" s="3061"/>
      <c r="K463" s="3061"/>
      <c r="L463" s="3061"/>
      <c r="M463" s="3061"/>
      <c r="N463" s="3061"/>
      <c r="O463" s="3061"/>
      <c r="P463" s="3061"/>
      <c r="Q463" s="3061"/>
      <c r="R463" s="3061"/>
      <c r="S463" s="3061"/>
      <c r="T463" s="3061"/>
      <c r="U463" s="3061"/>
      <c r="V463" s="3061"/>
      <c r="W463" s="3061"/>
      <c r="X463" s="3061"/>
      <c r="Y463" s="3061"/>
      <c r="Z463" s="3061"/>
      <c r="AA463" s="3061"/>
      <c r="AB463" s="3061"/>
      <c r="AC463" s="3061"/>
      <c r="AD463" s="3061"/>
      <c r="AE463" s="3061"/>
      <c r="AF463" s="3061"/>
      <c r="AG463" s="3061"/>
      <c r="AH463" s="3061"/>
      <c r="AI463" s="3061"/>
      <c r="AJ463" s="3061"/>
      <c r="AK463" s="3061"/>
      <c r="AL463" s="3061"/>
      <c r="AM463" s="3061"/>
      <c r="AN463" s="3061"/>
      <c r="AO463" s="3061"/>
      <c r="AP463" s="3061"/>
      <c r="AQ463" s="3061"/>
      <c r="AR463" s="3061"/>
      <c r="AS463" s="3061"/>
      <c r="AT463" s="3061"/>
      <c r="AU463" s="3061"/>
      <c r="AV463" s="3061"/>
      <c r="AW463" s="3061"/>
      <c r="AX463" s="3061"/>
      <c r="AY463" s="3061"/>
      <c r="AZ463" s="3061"/>
      <c r="BA463" s="3061"/>
      <c r="BB463" s="3061"/>
      <c r="BC463" s="3061"/>
      <c r="BD463" s="3061"/>
      <c r="BE463" s="3061"/>
      <c r="BF463" s="3061"/>
      <c r="BG463" s="3061"/>
      <c r="BH463" s="3061"/>
      <c r="BI463" s="3061"/>
      <c r="BJ463" s="3061"/>
      <c r="BK463" s="3061"/>
      <c r="BL463" s="3061"/>
      <c r="BM463" s="3061"/>
      <c r="BN463" s="3061"/>
      <c r="BO463" s="3061"/>
      <c r="BP463" s="3061"/>
      <c r="BQ463" s="3061"/>
      <c r="BR463" s="3061"/>
      <c r="BS463" s="3061"/>
      <c r="BT463" s="3061"/>
      <c r="BU463" s="3061"/>
      <c r="BV463" s="3061"/>
      <c r="BW463" s="3061"/>
      <c r="BX463" s="3061"/>
      <c r="BY463" s="3061"/>
      <c r="BZ463" s="3061"/>
      <c r="CA463" s="3061"/>
      <c r="CB463" s="3061"/>
      <c r="CC463" s="3061"/>
      <c r="CD463" s="3061"/>
      <c r="CE463" s="3061"/>
      <c r="CF463" s="3061"/>
      <c r="CG463" s="3061"/>
      <c r="CH463" s="3061"/>
      <c r="CI463" s="3061"/>
      <c r="CJ463" s="3061"/>
      <c r="CK463" s="3061"/>
      <c r="CL463" s="3061"/>
      <c r="CM463" s="3061"/>
      <c r="CN463" s="3061"/>
      <c r="CO463" s="3061"/>
      <c r="CP463" s="3061"/>
      <c r="CQ463" s="3061"/>
      <c r="CR463" s="3061"/>
      <c r="CS463" s="3062"/>
      <c r="CT463" s="3063"/>
      <c r="CU463" s="3064">
        <f t="shared" si="120"/>
        <v>1</v>
      </c>
      <c r="CV463" s="3022" t="str">
        <f>IF(OR(CT463="",CT463="None"),"-",DO463*CU463*SUMIF('Lighting Assumptions'!$G$3:$G$112,'6a - Lighting Counts'!G463,'Lighting Assumptions'!$J$3:$J$112))</f>
        <v>-</v>
      </c>
      <c r="CW463" s="3021"/>
      <c r="CX463" s="3021"/>
      <c r="CY463" s="3046"/>
      <c r="CZ463" s="2098">
        <f t="shared" si="121"/>
        <v>0</v>
      </c>
      <c r="DA463" s="2098" t="str">
        <f t="shared" si="122"/>
        <v>-</v>
      </c>
      <c r="DB463" s="2098">
        <f t="shared" si="123"/>
        <v>0</v>
      </c>
      <c r="DC463" s="3023" t="str">
        <f t="shared" si="124"/>
        <v>-</v>
      </c>
      <c r="DD463" s="3024" t="str">
        <f t="shared" si="125"/>
        <v/>
      </c>
      <c r="DE463" s="3025" t="str">
        <f t="shared" si="126"/>
        <v>-</v>
      </c>
      <c r="DF463" s="3024" t="str">
        <f t="shared" si="117"/>
        <v>-</v>
      </c>
      <c r="DG463" s="2098">
        <f t="shared" si="127"/>
        <v>0</v>
      </c>
      <c r="DH463" s="2098">
        <f t="array" ref="DH463">MIN(SUMPRODUCT(I463:CR463,IF($I$25:$CR$25="yes",1,0),$I$23:$CR$23),H463)</f>
        <v>0</v>
      </c>
      <c r="DI463" s="3026"/>
      <c r="DJ463" s="3021"/>
      <c r="DN463" s="917" t="str">
        <f>IF(CS463="","-",SUMIF('Lighting Assumptions'!$G$3:$G$112,'6a - Lighting Counts'!G463,'Lighting Assumptions'!$J$3:$J$112))</f>
        <v>-</v>
      </c>
      <c r="DO463" s="917" t="str">
        <f t="shared" si="118"/>
        <v>-</v>
      </c>
      <c r="DP463" s="917" t="str">
        <f t="shared" si="119"/>
        <v>-</v>
      </c>
      <c r="DQ463" s="917" t="str">
        <f>IF(LEFT(CELLformula(DF463),3)&lt;&gt;"=IF",1,"")</f>
        <v/>
      </c>
      <c r="DR463" s="917" t="str">
        <f>IF(LEFT(CELLformula(DD463),3)&lt;&gt;"=IF",1,"")</f>
        <v/>
      </c>
      <c r="DS463" s="3048">
        <f t="shared" si="128"/>
        <v>0</v>
      </c>
      <c r="DT463" s="3047" t="str">
        <f t="shared" si="129"/>
        <v/>
      </c>
      <c r="DU463" s="3047" t="str">
        <f>IFERROR(IF(G463="","",SUMIF('Lighting Assumptions'!$G$3:$G$112,'6a - Lighting Counts'!G463,'Lighting Assumptions'!$H$3:$H$112)*IF(SI_IP_Units="SI",10.76,1)),"")</f>
        <v/>
      </c>
      <c r="DV463" s="3047" t="str">
        <f>IFERROR(IF($CX463="","",IF(SI_IP_Units="SI",10.76,1)*SUMIF(BAMCategories,$CY463,'Lighting Assumptions'!$E$3:E$35)),"")</f>
        <v/>
      </c>
      <c r="DW463" s="3047" t="str">
        <f>IFERROR(IF($CX463="","",IF(SI_IP_Units="SI",10.76,1)*SUMIF(BAMCategories,$CY463,IF(bpf_reference="ACP",'Lighting Assumptions 90.1-2010'!$E$3:E$35,'Lighting Assumptions 90.1-2016'!$E$3:E$35))),"")</f>
        <v/>
      </c>
      <c r="EW463" s="855"/>
      <c r="EX463" s="855"/>
      <c r="EY463" s="855"/>
      <c r="EZ463" s="855"/>
    </row>
    <row r="464" spans="4:156" x14ac:dyDescent="0.25">
      <c r="D464" s="3029"/>
      <c r="E464" s="3028"/>
      <c r="F464" s="3021">
        <f t="shared" si="116"/>
        <v>0</v>
      </c>
      <c r="G464" s="3059"/>
      <c r="H464" s="3060"/>
      <c r="I464" s="3061"/>
      <c r="J464" s="3061"/>
      <c r="K464" s="3061"/>
      <c r="L464" s="3061"/>
      <c r="M464" s="3061"/>
      <c r="N464" s="3061"/>
      <c r="O464" s="3061"/>
      <c r="P464" s="3061"/>
      <c r="Q464" s="3061"/>
      <c r="R464" s="3061"/>
      <c r="S464" s="3061"/>
      <c r="T464" s="3061"/>
      <c r="U464" s="3061"/>
      <c r="V464" s="3061"/>
      <c r="W464" s="3061"/>
      <c r="X464" s="3061"/>
      <c r="Y464" s="3061"/>
      <c r="Z464" s="3061"/>
      <c r="AA464" s="3061"/>
      <c r="AB464" s="3061"/>
      <c r="AC464" s="3061"/>
      <c r="AD464" s="3061"/>
      <c r="AE464" s="3061"/>
      <c r="AF464" s="3061"/>
      <c r="AG464" s="3061"/>
      <c r="AH464" s="3061"/>
      <c r="AI464" s="3061"/>
      <c r="AJ464" s="3061"/>
      <c r="AK464" s="3061"/>
      <c r="AL464" s="3061"/>
      <c r="AM464" s="3061"/>
      <c r="AN464" s="3061"/>
      <c r="AO464" s="3061"/>
      <c r="AP464" s="3061"/>
      <c r="AQ464" s="3061"/>
      <c r="AR464" s="3061"/>
      <c r="AS464" s="3061"/>
      <c r="AT464" s="3061"/>
      <c r="AU464" s="3061"/>
      <c r="AV464" s="3061"/>
      <c r="AW464" s="3061"/>
      <c r="AX464" s="3061"/>
      <c r="AY464" s="3061"/>
      <c r="AZ464" s="3061"/>
      <c r="BA464" s="3061"/>
      <c r="BB464" s="3061"/>
      <c r="BC464" s="3061"/>
      <c r="BD464" s="3061"/>
      <c r="BE464" s="3061"/>
      <c r="BF464" s="3061"/>
      <c r="BG464" s="3061"/>
      <c r="BH464" s="3061"/>
      <c r="BI464" s="3061"/>
      <c r="BJ464" s="3061"/>
      <c r="BK464" s="3061"/>
      <c r="BL464" s="3061"/>
      <c r="BM464" s="3061"/>
      <c r="BN464" s="3061"/>
      <c r="BO464" s="3061"/>
      <c r="BP464" s="3061"/>
      <c r="BQ464" s="3061"/>
      <c r="BR464" s="3061"/>
      <c r="BS464" s="3061"/>
      <c r="BT464" s="3061"/>
      <c r="BU464" s="3061"/>
      <c r="BV464" s="3061"/>
      <c r="BW464" s="3061"/>
      <c r="BX464" s="3061"/>
      <c r="BY464" s="3061"/>
      <c r="BZ464" s="3061"/>
      <c r="CA464" s="3061"/>
      <c r="CB464" s="3061"/>
      <c r="CC464" s="3061"/>
      <c r="CD464" s="3061"/>
      <c r="CE464" s="3061"/>
      <c r="CF464" s="3061"/>
      <c r="CG464" s="3061"/>
      <c r="CH464" s="3061"/>
      <c r="CI464" s="3061"/>
      <c r="CJ464" s="3061"/>
      <c r="CK464" s="3061"/>
      <c r="CL464" s="3061"/>
      <c r="CM464" s="3061"/>
      <c r="CN464" s="3061"/>
      <c r="CO464" s="3061"/>
      <c r="CP464" s="3061"/>
      <c r="CQ464" s="3061"/>
      <c r="CR464" s="3061"/>
      <c r="CS464" s="3062"/>
      <c r="CT464" s="3063"/>
      <c r="CU464" s="3064">
        <f t="shared" si="120"/>
        <v>1</v>
      </c>
      <c r="CV464" s="3022" t="str">
        <f>IF(OR(CT464="",CT464="None"),"-",DO464*CU464*SUMIF('Lighting Assumptions'!$G$3:$G$112,'6a - Lighting Counts'!G464,'Lighting Assumptions'!$J$3:$J$112))</f>
        <v>-</v>
      </c>
      <c r="CW464" s="3021"/>
      <c r="CX464" s="3021"/>
      <c r="CY464" s="3046"/>
      <c r="CZ464" s="2098">
        <f t="shared" si="121"/>
        <v>0</v>
      </c>
      <c r="DA464" s="2098" t="str">
        <f t="shared" si="122"/>
        <v>-</v>
      </c>
      <c r="DB464" s="2098">
        <f t="shared" si="123"/>
        <v>0</v>
      </c>
      <c r="DC464" s="3023" t="str">
        <f t="shared" si="124"/>
        <v>-</v>
      </c>
      <c r="DD464" s="3024" t="str">
        <f t="shared" si="125"/>
        <v/>
      </c>
      <c r="DE464" s="3025" t="str">
        <f t="shared" si="126"/>
        <v>-</v>
      </c>
      <c r="DF464" s="3024" t="str">
        <f t="shared" si="117"/>
        <v>-</v>
      </c>
      <c r="DG464" s="2098">
        <f t="shared" si="127"/>
        <v>0</v>
      </c>
      <c r="DH464" s="2098">
        <f t="array" ref="DH464">MIN(SUMPRODUCT(I464:CR464,IF($I$25:$CR$25="yes",1,0),$I$23:$CR$23),H464)</f>
        <v>0</v>
      </c>
      <c r="DI464" s="3026"/>
      <c r="DJ464" s="3021"/>
      <c r="DN464" s="917" t="str">
        <f>IF(CS464="","-",SUMIF('Lighting Assumptions'!$G$3:$G$112,'6a - Lighting Counts'!G464,'Lighting Assumptions'!$J$3:$J$112))</f>
        <v>-</v>
      </c>
      <c r="DO464" s="917" t="str">
        <f t="shared" si="118"/>
        <v>-</v>
      </c>
      <c r="DP464" s="917" t="str">
        <f t="shared" si="119"/>
        <v>-</v>
      </c>
      <c r="DQ464" s="917" t="str">
        <f>IF(LEFT(CELLformula(DF464),3)&lt;&gt;"=IF",1,"")</f>
        <v/>
      </c>
      <c r="DR464" s="917" t="str">
        <f>IF(LEFT(CELLformula(DD464),3)&lt;&gt;"=IF",1,"")</f>
        <v/>
      </c>
      <c r="DS464" s="3048">
        <f t="shared" si="128"/>
        <v>0</v>
      </c>
      <c r="DT464" s="3047" t="str">
        <f t="shared" si="129"/>
        <v/>
      </c>
      <c r="DU464" s="3047" t="str">
        <f>IFERROR(IF(G464="","",SUMIF('Lighting Assumptions'!$G$3:$G$112,'6a - Lighting Counts'!G464,'Lighting Assumptions'!$H$3:$H$112)*IF(SI_IP_Units="SI",10.76,1)),"")</f>
        <v/>
      </c>
      <c r="DV464" s="3047" t="str">
        <f>IFERROR(IF($CX464="","",IF(SI_IP_Units="SI",10.76,1)*SUMIF(BAMCategories,$CY464,'Lighting Assumptions'!$E$3:E$35)),"")</f>
        <v/>
      </c>
      <c r="DW464" s="3047" t="str">
        <f>IFERROR(IF($CX464="","",IF(SI_IP_Units="SI",10.76,1)*SUMIF(BAMCategories,$CY464,IF(bpf_reference="ACP",'Lighting Assumptions 90.1-2010'!$E$3:E$35,'Lighting Assumptions 90.1-2016'!$E$3:E$35))),"")</f>
        <v/>
      </c>
      <c r="EW464" s="855"/>
      <c r="EX464" s="855"/>
      <c r="EY464" s="855"/>
      <c r="EZ464" s="855"/>
    </row>
    <row r="465" spans="4:156" x14ac:dyDescent="0.25">
      <c r="D465" s="3029"/>
      <c r="E465" s="3028"/>
      <c r="F465" s="3021">
        <f t="shared" si="116"/>
        <v>0</v>
      </c>
      <c r="G465" s="3059"/>
      <c r="H465" s="3060"/>
      <c r="I465" s="3061"/>
      <c r="J465" s="3061"/>
      <c r="K465" s="3061"/>
      <c r="L465" s="3061"/>
      <c r="M465" s="3061"/>
      <c r="N465" s="3061"/>
      <c r="O465" s="3061"/>
      <c r="P465" s="3061"/>
      <c r="Q465" s="3061"/>
      <c r="R465" s="3061"/>
      <c r="S465" s="3061"/>
      <c r="T465" s="3061"/>
      <c r="U465" s="3061"/>
      <c r="V465" s="3061"/>
      <c r="W465" s="3061"/>
      <c r="X465" s="3061"/>
      <c r="Y465" s="3061"/>
      <c r="Z465" s="3061"/>
      <c r="AA465" s="3061"/>
      <c r="AB465" s="3061"/>
      <c r="AC465" s="3061"/>
      <c r="AD465" s="3061"/>
      <c r="AE465" s="3061"/>
      <c r="AF465" s="3061"/>
      <c r="AG465" s="3061"/>
      <c r="AH465" s="3061"/>
      <c r="AI465" s="3061"/>
      <c r="AJ465" s="3061"/>
      <c r="AK465" s="3061"/>
      <c r="AL465" s="3061"/>
      <c r="AM465" s="3061"/>
      <c r="AN465" s="3061"/>
      <c r="AO465" s="3061"/>
      <c r="AP465" s="3061"/>
      <c r="AQ465" s="3061"/>
      <c r="AR465" s="3061"/>
      <c r="AS465" s="3061"/>
      <c r="AT465" s="3061"/>
      <c r="AU465" s="3061"/>
      <c r="AV465" s="3061"/>
      <c r="AW465" s="3061"/>
      <c r="AX465" s="3061"/>
      <c r="AY465" s="3061"/>
      <c r="AZ465" s="3061"/>
      <c r="BA465" s="3061"/>
      <c r="BB465" s="3061"/>
      <c r="BC465" s="3061"/>
      <c r="BD465" s="3061"/>
      <c r="BE465" s="3061"/>
      <c r="BF465" s="3061"/>
      <c r="BG465" s="3061"/>
      <c r="BH465" s="3061"/>
      <c r="BI465" s="3061"/>
      <c r="BJ465" s="3061"/>
      <c r="BK465" s="3061"/>
      <c r="BL465" s="3061"/>
      <c r="BM465" s="3061"/>
      <c r="BN465" s="3061"/>
      <c r="BO465" s="3061"/>
      <c r="BP465" s="3061"/>
      <c r="BQ465" s="3061"/>
      <c r="BR465" s="3061"/>
      <c r="BS465" s="3061"/>
      <c r="BT465" s="3061"/>
      <c r="BU465" s="3061"/>
      <c r="BV465" s="3061"/>
      <c r="BW465" s="3061"/>
      <c r="BX465" s="3061"/>
      <c r="BY465" s="3061"/>
      <c r="BZ465" s="3061"/>
      <c r="CA465" s="3061"/>
      <c r="CB465" s="3061"/>
      <c r="CC465" s="3061"/>
      <c r="CD465" s="3061"/>
      <c r="CE465" s="3061"/>
      <c r="CF465" s="3061"/>
      <c r="CG465" s="3061"/>
      <c r="CH465" s="3061"/>
      <c r="CI465" s="3061"/>
      <c r="CJ465" s="3061"/>
      <c r="CK465" s="3061"/>
      <c r="CL465" s="3061"/>
      <c r="CM465" s="3061"/>
      <c r="CN465" s="3061"/>
      <c r="CO465" s="3061"/>
      <c r="CP465" s="3061"/>
      <c r="CQ465" s="3061"/>
      <c r="CR465" s="3061"/>
      <c r="CS465" s="3062"/>
      <c r="CT465" s="3063"/>
      <c r="CU465" s="3064">
        <f t="shared" si="120"/>
        <v>1</v>
      </c>
      <c r="CV465" s="3022" t="str">
        <f>IF(OR(CT465="",CT465="None"),"-",DO465*CU465*SUMIF('Lighting Assumptions'!$G$3:$G$112,'6a - Lighting Counts'!G465,'Lighting Assumptions'!$J$3:$J$112))</f>
        <v>-</v>
      </c>
      <c r="CW465" s="3021"/>
      <c r="CX465" s="3021"/>
      <c r="CY465" s="3046"/>
      <c r="CZ465" s="2098">
        <f t="shared" si="121"/>
        <v>0</v>
      </c>
      <c r="DA465" s="2098" t="str">
        <f t="shared" si="122"/>
        <v>-</v>
      </c>
      <c r="DB465" s="2098">
        <f t="shared" si="123"/>
        <v>0</v>
      </c>
      <c r="DC465" s="3023" t="str">
        <f t="shared" si="124"/>
        <v>-</v>
      </c>
      <c r="DD465" s="3024" t="str">
        <f t="shared" si="125"/>
        <v/>
      </c>
      <c r="DE465" s="3025" t="str">
        <f t="shared" si="126"/>
        <v>-</v>
      </c>
      <c r="DF465" s="3024" t="str">
        <f t="shared" si="117"/>
        <v>-</v>
      </c>
      <c r="DG465" s="2098">
        <f t="shared" si="127"/>
        <v>0</v>
      </c>
      <c r="DH465" s="2098">
        <f t="array" ref="DH465">MIN(SUMPRODUCT(I465:CR465,IF($I$25:$CR$25="yes",1,0),$I$23:$CR$23),H465)</f>
        <v>0</v>
      </c>
      <c r="DI465" s="3026"/>
      <c r="DJ465" s="3021"/>
      <c r="DN465" s="917" t="str">
        <f>IF(CS465="","-",SUMIF('Lighting Assumptions'!$G$3:$G$112,'6a - Lighting Counts'!G465,'Lighting Assumptions'!$J$3:$J$112))</f>
        <v>-</v>
      </c>
      <c r="DO465" s="917" t="str">
        <f t="shared" si="118"/>
        <v>-</v>
      </c>
      <c r="DP465" s="917" t="str">
        <f t="shared" si="119"/>
        <v>-</v>
      </c>
      <c r="DQ465" s="917" t="str">
        <f>IF(LEFT(CELLformula(DF465),3)&lt;&gt;"=IF",1,"")</f>
        <v/>
      </c>
      <c r="DR465" s="917" t="str">
        <f>IF(LEFT(CELLformula(DD465),3)&lt;&gt;"=IF",1,"")</f>
        <v/>
      </c>
      <c r="DS465" s="3048">
        <f t="shared" si="128"/>
        <v>0</v>
      </c>
      <c r="DT465" s="3047" t="str">
        <f t="shared" si="129"/>
        <v/>
      </c>
      <c r="DU465" s="3047" t="str">
        <f>IFERROR(IF(G465="","",SUMIF('Lighting Assumptions'!$G$3:$G$112,'6a - Lighting Counts'!G465,'Lighting Assumptions'!$H$3:$H$112)*IF(SI_IP_Units="SI",10.76,1)),"")</f>
        <v/>
      </c>
      <c r="DV465" s="3047" t="str">
        <f>IFERROR(IF($CX465="","",IF(SI_IP_Units="SI",10.76,1)*SUMIF(BAMCategories,$CY465,'Lighting Assumptions'!$E$3:E$35)),"")</f>
        <v/>
      </c>
      <c r="DW465" s="3047" t="str">
        <f>IFERROR(IF($CX465="","",IF(SI_IP_Units="SI",10.76,1)*SUMIF(BAMCategories,$CY465,IF(bpf_reference="ACP",'Lighting Assumptions 90.1-2010'!$E$3:E$35,'Lighting Assumptions 90.1-2016'!$E$3:E$35))),"")</f>
        <v/>
      </c>
      <c r="EW465" s="855"/>
      <c r="EX465" s="855"/>
      <c r="EY465" s="855"/>
      <c r="EZ465" s="855"/>
    </row>
    <row r="466" spans="4:156" x14ac:dyDescent="0.25">
      <c r="D466" s="3029"/>
      <c r="E466" s="3028"/>
      <c r="F466" s="3021">
        <f t="shared" si="116"/>
        <v>0</v>
      </c>
      <c r="G466" s="3059"/>
      <c r="H466" s="3060"/>
      <c r="I466" s="3061"/>
      <c r="J466" s="3061"/>
      <c r="K466" s="3061"/>
      <c r="L466" s="3061"/>
      <c r="M466" s="3061"/>
      <c r="N466" s="3061"/>
      <c r="O466" s="3061"/>
      <c r="P466" s="3061"/>
      <c r="Q466" s="3061"/>
      <c r="R466" s="3061"/>
      <c r="S466" s="3061"/>
      <c r="T466" s="3061"/>
      <c r="U466" s="3061"/>
      <c r="V466" s="3061"/>
      <c r="W466" s="3061"/>
      <c r="X466" s="3061"/>
      <c r="Y466" s="3061"/>
      <c r="Z466" s="3061"/>
      <c r="AA466" s="3061"/>
      <c r="AB466" s="3061"/>
      <c r="AC466" s="3061"/>
      <c r="AD466" s="3061"/>
      <c r="AE466" s="3061"/>
      <c r="AF466" s="3061"/>
      <c r="AG466" s="3061"/>
      <c r="AH466" s="3061"/>
      <c r="AI466" s="3061"/>
      <c r="AJ466" s="3061"/>
      <c r="AK466" s="3061"/>
      <c r="AL466" s="3061"/>
      <c r="AM466" s="3061"/>
      <c r="AN466" s="3061"/>
      <c r="AO466" s="3061"/>
      <c r="AP466" s="3061"/>
      <c r="AQ466" s="3061"/>
      <c r="AR466" s="3061"/>
      <c r="AS466" s="3061"/>
      <c r="AT466" s="3061"/>
      <c r="AU466" s="3061"/>
      <c r="AV466" s="3061"/>
      <c r="AW466" s="3061"/>
      <c r="AX466" s="3061"/>
      <c r="AY466" s="3061"/>
      <c r="AZ466" s="3061"/>
      <c r="BA466" s="3061"/>
      <c r="BB466" s="3061"/>
      <c r="BC466" s="3061"/>
      <c r="BD466" s="3061"/>
      <c r="BE466" s="3061"/>
      <c r="BF466" s="3061"/>
      <c r="BG466" s="3061"/>
      <c r="BH466" s="3061"/>
      <c r="BI466" s="3061"/>
      <c r="BJ466" s="3061"/>
      <c r="BK466" s="3061"/>
      <c r="BL466" s="3061"/>
      <c r="BM466" s="3061"/>
      <c r="BN466" s="3061"/>
      <c r="BO466" s="3061"/>
      <c r="BP466" s="3061"/>
      <c r="BQ466" s="3061"/>
      <c r="BR466" s="3061"/>
      <c r="BS466" s="3061"/>
      <c r="BT466" s="3061"/>
      <c r="BU466" s="3061"/>
      <c r="BV466" s="3061"/>
      <c r="BW466" s="3061"/>
      <c r="BX466" s="3061"/>
      <c r="BY466" s="3061"/>
      <c r="BZ466" s="3061"/>
      <c r="CA466" s="3061"/>
      <c r="CB466" s="3061"/>
      <c r="CC466" s="3061"/>
      <c r="CD466" s="3061"/>
      <c r="CE466" s="3061"/>
      <c r="CF466" s="3061"/>
      <c r="CG466" s="3061"/>
      <c r="CH466" s="3061"/>
      <c r="CI466" s="3061"/>
      <c r="CJ466" s="3061"/>
      <c r="CK466" s="3061"/>
      <c r="CL466" s="3061"/>
      <c r="CM466" s="3061"/>
      <c r="CN466" s="3061"/>
      <c r="CO466" s="3061"/>
      <c r="CP466" s="3061"/>
      <c r="CQ466" s="3061"/>
      <c r="CR466" s="3061"/>
      <c r="CS466" s="3062"/>
      <c r="CT466" s="3063"/>
      <c r="CU466" s="3064">
        <f t="shared" si="120"/>
        <v>1</v>
      </c>
      <c r="CV466" s="3022" t="str">
        <f>IF(OR(CT466="",CT466="None"),"-",DO466*CU466*SUMIF('Lighting Assumptions'!$G$3:$G$112,'6a - Lighting Counts'!G466,'Lighting Assumptions'!$J$3:$J$112))</f>
        <v>-</v>
      </c>
      <c r="CW466" s="3021"/>
      <c r="CX466" s="3021"/>
      <c r="CY466" s="3046"/>
      <c r="CZ466" s="2098">
        <f t="shared" si="121"/>
        <v>0</v>
      </c>
      <c r="DA466" s="2098" t="str">
        <f t="shared" si="122"/>
        <v>-</v>
      </c>
      <c r="DB466" s="2098">
        <f t="shared" si="123"/>
        <v>0</v>
      </c>
      <c r="DC466" s="3023" t="str">
        <f t="shared" si="124"/>
        <v>-</v>
      </c>
      <c r="DD466" s="3024" t="str">
        <f t="shared" si="125"/>
        <v/>
      </c>
      <c r="DE466" s="3025" t="str">
        <f t="shared" si="126"/>
        <v>-</v>
      </c>
      <c r="DF466" s="3024" t="str">
        <f t="shared" si="117"/>
        <v>-</v>
      </c>
      <c r="DG466" s="2098">
        <f t="shared" si="127"/>
        <v>0</v>
      </c>
      <c r="DH466" s="2098">
        <f t="array" ref="DH466">MIN(SUMPRODUCT(I466:CR466,IF($I$25:$CR$25="yes",1,0),$I$23:$CR$23),H466)</f>
        <v>0</v>
      </c>
      <c r="DI466" s="3026"/>
      <c r="DJ466" s="3021"/>
      <c r="DN466" s="917" t="str">
        <f>IF(CS466="","-",SUMIF('Lighting Assumptions'!$G$3:$G$112,'6a - Lighting Counts'!G466,'Lighting Assumptions'!$J$3:$J$112))</f>
        <v>-</v>
      </c>
      <c r="DO466" s="917" t="str">
        <f t="shared" si="118"/>
        <v>-</v>
      </c>
      <c r="DP466" s="917" t="str">
        <f t="shared" si="119"/>
        <v>-</v>
      </c>
      <c r="DQ466" s="917" t="str">
        <f>IF(LEFT(CELLformula(DF466),3)&lt;&gt;"=IF",1,"")</f>
        <v/>
      </c>
      <c r="DR466" s="917" t="str">
        <f>IF(LEFT(CELLformula(DD466),3)&lt;&gt;"=IF",1,"")</f>
        <v/>
      </c>
      <c r="DS466" s="3048">
        <f t="shared" si="128"/>
        <v>0</v>
      </c>
      <c r="DT466" s="3047" t="str">
        <f t="shared" si="129"/>
        <v/>
      </c>
      <c r="DU466" s="3047" t="str">
        <f>IFERROR(IF(G466="","",SUMIF('Lighting Assumptions'!$G$3:$G$112,'6a - Lighting Counts'!G466,'Lighting Assumptions'!$H$3:$H$112)*IF(SI_IP_Units="SI",10.76,1)),"")</f>
        <v/>
      </c>
      <c r="DV466" s="3047" t="str">
        <f>IFERROR(IF($CX466="","",IF(SI_IP_Units="SI",10.76,1)*SUMIF(BAMCategories,$CY466,'Lighting Assumptions'!$E$3:E$35)),"")</f>
        <v/>
      </c>
      <c r="DW466" s="3047" t="str">
        <f>IFERROR(IF($CX466="","",IF(SI_IP_Units="SI",10.76,1)*SUMIF(BAMCategories,$CY466,IF(bpf_reference="ACP",'Lighting Assumptions 90.1-2010'!$E$3:E$35,'Lighting Assumptions 90.1-2016'!$E$3:E$35))),"")</f>
        <v/>
      </c>
      <c r="EW466" s="855"/>
      <c r="EX466" s="855"/>
      <c r="EY466" s="855"/>
      <c r="EZ466" s="855"/>
    </row>
    <row r="467" spans="4:156" x14ac:dyDescent="0.25">
      <c r="D467" s="3029"/>
      <c r="E467" s="3028"/>
      <c r="F467" s="3021">
        <f t="shared" si="116"/>
        <v>0</v>
      </c>
      <c r="G467" s="3059"/>
      <c r="H467" s="3060"/>
      <c r="I467" s="3061"/>
      <c r="J467" s="3061"/>
      <c r="K467" s="3061"/>
      <c r="L467" s="3061"/>
      <c r="M467" s="3061"/>
      <c r="N467" s="3061"/>
      <c r="O467" s="3061"/>
      <c r="P467" s="3061"/>
      <c r="Q467" s="3061"/>
      <c r="R467" s="3061"/>
      <c r="S467" s="3061"/>
      <c r="T467" s="3061"/>
      <c r="U467" s="3061"/>
      <c r="V467" s="3061"/>
      <c r="W467" s="3061"/>
      <c r="X467" s="3061"/>
      <c r="Y467" s="3061"/>
      <c r="Z467" s="3061"/>
      <c r="AA467" s="3061"/>
      <c r="AB467" s="3061"/>
      <c r="AC467" s="3061"/>
      <c r="AD467" s="3061"/>
      <c r="AE467" s="3061"/>
      <c r="AF467" s="3061"/>
      <c r="AG467" s="3061"/>
      <c r="AH467" s="3061"/>
      <c r="AI467" s="3061"/>
      <c r="AJ467" s="3061"/>
      <c r="AK467" s="3061"/>
      <c r="AL467" s="3061"/>
      <c r="AM467" s="3061"/>
      <c r="AN467" s="3061"/>
      <c r="AO467" s="3061"/>
      <c r="AP467" s="3061"/>
      <c r="AQ467" s="3061"/>
      <c r="AR467" s="3061"/>
      <c r="AS467" s="3061"/>
      <c r="AT467" s="3061"/>
      <c r="AU467" s="3061"/>
      <c r="AV467" s="3061"/>
      <c r="AW467" s="3061"/>
      <c r="AX467" s="3061"/>
      <c r="AY467" s="3061"/>
      <c r="AZ467" s="3061"/>
      <c r="BA467" s="3061"/>
      <c r="BB467" s="3061"/>
      <c r="BC467" s="3061"/>
      <c r="BD467" s="3061"/>
      <c r="BE467" s="3061"/>
      <c r="BF467" s="3061"/>
      <c r="BG467" s="3061"/>
      <c r="BH467" s="3061"/>
      <c r="BI467" s="3061"/>
      <c r="BJ467" s="3061"/>
      <c r="BK467" s="3061"/>
      <c r="BL467" s="3061"/>
      <c r="BM467" s="3061"/>
      <c r="BN467" s="3061"/>
      <c r="BO467" s="3061"/>
      <c r="BP467" s="3061"/>
      <c r="BQ467" s="3061"/>
      <c r="BR467" s="3061"/>
      <c r="BS467" s="3061"/>
      <c r="BT467" s="3061"/>
      <c r="BU467" s="3061"/>
      <c r="BV467" s="3061"/>
      <c r="BW467" s="3061"/>
      <c r="BX467" s="3061"/>
      <c r="BY467" s="3061"/>
      <c r="BZ467" s="3061"/>
      <c r="CA467" s="3061"/>
      <c r="CB467" s="3061"/>
      <c r="CC467" s="3061"/>
      <c r="CD467" s="3061"/>
      <c r="CE467" s="3061"/>
      <c r="CF467" s="3061"/>
      <c r="CG467" s="3061"/>
      <c r="CH467" s="3061"/>
      <c r="CI467" s="3061"/>
      <c r="CJ467" s="3061"/>
      <c r="CK467" s="3061"/>
      <c r="CL467" s="3061"/>
      <c r="CM467" s="3061"/>
      <c r="CN467" s="3061"/>
      <c r="CO467" s="3061"/>
      <c r="CP467" s="3061"/>
      <c r="CQ467" s="3061"/>
      <c r="CR467" s="3061"/>
      <c r="CS467" s="3062"/>
      <c r="CT467" s="3063"/>
      <c r="CU467" s="3064">
        <f t="shared" si="120"/>
        <v>1</v>
      </c>
      <c r="CV467" s="3022" t="str">
        <f>IF(OR(CT467="",CT467="None"),"-",DO467*CU467*SUMIF('Lighting Assumptions'!$G$3:$G$112,'6a - Lighting Counts'!G467,'Lighting Assumptions'!$J$3:$J$112))</f>
        <v>-</v>
      </c>
      <c r="CW467" s="3021"/>
      <c r="CX467" s="3021"/>
      <c r="CY467" s="3046"/>
      <c r="CZ467" s="2098">
        <f t="shared" si="121"/>
        <v>0</v>
      </c>
      <c r="DA467" s="2098" t="str">
        <f t="shared" si="122"/>
        <v>-</v>
      </c>
      <c r="DB467" s="2098">
        <f t="shared" si="123"/>
        <v>0</v>
      </c>
      <c r="DC467" s="3023" t="str">
        <f t="shared" si="124"/>
        <v>-</v>
      </c>
      <c r="DD467" s="3024" t="str">
        <f t="shared" si="125"/>
        <v/>
      </c>
      <c r="DE467" s="3025" t="str">
        <f t="shared" si="126"/>
        <v>-</v>
      </c>
      <c r="DF467" s="3024" t="str">
        <f t="shared" si="117"/>
        <v>-</v>
      </c>
      <c r="DG467" s="2098">
        <f t="shared" si="127"/>
        <v>0</v>
      </c>
      <c r="DH467" s="2098">
        <f t="array" ref="DH467">MIN(SUMPRODUCT(I467:CR467,IF($I$25:$CR$25="yes",1,0),$I$23:$CR$23),H467)</f>
        <v>0</v>
      </c>
      <c r="DI467" s="3026"/>
      <c r="DJ467" s="3021"/>
      <c r="DN467" s="917" t="str">
        <f>IF(CS467="","-",SUMIF('Lighting Assumptions'!$G$3:$G$112,'6a - Lighting Counts'!G467,'Lighting Assumptions'!$J$3:$J$112))</f>
        <v>-</v>
      </c>
      <c r="DO467" s="917" t="str">
        <f t="shared" si="118"/>
        <v>-</v>
      </c>
      <c r="DP467" s="917" t="str">
        <f t="shared" si="119"/>
        <v>-</v>
      </c>
      <c r="DQ467" s="917" t="str">
        <f>IF(LEFT(CELLformula(DF467),3)&lt;&gt;"=IF",1,"")</f>
        <v/>
      </c>
      <c r="DR467" s="917" t="str">
        <f>IF(LEFT(CELLformula(DD467),3)&lt;&gt;"=IF",1,"")</f>
        <v/>
      </c>
      <c r="DS467" s="3048">
        <f t="shared" si="128"/>
        <v>0</v>
      </c>
      <c r="DT467" s="3047" t="str">
        <f t="shared" si="129"/>
        <v/>
      </c>
      <c r="DU467" s="3047" t="str">
        <f>IFERROR(IF(G467="","",SUMIF('Lighting Assumptions'!$G$3:$G$112,'6a - Lighting Counts'!G467,'Lighting Assumptions'!$H$3:$H$112)*IF(SI_IP_Units="SI",10.76,1)),"")</f>
        <v/>
      </c>
      <c r="DV467" s="3047" t="str">
        <f>IFERROR(IF($CX467="","",IF(SI_IP_Units="SI",10.76,1)*SUMIF(BAMCategories,$CY467,'Lighting Assumptions'!$E$3:E$35)),"")</f>
        <v/>
      </c>
      <c r="DW467" s="3047" t="str">
        <f>IFERROR(IF($CX467="","",IF(SI_IP_Units="SI",10.76,1)*SUMIF(BAMCategories,$CY467,IF(bpf_reference="ACP",'Lighting Assumptions 90.1-2010'!$E$3:E$35,'Lighting Assumptions 90.1-2016'!$E$3:E$35))),"")</f>
        <v/>
      </c>
      <c r="EW467" s="855"/>
      <c r="EX467" s="855"/>
      <c r="EY467" s="855"/>
      <c r="EZ467" s="855"/>
    </row>
    <row r="468" spans="4:156" x14ac:dyDescent="0.25">
      <c r="D468" s="3029"/>
      <c r="E468" s="3028"/>
      <c r="F468" s="3021">
        <f t="shared" si="116"/>
        <v>0</v>
      </c>
      <c r="G468" s="3059"/>
      <c r="H468" s="3060"/>
      <c r="I468" s="3061"/>
      <c r="J468" s="3061"/>
      <c r="K468" s="3061"/>
      <c r="L468" s="3061"/>
      <c r="M468" s="3061"/>
      <c r="N468" s="3061"/>
      <c r="O468" s="3061"/>
      <c r="P468" s="3061"/>
      <c r="Q468" s="3061"/>
      <c r="R468" s="3061"/>
      <c r="S468" s="3061"/>
      <c r="T468" s="3061"/>
      <c r="U468" s="3061"/>
      <c r="V468" s="3061"/>
      <c r="W468" s="3061"/>
      <c r="X468" s="3061"/>
      <c r="Y468" s="3061"/>
      <c r="Z468" s="3061"/>
      <c r="AA468" s="3061"/>
      <c r="AB468" s="3061"/>
      <c r="AC468" s="3061"/>
      <c r="AD468" s="3061"/>
      <c r="AE468" s="3061"/>
      <c r="AF468" s="3061"/>
      <c r="AG468" s="3061"/>
      <c r="AH468" s="3061"/>
      <c r="AI468" s="3061"/>
      <c r="AJ468" s="3061"/>
      <c r="AK468" s="3061"/>
      <c r="AL468" s="3061"/>
      <c r="AM468" s="3061"/>
      <c r="AN468" s="3061"/>
      <c r="AO468" s="3061"/>
      <c r="AP468" s="3061"/>
      <c r="AQ468" s="3061"/>
      <c r="AR468" s="3061"/>
      <c r="AS468" s="3061"/>
      <c r="AT468" s="3061"/>
      <c r="AU468" s="3061"/>
      <c r="AV468" s="3061"/>
      <c r="AW468" s="3061"/>
      <c r="AX468" s="3061"/>
      <c r="AY468" s="3061"/>
      <c r="AZ468" s="3061"/>
      <c r="BA468" s="3061"/>
      <c r="BB468" s="3061"/>
      <c r="BC468" s="3061"/>
      <c r="BD468" s="3061"/>
      <c r="BE468" s="3061"/>
      <c r="BF468" s="3061"/>
      <c r="BG468" s="3061"/>
      <c r="BH468" s="3061"/>
      <c r="BI468" s="3061"/>
      <c r="BJ468" s="3061"/>
      <c r="BK468" s="3061"/>
      <c r="BL468" s="3061"/>
      <c r="BM468" s="3061"/>
      <c r="BN468" s="3061"/>
      <c r="BO468" s="3061"/>
      <c r="BP468" s="3061"/>
      <c r="BQ468" s="3061"/>
      <c r="BR468" s="3061"/>
      <c r="BS468" s="3061"/>
      <c r="BT468" s="3061"/>
      <c r="BU468" s="3061"/>
      <c r="BV468" s="3061"/>
      <c r="BW468" s="3061"/>
      <c r="BX468" s="3061"/>
      <c r="BY468" s="3061"/>
      <c r="BZ468" s="3061"/>
      <c r="CA468" s="3061"/>
      <c r="CB468" s="3061"/>
      <c r="CC468" s="3061"/>
      <c r="CD468" s="3061"/>
      <c r="CE468" s="3061"/>
      <c r="CF468" s="3061"/>
      <c r="CG468" s="3061"/>
      <c r="CH468" s="3061"/>
      <c r="CI468" s="3061"/>
      <c r="CJ468" s="3061"/>
      <c r="CK468" s="3061"/>
      <c r="CL468" s="3061"/>
      <c r="CM468" s="3061"/>
      <c r="CN468" s="3061"/>
      <c r="CO468" s="3061"/>
      <c r="CP468" s="3061"/>
      <c r="CQ468" s="3061"/>
      <c r="CR468" s="3061"/>
      <c r="CS468" s="3062"/>
      <c r="CT468" s="3063"/>
      <c r="CU468" s="3064">
        <f t="shared" si="120"/>
        <v>1</v>
      </c>
      <c r="CV468" s="3022" t="str">
        <f>IF(OR(CT468="",CT468="None"),"-",DO468*CU468*SUMIF('Lighting Assumptions'!$G$3:$G$112,'6a - Lighting Counts'!G468,'Lighting Assumptions'!$J$3:$J$112))</f>
        <v>-</v>
      </c>
      <c r="CW468" s="3021"/>
      <c r="CX468" s="3021"/>
      <c r="CY468" s="3046"/>
      <c r="CZ468" s="2098">
        <f t="shared" si="121"/>
        <v>0</v>
      </c>
      <c r="DA468" s="2098" t="str">
        <f t="shared" si="122"/>
        <v>-</v>
      </c>
      <c r="DB468" s="2098">
        <f t="shared" si="123"/>
        <v>0</v>
      </c>
      <c r="DC468" s="3023" t="str">
        <f t="shared" si="124"/>
        <v>-</v>
      </c>
      <c r="DD468" s="3024" t="str">
        <f t="shared" si="125"/>
        <v/>
      </c>
      <c r="DE468" s="3025" t="str">
        <f t="shared" si="126"/>
        <v>-</v>
      </c>
      <c r="DF468" s="3024" t="str">
        <f t="shared" si="117"/>
        <v>-</v>
      </c>
      <c r="DG468" s="2098">
        <f t="shared" si="127"/>
        <v>0</v>
      </c>
      <c r="DH468" s="2098">
        <f t="array" ref="DH468">MIN(SUMPRODUCT(I468:CR468,IF($I$25:$CR$25="yes",1,0),$I$23:$CR$23),H468)</f>
        <v>0</v>
      </c>
      <c r="DI468" s="3026"/>
      <c r="DJ468" s="3021"/>
      <c r="DN468" s="917" t="str">
        <f>IF(CS468="","-",SUMIF('Lighting Assumptions'!$G$3:$G$112,'6a - Lighting Counts'!G468,'Lighting Assumptions'!$J$3:$J$112))</f>
        <v>-</v>
      </c>
      <c r="DO468" s="917" t="str">
        <f t="shared" si="118"/>
        <v>-</v>
      </c>
      <c r="DP468" s="917" t="str">
        <f t="shared" si="119"/>
        <v>-</v>
      </c>
      <c r="DQ468" s="917" t="str">
        <f>IF(LEFT(CELLformula(DF468),3)&lt;&gt;"=IF",1,"")</f>
        <v/>
      </c>
      <c r="DR468" s="917" t="str">
        <f>IF(LEFT(CELLformula(DD468),3)&lt;&gt;"=IF",1,"")</f>
        <v/>
      </c>
      <c r="DS468" s="3048">
        <f t="shared" si="128"/>
        <v>0</v>
      </c>
      <c r="DT468" s="3047" t="str">
        <f t="shared" si="129"/>
        <v/>
      </c>
      <c r="DU468" s="3047" t="str">
        <f>IFERROR(IF(G468="","",SUMIF('Lighting Assumptions'!$G$3:$G$112,'6a - Lighting Counts'!G468,'Lighting Assumptions'!$H$3:$H$112)*IF(SI_IP_Units="SI",10.76,1)),"")</f>
        <v/>
      </c>
      <c r="DV468" s="3047" t="str">
        <f>IFERROR(IF($CX468="","",IF(SI_IP_Units="SI",10.76,1)*SUMIF(BAMCategories,$CY468,'Lighting Assumptions'!$E$3:E$35)),"")</f>
        <v/>
      </c>
      <c r="DW468" s="3047" t="str">
        <f>IFERROR(IF($CX468="","",IF(SI_IP_Units="SI",10.76,1)*SUMIF(BAMCategories,$CY468,IF(bpf_reference="ACP",'Lighting Assumptions 90.1-2010'!$E$3:E$35,'Lighting Assumptions 90.1-2016'!$E$3:E$35))),"")</f>
        <v/>
      </c>
      <c r="EW468" s="855"/>
      <c r="EX468" s="855"/>
      <c r="EY468" s="855"/>
      <c r="EZ468" s="855"/>
    </row>
    <row r="469" spans="4:156" x14ac:dyDescent="0.25">
      <c r="D469" s="3029"/>
      <c r="E469" s="3028"/>
      <c r="F469" s="3021">
        <f t="shared" si="116"/>
        <v>0</v>
      </c>
      <c r="G469" s="3059"/>
      <c r="H469" s="3060"/>
      <c r="I469" s="3061"/>
      <c r="J469" s="3061"/>
      <c r="K469" s="3061"/>
      <c r="L469" s="3061"/>
      <c r="M469" s="3061"/>
      <c r="N469" s="3061"/>
      <c r="O469" s="3061"/>
      <c r="P469" s="3061"/>
      <c r="Q469" s="3061"/>
      <c r="R469" s="3061"/>
      <c r="S469" s="3061"/>
      <c r="T469" s="3061"/>
      <c r="U469" s="3061"/>
      <c r="V469" s="3061"/>
      <c r="W469" s="3061"/>
      <c r="X469" s="3061"/>
      <c r="Y469" s="3061"/>
      <c r="Z469" s="3061"/>
      <c r="AA469" s="3061"/>
      <c r="AB469" s="3061"/>
      <c r="AC469" s="3061"/>
      <c r="AD469" s="3061"/>
      <c r="AE469" s="3061"/>
      <c r="AF469" s="3061"/>
      <c r="AG469" s="3061"/>
      <c r="AH469" s="3061"/>
      <c r="AI469" s="3061"/>
      <c r="AJ469" s="3061"/>
      <c r="AK469" s="3061"/>
      <c r="AL469" s="3061"/>
      <c r="AM469" s="3061"/>
      <c r="AN469" s="3061"/>
      <c r="AO469" s="3061"/>
      <c r="AP469" s="3061"/>
      <c r="AQ469" s="3061"/>
      <c r="AR469" s="3061"/>
      <c r="AS469" s="3061"/>
      <c r="AT469" s="3061"/>
      <c r="AU469" s="3061"/>
      <c r="AV469" s="3061"/>
      <c r="AW469" s="3061"/>
      <c r="AX469" s="3061"/>
      <c r="AY469" s="3061"/>
      <c r="AZ469" s="3061"/>
      <c r="BA469" s="3061"/>
      <c r="BB469" s="3061"/>
      <c r="BC469" s="3061"/>
      <c r="BD469" s="3061"/>
      <c r="BE469" s="3061"/>
      <c r="BF469" s="3061"/>
      <c r="BG469" s="3061"/>
      <c r="BH469" s="3061"/>
      <c r="BI469" s="3061"/>
      <c r="BJ469" s="3061"/>
      <c r="BK469" s="3061"/>
      <c r="BL469" s="3061"/>
      <c r="BM469" s="3061"/>
      <c r="BN469" s="3061"/>
      <c r="BO469" s="3061"/>
      <c r="BP469" s="3061"/>
      <c r="BQ469" s="3061"/>
      <c r="BR469" s="3061"/>
      <c r="BS469" s="3061"/>
      <c r="BT469" s="3061"/>
      <c r="BU469" s="3061"/>
      <c r="BV469" s="3061"/>
      <c r="BW469" s="3061"/>
      <c r="BX469" s="3061"/>
      <c r="BY469" s="3061"/>
      <c r="BZ469" s="3061"/>
      <c r="CA469" s="3061"/>
      <c r="CB469" s="3061"/>
      <c r="CC469" s="3061"/>
      <c r="CD469" s="3061"/>
      <c r="CE469" s="3061"/>
      <c r="CF469" s="3061"/>
      <c r="CG469" s="3061"/>
      <c r="CH469" s="3061"/>
      <c r="CI469" s="3061"/>
      <c r="CJ469" s="3061"/>
      <c r="CK469" s="3061"/>
      <c r="CL469" s="3061"/>
      <c r="CM469" s="3061"/>
      <c r="CN469" s="3061"/>
      <c r="CO469" s="3061"/>
      <c r="CP469" s="3061"/>
      <c r="CQ469" s="3061"/>
      <c r="CR469" s="3061"/>
      <c r="CS469" s="3062"/>
      <c r="CT469" s="3063"/>
      <c r="CU469" s="3064">
        <f t="shared" si="120"/>
        <v>1</v>
      </c>
      <c r="CV469" s="3022" t="str">
        <f>IF(OR(CT469="",CT469="None"),"-",DO469*CU469*SUMIF('Lighting Assumptions'!$G$3:$G$112,'6a - Lighting Counts'!G469,'Lighting Assumptions'!$J$3:$J$112))</f>
        <v>-</v>
      </c>
      <c r="CW469" s="3021"/>
      <c r="CX469" s="3021"/>
      <c r="CY469" s="3046"/>
      <c r="CZ469" s="2098">
        <f t="shared" si="121"/>
        <v>0</v>
      </c>
      <c r="DA469" s="2098" t="str">
        <f t="shared" si="122"/>
        <v>-</v>
      </c>
      <c r="DB469" s="2098">
        <f t="shared" si="123"/>
        <v>0</v>
      </c>
      <c r="DC469" s="3023" t="str">
        <f t="shared" si="124"/>
        <v>-</v>
      </c>
      <c r="DD469" s="3024" t="str">
        <f t="shared" si="125"/>
        <v/>
      </c>
      <c r="DE469" s="3025" t="str">
        <f t="shared" si="126"/>
        <v>-</v>
      </c>
      <c r="DF469" s="3024" t="str">
        <f t="shared" si="117"/>
        <v>-</v>
      </c>
      <c r="DG469" s="2098">
        <f t="shared" si="127"/>
        <v>0</v>
      </c>
      <c r="DH469" s="2098">
        <f t="array" ref="DH469">MIN(SUMPRODUCT(I469:CR469,IF($I$25:$CR$25="yes",1,0),$I$23:$CR$23),H469)</f>
        <v>0</v>
      </c>
      <c r="DI469" s="3026"/>
      <c r="DJ469" s="3021"/>
      <c r="DN469" s="917" t="str">
        <f>IF(CS469="","-",SUMIF('Lighting Assumptions'!$G$3:$G$112,'6a - Lighting Counts'!G469,'Lighting Assumptions'!$J$3:$J$112))</f>
        <v>-</v>
      </c>
      <c r="DO469" s="917" t="str">
        <f t="shared" si="118"/>
        <v>-</v>
      </c>
      <c r="DP469" s="917" t="str">
        <f t="shared" si="119"/>
        <v>-</v>
      </c>
      <c r="DQ469" s="917" t="str">
        <f>IF(LEFT(CELLformula(DF469),3)&lt;&gt;"=IF",1,"")</f>
        <v/>
      </c>
      <c r="DR469" s="917" t="str">
        <f>IF(LEFT(CELLformula(DD469),3)&lt;&gt;"=IF",1,"")</f>
        <v/>
      </c>
      <c r="DS469" s="3048">
        <f t="shared" si="128"/>
        <v>0</v>
      </c>
      <c r="DT469" s="3047" t="str">
        <f t="shared" si="129"/>
        <v/>
      </c>
      <c r="DU469" s="3047" t="str">
        <f>IFERROR(IF(G469="","",SUMIF('Lighting Assumptions'!$G$3:$G$112,'6a - Lighting Counts'!G469,'Lighting Assumptions'!$H$3:$H$112)*IF(SI_IP_Units="SI",10.76,1)),"")</f>
        <v/>
      </c>
      <c r="DV469" s="3047" t="str">
        <f>IFERROR(IF($CX469="","",IF(SI_IP_Units="SI",10.76,1)*SUMIF(BAMCategories,$CY469,'Lighting Assumptions'!$E$3:E$35)),"")</f>
        <v/>
      </c>
      <c r="DW469" s="3047" t="str">
        <f>IFERROR(IF($CX469="","",IF(SI_IP_Units="SI",10.76,1)*SUMIF(BAMCategories,$CY469,IF(bpf_reference="ACP",'Lighting Assumptions 90.1-2010'!$E$3:E$35,'Lighting Assumptions 90.1-2016'!$E$3:E$35))),"")</f>
        <v/>
      </c>
      <c r="EW469" s="855"/>
      <c r="EX469" s="855"/>
      <c r="EY469" s="855"/>
      <c r="EZ469" s="855"/>
    </row>
    <row r="470" spans="4:156" x14ac:dyDescent="0.25">
      <c r="D470" s="3029"/>
      <c r="E470" s="3028"/>
      <c r="F470" s="3021">
        <f t="shared" si="116"/>
        <v>0</v>
      </c>
      <c r="G470" s="3059"/>
      <c r="H470" s="3060"/>
      <c r="I470" s="3061"/>
      <c r="J470" s="3061"/>
      <c r="K470" s="3061"/>
      <c r="L470" s="3061"/>
      <c r="M470" s="3061"/>
      <c r="N470" s="3061"/>
      <c r="O470" s="3061"/>
      <c r="P470" s="3061"/>
      <c r="Q470" s="3061"/>
      <c r="R470" s="3061"/>
      <c r="S470" s="3061"/>
      <c r="T470" s="3061"/>
      <c r="U470" s="3061"/>
      <c r="V470" s="3061"/>
      <c r="W470" s="3061"/>
      <c r="X470" s="3061"/>
      <c r="Y470" s="3061"/>
      <c r="Z470" s="3061"/>
      <c r="AA470" s="3061"/>
      <c r="AB470" s="3061"/>
      <c r="AC470" s="3061"/>
      <c r="AD470" s="3061"/>
      <c r="AE470" s="3061"/>
      <c r="AF470" s="3061"/>
      <c r="AG470" s="3061"/>
      <c r="AH470" s="3061"/>
      <c r="AI470" s="3061"/>
      <c r="AJ470" s="3061"/>
      <c r="AK470" s="3061"/>
      <c r="AL470" s="3061"/>
      <c r="AM470" s="3061"/>
      <c r="AN470" s="3061"/>
      <c r="AO470" s="3061"/>
      <c r="AP470" s="3061"/>
      <c r="AQ470" s="3061"/>
      <c r="AR470" s="3061"/>
      <c r="AS470" s="3061"/>
      <c r="AT470" s="3061"/>
      <c r="AU470" s="3061"/>
      <c r="AV470" s="3061"/>
      <c r="AW470" s="3061"/>
      <c r="AX470" s="3061"/>
      <c r="AY470" s="3061"/>
      <c r="AZ470" s="3061"/>
      <c r="BA470" s="3061"/>
      <c r="BB470" s="3061"/>
      <c r="BC470" s="3061"/>
      <c r="BD470" s="3061"/>
      <c r="BE470" s="3061"/>
      <c r="BF470" s="3061"/>
      <c r="BG470" s="3061"/>
      <c r="BH470" s="3061"/>
      <c r="BI470" s="3061"/>
      <c r="BJ470" s="3061"/>
      <c r="BK470" s="3061"/>
      <c r="BL470" s="3061"/>
      <c r="BM470" s="3061"/>
      <c r="BN470" s="3061"/>
      <c r="BO470" s="3061"/>
      <c r="BP470" s="3061"/>
      <c r="BQ470" s="3061"/>
      <c r="BR470" s="3061"/>
      <c r="BS470" s="3061"/>
      <c r="BT470" s="3061"/>
      <c r="BU470" s="3061"/>
      <c r="BV470" s="3061"/>
      <c r="BW470" s="3061"/>
      <c r="BX470" s="3061"/>
      <c r="BY470" s="3061"/>
      <c r="BZ470" s="3061"/>
      <c r="CA470" s="3061"/>
      <c r="CB470" s="3061"/>
      <c r="CC470" s="3061"/>
      <c r="CD470" s="3061"/>
      <c r="CE470" s="3061"/>
      <c r="CF470" s="3061"/>
      <c r="CG470" s="3061"/>
      <c r="CH470" s="3061"/>
      <c r="CI470" s="3061"/>
      <c r="CJ470" s="3061"/>
      <c r="CK470" s="3061"/>
      <c r="CL470" s="3061"/>
      <c r="CM470" s="3061"/>
      <c r="CN470" s="3061"/>
      <c r="CO470" s="3061"/>
      <c r="CP470" s="3061"/>
      <c r="CQ470" s="3061"/>
      <c r="CR470" s="3061"/>
      <c r="CS470" s="3062"/>
      <c r="CT470" s="3063"/>
      <c r="CU470" s="3064">
        <f t="shared" si="120"/>
        <v>1</v>
      </c>
      <c r="CV470" s="3022" t="str">
        <f>IF(OR(CT470="",CT470="None"),"-",DO470*CU470*SUMIF('Lighting Assumptions'!$G$3:$G$112,'6a - Lighting Counts'!G470,'Lighting Assumptions'!$J$3:$J$112))</f>
        <v>-</v>
      </c>
      <c r="CW470" s="3021"/>
      <c r="CX470" s="3021"/>
      <c r="CY470" s="3046"/>
      <c r="CZ470" s="2098">
        <f t="shared" si="121"/>
        <v>0</v>
      </c>
      <c r="DA470" s="2098" t="str">
        <f t="shared" si="122"/>
        <v>-</v>
      </c>
      <c r="DB470" s="2098">
        <f t="shared" si="123"/>
        <v>0</v>
      </c>
      <c r="DC470" s="3023" t="str">
        <f t="shared" si="124"/>
        <v>-</v>
      </c>
      <c r="DD470" s="3024" t="str">
        <f t="shared" si="125"/>
        <v/>
      </c>
      <c r="DE470" s="3025" t="str">
        <f t="shared" si="126"/>
        <v>-</v>
      </c>
      <c r="DF470" s="3024" t="str">
        <f t="shared" si="117"/>
        <v>-</v>
      </c>
      <c r="DG470" s="2098">
        <f t="shared" si="127"/>
        <v>0</v>
      </c>
      <c r="DH470" s="2098">
        <f t="array" ref="DH470">MIN(SUMPRODUCT(I470:CR470,IF($I$25:$CR$25="yes",1,0),$I$23:$CR$23),H470)</f>
        <v>0</v>
      </c>
      <c r="DI470" s="3026"/>
      <c r="DJ470" s="3021"/>
      <c r="DN470" s="917" t="str">
        <f>IF(CS470="","-",SUMIF('Lighting Assumptions'!$G$3:$G$112,'6a - Lighting Counts'!G470,'Lighting Assumptions'!$J$3:$J$112))</f>
        <v>-</v>
      </c>
      <c r="DO470" s="917" t="str">
        <f t="shared" si="118"/>
        <v>-</v>
      </c>
      <c r="DP470" s="917" t="str">
        <f t="shared" si="119"/>
        <v>-</v>
      </c>
      <c r="DQ470" s="917" t="str">
        <f>IF(LEFT(CELLformula(DF470),3)&lt;&gt;"=IF",1,"")</f>
        <v/>
      </c>
      <c r="DR470" s="917" t="str">
        <f>IF(LEFT(CELLformula(DD470),3)&lt;&gt;"=IF",1,"")</f>
        <v/>
      </c>
      <c r="DS470" s="3048">
        <f t="shared" si="128"/>
        <v>0</v>
      </c>
      <c r="DT470" s="3047" t="str">
        <f t="shared" si="129"/>
        <v/>
      </c>
      <c r="DU470" s="3047" t="str">
        <f>IFERROR(IF(G470="","",SUMIF('Lighting Assumptions'!$G$3:$G$112,'6a - Lighting Counts'!G470,'Lighting Assumptions'!$H$3:$H$112)*IF(SI_IP_Units="SI",10.76,1)),"")</f>
        <v/>
      </c>
      <c r="DV470" s="3047" t="str">
        <f>IFERROR(IF($CX470="","",IF(SI_IP_Units="SI",10.76,1)*SUMIF(BAMCategories,$CY470,'Lighting Assumptions'!$E$3:E$35)),"")</f>
        <v/>
      </c>
      <c r="DW470" s="3047" t="str">
        <f>IFERROR(IF($CX470="","",IF(SI_IP_Units="SI",10.76,1)*SUMIF(BAMCategories,$CY470,IF(bpf_reference="ACP",'Lighting Assumptions 90.1-2010'!$E$3:E$35,'Lighting Assumptions 90.1-2016'!$E$3:E$35))),"")</f>
        <v/>
      </c>
      <c r="EW470" s="855"/>
      <c r="EX470" s="855"/>
      <c r="EY470" s="855"/>
      <c r="EZ470" s="855"/>
    </row>
    <row r="471" spans="4:156" x14ac:dyDescent="0.25">
      <c r="D471" s="3029"/>
      <c r="E471" s="3028"/>
      <c r="F471" s="3021">
        <f t="shared" si="116"/>
        <v>0</v>
      </c>
      <c r="G471" s="3059"/>
      <c r="H471" s="3060"/>
      <c r="I471" s="3061"/>
      <c r="J471" s="3061"/>
      <c r="K471" s="3061"/>
      <c r="L471" s="3061"/>
      <c r="M471" s="3061"/>
      <c r="N471" s="3061"/>
      <c r="O471" s="3061"/>
      <c r="P471" s="3061"/>
      <c r="Q471" s="3061"/>
      <c r="R471" s="3061"/>
      <c r="S471" s="3061"/>
      <c r="T471" s="3061"/>
      <c r="U471" s="3061"/>
      <c r="V471" s="3061"/>
      <c r="W471" s="3061"/>
      <c r="X471" s="3061"/>
      <c r="Y471" s="3061"/>
      <c r="Z471" s="3061"/>
      <c r="AA471" s="3061"/>
      <c r="AB471" s="3061"/>
      <c r="AC471" s="3061"/>
      <c r="AD471" s="3061"/>
      <c r="AE471" s="3061"/>
      <c r="AF471" s="3061"/>
      <c r="AG471" s="3061"/>
      <c r="AH471" s="3061"/>
      <c r="AI471" s="3061"/>
      <c r="AJ471" s="3061"/>
      <c r="AK471" s="3061"/>
      <c r="AL471" s="3061"/>
      <c r="AM471" s="3061"/>
      <c r="AN471" s="3061"/>
      <c r="AO471" s="3061"/>
      <c r="AP471" s="3061"/>
      <c r="AQ471" s="3061"/>
      <c r="AR471" s="3061"/>
      <c r="AS471" s="3061"/>
      <c r="AT471" s="3061"/>
      <c r="AU471" s="3061"/>
      <c r="AV471" s="3061"/>
      <c r="AW471" s="3061"/>
      <c r="AX471" s="3061"/>
      <c r="AY471" s="3061"/>
      <c r="AZ471" s="3061"/>
      <c r="BA471" s="3061"/>
      <c r="BB471" s="3061"/>
      <c r="BC471" s="3061"/>
      <c r="BD471" s="3061"/>
      <c r="BE471" s="3061"/>
      <c r="BF471" s="3061"/>
      <c r="BG471" s="3061"/>
      <c r="BH471" s="3061"/>
      <c r="BI471" s="3061"/>
      <c r="BJ471" s="3061"/>
      <c r="BK471" s="3061"/>
      <c r="BL471" s="3061"/>
      <c r="BM471" s="3061"/>
      <c r="BN471" s="3061"/>
      <c r="BO471" s="3061"/>
      <c r="BP471" s="3061"/>
      <c r="BQ471" s="3061"/>
      <c r="BR471" s="3061"/>
      <c r="BS471" s="3061"/>
      <c r="BT471" s="3061"/>
      <c r="BU471" s="3061"/>
      <c r="BV471" s="3061"/>
      <c r="BW471" s="3061"/>
      <c r="BX471" s="3061"/>
      <c r="BY471" s="3061"/>
      <c r="BZ471" s="3061"/>
      <c r="CA471" s="3061"/>
      <c r="CB471" s="3061"/>
      <c r="CC471" s="3061"/>
      <c r="CD471" s="3061"/>
      <c r="CE471" s="3061"/>
      <c r="CF471" s="3061"/>
      <c r="CG471" s="3061"/>
      <c r="CH471" s="3061"/>
      <c r="CI471" s="3061"/>
      <c r="CJ471" s="3061"/>
      <c r="CK471" s="3061"/>
      <c r="CL471" s="3061"/>
      <c r="CM471" s="3061"/>
      <c r="CN471" s="3061"/>
      <c r="CO471" s="3061"/>
      <c r="CP471" s="3061"/>
      <c r="CQ471" s="3061"/>
      <c r="CR471" s="3061"/>
      <c r="CS471" s="3062"/>
      <c r="CT471" s="3063"/>
      <c r="CU471" s="3064">
        <f t="shared" si="120"/>
        <v>1</v>
      </c>
      <c r="CV471" s="3022" t="str">
        <f>IF(OR(CT471="",CT471="None"),"-",DO471*CU471*SUMIF('Lighting Assumptions'!$G$3:$G$112,'6a - Lighting Counts'!G471,'Lighting Assumptions'!$J$3:$J$112))</f>
        <v>-</v>
      </c>
      <c r="CW471" s="3021"/>
      <c r="CX471" s="3021"/>
      <c r="CY471" s="3046"/>
      <c r="CZ471" s="2098">
        <f t="shared" si="121"/>
        <v>0</v>
      </c>
      <c r="DA471" s="2098" t="str">
        <f t="shared" si="122"/>
        <v>-</v>
      </c>
      <c r="DB471" s="2098">
        <f t="shared" si="123"/>
        <v>0</v>
      </c>
      <c r="DC471" s="3023" t="str">
        <f t="shared" si="124"/>
        <v>-</v>
      </c>
      <c r="DD471" s="3024" t="str">
        <f t="shared" si="125"/>
        <v/>
      </c>
      <c r="DE471" s="3025" t="str">
        <f t="shared" si="126"/>
        <v>-</v>
      </c>
      <c r="DF471" s="3024" t="str">
        <f t="shared" si="117"/>
        <v>-</v>
      </c>
      <c r="DG471" s="2098">
        <f t="shared" si="127"/>
        <v>0</v>
      </c>
      <c r="DH471" s="2098">
        <f t="array" ref="DH471">MIN(SUMPRODUCT(I471:CR471,IF($I$25:$CR$25="yes",1,0),$I$23:$CR$23),H471)</f>
        <v>0</v>
      </c>
      <c r="DI471" s="3026"/>
      <c r="DJ471" s="3021"/>
      <c r="DN471" s="917" t="str">
        <f>IF(CS471="","-",SUMIF('Lighting Assumptions'!$G$3:$G$112,'6a - Lighting Counts'!G471,'Lighting Assumptions'!$J$3:$J$112))</f>
        <v>-</v>
      </c>
      <c r="DO471" s="917" t="str">
        <f t="shared" si="118"/>
        <v>-</v>
      </c>
      <c r="DP471" s="917" t="str">
        <f t="shared" si="119"/>
        <v>-</v>
      </c>
      <c r="DQ471" s="917" t="str">
        <f>IF(LEFT(CELLformula(DF471),3)&lt;&gt;"=IF",1,"")</f>
        <v/>
      </c>
      <c r="DR471" s="917" t="str">
        <f>IF(LEFT(CELLformula(DD471),3)&lt;&gt;"=IF",1,"")</f>
        <v/>
      </c>
      <c r="DS471" s="3048">
        <f t="shared" si="128"/>
        <v>0</v>
      </c>
      <c r="DT471" s="3047" t="str">
        <f t="shared" si="129"/>
        <v/>
      </c>
      <c r="DU471" s="3047" t="str">
        <f>IFERROR(IF(G471="","",SUMIF('Lighting Assumptions'!$G$3:$G$112,'6a - Lighting Counts'!G471,'Lighting Assumptions'!$H$3:$H$112)*IF(SI_IP_Units="SI",10.76,1)),"")</f>
        <v/>
      </c>
      <c r="DV471" s="3047" t="str">
        <f>IFERROR(IF($CX471="","",IF(SI_IP_Units="SI",10.76,1)*SUMIF(BAMCategories,$CY471,'Lighting Assumptions'!$E$3:E$35)),"")</f>
        <v/>
      </c>
      <c r="DW471" s="3047" t="str">
        <f>IFERROR(IF($CX471="","",IF(SI_IP_Units="SI",10.76,1)*SUMIF(BAMCategories,$CY471,IF(bpf_reference="ACP",'Lighting Assumptions 90.1-2010'!$E$3:E$35,'Lighting Assumptions 90.1-2016'!$E$3:E$35))),"")</f>
        <v/>
      </c>
      <c r="EW471" s="855"/>
      <c r="EX471" s="855"/>
      <c r="EY471" s="855"/>
      <c r="EZ471" s="855"/>
    </row>
    <row r="472" spans="4:156" x14ac:dyDescent="0.25">
      <c r="D472" s="3029"/>
      <c r="E472" s="3028"/>
      <c r="F472" s="3021">
        <f t="shared" si="116"/>
        <v>0</v>
      </c>
      <c r="G472" s="3059"/>
      <c r="H472" s="3060"/>
      <c r="I472" s="3061"/>
      <c r="J472" s="3061"/>
      <c r="K472" s="3061"/>
      <c r="L472" s="3061"/>
      <c r="M472" s="3061"/>
      <c r="N472" s="3061"/>
      <c r="O472" s="3061"/>
      <c r="P472" s="3061"/>
      <c r="Q472" s="3061"/>
      <c r="R472" s="3061"/>
      <c r="S472" s="3061"/>
      <c r="T472" s="3061"/>
      <c r="U472" s="3061"/>
      <c r="V472" s="3061"/>
      <c r="W472" s="3061"/>
      <c r="X472" s="3061"/>
      <c r="Y472" s="3061"/>
      <c r="Z472" s="3061"/>
      <c r="AA472" s="3061"/>
      <c r="AB472" s="3061"/>
      <c r="AC472" s="3061"/>
      <c r="AD472" s="3061"/>
      <c r="AE472" s="3061"/>
      <c r="AF472" s="3061"/>
      <c r="AG472" s="3061"/>
      <c r="AH472" s="3061"/>
      <c r="AI472" s="3061"/>
      <c r="AJ472" s="3061"/>
      <c r="AK472" s="3061"/>
      <c r="AL472" s="3061"/>
      <c r="AM472" s="3061"/>
      <c r="AN472" s="3061"/>
      <c r="AO472" s="3061"/>
      <c r="AP472" s="3061"/>
      <c r="AQ472" s="3061"/>
      <c r="AR472" s="3061"/>
      <c r="AS472" s="3061"/>
      <c r="AT472" s="3061"/>
      <c r="AU472" s="3061"/>
      <c r="AV472" s="3061"/>
      <c r="AW472" s="3061"/>
      <c r="AX472" s="3061"/>
      <c r="AY472" s="3061"/>
      <c r="AZ472" s="3061"/>
      <c r="BA472" s="3061"/>
      <c r="BB472" s="3061"/>
      <c r="BC472" s="3061"/>
      <c r="BD472" s="3061"/>
      <c r="BE472" s="3061"/>
      <c r="BF472" s="3061"/>
      <c r="BG472" s="3061"/>
      <c r="BH472" s="3061"/>
      <c r="BI472" s="3061"/>
      <c r="BJ472" s="3061"/>
      <c r="BK472" s="3061"/>
      <c r="BL472" s="3061"/>
      <c r="BM472" s="3061"/>
      <c r="BN472" s="3061"/>
      <c r="BO472" s="3061"/>
      <c r="BP472" s="3061"/>
      <c r="BQ472" s="3061"/>
      <c r="BR472" s="3061"/>
      <c r="BS472" s="3061"/>
      <c r="BT472" s="3061"/>
      <c r="BU472" s="3061"/>
      <c r="BV472" s="3061"/>
      <c r="BW472" s="3061"/>
      <c r="BX472" s="3061"/>
      <c r="BY472" s="3061"/>
      <c r="BZ472" s="3061"/>
      <c r="CA472" s="3061"/>
      <c r="CB472" s="3061"/>
      <c r="CC472" s="3061"/>
      <c r="CD472" s="3061"/>
      <c r="CE472" s="3061"/>
      <c r="CF472" s="3061"/>
      <c r="CG472" s="3061"/>
      <c r="CH472" s="3061"/>
      <c r="CI472" s="3061"/>
      <c r="CJ472" s="3061"/>
      <c r="CK472" s="3061"/>
      <c r="CL472" s="3061"/>
      <c r="CM472" s="3061"/>
      <c r="CN472" s="3061"/>
      <c r="CO472" s="3061"/>
      <c r="CP472" s="3061"/>
      <c r="CQ472" s="3061"/>
      <c r="CR472" s="3061"/>
      <c r="CS472" s="3062"/>
      <c r="CT472" s="3063"/>
      <c r="CU472" s="3064">
        <f t="shared" si="120"/>
        <v>1</v>
      </c>
      <c r="CV472" s="3022" t="str">
        <f>IF(OR(CT472="",CT472="None"),"-",DO472*CU472*SUMIF('Lighting Assumptions'!$G$3:$G$112,'6a - Lighting Counts'!G472,'Lighting Assumptions'!$J$3:$J$112))</f>
        <v>-</v>
      </c>
      <c r="CW472" s="3021"/>
      <c r="CX472" s="3021"/>
      <c r="CY472" s="3046"/>
      <c r="CZ472" s="2098">
        <f t="shared" si="121"/>
        <v>0</v>
      </c>
      <c r="DA472" s="2098" t="str">
        <f t="shared" si="122"/>
        <v>-</v>
      </c>
      <c r="DB472" s="2098">
        <f t="shared" si="123"/>
        <v>0</v>
      </c>
      <c r="DC472" s="3023" t="str">
        <f t="shared" si="124"/>
        <v>-</v>
      </c>
      <c r="DD472" s="3024" t="str">
        <f t="shared" si="125"/>
        <v/>
      </c>
      <c r="DE472" s="3025" t="str">
        <f t="shared" si="126"/>
        <v>-</v>
      </c>
      <c r="DF472" s="3024" t="str">
        <f t="shared" si="117"/>
        <v>-</v>
      </c>
      <c r="DG472" s="2098">
        <f t="shared" si="127"/>
        <v>0</v>
      </c>
      <c r="DH472" s="2098">
        <f t="array" ref="DH472">MIN(SUMPRODUCT(I472:CR472,IF($I$25:$CR$25="yes",1,0),$I$23:$CR$23),H472)</f>
        <v>0</v>
      </c>
      <c r="DI472" s="3026"/>
      <c r="DJ472" s="3021"/>
      <c r="DN472" s="917" t="str">
        <f>IF(CS472="","-",SUMIF('Lighting Assumptions'!$G$3:$G$112,'6a - Lighting Counts'!G472,'Lighting Assumptions'!$J$3:$J$112))</f>
        <v>-</v>
      </c>
      <c r="DO472" s="917" t="str">
        <f t="shared" si="118"/>
        <v>-</v>
      </c>
      <c r="DP472" s="917" t="str">
        <f t="shared" si="119"/>
        <v>-</v>
      </c>
      <c r="DQ472" s="917" t="str">
        <f>IF(LEFT(CELLformula(DF472),3)&lt;&gt;"=IF",1,"")</f>
        <v/>
      </c>
      <c r="DR472" s="917" t="str">
        <f>IF(LEFT(CELLformula(DD472),3)&lt;&gt;"=IF",1,"")</f>
        <v/>
      </c>
      <c r="DS472" s="3048">
        <f t="shared" si="128"/>
        <v>0</v>
      </c>
      <c r="DT472" s="3047" t="str">
        <f t="shared" si="129"/>
        <v/>
      </c>
      <c r="DU472" s="3047" t="str">
        <f>IFERROR(IF(G472="","",SUMIF('Lighting Assumptions'!$G$3:$G$112,'6a - Lighting Counts'!G472,'Lighting Assumptions'!$H$3:$H$112)*IF(SI_IP_Units="SI",10.76,1)),"")</f>
        <v/>
      </c>
      <c r="DV472" s="3047" t="str">
        <f>IFERROR(IF($CX472="","",IF(SI_IP_Units="SI",10.76,1)*SUMIF(BAMCategories,$CY472,'Lighting Assumptions'!$E$3:E$35)),"")</f>
        <v/>
      </c>
      <c r="DW472" s="3047" t="str">
        <f>IFERROR(IF($CX472="","",IF(SI_IP_Units="SI",10.76,1)*SUMIF(BAMCategories,$CY472,IF(bpf_reference="ACP",'Lighting Assumptions 90.1-2010'!$E$3:E$35,'Lighting Assumptions 90.1-2016'!$E$3:E$35))),"")</f>
        <v/>
      </c>
      <c r="EW472" s="855"/>
      <c r="EX472" s="855"/>
      <c r="EY472" s="855"/>
      <c r="EZ472" s="855"/>
    </row>
    <row r="473" spans="4:156" x14ac:dyDescent="0.25">
      <c r="D473" s="3029"/>
      <c r="E473" s="3028"/>
      <c r="F473" s="3021">
        <f t="shared" si="116"/>
        <v>0</v>
      </c>
      <c r="G473" s="3059"/>
      <c r="H473" s="3060"/>
      <c r="I473" s="3061"/>
      <c r="J473" s="3061"/>
      <c r="K473" s="3061"/>
      <c r="L473" s="3061"/>
      <c r="M473" s="3061"/>
      <c r="N473" s="3061"/>
      <c r="O473" s="3061"/>
      <c r="P473" s="3061"/>
      <c r="Q473" s="3061"/>
      <c r="R473" s="3061"/>
      <c r="S473" s="3061"/>
      <c r="T473" s="3061"/>
      <c r="U473" s="3061"/>
      <c r="V473" s="3061"/>
      <c r="W473" s="3061"/>
      <c r="X473" s="3061"/>
      <c r="Y473" s="3061"/>
      <c r="Z473" s="3061"/>
      <c r="AA473" s="3061"/>
      <c r="AB473" s="3061"/>
      <c r="AC473" s="3061"/>
      <c r="AD473" s="3061"/>
      <c r="AE473" s="3061"/>
      <c r="AF473" s="3061"/>
      <c r="AG473" s="3061"/>
      <c r="AH473" s="3061"/>
      <c r="AI473" s="3061"/>
      <c r="AJ473" s="3061"/>
      <c r="AK473" s="3061"/>
      <c r="AL473" s="3061"/>
      <c r="AM473" s="3061"/>
      <c r="AN473" s="3061"/>
      <c r="AO473" s="3061"/>
      <c r="AP473" s="3061"/>
      <c r="AQ473" s="3061"/>
      <c r="AR473" s="3061"/>
      <c r="AS473" s="3061"/>
      <c r="AT473" s="3061"/>
      <c r="AU473" s="3061"/>
      <c r="AV473" s="3061"/>
      <c r="AW473" s="3061"/>
      <c r="AX473" s="3061"/>
      <c r="AY473" s="3061"/>
      <c r="AZ473" s="3061"/>
      <c r="BA473" s="3061"/>
      <c r="BB473" s="3061"/>
      <c r="BC473" s="3061"/>
      <c r="BD473" s="3061"/>
      <c r="BE473" s="3061"/>
      <c r="BF473" s="3061"/>
      <c r="BG473" s="3061"/>
      <c r="BH473" s="3061"/>
      <c r="BI473" s="3061"/>
      <c r="BJ473" s="3061"/>
      <c r="BK473" s="3061"/>
      <c r="BL473" s="3061"/>
      <c r="BM473" s="3061"/>
      <c r="BN473" s="3061"/>
      <c r="BO473" s="3061"/>
      <c r="BP473" s="3061"/>
      <c r="BQ473" s="3061"/>
      <c r="BR473" s="3061"/>
      <c r="BS473" s="3061"/>
      <c r="BT473" s="3061"/>
      <c r="BU473" s="3061"/>
      <c r="BV473" s="3061"/>
      <c r="BW473" s="3061"/>
      <c r="BX473" s="3061"/>
      <c r="BY473" s="3061"/>
      <c r="BZ473" s="3061"/>
      <c r="CA473" s="3061"/>
      <c r="CB473" s="3061"/>
      <c r="CC473" s="3061"/>
      <c r="CD473" s="3061"/>
      <c r="CE473" s="3061"/>
      <c r="CF473" s="3061"/>
      <c r="CG473" s="3061"/>
      <c r="CH473" s="3061"/>
      <c r="CI473" s="3061"/>
      <c r="CJ473" s="3061"/>
      <c r="CK473" s="3061"/>
      <c r="CL473" s="3061"/>
      <c r="CM473" s="3061"/>
      <c r="CN473" s="3061"/>
      <c r="CO473" s="3061"/>
      <c r="CP473" s="3061"/>
      <c r="CQ473" s="3061"/>
      <c r="CR473" s="3061"/>
      <c r="CS473" s="3062"/>
      <c r="CT473" s="3063"/>
      <c r="CU473" s="3064">
        <f t="shared" si="120"/>
        <v>1</v>
      </c>
      <c r="CV473" s="3022" t="str">
        <f>IF(OR(CT473="",CT473="None"),"-",DO473*CU473*SUMIF('Lighting Assumptions'!$G$3:$G$112,'6a - Lighting Counts'!G473,'Lighting Assumptions'!$J$3:$J$112))</f>
        <v>-</v>
      </c>
      <c r="CW473" s="3021"/>
      <c r="CX473" s="3021"/>
      <c r="CY473" s="3046"/>
      <c r="CZ473" s="2098">
        <f t="shared" si="121"/>
        <v>0</v>
      </c>
      <c r="DA473" s="2098" t="str">
        <f t="shared" si="122"/>
        <v>-</v>
      </c>
      <c r="DB473" s="2098">
        <f t="shared" si="123"/>
        <v>0</v>
      </c>
      <c r="DC473" s="3023" t="str">
        <f t="shared" si="124"/>
        <v>-</v>
      </c>
      <c r="DD473" s="3024" t="str">
        <f t="shared" si="125"/>
        <v/>
      </c>
      <c r="DE473" s="3025" t="str">
        <f t="shared" si="126"/>
        <v>-</v>
      </c>
      <c r="DF473" s="3024" t="str">
        <f t="shared" si="117"/>
        <v>-</v>
      </c>
      <c r="DG473" s="2098">
        <f t="shared" si="127"/>
        <v>0</v>
      </c>
      <c r="DH473" s="2098">
        <f t="array" ref="DH473">MIN(SUMPRODUCT(I473:CR473,IF($I$25:$CR$25="yes",1,0),$I$23:$CR$23),H473)</f>
        <v>0</v>
      </c>
      <c r="DI473" s="3026"/>
      <c r="DJ473" s="3021"/>
      <c r="DN473" s="917" t="str">
        <f>IF(CS473="","-",SUMIF('Lighting Assumptions'!$G$3:$G$112,'6a - Lighting Counts'!G473,'Lighting Assumptions'!$J$3:$J$112))</f>
        <v>-</v>
      </c>
      <c r="DO473" s="917" t="str">
        <f t="shared" si="118"/>
        <v>-</v>
      </c>
      <c r="DP473" s="917" t="str">
        <f t="shared" si="119"/>
        <v>-</v>
      </c>
      <c r="DQ473" s="917" t="str">
        <f>IF(LEFT(CELLformula(DF473),3)&lt;&gt;"=IF",1,"")</f>
        <v/>
      </c>
      <c r="DR473" s="917" t="str">
        <f>IF(LEFT(CELLformula(DD473),3)&lt;&gt;"=IF",1,"")</f>
        <v/>
      </c>
      <c r="DS473" s="3048">
        <f t="shared" si="128"/>
        <v>0</v>
      </c>
      <c r="DT473" s="3047" t="str">
        <f t="shared" si="129"/>
        <v/>
      </c>
      <c r="DU473" s="3047" t="str">
        <f>IFERROR(IF(G473="","",SUMIF('Lighting Assumptions'!$G$3:$G$112,'6a - Lighting Counts'!G473,'Lighting Assumptions'!$H$3:$H$112)*IF(SI_IP_Units="SI",10.76,1)),"")</f>
        <v/>
      </c>
      <c r="DV473" s="3047" t="str">
        <f>IFERROR(IF($CX473="","",IF(SI_IP_Units="SI",10.76,1)*SUMIF(BAMCategories,$CY473,'Lighting Assumptions'!$E$3:E$35)),"")</f>
        <v/>
      </c>
      <c r="DW473" s="3047" t="str">
        <f>IFERROR(IF($CX473="","",IF(SI_IP_Units="SI",10.76,1)*SUMIF(BAMCategories,$CY473,IF(bpf_reference="ACP",'Lighting Assumptions 90.1-2010'!$E$3:E$35,'Lighting Assumptions 90.1-2016'!$E$3:E$35))),"")</f>
        <v/>
      </c>
      <c r="EW473" s="855"/>
      <c r="EX473" s="855"/>
      <c r="EY473" s="855"/>
      <c r="EZ473" s="855"/>
    </row>
    <row r="474" spans="4:156" x14ac:dyDescent="0.25">
      <c r="D474" s="3029"/>
      <c r="E474" s="3028"/>
      <c r="F474" s="3021">
        <f t="shared" si="116"/>
        <v>0</v>
      </c>
      <c r="G474" s="3059"/>
      <c r="H474" s="3060"/>
      <c r="I474" s="3061"/>
      <c r="J474" s="3061"/>
      <c r="K474" s="3061"/>
      <c r="L474" s="3061"/>
      <c r="M474" s="3061"/>
      <c r="N474" s="3061"/>
      <c r="O474" s="3061"/>
      <c r="P474" s="3061"/>
      <c r="Q474" s="3061"/>
      <c r="R474" s="3061"/>
      <c r="S474" s="3061"/>
      <c r="T474" s="3061"/>
      <c r="U474" s="3061"/>
      <c r="V474" s="3061"/>
      <c r="W474" s="3061"/>
      <c r="X474" s="3061"/>
      <c r="Y474" s="3061"/>
      <c r="Z474" s="3061"/>
      <c r="AA474" s="3061"/>
      <c r="AB474" s="3061"/>
      <c r="AC474" s="3061"/>
      <c r="AD474" s="3061"/>
      <c r="AE474" s="3061"/>
      <c r="AF474" s="3061"/>
      <c r="AG474" s="3061"/>
      <c r="AH474" s="3061"/>
      <c r="AI474" s="3061"/>
      <c r="AJ474" s="3061"/>
      <c r="AK474" s="3061"/>
      <c r="AL474" s="3061"/>
      <c r="AM474" s="3061"/>
      <c r="AN474" s="3061"/>
      <c r="AO474" s="3061"/>
      <c r="AP474" s="3061"/>
      <c r="AQ474" s="3061"/>
      <c r="AR474" s="3061"/>
      <c r="AS474" s="3061"/>
      <c r="AT474" s="3061"/>
      <c r="AU474" s="3061"/>
      <c r="AV474" s="3061"/>
      <c r="AW474" s="3061"/>
      <c r="AX474" s="3061"/>
      <c r="AY474" s="3061"/>
      <c r="AZ474" s="3061"/>
      <c r="BA474" s="3061"/>
      <c r="BB474" s="3061"/>
      <c r="BC474" s="3061"/>
      <c r="BD474" s="3061"/>
      <c r="BE474" s="3061"/>
      <c r="BF474" s="3061"/>
      <c r="BG474" s="3061"/>
      <c r="BH474" s="3061"/>
      <c r="BI474" s="3061"/>
      <c r="BJ474" s="3061"/>
      <c r="BK474" s="3061"/>
      <c r="BL474" s="3061"/>
      <c r="BM474" s="3061"/>
      <c r="BN474" s="3061"/>
      <c r="BO474" s="3061"/>
      <c r="BP474" s="3061"/>
      <c r="BQ474" s="3061"/>
      <c r="BR474" s="3061"/>
      <c r="BS474" s="3061"/>
      <c r="BT474" s="3061"/>
      <c r="BU474" s="3061"/>
      <c r="BV474" s="3061"/>
      <c r="BW474" s="3061"/>
      <c r="BX474" s="3061"/>
      <c r="BY474" s="3061"/>
      <c r="BZ474" s="3061"/>
      <c r="CA474" s="3061"/>
      <c r="CB474" s="3061"/>
      <c r="CC474" s="3061"/>
      <c r="CD474" s="3061"/>
      <c r="CE474" s="3061"/>
      <c r="CF474" s="3061"/>
      <c r="CG474" s="3061"/>
      <c r="CH474" s="3061"/>
      <c r="CI474" s="3061"/>
      <c r="CJ474" s="3061"/>
      <c r="CK474" s="3061"/>
      <c r="CL474" s="3061"/>
      <c r="CM474" s="3061"/>
      <c r="CN474" s="3061"/>
      <c r="CO474" s="3061"/>
      <c r="CP474" s="3061"/>
      <c r="CQ474" s="3061"/>
      <c r="CR474" s="3061"/>
      <c r="CS474" s="3062"/>
      <c r="CT474" s="3063"/>
      <c r="CU474" s="3064">
        <f t="shared" si="120"/>
        <v>1</v>
      </c>
      <c r="CV474" s="3022" t="str">
        <f>IF(OR(CT474="",CT474="None"),"-",DO474*CU474*SUMIF('Lighting Assumptions'!$G$3:$G$112,'6a - Lighting Counts'!G474,'Lighting Assumptions'!$J$3:$J$112))</f>
        <v>-</v>
      </c>
      <c r="CW474" s="3021"/>
      <c r="CX474" s="3021"/>
      <c r="CY474" s="3046"/>
      <c r="CZ474" s="2098">
        <f t="shared" si="121"/>
        <v>0</v>
      </c>
      <c r="DA474" s="2098" t="str">
        <f t="shared" si="122"/>
        <v>-</v>
      </c>
      <c r="DB474" s="2098">
        <f t="shared" si="123"/>
        <v>0</v>
      </c>
      <c r="DC474" s="3023" t="str">
        <f t="shared" si="124"/>
        <v>-</v>
      </c>
      <c r="DD474" s="3024" t="str">
        <f t="shared" si="125"/>
        <v/>
      </c>
      <c r="DE474" s="3025" t="str">
        <f t="shared" si="126"/>
        <v>-</v>
      </c>
      <c r="DF474" s="3024" t="str">
        <f t="shared" si="117"/>
        <v>-</v>
      </c>
      <c r="DG474" s="2098">
        <f t="shared" si="127"/>
        <v>0</v>
      </c>
      <c r="DH474" s="2098">
        <f t="array" ref="DH474">MIN(SUMPRODUCT(I474:CR474,IF($I$25:$CR$25="yes",1,0),$I$23:$CR$23),H474)</f>
        <v>0</v>
      </c>
      <c r="DI474" s="3026"/>
      <c r="DJ474" s="3021"/>
      <c r="DN474" s="917" t="str">
        <f>IF(CS474="","-",SUMIF('Lighting Assumptions'!$G$3:$G$112,'6a - Lighting Counts'!G474,'Lighting Assumptions'!$J$3:$J$112))</f>
        <v>-</v>
      </c>
      <c r="DO474" s="917" t="str">
        <f t="shared" si="118"/>
        <v>-</v>
      </c>
      <c r="DP474" s="917" t="str">
        <f t="shared" si="119"/>
        <v>-</v>
      </c>
      <c r="DQ474" s="917" t="str">
        <f>IF(LEFT(CELLformula(DF474),3)&lt;&gt;"=IF",1,"")</f>
        <v/>
      </c>
      <c r="DR474" s="917" t="str">
        <f>IF(LEFT(CELLformula(DD474),3)&lt;&gt;"=IF",1,"")</f>
        <v/>
      </c>
      <c r="DS474" s="3048">
        <f t="shared" si="128"/>
        <v>0</v>
      </c>
      <c r="DT474" s="3047" t="str">
        <f t="shared" si="129"/>
        <v/>
      </c>
      <c r="DU474" s="3047" t="str">
        <f>IFERROR(IF(G474="","",SUMIF('Lighting Assumptions'!$G$3:$G$112,'6a - Lighting Counts'!G474,'Lighting Assumptions'!$H$3:$H$112)*IF(SI_IP_Units="SI",10.76,1)),"")</f>
        <v/>
      </c>
      <c r="DV474" s="3047" t="str">
        <f>IFERROR(IF($CX474="","",IF(SI_IP_Units="SI",10.76,1)*SUMIF(BAMCategories,$CY474,'Lighting Assumptions'!$E$3:E$35)),"")</f>
        <v/>
      </c>
      <c r="DW474" s="3047" t="str">
        <f>IFERROR(IF($CX474="","",IF(SI_IP_Units="SI",10.76,1)*SUMIF(BAMCategories,$CY474,IF(bpf_reference="ACP",'Lighting Assumptions 90.1-2010'!$E$3:E$35,'Lighting Assumptions 90.1-2016'!$E$3:E$35))),"")</f>
        <v/>
      </c>
      <c r="EW474" s="855"/>
      <c r="EX474" s="855"/>
      <c r="EY474" s="855"/>
      <c r="EZ474" s="855"/>
    </row>
    <row r="475" spans="4:156" x14ac:dyDescent="0.25">
      <c r="D475" s="3029"/>
      <c r="E475" s="3028"/>
      <c r="F475" s="3021">
        <f t="shared" si="116"/>
        <v>0</v>
      </c>
      <c r="G475" s="3059"/>
      <c r="H475" s="3060"/>
      <c r="I475" s="3061"/>
      <c r="J475" s="3061"/>
      <c r="K475" s="3061"/>
      <c r="L475" s="3061"/>
      <c r="M475" s="3061"/>
      <c r="N475" s="3061"/>
      <c r="O475" s="3061"/>
      <c r="P475" s="3061"/>
      <c r="Q475" s="3061"/>
      <c r="R475" s="3061"/>
      <c r="S475" s="3061"/>
      <c r="T475" s="3061"/>
      <c r="U475" s="3061"/>
      <c r="V475" s="3061"/>
      <c r="W475" s="3061"/>
      <c r="X475" s="3061"/>
      <c r="Y475" s="3061"/>
      <c r="Z475" s="3061"/>
      <c r="AA475" s="3061"/>
      <c r="AB475" s="3061"/>
      <c r="AC475" s="3061"/>
      <c r="AD475" s="3061"/>
      <c r="AE475" s="3061"/>
      <c r="AF475" s="3061"/>
      <c r="AG475" s="3061"/>
      <c r="AH475" s="3061"/>
      <c r="AI475" s="3061"/>
      <c r="AJ475" s="3061"/>
      <c r="AK475" s="3061"/>
      <c r="AL475" s="3061"/>
      <c r="AM475" s="3061"/>
      <c r="AN475" s="3061"/>
      <c r="AO475" s="3061"/>
      <c r="AP475" s="3061"/>
      <c r="AQ475" s="3061"/>
      <c r="AR475" s="3061"/>
      <c r="AS475" s="3061"/>
      <c r="AT475" s="3061"/>
      <c r="AU475" s="3061"/>
      <c r="AV475" s="3061"/>
      <c r="AW475" s="3061"/>
      <c r="AX475" s="3061"/>
      <c r="AY475" s="3061"/>
      <c r="AZ475" s="3061"/>
      <c r="BA475" s="3061"/>
      <c r="BB475" s="3061"/>
      <c r="BC475" s="3061"/>
      <c r="BD475" s="3061"/>
      <c r="BE475" s="3061"/>
      <c r="BF475" s="3061"/>
      <c r="BG475" s="3061"/>
      <c r="BH475" s="3061"/>
      <c r="BI475" s="3061"/>
      <c r="BJ475" s="3061"/>
      <c r="BK475" s="3061"/>
      <c r="BL475" s="3061"/>
      <c r="BM475" s="3061"/>
      <c r="BN475" s="3061"/>
      <c r="BO475" s="3061"/>
      <c r="BP475" s="3061"/>
      <c r="BQ475" s="3061"/>
      <c r="BR475" s="3061"/>
      <c r="BS475" s="3061"/>
      <c r="BT475" s="3061"/>
      <c r="BU475" s="3061"/>
      <c r="BV475" s="3061"/>
      <c r="BW475" s="3061"/>
      <c r="BX475" s="3061"/>
      <c r="BY475" s="3061"/>
      <c r="BZ475" s="3061"/>
      <c r="CA475" s="3061"/>
      <c r="CB475" s="3061"/>
      <c r="CC475" s="3061"/>
      <c r="CD475" s="3061"/>
      <c r="CE475" s="3061"/>
      <c r="CF475" s="3061"/>
      <c r="CG475" s="3061"/>
      <c r="CH475" s="3061"/>
      <c r="CI475" s="3061"/>
      <c r="CJ475" s="3061"/>
      <c r="CK475" s="3061"/>
      <c r="CL475" s="3061"/>
      <c r="CM475" s="3061"/>
      <c r="CN475" s="3061"/>
      <c r="CO475" s="3061"/>
      <c r="CP475" s="3061"/>
      <c r="CQ475" s="3061"/>
      <c r="CR475" s="3061"/>
      <c r="CS475" s="3062"/>
      <c r="CT475" s="3063"/>
      <c r="CU475" s="3064">
        <f t="shared" si="120"/>
        <v>1</v>
      </c>
      <c r="CV475" s="3022" t="str">
        <f>IF(OR(CT475="",CT475="None"),"-",DO475*CU475*SUMIF('Lighting Assumptions'!$G$3:$G$112,'6a - Lighting Counts'!G475,'Lighting Assumptions'!$J$3:$J$112))</f>
        <v>-</v>
      </c>
      <c r="CW475" s="3021"/>
      <c r="CX475" s="3021"/>
      <c r="CY475" s="3046"/>
      <c r="CZ475" s="2098">
        <f t="shared" si="121"/>
        <v>0</v>
      </c>
      <c r="DA475" s="2098" t="str">
        <f t="shared" si="122"/>
        <v>-</v>
      </c>
      <c r="DB475" s="2098">
        <f t="shared" si="123"/>
        <v>0</v>
      </c>
      <c r="DC475" s="3023" t="str">
        <f t="shared" si="124"/>
        <v>-</v>
      </c>
      <c r="DD475" s="3024" t="str">
        <f t="shared" si="125"/>
        <v/>
      </c>
      <c r="DE475" s="3025" t="str">
        <f t="shared" si="126"/>
        <v>-</v>
      </c>
      <c r="DF475" s="3024" t="str">
        <f t="shared" si="117"/>
        <v>-</v>
      </c>
      <c r="DG475" s="2098">
        <f t="shared" si="127"/>
        <v>0</v>
      </c>
      <c r="DH475" s="2098">
        <f t="array" ref="DH475">MIN(SUMPRODUCT(I475:CR475,IF($I$25:$CR$25="yes",1,0),$I$23:$CR$23),H475)</f>
        <v>0</v>
      </c>
      <c r="DI475" s="3026"/>
      <c r="DJ475" s="3021"/>
      <c r="DN475" s="917" t="str">
        <f>IF(CS475="","-",SUMIF('Lighting Assumptions'!$G$3:$G$112,'6a - Lighting Counts'!G475,'Lighting Assumptions'!$J$3:$J$112))</f>
        <v>-</v>
      </c>
      <c r="DO475" s="917" t="str">
        <f t="shared" si="118"/>
        <v>-</v>
      </c>
      <c r="DP475" s="917" t="str">
        <f t="shared" si="119"/>
        <v>-</v>
      </c>
      <c r="DQ475" s="917" t="str">
        <f>IF(LEFT(CELLformula(DF475),3)&lt;&gt;"=IF",1,"")</f>
        <v/>
      </c>
      <c r="DR475" s="917" t="str">
        <f>IF(LEFT(CELLformula(DD475),3)&lt;&gt;"=IF",1,"")</f>
        <v/>
      </c>
      <c r="DS475" s="3048">
        <f t="shared" si="128"/>
        <v>0</v>
      </c>
      <c r="DT475" s="3047" t="str">
        <f t="shared" si="129"/>
        <v/>
      </c>
      <c r="DU475" s="3047" t="str">
        <f>IFERROR(IF(G475="","",SUMIF('Lighting Assumptions'!$G$3:$G$112,'6a - Lighting Counts'!G475,'Lighting Assumptions'!$H$3:$H$112)*IF(SI_IP_Units="SI",10.76,1)),"")</f>
        <v/>
      </c>
      <c r="DV475" s="3047" t="str">
        <f>IFERROR(IF($CX475="","",IF(SI_IP_Units="SI",10.76,1)*SUMIF(BAMCategories,$CY475,'Lighting Assumptions'!$E$3:E$35)),"")</f>
        <v/>
      </c>
      <c r="DW475" s="3047" t="str">
        <f>IFERROR(IF($CX475="","",IF(SI_IP_Units="SI",10.76,1)*SUMIF(BAMCategories,$CY475,IF(bpf_reference="ACP",'Lighting Assumptions 90.1-2010'!$E$3:E$35,'Lighting Assumptions 90.1-2016'!$E$3:E$35))),"")</f>
        <v/>
      </c>
      <c r="EW475" s="855"/>
      <c r="EX475" s="855"/>
      <c r="EY475" s="855"/>
      <c r="EZ475" s="855"/>
    </row>
    <row r="476" spans="4:156" x14ac:dyDescent="0.25">
      <c r="D476" s="3029"/>
      <c r="E476" s="3028"/>
      <c r="F476" s="3021">
        <f t="shared" si="116"/>
        <v>0</v>
      </c>
      <c r="G476" s="3059"/>
      <c r="H476" s="3060"/>
      <c r="I476" s="3061"/>
      <c r="J476" s="3061"/>
      <c r="K476" s="3061"/>
      <c r="L476" s="3061"/>
      <c r="M476" s="3061"/>
      <c r="N476" s="3061"/>
      <c r="O476" s="3061"/>
      <c r="P476" s="3061"/>
      <c r="Q476" s="3061"/>
      <c r="R476" s="3061"/>
      <c r="S476" s="3061"/>
      <c r="T476" s="3061"/>
      <c r="U476" s="3061"/>
      <c r="V476" s="3061"/>
      <c r="W476" s="3061"/>
      <c r="X476" s="3061"/>
      <c r="Y476" s="3061"/>
      <c r="Z476" s="3061"/>
      <c r="AA476" s="3061"/>
      <c r="AB476" s="3061"/>
      <c r="AC476" s="3061"/>
      <c r="AD476" s="3061"/>
      <c r="AE476" s="3061"/>
      <c r="AF476" s="3061"/>
      <c r="AG476" s="3061"/>
      <c r="AH476" s="3061"/>
      <c r="AI476" s="3061"/>
      <c r="AJ476" s="3061"/>
      <c r="AK476" s="3061"/>
      <c r="AL476" s="3061"/>
      <c r="AM476" s="3061"/>
      <c r="AN476" s="3061"/>
      <c r="AO476" s="3061"/>
      <c r="AP476" s="3061"/>
      <c r="AQ476" s="3061"/>
      <c r="AR476" s="3061"/>
      <c r="AS476" s="3061"/>
      <c r="AT476" s="3061"/>
      <c r="AU476" s="3061"/>
      <c r="AV476" s="3061"/>
      <c r="AW476" s="3061"/>
      <c r="AX476" s="3061"/>
      <c r="AY476" s="3061"/>
      <c r="AZ476" s="3061"/>
      <c r="BA476" s="3061"/>
      <c r="BB476" s="3061"/>
      <c r="BC476" s="3061"/>
      <c r="BD476" s="3061"/>
      <c r="BE476" s="3061"/>
      <c r="BF476" s="3061"/>
      <c r="BG476" s="3061"/>
      <c r="BH476" s="3061"/>
      <c r="BI476" s="3061"/>
      <c r="BJ476" s="3061"/>
      <c r="BK476" s="3061"/>
      <c r="BL476" s="3061"/>
      <c r="BM476" s="3061"/>
      <c r="BN476" s="3061"/>
      <c r="BO476" s="3061"/>
      <c r="BP476" s="3061"/>
      <c r="BQ476" s="3061"/>
      <c r="BR476" s="3061"/>
      <c r="BS476" s="3061"/>
      <c r="BT476" s="3061"/>
      <c r="BU476" s="3061"/>
      <c r="BV476" s="3061"/>
      <c r="BW476" s="3061"/>
      <c r="BX476" s="3061"/>
      <c r="BY476" s="3061"/>
      <c r="BZ476" s="3061"/>
      <c r="CA476" s="3061"/>
      <c r="CB476" s="3061"/>
      <c r="CC476" s="3061"/>
      <c r="CD476" s="3061"/>
      <c r="CE476" s="3061"/>
      <c r="CF476" s="3061"/>
      <c r="CG476" s="3061"/>
      <c r="CH476" s="3061"/>
      <c r="CI476" s="3061"/>
      <c r="CJ476" s="3061"/>
      <c r="CK476" s="3061"/>
      <c r="CL476" s="3061"/>
      <c r="CM476" s="3061"/>
      <c r="CN476" s="3061"/>
      <c r="CO476" s="3061"/>
      <c r="CP476" s="3061"/>
      <c r="CQ476" s="3061"/>
      <c r="CR476" s="3061"/>
      <c r="CS476" s="3062"/>
      <c r="CT476" s="3063"/>
      <c r="CU476" s="3064">
        <f t="shared" si="120"/>
        <v>1</v>
      </c>
      <c r="CV476" s="3022" t="str">
        <f>IF(OR(CT476="",CT476="None"),"-",DO476*CU476*SUMIF('Lighting Assumptions'!$G$3:$G$112,'6a - Lighting Counts'!G476,'Lighting Assumptions'!$J$3:$J$112))</f>
        <v>-</v>
      </c>
      <c r="CW476" s="3021"/>
      <c r="CX476" s="3021"/>
      <c r="CY476" s="3046"/>
      <c r="CZ476" s="2098">
        <f t="shared" si="121"/>
        <v>0</v>
      </c>
      <c r="DA476" s="2098" t="str">
        <f t="shared" si="122"/>
        <v>-</v>
      </c>
      <c r="DB476" s="2098">
        <f t="shared" si="123"/>
        <v>0</v>
      </c>
      <c r="DC476" s="3023" t="str">
        <f t="shared" si="124"/>
        <v>-</v>
      </c>
      <c r="DD476" s="3024" t="str">
        <f t="shared" si="125"/>
        <v/>
      </c>
      <c r="DE476" s="3025" t="str">
        <f t="shared" si="126"/>
        <v>-</v>
      </c>
      <c r="DF476" s="3024" t="str">
        <f t="shared" si="117"/>
        <v>-</v>
      </c>
      <c r="DG476" s="2098">
        <f t="shared" si="127"/>
        <v>0</v>
      </c>
      <c r="DH476" s="2098">
        <f t="array" ref="DH476">MIN(SUMPRODUCT(I476:CR476,IF($I$25:$CR$25="yes",1,0),$I$23:$CR$23),H476)</f>
        <v>0</v>
      </c>
      <c r="DI476" s="3026"/>
      <c r="DJ476" s="3021"/>
      <c r="DN476" s="917" t="str">
        <f>IF(CS476="","-",SUMIF('Lighting Assumptions'!$G$3:$G$112,'6a - Lighting Counts'!G476,'Lighting Assumptions'!$J$3:$J$112))</f>
        <v>-</v>
      </c>
      <c r="DO476" s="917" t="str">
        <f t="shared" si="118"/>
        <v>-</v>
      </c>
      <c r="DP476" s="917" t="str">
        <f t="shared" si="119"/>
        <v>-</v>
      </c>
      <c r="DQ476" s="917" t="str">
        <f>IF(LEFT(CELLformula(DF476),3)&lt;&gt;"=IF",1,"")</f>
        <v/>
      </c>
      <c r="DR476" s="917" t="str">
        <f>IF(LEFT(CELLformula(DD476),3)&lt;&gt;"=IF",1,"")</f>
        <v/>
      </c>
      <c r="DS476" s="3048">
        <f t="shared" si="128"/>
        <v>0</v>
      </c>
      <c r="DT476" s="3047" t="str">
        <f t="shared" si="129"/>
        <v/>
      </c>
      <c r="DU476" s="3047" t="str">
        <f>IFERROR(IF(G476="","",SUMIF('Lighting Assumptions'!$G$3:$G$112,'6a - Lighting Counts'!G476,'Lighting Assumptions'!$H$3:$H$112)*IF(SI_IP_Units="SI",10.76,1)),"")</f>
        <v/>
      </c>
      <c r="DV476" s="3047" t="str">
        <f>IFERROR(IF($CX476="","",IF(SI_IP_Units="SI",10.76,1)*SUMIF(BAMCategories,$CY476,'Lighting Assumptions'!$E$3:E$35)),"")</f>
        <v/>
      </c>
      <c r="DW476" s="3047" t="str">
        <f>IFERROR(IF($CX476="","",IF(SI_IP_Units="SI",10.76,1)*SUMIF(BAMCategories,$CY476,IF(bpf_reference="ACP",'Lighting Assumptions 90.1-2010'!$E$3:E$35,'Lighting Assumptions 90.1-2016'!$E$3:E$35))),"")</f>
        <v/>
      </c>
      <c r="EW476" s="855"/>
      <c r="EX476" s="855"/>
      <c r="EY476" s="855"/>
      <c r="EZ476" s="855"/>
    </row>
    <row r="477" spans="4:156" x14ac:dyDescent="0.25">
      <c r="D477" s="3029"/>
      <c r="E477" s="3028"/>
      <c r="F477" s="3021">
        <f t="shared" ref="F477:F540" si="130">IF(ISBLANK(D477)=FALSE,1,0)</f>
        <v>0</v>
      </c>
      <c r="G477" s="3059"/>
      <c r="H477" s="3060"/>
      <c r="I477" s="3061"/>
      <c r="J477" s="3061"/>
      <c r="K477" s="3061"/>
      <c r="L477" s="3061"/>
      <c r="M477" s="3061"/>
      <c r="N477" s="3061"/>
      <c r="O477" s="3061"/>
      <c r="P477" s="3061"/>
      <c r="Q477" s="3061"/>
      <c r="R477" s="3061"/>
      <c r="S477" s="3061"/>
      <c r="T477" s="3061"/>
      <c r="U477" s="3061"/>
      <c r="V477" s="3061"/>
      <c r="W477" s="3061"/>
      <c r="X477" s="3061"/>
      <c r="Y477" s="3061"/>
      <c r="Z477" s="3061"/>
      <c r="AA477" s="3061"/>
      <c r="AB477" s="3061"/>
      <c r="AC477" s="3061"/>
      <c r="AD477" s="3061"/>
      <c r="AE477" s="3061"/>
      <c r="AF477" s="3061"/>
      <c r="AG477" s="3061"/>
      <c r="AH477" s="3061"/>
      <c r="AI477" s="3061"/>
      <c r="AJ477" s="3061"/>
      <c r="AK477" s="3061"/>
      <c r="AL477" s="3061"/>
      <c r="AM477" s="3061"/>
      <c r="AN477" s="3061"/>
      <c r="AO477" s="3061"/>
      <c r="AP477" s="3061"/>
      <c r="AQ477" s="3061"/>
      <c r="AR477" s="3061"/>
      <c r="AS477" s="3061"/>
      <c r="AT477" s="3061"/>
      <c r="AU477" s="3061"/>
      <c r="AV477" s="3061"/>
      <c r="AW477" s="3061"/>
      <c r="AX477" s="3061"/>
      <c r="AY477" s="3061"/>
      <c r="AZ477" s="3061"/>
      <c r="BA477" s="3061"/>
      <c r="BB477" s="3061"/>
      <c r="BC477" s="3061"/>
      <c r="BD477" s="3061"/>
      <c r="BE477" s="3061"/>
      <c r="BF477" s="3061"/>
      <c r="BG477" s="3061"/>
      <c r="BH477" s="3061"/>
      <c r="BI477" s="3061"/>
      <c r="BJ477" s="3061"/>
      <c r="BK477" s="3061"/>
      <c r="BL477" s="3061"/>
      <c r="BM477" s="3061"/>
      <c r="BN477" s="3061"/>
      <c r="BO477" s="3061"/>
      <c r="BP477" s="3061"/>
      <c r="BQ477" s="3061"/>
      <c r="BR477" s="3061"/>
      <c r="BS477" s="3061"/>
      <c r="BT477" s="3061"/>
      <c r="BU477" s="3061"/>
      <c r="BV477" s="3061"/>
      <c r="BW477" s="3061"/>
      <c r="BX477" s="3061"/>
      <c r="BY477" s="3061"/>
      <c r="BZ477" s="3061"/>
      <c r="CA477" s="3061"/>
      <c r="CB477" s="3061"/>
      <c r="CC477" s="3061"/>
      <c r="CD477" s="3061"/>
      <c r="CE477" s="3061"/>
      <c r="CF477" s="3061"/>
      <c r="CG477" s="3061"/>
      <c r="CH477" s="3061"/>
      <c r="CI477" s="3061"/>
      <c r="CJ477" s="3061"/>
      <c r="CK477" s="3061"/>
      <c r="CL477" s="3061"/>
      <c r="CM477" s="3061"/>
      <c r="CN477" s="3061"/>
      <c r="CO477" s="3061"/>
      <c r="CP477" s="3061"/>
      <c r="CQ477" s="3061"/>
      <c r="CR477" s="3061"/>
      <c r="CS477" s="3062"/>
      <c r="CT477" s="3063"/>
      <c r="CU477" s="3064">
        <f t="shared" si="120"/>
        <v>1</v>
      </c>
      <c r="CV477" s="3022" t="str">
        <f>IF(OR(CT477="",CT477="None"),"-",DO477*CU477*SUMIF('Lighting Assumptions'!$G$3:$G$112,'6a - Lighting Counts'!G477,'Lighting Assumptions'!$J$3:$J$112))</f>
        <v>-</v>
      </c>
      <c r="CW477" s="3021"/>
      <c r="CX477" s="3021"/>
      <c r="CY477" s="3046"/>
      <c r="CZ477" s="2098">
        <f t="shared" si="121"/>
        <v>0</v>
      </c>
      <c r="DA477" s="2098" t="str">
        <f t="shared" si="122"/>
        <v>-</v>
      </c>
      <c r="DB477" s="2098">
        <f t="shared" si="123"/>
        <v>0</v>
      </c>
      <c r="DC477" s="3023" t="str">
        <f t="shared" si="124"/>
        <v>-</v>
      </c>
      <c r="DD477" s="3024" t="str">
        <f t="shared" si="125"/>
        <v/>
      </c>
      <c r="DE477" s="3025" t="str">
        <f t="shared" si="126"/>
        <v>-</v>
      </c>
      <c r="DF477" s="3024" t="str">
        <f t="shared" ref="DF477:DF540" si="131">IF(ISBLANK(H477)=FALSE,(CZ477-IF(ISNUMBER(CV477)=TRUE,CV477,0)*CS477)/H477,"-")</f>
        <v>-</v>
      </c>
      <c r="DG477" s="2098">
        <f t="shared" si="127"/>
        <v>0</v>
      </c>
      <c r="DH477" s="2098">
        <f t="array" ref="DH477">MIN(SUMPRODUCT(I477:CR477,IF($I$25:$CR$25="yes",1,0),$I$23:$CR$23),H477)</f>
        <v>0</v>
      </c>
      <c r="DI477" s="3026"/>
      <c r="DJ477" s="3021"/>
      <c r="DN477" s="917" t="str">
        <f>IF(CS477="","-",SUMIF('Lighting Assumptions'!$G$3:$G$112,'6a - Lighting Counts'!G477,'Lighting Assumptions'!$J$3:$J$112))</f>
        <v>-</v>
      </c>
      <c r="DO477" s="917" t="str">
        <f t="shared" ref="DO477:DO540" si="132">IF(CT477="","-",IF(CT477="Other",1,1.25))</f>
        <v>-</v>
      </c>
      <c r="DP477" s="917" t="str">
        <f t="shared" ref="DP477:DP540" si="133">IF(DO477="-","-",DO477*CV477)</f>
        <v>-</v>
      </c>
      <c r="DQ477" s="917" t="str">
        <f>IF(LEFT(CELLformula(DF477),3)&lt;&gt;"=IF",1,"")</f>
        <v/>
      </c>
      <c r="DR477" s="917" t="str">
        <f>IF(LEFT(CELLformula(DD477),3)&lt;&gt;"=IF",1,"")</f>
        <v/>
      </c>
      <c r="DS477" s="3048">
        <f t="shared" si="128"/>
        <v>0</v>
      </c>
      <c r="DT477" s="3047" t="str">
        <f t="shared" si="129"/>
        <v/>
      </c>
      <c r="DU477" s="3047" t="str">
        <f>IFERROR(IF(G477="","",SUMIF('Lighting Assumptions'!$G$3:$G$112,'6a - Lighting Counts'!G477,'Lighting Assumptions'!$H$3:$H$112)*IF(SI_IP_Units="SI",10.76,1)),"")</f>
        <v/>
      </c>
      <c r="DV477" s="3047" t="str">
        <f>IFERROR(IF($CX477="","",IF(SI_IP_Units="SI",10.76,1)*SUMIF(BAMCategories,$CY477,'Lighting Assumptions'!$E$3:E$35)),"")</f>
        <v/>
      </c>
      <c r="DW477" s="3047" t="str">
        <f>IFERROR(IF($CX477="","",IF(SI_IP_Units="SI",10.76,1)*SUMIF(BAMCategories,$CY477,IF(bpf_reference="ACP",'Lighting Assumptions 90.1-2010'!$E$3:E$35,'Lighting Assumptions 90.1-2016'!$E$3:E$35))),"")</f>
        <v/>
      </c>
      <c r="EW477" s="855"/>
      <c r="EX477" s="855"/>
      <c r="EY477" s="855"/>
      <c r="EZ477" s="855"/>
    </row>
    <row r="478" spans="4:156" x14ac:dyDescent="0.25">
      <c r="D478" s="3029"/>
      <c r="E478" s="3028"/>
      <c r="F478" s="3021">
        <f t="shared" si="130"/>
        <v>0</v>
      </c>
      <c r="G478" s="3059"/>
      <c r="H478" s="3060"/>
      <c r="I478" s="3061"/>
      <c r="J478" s="3061"/>
      <c r="K478" s="3061"/>
      <c r="L478" s="3061"/>
      <c r="M478" s="3061"/>
      <c r="N478" s="3061"/>
      <c r="O478" s="3061"/>
      <c r="P478" s="3061"/>
      <c r="Q478" s="3061"/>
      <c r="R478" s="3061"/>
      <c r="S478" s="3061"/>
      <c r="T478" s="3061"/>
      <c r="U478" s="3061"/>
      <c r="V478" s="3061"/>
      <c r="W478" s="3061"/>
      <c r="X478" s="3061"/>
      <c r="Y478" s="3061"/>
      <c r="Z478" s="3061"/>
      <c r="AA478" s="3061"/>
      <c r="AB478" s="3061"/>
      <c r="AC478" s="3061"/>
      <c r="AD478" s="3061"/>
      <c r="AE478" s="3061"/>
      <c r="AF478" s="3061"/>
      <c r="AG478" s="3061"/>
      <c r="AH478" s="3061"/>
      <c r="AI478" s="3061"/>
      <c r="AJ478" s="3061"/>
      <c r="AK478" s="3061"/>
      <c r="AL478" s="3061"/>
      <c r="AM478" s="3061"/>
      <c r="AN478" s="3061"/>
      <c r="AO478" s="3061"/>
      <c r="AP478" s="3061"/>
      <c r="AQ478" s="3061"/>
      <c r="AR478" s="3061"/>
      <c r="AS478" s="3061"/>
      <c r="AT478" s="3061"/>
      <c r="AU478" s="3061"/>
      <c r="AV478" s="3061"/>
      <c r="AW478" s="3061"/>
      <c r="AX478" s="3061"/>
      <c r="AY478" s="3061"/>
      <c r="AZ478" s="3061"/>
      <c r="BA478" s="3061"/>
      <c r="BB478" s="3061"/>
      <c r="BC478" s="3061"/>
      <c r="BD478" s="3061"/>
      <c r="BE478" s="3061"/>
      <c r="BF478" s="3061"/>
      <c r="BG478" s="3061"/>
      <c r="BH478" s="3061"/>
      <c r="BI478" s="3061"/>
      <c r="BJ478" s="3061"/>
      <c r="BK478" s="3061"/>
      <c r="BL478" s="3061"/>
      <c r="BM478" s="3061"/>
      <c r="BN478" s="3061"/>
      <c r="BO478" s="3061"/>
      <c r="BP478" s="3061"/>
      <c r="BQ478" s="3061"/>
      <c r="BR478" s="3061"/>
      <c r="BS478" s="3061"/>
      <c r="BT478" s="3061"/>
      <c r="BU478" s="3061"/>
      <c r="BV478" s="3061"/>
      <c r="BW478" s="3061"/>
      <c r="BX478" s="3061"/>
      <c r="BY478" s="3061"/>
      <c r="BZ478" s="3061"/>
      <c r="CA478" s="3061"/>
      <c r="CB478" s="3061"/>
      <c r="CC478" s="3061"/>
      <c r="CD478" s="3061"/>
      <c r="CE478" s="3061"/>
      <c r="CF478" s="3061"/>
      <c r="CG478" s="3061"/>
      <c r="CH478" s="3061"/>
      <c r="CI478" s="3061"/>
      <c r="CJ478" s="3061"/>
      <c r="CK478" s="3061"/>
      <c r="CL478" s="3061"/>
      <c r="CM478" s="3061"/>
      <c r="CN478" s="3061"/>
      <c r="CO478" s="3061"/>
      <c r="CP478" s="3061"/>
      <c r="CQ478" s="3061"/>
      <c r="CR478" s="3061"/>
      <c r="CS478" s="3062"/>
      <c r="CT478" s="3063"/>
      <c r="CU478" s="3064">
        <f t="shared" ref="CU478:CU541" si="134">IF(OR(CT478="Manual-On Individual Workstation",CT478="Partial-Auto-On Individual Workstation",CT478="Other Individual Workstation"),1.3,1)</f>
        <v>1</v>
      </c>
      <c r="CV478" s="3022" t="str">
        <f>IF(OR(CT478="",CT478="None"),"-",DO478*CU478*SUMIF('Lighting Assumptions'!$G$3:$G$112,'6a - Lighting Counts'!G478,'Lighting Assumptions'!$J$3:$J$112))</f>
        <v>-</v>
      </c>
      <c r="CW478" s="3021"/>
      <c r="CX478" s="3021"/>
      <c r="CY478" s="3046"/>
      <c r="CZ478" s="2098">
        <f t="shared" ref="CZ478:CZ541" si="135">IFERROR(SUMPRODUCT(I478:CR478,$I$23:$CR$23),0)+IFERROR(DW478*CX478,0)</f>
        <v>0</v>
      </c>
      <c r="DA478" s="2098" t="str">
        <f t="shared" ref="DA478:DA541" si="136">IF(DD478="","-",IF(H478="",0,DD478*H478))</f>
        <v>-</v>
      </c>
      <c r="DB478" s="2098">
        <f t="shared" ref="DB478:DB541" si="137">SUMPRODUCT(I478:CR478,$I$24:$CR$24)</f>
        <v>0</v>
      </c>
      <c r="DC478" s="3023" t="str">
        <f t="shared" ref="DC478:DC541" si="138">IF(ISBLANK(H478)=FALSE,CZ478/H478,"-")</f>
        <v>-</v>
      </c>
      <c r="DD478" s="3024" t="str">
        <f t="shared" ref="DD478:DD541" si="139">IFERROR(DS478/H478,"")</f>
        <v/>
      </c>
      <c r="DE478" s="3025" t="str">
        <f t="shared" ref="DE478:DE541" si="140">IF(ISBLANK(H478)=FALSE,DB478/H478,"-")</f>
        <v>-</v>
      </c>
      <c r="DF478" s="3024" t="str">
        <f t="shared" si="131"/>
        <v>-</v>
      </c>
      <c r="DG478" s="2098">
        <f t="shared" ref="DG478:DG541" si="141">IFERROR(DF478*H478,0)</f>
        <v>0</v>
      </c>
      <c r="DH478" s="2098">
        <f t="array" ref="DH478">MIN(SUMPRODUCT(I478:CR478,IF($I$25:$CR$25="yes",1,0),$I$23:$CR$23),H478)</f>
        <v>0</v>
      </c>
      <c r="DI478" s="3026"/>
      <c r="DJ478" s="3021"/>
      <c r="DN478" s="917" t="str">
        <f>IF(CS478="","-",SUMIF('Lighting Assumptions'!$G$3:$G$112,'6a - Lighting Counts'!G478,'Lighting Assumptions'!$J$3:$J$112))</f>
        <v>-</v>
      </c>
      <c r="DO478" s="917" t="str">
        <f t="shared" si="132"/>
        <v>-</v>
      </c>
      <c r="DP478" s="917" t="str">
        <f t="shared" si="133"/>
        <v>-</v>
      </c>
      <c r="DQ478" s="917" t="str">
        <f>IF(LEFT(CELLformula(DF478),3)&lt;&gt;"=IF",1,"")</f>
        <v/>
      </c>
      <c r="DR478" s="917" t="str">
        <f>IF(LEFT(CELLformula(DD478),3)&lt;&gt;"=IF",1,"")</f>
        <v/>
      </c>
      <c r="DS478" s="3048">
        <f t="shared" ref="DS478:DS541" si="142">IFERROR(DU478*MAX(H478-CX478,0),0)+(IFERROR(DV478*MAX(0,CX478),0))</f>
        <v>0</v>
      </c>
      <c r="DT478" s="3047" t="str">
        <f t="shared" ref="DT478:DT541" si="143">IFERROR(DS478/H478,"")</f>
        <v/>
      </c>
      <c r="DU478" s="3047" t="str">
        <f>IFERROR(IF(G478="","",SUMIF('Lighting Assumptions'!$G$3:$G$112,'6a - Lighting Counts'!G478,'Lighting Assumptions'!$H$3:$H$112)*IF(SI_IP_Units="SI",10.76,1)),"")</f>
        <v/>
      </c>
      <c r="DV478" s="3047" t="str">
        <f>IFERROR(IF($CX478="","",IF(SI_IP_Units="SI",10.76,1)*SUMIF(BAMCategories,$CY478,'Lighting Assumptions'!$E$3:E$35)),"")</f>
        <v/>
      </c>
      <c r="DW478" s="3047" t="str">
        <f>IFERROR(IF($CX478="","",IF(SI_IP_Units="SI",10.76,1)*SUMIF(BAMCategories,$CY478,IF(bpf_reference="ACP",'Lighting Assumptions 90.1-2010'!$E$3:E$35,'Lighting Assumptions 90.1-2016'!$E$3:E$35))),"")</f>
        <v/>
      </c>
      <c r="EW478" s="855"/>
      <c r="EX478" s="855"/>
      <c r="EY478" s="855"/>
      <c r="EZ478" s="855"/>
    </row>
    <row r="479" spans="4:156" x14ac:dyDescent="0.25">
      <c r="D479" s="3029"/>
      <c r="E479" s="3028"/>
      <c r="F479" s="3021">
        <f t="shared" si="130"/>
        <v>0</v>
      </c>
      <c r="G479" s="3059"/>
      <c r="H479" s="3060"/>
      <c r="I479" s="3061"/>
      <c r="J479" s="3061"/>
      <c r="K479" s="3061"/>
      <c r="L479" s="3061"/>
      <c r="M479" s="3061"/>
      <c r="N479" s="3061"/>
      <c r="O479" s="3061"/>
      <c r="P479" s="3061"/>
      <c r="Q479" s="3061"/>
      <c r="R479" s="3061"/>
      <c r="S479" s="3061"/>
      <c r="T479" s="3061"/>
      <c r="U479" s="3061"/>
      <c r="V479" s="3061"/>
      <c r="W479" s="3061"/>
      <c r="X479" s="3061"/>
      <c r="Y479" s="3061"/>
      <c r="Z479" s="3061"/>
      <c r="AA479" s="3061"/>
      <c r="AB479" s="3061"/>
      <c r="AC479" s="3061"/>
      <c r="AD479" s="3061"/>
      <c r="AE479" s="3061"/>
      <c r="AF479" s="3061"/>
      <c r="AG479" s="3061"/>
      <c r="AH479" s="3061"/>
      <c r="AI479" s="3061"/>
      <c r="AJ479" s="3061"/>
      <c r="AK479" s="3061"/>
      <c r="AL479" s="3061"/>
      <c r="AM479" s="3061"/>
      <c r="AN479" s="3061"/>
      <c r="AO479" s="3061"/>
      <c r="AP479" s="3061"/>
      <c r="AQ479" s="3061"/>
      <c r="AR479" s="3061"/>
      <c r="AS479" s="3061"/>
      <c r="AT479" s="3061"/>
      <c r="AU479" s="3061"/>
      <c r="AV479" s="3061"/>
      <c r="AW479" s="3061"/>
      <c r="AX479" s="3061"/>
      <c r="AY479" s="3061"/>
      <c r="AZ479" s="3061"/>
      <c r="BA479" s="3061"/>
      <c r="BB479" s="3061"/>
      <c r="BC479" s="3061"/>
      <c r="BD479" s="3061"/>
      <c r="BE479" s="3061"/>
      <c r="BF479" s="3061"/>
      <c r="BG479" s="3061"/>
      <c r="BH479" s="3061"/>
      <c r="BI479" s="3061"/>
      <c r="BJ479" s="3061"/>
      <c r="BK479" s="3061"/>
      <c r="BL479" s="3061"/>
      <c r="BM479" s="3061"/>
      <c r="BN479" s="3061"/>
      <c r="BO479" s="3061"/>
      <c r="BP479" s="3061"/>
      <c r="BQ479" s="3061"/>
      <c r="BR479" s="3061"/>
      <c r="BS479" s="3061"/>
      <c r="BT479" s="3061"/>
      <c r="BU479" s="3061"/>
      <c r="BV479" s="3061"/>
      <c r="BW479" s="3061"/>
      <c r="BX479" s="3061"/>
      <c r="BY479" s="3061"/>
      <c r="BZ479" s="3061"/>
      <c r="CA479" s="3061"/>
      <c r="CB479" s="3061"/>
      <c r="CC479" s="3061"/>
      <c r="CD479" s="3061"/>
      <c r="CE479" s="3061"/>
      <c r="CF479" s="3061"/>
      <c r="CG479" s="3061"/>
      <c r="CH479" s="3061"/>
      <c r="CI479" s="3061"/>
      <c r="CJ479" s="3061"/>
      <c r="CK479" s="3061"/>
      <c r="CL479" s="3061"/>
      <c r="CM479" s="3061"/>
      <c r="CN479" s="3061"/>
      <c r="CO479" s="3061"/>
      <c r="CP479" s="3061"/>
      <c r="CQ479" s="3061"/>
      <c r="CR479" s="3061"/>
      <c r="CS479" s="3062"/>
      <c r="CT479" s="3063"/>
      <c r="CU479" s="3064">
        <f t="shared" si="134"/>
        <v>1</v>
      </c>
      <c r="CV479" s="3022" t="str">
        <f>IF(OR(CT479="",CT479="None"),"-",DO479*CU479*SUMIF('Lighting Assumptions'!$G$3:$G$112,'6a - Lighting Counts'!G479,'Lighting Assumptions'!$J$3:$J$112))</f>
        <v>-</v>
      </c>
      <c r="CW479" s="3021"/>
      <c r="CX479" s="3021"/>
      <c r="CY479" s="3046"/>
      <c r="CZ479" s="2098">
        <f t="shared" si="135"/>
        <v>0</v>
      </c>
      <c r="DA479" s="2098" t="str">
        <f t="shared" si="136"/>
        <v>-</v>
      </c>
      <c r="DB479" s="2098">
        <f t="shared" si="137"/>
        <v>0</v>
      </c>
      <c r="DC479" s="3023" t="str">
        <f t="shared" si="138"/>
        <v>-</v>
      </c>
      <c r="DD479" s="3024" t="str">
        <f t="shared" si="139"/>
        <v/>
      </c>
      <c r="DE479" s="3025" t="str">
        <f t="shared" si="140"/>
        <v>-</v>
      </c>
      <c r="DF479" s="3024" t="str">
        <f t="shared" si="131"/>
        <v>-</v>
      </c>
      <c r="DG479" s="2098">
        <f t="shared" si="141"/>
        <v>0</v>
      </c>
      <c r="DH479" s="2098">
        <f t="array" ref="DH479">MIN(SUMPRODUCT(I479:CR479,IF($I$25:$CR$25="yes",1,0),$I$23:$CR$23),H479)</f>
        <v>0</v>
      </c>
      <c r="DI479" s="3026"/>
      <c r="DJ479" s="3021"/>
      <c r="DN479" s="917" t="str">
        <f>IF(CS479="","-",SUMIF('Lighting Assumptions'!$G$3:$G$112,'6a - Lighting Counts'!G479,'Lighting Assumptions'!$J$3:$J$112))</f>
        <v>-</v>
      </c>
      <c r="DO479" s="917" t="str">
        <f t="shared" si="132"/>
        <v>-</v>
      </c>
      <c r="DP479" s="917" t="str">
        <f t="shared" si="133"/>
        <v>-</v>
      </c>
      <c r="DQ479" s="917" t="str">
        <f>IF(LEFT(CELLformula(DF479),3)&lt;&gt;"=IF",1,"")</f>
        <v/>
      </c>
      <c r="DR479" s="917" t="str">
        <f>IF(LEFT(CELLformula(DD479),3)&lt;&gt;"=IF",1,"")</f>
        <v/>
      </c>
      <c r="DS479" s="3048">
        <f t="shared" si="142"/>
        <v>0</v>
      </c>
      <c r="DT479" s="3047" t="str">
        <f t="shared" si="143"/>
        <v/>
      </c>
      <c r="DU479" s="3047" t="str">
        <f>IFERROR(IF(G479="","",SUMIF('Lighting Assumptions'!$G$3:$G$112,'6a - Lighting Counts'!G479,'Lighting Assumptions'!$H$3:$H$112)*IF(SI_IP_Units="SI",10.76,1)),"")</f>
        <v/>
      </c>
      <c r="DV479" s="3047" t="str">
        <f>IFERROR(IF($CX479="","",IF(SI_IP_Units="SI",10.76,1)*SUMIF(BAMCategories,$CY479,'Lighting Assumptions'!$E$3:E$35)),"")</f>
        <v/>
      </c>
      <c r="DW479" s="3047" t="str">
        <f>IFERROR(IF($CX479="","",IF(SI_IP_Units="SI",10.76,1)*SUMIF(BAMCategories,$CY479,IF(bpf_reference="ACP",'Lighting Assumptions 90.1-2010'!$E$3:E$35,'Lighting Assumptions 90.1-2016'!$E$3:E$35))),"")</f>
        <v/>
      </c>
      <c r="EW479" s="855"/>
      <c r="EX479" s="855"/>
      <c r="EY479" s="855"/>
      <c r="EZ479" s="855"/>
    </row>
    <row r="480" spans="4:156" x14ac:dyDescent="0.25">
      <c r="D480" s="3029"/>
      <c r="E480" s="3028"/>
      <c r="F480" s="3021">
        <f t="shared" si="130"/>
        <v>0</v>
      </c>
      <c r="G480" s="3059"/>
      <c r="H480" s="3060"/>
      <c r="I480" s="3061"/>
      <c r="J480" s="3061"/>
      <c r="K480" s="3061"/>
      <c r="L480" s="3061"/>
      <c r="M480" s="3061"/>
      <c r="N480" s="3061"/>
      <c r="O480" s="3061"/>
      <c r="P480" s="3061"/>
      <c r="Q480" s="3061"/>
      <c r="R480" s="3061"/>
      <c r="S480" s="3061"/>
      <c r="T480" s="3061"/>
      <c r="U480" s="3061"/>
      <c r="V480" s="3061"/>
      <c r="W480" s="3061"/>
      <c r="X480" s="3061"/>
      <c r="Y480" s="3061"/>
      <c r="Z480" s="3061"/>
      <c r="AA480" s="3061"/>
      <c r="AB480" s="3061"/>
      <c r="AC480" s="3061"/>
      <c r="AD480" s="3061"/>
      <c r="AE480" s="3061"/>
      <c r="AF480" s="3061"/>
      <c r="AG480" s="3061"/>
      <c r="AH480" s="3061"/>
      <c r="AI480" s="3061"/>
      <c r="AJ480" s="3061"/>
      <c r="AK480" s="3061"/>
      <c r="AL480" s="3061"/>
      <c r="AM480" s="3061"/>
      <c r="AN480" s="3061"/>
      <c r="AO480" s="3061"/>
      <c r="AP480" s="3061"/>
      <c r="AQ480" s="3061"/>
      <c r="AR480" s="3061"/>
      <c r="AS480" s="3061"/>
      <c r="AT480" s="3061"/>
      <c r="AU480" s="3061"/>
      <c r="AV480" s="3061"/>
      <c r="AW480" s="3061"/>
      <c r="AX480" s="3061"/>
      <c r="AY480" s="3061"/>
      <c r="AZ480" s="3061"/>
      <c r="BA480" s="3061"/>
      <c r="BB480" s="3061"/>
      <c r="BC480" s="3061"/>
      <c r="BD480" s="3061"/>
      <c r="BE480" s="3061"/>
      <c r="BF480" s="3061"/>
      <c r="BG480" s="3061"/>
      <c r="BH480" s="3061"/>
      <c r="BI480" s="3061"/>
      <c r="BJ480" s="3061"/>
      <c r="BK480" s="3061"/>
      <c r="BL480" s="3061"/>
      <c r="BM480" s="3061"/>
      <c r="BN480" s="3061"/>
      <c r="BO480" s="3061"/>
      <c r="BP480" s="3061"/>
      <c r="BQ480" s="3061"/>
      <c r="BR480" s="3061"/>
      <c r="BS480" s="3061"/>
      <c r="BT480" s="3061"/>
      <c r="BU480" s="3061"/>
      <c r="BV480" s="3061"/>
      <c r="BW480" s="3061"/>
      <c r="BX480" s="3061"/>
      <c r="BY480" s="3061"/>
      <c r="BZ480" s="3061"/>
      <c r="CA480" s="3061"/>
      <c r="CB480" s="3061"/>
      <c r="CC480" s="3061"/>
      <c r="CD480" s="3061"/>
      <c r="CE480" s="3061"/>
      <c r="CF480" s="3061"/>
      <c r="CG480" s="3061"/>
      <c r="CH480" s="3061"/>
      <c r="CI480" s="3061"/>
      <c r="CJ480" s="3061"/>
      <c r="CK480" s="3061"/>
      <c r="CL480" s="3061"/>
      <c r="CM480" s="3061"/>
      <c r="CN480" s="3061"/>
      <c r="CO480" s="3061"/>
      <c r="CP480" s="3061"/>
      <c r="CQ480" s="3061"/>
      <c r="CR480" s="3061"/>
      <c r="CS480" s="3062"/>
      <c r="CT480" s="3063"/>
      <c r="CU480" s="3064">
        <f t="shared" si="134"/>
        <v>1</v>
      </c>
      <c r="CV480" s="3022" t="str">
        <f>IF(OR(CT480="",CT480="None"),"-",DO480*CU480*SUMIF('Lighting Assumptions'!$G$3:$G$112,'6a - Lighting Counts'!G480,'Lighting Assumptions'!$J$3:$J$112))</f>
        <v>-</v>
      </c>
      <c r="CW480" s="3021"/>
      <c r="CX480" s="3021"/>
      <c r="CY480" s="3046"/>
      <c r="CZ480" s="2098">
        <f t="shared" si="135"/>
        <v>0</v>
      </c>
      <c r="DA480" s="2098" t="str">
        <f t="shared" si="136"/>
        <v>-</v>
      </c>
      <c r="DB480" s="2098">
        <f t="shared" si="137"/>
        <v>0</v>
      </c>
      <c r="DC480" s="3023" t="str">
        <f t="shared" si="138"/>
        <v>-</v>
      </c>
      <c r="DD480" s="3024" t="str">
        <f t="shared" si="139"/>
        <v/>
      </c>
      <c r="DE480" s="3025" t="str">
        <f t="shared" si="140"/>
        <v>-</v>
      </c>
      <c r="DF480" s="3024" t="str">
        <f t="shared" si="131"/>
        <v>-</v>
      </c>
      <c r="DG480" s="2098">
        <f t="shared" si="141"/>
        <v>0</v>
      </c>
      <c r="DH480" s="2098">
        <f t="array" ref="DH480">MIN(SUMPRODUCT(I480:CR480,IF($I$25:$CR$25="yes",1,0),$I$23:$CR$23),H480)</f>
        <v>0</v>
      </c>
      <c r="DI480" s="3026"/>
      <c r="DJ480" s="3021"/>
      <c r="DN480" s="917" t="str">
        <f>IF(CS480="","-",SUMIF('Lighting Assumptions'!$G$3:$G$112,'6a - Lighting Counts'!G480,'Lighting Assumptions'!$J$3:$J$112))</f>
        <v>-</v>
      </c>
      <c r="DO480" s="917" t="str">
        <f t="shared" si="132"/>
        <v>-</v>
      </c>
      <c r="DP480" s="917" t="str">
        <f t="shared" si="133"/>
        <v>-</v>
      </c>
      <c r="DQ480" s="917" t="str">
        <f>IF(LEFT(CELLformula(DF480),3)&lt;&gt;"=IF",1,"")</f>
        <v/>
      </c>
      <c r="DR480" s="917" t="str">
        <f>IF(LEFT(CELLformula(DD480),3)&lt;&gt;"=IF",1,"")</f>
        <v/>
      </c>
      <c r="DS480" s="3048">
        <f t="shared" si="142"/>
        <v>0</v>
      </c>
      <c r="DT480" s="3047" t="str">
        <f t="shared" si="143"/>
        <v/>
      </c>
      <c r="DU480" s="3047" t="str">
        <f>IFERROR(IF(G480="","",SUMIF('Lighting Assumptions'!$G$3:$G$112,'6a - Lighting Counts'!G480,'Lighting Assumptions'!$H$3:$H$112)*IF(SI_IP_Units="SI",10.76,1)),"")</f>
        <v/>
      </c>
      <c r="DV480" s="3047" t="str">
        <f>IFERROR(IF($CX480="","",IF(SI_IP_Units="SI",10.76,1)*SUMIF(BAMCategories,$CY480,'Lighting Assumptions'!$E$3:E$35)),"")</f>
        <v/>
      </c>
      <c r="DW480" s="3047" t="str">
        <f>IFERROR(IF($CX480="","",IF(SI_IP_Units="SI",10.76,1)*SUMIF(BAMCategories,$CY480,IF(bpf_reference="ACP",'Lighting Assumptions 90.1-2010'!$E$3:E$35,'Lighting Assumptions 90.1-2016'!$E$3:E$35))),"")</f>
        <v/>
      </c>
      <c r="EW480" s="855"/>
      <c r="EX480" s="855"/>
      <c r="EY480" s="855"/>
      <c r="EZ480" s="855"/>
    </row>
    <row r="481" spans="4:156" x14ac:dyDescent="0.25">
      <c r="D481" s="3029"/>
      <c r="E481" s="3028"/>
      <c r="F481" s="3021">
        <f t="shared" si="130"/>
        <v>0</v>
      </c>
      <c r="G481" s="3059"/>
      <c r="H481" s="3060"/>
      <c r="I481" s="3061"/>
      <c r="J481" s="3061"/>
      <c r="K481" s="3061"/>
      <c r="L481" s="3061"/>
      <c r="M481" s="3061"/>
      <c r="N481" s="3061"/>
      <c r="O481" s="3061"/>
      <c r="P481" s="3061"/>
      <c r="Q481" s="3061"/>
      <c r="R481" s="3061"/>
      <c r="S481" s="3061"/>
      <c r="T481" s="3061"/>
      <c r="U481" s="3061"/>
      <c r="V481" s="3061"/>
      <c r="W481" s="3061"/>
      <c r="X481" s="3061"/>
      <c r="Y481" s="3061"/>
      <c r="Z481" s="3061"/>
      <c r="AA481" s="3061"/>
      <c r="AB481" s="3061"/>
      <c r="AC481" s="3061"/>
      <c r="AD481" s="3061"/>
      <c r="AE481" s="3061"/>
      <c r="AF481" s="3061"/>
      <c r="AG481" s="3061"/>
      <c r="AH481" s="3061"/>
      <c r="AI481" s="3061"/>
      <c r="AJ481" s="3061"/>
      <c r="AK481" s="3061"/>
      <c r="AL481" s="3061"/>
      <c r="AM481" s="3061"/>
      <c r="AN481" s="3061"/>
      <c r="AO481" s="3061"/>
      <c r="AP481" s="3061"/>
      <c r="AQ481" s="3061"/>
      <c r="AR481" s="3061"/>
      <c r="AS481" s="3061"/>
      <c r="AT481" s="3061"/>
      <c r="AU481" s="3061"/>
      <c r="AV481" s="3061"/>
      <c r="AW481" s="3061"/>
      <c r="AX481" s="3061"/>
      <c r="AY481" s="3061"/>
      <c r="AZ481" s="3061"/>
      <c r="BA481" s="3061"/>
      <c r="BB481" s="3061"/>
      <c r="BC481" s="3061"/>
      <c r="BD481" s="3061"/>
      <c r="BE481" s="3061"/>
      <c r="BF481" s="3061"/>
      <c r="BG481" s="3061"/>
      <c r="BH481" s="3061"/>
      <c r="BI481" s="3061"/>
      <c r="BJ481" s="3061"/>
      <c r="BK481" s="3061"/>
      <c r="BL481" s="3061"/>
      <c r="BM481" s="3061"/>
      <c r="BN481" s="3061"/>
      <c r="BO481" s="3061"/>
      <c r="BP481" s="3061"/>
      <c r="BQ481" s="3061"/>
      <c r="BR481" s="3061"/>
      <c r="BS481" s="3061"/>
      <c r="BT481" s="3061"/>
      <c r="BU481" s="3061"/>
      <c r="BV481" s="3061"/>
      <c r="BW481" s="3061"/>
      <c r="BX481" s="3061"/>
      <c r="BY481" s="3061"/>
      <c r="BZ481" s="3061"/>
      <c r="CA481" s="3061"/>
      <c r="CB481" s="3061"/>
      <c r="CC481" s="3061"/>
      <c r="CD481" s="3061"/>
      <c r="CE481" s="3061"/>
      <c r="CF481" s="3061"/>
      <c r="CG481" s="3061"/>
      <c r="CH481" s="3061"/>
      <c r="CI481" s="3061"/>
      <c r="CJ481" s="3061"/>
      <c r="CK481" s="3061"/>
      <c r="CL481" s="3061"/>
      <c r="CM481" s="3061"/>
      <c r="CN481" s="3061"/>
      <c r="CO481" s="3061"/>
      <c r="CP481" s="3061"/>
      <c r="CQ481" s="3061"/>
      <c r="CR481" s="3061"/>
      <c r="CS481" s="3062"/>
      <c r="CT481" s="3063"/>
      <c r="CU481" s="3064">
        <f t="shared" si="134"/>
        <v>1</v>
      </c>
      <c r="CV481" s="3022" t="str">
        <f>IF(OR(CT481="",CT481="None"),"-",DO481*CU481*SUMIF('Lighting Assumptions'!$G$3:$G$112,'6a - Lighting Counts'!G481,'Lighting Assumptions'!$J$3:$J$112))</f>
        <v>-</v>
      </c>
      <c r="CW481" s="3021"/>
      <c r="CX481" s="3021"/>
      <c r="CY481" s="3046"/>
      <c r="CZ481" s="2098">
        <f t="shared" si="135"/>
        <v>0</v>
      </c>
      <c r="DA481" s="2098" t="str">
        <f t="shared" si="136"/>
        <v>-</v>
      </c>
      <c r="DB481" s="2098">
        <f t="shared" si="137"/>
        <v>0</v>
      </c>
      <c r="DC481" s="3023" t="str">
        <f t="shared" si="138"/>
        <v>-</v>
      </c>
      <c r="DD481" s="3024" t="str">
        <f t="shared" si="139"/>
        <v/>
      </c>
      <c r="DE481" s="3025" t="str">
        <f t="shared" si="140"/>
        <v>-</v>
      </c>
      <c r="DF481" s="3024" t="str">
        <f t="shared" si="131"/>
        <v>-</v>
      </c>
      <c r="DG481" s="2098">
        <f t="shared" si="141"/>
        <v>0</v>
      </c>
      <c r="DH481" s="2098">
        <f t="array" ref="DH481">MIN(SUMPRODUCT(I481:CR481,IF($I$25:$CR$25="yes",1,0),$I$23:$CR$23),H481)</f>
        <v>0</v>
      </c>
      <c r="DI481" s="3026"/>
      <c r="DJ481" s="3021"/>
      <c r="DN481" s="917" t="str">
        <f>IF(CS481="","-",SUMIF('Lighting Assumptions'!$G$3:$G$112,'6a - Lighting Counts'!G481,'Lighting Assumptions'!$J$3:$J$112))</f>
        <v>-</v>
      </c>
      <c r="DO481" s="917" t="str">
        <f t="shared" si="132"/>
        <v>-</v>
      </c>
      <c r="DP481" s="917" t="str">
        <f t="shared" si="133"/>
        <v>-</v>
      </c>
      <c r="DQ481" s="917" t="str">
        <f>IF(LEFT(CELLformula(DF481),3)&lt;&gt;"=IF",1,"")</f>
        <v/>
      </c>
      <c r="DR481" s="917" t="str">
        <f>IF(LEFT(CELLformula(DD481),3)&lt;&gt;"=IF",1,"")</f>
        <v/>
      </c>
      <c r="DS481" s="3048">
        <f t="shared" si="142"/>
        <v>0</v>
      </c>
      <c r="DT481" s="3047" t="str">
        <f t="shared" si="143"/>
        <v/>
      </c>
      <c r="DU481" s="3047" t="str">
        <f>IFERROR(IF(G481="","",SUMIF('Lighting Assumptions'!$G$3:$G$112,'6a - Lighting Counts'!G481,'Lighting Assumptions'!$H$3:$H$112)*IF(SI_IP_Units="SI",10.76,1)),"")</f>
        <v/>
      </c>
      <c r="DV481" s="3047" t="str">
        <f>IFERROR(IF($CX481="","",IF(SI_IP_Units="SI",10.76,1)*SUMIF(BAMCategories,$CY481,'Lighting Assumptions'!$E$3:E$35)),"")</f>
        <v/>
      </c>
      <c r="DW481" s="3047" t="str">
        <f>IFERROR(IF($CX481="","",IF(SI_IP_Units="SI",10.76,1)*SUMIF(BAMCategories,$CY481,IF(bpf_reference="ACP",'Lighting Assumptions 90.1-2010'!$E$3:E$35,'Lighting Assumptions 90.1-2016'!$E$3:E$35))),"")</f>
        <v/>
      </c>
      <c r="EW481" s="855"/>
      <c r="EX481" s="855"/>
      <c r="EY481" s="855"/>
      <c r="EZ481" s="855"/>
    </row>
    <row r="482" spans="4:156" x14ac:dyDescent="0.25">
      <c r="D482" s="3029"/>
      <c r="E482" s="3028"/>
      <c r="F482" s="3021">
        <f t="shared" si="130"/>
        <v>0</v>
      </c>
      <c r="G482" s="3059"/>
      <c r="H482" s="3060"/>
      <c r="I482" s="3061"/>
      <c r="J482" s="3061"/>
      <c r="K482" s="3061"/>
      <c r="L482" s="3061"/>
      <c r="M482" s="3061"/>
      <c r="N482" s="3061"/>
      <c r="O482" s="3061"/>
      <c r="P482" s="3061"/>
      <c r="Q482" s="3061"/>
      <c r="R482" s="3061"/>
      <c r="S482" s="3061"/>
      <c r="T482" s="3061"/>
      <c r="U482" s="3061"/>
      <c r="V482" s="3061"/>
      <c r="W482" s="3061"/>
      <c r="X482" s="3061"/>
      <c r="Y482" s="3061"/>
      <c r="Z482" s="3061"/>
      <c r="AA482" s="3061"/>
      <c r="AB482" s="3061"/>
      <c r="AC482" s="3061"/>
      <c r="AD482" s="3061"/>
      <c r="AE482" s="3061"/>
      <c r="AF482" s="3061"/>
      <c r="AG482" s="3061"/>
      <c r="AH482" s="3061"/>
      <c r="AI482" s="3061"/>
      <c r="AJ482" s="3061"/>
      <c r="AK482" s="3061"/>
      <c r="AL482" s="3061"/>
      <c r="AM482" s="3061"/>
      <c r="AN482" s="3061"/>
      <c r="AO482" s="3061"/>
      <c r="AP482" s="3061"/>
      <c r="AQ482" s="3061"/>
      <c r="AR482" s="3061"/>
      <c r="AS482" s="3061"/>
      <c r="AT482" s="3061"/>
      <c r="AU482" s="3061"/>
      <c r="AV482" s="3061"/>
      <c r="AW482" s="3061"/>
      <c r="AX482" s="3061"/>
      <c r="AY482" s="3061"/>
      <c r="AZ482" s="3061"/>
      <c r="BA482" s="3061"/>
      <c r="BB482" s="3061"/>
      <c r="BC482" s="3061"/>
      <c r="BD482" s="3061"/>
      <c r="BE482" s="3061"/>
      <c r="BF482" s="3061"/>
      <c r="BG482" s="3061"/>
      <c r="BH482" s="3061"/>
      <c r="BI482" s="3061"/>
      <c r="BJ482" s="3061"/>
      <c r="BK482" s="3061"/>
      <c r="BL482" s="3061"/>
      <c r="BM482" s="3061"/>
      <c r="BN482" s="3061"/>
      <c r="BO482" s="3061"/>
      <c r="BP482" s="3061"/>
      <c r="BQ482" s="3061"/>
      <c r="BR482" s="3061"/>
      <c r="BS482" s="3061"/>
      <c r="BT482" s="3061"/>
      <c r="BU482" s="3061"/>
      <c r="BV482" s="3061"/>
      <c r="BW482" s="3061"/>
      <c r="BX482" s="3061"/>
      <c r="BY482" s="3061"/>
      <c r="BZ482" s="3061"/>
      <c r="CA482" s="3061"/>
      <c r="CB482" s="3061"/>
      <c r="CC482" s="3061"/>
      <c r="CD482" s="3061"/>
      <c r="CE482" s="3061"/>
      <c r="CF482" s="3061"/>
      <c r="CG482" s="3061"/>
      <c r="CH482" s="3061"/>
      <c r="CI482" s="3061"/>
      <c r="CJ482" s="3061"/>
      <c r="CK482" s="3061"/>
      <c r="CL482" s="3061"/>
      <c r="CM482" s="3061"/>
      <c r="CN482" s="3061"/>
      <c r="CO482" s="3061"/>
      <c r="CP482" s="3061"/>
      <c r="CQ482" s="3061"/>
      <c r="CR482" s="3061"/>
      <c r="CS482" s="3062"/>
      <c r="CT482" s="3063"/>
      <c r="CU482" s="3064">
        <f t="shared" si="134"/>
        <v>1</v>
      </c>
      <c r="CV482" s="3022" t="str">
        <f>IF(OR(CT482="",CT482="None"),"-",DO482*CU482*SUMIF('Lighting Assumptions'!$G$3:$G$112,'6a - Lighting Counts'!G482,'Lighting Assumptions'!$J$3:$J$112))</f>
        <v>-</v>
      </c>
      <c r="CW482" s="3021"/>
      <c r="CX482" s="3021"/>
      <c r="CY482" s="3046"/>
      <c r="CZ482" s="2098">
        <f t="shared" si="135"/>
        <v>0</v>
      </c>
      <c r="DA482" s="2098" t="str">
        <f t="shared" si="136"/>
        <v>-</v>
      </c>
      <c r="DB482" s="2098">
        <f t="shared" si="137"/>
        <v>0</v>
      </c>
      <c r="DC482" s="3023" t="str">
        <f t="shared" si="138"/>
        <v>-</v>
      </c>
      <c r="DD482" s="3024" t="str">
        <f t="shared" si="139"/>
        <v/>
      </c>
      <c r="DE482" s="3025" t="str">
        <f t="shared" si="140"/>
        <v>-</v>
      </c>
      <c r="DF482" s="3024" t="str">
        <f t="shared" si="131"/>
        <v>-</v>
      </c>
      <c r="DG482" s="2098">
        <f t="shared" si="141"/>
        <v>0</v>
      </c>
      <c r="DH482" s="2098">
        <f t="array" ref="DH482">MIN(SUMPRODUCT(I482:CR482,IF($I$25:$CR$25="yes",1,0),$I$23:$CR$23),H482)</f>
        <v>0</v>
      </c>
      <c r="DI482" s="3026"/>
      <c r="DJ482" s="3021"/>
      <c r="DN482" s="917" t="str">
        <f>IF(CS482="","-",SUMIF('Lighting Assumptions'!$G$3:$G$112,'6a - Lighting Counts'!G482,'Lighting Assumptions'!$J$3:$J$112))</f>
        <v>-</v>
      </c>
      <c r="DO482" s="917" t="str">
        <f t="shared" si="132"/>
        <v>-</v>
      </c>
      <c r="DP482" s="917" t="str">
        <f t="shared" si="133"/>
        <v>-</v>
      </c>
      <c r="DQ482" s="917" t="str">
        <f>IF(LEFT(CELLformula(DF482),3)&lt;&gt;"=IF",1,"")</f>
        <v/>
      </c>
      <c r="DR482" s="917" t="str">
        <f>IF(LEFT(CELLformula(DD482),3)&lt;&gt;"=IF",1,"")</f>
        <v/>
      </c>
      <c r="DS482" s="3048">
        <f t="shared" si="142"/>
        <v>0</v>
      </c>
      <c r="DT482" s="3047" t="str">
        <f t="shared" si="143"/>
        <v/>
      </c>
      <c r="DU482" s="3047" t="str">
        <f>IFERROR(IF(G482="","",SUMIF('Lighting Assumptions'!$G$3:$G$112,'6a - Lighting Counts'!G482,'Lighting Assumptions'!$H$3:$H$112)*IF(SI_IP_Units="SI",10.76,1)),"")</f>
        <v/>
      </c>
      <c r="DV482" s="3047" t="str">
        <f>IFERROR(IF($CX482="","",IF(SI_IP_Units="SI",10.76,1)*SUMIF(BAMCategories,$CY482,'Lighting Assumptions'!$E$3:E$35)),"")</f>
        <v/>
      </c>
      <c r="DW482" s="3047" t="str">
        <f>IFERROR(IF($CX482="","",IF(SI_IP_Units="SI",10.76,1)*SUMIF(BAMCategories,$CY482,IF(bpf_reference="ACP",'Lighting Assumptions 90.1-2010'!$E$3:E$35,'Lighting Assumptions 90.1-2016'!$E$3:E$35))),"")</f>
        <v/>
      </c>
      <c r="EW482" s="855"/>
      <c r="EX482" s="855"/>
      <c r="EY482" s="855"/>
      <c r="EZ482" s="855"/>
    </row>
    <row r="483" spans="4:156" x14ac:dyDescent="0.25">
      <c r="D483" s="3029"/>
      <c r="E483" s="3028"/>
      <c r="F483" s="3021">
        <f t="shared" si="130"/>
        <v>0</v>
      </c>
      <c r="G483" s="3059"/>
      <c r="H483" s="3060"/>
      <c r="I483" s="3061"/>
      <c r="J483" s="3061"/>
      <c r="K483" s="3061"/>
      <c r="L483" s="3061"/>
      <c r="M483" s="3061"/>
      <c r="N483" s="3061"/>
      <c r="O483" s="3061"/>
      <c r="P483" s="3061"/>
      <c r="Q483" s="3061"/>
      <c r="R483" s="3061"/>
      <c r="S483" s="3061"/>
      <c r="T483" s="3061"/>
      <c r="U483" s="3061"/>
      <c r="V483" s="3061"/>
      <c r="W483" s="3061"/>
      <c r="X483" s="3061"/>
      <c r="Y483" s="3061"/>
      <c r="Z483" s="3061"/>
      <c r="AA483" s="3061"/>
      <c r="AB483" s="3061"/>
      <c r="AC483" s="3061"/>
      <c r="AD483" s="3061"/>
      <c r="AE483" s="3061"/>
      <c r="AF483" s="3061"/>
      <c r="AG483" s="3061"/>
      <c r="AH483" s="3061"/>
      <c r="AI483" s="3061"/>
      <c r="AJ483" s="3061"/>
      <c r="AK483" s="3061"/>
      <c r="AL483" s="3061"/>
      <c r="AM483" s="3061"/>
      <c r="AN483" s="3061"/>
      <c r="AO483" s="3061"/>
      <c r="AP483" s="3061"/>
      <c r="AQ483" s="3061"/>
      <c r="AR483" s="3061"/>
      <c r="AS483" s="3061"/>
      <c r="AT483" s="3061"/>
      <c r="AU483" s="3061"/>
      <c r="AV483" s="3061"/>
      <c r="AW483" s="3061"/>
      <c r="AX483" s="3061"/>
      <c r="AY483" s="3061"/>
      <c r="AZ483" s="3061"/>
      <c r="BA483" s="3061"/>
      <c r="BB483" s="3061"/>
      <c r="BC483" s="3061"/>
      <c r="BD483" s="3061"/>
      <c r="BE483" s="3061"/>
      <c r="BF483" s="3061"/>
      <c r="BG483" s="3061"/>
      <c r="BH483" s="3061"/>
      <c r="BI483" s="3061"/>
      <c r="BJ483" s="3061"/>
      <c r="BK483" s="3061"/>
      <c r="BL483" s="3061"/>
      <c r="BM483" s="3061"/>
      <c r="BN483" s="3061"/>
      <c r="BO483" s="3061"/>
      <c r="BP483" s="3061"/>
      <c r="BQ483" s="3061"/>
      <c r="BR483" s="3061"/>
      <c r="BS483" s="3061"/>
      <c r="BT483" s="3061"/>
      <c r="BU483" s="3061"/>
      <c r="BV483" s="3061"/>
      <c r="BW483" s="3061"/>
      <c r="BX483" s="3061"/>
      <c r="BY483" s="3061"/>
      <c r="BZ483" s="3061"/>
      <c r="CA483" s="3061"/>
      <c r="CB483" s="3061"/>
      <c r="CC483" s="3061"/>
      <c r="CD483" s="3061"/>
      <c r="CE483" s="3061"/>
      <c r="CF483" s="3061"/>
      <c r="CG483" s="3061"/>
      <c r="CH483" s="3061"/>
      <c r="CI483" s="3061"/>
      <c r="CJ483" s="3061"/>
      <c r="CK483" s="3061"/>
      <c r="CL483" s="3061"/>
      <c r="CM483" s="3061"/>
      <c r="CN483" s="3061"/>
      <c r="CO483" s="3061"/>
      <c r="CP483" s="3061"/>
      <c r="CQ483" s="3061"/>
      <c r="CR483" s="3061"/>
      <c r="CS483" s="3062"/>
      <c r="CT483" s="3063"/>
      <c r="CU483" s="3064">
        <f t="shared" si="134"/>
        <v>1</v>
      </c>
      <c r="CV483" s="3022" t="str">
        <f>IF(OR(CT483="",CT483="None"),"-",DO483*CU483*SUMIF('Lighting Assumptions'!$G$3:$G$112,'6a - Lighting Counts'!G483,'Lighting Assumptions'!$J$3:$J$112))</f>
        <v>-</v>
      </c>
      <c r="CW483" s="3021"/>
      <c r="CX483" s="3021"/>
      <c r="CY483" s="3046"/>
      <c r="CZ483" s="2098">
        <f t="shared" si="135"/>
        <v>0</v>
      </c>
      <c r="DA483" s="2098" t="str">
        <f t="shared" si="136"/>
        <v>-</v>
      </c>
      <c r="DB483" s="2098">
        <f t="shared" si="137"/>
        <v>0</v>
      </c>
      <c r="DC483" s="3023" t="str">
        <f t="shared" si="138"/>
        <v>-</v>
      </c>
      <c r="DD483" s="3024" t="str">
        <f t="shared" si="139"/>
        <v/>
      </c>
      <c r="DE483" s="3025" t="str">
        <f t="shared" si="140"/>
        <v>-</v>
      </c>
      <c r="DF483" s="3024" t="str">
        <f t="shared" si="131"/>
        <v>-</v>
      </c>
      <c r="DG483" s="2098">
        <f t="shared" si="141"/>
        <v>0</v>
      </c>
      <c r="DH483" s="2098">
        <f t="array" ref="DH483">MIN(SUMPRODUCT(I483:CR483,IF($I$25:$CR$25="yes",1,0),$I$23:$CR$23),H483)</f>
        <v>0</v>
      </c>
      <c r="DI483" s="3026"/>
      <c r="DJ483" s="3021"/>
      <c r="DN483" s="917" t="str">
        <f>IF(CS483="","-",SUMIF('Lighting Assumptions'!$G$3:$G$112,'6a - Lighting Counts'!G483,'Lighting Assumptions'!$J$3:$J$112))</f>
        <v>-</v>
      </c>
      <c r="DO483" s="917" t="str">
        <f t="shared" si="132"/>
        <v>-</v>
      </c>
      <c r="DP483" s="917" t="str">
        <f t="shared" si="133"/>
        <v>-</v>
      </c>
      <c r="DQ483" s="917" t="str">
        <f>IF(LEFT(CELLformula(DF483),3)&lt;&gt;"=IF",1,"")</f>
        <v/>
      </c>
      <c r="DR483" s="917" t="str">
        <f>IF(LEFT(CELLformula(DD483),3)&lt;&gt;"=IF",1,"")</f>
        <v/>
      </c>
      <c r="DS483" s="3048">
        <f t="shared" si="142"/>
        <v>0</v>
      </c>
      <c r="DT483" s="3047" t="str">
        <f t="shared" si="143"/>
        <v/>
      </c>
      <c r="DU483" s="3047" t="str">
        <f>IFERROR(IF(G483="","",SUMIF('Lighting Assumptions'!$G$3:$G$112,'6a - Lighting Counts'!G483,'Lighting Assumptions'!$H$3:$H$112)*IF(SI_IP_Units="SI",10.76,1)),"")</f>
        <v/>
      </c>
      <c r="DV483" s="3047" t="str">
        <f>IFERROR(IF($CX483="","",IF(SI_IP_Units="SI",10.76,1)*SUMIF(BAMCategories,$CY483,'Lighting Assumptions'!$E$3:E$35)),"")</f>
        <v/>
      </c>
      <c r="DW483" s="3047" t="str">
        <f>IFERROR(IF($CX483="","",IF(SI_IP_Units="SI",10.76,1)*SUMIF(BAMCategories,$CY483,IF(bpf_reference="ACP",'Lighting Assumptions 90.1-2010'!$E$3:E$35,'Lighting Assumptions 90.1-2016'!$E$3:E$35))),"")</f>
        <v/>
      </c>
      <c r="EW483" s="855"/>
      <c r="EX483" s="855"/>
      <c r="EY483" s="855"/>
      <c r="EZ483" s="855"/>
    </row>
    <row r="484" spans="4:156" x14ac:dyDescent="0.25">
      <c r="D484" s="3029"/>
      <c r="E484" s="3028"/>
      <c r="F484" s="3021">
        <f t="shared" si="130"/>
        <v>0</v>
      </c>
      <c r="G484" s="3059"/>
      <c r="H484" s="3060"/>
      <c r="I484" s="3061"/>
      <c r="J484" s="3061"/>
      <c r="K484" s="3061"/>
      <c r="L484" s="3061"/>
      <c r="M484" s="3061"/>
      <c r="N484" s="3061"/>
      <c r="O484" s="3061"/>
      <c r="P484" s="3061"/>
      <c r="Q484" s="3061"/>
      <c r="R484" s="3061"/>
      <c r="S484" s="3061"/>
      <c r="T484" s="3061"/>
      <c r="U484" s="3061"/>
      <c r="V484" s="3061"/>
      <c r="W484" s="3061"/>
      <c r="X484" s="3061"/>
      <c r="Y484" s="3061"/>
      <c r="Z484" s="3061"/>
      <c r="AA484" s="3061"/>
      <c r="AB484" s="3061"/>
      <c r="AC484" s="3061"/>
      <c r="AD484" s="3061"/>
      <c r="AE484" s="3061"/>
      <c r="AF484" s="3061"/>
      <c r="AG484" s="3061"/>
      <c r="AH484" s="3061"/>
      <c r="AI484" s="3061"/>
      <c r="AJ484" s="3061"/>
      <c r="AK484" s="3061"/>
      <c r="AL484" s="3061"/>
      <c r="AM484" s="3061"/>
      <c r="AN484" s="3061"/>
      <c r="AO484" s="3061"/>
      <c r="AP484" s="3061"/>
      <c r="AQ484" s="3061"/>
      <c r="AR484" s="3061"/>
      <c r="AS484" s="3061"/>
      <c r="AT484" s="3061"/>
      <c r="AU484" s="3061"/>
      <c r="AV484" s="3061"/>
      <c r="AW484" s="3061"/>
      <c r="AX484" s="3061"/>
      <c r="AY484" s="3061"/>
      <c r="AZ484" s="3061"/>
      <c r="BA484" s="3061"/>
      <c r="BB484" s="3061"/>
      <c r="BC484" s="3061"/>
      <c r="BD484" s="3061"/>
      <c r="BE484" s="3061"/>
      <c r="BF484" s="3061"/>
      <c r="BG484" s="3061"/>
      <c r="BH484" s="3061"/>
      <c r="BI484" s="3061"/>
      <c r="BJ484" s="3061"/>
      <c r="BK484" s="3061"/>
      <c r="BL484" s="3061"/>
      <c r="BM484" s="3061"/>
      <c r="BN484" s="3061"/>
      <c r="BO484" s="3061"/>
      <c r="BP484" s="3061"/>
      <c r="BQ484" s="3061"/>
      <c r="BR484" s="3061"/>
      <c r="BS484" s="3061"/>
      <c r="BT484" s="3061"/>
      <c r="BU484" s="3061"/>
      <c r="BV484" s="3061"/>
      <c r="BW484" s="3061"/>
      <c r="BX484" s="3061"/>
      <c r="BY484" s="3061"/>
      <c r="BZ484" s="3061"/>
      <c r="CA484" s="3061"/>
      <c r="CB484" s="3061"/>
      <c r="CC484" s="3061"/>
      <c r="CD484" s="3061"/>
      <c r="CE484" s="3061"/>
      <c r="CF484" s="3061"/>
      <c r="CG484" s="3061"/>
      <c r="CH484" s="3061"/>
      <c r="CI484" s="3061"/>
      <c r="CJ484" s="3061"/>
      <c r="CK484" s="3061"/>
      <c r="CL484" s="3061"/>
      <c r="CM484" s="3061"/>
      <c r="CN484" s="3061"/>
      <c r="CO484" s="3061"/>
      <c r="CP484" s="3061"/>
      <c r="CQ484" s="3061"/>
      <c r="CR484" s="3061"/>
      <c r="CS484" s="3062"/>
      <c r="CT484" s="3063"/>
      <c r="CU484" s="3064">
        <f t="shared" si="134"/>
        <v>1</v>
      </c>
      <c r="CV484" s="3022" t="str">
        <f>IF(OR(CT484="",CT484="None"),"-",DO484*CU484*SUMIF('Lighting Assumptions'!$G$3:$G$112,'6a - Lighting Counts'!G484,'Lighting Assumptions'!$J$3:$J$112))</f>
        <v>-</v>
      </c>
      <c r="CW484" s="3021"/>
      <c r="CX484" s="3021"/>
      <c r="CY484" s="3046"/>
      <c r="CZ484" s="2098">
        <f t="shared" si="135"/>
        <v>0</v>
      </c>
      <c r="DA484" s="2098" t="str">
        <f t="shared" si="136"/>
        <v>-</v>
      </c>
      <c r="DB484" s="2098">
        <f t="shared" si="137"/>
        <v>0</v>
      </c>
      <c r="DC484" s="3023" t="str">
        <f t="shared" si="138"/>
        <v>-</v>
      </c>
      <c r="DD484" s="3024" t="str">
        <f t="shared" si="139"/>
        <v/>
      </c>
      <c r="DE484" s="3025" t="str">
        <f t="shared" si="140"/>
        <v>-</v>
      </c>
      <c r="DF484" s="3024" t="str">
        <f t="shared" si="131"/>
        <v>-</v>
      </c>
      <c r="DG484" s="2098">
        <f t="shared" si="141"/>
        <v>0</v>
      </c>
      <c r="DH484" s="2098">
        <f t="array" ref="DH484">MIN(SUMPRODUCT(I484:CR484,IF($I$25:$CR$25="yes",1,0),$I$23:$CR$23),H484)</f>
        <v>0</v>
      </c>
      <c r="DI484" s="3026"/>
      <c r="DJ484" s="3021"/>
      <c r="DN484" s="917" t="str">
        <f>IF(CS484="","-",SUMIF('Lighting Assumptions'!$G$3:$G$112,'6a - Lighting Counts'!G484,'Lighting Assumptions'!$J$3:$J$112))</f>
        <v>-</v>
      </c>
      <c r="DO484" s="917" t="str">
        <f t="shared" si="132"/>
        <v>-</v>
      </c>
      <c r="DP484" s="917" t="str">
        <f t="shared" si="133"/>
        <v>-</v>
      </c>
      <c r="DQ484" s="917" t="str">
        <f>IF(LEFT(CELLformula(DF484),3)&lt;&gt;"=IF",1,"")</f>
        <v/>
      </c>
      <c r="DR484" s="917" t="str">
        <f>IF(LEFT(CELLformula(DD484),3)&lt;&gt;"=IF",1,"")</f>
        <v/>
      </c>
      <c r="DS484" s="3048">
        <f t="shared" si="142"/>
        <v>0</v>
      </c>
      <c r="DT484" s="3047" t="str">
        <f t="shared" si="143"/>
        <v/>
      </c>
      <c r="DU484" s="3047" t="str">
        <f>IFERROR(IF(G484="","",SUMIF('Lighting Assumptions'!$G$3:$G$112,'6a - Lighting Counts'!G484,'Lighting Assumptions'!$H$3:$H$112)*IF(SI_IP_Units="SI",10.76,1)),"")</f>
        <v/>
      </c>
      <c r="DV484" s="3047" t="str">
        <f>IFERROR(IF($CX484="","",IF(SI_IP_Units="SI",10.76,1)*SUMIF(BAMCategories,$CY484,'Lighting Assumptions'!$E$3:E$35)),"")</f>
        <v/>
      </c>
      <c r="DW484" s="3047" t="str">
        <f>IFERROR(IF($CX484="","",IF(SI_IP_Units="SI",10.76,1)*SUMIF(BAMCategories,$CY484,IF(bpf_reference="ACP",'Lighting Assumptions 90.1-2010'!$E$3:E$35,'Lighting Assumptions 90.1-2016'!$E$3:E$35))),"")</f>
        <v/>
      </c>
      <c r="EW484" s="855"/>
      <c r="EX484" s="855"/>
      <c r="EY484" s="855"/>
      <c r="EZ484" s="855"/>
    </row>
    <row r="485" spans="4:156" x14ac:dyDescent="0.25">
      <c r="D485" s="3029"/>
      <c r="E485" s="3028"/>
      <c r="F485" s="3021">
        <f t="shared" si="130"/>
        <v>0</v>
      </c>
      <c r="G485" s="3059"/>
      <c r="H485" s="3060"/>
      <c r="I485" s="3061"/>
      <c r="J485" s="3061"/>
      <c r="K485" s="3061"/>
      <c r="L485" s="3061"/>
      <c r="M485" s="3061"/>
      <c r="N485" s="3061"/>
      <c r="O485" s="3061"/>
      <c r="P485" s="3061"/>
      <c r="Q485" s="3061"/>
      <c r="R485" s="3061"/>
      <c r="S485" s="3061"/>
      <c r="T485" s="3061"/>
      <c r="U485" s="3061"/>
      <c r="V485" s="3061"/>
      <c r="W485" s="3061"/>
      <c r="X485" s="3061"/>
      <c r="Y485" s="3061"/>
      <c r="Z485" s="3061"/>
      <c r="AA485" s="3061"/>
      <c r="AB485" s="3061"/>
      <c r="AC485" s="3061"/>
      <c r="AD485" s="3061"/>
      <c r="AE485" s="3061"/>
      <c r="AF485" s="3061"/>
      <c r="AG485" s="3061"/>
      <c r="AH485" s="3061"/>
      <c r="AI485" s="3061"/>
      <c r="AJ485" s="3061"/>
      <c r="AK485" s="3061"/>
      <c r="AL485" s="3061"/>
      <c r="AM485" s="3061"/>
      <c r="AN485" s="3061"/>
      <c r="AO485" s="3061"/>
      <c r="AP485" s="3061"/>
      <c r="AQ485" s="3061"/>
      <c r="AR485" s="3061"/>
      <c r="AS485" s="3061"/>
      <c r="AT485" s="3061"/>
      <c r="AU485" s="3061"/>
      <c r="AV485" s="3061"/>
      <c r="AW485" s="3061"/>
      <c r="AX485" s="3061"/>
      <c r="AY485" s="3061"/>
      <c r="AZ485" s="3061"/>
      <c r="BA485" s="3061"/>
      <c r="BB485" s="3061"/>
      <c r="BC485" s="3061"/>
      <c r="BD485" s="3061"/>
      <c r="BE485" s="3061"/>
      <c r="BF485" s="3061"/>
      <c r="BG485" s="3061"/>
      <c r="BH485" s="3061"/>
      <c r="BI485" s="3061"/>
      <c r="BJ485" s="3061"/>
      <c r="BK485" s="3061"/>
      <c r="BL485" s="3061"/>
      <c r="BM485" s="3061"/>
      <c r="BN485" s="3061"/>
      <c r="BO485" s="3061"/>
      <c r="BP485" s="3061"/>
      <c r="BQ485" s="3061"/>
      <c r="BR485" s="3061"/>
      <c r="BS485" s="3061"/>
      <c r="BT485" s="3061"/>
      <c r="BU485" s="3061"/>
      <c r="BV485" s="3061"/>
      <c r="BW485" s="3061"/>
      <c r="BX485" s="3061"/>
      <c r="BY485" s="3061"/>
      <c r="BZ485" s="3061"/>
      <c r="CA485" s="3061"/>
      <c r="CB485" s="3061"/>
      <c r="CC485" s="3061"/>
      <c r="CD485" s="3061"/>
      <c r="CE485" s="3061"/>
      <c r="CF485" s="3061"/>
      <c r="CG485" s="3061"/>
      <c r="CH485" s="3061"/>
      <c r="CI485" s="3061"/>
      <c r="CJ485" s="3061"/>
      <c r="CK485" s="3061"/>
      <c r="CL485" s="3061"/>
      <c r="CM485" s="3061"/>
      <c r="CN485" s="3061"/>
      <c r="CO485" s="3061"/>
      <c r="CP485" s="3061"/>
      <c r="CQ485" s="3061"/>
      <c r="CR485" s="3061"/>
      <c r="CS485" s="3062"/>
      <c r="CT485" s="3063"/>
      <c r="CU485" s="3064">
        <f t="shared" si="134"/>
        <v>1</v>
      </c>
      <c r="CV485" s="3022" t="str">
        <f>IF(OR(CT485="",CT485="None"),"-",DO485*CU485*SUMIF('Lighting Assumptions'!$G$3:$G$112,'6a - Lighting Counts'!G485,'Lighting Assumptions'!$J$3:$J$112))</f>
        <v>-</v>
      </c>
      <c r="CW485" s="3021"/>
      <c r="CX485" s="3021"/>
      <c r="CY485" s="3046"/>
      <c r="CZ485" s="2098">
        <f t="shared" si="135"/>
        <v>0</v>
      </c>
      <c r="DA485" s="2098" t="str">
        <f t="shared" si="136"/>
        <v>-</v>
      </c>
      <c r="DB485" s="2098">
        <f t="shared" si="137"/>
        <v>0</v>
      </c>
      <c r="DC485" s="3023" t="str">
        <f t="shared" si="138"/>
        <v>-</v>
      </c>
      <c r="DD485" s="3024" t="str">
        <f t="shared" si="139"/>
        <v/>
      </c>
      <c r="DE485" s="3025" t="str">
        <f t="shared" si="140"/>
        <v>-</v>
      </c>
      <c r="DF485" s="3024" t="str">
        <f t="shared" si="131"/>
        <v>-</v>
      </c>
      <c r="DG485" s="2098">
        <f t="shared" si="141"/>
        <v>0</v>
      </c>
      <c r="DH485" s="2098">
        <f t="array" ref="DH485">MIN(SUMPRODUCT(I485:CR485,IF($I$25:$CR$25="yes",1,0),$I$23:$CR$23),H485)</f>
        <v>0</v>
      </c>
      <c r="DI485" s="3026"/>
      <c r="DJ485" s="3021"/>
      <c r="DN485" s="917" t="str">
        <f>IF(CS485="","-",SUMIF('Lighting Assumptions'!$G$3:$G$112,'6a - Lighting Counts'!G485,'Lighting Assumptions'!$J$3:$J$112))</f>
        <v>-</v>
      </c>
      <c r="DO485" s="917" t="str">
        <f t="shared" si="132"/>
        <v>-</v>
      </c>
      <c r="DP485" s="917" t="str">
        <f t="shared" si="133"/>
        <v>-</v>
      </c>
      <c r="DQ485" s="917" t="str">
        <f>IF(LEFT(CELLformula(DF485),3)&lt;&gt;"=IF",1,"")</f>
        <v/>
      </c>
      <c r="DR485" s="917" t="str">
        <f>IF(LEFT(CELLformula(DD485),3)&lt;&gt;"=IF",1,"")</f>
        <v/>
      </c>
      <c r="DS485" s="3048">
        <f t="shared" si="142"/>
        <v>0</v>
      </c>
      <c r="DT485" s="3047" t="str">
        <f t="shared" si="143"/>
        <v/>
      </c>
      <c r="DU485" s="3047" t="str">
        <f>IFERROR(IF(G485="","",SUMIF('Lighting Assumptions'!$G$3:$G$112,'6a - Lighting Counts'!G485,'Lighting Assumptions'!$H$3:$H$112)*IF(SI_IP_Units="SI",10.76,1)),"")</f>
        <v/>
      </c>
      <c r="DV485" s="3047" t="str">
        <f>IFERROR(IF($CX485="","",IF(SI_IP_Units="SI",10.76,1)*SUMIF(BAMCategories,$CY485,'Lighting Assumptions'!$E$3:E$35)),"")</f>
        <v/>
      </c>
      <c r="DW485" s="3047" t="str">
        <f>IFERROR(IF($CX485="","",IF(SI_IP_Units="SI",10.76,1)*SUMIF(BAMCategories,$CY485,IF(bpf_reference="ACP",'Lighting Assumptions 90.1-2010'!$E$3:E$35,'Lighting Assumptions 90.1-2016'!$E$3:E$35))),"")</f>
        <v/>
      </c>
      <c r="EW485" s="855"/>
      <c r="EX485" s="855"/>
      <c r="EY485" s="855"/>
      <c r="EZ485" s="855"/>
    </row>
    <row r="486" spans="4:156" x14ac:dyDescent="0.25">
      <c r="D486" s="3029"/>
      <c r="E486" s="3028"/>
      <c r="F486" s="3021">
        <f t="shared" si="130"/>
        <v>0</v>
      </c>
      <c r="G486" s="3059"/>
      <c r="H486" s="3060"/>
      <c r="I486" s="3061"/>
      <c r="J486" s="3061"/>
      <c r="K486" s="3061"/>
      <c r="L486" s="3061"/>
      <c r="M486" s="3061"/>
      <c r="N486" s="3061"/>
      <c r="O486" s="3061"/>
      <c r="P486" s="3061"/>
      <c r="Q486" s="3061"/>
      <c r="R486" s="3061"/>
      <c r="S486" s="3061"/>
      <c r="T486" s="3061"/>
      <c r="U486" s="3061"/>
      <c r="V486" s="3061"/>
      <c r="W486" s="3061"/>
      <c r="X486" s="3061"/>
      <c r="Y486" s="3061"/>
      <c r="Z486" s="3061"/>
      <c r="AA486" s="3061"/>
      <c r="AB486" s="3061"/>
      <c r="AC486" s="3061"/>
      <c r="AD486" s="3061"/>
      <c r="AE486" s="3061"/>
      <c r="AF486" s="3061"/>
      <c r="AG486" s="3061"/>
      <c r="AH486" s="3061"/>
      <c r="AI486" s="3061"/>
      <c r="AJ486" s="3061"/>
      <c r="AK486" s="3061"/>
      <c r="AL486" s="3061"/>
      <c r="AM486" s="3061"/>
      <c r="AN486" s="3061"/>
      <c r="AO486" s="3061"/>
      <c r="AP486" s="3061"/>
      <c r="AQ486" s="3061"/>
      <c r="AR486" s="3061"/>
      <c r="AS486" s="3061"/>
      <c r="AT486" s="3061"/>
      <c r="AU486" s="3061"/>
      <c r="AV486" s="3061"/>
      <c r="AW486" s="3061"/>
      <c r="AX486" s="3061"/>
      <c r="AY486" s="3061"/>
      <c r="AZ486" s="3061"/>
      <c r="BA486" s="3061"/>
      <c r="BB486" s="3061"/>
      <c r="BC486" s="3061"/>
      <c r="BD486" s="3061"/>
      <c r="BE486" s="3061"/>
      <c r="BF486" s="3061"/>
      <c r="BG486" s="3061"/>
      <c r="BH486" s="3061"/>
      <c r="BI486" s="3061"/>
      <c r="BJ486" s="3061"/>
      <c r="BK486" s="3061"/>
      <c r="BL486" s="3061"/>
      <c r="BM486" s="3061"/>
      <c r="BN486" s="3061"/>
      <c r="BO486" s="3061"/>
      <c r="BP486" s="3061"/>
      <c r="BQ486" s="3061"/>
      <c r="BR486" s="3061"/>
      <c r="BS486" s="3061"/>
      <c r="BT486" s="3061"/>
      <c r="BU486" s="3061"/>
      <c r="BV486" s="3061"/>
      <c r="BW486" s="3061"/>
      <c r="BX486" s="3061"/>
      <c r="BY486" s="3061"/>
      <c r="BZ486" s="3061"/>
      <c r="CA486" s="3061"/>
      <c r="CB486" s="3061"/>
      <c r="CC486" s="3061"/>
      <c r="CD486" s="3061"/>
      <c r="CE486" s="3061"/>
      <c r="CF486" s="3061"/>
      <c r="CG486" s="3061"/>
      <c r="CH486" s="3061"/>
      <c r="CI486" s="3061"/>
      <c r="CJ486" s="3061"/>
      <c r="CK486" s="3061"/>
      <c r="CL486" s="3061"/>
      <c r="CM486" s="3061"/>
      <c r="CN486" s="3061"/>
      <c r="CO486" s="3061"/>
      <c r="CP486" s="3061"/>
      <c r="CQ486" s="3061"/>
      <c r="CR486" s="3061"/>
      <c r="CS486" s="3062"/>
      <c r="CT486" s="3063"/>
      <c r="CU486" s="3064">
        <f t="shared" si="134"/>
        <v>1</v>
      </c>
      <c r="CV486" s="3022" t="str">
        <f>IF(OR(CT486="",CT486="None"),"-",DO486*CU486*SUMIF('Lighting Assumptions'!$G$3:$G$112,'6a - Lighting Counts'!G486,'Lighting Assumptions'!$J$3:$J$112))</f>
        <v>-</v>
      </c>
      <c r="CW486" s="3021"/>
      <c r="CX486" s="3021"/>
      <c r="CY486" s="3046"/>
      <c r="CZ486" s="2098">
        <f t="shared" si="135"/>
        <v>0</v>
      </c>
      <c r="DA486" s="2098" t="str">
        <f t="shared" si="136"/>
        <v>-</v>
      </c>
      <c r="DB486" s="2098">
        <f t="shared" si="137"/>
        <v>0</v>
      </c>
      <c r="DC486" s="3023" t="str">
        <f t="shared" si="138"/>
        <v>-</v>
      </c>
      <c r="DD486" s="3024" t="str">
        <f t="shared" si="139"/>
        <v/>
      </c>
      <c r="DE486" s="3025" t="str">
        <f t="shared" si="140"/>
        <v>-</v>
      </c>
      <c r="DF486" s="3024" t="str">
        <f t="shared" si="131"/>
        <v>-</v>
      </c>
      <c r="DG486" s="2098">
        <f t="shared" si="141"/>
        <v>0</v>
      </c>
      <c r="DH486" s="2098">
        <f t="array" ref="DH486">MIN(SUMPRODUCT(I486:CR486,IF($I$25:$CR$25="yes",1,0),$I$23:$CR$23),H486)</f>
        <v>0</v>
      </c>
      <c r="DI486" s="3026"/>
      <c r="DJ486" s="3021"/>
      <c r="DN486" s="917" t="str">
        <f>IF(CS486="","-",SUMIF('Lighting Assumptions'!$G$3:$G$112,'6a - Lighting Counts'!G486,'Lighting Assumptions'!$J$3:$J$112))</f>
        <v>-</v>
      </c>
      <c r="DO486" s="917" t="str">
        <f t="shared" si="132"/>
        <v>-</v>
      </c>
      <c r="DP486" s="917" t="str">
        <f t="shared" si="133"/>
        <v>-</v>
      </c>
      <c r="DQ486" s="917" t="str">
        <f>IF(LEFT(CELLformula(DF486),3)&lt;&gt;"=IF",1,"")</f>
        <v/>
      </c>
      <c r="DR486" s="917" t="str">
        <f>IF(LEFT(CELLformula(DD486),3)&lt;&gt;"=IF",1,"")</f>
        <v/>
      </c>
      <c r="DS486" s="3048">
        <f t="shared" si="142"/>
        <v>0</v>
      </c>
      <c r="DT486" s="3047" t="str">
        <f t="shared" si="143"/>
        <v/>
      </c>
      <c r="DU486" s="3047" t="str">
        <f>IFERROR(IF(G486="","",SUMIF('Lighting Assumptions'!$G$3:$G$112,'6a - Lighting Counts'!G486,'Lighting Assumptions'!$H$3:$H$112)*IF(SI_IP_Units="SI",10.76,1)),"")</f>
        <v/>
      </c>
      <c r="DV486" s="3047" t="str">
        <f>IFERROR(IF($CX486="","",IF(SI_IP_Units="SI",10.76,1)*SUMIF(BAMCategories,$CY486,'Lighting Assumptions'!$E$3:E$35)),"")</f>
        <v/>
      </c>
      <c r="DW486" s="3047" t="str">
        <f>IFERROR(IF($CX486="","",IF(SI_IP_Units="SI",10.76,1)*SUMIF(BAMCategories,$CY486,IF(bpf_reference="ACP",'Lighting Assumptions 90.1-2010'!$E$3:E$35,'Lighting Assumptions 90.1-2016'!$E$3:E$35))),"")</f>
        <v/>
      </c>
      <c r="EW486" s="855"/>
      <c r="EX486" s="855"/>
      <c r="EY486" s="855"/>
      <c r="EZ486" s="855"/>
    </row>
    <row r="487" spans="4:156" x14ac:dyDescent="0.25">
      <c r="D487" s="3029"/>
      <c r="E487" s="3028"/>
      <c r="F487" s="3021">
        <f t="shared" si="130"/>
        <v>0</v>
      </c>
      <c r="G487" s="3059"/>
      <c r="H487" s="3060"/>
      <c r="I487" s="3061"/>
      <c r="J487" s="3061"/>
      <c r="K487" s="3061"/>
      <c r="L487" s="3061"/>
      <c r="M487" s="3061"/>
      <c r="N487" s="3061"/>
      <c r="O487" s="3061"/>
      <c r="P487" s="3061"/>
      <c r="Q487" s="3061"/>
      <c r="R487" s="3061"/>
      <c r="S487" s="3061"/>
      <c r="T487" s="3061"/>
      <c r="U487" s="3061"/>
      <c r="V487" s="3061"/>
      <c r="W487" s="3061"/>
      <c r="X487" s="3061"/>
      <c r="Y487" s="3061"/>
      <c r="Z487" s="3061"/>
      <c r="AA487" s="3061"/>
      <c r="AB487" s="3061"/>
      <c r="AC487" s="3061"/>
      <c r="AD487" s="3061"/>
      <c r="AE487" s="3061"/>
      <c r="AF487" s="3061"/>
      <c r="AG487" s="3061"/>
      <c r="AH487" s="3061"/>
      <c r="AI487" s="3061"/>
      <c r="AJ487" s="3061"/>
      <c r="AK487" s="3061"/>
      <c r="AL487" s="3061"/>
      <c r="AM487" s="3061"/>
      <c r="AN487" s="3061"/>
      <c r="AO487" s="3061"/>
      <c r="AP487" s="3061"/>
      <c r="AQ487" s="3061"/>
      <c r="AR487" s="3061"/>
      <c r="AS487" s="3061"/>
      <c r="AT487" s="3061"/>
      <c r="AU487" s="3061"/>
      <c r="AV487" s="3061"/>
      <c r="AW487" s="3061"/>
      <c r="AX487" s="3061"/>
      <c r="AY487" s="3061"/>
      <c r="AZ487" s="3061"/>
      <c r="BA487" s="3061"/>
      <c r="BB487" s="3061"/>
      <c r="BC487" s="3061"/>
      <c r="BD487" s="3061"/>
      <c r="BE487" s="3061"/>
      <c r="BF487" s="3061"/>
      <c r="BG487" s="3061"/>
      <c r="BH487" s="3061"/>
      <c r="BI487" s="3061"/>
      <c r="BJ487" s="3061"/>
      <c r="BK487" s="3061"/>
      <c r="BL487" s="3061"/>
      <c r="BM487" s="3061"/>
      <c r="BN487" s="3061"/>
      <c r="BO487" s="3061"/>
      <c r="BP487" s="3061"/>
      <c r="BQ487" s="3061"/>
      <c r="BR487" s="3061"/>
      <c r="BS487" s="3061"/>
      <c r="BT487" s="3061"/>
      <c r="BU487" s="3061"/>
      <c r="BV487" s="3061"/>
      <c r="BW487" s="3061"/>
      <c r="BX487" s="3061"/>
      <c r="BY487" s="3061"/>
      <c r="BZ487" s="3061"/>
      <c r="CA487" s="3061"/>
      <c r="CB487" s="3061"/>
      <c r="CC487" s="3061"/>
      <c r="CD487" s="3061"/>
      <c r="CE487" s="3061"/>
      <c r="CF487" s="3061"/>
      <c r="CG487" s="3061"/>
      <c r="CH487" s="3061"/>
      <c r="CI487" s="3061"/>
      <c r="CJ487" s="3061"/>
      <c r="CK487" s="3061"/>
      <c r="CL487" s="3061"/>
      <c r="CM487" s="3061"/>
      <c r="CN487" s="3061"/>
      <c r="CO487" s="3061"/>
      <c r="CP487" s="3061"/>
      <c r="CQ487" s="3061"/>
      <c r="CR487" s="3061"/>
      <c r="CS487" s="3062"/>
      <c r="CT487" s="3063"/>
      <c r="CU487" s="3064">
        <f t="shared" si="134"/>
        <v>1</v>
      </c>
      <c r="CV487" s="3022" t="str">
        <f>IF(OR(CT487="",CT487="None"),"-",DO487*CU487*SUMIF('Lighting Assumptions'!$G$3:$G$112,'6a - Lighting Counts'!G487,'Lighting Assumptions'!$J$3:$J$112))</f>
        <v>-</v>
      </c>
      <c r="CW487" s="3021"/>
      <c r="CX487" s="3021"/>
      <c r="CY487" s="3046"/>
      <c r="CZ487" s="2098">
        <f t="shared" si="135"/>
        <v>0</v>
      </c>
      <c r="DA487" s="2098" t="str">
        <f t="shared" si="136"/>
        <v>-</v>
      </c>
      <c r="DB487" s="2098">
        <f t="shared" si="137"/>
        <v>0</v>
      </c>
      <c r="DC487" s="3023" t="str">
        <f t="shared" si="138"/>
        <v>-</v>
      </c>
      <c r="DD487" s="3024" t="str">
        <f t="shared" si="139"/>
        <v/>
      </c>
      <c r="DE487" s="3025" t="str">
        <f t="shared" si="140"/>
        <v>-</v>
      </c>
      <c r="DF487" s="3024" t="str">
        <f t="shared" si="131"/>
        <v>-</v>
      </c>
      <c r="DG487" s="2098">
        <f t="shared" si="141"/>
        <v>0</v>
      </c>
      <c r="DH487" s="2098">
        <f t="array" ref="DH487">MIN(SUMPRODUCT(I487:CR487,IF($I$25:$CR$25="yes",1,0),$I$23:$CR$23),H487)</f>
        <v>0</v>
      </c>
      <c r="DI487" s="3026"/>
      <c r="DJ487" s="3021"/>
      <c r="DN487" s="917" t="str">
        <f>IF(CS487="","-",SUMIF('Lighting Assumptions'!$G$3:$G$112,'6a - Lighting Counts'!G487,'Lighting Assumptions'!$J$3:$J$112))</f>
        <v>-</v>
      </c>
      <c r="DO487" s="917" t="str">
        <f t="shared" si="132"/>
        <v>-</v>
      </c>
      <c r="DP487" s="917" t="str">
        <f t="shared" si="133"/>
        <v>-</v>
      </c>
      <c r="DQ487" s="917" t="str">
        <f>IF(LEFT(CELLformula(DF487),3)&lt;&gt;"=IF",1,"")</f>
        <v/>
      </c>
      <c r="DR487" s="917" t="str">
        <f>IF(LEFT(CELLformula(DD487),3)&lt;&gt;"=IF",1,"")</f>
        <v/>
      </c>
      <c r="DS487" s="3048">
        <f t="shared" si="142"/>
        <v>0</v>
      </c>
      <c r="DT487" s="3047" t="str">
        <f t="shared" si="143"/>
        <v/>
      </c>
      <c r="DU487" s="3047" t="str">
        <f>IFERROR(IF(G487="","",SUMIF('Lighting Assumptions'!$G$3:$G$112,'6a - Lighting Counts'!G487,'Lighting Assumptions'!$H$3:$H$112)*IF(SI_IP_Units="SI",10.76,1)),"")</f>
        <v/>
      </c>
      <c r="DV487" s="3047" t="str">
        <f>IFERROR(IF($CX487="","",IF(SI_IP_Units="SI",10.76,1)*SUMIF(BAMCategories,$CY487,'Lighting Assumptions'!$E$3:E$35)),"")</f>
        <v/>
      </c>
      <c r="DW487" s="3047" t="str">
        <f>IFERROR(IF($CX487="","",IF(SI_IP_Units="SI",10.76,1)*SUMIF(BAMCategories,$CY487,IF(bpf_reference="ACP",'Lighting Assumptions 90.1-2010'!$E$3:E$35,'Lighting Assumptions 90.1-2016'!$E$3:E$35))),"")</f>
        <v/>
      </c>
      <c r="EW487" s="855"/>
      <c r="EX487" s="855"/>
      <c r="EY487" s="855"/>
      <c r="EZ487" s="855"/>
    </row>
    <row r="488" spans="4:156" x14ac:dyDescent="0.25">
      <c r="D488" s="3029"/>
      <c r="E488" s="3028"/>
      <c r="F488" s="3021">
        <f t="shared" si="130"/>
        <v>0</v>
      </c>
      <c r="G488" s="3059"/>
      <c r="H488" s="3060"/>
      <c r="I488" s="3061"/>
      <c r="J488" s="3061"/>
      <c r="K488" s="3061"/>
      <c r="L488" s="3061"/>
      <c r="M488" s="3061"/>
      <c r="N488" s="3061"/>
      <c r="O488" s="3061"/>
      <c r="P488" s="3061"/>
      <c r="Q488" s="3061"/>
      <c r="R488" s="3061"/>
      <c r="S488" s="3061"/>
      <c r="T488" s="3061"/>
      <c r="U488" s="3061"/>
      <c r="V488" s="3061"/>
      <c r="W488" s="3061"/>
      <c r="X488" s="3061"/>
      <c r="Y488" s="3061"/>
      <c r="Z488" s="3061"/>
      <c r="AA488" s="3061"/>
      <c r="AB488" s="3061"/>
      <c r="AC488" s="3061"/>
      <c r="AD488" s="3061"/>
      <c r="AE488" s="3061"/>
      <c r="AF488" s="3061"/>
      <c r="AG488" s="3061"/>
      <c r="AH488" s="3061"/>
      <c r="AI488" s="3061"/>
      <c r="AJ488" s="3061"/>
      <c r="AK488" s="3061"/>
      <c r="AL488" s="3061"/>
      <c r="AM488" s="3061"/>
      <c r="AN488" s="3061"/>
      <c r="AO488" s="3061"/>
      <c r="AP488" s="3061"/>
      <c r="AQ488" s="3061"/>
      <c r="AR488" s="3061"/>
      <c r="AS488" s="3061"/>
      <c r="AT488" s="3061"/>
      <c r="AU488" s="3061"/>
      <c r="AV488" s="3061"/>
      <c r="AW488" s="3061"/>
      <c r="AX488" s="3061"/>
      <c r="AY488" s="3061"/>
      <c r="AZ488" s="3061"/>
      <c r="BA488" s="3061"/>
      <c r="BB488" s="3061"/>
      <c r="BC488" s="3061"/>
      <c r="BD488" s="3061"/>
      <c r="BE488" s="3061"/>
      <c r="BF488" s="3061"/>
      <c r="BG488" s="3061"/>
      <c r="BH488" s="3061"/>
      <c r="BI488" s="3061"/>
      <c r="BJ488" s="3061"/>
      <c r="BK488" s="3061"/>
      <c r="BL488" s="3061"/>
      <c r="BM488" s="3061"/>
      <c r="BN488" s="3061"/>
      <c r="BO488" s="3061"/>
      <c r="BP488" s="3061"/>
      <c r="BQ488" s="3061"/>
      <c r="BR488" s="3061"/>
      <c r="BS488" s="3061"/>
      <c r="BT488" s="3061"/>
      <c r="BU488" s="3061"/>
      <c r="BV488" s="3061"/>
      <c r="BW488" s="3061"/>
      <c r="BX488" s="3061"/>
      <c r="BY488" s="3061"/>
      <c r="BZ488" s="3061"/>
      <c r="CA488" s="3061"/>
      <c r="CB488" s="3061"/>
      <c r="CC488" s="3061"/>
      <c r="CD488" s="3061"/>
      <c r="CE488" s="3061"/>
      <c r="CF488" s="3061"/>
      <c r="CG488" s="3061"/>
      <c r="CH488" s="3061"/>
      <c r="CI488" s="3061"/>
      <c r="CJ488" s="3061"/>
      <c r="CK488" s="3061"/>
      <c r="CL488" s="3061"/>
      <c r="CM488" s="3061"/>
      <c r="CN488" s="3061"/>
      <c r="CO488" s="3061"/>
      <c r="CP488" s="3061"/>
      <c r="CQ488" s="3061"/>
      <c r="CR488" s="3061"/>
      <c r="CS488" s="3062"/>
      <c r="CT488" s="3063"/>
      <c r="CU488" s="3064">
        <f t="shared" si="134"/>
        <v>1</v>
      </c>
      <c r="CV488" s="3022" t="str">
        <f>IF(OR(CT488="",CT488="None"),"-",DO488*CU488*SUMIF('Lighting Assumptions'!$G$3:$G$112,'6a - Lighting Counts'!G488,'Lighting Assumptions'!$J$3:$J$112))</f>
        <v>-</v>
      </c>
      <c r="CW488" s="3021"/>
      <c r="CX488" s="3021"/>
      <c r="CY488" s="3046"/>
      <c r="CZ488" s="2098">
        <f t="shared" si="135"/>
        <v>0</v>
      </c>
      <c r="DA488" s="2098" t="str">
        <f t="shared" si="136"/>
        <v>-</v>
      </c>
      <c r="DB488" s="2098">
        <f t="shared" si="137"/>
        <v>0</v>
      </c>
      <c r="DC488" s="3023" t="str">
        <f t="shared" si="138"/>
        <v>-</v>
      </c>
      <c r="DD488" s="3024" t="str">
        <f t="shared" si="139"/>
        <v/>
      </c>
      <c r="DE488" s="3025" t="str">
        <f t="shared" si="140"/>
        <v>-</v>
      </c>
      <c r="DF488" s="3024" t="str">
        <f t="shared" si="131"/>
        <v>-</v>
      </c>
      <c r="DG488" s="2098">
        <f t="shared" si="141"/>
        <v>0</v>
      </c>
      <c r="DH488" s="2098">
        <f t="array" ref="DH488">MIN(SUMPRODUCT(I488:CR488,IF($I$25:$CR$25="yes",1,0),$I$23:$CR$23),H488)</f>
        <v>0</v>
      </c>
      <c r="DI488" s="3026"/>
      <c r="DJ488" s="3021"/>
      <c r="DN488" s="917" t="str">
        <f>IF(CS488="","-",SUMIF('Lighting Assumptions'!$G$3:$G$112,'6a - Lighting Counts'!G488,'Lighting Assumptions'!$J$3:$J$112))</f>
        <v>-</v>
      </c>
      <c r="DO488" s="917" t="str">
        <f t="shared" si="132"/>
        <v>-</v>
      </c>
      <c r="DP488" s="917" t="str">
        <f t="shared" si="133"/>
        <v>-</v>
      </c>
      <c r="DQ488" s="917" t="str">
        <f>IF(LEFT(CELLformula(DF488),3)&lt;&gt;"=IF",1,"")</f>
        <v/>
      </c>
      <c r="DR488" s="917" t="str">
        <f>IF(LEFT(CELLformula(DD488),3)&lt;&gt;"=IF",1,"")</f>
        <v/>
      </c>
      <c r="DS488" s="3048">
        <f t="shared" si="142"/>
        <v>0</v>
      </c>
      <c r="DT488" s="3047" t="str">
        <f t="shared" si="143"/>
        <v/>
      </c>
      <c r="DU488" s="3047" t="str">
        <f>IFERROR(IF(G488="","",SUMIF('Lighting Assumptions'!$G$3:$G$112,'6a - Lighting Counts'!G488,'Lighting Assumptions'!$H$3:$H$112)*IF(SI_IP_Units="SI",10.76,1)),"")</f>
        <v/>
      </c>
      <c r="DV488" s="3047" t="str">
        <f>IFERROR(IF($CX488="","",IF(SI_IP_Units="SI",10.76,1)*SUMIF(BAMCategories,$CY488,'Lighting Assumptions'!$E$3:E$35)),"")</f>
        <v/>
      </c>
      <c r="DW488" s="3047" t="str">
        <f>IFERROR(IF($CX488="","",IF(SI_IP_Units="SI",10.76,1)*SUMIF(BAMCategories,$CY488,IF(bpf_reference="ACP",'Lighting Assumptions 90.1-2010'!$E$3:E$35,'Lighting Assumptions 90.1-2016'!$E$3:E$35))),"")</f>
        <v/>
      </c>
      <c r="EW488" s="855"/>
      <c r="EX488" s="855"/>
      <c r="EY488" s="855"/>
      <c r="EZ488" s="855"/>
    </row>
    <row r="489" spans="4:156" x14ac:dyDescent="0.25">
      <c r="D489" s="3029"/>
      <c r="E489" s="3028"/>
      <c r="F489" s="3021">
        <f t="shared" si="130"/>
        <v>0</v>
      </c>
      <c r="G489" s="3059"/>
      <c r="H489" s="3060"/>
      <c r="I489" s="3061"/>
      <c r="J489" s="3061"/>
      <c r="K489" s="3061"/>
      <c r="L489" s="3061"/>
      <c r="M489" s="3061"/>
      <c r="N489" s="3061"/>
      <c r="O489" s="3061"/>
      <c r="P489" s="3061"/>
      <c r="Q489" s="3061"/>
      <c r="R489" s="3061"/>
      <c r="S489" s="3061"/>
      <c r="T489" s="3061"/>
      <c r="U489" s="3061"/>
      <c r="V489" s="3061"/>
      <c r="W489" s="3061"/>
      <c r="X489" s="3061"/>
      <c r="Y489" s="3061"/>
      <c r="Z489" s="3061"/>
      <c r="AA489" s="3061"/>
      <c r="AB489" s="3061"/>
      <c r="AC489" s="3061"/>
      <c r="AD489" s="3061"/>
      <c r="AE489" s="3061"/>
      <c r="AF489" s="3061"/>
      <c r="AG489" s="3061"/>
      <c r="AH489" s="3061"/>
      <c r="AI489" s="3061"/>
      <c r="AJ489" s="3061"/>
      <c r="AK489" s="3061"/>
      <c r="AL489" s="3061"/>
      <c r="AM489" s="3061"/>
      <c r="AN489" s="3061"/>
      <c r="AO489" s="3061"/>
      <c r="AP489" s="3061"/>
      <c r="AQ489" s="3061"/>
      <c r="AR489" s="3061"/>
      <c r="AS489" s="3061"/>
      <c r="AT489" s="3061"/>
      <c r="AU489" s="3061"/>
      <c r="AV489" s="3061"/>
      <c r="AW489" s="3061"/>
      <c r="AX489" s="3061"/>
      <c r="AY489" s="3061"/>
      <c r="AZ489" s="3061"/>
      <c r="BA489" s="3061"/>
      <c r="BB489" s="3061"/>
      <c r="BC489" s="3061"/>
      <c r="BD489" s="3061"/>
      <c r="BE489" s="3061"/>
      <c r="BF489" s="3061"/>
      <c r="BG489" s="3061"/>
      <c r="BH489" s="3061"/>
      <c r="BI489" s="3061"/>
      <c r="BJ489" s="3061"/>
      <c r="BK489" s="3061"/>
      <c r="BL489" s="3061"/>
      <c r="BM489" s="3061"/>
      <c r="BN489" s="3061"/>
      <c r="BO489" s="3061"/>
      <c r="BP489" s="3061"/>
      <c r="BQ489" s="3061"/>
      <c r="BR489" s="3061"/>
      <c r="BS489" s="3061"/>
      <c r="BT489" s="3061"/>
      <c r="BU489" s="3061"/>
      <c r="BV489" s="3061"/>
      <c r="BW489" s="3061"/>
      <c r="BX489" s="3061"/>
      <c r="BY489" s="3061"/>
      <c r="BZ489" s="3061"/>
      <c r="CA489" s="3061"/>
      <c r="CB489" s="3061"/>
      <c r="CC489" s="3061"/>
      <c r="CD489" s="3061"/>
      <c r="CE489" s="3061"/>
      <c r="CF489" s="3061"/>
      <c r="CG489" s="3061"/>
      <c r="CH489" s="3061"/>
      <c r="CI489" s="3061"/>
      <c r="CJ489" s="3061"/>
      <c r="CK489" s="3061"/>
      <c r="CL489" s="3061"/>
      <c r="CM489" s="3061"/>
      <c r="CN489" s="3061"/>
      <c r="CO489" s="3061"/>
      <c r="CP489" s="3061"/>
      <c r="CQ489" s="3061"/>
      <c r="CR489" s="3061"/>
      <c r="CS489" s="3062"/>
      <c r="CT489" s="3063"/>
      <c r="CU489" s="3064">
        <f t="shared" si="134"/>
        <v>1</v>
      </c>
      <c r="CV489" s="3022" t="str">
        <f>IF(OR(CT489="",CT489="None"),"-",DO489*CU489*SUMIF('Lighting Assumptions'!$G$3:$G$112,'6a - Lighting Counts'!G489,'Lighting Assumptions'!$J$3:$J$112))</f>
        <v>-</v>
      </c>
      <c r="CW489" s="3021"/>
      <c r="CX489" s="3021"/>
      <c r="CY489" s="3046"/>
      <c r="CZ489" s="2098">
        <f t="shared" si="135"/>
        <v>0</v>
      </c>
      <c r="DA489" s="2098" t="str">
        <f t="shared" si="136"/>
        <v>-</v>
      </c>
      <c r="DB489" s="2098">
        <f t="shared" si="137"/>
        <v>0</v>
      </c>
      <c r="DC489" s="3023" t="str">
        <f t="shared" si="138"/>
        <v>-</v>
      </c>
      <c r="DD489" s="3024" t="str">
        <f t="shared" si="139"/>
        <v/>
      </c>
      <c r="DE489" s="3025" t="str">
        <f t="shared" si="140"/>
        <v>-</v>
      </c>
      <c r="DF489" s="3024" t="str">
        <f t="shared" si="131"/>
        <v>-</v>
      </c>
      <c r="DG489" s="2098">
        <f t="shared" si="141"/>
        <v>0</v>
      </c>
      <c r="DH489" s="2098">
        <f t="array" ref="DH489">MIN(SUMPRODUCT(I489:CR489,IF($I$25:$CR$25="yes",1,0),$I$23:$CR$23),H489)</f>
        <v>0</v>
      </c>
      <c r="DI489" s="3026"/>
      <c r="DJ489" s="3021"/>
      <c r="DN489" s="917" t="str">
        <f>IF(CS489="","-",SUMIF('Lighting Assumptions'!$G$3:$G$112,'6a - Lighting Counts'!G489,'Lighting Assumptions'!$J$3:$J$112))</f>
        <v>-</v>
      </c>
      <c r="DO489" s="917" t="str">
        <f t="shared" si="132"/>
        <v>-</v>
      </c>
      <c r="DP489" s="917" t="str">
        <f t="shared" si="133"/>
        <v>-</v>
      </c>
      <c r="DQ489" s="917" t="str">
        <f>IF(LEFT(CELLformula(DF489),3)&lt;&gt;"=IF",1,"")</f>
        <v/>
      </c>
      <c r="DR489" s="917" t="str">
        <f>IF(LEFT(CELLformula(DD489),3)&lt;&gt;"=IF",1,"")</f>
        <v/>
      </c>
      <c r="DS489" s="3048">
        <f t="shared" si="142"/>
        <v>0</v>
      </c>
      <c r="DT489" s="3047" t="str">
        <f t="shared" si="143"/>
        <v/>
      </c>
      <c r="DU489" s="3047" t="str">
        <f>IFERROR(IF(G489="","",SUMIF('Lighting Assumptions'!$G$3:$G$112,'6a - Lighting Counts'!G489,'Lighting Assumptions'!$H$3:$H$112)*IF(SI_IP_Units="SI",10.76,1)),"")</f>
        <v/>
      </c>
      <c r="DV489" s="3047" t="str">
        <f>IFERROR(IF($CX489="","",IF(SI_IP_Units="SI",10.76,1)*SUMIF(BAMCategories,$CY489,'Lighting Assumptions'!$E$3:E$35)),"")</f>
        <v/>
      </c>
      <c r="DW489" s="3047" t="str">
        <f>IFERROR(IF($CX489="","",IF(SI_IP_Units="SI",10.76,1)*SUMIF(BAMCategories,$CY489,IF(bpf_reference="ACP",'Lighting Assumptions 90.1-2010'!$E$3:E$35,'Lighting Assumptions 90.1-2016'!$E$3:E$35))),"")</f>
        <v/>
      </c>
      <c r="EW489" s="855"/>
      <c r="EX489" s="855"/>
      <c r="EY489" s="855"/>
      <c r="EZ489" s="855"/>
    </row>
    <row r="490" spans="4:156" x14ac:dyDescent="0.25">
      <c r="D490" s="3029"/>
      <c r="E490" s="3028"/>
      <c r="F490" s="3021">
        <f t="shared" si="130"/>
        <v>0</v>
      </c>
      <c r="G490" s="3059"/>
      <c r="H490" s="3060"/>
      <c r="I490" s="3061"/>
      <c r="J490" s="3061"/>
      <c r="K490" s="3061"/>
      <c r="L490" s="3061"/>
      <c r="M490" s="3061"/>
      <c r="N490" s="3061"/>
      <c r="O490" s="3061"/>
      <c r="P490" s="3061"/>
      <c r="Q490" s="3061"/>
      <c r="R490" s="3061"/>
      <c r="S490" s="3061"/>
      <c r="T490" s="3061"/>
      <c r="U490" s="3061"/>
      <c r="V490" s="3061"/>
      <c r="W490" s="3061"/>
      <c r="X490" s="3061"/>
      <c r="Y490" s="3061"/>
      <c r="Z490" s="3061"/>
      <c r="AA490" s="3061"/>
      <c r="AB490" s="3061"/>
      <c r="AC490" s="3061"/>
      <c r="AD490" s="3061"/>
      <c r="AE490" s="3061"/>
      <c r="AF490" s="3061"/>
      <c r="AG490" s="3061"/>
      <c r="AH490" s="3061"/>
      <c r="AI490" s="3061"/>
      <c r="AJ490" s="3061"/>
      <c r="AK490" s="3061"/>
      <c r="AL490" s="3061"/>
      <c r="AM490" s="3061"/>
      <c r="AN490" s="3061"/>
      <c r="AO490" s="3061"/>
      <c r="AP490" s="3061"/>
      <c r="AQ490" s="3061"/>
      <c r="AR490" s="3061"/>
      <c r="AS490" s="3061"/>
      <c r="AT490" s="3061"/>
      <c r="AU490" s="3061"/>
      <c r="AV490" s="3061"/>
      <c r="AW490" s="3061"/>
      <c r="AX490" s="3061"/>
      <c r="AY490" s="3061"/>
      <c r="AZ490" s="3061"/>
      <c r="BA490" s="3061"/>
      <c r="BB490" s="3061"/>
      <c r="BC490" s="3061"/>
      <c r="BD490" s="3061"/>
      <c r="BE490" s="3061"/>
      <c r="BF490" s="3061"/>
      <c r="BG490" s="3061"/>
      <c r="BH490" s="3061"/>
      <c r="BI490" s="3061"/>
      <c r="BJ490" s="3061"/>
      <c r="BK490" s="3061"/>
      <c r="BL490" s="3061"/>
      <c r="BM490" s="3061"/>
      <c r="BN490" s="3061"/>
      <c r="BO490" s="3061"/>
      <c r="BP490" s="3061"/>
      <c r="BQ490" s="3061"/>
      <c r="BR490" s="3061"/>
      <c r="BS490" s="3061"/>
      <c r="BT490" s="3061"/>
      <c r="BU490" s="3061"/>
      <c r="BV490" s="3061"/>
      <c r="BW490" s="3061"/>
      <c r="BX490" s="3061"/>
      <c r="BY490" s="3061"/>
      <c r="BZ490" s="3061"/>
      <c r="CA490" s="3061"/>
      <c r="CB490" s="3061"/>
      <c r="CC490" s="3061"/>
      <c r="CD490" s="3061"/>
      <c r="CE490" s="3061"/>
      <c r="CF490" s="3061"/>
      <c r="CG490" s="3061"/>
      <c r="CH490" s="3061"/>
      <c r="CI490" s="3061"/>
      <c r="CJ490" s="3061"/>
      <c r="CK490" s="3061"/>
      <c r="CL490" s="3061"/>
      <c r="CM490" s="3061"/>
      <c r="CN490" s="3061"/>
      <c r="CO490" s="3061"/>
      <c r="CP490" s="3061"/>
      <c r="CQ490" s="3061"/>
      <c r="CR490" s="3061"/>
      <c r="CS490" s="3062"/>
      <c r="CT490" s="3063"/>
      <c r="CU490" s="3064">
        <f t="shared" si="134"/>
        <v>1</v>
      </c>
      <c r="CV490" s="3022" t="str">
        <f>IF(OR(CT490="",CT490="None"),"-",DO490*CU490*SUMIF('Lighting Assumptions'!$G$3:$G$112,'6a - Lighting Counts'!G490,'Lighting Assumptions'!$J$3:$J$112))</f>
        <v>-</v>
      </c>
      <c r="CW490" s="3021"/>
      <c r="CX490" s="3021"/>
      <c r="CY490" s="3046"/>
      <c r="CZ490" s="2098">
        <f t="shared" si="135"/>
        <v>0</v>
      </c>
      <c r="DA490" s="2098" t="str">
        <f t="shared" si="136"/>
        <v>-</v>
      </c>
      <c r="DB490" s="2098">
        <f t="shared" si="137"/>
        <v>0</v>
      </c>
      <c r="DC490" s="3023" t="str">
        <f t="shared" si="138"/>
        <v>-</v>
      </c>
      <c r="DD490" s="3024" t="str">
        <f t="shared" si="139"/>
        <v/>
      </c>
      <c r="DE490" s="3025" t="str">
        <f t="shared" si="140"/>
        <v>-</v>
      </c>
      <c r="DF490" s="3024" t="str">
        <f t="shared" si="131"/>
        <v>-</v>
      </c>
      <c r="DG490" s="2098">
        <f t="shared" si="141"/>
        <v>0</v>
      </c>
      <c r="DH490" s="2098">
        <f t="array" ref="DH490">MIN(SUMPRODUCT(I490:CR490,IF($I$25:$CR$25="yes",1,0),$I$23:$CR$23),H490)</f>
        <v>0</v>
      </c>
      <c r="DI490" s="3026"/>
      <c r="DJ490" s="3021"/>
      <c r="DN490" s="917" t="str">
        <f>IF(CS490="","-",SUMIF('Lighting Assumptions'!$G$3:$G$112,'6a - Lighting Counts'!G490,'Lighting Assumptions'!$J$3:$J$112))</f>
        <v>-</v>
      </c>
      <c r="DO490" s="917" t="str">
        <f t="shared" si="132"/>
        <v>-</v>
      </c>
      <c r="DP490" s="917" t="str">
        <f t="shared" si="133"/>
        <v>-</v>
      </c>
      <c r="DQ490" s="917" t="str">
        <f>IF(LEFT(CELLformula(DF490),3)&lt;&gt;"=IF",1,"")</f>
        <v/>
      </c>
      <c r="DR490" s="917" t="str">
        <f>IF(LEFT(CELLformula(DD490),3)&lt;&gt;"=IF",1,"")</f>
        <v/>
      </c>
      <c r="DS490" s="3048">
        <f t="shared" si="142"/>
        <v>0</v>
      </c>
      <c r="DT490" s="3047" t="str">
        <f t="shared" si="143"/>
        <v/>
      </c>
      <c r="DU490" s="3047" t="str">
        <f>IFERROR(IF(G490="","",SUMIF('Lighting Assumptions'!$G$3:$G$112,'6a - Lighting Counts'!G490,'Lighting Assumptions'!$H$3:$H$112)*IF(SI_IP_Units="SI",10.76,1)),"")</f>
        <v/>
      </c>
      <c r="DV490" s="3047" t="str">
        <f>IFERROR(IF($CX490="","",IF(SI_IP_Units="SI",10.76,1)*SUMIF(BAMCategories,$CY490,'Lighting Assumptions'!$E$3:E$35)),"")</f>
        <v/>
      </c>
      <c r="DW490" s="3047" t="str">
        <f>IFERROR(IF($CX490="","",IF(SI_IP_Units="SI",10.76,1)*SUMIF(BAMCategories,$CY490,IF(bpf_reference="ACP",'Lighting Assumptions 90.1-2010'!$E$3:E$35,'Lighting Assumptions 90.1-2016'!$E$3:E$35))),"")</f>
        <v/>
      </c>
      <c r="EW490" s="855"/>
      <c r="EX490" s="855"/>
      <c r="EY490" s="855"/>
      <c r="EZ490" s="855"/>
    </row>
    <row r="491" spans="4:156" x14ac:dyDescent="0.25">
      <c r="D491" s="3029"/>
      <c r="E491" s="3028"/>
      <c r="F491" s="3021">
        <f t="shared" si="130"/>
        <v>0</v>
      </c>
      <c r="G491" s="3059"/>
      <c r="H491" s="3060"/>
      <c r="I491" s="3061"/>
      <c r="J491" s="3061"/>
      <c r="K491" s="3061"/>
      <c r="L491" s="3061"/>
      <c r="M491" s="3061"/>
      <c r="N491" s="3061"/>
      <c r="O491" s="3061"/>
      <c r="P491" s="3061"/>
      <c r="Q491" s="3061"/>
      <c r="R491" s="3061"/>
      <c r="S491" s="3061"/>
      <c r="T491" s="3061"/>
      <c r="U491" s="3061"/>
      <c r="V491" s="3061"/>
      <c r="W491" s="3061"/>
      <c r="X491" s="3061"/>
      <c r="Y491" s="3061"/>
      <c r="Z491" s="3061"/>
      <c r="AA491" s="3061"/>
      <c r="AB491" s="3061"/>
      <c r="AC491" s="3061"/>
      <c r="AD491" s="3061"/>
      <c r="AE491" s="3061"/>
      <c r="AF491" s="3061"/>
      <c r="AG491" s="3061"/>
      <c r="AH491" s="3061"/>
      <c r="AI491" s="3061"/>
      <c r="AJ491" s="3061"/>
      <c r="AK491" s="3061"/>
      <c r="AL491" s="3061"/>
      <c r="AM491" s="3061"/>
      <c r="AN491" s="3061"/>
      <c r="AO491" s="3061"/>
      <c r="AP491" s="3061"/>
      <c r="AQ491" s="3061"/>
      <c r="AR491" s="3061"/>
      <c r="AS491" s="3061"/>
      <c r="AT491" s="3061"/>
      <c r="AU491" s="3061"/>
      <c r="AV491" s="3061"/>
      <c r="AW491" s="3061"/>
      <c r="AX491" s="3061"/>
      <c r="AY491" s="3061"/>
      <c r="AZ491" s="3061"/>
      <c r="BA491" s="3061"/>
      <c r="BB491" s="3061"/>
      <c r="BC491" s="3061"/>
      <c r="BD491" s="3061"/>
      <c r="BE491" s="3061"/>
      <c r="BF491" s="3061"/>
      <c r="BG491" s="3061"/>
      <c r="BH491" s="3061"/>
      <c r="BI491" s="3061"/>
      <c r="BJ491" s="3061"/>
      <c r="BK491" s="3061"/>
      <c r="BL491" s="3061"/>
      <c r="BM491" s="3061"/>
      <c r="BN491" s="3061"/>
      <c r="BO491" s="3061"/>
      <c r="BP491" s="3061"/>
      <c r="BQ491" s="3061"/>
      <c r="BR491" s="3061"/>
      <c r="BS491" s="3061"/>
      <c r="BT491" s="3061"/>
      <c r="BU491" s="3061"/>
      <c r="BV491" s="3061"/>
      <c r="BW491" s="3061"/>
      <c r="BX491" s="3061"/>
      <c r="BY491" s="3061"/>
      <c r="BZ491" s="3061"/>
      <c r="CA491" s="3061"/>
      <c r="CB491" s="3061"/>
      <c r="CC491" s="3061"/>
      <c r="CD491" s="3061"/>
      <c r="CE491" s="3061"/>
      <c r="CF491" s="3061"/>
      <c r="CG491" s="3061"/>
      <c r="CH491" s="3061"/>
      <c r="CI491" s="3061"/>
      <c r="CJ491" s="3061"/>
      <c r="CK491" s="3061"/>
      <c r="CL491" s="3061"/>
      <c r="CM491" s="3061"/>
      <c r="CN491" s="3061"/>
      <c r="CO491" s="3061"/>
      <c r="CP491" s="3061"/>
      <c r="CQ491" s="3061"/>
      <c r="CR491" s="3061"/>
      <c r="CS491" s="3062"/>
      <c r="CT491" s="3063"/>
      <c r="CU491" s="3064">
        <f t="shared" si="134"/>
        <v>1</v>
      </c>
      <c r="CV491" s="3022" t="str">
        <f>IF(OR(CT491="",CT491="None"),"-",DO491*CU491*SUMIF('Lighting Assumptions'!$G$3:$G$112,'6a - Lighting Counts'!G491,'Lighting Assumptions'!$J$3:$J$112))</f>
        <v>-</v>
      </c>
      <c r="CW491" s="3021"/>
      <c r="CX491" s="3021"/>
      <c r="CY491" s="3046"/>
      <c r="CZ491" s="2098">
        <f t="shared" si="135"/>
        <v>0</v>
      </c>
      <c r="DA491" s="2098" t="str">
        <f t="shared" si="136"/>
        <v>-</v>
      </c>
      <c r="DB491" s="2098">
        <f t="shared" si="137"/>
        <v>0</v>
      </c>
      <c r="DC491" s="3023" t="str">
        <f t="shared" si="138"/>
        <v>-</v>
      </c>
      <c r="DD491" s="3024" t="str">
        <f t="shared" si="139"/>
        <v/>
      </c>
      <c r="DE491" s="3025" t="str">
        <f t="shared" si="140"/>
        <v>-</v>
      </c>
      <c r="DF491" s="3024" t="str">
        <f t="shared" si="131"/>
        <v>-</v>
      </c>
      <c r="DG491" s="2098">
        <f t="shared" si="141"/>
        <v>0</v>
      </c>
      <c r="DH491" s="2098">
        <f t="array" ref="DH491">MIN(SUMPRODUCT(I491:CR491,IF($I$25:$CR$25="yes",1,0),$I$23:$CR$23),H491)</f>
        <v>0</v>
      </c>
      <c r="DI491" s="3026"/>
      <c r="DJ491" s="3021"/>
      <c r="DN491" s="917" t="str">
        <f>IF(CS491="","-",SUMIF('Lighting Assumptions'!$G$3:$G$112,'6a - Lighting Counts'!G491,'Lighting Assumptions'!$J$3:$J$112))</f>
        <v>-</v>
      </c>
      <c r="DO491" s="917" t="str">
        <f t="shared" si="132"/>
        <v>-</v>
      </c>
      <c r="DP491" s="917" t="str">
        <f t="shared" si="133"/>
        <v>-</v>
      </c>
      <c r="DQ491" s="917" t="str">
        <f>IF(LEFT(CELLformula(DF491),3)&lt;&gt;"=IF",1,"")</f>
        <v/>
      </c>
      <c r="DR491" s="917" t="str">
        <f>IF(LEFT(CELLformula(DD491),3)&lt;&gt;"=IF",1,"")</f>
        <v/>
      </c>
      <c r="DS491" s="3048">
        <f t="shared" si="142"/>
        <v>0</v>
      </c>
      <c r="DT491" s="3047" t="str">
        <f t="shared" si="143"/>
        <v/>
      </c>
      <c r="DU491" s="3047" t="str">
        <f>IFERROR(IF(G491="","",SUMIF('Lighting Assumptions'!$G$3:$G$112,'6a - Lighting Counts'!G491,'Lighting Assumptions'!$H$3:$H$112)*IF(SI_IP_Units="SI",10.76,1)),"")</f>
        <v/>
      </c>
      <c r="DV491" s="3047" t="str">
        <f>IFERROR(IF($CX491="","",IF(SI_IP_Units="SI",10.76,1)*SUMIF(BAMCategories,$CY491,'Lighting Assumptions'!$E$3:E$35)),"")</f>
        <v/>
      </c>
      <c r="DW491" s="3047" t="str">
        <f>IFERROR(IF($CX491="","",IF(SI_IP_Units="SI",10.76,1)*SUMIF(BAMCategories,$CY491,IF(bpf_reference="ACP",'Lighting Assumptions 90.1-2010'!$E$3:E$35,'Lighting Assumptions 90.1-2016'!$E$3:E$35))),"")</f>
        <v/>
      </c>
      <c r="EW491" s="855"/>
      <c r="EX491" s="855"/>
      <c r="EY491" s="855"/>
      <c r="EZ491" s="855"/>
    </row>
    <row r="492" spans="4:156" x14ac:dyDescent="0.25">
      <c r="D492" s="3029"/>
      <c r="E492" s="3028"/>
      <c r="F492" s="3021">
        <f t="shared" si="130"/>
        <v>0</v>
      </c>
      <c r="G492" s="3059"/>
      <c r="H492" s="3060"/>
      <c r="I492" s="3061"/>
      <c r="J492" s="3061"/>
      <c r="K492" s="3061"/>
      <c r="L492" s="3061"/>
      <c r="M492" s="3061"/>
      <c r="N492" s="3061"/>
      <c r="O492" s="3061"/>
      <c r="P492" s="3061"/>
      <c r="Q492" s="3061"/>
      <c r="R492" s="3061"/>
      <c r="S492" s="3061"/>
      <c r="T492" s="3061"/>
      <c r="U492" s="3061"/>
      <c r="V492" s="3061"/>
      <c r="W492" s="3061"/>
      <c r="X492" s="3061"/>
      <c r="Y492" s="3061"/>
      <c r="Z492" s="3061"/>
      <c r="AA492" s="3061"/>
      <c r="AB492" s="3061"/>
      <c r="AC492" s="3061"/>
      <c r="AD492" s="3061"/>
      <c r="AE492" s="3061"/>
      <c r="AF492" s="3061"/>
      <c r="AG492" s="3061"/>
      <c r="AH492" s="3061"/>
      <c r="AI492" s="3061"/>
      <c r="AJ492" s="3061"/>
      <c r="AK492" s="3061"/>
      <c r="AL492" s="3061"/>
      <c r="AM492" s="3061"/>
      <c r="AN492" s="3061"/>
      <c r="AO492" s="3061"/>
      <c r="AP492" s="3061"/>
      <c r="AQ492" s="3061"/>
      <c r="AR492" s="3061"/>
      <c r="AS492" s="3061"/>
      <c r="AT492" s="3061"/>
      <c r="AU492" s="3061"/>
      <c r="AV492" s="3061"/>
      <c r="AW492" s="3061"/>
      <c r="AX492" s="3061"/>
      <c r="AY492" s="3061"/>
      <c r="AZ492" s="3061"/>
      <c r="BA492" s="3061"/>
      <c r="BB492" s="3061"/>
      <c r="BC492" s="3061"/>
      <c r="BD492" s="3061"/>
      <c r="BE492" s="3061"/>
      <c r="BF492" s="3061"/>
      <c r="BG492" s="3061"/>
      <c r="BH492" s="3061"/>
      <c r="BI492" s="3061"/>
      <c r="BJ492" s="3061"/>
      <c r="BK492" s="3061"/>
      <c r="BL492" s="3061"/>
      <c r="BM492" s="3061"/>
      <c r="BN492" s="3061"/>
      <c r="BO492" s="3061"/>
      <c r="BP492" s="3061"/>
      <c r="BQ492" s="3061"/>
      <c r="BR492" s="3061"/>
      <c r="BS492" s="3061"/>
      <c r="BT492" s="3061"/>
      <c r="BU492" s="3061"/>
      <c r="BV492" s="3061"/>
      <c r="BW492" s="3061"/>
      <c r="BX492" s="3061"/>
      <c r="BY492" s="3061"/>
      <c r="BZ492" s="3061"/>
      <c r="CA492" s="3061"/>
      <c r="CB492" s="3061"/>
      <c r="CC492" s="3061"/>
      <c r="CD492" s="3061"/>
      <c r="CE492" s="3061"/>
      <c r="CF492" s="3061"/>
      <c r="CG492" s="3061"/>
      <c r="CH492" s="3061"/>
      <c r="CI492" s="3061"/>
      <c r="CJ492" s="3061"/>
      <c r="CK492" s="3061"/>
      <c r="CL492" s="3061"/>
      <c r="CM492" s="3061"/>
      <c r="CN492" s="3061"/>
      <c r="CO492" s="3061"/>
      <c r="CP492" s="3061"/>
      <c r="CQ492" s="3061"/>
      <c r="CR492" s="3061"/>
      <c r="CS492" s="3062"/>
      <c r="CT492" s="3063"/>
      <c r="CU492" s="3064">
        <f t="shared" si="134"/>
        <v>1</v>
      </c>
      <c r="CV492" s="3022" t="str">
        <f>IF(OR(CT492="",CT492="None"),"-",DO492*CU492*SUMIF('Lighting Assumptions'!$G$3:$G$112,'6a - Lighting Counts'!G492,'Lighting Assumptions'!$J$3:$J$112))</f>
        <v>-</v>
      </c>
      <c r="CW492" s="3021"/>
      <c r="CX492" s="3021"/>
      <c r="CY492" s="3046"/>
      <c r="CZ492" s="2098">
        <f t="shared" si="135"/>
        <v>0</v>
      </c>
      <c r="DA492" s="2098" t="str">
        <f t="shared" si="136"/>
        <v>-</v>
      </c>
      <c r="DB492" s="2098">
        <f t="shared" si="137"/>
        <v>0</v>
      </c>
      <c r="DC492" s="3023" t="str">
        <f t="shared" si="138"/>
        <v>-</v>
      </c>
      <c r="DD492" s="3024" t="str">
        <f t="shared" si="139"/>
        <v/>
      </c>
      <c r="DE492" s="3025" t="str">
        <f t="shared" si="140"/>
        <v>-</v>
      </c>
      <c r="DF492" s="3024" t="str">
        <f t="shared" si="131"/>
        <v>-</v>
      </c>
      <c r="DG492" s="2098">
        <f t="shared" si="141"/>
        <v>0</v>
      </c>
      <c r="DH492" s="2098">
        <f t="array" ref="DH492">MIN(SUMPRODUCT(I492:CR492,IF($I$25:$CR$25="yes",1,0),$I$23:$CR$23),H492)</f>
        <v>0</v>
      </c>
      <c r="DI492" s="3026"/>
      <c r="DJ492" s="3021"/>
      <c r="DN492" s="917" t="str">
        <f>IF(CS492="","-",SUMIF('Lighting Assumptions'!$G$3:$G$112,'6a - Lighting Counts'!G492,'Lighting Assumptions'!$J$3:$J$112))</f>
        <v>-</v>
      </c>
      <c r="DO492" s="917" t="str">
        <f t="shared" si="132"/>
        <v>-</v>
      </c>
      <c r="DP492" s="917" t="str">
        <f t="shared" si="133"/>
        <v>-</v>
      </c>
      <c r="DQ492" s="917" t="str">
        <f>IF(LEFT(CELLformula(DF492),3)&lt;&gt;"=IF",1,"")</f>
        <v/>
      </c>
      <c r="DR492" s="917" t="str">
        <f>IF(LEFT(CELLformula(DD492),3)&lt;&gt;"=IF",1,"")</f>
        <v/>
      </c>
      <c r="DS492" s="3048">
        <f t="shared" si="142"/>
        <v>0</v>
      </c>
      <c r="DT492" s="3047" t="str">
        <f t="shared" si="143"/>
        <v/>
      </c>
      <c r="DU492" s="3047" t="str">
        <f>IFERROR(IF(G492="","",SUMIF('Lighting Assumptions'!$G$3:$G$112,'6a - Lighting Counts'!G492,'Lighting Assumptions'!$H$3:$H$112)*IF(SI_IP_Units="SI",10.76,1)),"")</f>
        <v/>
      </c>
      <c r="DV492" s="3047" t="str">
        <f>IFERROR(IF($CX492="","",IF(SI_IP_Units="SI",10.76,1)*SUMIF(BAMCategories,$CY492,'Lighting Assumptions'!$E$3:E$35)),"")</f>
        <v/>
      </c>
      <c r="DW492" s="3047" t="str">
        <f>IFERROR(IF($CX492="","",IF(SI_IP_Units="SI",10.76,1)*SUMIF(BAMCategories,$CY492,IF(bpf_reference="ACP",'Lighting Assumptions 90.1-2010'!$E$3:E$35,'Lighting Assumptions 90.1-2016'!$E$3:E$35))),"")</f>
        <v/>
      </c>
      <c r="EW492" s="855"/>
      <c r="EX492" s="855"/>
      <c r="EY492" s="855"/>
      <c r="EZ492" s="855"/>
    </row>
    <row r="493" spans="4:156" x14ac:dyDescent="0.25">
      <c r="D493" s="3029"/>
      <c r="E493" s="3028"/>
      <c r="F493" s="3021">
        <f t="shared" si="130"/>
        <v>0</v>
      </c>
      <c r="G493" s="3059"/>
      <c r="H493" s="3060"/>
      <c r="I493" s="3061"/>
      <c r="J493" s="3061"/>
      <c r="K493" s="3061"/>
      <c r="L493" s="3061"/>
      <c r="M493" s="3061"/>
      <c r="N493" s="3061"/>
      <c r="O493" s="3061"/>
      <c r="P493" s="3061"/>
      <c r="Q493" s="3061"/>
      <c r="R493" s="3061"/>
      <c r="S493" s="3061"/>
      <c r="T493" s="3061"/>
      <c r="U493" s="3061"/>
      <c r="V493" s="3061"/>
      <c r="W493" s="3061"/>
      <c r="X493" s="3061"/>
      <c r="Y493" s="3061"/>
      <c r="Z493" s="3061"/>
      <c r="AA493" s="3061"/>
      <c r="AB493" s="3061"/>
      <c r="AC493" s="3061"/>
      <c r="AD493" s="3061"/>
      <c r="AE493" s="3061"/>
      <c r="AF493" s="3061"/>
      <c r="AG493" s="3061"/>
      <c r="AH493" s="3061"/>
      <c r="AI493" s="3061"/>
      <c r="AJ493" s="3061"/>
      <c r="AK493" s="3061"/>
      <c r="AL493" s="3061"/>
      <c r="AM493" s="3061"/>
      <c r="AN493" s="3061"/>
      <c r="AO493" s="3061"/>
      <c r="AP493" s="3061"/>
      <c r="AQ493" s="3061"/>
      <c r="AR493" s="3061"/>
      <c r="AS493" s="3061"/>
      <c r="AT493" s="3061"/>
      <c r="AU493" s="3061"/>
      <c r="AV493" s="3061"/>
      <c r="AW493" s="3061"/>
      <c r="AX493" s="3061"/>
      <c r="AY493" s="3061"/>
      <c r="AZ493" s="3061"/>
      <c r="BA493" s="3061"/>
      <c r="BB493" s="3061"/>
      <c r="BC493" s="3061"/>
      <c r="BD493" s="3061"/>
      <c r="BE493" s="3061"/>
      <c r="BF493" s="3061"/>
      <c r="BG493" s="3061"/>
      <c r="BH493" s="3061"/>
      <c r="BI493" s="3061"/>
      <c r="BJ493" s="3061"/>
      <c r="BK493" s="3061"/>
      <c r="BL493" s="3061"/>
      <c r="BM493" s="3061"/>
      <c r="BN493" s="3061"/>
      <c r="BO493" s="3061"/>
      <c r="BP493" s="3061"/>
      <c r="BQ493" s="3061"/>
      <c r="BR493" s="3061"/>
      <c r="BS493" s="3061"/>
      <c r="BT493" s="3061"/>
      <c r="BU493" s="3061"/>
      <c r="BV493" s="3061"/>
      <c r="BW493" s="3061"/>
      <c r="BX493" s="3061"/>
      <c r="BY493" s="3061"/>
      <c r="BZ493" s="3061"/>
      <c r="CA493" s="3061"/>
      <c r="CB493" s="3061"/>
      <c r="CC493" s="3061"/>
      <c r="CD493" s="3061"/>
      <c r="CE493" s="3061"/>
      <c r="CF493" s="3061"/>
      <c r="CG493" s="3061"/>
      <c r="CH493" s="3061"/>
      <c r="CI493" s="3061"/>
      <c r="CJ493" s="3061"/>
      <c r="CK493" s="3061"/>
      <c r="CL493" s="3061"/>
      <c r="CM493" s="3061"/>
      <c r="CN493" s="3061"/>
      <c r="CO493" s="3061"/>
      <c r="CP493" s="3061"/>
      <c r="CQ493" s="3061"/>
      <c r="CR493" s="3061"/>
      <c r="CS493" s="3062"/>
      <c r="CT493" s="3063"/>
      <c r="CU493" s="3064">
        <f t="shared" si="134"/>
        <v>1</v>
      </c>
      <c r="CV493" s="3022" t="str">
        <f>IF(OR(CT493="",CT493="None"),"-",DO493*CU493*SUMIF('Lighting Assumptions'!$G$3:$G$112,'6a - Lighting Counts'!G493,'Lighting Assumptions'!$J$3:$J$112))</f>
        <v>-</v>
      </c>
      <c r="CW493" s="3021"/>
      <c r="CX493" s="3021"/>
      <c r="CY493" s="3046"/>
      <c r="CZ493" s="2098">
        <f t="shared" si="135"/>
        <v>0</v>
      </c>
      <c r="DA493" s="2098" t="str">
        <f t="shared" si="136"/>
        <v>-</v>
      </c>
      <c r="DB493" s="2098">
        <f t="shared" si="137"/>
        <v>0</v>
      </c>
      <c r="DC493" s="3023" t="str">
        <f t="shared" si="138"/>
        <v>-</v>
      </c>
      <c r="DD493" s="3024" t="str">
        <f t="shared" si="139"/>
        <v/>
      </c>
      <c r="DE493" s="3025" t="str">
        <f t="shared" si="140"/>
        <v>-</v>
      </c>
      <c r="DF493" s="3024" t="str">
        <f t="shared" si="131"/>
        <v>-</v>
      </c>
      <c r="DG493" s="2098">
        <f t="shared" si="141"/>
        <v>0</v>
      </c>
      <c r="DH493" s="2098">
        <f t="array" ref="DH493">MIN(SUMPRODUCT(I493:CR493,IF($I$25:$CR$25="yes",1,0),$I$23:$CR$23),H493)</f>
        <v>0</v>
      </c>
      <c r="DI493" s="3026"/>
      <c r="DJ493" s="3021"/>
      <c r="DN493" s="917" t="str">
        <f>IF(CS493="","-",SUMIF('Lighting Assumptions'!$G$3:$G$112,'6a - Lighting Counts'!G493,'Lighting Assumptions'!$J$3:$J$112))</f>
        <v>-</v>
      </c>
      <c r="DO493" s="917" t="str">
        <f t="shared" si="132"/>
        <v>-</v>
      </c>
      <c r="DP493" s="917" t="str">
        <f t="shared" si="133"/>
        <v>-</v>
      </c>
      <c r="DQ493" s="917" t="str">
        <f>IF(LEFT(CELLformula(DF493),3)&lt;&gt;"=IF",1,"")</f>
        <v/>
      </c>
      <c r="DR493" s="917" t="str">
        <f>IF(LEFT(CELLformula(DD493),3)&lt;&gt;"=IF",1,"")</f>
        <v/>
      </c>
      <c r="DS493" s="3048">
        <f t="shared" si="142"/>
        <v>0</v>
      </c>
      <c r="DT493" s="3047" t="str">
        <f t="shared" si="143"/>
        <v/>
      </c>
      <c r="DU493" s="3047" t="str">
        <f>IFERROR(IF(G493="","",SUMIF('Lighting Assumptions'!$G$3:$G$112,'6a - Lighting Counts'!G493,'Lighting Assumptions'!$H$3:$H$112)*IF(SI_IP_Units="SI",10.76,1)),"")</f>
        <v/>
      </c>
      <c r="DV493" s="3047" t="str">
        <f>IFERROR(IF($CX493="","",IF(SI_IP_Units="SI",10.76,1)*SUMIF(BAMCategories,$CY493,'Lighting Assumptions'!$E$3:E$35)),"")</f>
        <v/>
      </c>
      <c r="DW493" s="3047" t="str">
        <f>IFERROR(IF($CX493="","",IF(SI_IP_Units="SI",10.76,1)*SUMIF(BAMCategories,$CY493,IF(bpf_reference="ACP",'Lighting Assumptions 90.1-2010'!$E$3:E$35,'Lighting Assumptions 90.1-2016'!$E$3:E$35))),"")</f>
        <v/>
      </c>
      <c r="EW493" s="855"/>
      <c r="EX493" s="855"/>
      <c r="EY493" s="855"/>
      <c r="EZ493" s="855"/>
    </row>
    <row r="494" spans="4:156" x14ac:dyDescent="0.25">
      <c r="D494" s="3029"/>
      <c r="E494" s="3028"/>
      <c r="F494" s="3021">
        <f t="shared" si="130"/>
        <v>0</v>
      </c>
      <c r="G494" s="3059"/>
      <c r="H494" s="3060"/>
      <c r="I494" s="3061"/>
      <c r="J494" s="3061"/>
      <c r="K494" s="3061"/>
      <c r="L494" s="3061"/>
      <c r="M494" s="3061"/>
      <c r="N494" s="3061"/>
      <c r="O494" s="3061"/>
      <c r="P494" s="3061"/>
      <c r="Q494" s="3061"/>
      <c r="R494" s="3061"/>
      <c r="S494" s="3061"/>
      <c r="T494" s="3061"/>
      <c r="U494" s="3061"/>
      <c r="V494" s="3061"/>
      <c r="W494" s="3061"/>
      <c r="X494" s="3061"/>
      <c r="Y494" s="3061"/>
      <c r="Z494" s="3061"/>
      <c r="AA494" s="3061"/>
      <c r="AB494" s="3061"/>
      <c r="AC494" s="3061"/>
      <c r="AD494" s="3061"/>
      <c r="AE494" s="3061"/>
      <c r="AF494" s="3061"/>
      <c r="AG494" s="3061"/>
      <c r="AH494" s="3061"/>
      <c r="AI494" s="3061"/>
      <c r="AJ494" s="3061"/>
      <c r="AK494" s="3061"/>
      <c r="AL494" s="3061"/>
      <c r="AM494" s="3061"/>
      <c r="AN494" s="3061"/>
      <c r="AO494" s="3061"/>
      <c r="AP494" s="3061"/>
      <c r="AQ494" s="3061"/>
      <c r="AR494" s="3061"/>
      <c r="AS494" s="3061"/>
      <c r="AT494" s="3061"/>
      <c r="AU494" s="3061"/>
      <c r="AV494" s="3061"/>
      <c r="AW494" s="3061"/>
      <c r="AX494" s="3061"/>
      <c r="AY494" s="3061"/>
      <c r="AZ494" s="3061"/>
      <c r="BA494" s="3061"/>
      <c r="BB494" s="3061"/>
      <c r="BC494" s="3061"/>
      <c r="BD494" s="3061"/>
      <c r="BE494" s="3061"/>
      <c r="BF494" s="3061"/>
      <c r="BG494" s="3061"/>
      <c r="BH494" s="3061"/>
      <c r="BI494" s="3061"/>
      <c r="BJ494" s="3061"/>
      <c r="BK494" s="3061"/>
      <c r="BL494" s="3061"/>
      <c r="BM494" s="3061"/>
      <c r="BN494" s="3061"/>
      <c r="BO494" s="3061"/>
      <c r="BP494" s="3061"/>
      <c r="BQ494" s="3061"/>
      <c r="BR494" s="3061"/>
      <c r="BS494" s="3061"/>
      <c r="BT494" s="3061"/>
      <c r="BU494" s="3061"/>
      <c r="BV494" s="3061"/>
      <c r="BW494" s="3061"/>
      <c r="BX494" s="3061"/>
      <c r="BY494" s="3061"/>
      <c r="BZ494" s="3061"/>
      <c r="CA494" s="3061"/>
      <c r="CB494" s="3061"/>
      <c r="CC494" s="3061"/>
      <c r="CD494" s="3061"/>
      <c r="CE494" s="3061"/>
      <c r="CF494" s="3061"/>
      <c r="CG494" s="3061"/>
      <c r="CH494" s="3061"/>
      <c r="CI494" s="3061"/>
      <c r="CJ494" s="3061"/>
      <c r="CK494" s="3061"/>
      <c r="CL494" s="3061"/>
      <c r="CM494" s="3061"/>
      <c r="CN494" s="3061"/>
      <c r="CO494" s="3061"/>
      <c r="CP494" s="3061"/>
      <c r="CQ494" s="3061"/>
      <c r="CR494" s="3061"/>
      <c r="CS494" s="3062"/>
      <c r="CT494" s="3063"/>
      <c r="CU494" s="3064">
        <f t="shared" si="134"/>
        <v>1</v>
      </c>
      <c r="CV494" s="3022" t="str">
        <f>IF(OR(CT494="",CT494="None"),"-",DO494*CU494*SUMIF('Lighting Assumptions'!$G$3:$G$112,'6a - Lighting Counts'!G494,'Lighting Assumptions'!$J$3:$J$112))</f>
        <v>-</v>
      </c>
      <c r="CW494" s="3021"/>
      <c r="CX494" s="3021"/>
      <c r="CY494" s="3046"/>
      <c r="CZ494" s="2098">
        <f t="shared" si="135"/>
        <v>0</v>
      </c>
      <c r="DA494" s="2098" t="str">
        <f t="shared" si="136"/>
        <v>-</v>
      </c>
      <c r="DB494" s="2098">
        <f t="shared" si="137"/>
        <v>0</v>
      </c>
      <c r="DC494" s="3023" t="str">
        <f t="shared" si="138"/>
        <v>-</v>
      </c>
      <c r="DD494" s="3024" t="str">
        <f t="shared" si="139"/>
        <v/>
      </c>
      <c r="DE494" s="3025" t="str">
        <f t="shared" si="140"/>
        <v>-</v>
      </c>
      <c r="DF494" s="3024" t="str">
        <f t="shared" si="131"/>
        <v>-</v>
      </c>
      <c r="DG494" s="2098">
        <f t="shared" si="141"/>
        <v>0</v>
      </c>
      <c r="DH494" s="2098">
        <f t="array" ref="DH494">MIN(SUMPRODUCT(I494:CR494,IF($I$25:$CR$25="yes",1,0),$I$23:$CR$23),H494)</f>
        <v>0</v>
      </c>
      <c r="DI494" s="3026"/>
      <c r="DJ494" s="3021"/>
      <c r="DN494" s="917" t="str">
        <f>IF(CS494="","-",SUMIF('Lighting Assumptions'!$G$3:$G$112,'6a - Lighting Counts'!G494,'Lighting Assumptions'!$J$3:$J$112))</f>
        <v>-</v>
      </c>
      <c r="DO494" s="917" t="str">
        <f t="shared" si="132"/>
        <v>-</v>
      </c>
      <c r="DP494" s="917" t="str">
        <f t="shared" si="133"/>
        <v>-</v>
      </c>
      <c r="DQ494" s="917" t="str">
        <f>IF(LEFT(CELLformula(DF494),3)&lt;&gt;"=IF",1,"")</f>
        <v/>
      </c>
      <c r="DR494" s="917" t="str">
        <f>IF(LEFT(CELLformula(DD494),3)&lt;&gt;"=IF",1,"")</f>
        <v/>
      </c>
      <c r="DS494" s="3048">
        <f t="shared" si="142"/>
        <v>0</v>
      </c>
      <c r="DT494" s="3047" t="str">
        <f t="shared" si="143"/>
        <v/>
      </c>
      <c r="DU494" s="3047" t="str">
        <f>IFERROR(IF(G494="","",SUMIF('Lighting Assumptions'!$G$3:$G$112,'6a - Lighting Counts'!G494,'Lighting Assumptions'!$H$3:$H$112)*IF(SI_IP_Units="SI",10.76,1)),"")</f>
        <v/>
      </c>
      <c r="DV494" s="3047" t="str">
        <f>IFERROR(IF($CX494="","",IF(SI_IP_Units="SI",10.76,1)*SUMIF(BAMCategories,$CY494,'Lighting Assumptions'!$E$3:E$35)),"")</f>
        <v/>
      </c>
      <c r="DW494" s="3047" t="str">
        <f>IFERROR(IF($CX494="","",IF(SI_IP_Units="SI",10.76,1)*SUMIF(BAMCategories,$CY494,IF(bpf_reference="ACP",'Lighting Assumptions 90.1-2010'!$E$3:E$35,'Lighting Assumptions 90.1-2016'!$E$3:E$35))),"")</f>
        <v/>
      </c>
      <c r="EW494" s="855"/>
      <c r="EX494" s="855"/>
      <c r="EY494" s="855"/>
      <c r="EZ494" s="855"/>
    </row>
    <row r="495" spans="4:156" x14ac:dyDescent="0.25">
      <c r="D495" s="3029"/>
      <c r="E495" s="3028"/>
      <c r="F495" s="3021">
        <f t="shared" si="130"/>
        <v>0</v>
      </c>
      <c r="G495" s="3059"/>
      <c r="H495" s="3060"/>
      <c r="I495" s="3061"/>
      <c r="J495" s="3061"/>
      <c r="K495" s="3061"/>
      <c r="L495" s="3061"/>
      <c r="M495" s="3061"/>
      <c r="N495" s="3061"/>
      <c r="O495" s="3061"/>
      <c r="P495" s="3061"/>
      <c r="Q495" s="3061"/>
      <c r="R495" s="3061"/>
      <c r="S495" s="3061"/>
      <c r="T495" s="3061"/>
      <c r="U495" s="3061"/>
      <c r="V495" s="3061"/>
      <c r="W495" s="3061"/>
      <c r="X495" s="3061"/>
      <c r="Y495" s="3061"/>
      <c r="Z495" s="3061"/>
      <c r="AA495" s="3061"/>
      <c r="AB495" s="3061"/>
      <c r="AC495" s="3061"/>
      <c r="AD495" s="3061"/>
      <c r="AE495" s="3061"/>
      <c r="AF495" s="3061"/>
      <c r="AG495" s="3061"/>
      <c r="AH495" s="3061"/>
      <c r="AI495" s="3061"/>
      <c r="AJ495" s="3061"/>
      <c r="AK495" s="3061"/>
      <c r="AL495" s="3061"/>
      <c r="AM495" s="3061"/>
      <c r="AN495" s="3061"/>
      <c r="AO495" s="3061"/>
      <c r="AP495" s="3061"/>
      <c r="AQ495" s="3061"/>
      <c r="AR495" s="3061"/>
      <c r="AS495" s="3061"/>
      <c r="AT495" s="3061"/>
      <c r="AU495" s="3061"/>
      <c r="AV495" s="3061"/>
      <c r="AW495" s="3061"/>
      <c r="AX495" s="3061"/>
      <c r="AY495" s="3061"/>
      <c r="AZ495" s="3061"/>
      <c r="BA495" s="3061"/>
      <c r="BB495" s="3061"/>
      <c r="BC495" s="3061"/>
      <c r="BD495" s="3061"/>
      <c r="BE495" s="3061"/>
      <c r="BF495" s="3061"/>
      <c r="BG495" s="3061"/>
      <c r="BH495" s="3061"/>
      <c r="BI495" s="3061"/>
      <c r="BJ495" s="3061"/>
      <c r="BK495" s="3061"/>
      <c r="BL495" s="3061"/>
      <c r="BM495" s="3061"/>
      <c r="BN495" s="3061"/>
      <c r="BO495" s="3061"/>
      <c r="BP495" s="3061"/>
      <c r="BQ495" s="3061"/>
      <c r="BR495" s="3061"/>
      <c r="BS495" s="3061"/>
      <c r="BT495" s="3061"/>
      <c r="BU495" s="3061"/>
      <c r="BV495" s="3061"/>
      <c r="BW495" s="3061"/>
      <c r="BX495" s="3061"/>
      <c r="BY495" s="3061"/>
      <c r="BZ495" s="3061"/>
      <c r="CA495" s="3061"/>
      <c r="CB495" s="3061"/>
      <c r="CC495" s="3061"/>
      <c r="CD495" s="3061"/>
      <c r="CE495" s="3061"/>
      <c r="CF495" s="3061"/>
      <c r="CG495" s="3061"/>
      <c r="CH495" s="3061"/>
      <c r="CI495" s="3061"/>
      <c r="CJ495" s="3061"/>
      <c r="CK495" s="3061"/>
      <c r="CL495" s="3061"/>
      <c r="CM495" s="3061"/>
      <c r="CN495" s="3061"/>
      <c r="CO495" s="3061"/>
      <c r="CP495" s="3061"/>
      <c r="CQ495" s="3061"/>
      <c r="CR495" s="3061"/>
      <c r="CS495" s="3062"/>
      <c r="CT495" s="3063"/>
      <c r="CU495" s="3064">
        <f t="shared" si="134"/>
        <v>1</v>
      </c>
      <c r="CV495" s="3022" t="str">
        <f>IF(OR(CT495="",CT495="None"),"-",DO495*CU495*SUMIF('Lighting Assumptions'!$G$3:$G$112,'6a - Lighting Counts'!G495,'Lighting Assumptions'!$J$3:$J$112))</f>
        <v>-</v>
      </c>
      <c r="CW495" s="3021"/>
      <c r="CX495" s="3021"/>
      <c r="CY495" s="3046"/>
      <c r="CZ495" s="2098">
        <f t="shared" si="135"/>
        <v>0</v>
      </c>
      <c r="DA495" s="2098" t="str">
        <f t="shared" si="136"/>
        <v>-</v>
      </c>
      <c r="DB495" s="2098">
        <f t="shared" si="137"/>
        <v>0</v>
      </c>
      <c r="DC495" s="3023" t="str">
        <f t="shared" si="138"/>
        <v>-</v>
      </c>
      <c r="DD495" s="3024" t="str">
        <f t="shared" si="139"/>
        <v/>
      </c>
      <c r="DE495" s="3025" t="str">
        <f t="shared" si="140"/>
        <v>-</v>
      </c>
      <c r="DF495" s="3024" t="str">
        <f t="shared" si="131"/>
        <v>-</v>
      </c>
      <c r="DG495" s="2098">
        <f t="shared" si="141"/>
        <v>0</v>
      </c>
      <c r="DH495" s="2098">
        <f t="array" ref="DH495">MIN(SUMPRODUCT(I495:CR495,IF($I$25:$CR$25="yes",1,0),$I$23:$CR$23),H495)</f>
        <v>0</v>
      </c>
      <c r="DI495" s="3026"/>
      <c r="DJ495" s="3021"/>
      <c r="DN495" s="917" t="str">
        <f>IF(CS495="","-",SUMIF('Lighting Assumptions'!$G$3:$G$112,'6a - Lighting Counts'!G495,'Lighting Assumptions'!$J$3:$J$112))</f>
        <v>-</v>
      </c>
      <c r="DO495" s="917" t="str">
        <f t="shared" si="132"/>
        <v>-</v>
      </c>
      <c r="DP495" s="917" t="str">
        <f t="shared" si="133"/>
        <v>-</v>
      </c>
      <c r="DQ495" s="917" t="str">
        <f>IF(LEFT(CELLformula(DF495),3)&lt;&gt;"=IF",1,"")</f>
        <v/>
      </c>
      <c r="DR495" s="917" t="str">
        <f>IF(LEFT(CELLformula(DD495),3)&lt;&gt;"=IF",1,"")</f>
        <v/>
      </c>
      <c r="DS495" s="3048">
        <f t="shared" si="142"/>
        <v>0</v>
      </c>
      <c r="DT495" s="3047" t="str">
        <f t="shared" si="143"/>
        <v/>
      </c>
      <c r="DU495" s="3047" t="str">
        <f>IFERROR(IF(G495="","",SUMIF('Lighting Assumptions'!$G$3:$G$112,'6a - Lighting Counts'!G495,'Lighting Assumptions'!$H$3:$H$112)*IF(SI_IP_Units="SI",10.76,1)),"")</f>
        <v/>
      </c>
      <c r="DV495" s="3047" t="str">
        <f>IFERROR(IF($CX495="","",IF(SI_IP_Units="SI",10.76,1)*SUMIF(BAMCategories,$CY495,'Lighting Assumptions'!$E$3:E$35)),"")</f>
        <v/>
      </c>
      <c r="DW495" s="3047" t="str">
        <f>IFERROR(IF($CX495="","",IF(SI_IP_Units="SI",10.76,1)*SUMIF(BAMCategories,$CY495,IF(bpf_reference="ACP",'Lighting Assumptions 90.1-2010'!$E$3:E$35,'Lighting Assumptions 90.1-2016'!$E$3:E$35))),"")</f>
        <v/>
      </c>
      <c r="EW495" s="855"/>
      <c r="EX495" s="855"/>
      <c r="EY495" s="855"/>
      <c r="EZ495" s="855"/>
    </row>
    <row r="496" spans="4:156" x14ac:dyDescent="0.25">
      <c r="D496" s="3029"/>
      <c r="E496" s="3028"/>
      <c r="F496" s="3021">
        <f t="shared" si="130"/>
        <v>0</v>
      </c>
      <c r="G496" s="3059"/>
      <c r="H496" s="3060"/>
      <c r="I496" s="3061"/>
      <c r="J496" s="3061"/>
      <c r="K496" s="3061"/>
      <c r="L496" s="3061"/>
      <c r="M496" s="3061"/>
      <c r="N496" s="3061"/>
      <c r="O496" s="3061"/>
      <c r="P496" s="3061"/>
      <c r="Q496" s="3061"/>
      <c r="R496" s="3061"/>
      <c r="S496" s="3061"/>
      <c r="T496" s="3061"/>
      <c r="U496" s="3061"/>
      <c r="V496" s="3061"/>
      <c r="W496" s="3061"/>
      <c r="X496" s="3061"/>
      <c r="Y496" s="3061"/>
      <c r="Z496" s="3061"/>
      <c r="AA496" s="3061"/>
      <c r="AB496" s="3061"/>
      <c r="AC496" s="3061"/>
      <c r="AD496" s="3061"/>
      <c r="AE496" s="3061"/>
      <c r="AF496" s="3061"/>
      <c r="AG496" s="3061"/>
      <c r="AH496" s="3061"/>
      <c r="AI496" s="3061"/>
      <c r="AJ496" s="3061"/>
      <c r="AK496" s="3061"/>
      <c r="AL496" s="3061"/>
      <c r="AM496" s="3061"/>
      <c r="AN496" s="3061"/>
      <c r="AO496" s="3061"/>
      <c r="AP496" s="3061"/>
      <c r="AQ496" s="3061"/>
      <c r="AR496" s="3061"/>
      <c r="AS496" s="3061"/>
      <c r="AT496" s="3061"/>
      <c r="AU496" s="3061"/>
      <c r="AV496" s="3061"/>
      <c r="AW496" s="3061"/>
      <c r="AX496" s="3061"/>
      <c r="AY496" s="3061"/>
      <c r="AZ496" s="3061"/>
      <c r="BA496" s="3061"/>
      <c r="BB496" s="3061"/>
      <c r="BC496" s="3061"/>
      <c r="BD496" s="3061"/>
      <c r="BE496" s="3061"/>
      <c r="BF496" s="3061"/>
      <c r="BG496" s="3061"/>
      <c r="BH496" s="3061"/>
      <c r="BI496" s="3061"/>
      <c r="BJ496" s="3061"/>
      <c r="BK496" s="3061"/>
      <c r="BL496" s="3061"/>
      <c r="BM496" s="3061"/>
      <c r="BN496" s="3061"/>
      <c r="BO496" s="3061"/>
      <c r="BP496" s="3061"/>
      <c r="BQ496" s="3061"/>
      <c r="BR496" s="3061"/>
      <c r="BS496" s="3061"/>
      <c r="BT496" s="3061"/>
      <c r="BU496" s="3061"/>
      <c r="BV496" s="3061"/>
      <c r="BW496" s="3061"/>
      <c r="BX496" s="3061"/>
      <c r="BY496" s="3061"/>
      <c r="BZ496" s="3061"/>
      <c r="CA496" s="3061"/>
      <c r="CB496" s="3061"/>
      <c r="CC496" s="3061"/>
      <c r="CD496" s="3061"/>
      <c r="CE496" s="3061"/>
      <c r="CF496" s="3061"/>
      <c r="CG496" s="3061"/>
      <c r="CH496" s="3061"/>
      <c r="CI496" s="3061"/>
      <c r="CJ496" s="3061"/>
      <c r="CK496" s="3061"/>
      <c r="CL496" s="3061"/>
      <c r="CM496" s="3061"/>
      <c r="CN496" s="3061"/>
      <c r="CO496" s="3061"/>
      <c r="CP496" s="3061"/>
      <c r="CQ496" s="3061"/>
      <c r="CR496" s="3061"/>
      <c r="CS496" s="3062"/>
      <c r="CT496" s="3063"/>
      <c r="CU496" s="3064">
        <f t="shared" si="134"/>
        <v>1</v>
      </c>
      <c r="CV496" s="3022" t="str">
        <f>IF(OR(CT496="",CT496="None"),"-",DO496*CU496*SUMIF('Lighting Assumptions'!$G$3:$G$112,'6a - Lighting Counts'!G496,'Lighting Assumptions'!$J$3:$J$112))</f>
        <v>-</v>
      </c>
      <c r="CW496" s="3021"/>
      <c r="CX496" s="3021"/>
      <c r="CY496" s="3046"/>
      <c r="CZ496" s="2098">
        <f t="shared" si="135"/>
        <v>0</v>
      </c>
      <c r="DA496" s="2098" t="str">
        <f t="shared" si="136"/>
        <v>-</v>
      </c>
      <c r="DB496" s="2098">
        <f t="shared" si="137"/>
        <v>0</v>
      </c>
      <c r="DC496" s="3023" t="str">
        <f t="shared" si="138"/>
        <v>-</v>
      </c>
      <c r="DD496" s="3024" t="str">
        <f t="shared" si="139"/>
        <v/>
      </c>
      <c r="DE496" s="3025" t="str">
        <f t="shared" si="140"/>
        <v>-</v>
      </c>
      <c r="DF496" s="3024" t="str">
        <f t="shared" si="131"/>
        <v>-</v>
      </c>
      <c r="DG496" s="2098">
        <f t="shared" si="141"/>
        <v>0</v>
      </c>
      <c r="DH496" s="2098">
        <f t="array" ref="DH496">MIN(SUMPRODUCT(I496:CR496,IF($I$25:$CR$25="yes",1,0),$I$23:$CR$23),H496)</f>
        <v>0</v>
      </c>
      <c r="DI496" s="3026"/>
      <c r="DJ496" s="3021"/>
      <c r="DN496" s="917" t="str">
        <f>IF(CS496="","-",SUMIF('Lighting Assumptions'!$G$3:$G$112,'6a - Lighting Counts'!G496,'Lighting Assumptions'!$J$3:$J$112))</f>
        <v>-</v>
      </c>
      <c r="DO496" s="917" t="str">
        <f t="shared" si="132"/>
        <v>-</v>
      </c>
      <c r="DP496" s="917" t="str">
        <f t="shared" si="133"/>
        <v>-</v>
      </c>
      <c r="DQ496" s="917" t="str">
        <f>IF(LEFT(CELLformula(DF496),3)&lt;&gt;"=IF",1,"")</f>
        <v/>
      </c>
      <c r="DR496" s="917" t="str">
        <f>IF(LEFT(CELLformula(DD496),3)&lt;&gt;"=IF",1,"")</f>
        <v/>
      </c>
      <c r="DS496" s="3048">
        <f t="shared" si="142"/>
        <v>0</v>
      </c>
      <c r="DT496" s="3047" t="str">
        <f t="shared" si="143"/>
        <v/>
      </c>
      <c r="DU496" s="3047" t="str">
        <f>IFERROR(IF(G496="","",SUMIF('Lighting Assumptions'!$G$3:$G$112,'6a - Lighting Counts'!G496,'Lighting Assumptions'!$H$3:$H$112)*IF(SI_IP_Units="SI",10.76,1)),"")</f>
        <v/>
      </c>
      <c r="DV496" s="3047" t="str">
        <f>IFERROR(IF($CX496="","",IF(SI_IP_Units="SI",10.76,1)*SUMIF(BAMCategories,$CY496,'Lighting Assumptions'!$E$3:E$35)),"")</f>
        <v/>
      </c>
      <c r="DW496" s="3047" t="str">
        <f>IFERROR(IF($CX496="","",IF(SI_IP_Units="SI",10.76,1)*SUMIF(BAMCategories,$CY496,IF(bpf_reference="ACP",'Lighting Assumptions 90.1-2010'!$E$3:E$35,'Lighting Assumptions 90.1-2016'!$E$3:E$35))),"")</f>
        <v/>
      </c>
      <c r="EW496" s="855"/>
      <c r="EX496" s="855"/>
      <c r="EY496" s="855"/>
      <c r="EZ496" s="855"/>
    </row>
    <row r="497" spans="4:156" x14ac:dyDescent="0.25">
      <c r="D497" s="3029"/>
      <c r="E497" s="3028"/>
      <c r="F497" s="3021">
        <f t="shared" si="130"/>
        <v>0</v>
      </c>
      <c r="G497" s="3059"/>
      <c r="H497" s="3060"/>
      <c r="I497" s="3061"/>
      <c r="J497" s="3061"/>
      <c r="K497" s="3061"/>
      <c r="L497" s="3061"/>
      <c r="M497" s="3061"/>
      <c r="N497" s="3061"/>
      <c r="O497" s="3061"/>
      <c r="P497" s="3061"/>
      <c r="Q497" s="3061"/>
      <c r="R497" s="3061"/>
      <c r="S497" s="3061"/>
      <c r="T497" s="3061"/>
      <c r="U497" s="3061"/>
      <c r="V497" s="3061"/>
      <c r="W497" s="3061"/>
      <c r="X497" s="3061"/>
      <c r="Y497" s="3061"/>
      <c r="Z497" s="3061"/>
      <c r="AA497" s="3061"/>
      <c r="AB497" s="3061"/>
      <c r="AC497" s="3061"/>
      <c r="AD497" s="3061"/>
      <c r="AE497" s="3061"/>
      <c r="AF497" s="3061"/>
      <c r="AG497" s="3061"/>
      <c r="AH497" s="3061"/>
      <c r="AI497" s="3061"/>
      <c r="AJ497" s="3061"/>
      <c r="AK497" s="3061"/>
      <c r="AL497" s="3061"/>
      <c r="AM497" s="3061"/>
      <c r="AN497" s="3061"/>
      <c r="AO497" s="3061"/>
      <c r="AP497" s="3061"/>
      <c r="AQ497" s="3061"/>
      <c r="AR497" s="3061"/>
      <c r="AS497" s="3061"/>
      <c r="AT497" s="3061"/>
      <c r="AU497" s="3061"/>
      <c r="AV497" s="3061"/>
      <c r="AW497" s="3061"/>
      <c r="AX497" s="3061"/>
      <c r="AY497" s="3061"/>
      <c r="AZ497" s="3061"/>
      <c r="BA497" s="3061"/>
      <c r="BB497" s="3061"/>
      <c r="BC497" s="3061"/>
      <c r="BD497" s="3061"/>
      <c r="BE497" s="3061"/>
      <c r="BF497" s="3061"/>
      <c r="BG497" s="3061"/>
      <c r="BH497" s="3061"/>
      <c r="BI497" s="3061"/>
      <c r="BJ497" s="3061"/>
      <c r="BK497" s="3061"/>
      <c r="BL497" s="3061"/>
      <c r="BM497" s="3061"/>
      <c r="BN497" s="3061"/>
      <c r="BO497" s="3061"/>
      <c r="BP497" s="3061"/>
      <c r="BQ497" s="3061"/>
      <c r="BR497" s="3061"/>
      <c r="BS497" s="3061"/>
      <c r="BT497" s="3061"/>
      <c r="BU497" s="3061"/>
      <c r="BV497" s="3061"/>
      <c r="BW497" s="3061"/>
      <c r="BX497" s="3061"/>
      <c r="BY497" s="3061"/>
      <c r="BZ497" s="3061"/>
      <c r="CA497" s="3061"/>
      <c r="CB497" s="3061"/>
      <c r="CC497" s="3061"/>
      <c r="CD497" s="3061"/>
      <c r="CE497" s="3061"/>
      <c r="CF497" s="3061"/>
      <c r="CG497" s="3061"/>
      <c r="CH497" s="3061"/>
      <c r="CI497" s="3061"/>
      <c r="CJ497" s="3061"/>
      <c r="CK497" s="3061"/>
      <c r="CL497" s="3061"/>
      <c r="CM497" s="3061"/>
      <c r="CN497" s="3061"/>
      <c r="CO497" s="3061"/>
      <c r="CP497" s="3061"/>
      <c r="CQ497" s="3061"/>
      <c r="CR497" s="3061"/>
      <c r="CS497" s="3062"/>
      <c r="CT497" s="3063"/>
      <c r="CU497" s="3064">
        <f t="shared" si="134"/>
        <v>1</v>
      </c>
      <c r="CV497" s="3022" t="str">
        <f>IF(OR(CT497="",CT497="None"),"-",DO497*CU497*SUMIF('Lighting Assumptions'!$G$3:$G$112,'6a - Lighting Counts'!G497,'Lighting Assumptions'!$J$3:$J$112))</f>
        <v>-</v>
      </c>
      <c r="CW497" s="3021"/>
      <c r="CX497" s="3021"/>
      <c r="CY497" s="3046"/>
      <c r="CZ497" s="2098">
        <f t="shared" si="135"/>
        <v>0</v>
      </c>
      <c r="DA497" s="2098" t="str">
        <f t="shared" si="136"/>
        <v>-</v>
      </c>
      <c r="DB497" s="2098">
        <f t="shared" si="137"/>
        <v>0</v>
      </c>
      <c r="DC497" s="3023" t="str">
        <f t="shared" si="138"/>
        <v>-</v>
      </c>
      <c r="DD497" s="3024" t="str">
        <f t="shared" si="139"/>
        <v/>
      </c>
      <c r="DE497" s="3025" t="str">
        <f t="shared" si="140"/>
        <v>-</v>
      </c>
      <c r="DF497" s="3024" t="str">
        <f t="shared" si="131"/>
        <v>-</v>
      </c>
      <c r="DG497" s="2098">
        <f t="shared" si="141"/>
        <v>0</v>
      </c>
      <c r="DH497" s="2098">
        <f t="array" ref="DH497">MIN(SUMPRODUCT(I497:CR497,IF($I$25:$CR$25="yes",1,0),$I$23:$CR$23),H497)</f>
        <v>0</v>
      </c>
      <c r="DI497" s="3026"/>
      <c r="DJ497" s="3021"/>
      <c r="DN497" s="917" t="str">
        <f>IF(CS497="","-",SUMIF('Lighting Assumptions'!$G$3:$G$112,'6a - Lighting Counts'!G497,'Lighting Assumptions'!$J$3:$J$112))</f>
        <v>-</v>
      </c>
      <c r="DO497" s="917" t="str">
        <f t="shared" si="132"/>
        <v>-</v>
      </c>
      <c r="DP497" s="917" t="str">
        <f t="shared" si="133"/>
        <v>-</v>
      </c>
      <c r="DQ497" s="917" t="str">
        <f>IF(LEFT(CELLformula(DF497),3)&lt;&gt;"=IF",1,"")</f>
        <v/>
      </c>
      <c r="DR497" s="917" t="str">
        <f>IF(LEFT(CELLformula(DD497),3)&lt;&gt;"=IF",1,"")</f>
        <v/>
      </c>
      <c r="DS497" s="3048">
        <f t="shared" si="142"/>
        <v>0</v>
      </c>
      <c r="DT497" s="3047" t="str">
        <f t="shared" si="143"/>
        <v/>
      </c>
      <c r="DU497" s="3047" t="str">
        <f>IFERROR(IF(G497="","",SUMIF('Lighting Assumptions'!$G$3:$G$112,'6a - Lighting Counts'!G497,'Lighting Assumptions'!$H$3:$H$112)*IF(SI_IP_Units="SI",10.76,1)),"")</f>
        <v/>
      </c>
      <c r="DV497" s="3047" t="str">
        <f>IFERROR(IF($CX497="","",IF(SI_IP_Units="SI",10.76,1)*SUMIF(BAMCategories,$CY497,'Lighting Assumptions'!$E$3:E$35)),"")</f>
        <v/>
      </c>
      <c r="DW497" s="3047" t="str">
        <f>IFERROR(IF($CX497="","",IF(SI_IP_Units="SI",10.76,1)*SUMIF(BAMCategories,$CY497,IF(bpf_reference="ACP",'Lighting Assumptions 90.1-2010'!$E$3:E$35,'Lighting Assumptions 90.1-2016'!$E$3:E$35))),"")</f>
        <v/>
      </c>
      <c r="EW497" s="855"/>
      <c r="EX497" s="855"/>
      <c r="EY497" s="855"/>
      <c r="EZ497" s="855"/>
    </row>
    <row r="498" spans="4:156" x14ac:dyDescent="0.25">
      <c r="D498" s="3029"/>
      <c r="E498" s="3028"/>
      <c r="F498" s="3021">
        <f t="shared" si="130"/>
        <v>0</v>
      </c>
      <c r="G498" s="3059"/>
      <c r="H498" s="3060"/>
      <c r="I498" s="3061"/>
      <c r="J498" s="3061"/>
      <c r="K498" s="3061"/>
      <c r="L498" s="3061"/>
      <c r="M498" s="3061"/>
      <c r="N498" s="3061"/>
      <c r="O498" s="3061"/>
      <c r="P498" s="3061"/>
      <c r="Q498" s="3061"/>
      <c r="R498" s="3061"/>
      <c r="S498" s="3061"/>
      <c r="T498" s="3061"/>
      <c r="U498" s="3061"/>
      <c r="V498" s="3061"/>
      <c r="W498" s="3061"/>
      <c r="X498" s="3061"/>
      <c r="Y498" s="3061"/>
      <c r="Z498" s="3061"/>
      <c r="AA498" s="3061"/>
      <c r="AB498" s="3061"/>
      <c r="AC498" s="3061"/>
      <c r="AD498" s="3061"/>
      <c r="AE498" s="3061"/>
      <c r="AF498" s="3061"/>
      <c r="AG498" s="3061"/>
      <c r="AH498" s="3061"/>
      <c r="AI498" s="3061"/>
      <c r="AJ498" s="3061"/>
      <c r="AK498" s="3061"/>
      <c r="AL498" s="3061"/>
      <c r="AM498" s="3061"/>
      <c r="AN498" s="3061"/>
      <c r="AO498" s="3061"/>
      <c r="AP498" s="3061"/>
      <c r="AQ498" s="3061"/>
      <c r="AR498" s="3061"/>
      <c r="AS498" s="3061"/>
      <c r="AT498" s="3061"/>
      <c r="AU498" s="3061"/>
      <c r="AV498" s="3061"/>
      <c r="AW498" s="3061"/>
      <c r="AX498" s="3061"/>
      <c r="AY498" s="3061"/>
      <c r="AZ498" s="3061"/>
      <c r="BA498" s="3061"/>
      <c r="BB498" s="3061"/>
      <c r="BC498" s="3061"/>
      <c r="BD498" s="3061"/>
      <c r="BE498" s="3061"/>
      <c r="BF498" s="3061"/>
      <c r="BG498" s="3061"/>
      <c r="BH498" s="3061"/>
      <c r="BI498" s="3061"/>
      <c r="BJ498" s="3061"/>
      <c r="BK498" s="3061"/>
      <c r="BL498" s="3061"/>
      <c r="BM498" s="3061"/>
      <c r="BN498" s="3061"/>
      <c r="BO498" s="3061"/>
      <c r="BP498" s="3061"/>
      <c r="BQ498" s="3061"/>
      <c r="BR498" s="3061"/>
      <c r="BS498" s="3061"/>
      <c r="BT498" s="3061"/>
      <c r="BU498" s="3061"/>
      <c r="BV498" s="3061"/>
      <c r="BW498" s="3061"/>
      <c r="BX498" s="3061"/>
      <c r="BY498" s="3061"/>
      <c r="BZ498" s="3061"/>
      <c r="CA498" s="3061"/>
      <c r="CB498" s="3061"/>
      <c r="CC498" s="3061"/>
      <c r="CD498" s="3061"/>
      <c r="CE498" s="3061"/>
      <c r="CF498" s="3061"/>
      <c r="CG498" s="3061"/>
      <c r="CH498" s="3061"/>
      <c r="CI498" s="3061"/>
      <c r="CJ498" s="3061"/>
      <c r="CK498" s="3061"/>
      <c r="CL498" s="3061"/>
      <c r="CM498" s="3061"/>
      <c r="CN498" s="3061"/>
      <c r="CO498" s="3061"/>
      <c r="CP498" s="3061"/>
      <c r="CQ498" s="3061"/>
      <c r="CR498" s="3061"/>
      <c r="CS498" s="3062"/>
      <c r="CT498" s="3063"/>
      <c r="CU498" s="3064">
        <f t="shared" si="134"/>
        <v>1</v>
      </c>
      <c r="CV498" s="3022" t="str">
        <f>IF(OR(CT498="",CT498="None"),"-",DO498*CU498*SUMIF('Lighting Assumptions'!$G$3:$G$112,'6a - Lighting Counts'!G498,'Lighting Assumptions'!$J$3:$J$112))</f>
        <v>-</v>
      </c>
      <c r="CW498" s="3021"/>
      <c r="CX498" s="3021"/>
      <c r="CY498" s="3046"/>
      <c r="CZ498" s="2098">
        <f t="shared" si="135"/>
        <v>0</v>
      </c>
      <c r="DA498" s="2098" t="str">
        <f t="shared" si="136"/>
        <v>-</v>
      </c>
      <c r="DB498" s="2098">
        <f t="shared" si="137"/>
        <v>0</v>
      </c>
      <c r="DC498" s="3023" t="str">
        <f t="shared" si="138"/>
        <v>-</v>
      </c>
      <c r="DD498" s="3024" t="str">
        <f t="shared" si="139"/>
        <v/>
      </c>
      <c r="DE498" s="3025" t="str">
        <f t="shared" si="140"/>
        <v>-</v>
      </c>
      <c r="DF498" s="3024" t="str">
        <f t="shared" si="131"/>
        <v>-</v>
      </c>
      <c r="DG498" s="2098">
        <f t="shared" si="141"/>
        <v>0</v>
      </c>
      <c r="DH498" s="2098">
        <f t="array" ref="DH498">MIN(SUMPRODUCT(I498:CR498,IF($I$25:$CR$25="yes",1,0),$I$23:$CR$23),H498)</f>
        <v>0</v>
      </c>
      <c r="DI498" s="3026"/>
      <c r="DJ498" s="3021"/>
      <c r="DN498" s="917" t="str">
        <f>IF(CS498="","-",SUMIF('Lighting Assumptions'!$G$3:$G$112,'6a - Lighting Counts'!G498,'Lighting Assumptions'!$J$3:$J$112))</f>
        <v>-</v>
      </c>
      <c r="DO498" s="917" t="str">
        <f t="shared" si="132"/>
        <v>-</v>
      </c>
      <c r="DP498" s="917" t="str">
        <f t="shared" si="133"/>
        <v>-</v>
      </c>
      <c r="DQ498" s="917" t="str">
        <f>IF(LEFT(CELLformula(DF498),3)&lt;&gt;"=IF",1,"")</f>
        <v/>
      </c>
      <c r="DR498" s="917" t="str">
        <f>IF(LEFT(CELLformula(DD498),3)&lt;&gt;"=IF",1,"")</f>
        <v/>
      </c>
      <c r="DS498" s="3048">
        <f t="shared" si="142"/>
        <v>0</v>
      </c>
      <c r="DT498" s="3047" t="str">
        <f t="shared" si="143"/>
        <v/>
      </c>
      <c r="DU498" s="3047" t="str">
        <f>IFERROR(IF(G498="","",SUMIF('Lighting Assumptions'!$G$3:$G$112,'6a - Lighting Counts'!G498,'Lighting Assumptions'!$H$3:$H$112)*IF(SI_IP_Units="SI",10.76,1)),"")</f>
        <v/>
      </c>
      <c r="DV498" s="3047" t="str">
        <f>IFERROR(IF($CX498="","",IF(SI_IP_Units="SI",10.76,1)*SUMIF(BAMCategories,$CY498,'Lighting Assumptions'!$E$3:E$35)),"")</f>
        <v/>
      </c>
      <c r="DW498" s="3047" t="str">
        <f>IFERROR(IF($CX498="","",IF(SI_IP_Units="SI",10.76,1)*SUMIF(BAMCategories,$CY498,IF(bpf_reference="ACP",'Lighting Assumptions 90.1-2010'!$E$3:E$35,'Lighting Assumptions 90.1-2016'!$E$3:E$35))),"")</f>
        <v/>
      </c>
      <c r="EW498" s="855"/>
      <c r="EX498" s="855"/>
      <c r="EY498" s="855"/>
      <c r="EZ498" s="855"/>
    </row>
    <row r="499" spans="4:156" x14ac:dyDescent="0.25">
      <c r="D499" s="3029"/>
      <c r="E499" s="3028"/>
      <c r="F499" s="3021">
        <f t="shared" si="130"/>
        <v>0</v>
      </c>
      <c r="G499" s="3059"/>
      <c r="H499" s="3060"/>
      <c r="I499" s="3061"/>
      <c r="J499" s="3061"/>
      <c r="K499" s="3061"/>
      <c r="L499" s="3061"/>
      <c r="M499" s="3061"/>
      <c r="N499" s="3061"/>
      <c r="O499" s="3061"/>
      <c r="P499" s="3061"/>
      <c r="Q499" s="3061"/>
      <c r="R499" s="3061"/>
      <c r="S499" s="3061"/>
      <c r="T499" s="3061"/>
      <c r="U499" s="3061"/>
      <c r="V499" s="3061"/>
      <c r="W499" s="3061"/>
      <c r="X499" s="3061"/>
      <c r="Y499" s="3061"/>
      <c r="Z499" s="3061"/>
      <c r="AA499" s="3061"/>
      <c r="AB499" s="3061"/>
      <c r="AC499" s="3061"/>
      <c r="AD499" s="3061"/>
      <c r="AE499" s="3061"/>
      <c r="AF499" s="3061"/>
      <c r="AG499" s="3061"/>
      <c r="AH499" s="3061"/>
      <c r="AI499" s="3061"/>
      <c r="AJ499" s="3061"/>
      <c r="AK499" s="3061"/>
      <c r="AL499" s="3061"/>
      <c r="AM499" s="3061"/>
      <c r="AN499" s="3061"/>
      <c r="AO499" s="3061"/>
      <c r="AP499" s="3061"/>
      <c r="AQ499" s="3061"/>
      <c r="AR499" s="3061"/>
      <c r="AS499" s="3061"/>
      <c r="AT499" s="3061"/>
      <c r="AU499" s="3061"/>
      <c r="AV499" s="3061"/>
      <c r="AW499" s="3061"/>
      <c r="AX499" s="3061"/>
      <c r="AY499" s="3061"/>
      <c r="AZ499" s="3061"/>
      <c r="BA499" s="3061"/>
      <c r="BB499" s="3061"/>
      <c r="BC499" s="3061"/>
      <c r="BD499" s="3061"/>
      <c r="BE499" s="3061"/>
      <c r="BF499" s="3061"/>
      <c r="BG499" s="3061"/>
      <c r="BH499" s="3061"/>
      <c r="BI499" s="3061"/>
      <c r="BJ499" s="3061"/>
      <c r="BK499" s="3061"/>
      <c r="BL499" s="3061"/>
      <c r="BM499" s="3061"/>
      <c r="BN499" s="3061"/>
      <c r="BO499" s="3061"/>
      <c r="BP499" s="3061"/>
      <c r="BQ499" s="3061"/>
      <c r="BR499" s="3061"/>
      <c r="BS499" s="3061"/>
      <c r="BT499" s="3061"/>
      <c r="BU499" s="3061"/>
      <c r="BV499" s="3061"/>
      <c r="BW499" s="3061"/>
      <c r="BX499" s="3061"/>
      <c r="BY499" s="3061"/>
      <c r="BZ499" s="3061"/>
      <c r="CA499" s="3061"/>
      <c r="CB499" s="3061"/>
      <c r="CC499" s="3061"/>
      <c r="CD499" s="3061"/>
      <c r="CE499" s="3061"/>
      <c r="CF499" s="3061"/>
      <c r="CG499" s="3061"/>
      <c r="CH499" s="3061"/>
      <c r="CI499" s="3061"/>
      <c r="CJ499" s="3061"/>
      <c r="CK499" s="3061"/>
      <c r="CL499" s="3061"/>
      <c r="CM499" s="3061"/>
      <c r="CN499" s="3061"/>
      <c r="CO499" s="3061"/>
      <c r="CP499" s="3061"/>
      <c r="CQ499" s="3061"/>
      <c r="CR499" s="3061"/>
      <c r="CS499" s="3062"/>
      <c r="CT499" s="3063"/>
      <c r="CU499" s="3064">
        <f t="shared" si="134"/>
        <v>1</v>
      </c>
      <c r="CV499" s="3022" t="str">
        <f>IF(OR(CT499="",CT499="None"),"-",DO499*CU499*SUMIF('Lighting Assumptions'!$G$3:$G$112,'6a - Lighting Counts'!G499,'Lighting Assumptions'!$J$3:$J$112))</f>
        <v>-</v>
      </c>
      <c r="CW499" s="3021"/>
      <c r="CX499" s="3021"/>
      <c r="CY499" s="3046"/>
      <c r="CZ499" s="2098">
        <f t="shared" si="135"/>
        <v>0</v>
      </c>
      <c r="DA499" s="2098" t="str">
        <f t="shared" si="136"/>
        <v>-</v>
      </c>
      <c r="DB499" s="2098">
        <f t="shared" si="137"/>
        <v>0</v>
      </c>
      <c r="DC499" s="3023" t="str">
        <f t="shared" si="138"/>
        <v>-</v>
      </c>
      <c r="DD499" s="3024" t="str">
        <f t="shared" si="139"/>
        <v/>
      </c>
      <c r="DE499" s="3025" t="str">
        <f t="shared" si="140"/>
        <v>-</v>
      </c>
      <c r="DF499" s="3024" t="str">
        <f t="shared" si="131"/>
        <v>-</v>
      </c>
      <c r="DG499" s="2098">
        <f t="shared" si="141"/>
        <v>0</v>
      </c>
      <c r="DH499" s="2098">
        <f t="array" ref="DH499">MIN(SUMPRODUCT(I499:CR499,IF($I$25:$CR$25="yes",1,0),$I$23:$CR$23),H499)</f>
        <v>0</v>
      </c>
      <c r="DI499" s="3026"/>
      <c r="DJ499" s="3021"/>
      <c r="DN499" s="917" t="str">
        <f>IF(CS499="","-",SUMIF('Lighting Assumptions'!$G$3:$G$112,'6a - Lighting Counts'!G499,'Lighting Assumptions'!$J$3:$J$112))</f>
        <v>-</v>
      </c>
      <c r="DO499" s="917" t="str">
        <f t="shared" si="132"/>
        <v>-</v>
      </c>
      <c r="DP499" s="917" t="str">
        <f t="shared" si="133"/>
        <v>-</v>
      </c>
      <c r="DQ499" s="917" t="str">
        <f>IF(LEFT(CELLformula(DF499),3)&lt;&gt;"=IF",1,"")</f>
        <v/>
      </c>
      <c r="DR499" s="917" t="str">
        <f>IF(LEFT(CELLformula(DD499),3)&lt;&gt;"=IF",1,"")</f>
        <v/>
      </c>
      <c r="DS499" s="3048">
        <f t="shared" si="142"/>
        <v>0</v>
      </c>
      <c r="DT499" s="3047" t="str">
        <f t="shared" si="143"/>
        <v/>
      </c>
      <c r="DU499" s="3047" t="str">
        <f>IFERROR(IF(G499="","",SUMIF('Lighting Assumptions'!$G$3:$G$112,'6a - Lighting Counts'!G499,'Lighting Assumptions'!$H$3:$H$112)*IF(SI_IP_Units="SI",10.76,1)),"")</f>
        <v/>
      </c>
      <c r="DV499" s="3047" t="str">
        <f>IFERROR(IF($CX499="","",IF(SI_IP_Units="SI",10.76,1)*SUMIF(BAMCategories,$CY499,'Lighting Assumptions'!$E$3:E$35)),"")</f>
        <v/>
      </c>
      <c r="DW499" s="3047" t="str">
        <f>IFERROR(IF($CX499="","",IF(SI_IP_Units="SI",10.76,1)*SUMIF(BAMCategories,$CY499,IF(bpf_reference="ACP",'Lighting Assumptions 90.1-2010'!$E$3:E$35,'Lighting Assumptions 90.1-2016'!$E$3:E$35))),"")</f>
        <v/>
      </c>
      <c r="EW499" s="855"/>
      <c r="EX499" s="855"/>
      <c r="EY499" s="855"/>
      <c r="EZ499" s="855"/>
    </row>
    <row r="500" spans="4:156" x14ac:dyDescent="0.25">
      <c r="D500" s="3029"/>
      <c r="E500" s="3028"/>
      <c r="F500" s="3021">
        <f t="shared" si="130"/>
        <v>0</v>
      </c>
      <c r="G500" s="3059"/>
      <c r="H500" s="3060"/>
      <c r="I500" s="3061"/>
      <c r="J500" s="3061"/>
      <c r="K500" s="3061"/>
      <c r="L500" s="3061"/>
      <c r="M500" s="3061"/>
      <c r="N500" s="3061"/>
      <c r="O500" s="3061"/>
      <c r="P500" s="3061"/>
      <c r="Q500" s="3061"/>
      <c r="R500" s="3061"/>
      <c r="S500" s="3061"/>
      <c r="T500" s="3061"/>
      <c r="U500" s="3061"/>
      <c r="V500" s="3061"/>
      <c r="W500" s="3061"/>
      <c r="X500" s="3061"/>
      <c r="Y500" s="3061"/>
      <c r="Z500" s="3061"/>
      <c r="AA500" s="3061"/>
      <c r="AB500" s="3061"/>
      <c r="AC500" s="3061"/>
      <c r="AD500" s="3061"/>
      <c r="AE500" s="3061"/>
      <c r="AF500" s="3061"/>
      <c r="AG500" s="3061"/>
      <c r="AH500" s="3061"/>
      <c r="AI500" s="3061"/>
      <c r="AJ500" s="3061"/>
      <c r="AK500" s="3061"/>
      <c r="AL500" s="3061"/>
      <c r="AM500" s="3061"/>
      <c r="AN500" s="3061"/>
      <c r="AO500" s="3061"/>
      <c r="AP500" s="3061"/>
      <c r="AQ500" s="3061"/>
      <c r="AR500" s="3061"/>
      <c r="AS500" s="3061"/>
      <c r="AT500" s="3061"/>
      <c r="AU500" s="3061"/>
      <c r="AV500" s="3061"/>
      <c r="AW500" s="3061"/>
      <c r="AX500" s="3061"/>
      <c r="AY500" s="3061"/>
      <c r="AZ500" s="3061"/>
      <c r="BA500" s="3061"/>
      <c r="BB500" s="3061"/>
      <c r="BC500" s="3061"/>
      <c r="BD500" s="3061"/>
      <c r="BE500" s="3061"/>
      <c r="BF500" s="3061"/>
      <c r="BG500" s="3061"/>
      <c r="BH500" s="3061"/>
      <c r="BI500" s="3061"/>
      <c r="BJ500" s="3061"/>
      <c r="BK500" s="3061"/>
      <c r="BL500" s="3061"/>
      <c r="BM500" s="3061"/>
      <c r="BN500" s="3061"/>
      <c r="BO500" s="3061"/>
      <c r="BP500" s="3061"/>
      <c r="BQ500" s="3061"/>
      <c r="BR500" s="3061"/>
      <c r="BS500" s="3061"/>
      <c r="BT500" s="3061"/>
      <c r="BU500" s="3061"/>
      <c r="BV500" s="3061"/>
      <c r="BW500" s="3061"/>
      <c r="BX500" s="3061"/>
      <c r="BY500" s="3061"/>
      <c r="BZ500" s="3061"/>
      <c r="CA500" s="3061"/>
      <c r="CB500" s="3061"/>
      <c r="CC500" s="3061"/>
      <c r="CD500" s="3061"/>
      <c r="CE500" s="3061"/>
      <c r="CF500" s="3061"/>
      <c r="CG500" s="3061"/>
      <c r="CH500" s="3061"/>
      <c r="CI500" s="3061"/>
      <c r="CJ500" s="3061"/>
      <c r="CK500" s="3061"/>
      <c r="CL500" s="3061"/>
      <c r="CM500" s="3061"/>
      <c r="CN500" s="3061"/>
      <c r="CO500" s="3061"/>
      <c r="CP500" s="3061"/>
      <c r="CQ500" s="3061"/>
      <c r="CR500" s="3061"/>
      <c r="CS500" s="3062"/>
      <c r="CT500" s="3063"/>
      <c r="CU500" s="3064">
        <f t="shared" si="134"/>
        <v>1</v>
      </c>
      <c r="CV500" s="3022" t="str">
        <f>IF(OR(CT500="",CT500="None"),"-",DO500*CU500*SUMIF('Lighting Assumptions'!$G$3:$G$112,'6a - Lighting Counts'!G500,'Lighting Assumptions'!$J$3:$J$112))</f>
        <v>-</v>
      </c>
      <c r="CW500" s="3021"/>
      <c r="CX500" s="3021"/>
      <c r="CY500" s="3046"/>
      <c r="CZ500" s="2098">
        <f t="shared" si="135"/>
        <v>0</v>
      </c>
      <c r="DA500" s="2098" t="str">
        <f t="shared" si="136"/>
        <v>-</v>
      </c>
      <c r="DB500" s="2098">
        <f t="shared" si="137"/>
        <v>0</v>
      </c>
      <c r="DC500" s="3023" t="str">
        <f t="shared" si="138"/>
        <v>-</v>
      </c>
      <c r="DD500" s="3024" t="str">
        <f t="shared" si="139"/>
        <v/>
      </c>
      <c r="DE500" s="3025" t="str">
        <f t="shared" si="140"/>
        <v>-</v>
      </c>
      <c r="DF500" s="3024" t="str">
        <f t="shared" si="131"/>
        <v>-</v>
      </c>
      <c r="DG500" s="2098">
        <f t="shared" si="141"/>
        <v>0</v>
      </c>
      <c r="DH500" s="2098">
        <f t="array" ref="DH500">MIN(SUMPRODUCT(I500:CR500,IF($I$25:$CR$25="yes",1,0),$I$23:$CR$23),H500)</f>
        <v>0</v>
      </c>
      <c r="DI500" s="3026"/>
      <c r="DJ500" s="3021"/>
      <c r="DN500" s="917" t="str">
        <f>IF(CS500="","-",SUMIF('Lighting Assumptions'!$G$3:$G$112,'6a - Lighting Counts'!G500,'Lighting Assumptions'!$J$3:$J$112))</f>
        <v>-</v>
      </c>
      <c r="DO500" s="917" t="str">
        <f t="shared" si="132"/>
        <v>-</v>
      </c>
      <c r="DP500" s="917" t="str">
        <f t="shared" si="133"/>
        <v>-</v>
      </c>
      <c r="DQ500" s="917" t="str">
        <f>IF(LEFT(CELLformula(DF500),3)&lt;&gt;"=IF",1,"")</f>
        <v/>
      </c>
      <c r="DR500" s="917" t="str">
        <f>IF(LEFT(CELLformula(DD500),3)&lt;&gt;"=IF",1,"")</f>
        <v/>
      </c>
      <c r="DS500" s="3048">
        <f t="shared" si="142"/>
        <v>0</v>
      </c>
      <c r="DT500" s="3047" t="str">
        <f t="shared" si="143"/>
        <v/>
      </c>
      <c r="DU500" s="3047" t="str">
        <f>IFERROR(IF(G500="","",SUMIF('Lighting Assumptions'!$G$3:$G$112,'6a - Lighting Counts'!G500,'Lighting Assumptions'!$H$3:$H$112)*IF(SI_IP_Units="SI",10.76,1)),"")</f>
        <v/>
      </c>
      <c r="DV500" s="3047" t="str">
        <f>IFERROR(IF($CX500="","",IF(SI_IP_Units="SI",10.76,1)*SUMIF(BAMCategories,$CY500,'Lighting Assumptions'!$E$3:E$35)),"")</f>
        <v/>
      </c>
      <c r="DW500" s="3047" t="str">
        <f>IFERROR(IF($CX500="","",IF(SI_IP_Units="SI",10.76,1)*SUMIF(BAMCategories,$CY500,IF(bpf_reference="ACP",'Lighting Assumptions 90.1-2010'!$E$3:E$35,'Lighting Assumptions 90.1-2016'!$E$3:E$35))),"")</f>
        <v/>
      </c>
      <c r="EW500" s="855"/>
      <c r="EX500" s="855"/>
      <c r="EY500" s="855"/>
      <c r="EZ500" s="855"/>
    </row>
    <row r="501" spans="4:156" x14ac:dyDescent="0.25">
      <c r="D501" s="3029"/>
      <c r="E501" s="3028"/>
      <c r="F501" s="3021">
        <f t="shared" si="130"/>
        <v>0</v>
      </c>
      <c r="G501" s="3059"/>
      <c r="H501" s="3060"/>
      <c r="I501" s="3061"/>
      <c r="J501" s="3061"/>
      <c r="K501" s="3061"/>
      <c r="L501" s="3061"/>
      <c r="M501" s="3061"/>
      <c r="N501" s="3061"/>
      <c r="O501" s="3061"/>
      <c r="P501" s="3061"/>
      <c r="Q501" s="3061"/>
      <c r="R501" s="3061"/>
      <c r="S501" s="3061"/>
      <c r="T501" s="3061"/>
      <c r="U501" s="3061"/>
      <c r="V501" s="3061"/>
      <c r="W501" s="3061"/>
      <c r="X501" s="3061"/>
      <c r="Y501" s="3061"/>
      <c r="Z501" s="3061"/>
      <c r="AA501" s="3061"/>
      <c r="AB501" s="3061"/>
      <c r="AC501" s="3061"/>
      <c r="AD501" s="3061"/>
      <c r="AE501" s="3061"/>
      <c r="AF501" s="3061"/>
      <c r="AG501" s="3061"/>
      <c r="AH501" s="3061"/>
      <c r="AI501" s="3061"/>
      <c r="AJ501" s="3061"/>
      <c r="AK501" s="3061"/>
      <c r="AL501" s="3061"/>
      <c r="AM501" s="3061"/>
      <c r="AN501" s="3061"/>
      <c r="AO501" s="3061"/>
      <c r="AP501" s="3061"/>
      <c r="AQ501" s="3061"/>
      <c r="AR501" s="3061"/>
      <c r="AS501" s="3061"/>
      <c r="AT501" s="3061"/>
      <c r="AU501" s="3061"/>
      <c r="AV501" s="3061"/>
      <c r="AW501" s="3061"/>
      <c r="AX501" s="3061"/>
      <c r="AY501" s="3061"/>
      <c r="AZ501" s="3061"/>
      <c r="BA501" s="3061"/>
      <c r="BB501" s="3061"/>
      <c r="BC501" s="3061"/>
      <c r="BD501" s="3061"/>
      <c r="BE501" s="3061"/>
      <c r="BF501" s="3061"/>
      <c r="BG501" s="3061"/>
      <c r="BH501" s="3061"/>
      <c r="BI501" s="3061"/>
      <c r="BJ501" s="3061"/>
      <c r="BK501" s="3061"/>
      <c r="BL501" s="3061"/>
      <c r="BM501" s="3061"/>
      <c r="BN501" s="3061"/>
      <c r="BO501" s="3061"/>
      <c r="BP501" s="3061"/>
      <c r="BQ501" s="3061"/>
      <c r="BR501" s="3061"/>
      <c r="BS501" s="3061"/>
      <c r="BT501" s="3061"/>
      <c r="BU501" s="3061"/>
      <c r="BV501" s="3061"/>
      <c r="BW501" s="3061"/>
      <c r="BX501" s="3061"/>
      <c r="BY501" s="3061"/>
      <c r="BZ501" s="3061"/>
      <c r="CA501" s="3061"/>
      <c r="CB501" s="3061"/>
      <c r="CC501" s="3061"/>
      <c r="CD501" s="3061"/>
      <c r="CE501" s="3061"/>
      <c r="CF501" s="3061"/>
      <c r="CG501" s="3061"/>
      <c r="CH501" s="3061"/>
      <c r="CI501" s="3061"/>
      <c r="CJ501" s="3061"/>
      <c r="CK501" s="3061"/>
      <c r="CL501" s="3061"/>
      <c r="CM501" s="3061"/>
      <c r="CN501" s="3061"/>
      <c r="CO501" s="3061"/>
      <c r="CP501" s="3061"/>
      <c r="CQ501" s="3061"/>
      <c r="CR501" s="3061"/>
      <c r="CS501" s="3062"/>
      <c r="CT501" s="3063"/>
      <c r="CU501" s="3064">
        <f t="shared" si="134"/>
        <v>1</v>
      </c>
      <c r="CV501" s="3022" t="str">
        <f>IF(OR(CT501="",CT501="None"),"-",DO501*CU501*SUMIF('Lighting Assumptions'!$G$3:$G$112,'6a - Lighting Counts'!G501,'Lighting Assumptions'!$J$3:$J$112))</f>
        <v>-</v>
      </c>
      <c r="CW501" s="3021"/>
      <c r="CX501" s="3021"/>
      <c r="CY501" s="3046"/>
      <c r="CZ501" s="2098">
        <f t="shared" si="135"/>
        <v>0</v>
      </c>
      <c r="DA501" s="2098" t="str">
        <f t="shared" si="136"/>
        <v>-</v>
      </c>
      <c r="DB501" s="2098">
        <f t="shared" si="137"/>
        <v>0</v>
      </c>
      <c r="DC501" s="3023" t="str">
        <f t="shared" si="138"/>
        <v>-</v>
      </c>
      <c r="DD501" s="3024" t="str">
        <f t="shared" si="139"/>
        <v/>
      </c>
      <c r="DE501" s="3025" t="str">
        <f t="shared" si="140"/>
        <v>-</v>
      </c>
      <c r="DF501" s="3024" t="str">
        <f t="shared" si="131"/>
        <v>-</v>
      </c>
      <c r="DG501" s="2098">
        <f t="shared" si="141"/>
        <v>0</v>
      </c>
      <c r="DH501" s="2098">
        <f t="array" ref="DH501">MIN(SUMPRODUCT(I501:CR501,IF($I$25:$CR$25="yes",1,0),$I$23:$CR$23),H501)</f>
        <v>0</v>
      </c>
      <c r="DI501" s="3026"/>
      <c r="DJ501" s="3021"/>
      <c r="DN501" s="917" t="str">
        <f>IF(CS501="","-",SUMIF('Lighting Assumptions'!$G$3:$G$112,'6a - Lighting Counts'!G501,'Lighting Assumptions'!$J$3:$J$112))</f>
        <v>-</v>
      </c>
      <c r="DO501" s="917" t="str">
        <f t="shared" si="132"/>
        <v>-</v>
      </c>
      <c r="DP501" s="917" t="str">
        <f t="shared" si="133"/>
        <v>-</v>
      </c>
      <c r="DQ501" s="917" t="str">
        <f>IF(LEFT(CELLformula(DF501),3)&lt;&gt;"=IF",1,"")</f>
        <v/>
      </c>
      <c r="DR501" s="917" t="str">
        <f>IF(LEFT(CELLformula(DD501),3)&lt;&gt;"=IF",1,"")</f>
        <v/>
      </c>
      <c r="DS501" s="3048">
        <f t="shared" si="142"/>
        <v>0</v>
      </c>
      <c r="DT501" s="3047" t="str">
        <f t="shared" si="143"/>
        <v/>
      </c>
      <c r="DU501" s="3047" t="str">
        <f>IFERROR(IF(G501="","",SUMIF('Lighting Assumptions'!$G$3:$G$112,'6a - Lighting Counts'!G501,'Lighting Assumptions'!$H$3:$H$112)*IF(SI_IP_Units="SI",10.76,1)),"")</f>
        <v/>
      </c>
      <c r="DV501" s="3047" t="str">
        <f>IFERROR(IF($CX501="","",IF(SI_IP_Units="SI",10.76,1)*SUMIF(BAMCategories,$CY501,'Lighting Assumptions'!$E$3:E$35)),"")</f>
        <v/>
      </c>
      <c r="DW501" s="3047" t="str">
        <f>IFERROR(IF($CX501="","",IF(SI_IP_Units="SI",10.76,1)*SUMIF(BAMCategories,$CY501,IF(bpf_reference="ACP",'Lighting Assumptions 90.1-2010'!$E$3:E$35,'Lighting Assumptions 90.1-2016'!$E$3:E$35))),"")</f>
        <v/>
      </c>
      <c r="EW501" s="855"/>
      <c r="EX501" s="855"/>
      <c r="EY501" s="855"/>
      <c r="EZ501" s="855"/>
    </row>
    <row r="502" spans="4:156" x14ac:dyDescent="0.25">
      <c r="D502" s="3029"/>
      <c r="E502" s="3028"/>
      <c r="F502" s="3021">
        <f t="shared" si="130"/>
        <v>0</v>
      </c>
      <c r="G502" s="3059"/>
      <c r="H502" s="3060"/>
      <c r="I502" s="3061"/>
      <c r="J502" s="3061"/>
      <c r="K502" s="3061"/>
      <c r="L502" s="3061"/>
      <c r="M502" s="3061"/>
      <c r="N502" s="3061"/>
      <c r="O502" s="3061"/>
      <c r="P502" s="3061"/>
      <c r="Q502" s="3061"/>
      <c r="R502" s="3061"/>
      <c r="S502" s="3061"/>
      <c r="T502" s="3061"/>
      <c r="U502" s="3061"/>
      <c r="V502" s="3061"/>
      <c r="W502" s="3061"/>
      <c r="X502" s="3061"/>
      <c r="Y502" s="3061"/>
      <c r="Z502" s="3061"/>
      <c r="AA502" s="3061"/>
      <c r="AB502" s="3061"/>
      <c r="AC502" s="3061"/>
      <c r="AD502" s="3061"/>
      <c r="AE502" s="3061"/>
      <c r="AF502" s="3061"/>
      <c r="AG502" s="3061"/>
      <c r="AH502" s="3061"/>
      <c r="AI502" s="3061"/>
      <c r="AJ502" s="3061"/>
      <c r="AK502" s="3061"/>
      <c r="AL502" s="3061"/>
      <c r="AM502" s="3061"/>
      <c r="AN502" s="3061"/>
      <c r="AO502" s="3061"/>
      <c r="AP502" s="3061"/>
      <c r="AQ502" s="3061"/>
      <c r="AR502" s="3061"/>
      <c r="AS502" s="3061"/>
      <c r="AT502" s="3061"/>
      <c r="AU502" s="3061"/>
      <c r="AV502" s="3061"/>
      <c r="AW502" s="3061"/>
      <c r="AX502" s="3061"/>
      <c r="AY502" s="3061"/>
      <c r="AZ502" s="3061"/>
      <c r="BA502" s="3061"/>
      <c r="BB502" s="3061"/>
      <c r="BC502" s="3061"/>
      <c r="BD502" s="3061"/>
      <c r="BE502" s="3061"/>
      <c r="BF502" s="3061"/>
      <c r="BG502" s="3061"/>
      <c r="BH502" s="3061"/>
      <c r="BI502" s="3061"/>
      <c r="BJ502" s="3061"/>
      <c r="BK502" s="3061"/>
      <c r="BL502" s="3061"/>
      <c r="BM502" s="3061"/>
      <c r="BN502" s="3061"/>
      <c r="BO502" s="3061"/>
      <c r="BP502" s="3061"/>
      <c r="BQ502" s="3061"/>
      <c r="BR502" s="3061"/>
      <c r="BS502" s="3061"/>
      <c r="BT502" s="3061"/>
      <c r="BU502" s="3061"/>
      <c r="BV502" s="3061"/>
      <c r="BW502" s="3061"/>
      <c r="BX502" s="3061"/>
      <c r="BY502" s="3061"/>
      <c r="BZ502" s="3061"/>
      <c r="CA502" s="3061"/>
      <c r="CB502" s="3061"/>
      <c r="CC502" s="3061"/>
      <c r="CD502" s="3061"/>
      <c r="CE502" s="3061"/>
      <c r="CF502" s="3061"/>
      <c r="CG502" s="3061"/>
      <c r="CH502" s="3061"/>
      <c r="CI502" s="3061"/>
      <c r="CJ502" s="3061"/>
      <c r="CK502" s="3061"/>
      <c r="CL502" s="3061"/>
      <c r="CM502" s="3061"/>
      <c r="CN502" s="3061"/>
      <c r="CO502" s="3061"/>
      <c r="CP502" s="3061"/>
      <c r="CQ502" s="3061"/>
      <c r="CR502" s="3061"/>
      <c r="CS502" s="3062"/>
      <c r="CT502" s="3063"/>
      <c r="CU502" s="3064">
        <f t="shared" si="134"/>
        <v>1</v>
      </c>
      <c r="CV502" s="3022" t="str">
        <f>IF(OR(CT502="",CT502="None"),"-",DO502*CU502*SUMIF('Lighting Assumptions'!$G$3:$G$112,'6a - Lighting Counts'!G502,'Lighting Assumptions'!$J$3:$J$112))</f>
        <v>-</v>
      </c>
      <c r="CW502" s="3021"/>
      <c r="CX502" s="3021"/>
      <c r="CY502" s="3046"/>
      <c r="CZ502" s="2098">
        <f t="shared" si="135"/>
        <v>0</v>
      </c>
      <c r="DA502" s="2098" t="str">
        <f t="shared" si="136"/>
        <v>-</v>
      </c>
      <c r="DB502" s="2098">
        <f t="shared" si="137"/>
        <v>0</v>
      </c>
      <c r="DC502" s="3023" t="str">
        <f t="shared" si="138"/>
        <v>-</v>
      </c>
      <c r="DD502" s="3024" t="str">
        <f t="shared" si="139"/>
        <v/>
      </c>
      <c r="DE502" s="3025" t="str">
        <f t="shared" si="140"/>
        <v>-</v>
      </c>
      <c r="DF502" s="3024" t="str">
        <f t="shared" si="131"/>
        <v>-</v>
      </c>
      <c r="DG502" s="2098">
        <f t="shared" si="141"/>
        <v>0</v>
      </c>
      <c r="DH502" s="2098">
        <f t="array" ref="DH502">MIN(SUMPRODUCT(I502:CR502,IF($I$25:$CR$25="yes",1,0),$I$23:$CR$23),H502)</f>
        <v>0</v>
      </c>
      <c r="DI502" s="3026"/>
      <c r="DJ502" s="3021"/>
      <c r="DN502" s="917" t="str">
        <f>IF(CS502="","-",SUMIF('Lighting Assumptions'!$G$3:$G$112,'6a - Lighting Counts'!G502,'Lighting Assumptions'!$J$3:$J$112))</f>
        <v>-</v>
      </c>
      <c r="DO502" s="917" t="str">
        <f t="shared" si="132"/>
        <v>-</v>
      </c>
      <c r="DP502" s="917" t="str">
        <f t="shared" si="133"/>
        <v>-</v>
      </c>
      <c r="DQ502" s="917" t="str">
        <f>IF(LEFT(CELLformula(DF502),3)&lt;&gt;"=IF",1,"")</f>
        <v/>
      </c>
      <c r="DR502" s="917" t="str">
        <f>IF(LEFT(CELLformula(DD502),3)&lt;&gt;"=IF",1,"")</f>
        <v/>
      </c>
      <c r="DS502" s="3048">
        <f t="shared" si="142"/>
        <v>0</v>
      </c>
      <c r="DT502" s="3047" t="str">
        <f t="shared" si="143"/>
        <v/>
      </c>
      <c r="DU502" s="3047" t="str">
        <f>IFERROR(IF(G502="","",SUMIF('Lighting Assumptions'!$G$3:$G$112,'6a - Lighting Counts'!G502,'Lighting Assumptions'!$H$3:$H$112)*IF(SI_IP_Units="SI",10.76,1)),"")</f>
        <v/>
      </c>
      <c r="DV502" s="3047" t="str">
        <f>IFERROR(IF($CX502="","",IF(SI_IP_Units="SI",10.76,1)*SUMIF(BAMCategories,$CY502,'Lighting Assumptions'!$E$3:E$35)),"")</f>
        <v/>
      </c>
      <c r="DW502" s="3047" t="str">
        <f>IFERROR(IF($CX502="","",IF(SI_IP_Units="SI",10.76,1)*SUMIF(BAMCategories,$CY502,IF(bpf_reference="ACP",'Lighting Assumptions 90.1-2010'!$E$3:E$35,'Lighting Assumptions 90.1-2016'!$E$3:E$35))),"")</f>
        <v/>
      </c>
      <c r="EW502" s="855"/>
      <c r="EX502" s="855"/>
      <c r="EY502" s="855"/>
      <c r="EZ502" s="855"/>
    </row>
    <row r="503" spans="4:156" x14ac:dyDescent="0.25">
      <c r="D503" s="3029"/>
      <c r="E503" s="3028"/>
      <c r="F503" s="3021">
        <f t="shared" si="130"/>
        <v>0</v>
      </c>
      <c r="G503" s="3059"/>
      <c r="H503" s="3060"/>
      <c r="I503" s="3061"/>
      <c r="J503" s="3061"/>
      <c r="K503" s="3061"/>
      <c r="L503" s="3061"/>
      <c r="M503" s="3061"/>
      <c r="N503" s="3061"/>
      <c r="O503" s="3061"/>
      <c r="P503" s="3061"/>
      <c r="Q503" s="3061"/>
      <c r="R503" s="3061"/>
      <c r="S503" s="3061"/>
      <c r="T503" s="3061"/>
      <c r="U503" s="3061"/>
      <c r="V503" s="3061"/>
      <c r="W503" s="3061"/>
      <c r="X503" s="3061"/>
      <c r="Y503" s="3061"/>
      <c r="Z503" s="3061"/>
      <c r="AA503" s="3061"/>
      <c r="AB503" s="3061"/>
      <c r="AC503" s="3061"/>
      <c r="AD503" s="3061"/>
      <c r="AE503" s="3061"/>
      <c r="AF503" s="3061"/>
      <c r="AG503" s="3061"/>
      <c r="AH503" s="3061"/>
      <c r="AI503" s="3061"/>
      <c r="AJ503" s="3061"/>
      <c r="AK503" s="3061"/>
      <c r="AL503" s="3061"/>
      <c r="AM503" s="3061"/>
      <c r="AN503" s="3061"/>
      <c r="AO503" s="3061"/>
      <c r="AP503" s="3061"/>
      <c r="AQ503" s="3061"/>
      <c r="AR503" s="3061"/>
      <c r="AS503" s="3061"/>
      <c r="AT503" s="3061"/>
      <c r="AU503" s="3061"/>
      <c r="AV503" s="3061"/>
      <c r="AW503" s="3061"/>
      <c r="AX503" s="3061"/>
      <c r="AY503" s="3061"/>
      <c r="AZ503" s="3061"/>
      <c r="BA503" s="3061"/>
      <c r="BB503" s="3061"/>
      <c r="BC503" s="3061"/>
      <c r="BD503" s="3061"/>
      <c r="BE503" s="3061"/>
      <c r="BF503" s="3061"/>
      <c r="BG503" s="3061"/>
      <c r="BH503" s="3061"/>
      <c r="BI503" s="3061"/>
      <c r="BJ503" s="3061"/>
      <c r="BK503" s="3061"/>
      <c r="BL503" s="3061"/>
      <c r="BM503" s="3061"/>
      <c r="BN503" s="3061"/>
      <c r="BO503" s="3061"/>
      <c r="BP503" s="3061"/>
      <c r="BQ503" s="3061"/>
      <c r="BR503" s="3061"/>
      <c r="BS503" s="3061"/>
      <c r="BT503" s="3061"/>
      <c r="BU503" s="3061"/>
      <c r="BV503" s="3061"/>
      <c r="BW503" s="3061"/>
      <c r="BX503" s="3061"/>
      <c r="BY503" s="3061"/>
      <c r="BZ503" s="3061"/>
      <c r="CA503" s="3061"/>
      <c r="CB503" s="3061"/>
      <c r="CC503" s="3061"/>
      <c r="CD503" s="3061"/>
      <c r="CE503" s="3061"/>
      <c r="CF503" s="3061"/>
      <c r="CG503" s="3061"/>
      <c r="CH503" s="3061"/>
      <c r="CI503" s="3061"/>
      <c r="CJ503" s="3061"/>
      <c r="CK503" s="3061"/>
      <c r="CL503" s="3061"/>
      <c r="CM503" s="3061"/>
      <c r="CN503" s="3061"/>
      <c r="CO503" s="3061"/>
      <c r="CP503" s="3061"/>
      <c r="CQ503" s="3061"/>
      <c r="CR503" s="3061"/>
      <c r="CS503" s="3062"/>
      <c r="CT503" s="3063"/>
      <c r="CU503" s="3064">
        <f t="shared" si="134"/>
        <v>1</v>
      </c>
      <c r="CV503" s="3022" t="str">
        <f>IF(OR(CT503="",CT503="None"),"-",DO503*CU503*SUMIF('Lighting Assumptions'!$G$3:$G$112,'6a - Lighting Counts'!G503,'Lighting Assumptions'!$J$3:$J$112))</f>
        <v>-</v>
      </c>
      <c r="CW503" s="3021"/>
      <c r="CX503" s="3021"/>
      <c r="CY503" s="3046"/>
      <c r="CZ503" s="2098">
        <f t="shared" si="135"/>
        <v>0</v>
      </c>
      <c r="DA503" s="2098" t="str">
        <f t="shared" si="136"/>
        <v>-</v>
      </c>
      <c r="DB503" s="2098">
        <f t="shared" si="137"/>
        <v>0</v>
      </c>
      <c r="DC503" s="3023" t="str">
        <f t="shared" si="138"/>
        <v>-</v>
      </c>
      <c r="DD503" s="3024" t="str">
        <f t="shared" si="139"/>
        <v/>
      </c>
      <c r="DE503" s="3025" t="str">
        <f t="shared" si="140"/>
        <v>-</v>
      </c>
      <c r="DF503" s="3024" t="str">
        <f t="shared" si="131"/>
        <v>-</v>
      </c>
      <c r="DG503" s="2098">
        <f t="shared" si="141"/>
        <v>0</v>
      </c>
      <c r="DH503" s="2098">
        <f t="array" ref="DH503">MIN(SUMPRODUCT(I503:CR503,IF($I$25:$CR$25="yes",1,0),$I$23:$CR$23),H503)</f>
        <v>0</v>
      </c>
      <c r="DI503" s="3026"/>
      <c r="DJ503" s="3021"/>
      <c r="DN503" s="917" t="str">
        <f>IF(CS503="","-",SUMIF('Lighting Assumptions'!$G$3:$G$112,'6a - Lighting Counts'!G503,'Lighting Assumptions'!$J$3:$J$112))</f>
        <v>-</v>
      </c>
      <c r="DO503" s="917" t="str">
        <f t="shared" si="132"/>
        <v>-</v>
      </c>
      <c r="DP503" s="917" t="str">
        <f t="shared" si="133"/>
        <v>-</v>
      </c>
      <c r="DQ503" s="917" t="str">
        <f>IF(LEFT(CELLformula(DF503),3)&lt;&gt;"=IF",1,"")</f>
        <v/>
      </c>
      <c r="DR503" s="917" t="str">
        <f>IF(LEFT(CELLformula(DD503),3)&lt;&gt;"=IF",1,"")</f>
        <v/>
      </c>
      <c r="DS503" s="3048">
        <f t="shared" si="142"/>
        <v>0</v>
      </c>
      <c r="DT503" s="3047" t="str">
        <f t="shared" si="143"/>
        <v/>
      </c>
      <c r="DU503" s="3047" t="str">
        <f>IFERROR(IF(G503="","",SUMIF('Lighting Assumptions'!$G$3:$G$112,'6a - Lighting Counts'!G503,'Lighting Assumptions'!$H$3:$H$112)*IF(SI_IP_Units="SI",10.76,1)),"")</f>
        <v/>
      </c>
      <c r="DV503" s="3047" t="str">
        <f>IFERROR(IF($CX503="","",IF(SI_IP_Units="SI",10.76,1)*SUMIF(BAMCategories,$CY503,'Lighting Assumptions'!$E$3:E$35)),"")</f>
        <v/>
      </c>
      <c r="DW503" s="3047" t="str">
        <f>IFERROR(IF($CX503="","",IF(SI_IP_Units="SI",10.76,1)*SUMIF(BAMCategories,$CY503,IF(bpf_reference="ACP",'Lighting Assumptions 90.1-2010'!$E$3:E$35,'Lighting Assumptions 90.1-2016'!$E$3:E$35))),"")</f>
        <v/>
      </c>
      <c r="EW503" s="855"/>
      <c r="EX503" s="855"/>
      <c r="EY503" s="855"/>
      <c r="EZ503" s="855"/>
    </row>
    <row r="504" spans="4:156" x14ac:dyDescent="0.25">
      <c r="D504" s="3029"/>
      <c r="E504" s="3028"/>
      <c r="F504" s="3021">
        <f t="shared" si="130"/>
        <v>0</v>
      </c>
      <c r="G504" s="3059"/>
      <c r="H504" s="3060"/>
      <c r="I504" s="3061"/>
      <c r="J504" s="3061"/>
      <c r="K504" s="3061"/>
      <c r="L504" s="3061"/>
      <c r="M504" s="3061"/>
      <c r="N504" s="3061"/>
      <c r="O504" s="3061"/>
      <c r="P504" s="3061"/>
      <c r="Q504" s="3061"/>
      <c r="R504" s="3061"/>
      <c r="S504" s="3061"/>
      <c r="T504" s="3061"/>
      <c r="U504" s="3061"/>
      <c r="V504" s="3061"/>
      <c r="W504" s="3061"/>
      <c r="X504" s="3061"/>
      <c r="Y504" s="3061"/>
      <c r="Z504" s="3061"/>
      <c r="AA504" s="3061"/>
      <c r="AB504" s="3061"/>
      <c r="AC504" s="3061"/>
      <c r="AD504" s="3061"/>
      <c r="AE504" s="3061"/>
      <c r="AF504" s="3061"/>
      <c r="AG504" s="3061"/>
      <c r="AH504" s="3061"/>
      <c r="AI504" s="3061"/>
      <c r="AJ504" s="3061"/>
      <c r="AK504" s="3061"/>
      <c r="AL504" s="3061"/>
      <c r="AM504" s="3061"/>
      <c r="AN504" s="3061"/>
      <c r="AO504" s="3061"/>
      <c r="AP504" s="3061"/>
      <c r="AQ504" s="3061"/>
      <c r="AR504" s="3061"/>
      <c r="AS504" s="3061"/>
      <c r="AT504" s="3061"/>
      <c r="AU504" s="3061"/>
      <c r="AV504" s="3061"/>
      <c r="AW504" s="3061"/>
      <c r="AX504" s="3061"/>
      <c r="AY504" s="3061"/>
      <c r="AZ504" s="3061"/>
      <c r="BA504" s="3061"/>
      <c r="BB504" s="3061"/>
      <c r="BC504" s="3061"/>
      <c r="BD504" s="3061"/>
      <c r="BE504" s="3061"/>
      <c r="BF504" s="3061"/>
      <c r="BG504" s="3061"/>
      <c r="BH504" s="3061"/>
      <c r="BI504" s="3061"/>
      <c r="BJ504" s="3061"/>
      <c r="BK504" s="3061"/>
      <c r="BL504" s="3061"/>
      <c r="BM504" s="3061"/>
      <c r="BN504" s="3061"/>
      <c r="BO504" s="3061"/>
      <c r="BP504" s="3061"/>
      <c r="BQ504" s="3061"/>
      <c r="BR504" s="3061"/>
      <c r="BS504" s="3061"/>
      <c r="BT504" s="3061"/>
      <c r="BU504" s="3061"/>
      <c r="BV504" s="3061"/>
      <c r="BW504" s="3061"/>
      <c r="BX504" s="3061"/>
      <c r="BY504" s="3061"/>
      <c r="BZ504" s="3061"/>
      <c r="CA504" s="3061"/>
      <c r="CB504" s="3061"/>
      <c r="CC504" s="3061"/>
      <c r="CD504" s="3061"/>
      <c r="CE504" s="3061"/>
      <c r="CF504" s="3061"/>
      <c r="CG504" s="3061"/>
      <c r="CH504" s="3061"/>
      <c r="CI504" s="3061"/>
      <c r="CJ504" s="3061"/>
      <c r="CK504" s="3061"/>
      <c r="CL504" s="3061"/>
      <c r="CM504" s="3061"/>
      <c r="CN504" s="3061"/>
      <c r="CO504" s="3061"/>
      <c r="CP504" s="3061"/>
      <c r="CQ504" s="3061"/>
      <c r="CR504" s="3061"/>
      <c r="CS504" s="3062"/>
      <c r="CT504" s="3063"/>
      <c r="CU504" s="3064">
        <f t="shared" si="134"/>
        <v>1</v>
      </c>
      <c r="CV504" s="3022" t="str">
        <f>IF(OR(CT504="",CT504="None"),"-",DO504*CU504*SUMIF('Lighting Assumptions'!$G$3:$G$112,'6a - Lighting Counts'!G504,'Lighting Assumptions'!$J$3:$J$112))</f>
        <v>-</v>
      </c>
      <c r="CW504" s="3021"/>
      <c r="CX504" s="3021"/>
      <c r="CY504" s="3046"/>
      <c r="CZ504" s="2098">
        <f t="shared" si="135"/>
        <v>0</v>
      </c>
      <c r="DA504" s="2098" t="str">
        <f t="shared" si="136"/>
        <v>-</v>
      </c>
      <c r="DB504" s="2098">
        <f t="shared" si="137"/>
        <v>0</v>
      </c>
      <c r="DC504" s="3023" t="str">
        <f t="shared" si="138"/>
        <v>-</v>
      </c>
      <c r="DD504" s="3024" t="str">
        <f t="shared" si="139"/>
        <v/>
      </c>
      <c r="DE504" s="3025" t="str">
        <f t="shared" si="140"/>
        <v>-</v>
      </c>
      <c r="DF504" s="3024" t="str">
        <f t="shared" si="131"/>
        <v>-</v>
      </c>
      <c r="DG504" s="2098">
        <f t="shared" si="141"/>
        <v>0</v>
      </c>
      <c r="DH504" s="2098">
        <f t="array" ref="DH504">MIN(SUMPRODUCT(I504:CR504,IF($I$25:$CR$25="yes",1,0),$I$23:$CR$23),H504)</f>
        <v>0</v>
      </c>
      <c r="DI504" s="3026"/>
      <c r="DJ504" s="3021"/>
      <c r="DN504" s="917" t="str">
        <f>IF(CS504="","-",SUMIF('Lighting Assumptions'!$G$3:$G$112,'6a - Lighting Counts'!G504,'Lighting Assumptions'!$J$3:$J$112))</f>
        <v>-</v>
      </c>
      <c r="DO504" s="917" t="str">
        <f t="shared" si="132"/>
        <v>-</v>
      </c>
      <c r="DP504" s="917" t="str">
        <f t="shared" si="133"/>
        <v>-</v>
      </c>
      <c r="DQ504" s="917" t="str">
        <f>IF(LEFT(CELLformula(DF504),3)&lt;&gt;"=IF",1,"")</f>
        <v/>
      </c>
      <c r="DR504" s="917" t="str">
        <f>IF(LEFT(CELLformula(DD504),3)&lt;&gt;"=IF",1,"")</f>
        <v/>
      </c>
      <c r="DS504" s="3048">
        <f t="shared" si="142"/>
        <v>0</v>
      </c>
      <c r="DT504" s="3047" t="str">
        <f t="shared" si="143"/>
        <v/>
      </c>
      <c r="DU504" s="3047" t="str">
        <f>IFERROR(IF(G504="","",SUMIF('Lighting Assumptions'!$G$3:$G$112,'6a - Lighting Counts'!G504,'Lighting Assumptions'!$H$3:$H$112)*IF(SI_IP_Units="SI",10.76,1)),"")</f>
        <v/>
      </c>
      <c r="DV504" s="3047" t="str">
        <f>IFERROR(IF($CX504="","",IF(SI_IP_Units="SI",10.76,1)*SUMIF(BAMCategories,$CY504,'Lighting Assumptions'!$E$3:E$35)),"")</f>
        <v/>
      </c>
      <c r="DW504" s="3047" t="str">
        <f>IFERROR(IF($CX504="","",IF(SI_IP_Units="SI",10.76,1)*SUMIF(BAMCategories,$CY504,IF(bpf_reference="ACP",'Lighting Assumptions 90.1-2010'!$E$3:E$35,'Lighting Assumptions 90.1-2016'!$E$3:E$35))),"")</f>
        <v/>
      </c>
      <c r="EW504" s="855"/>
      <c r="EX504" s="855"/>
      <c r="EY504" s="855"/>
      <c r="EZ504" s="855"/>
    </row>
    <row r="505" spans="4:156" x14ac:dyDescent="0.25">
      <c r="D505" s="3029"/>
      <c r="E505" s="3028"/>
      <c r="F505" s="3021">
        <f t="shared" si="130"/>
        <v>0</v>
      </c>
      <c r="G505" s="3059"/>
      <c r="H505" s="3060"/>
      <c r="I505" s="3061"/>
      <c r="J505" s="3061"/>
      <c r="K505" s="3061"/>
      <c r="L505" s="3061"/>
      <c r="M505" s="3061"/>
      <c r="N505" s="3061"/>
      <c r="O505" s="3061"/>
      <c r="P505" s="3061"/>
      <c r="Q505" s="3061"/>
      <c r="R505" s="3061"/>
      <c r="S505" s="3061"/>
      <c r="T505" s="3061"/>
      <c r="U505" s="3061"/>
      <c r="V505" s="3061"/>
      <c r="W505" s="3061"/>
      <c r="X505" s="3061"/>
      <c r="Y505" s="3061"/>
      <c r="Z505" s="3061"/>
      <c r="AA505" s="3061"/>
      <c r="AB505" s="3061"/>
      <c r="AC505" s="3061"/>
      <c r="AD505" s="3061"/>
      <c r="AE505" s="3061"/>
      <c r="AF505" s="3061"/>
      <c r="AG505" s="3061"/>
      <c r="AH505" s="3061"/>
      <c r="AI505" s="3061"/>
      <c r="AJ505" s="3061"/>
      <c r="AK505" s="3061"/>
      <c r="AL505" s="3061"/>
      <c r="AM505" s="3061"/>
      <c r="AN505" s="3061"/>
      <c r="AO505" s="3061"/>
      <c r="AP505" s="3061"/>
      <c r="AQ505" s="3061"/>
      <c r="AR505" s="3061"/>
      <c r="AS505" s="3061"/>
      <c r="AT505" s="3061"/>
      <c r="AU505" s="3061"/>
      <c r="AV505" s="3061"/>
      <c r="AW505" s="3061"/>
      <c r="AX505" s="3061"/>
      <c r="AY505" s="3061"/>
      <c r="AZ505" s="3061"/>
      <c r="BA505" s="3061"/>
      <c r="BB505" s="3061"/>
      <c r="BC505" s="3061"/>
      <c r="BD505" s="3061"/>
      <c r="BE505" s="3061"/>
      <c r="BF505" s="3061"/>
      <c r="BG505" s="3061"/>
      <c r="BH505" s="3061"/>
      <c r="BI505" s="3061"/>
      <c r="BJ505" s="3061"/>
      <c r="BK505" s="3061"/>
      <c r="BL505" s="3061"/>
      <c r="BM505" s="3061"/>
      <c r="BN505" s="3061"/>
      <c r="BO505" s="3061"/>
      <c r="BP505" s="3061"/>
      <c r="BQ505" s="3061"/>
      <c r="BR505" s="3061"/>
      <c r="BS505" s="3061"/>
      <c r="BT505" s="3061"/>
      <c r="BU505" s="3061"/>
      <c r="BV505" s="3061"/>
      <c r="BW505" s="3061"/>
      <c r="BX505" s="3061"/>
      <c r="BY505" s="3061"/>
      <c r="BZ505" s="3061"/>
      <c r="CA505" s="3061"/>
      <c r="CB505" s="3061"/>
      <c r="CC505" s="3061"/>
      <c r="CD505" s="3061"/>
      <c r="CE505" s="3061"/>
      <c r="CF505" s="3061"/>
      <c r="CG505" s="3061"/>
      <c r="CH505" s="3061"/>
      <c r="CI505" s="3061"/>
      <c r="CJ505" s="3061"/>
      <c r="CK505" s="3061"/>
      <c r="CL505" s="3061"/>
      <c r="CM505" s="3061"/>
      <c r="CN505" s="3061"/>
      <c r="CO505" s="3061"/>
      <c r="CP505" s="3061"/>
      <c r="CQ505" s="3061"/>
      <c r="CR505" s="3061"/>
      <c r="CS505" s="3062"/>
      <c r="CT505" s="3063"/>
      <c r="CU505" s="3064">
        <f t="shared" si="134"/>
        <v>1</v>
      </c>
      <c r="CV505" s="3022" t="str">
        <f>IF(OR(CT505="",CT505="None"),"-",DO505*CU505*SUMIF('Lighting Assumptions'!$G$3:$G$112,'6a - Lighting Counts'!G505,'Lighting Assumptions'!$J$3:$J$112))</f>
        <v>-</v>
      </c>
      <c r="CW505" s="3021"/>
      <c r="CX505" s="3021"/>
      <c r="CY505" s="3046"/>
      <c r="CZ505" s="2098">
        <f t="shared" si="135"/>
        <v>0</v>
      </c>
      <c r="DA505" s="2098" t="str">
        <f t="shared" si="136"/>
        <v>-</v>
      </c>
      <c r="DB505" s="2098">
        <f t="shared" si="137"/>
        <v>0</v>
      </c>
      <c r="DC505" s="3023" t="str">
        <f t="shared" si="138"/>
        <v>-</v>
      </c>
      <c r="DD505" s="3024" t="str">
        <f t="shared" si="139"/>
        <v/>
      </c>
      <c r="DE505" s="3025" t="str">
        <f t="shared" si="140"/>
        <v>-</v>
      </c>
      <c r="DF505" s="3024" t="str">
        <f t="shared" si="131"/>
        <v>-</v>
      </c>
      <c r="DG505" s="2098">
        <f t="shared" si="141"/>
        <v>0</v>
      </c>
      <c r="DH505" s="2098">
        <f t="array" ref="DH505">MIN(SUMPRODUCT(I505:CR505,IF($I$25:$CR$25="yes",1,0),$I$23:$CR$23),H505)</f>
        <v>0</v>
      </c>
      <c r="DI505" s="3026"/>
      <c r="DJ505" s="3021"/>
      <c r="DN505" s="917" t="str">
        <f>IF(CS505="","-",SUMIF('Lighting Assumptions'!$G$3:$G$112,'6a - Lighting Counts'!G505,'Lighting Assumptions'!$J$3:$J$112))</f>
        <v>-</v>
      </c>
      <c r="DO505" s="917" t="str">
        <f t="shared" si="132"/>
        <v>-</v>
      </c>
      <c r="DP505" s="917" t="str">
        <f t="shared" si="133"/>
        <v>-</v>
      </c>
      <c r="DQ505" s="917" t="str">
        <f>IF(LEFT(CELLformula(DF505),3)&lt;&gt;"=IF",1,"")</f>
        <v/>
      </c>
      <c r="DR505" s="917" t="str">
        <f>IF(LEFT(CELLformula(DD505),3)&lt;&gt;"=IF",1,"")</f>
        <v/>
      </c>
      <c r="DS505" s="3048">
        <f t="shared" si="142"/>
        <v>0</v>
      </c>
      <c r="DT505" s="3047" t="str">
        <f t="shared" si="143"/>
        <v/>
      </c>
      <c r="DU505" s="3047" t="str">
        <f>IFERROR(IF(G505="","",SUMIF('Lighting Assumptions'!$G$3:$G$112,'6a - Lighting Counts'!G505,'Lighting Assumptions'!$H$3:$H$112)*IF(SI_IP_Units="SI",10.76,1)),"")</f>
        <v/>
      </c>
      <c r="DV505" s="3047" t="str">
        <f>IFERROR(IF($CX505="","",IF(SI_IP_Units="SI",10.76,1)*SUMIF(BAMCategories,$CY505,'Lighting Assumptions'!$E$3:E$35)),"")</f>
        <v/>
      </c>
      <c r="DW505" s="3047" t="str">
        <f>IFERROR(IF($CX505="","",IF(SI_IP_Units="SI",10.76,1)*SUMIF(BAMCategories,$CY505,IF(bpf_reference="ACP",'Lighting Assumptions 90.1-2010'!$E$3:E$35,'Lighting Assumptions 90.1-2016'!$E$3:E$35))),"")</f>
        <v/>
      </c>
      <c r="EW505" s="855"/>
      <c r="EX505" s="855"/>
      <c r="EY505" s="855"/>
      <c r="EZ505" s="855"/>
    </row>
    <row r="506" spans="4:156" x14ac:dyDescent="0.25">
      <c r="D506" s="3029"/>
      <c r="E506" s="3028"/>
      <c r="F506" s="3021">
        <f t="shared" si="130"/>
        <v>0</v>
      </c>
      <c r="G506" s="3059"/>
      <c r="H506" s="3060"/>
      <c r="I506" s="3061"/>
      <c r="J506" s="3061"/>
      <c r="K506" s="3061"/>
      <c r="L506" s="3061"/>
      <c r="M506" s="3061"/>
      <c r="N506" s="3061"/>
      <c r="O506" s="3061"/>
      <c r="P506" s="3061"/>
      <c r="Q506" s="3061"/>
      <c r="R506" s="3061"/>
      <c r="S506" s="3061"/>
      <c r="T506" s="3061"/>
      <c r="U506" s="3061"/>
      <c r="V506" s="3061"/>
      <c r="W506" s="3061"/>
      <c r="X506" s="3061"/>
      <c r="Y506" s="3061"/>
      <c r="Z506" s="3061"/>
      <c r="AA506" s="3061"/>
      <c r="AB506" s="3061"/>
      <c r="AC506" s="3061"/>
      <c r="AD506" s="3061"/>
      <c r="AE506" s="3061"/>
      <c r="AF506" s="3061"/>
      <c r="AG506" s="3061"/>
      <c r="AH506" s="3061"/>
      <c r="AI506" s="3061"/>
      <c r="AJ506" s="3061"/>
      <c r="AK506" s="3061"/>
      <c r="AL506" s="3061"/>
      <c r="AM506" s="3061"/>
      <c r="AN506" s="3061"/>
      <c r="AO506" s="3061"/>
      <c r="AP506" s="3061"/>
      <c r="AQ506" s="3061"/>
      <c r="AR506" s="3061"/>
      <c r="AS506" s="3061"/>
      <c r="AT506" s="3061"/>
      <c r="AU506" s="3061"/>
      <c r="AV506" s="3061"/>
      <c r="AW506" s="3061"/>
      <c r="AX506" s="3061"/>
      <c r="AY506" s="3061"/>
      <c r="AZ506" s="3061"/>
      <c r="BA506" s="3061"/>
      <c r="BB506" s="3061"/>
      <c r="BC506" s="3061"/>
      <c r="BD506" s="3061"/>
      <c r="BE506" s="3061"/>
      <c r="BF506" s="3061"/>
      <c r="BG506" s="3061"/>
      <c r="BH506" s="3061"/>
      <c r="BI506" s="3061"/>
      <c r="BJ506" s="3061"/>
      <c r="BK506" s="3061"/>
      <c r="BL506" s="3061"/>
      <c r="BM506" s="3061"/>
      <c r="BN506" s="3061"/>
      <c r="BO506" s="3061"/>
      <c r="BP506" s="3061"/>
      <c r="BQ506" s="3061"/>
      <c r="BR506" s="3061"/>
      <c r="BS506" s="3061"/>
      <c r="BT506" s="3061"/>
      <c r="BU506" s="3061"/>
      <c r="BV506" s="3061"/>
      <c r="BW506" s="3061"/>
      <c r="BX506" s="3061"/>
      <c r="BY506" s="3061"/>
      <c r="BZ506" s="3061"/>
      <c r="CA506" s="3061"/>
      <c r="CB506" s="3061"/>
      <c r="CC506" s="3061"/>
      <c r="CD506" s="3061"/>
      <c r="CE506" s="3061"/>
      <c r="CF506" s="3061"/>
      <c r="CG506" s="3061"/>
      <c r="CH506" s="3061"/>
      <c r="CI506" s="3061"/>
      <c r="CJ506" s="3061"/>
      <c r="CK506" s="3061"/>
      <c r="CL506" s="3061"/>
      <c r="CM506" s="3061"/>
      <c r="CN506" s="3061"/>
      <c r="CO506" s="3061"/>
      <c r="CP506" s="3061"/>
      <c r="CQ506" s="3061"/>
      <c r="CR506" s="3061"/>
      <c r="CS506" s="3062"/>
      <c r="CT506" s="3063"/>
      <c r="CU506" s="3064">
        <f t="shared" si="134"/>
        <v>1</v>
      </c>
      <c r="CV506" s="3022" t="str">
        <f>IF(OR(CT506="",CT506="None"),"-",DO506*CU506*SUMIF('Lighting Assumptions'!$G$3:$G$112,'6a - Lighting Counts'!G506,'Lighting Assumptions'!$J$3:$J$112))</f>
        <v>-</v>
      </c>
      <c r="CW506" s="3021"/>
      <c r="CX506" s="3021"/>
      <c r="CY506" s="3046"/>
      <c r="CZ506" s="2098">
        <f t="shared" si="135"/>
        <v>0</v>
      </c>
      <c r="DA506" s="2098" t="str">
        <f t="shared" si="136"/>
        <v>-</v>
      </c>
      <c r="DB506" s="2098">
        <f t="shared" si="137"/>
        <v>0</v>
      </c>
      <c r="DC506" s="3023" t="str">
        <f t="shared" si="138"/>
        <v>-</v>
      </c>
      <c r="DD506" s="3024" t="str">
        <f t="shared" si="139"/>
        <v/>
      </c>
      <c r="DE506" s="3025" t="str">
        <f t="shared" si="140"/>
        <v>-</v>
      </c>
      <c r="DF506" s="3024" t="str">
        <f t="shared" si="131"/>
        <v>-</v>
      </c>
      <c r="DG506" s="2098">
        <f t="shared" si="141"/>
        <v>0</v>
      </c>
      <c r="DH506" s="2098">
        <f t="array" ref="DH506">MIN(SUMPRODUCT(I506:CR506,IF($I$25:$CR$25="yes",1,0),$I$23:$CR$23),H506)</f>
        <v>0</v>
      </c>
      <c r="DI506" s="3026"/>
      <c r="DJ506" s="3021"/>
      <c r="DN506" s="917" t="str">
        <f>IF(CS506="","-",SUMIF('Lighting Assumptions'!$G$3:$G$112,'6a - Lighting Counts'!G506,'Lighting Assumptions'!$J$3:$J$112))</f>
        <v>-</v>
      </c>
      <c r="DO506" s="917" t="str">
        <f t="shared" si="132"/>
        <v>-</v>
      </c>
      <c r="DP506" s="917" t="str">
        <f t="shared" si="133"/>
        <v>-</v>
      </c>
      <c r="DQ506" s="917" t="str">
        <f>IF(LEFT(CELLformula(DF506),3)&lt;&gt;"=IF",1,"")</f>
        <v/>
      </c>
      <c r="DR506" s="917" t="str">
        <f>IF(LEFT(CELLformula(DD506),3)&lt;&gt;"=IF",1,"")</f>
        <v/>
      </c>
      <c r="DS506" s="3048">
        <f t="shared" si="142"/>
        <v>0</v>
      </c>
      <c r="DT506" s="3047" t="str">
        <f t="shared" si="143"/>
        <v/>
      </c>
      <c r="DU506" s="3047" t="str">
        <f>IFERROR(IF(G506="","",SUMIF('Lighting Assumptions'!$G$3:$G$112,'6a - Lighting Counts'!G506,'Lighting Assumptions'!$H$3:$H$112)*IF(SI_IP_Units="SI",10.76,1)),"")</f>
        <v/>
      </c>
      <c r="DV506" s="3047" t="str">
        <f>IFERROR(IF($CX506="","",IF(SI_IP_Units="SI",10.76,1)*SUMIF(BAMCategories,$CY506,'Lighting Assumptions'!$E$3:E$35)),"")</f>
        <v/>
      </c>
      <c r="DW506" s="3047" t="str">
        <f>IFERROR(IF($CX506="","",IF(SI_IP_Units="SI",10.76,1)*SUMIF(BAMCategories,$CY506,IF(bpf_reference="ACP",'Lighting Assumptions 90.1-2010'!$E$3:E$35,'Lighting Assumptions 90.1-2016'!$E$3:E$35))),"")</f>
        <v/>
      </c>
      <c r="EW506" s="855"/>
      <c r="EX506" s="855"/>
      <c r="EY506" s="855"/>
      <c r="EZ506" s="855"/>
    </row>
    <row r="507" spans="4:156" x14ac:dyDescent="0.25">
      <c r="D507" s="3029"/>
      <c r="E507" s="3028"/>
      <c r="F507" s="3021">
        <f t="shared" si="130"/>
        <v>0</v>
      </c>
      <c r="G507" s="3059"/>
      <c r="H507" s="3060"/>
      <c r="I507" s="3061"/>
      <c r="J507" s="3061"/>
      <c r="K507" s="3061"/>
      <c r="L507" s="3061"/>
      <c r="M507" s="3061"/>
      <c r="N507" s="3061"/>
      <c r="O507" s="3061"/>
      <c r="P507" s="3061"/>
      <c r="Q507" s="3061"/>
      <c r="R507" s="3061"/>
      <c r="S507" s="3061"/>
      <c r="T507" s="3061"/>
      <c r="U507" s="3061"/>
      <c r="V507" s="3061"/>
      <c r="W507" s="3061"/>
      <c r="X507" s="3061"/>
      <c r="Y507" s="3061"/>
      <c r="Z507" s="3061"/>
      <c r="AA507" s="3061"/>
      <c r="AB507" s="3061"/>
      <c r="AC507" s="3061"/>
      <c r="AD507" s="3061"/>
      <c r="AE507" s="3061"/>
      <c r="AF507" s="3061"/>
      <c r="AG507" s="3061"/>
      <c r="AH507" s="3061"/>
      <c r="AI507" s="3061"/>
      <c r="AJ507" s="3061"/>
      <c r="AK507" s="3061"/>
      <c r="AL507" s="3061"/>
      <c r="AM507" s="3061"/>
      <c r="AN507" s="3061"/>
      <c r="AO507" s="3061"/>
      <c r="AP507" s="3061"/>
      <c r="AQ507" s="3061"/>
      <c r="AR507" s="3061"/>
      <c r="AS507" s="3061"/>
      <c r="AT507" s="3061"/>
      <c r="AU507" s="3061"/>
      <c r="AV507" s="3061"/>
      <c r="AW507" s="3061"/>
      <c r="AX507" s="3061"/>
      <c r="AY507" s="3061"/>
      <c r="AZ507" s="3061"/>
      <c r="BA507" s="3061"/>
      <c r="BB507" s="3061"/>
      <c r="BC507" s="3061"/>
      <c r="BD507" s="3061"/>
      <c r="BE507" s="3061"/>
      <c r="BF507" s="3061"/>
      <c r="BG507" s="3061"/>
      <c r="BH507" s="3061"/>
      <c r="BI507" s="3061"/>
      <c r="BJ507" s="3061"/>
      <c r="BK507" s="3061"/>
      <c r="BL507" s="3061"/>
      <c r="BM507" s="3061"/>
      <c r="BN507" s="3061"/>
      <c r="BO507" s="3061"/>
      <c r="BP507" s="3061"/>
      <c r="BQ507" s="3061"/>
      <c r="BR507" s="3061"/>
      <c r="BS507" s="3061"/>
      <c r="BT507" s="3061"/>
      <c r="BU507" s="3061"/>
      <c r="BV507" s="3061"/>
      <c r="BW507" s="3061"/>
      <c r="BX507" s="3061"/>
      <c r="BY507" s="3061"/>
      <c r="BZ507" s="3061"/>
      <c r="CA507" s="3061"/>
      <c r="CB507" s="3061"/>
      <c r="CC507" s="3061"/>
      <c r="CD507" s="3061"/>
      <c r="CE507" s="3061"/>
      <c r="CF507" s="3061"/>
      <c r="CG507" s="3061"/>
      <c r="CH507" s="3061"/>
      <c r="CI507" s="3061"/>
      <c r="CJ507" s="3061"/>
      <c r="CK507" s="3061"/>
      <c r="CL507" s="3061"/>
      <c r="CM507" s="3061"/>
      <c r="CN507" s="3061"/>
      <c r="CO507" s="3061"/>
      <c r="CP507" s="3061"/>
      <c r="CQ507" s="3061"/>
      <c r="CR507" s="3061"/>
      <c r="CS507" s="3062"/>
      <c r="CT507" s="3063"/>
      <c r="CU507" s="3064">
        <f t="shared" si="134"/>
        <v>1</v>
      </c>
      <c r="CV507" s="3022" t="str">
        <f>IF(OR(CT507="",CT507="None"),"-",DO507*CU507*SUMIF('Lighting Assumptions'!$G$3:$G$112,'6a - Lighting Counts'!G507,'Lighting Assumptions'!$J$3:$J$112))</f>
        <v>-</v>
      </c>
      <c r="CW507" s="3021"/>
      <c r="CX507" s="3021"/>
      <c r="CY507" s="3046"/>
      <c r="CZ507" s="2098">
        <f t="shared" si="135"/>
        <v>0</v>
      </c>
      <c r="DA507" s="2098" t="str">
        <f t="shared" si="136"/>
        <v>-</v>
      </c>
      <c r="DB507" s="2098">
        <f t="shared" si="137"/>
        <v>0</v>
      </c>
      <c r="DC507" s="3023" t="str">
        <f t="shared" si="138"/>
        <v>-</v>
      </c>
      <c r="DD507" s="3024" t="str">
        <f t="shared" si="139"/>
        <v/>
      </c>
      <c r="DE507" s="3025" t="str">
        <f t="shared" si="140"/>
        <v>-</v>
      </c>
      <c r="DF507" s="3024" t="str">
        <f t="shared" si="131"/>
        <v>-</v>
      </c>
      <c r="DG507" s="2098">
        <f t="shared" si="141"/>
        <v>0</v>
      </c>
      <c r="DH507" s="2098">
        <f t="array" ref="DH507">MIN(SUMPRODUCT(I507:CR507,IF($I$25:$CR$25="yes",1,0),$I$23:$CR$23),H507)</f>
        <v>0</v>
      </c>
      <c r="DI507" s="3026"/>
      <c r="DJ507" s="3021"/>
      <c r="DN507" s="917" t="str">
        <f>IF(CS507="","-",SUMIF('Lighting Assumptions'!$G$3:$G$112,'6a - Lighting Counts'!G507,'Lighting Assumptions'!$J$3:$J$112))</f>
        <v>-</v>
      </c>
      <c r="DO507" s="917" t="str">
        <f t="shared" si="132"/>
        <v>-</v>
      </c>
      <c r="DP507" s="917" t="str">
        <f t="shared" si="133"/>
        <v>-</v>
      </c>
      <c r="DQ507" s="917" t="str">
        <f>IF(LEFT(CELLformula(DF507),3)&lt;&gt;"=IF",1,"")</f>
        <v/>
      </c>
      <c r="DR507" s="917" t="str">
        <f>IF(LEFT(CELLformula(DD507),3)&lt;&gt;"=IF",1,"")</f>
        <v/>
      </c>
      <c r="DS507" s="3048">
        <f t="shared" si="142"/>
        <v>0</v>
      </c>
      <c r="DT507" s="3047" t="str">
        <f t="shared" si="143"/>
        <v/>
      </c>
      <c r="DU507" s="3047" t="str">
        <f>IFERROR(IF(G507="","",SUMIF('Lighting Assumptions'!$G$3:$G$112,'6a - Lighting Counts'!G507,'Lighting Assumptions'!$H$3:$H$112)*IF(SI_IP_Units="SI",10.76,1)),"")</f>
        <v/>
      </c>
      <c r="DV507" s="3047" t="str">
        <f>IFERROR(IF($CX507="","",IF(SI_IP_Units="SI",10.76,1)*SUMIF(BAMCategories,$CY507,'Lighting Assumptions'!$E$3:E$35)),"")</f>
        <v/>
      </c>
      <c r="DW507" s="3047" t="str">
        <f>IFERROR(IF($CX507="","",IF(SI_IP_Units="SI",10.76,1)*SUMIF(BAMCategories,$CY507,IF(bpf_reference="ACP",'Lighting Assumptions 90.1-2010'!$E$3:E$35,'Lighting Assumptions 90.1-2016'!$E$3:E$35))),"")</f>
        <v/>
      </c>
      <c r="EW507" s="855"/>
      <c r="EX507" s="855"/>
      <c r="EY507" s="855"/>
      <c r="EZ507" s="855"/>
    </row>
    <row r="508" spans="4:156" x14ac:dyDescent="0.25">
      <c r="D508" s="3029"/>
      <c r="E508" s="3028"/>
      <c r="F508" s="3021">
        <f t="shared" si="130"/>
        <v>0</v>
      </c>
      <c r="G508" s="3059"/>
      <c r="H508" s="3060"/>
      <c r="I508" s="3061"/>
      <c r="J508" s="3061"/>
      <c r="K508" s="3061"/>
      <c r="L508" s="3061"/>
      <c r="M508" s="3061"/>
      <c r="N508" s="3061"/>
      <c r="O508" s="3061"/>
      <c r="P508" s="3061"/>
      <c r="Q508" s="3061"/>
      <c r="R508" s="3061"/>
      <c r="S508" s="3061"/>
      <c r="T508" s="3061"/>
      <c r="U508" s="3061"/>
      <c r="V508" s="3061"/>
      <c r="W508" s="3061"/>
      <c r="X508" s="3061"/>
      <c r="Y508" s="3061"/>
      <c r="Z508" s="3061"/>
      <c r="AA508" s="3061"/>
      <c r="AB508" s="3061"/>
      <c r="AC508" s="3061"/>
      <c r="AD508" s="3061"/>
      <c r="AE508" s="3061"/>
      <c r="AF508" s="3061"/>
      <c r="AG508" s="3061"/>
      <c r="AH508" s="3061"/>
      <c r="AI508" s="3061"/>
      <c r="AJ508" s="3061"/>
      <c r="AK508" s="3061"/>
      <c r="AL508" s="3061"/>
      <c r="AM508" s="3061"/>
      <c r="AN508" s="3061"/>
      <c r="AO508" s="3061"/>
      <c r="AP508" s="3061"/>
      <c r="AQ508" s="3061"/>
      <c r="AR508" s="3061"/>
      <c r="AS508" s="3061"/>
      <c r="AT508" s="3061"/>
      <c r="AU508" s="3061"/>
      <c r="AV508" s="3061"/>
      <c r="AW508" s="3061"/>
      <c r="AX508" s="3061"/>
      <c r="AY508" s="3061"/>
      <c r="AZ508" s="3061"/>
      <c r="BA508" s="3061"/>
      <c r="BB508" s="3061"/>
      <c r="BC508" s="3061"/>
      <c r="BD508" s="3061"/>
      <c r="BE508" s="3061"/>
      <c r="BF508" s="3061"/>
      <c r="BG508" s="3061"/>
      <c r="BH508" s="3061"/>
      <c r="BI508" s="3061"/>
      <c r="BJ508" s="3061"/>
      <c r="BK508" s="3061"/>
      <c r="BL508" s="3061"/>
      <c r="BM508" s="3061"/>
      <c r="BN508" s="3061"/>
      <c r="BO508" s="3061"/>
      <c r="BP508" s="3061"/>
      <c r="BQ508" s="3061"/>
      <c r="BR508" s="3061"/>
      <c r="BS508" s="3061"/>
      <c r="BT508" s="3061"/>
      <c r="BU508" s="3061"/>
      <c r="BV508" s="3061"/>
      <c r="BW508" s="3061"/>
      <c r="BX508" s="3061"/>
      <c r="BY508" s="3061"/>
      <c r="BZ508" s="3061"/>
      <c r="CA508" s="3061"/>
      <c r="CB508" s="3061"/>
      <c r="CC508" s="3061"/>
      <c r="CD508" s="3061"/>
      <c r="CE508" s="3061"/>
      <c r="CF508" s="3061"/>
      <c r="CG508" s="3061"/>
      <c r="CH508" s="3061"/>
      <c r="CI508" s="3061"/>
      <c r="CJ508" s="3061"/>
      <c r="CK508" s="3061"/>
      <c r="CL508" s="3061"/>
      <c r="CM508" s="3061"/>
      <c r="CN508" s="3061"/>
      <c r="CO508" s="3061"/>
      <c r="CP508" s="3061"/>
      <c r="CQ508" s="3061"/>
      <c r="CR508" s="3061"/>
      <c r="CS508" s="3062"/>
      <c r="CT508" s="3063"/>
      <c r="CU508" s="3064">
        <f t="shared" si="134"/>
        <v>1</v>
      </c>
      <c r="CV508" s="3022" t="str">
        <f>IF(OR(CT508="",CT508="None"),"-",DO508*CU508*SUMIF('Lighting Assumptions'!$G$3:$G$112,'6a - Lighting Counts'!G508,'Lighting Assumptions'!$J$3:$J$112))</f>
        <v>-</v>
      </c>
      <c r="CW508" s="3021"/>
      <c r="CX508" s="3021"/>
      <c r="CY508" s="3046"/>
      <c r="CZ508" s="2098">
        <f t="shared" si="135"/>
        <v>0</v>
      </c>
      <c r="DA508" s="2098" t="str">
        <f t="shared" si="136"/>
        <v>-</v>
      </c>
      <c r="DB508" s="2098">
        <f t="shared" si="137"/>
        <v>0</v>
      </c>
      <c r="DC508" s="3023" t="str">
        <f t="shared" si="138"/>
        <v>-</v>
      </c>
      <c r="DD508" s="3024" t="str">
        <f t="shared" si="139"/>
        <v/>
      </c>
      <c r="DE508" s="3025" t="str">
        <f t="shared" si="140"/>
        <v>-</v>
      </c>
      <c r="DF508" s="3024" t="str">
        <f t="shared" si="131"/>
        <v>-</v>
      </c>
      <c r="DG508" s="2098">
        <f t="shared" si="141"/>
        <v>0</v>
      </c>
      <c r="DH508" s="2098">
        <f t="array" ref="DH508">MIN(SUMPRODUCT(I508:CR508,IF($I$25:$CR$25="yes",1,0),$I$23:$CR$23),H508)</f>
        <v>0</v>
      </c>
      <c r="DI508" s="3026"/>
      <c r="DJ508" s="3021"/>
      <c r="DN508" s="917" t="str">
        <f>IF(CS508="","-",SUMIF('Lighting Assumptions'!$G$3:$G$112,'6a - Lighting Counts'!G508,'Lighting Assumptions'!$J$3:$J$112))</f>
        <v>-</v>
      </c>
      <c r="DO508" s="917" t="str">
        <f t="shared" si="132"/>
        <v>-</v>
      </c>
      <c r="DP508" s="917" t="str">
        <f t="shared" si="133"/>
        <v>-</v>
      </c>
      <c r="DQ508" s="917" t="str">
        <f>IF(LEFT(CELLformula(DF508),3)&lt;&gt;"=IF",1,"")</f>
        <v/>
      </c>
      <c r="DR508" s="917" t="str">
        <f>IF(LEFT(CELLformula(DD508),3)&lt;&gt;"=IF",1,"")</f>
        <v/>
      </c>
      <c r="DS508" s="3048">
        <f t="shared" si="142"/>
        <v>0</v>
      </c>
      <c r="DT508" s="3047" t="str">
        <f t="shared" si="143"/>
        <v/>
      </c>
      <c r="DU508" s="3047" t="str">
        <f>IFERROR(IF(G508="","",SUMIF('Lighting Assumptions'!$G$3:$G$112,'6a - Lighting Counts'!G508,'Lighting Assumptions'!$H$3:$H$112)*IF(SI_IP_Units="SI",10.76,1)),"")</f>
        <v/>
      </c>
      <c r="DV508" s="3047" t="str">
        <f>IFERROR(IF($CX508="","",IF(SI_IP_Units="SI",10.76,1)*SUMIF(BAMCategories,$CY508,'Lighting Assumptions'!$E$3:E$35)),"")</f>
        <v/>
      </c>
      <c r="DW508" s="3047" t="str">
        <f>IFERROR(IF($CX508="","",IF(SI_IP_Units="SI",10.76,1)*SUMIF(BAMCategories,$CY508,IF(bpf_reference="ACP",'Lighting Assumptions 90.1-2010'!$E$3:E$35,'Lighting Assumptions 90.1-2016'!$E$3:E$35))),"")</f>
        <v/>
      </c>
      <c r="EW508" s="855"/>
      <c r="EX508" s="855"/>
      <c r="EY508" s="855"/>
      <c r="EZ508" s="855"/>
    </row>
    <row r="509" spans="4:156" x14ac:dyDescent="0.25">
      <c r="D509" s="3029"/>
      <c r="E509" s="3028"/>
      <c r="F509" s="3021">
        <f t="shared" si="130"/>
        <v>0</v>
      </c>
      <c r="G509" s="3059"/>
      <c r="H509" s="3060"/>
      <c r="I509" s="3061"/>
      <c r="J509" s="3061"/>
      <c r="K509" s="3061"/>
      <c r="L509" s="3061"/>
      <c r="M509" s="3061"/>
      <c r="N509" s="3061"/>
      <c r="O509" s="3061"/>
      <c r="P509" s="3061"/>
      <c r="Q509" s="3061"/>
      <c r="R509" s="3061"/>
      <c r="S509" s="3061"/>
      <c r="T509" s="3061"/>
      <c r="U509" s="3061"/>
      <c r="V509" s="3061"/>
      <c r="W509" s="3061"/>
      <c r="X509" s="3061"/>
      <c r="Y509" s="3061"/>
      <c r="Z509" s="3061"/>
      <c r="AA509" s="3061"/>
      <c r="AB509" s="3061"/>
      <c r="AC509" s="3061"/>
      <c r="AD509" s="3061"/>
      <c r="AE509" s="3061"/>
      <c r="AF509" s="3061"/>
      <c r="AG509" s="3061"/>
      <c r="AH509" s="3061"/>
      <c r="AI509" s="3061"/>
      <c r="AJ509" s="3061"/>
      <c r="AK509" s="3061"/>
      <c r="AL509" s="3061"/>
      <c r="AM509" s="3061"/>
      <c r="AN509" s="3061"/>
      <c r="AO509" s="3061"/>
      <c r="AP509" s="3061"/>
      <c r="AQ509" s="3061"/>
      <c r="AR509" s="3061"/>
      <c r="AS509" s="3061"/>
      <c r="AT509" s="3061"/>
      <c r="AU509" s="3061"/>
      <c r="AV509" s="3061"/>
      <c r="AW509" s="3061"/>
      <c r="AX509" s="3061"/>
      <c r="AY509" s="3061"/>
      <c r="AZ509" s="3061"/>
      <c r="BA509" s="3061"/>
      <c r="BB509" s="3061"/>
      <c r="BC509" s="3061"/>
      <c r="BD509" s="3061"/>
      <c r="BE509" s="3061"/>
      <c r="BF509" s="3061"/>
      <c r="BG509" s="3061"/>
      <c r="BH509" s="3061"/>
      <c r="BI509" s="3061"/>
      <c r="BJ509" s="3061"/>
      <c r="BK509" s="3061"/>
      <c r="BL509" s="3061"/>
      <c r="BM509" s="3061"/>
      <c r="BN509" s="3061"/>
      <c r="BO509" s="3061"/>
      <c r="BP509" s="3061"/>
      <c r="BQ509" s="3061"/>
      <c r="BR509" s="3061"/>
      <c r="BS509" s="3061"/>
      <c r="BT509" s="3061"/>
      <c r="BU509" s="3061"/>
      <c r="BV509" s="3061"/>
      <c r="BW509" s="3061"/>
      <c r="BX509" s="3061"/>
      <c r="BY509" s="3061"/>
      <c r="BZ509" s="3061"/>
      <c r="CA509" s="3061"/>
      <c r="CB509" s="3061"/>
      <c r="CC509" s="3061"/>
      <c r="CD509" s="3061"/>
      <c r="CE509" s="3061"/>
      <c r="CF509" s="3061"/>
      <c r="CG509" s="3061"/>
      <c r="CH509" s="3061"/>
      <c r="CI509" s="3061"/>
      <c r="CJ509" s="3061"/>
      <c r="CK509" s="3061"/>
      <c r="CL509" s="3061"/>
      <c r="CM509" s="3061"/>
      <c r="CN509" s="3061"/>
      <c r="CO509" s="3061"/>
      <c r="CP509" s="3061"/>
      <c r="CQ509" s="3061"/>
      <c r="CR509" s="3061"/>
      <c r="CS509" s="3062"/>
      <c r="CT509" s="3063"/>
      <c r="CU509" s="3064">
        <f t="shared" si="134"/>
        <v>1</v>
      </c>
      <c r="CV509" s="3022" t="str">
        <f>IF(OR(CT509="",CT509="None"),"-",DO509*CU509*SUMIF('Lighting Assumptions'!$G$3:$G$112,'6a - Lighting Counts'!G509,'Lighting Assumptions'!$J$3:$J$112))</f>
        <v>-</v>
      </c>
      <c r="CW509" s="3021"/>
      <c r="CX509" s="3021"/>
      <c r="CY509" s="3046"/>
      <c r="CZ509" s="2098">
        <f t="shared" si="135"/>
        <v>0</v>
      </c>
      <c r="DA509" s="2098" t="str">
        <f t="shared" si="136"/>
        <v>-</v>
      </c>
      <c r="DB509" s="2098">
        <f t="shared" si="137"/>
        <v>0</v>
      </c>
      <c r="DC509" s="3023" t="str">
        <f t="shared" si="138"/>
        <v>-</v>
      </c>
      <c r="DD509" s="3024" t="str">
        <f t="shared" si="139"/>
        <v/>
      </c>
      <c r="DE509" s="3025" t="str">
        <f t="shared" si="140"/>
        <v>-</v>
      </c>
      <c r="DF509" s="3024" t="str">
        <f t="shared" si="131"/>
        <v>-</v>
      </c>
      <c r="DG509" s="2098">
        <f t="shared" si="141"/>
        <v>0</v>
      </c>
      <c r="DH509" s="2098">
        <f t="array" ref="DH509">MIN(SUMPRODUCT(I509:CR509,IF($I$25:$CR$25="yes",1,0),$I$23:$CR$23),H509)</f>
        <v>0</v>
      </c>
      <c r="DI509" s="3026"/>
      <c r="DJ509" s="3021"/>
      <c r="DN509" s="917" t="str">
        <f>IF(CS509="","-",SUMIF('Lighting Assumptions'!$G$3:$G$112,'6a - Lighting Counts'!G509,'Lighting Assumptions'!$J$3:$J$112))</f>
        <v>-</v>
      </c>
      <c r="DO509" s="917" t="str">
        <f t="shared" si="132"/>
        <v>-</v>
      </c>
      <c r="DP509" s="917" t="str">
        <f t="shared" si="133"/>
        <v>-</v>
      </c>
      <c r="DQ509" s="917" t="str">
        <f>IF(LEFT(CELLformula(DF509),3)&lt;&gt;"=IF",1,"")</f>
        <v/>
      </c>
      <c r="DR509" s="917" t="str">
        <f>IF(LEFT(CELLformula(DD509),3)&lt;&gt;"=IF",1,"")</f>
        <v/>
      </c>
      <c r="DS509" s="3048">
        <f t="shared" si="142"/>
        <v>0</v>
      </c>
      <c r="DT509" s="3047" t="str">
        <f t="shared" si="143"/>
        <v/>
      </c>
      <c r="DU509" s="3047" t="str">
        <f>IFERROR(IF(G509="","",SUMIF('Lighting Assumptions'!$G$3:$G$112,'6a - Lighting Counts'!G509,'Lighting Assumptions'!$H$3:$H$112)*IF(SI_IP_Units="SI",10.76,1)),"")</f>
        <v/>
      </c>
      <c r="DV509" s="3047" t="str">
        <f>IFERROR(IF($CX509="","",IF(SI_IP_Units="SI",10.76,1)*SUMIF(BAMCategories,$CY509,'Lighting Assumptions'!$E$3:E$35)),"")</f>
        <v/>
      </c>
      <c r="DW509" s="3047" t="str">
        <f>IFERROR(IF($CX509="","",IF(SI_IP_Units="SI",10.76,1)*SUMIF(BAMCategories,$CY509,IF(bpf_reference="ACP",'Lighting Assumptions 90.1-2010'!$E$3:E$35,'Lighting Assumptions 90.1-2016'!$E$3:E$35))),"")</f>
        <v/>
      </c>
      <c r="EW509" s="855"/>
      <c r="EX509" s="855"/>
      <c r="EY509" s="855"/>
      <c r="EZ509" s="855"/>
    </row>
    <row r="510" spans="4:156" x14ac:dyDescent="0.25">
      <c r="D510" s="3029"/>
      <c r="E510" s="3028"/>
      <c r="F510" s="3021">
        <f t="shared" si="130"/>
        <v>0</v>
      </c>
      <c r="G510" s="3059"/>
      <c r="H510" s="3060"/>
      <c r="I510" s="3061"/>
      <c r="J510" s="3061"/>
      <c r="K510" s="3061"/>
      <c r="L510" s="3061"/>
      <c r="M510" s="3061"/>
      <c r="N510" s="3061"/>
      <c r="O510" s="3061"/>
      <c r="P510" s="3061"/>
      <c r="Q510" s="3061"/>
      <c r="R510" s="3061"/>
      <c r="S510" s="3061"/>
      <c r="T510" s="3061"/>
      <c r="U510" s="3061"/>
      <c r="V510" s="3061"/>
      <c r="W510" s="3061"/>
      <c r="X510" s="3061"/>
      <c r="Y510" s="3061"/>
      <c r="Z510" s="3061"/>
      <c r="AA510" s="3061"/>
      <c r="AB510" s="3061"/>
      <c r="AC510" s="3061"/>
      <c r="AD510" s="3061"/>
      <c r="AE510" s="3061"/>
      <c r="AF510" s="3061"/>
      <c r="AG510" s="3061"/>
      <c r="AH510" s="3061"/>
      <c r="AI510" s="3061"/>
      <c r="AJ510" s="3061"/>
      <c r="AK510" s="3061"/>
      <c r="AL510" s="3061"/>
      <c r="AM510" s="3061"/>
      <c r="AN510" s="3061"/>
      <c r="AO510" s="3061"/>
      <c r="AP510" s="3061"/>
      <c r="AQ510" s="3061"/>
      <c r="AR510" s="3061"/>
      <c r="AS510" s="3061"/>
      <c r="AT510" s="3061"/>
      <c r="AU510" s="3061"/>
      <c r="AV510" s="3061"/>
      <c r="AW510" s="3061"/>
      <c r="AX510" s="3061"/>
      <c r="AY510" s="3061"/>
      <c r="AZ510" s="3061"/>
      <c r="BA510" s="3061"/>
      <c r="BB510" s="3061"/>
      <c r="BC510" s="3061"/>
      <c r="BD510" s="3061"/>
      <c r="BE510" s="3061"/>
      <c r="BF510" s="3061"/>
      <c r="BG510" s="3061"/>
      <c r="BH510" s="3061"/>
      <c r="BI510" s="3061"/>
      <c r="BJ510" s="3061"/>
      <c r="BK510" s="3061"/>
      <c r="BL510" s="3061"/>
      <c r="BM510" s="3061"/>
      <c r="BN510" s="3061"/>
      <c r="BO510" s="3061"/>
      <c r="BP510" s="3061"/>
      <c r="BQ510" s="3061"/>
      <c r="BR510" s="3061"/>
      <c r="BS510" s="3061"/>
      <c r="BT510" s="3061"/>
      <c r="BU510" s="3061"/>
      <c r="BV510" s="3061"/>
      <c r="BW510" s="3061"/>
      <c r="BX510" s="3061"/>
      <c r="BY510" s="3061"/>
      <c r="BZ510" s="3061"/>
      <c r="CA510" s="3061"/>
      <c r="CB510" s="3061"/>
      <c r="CC510" s="3061"/>
      <c r="CD510" s="3061"/>
      <c r="CE510" s="3061"/>
      <c r="CF510" s="3061"/>
      <c r="CG510" s="3061"/>
      <c r="CH510" s="3061"/>
      <c r="CI510" s="3061"/>
      <c r="CJ510" s="3061"/>
      <c r="CK510" s="3061"/>
      <c r="CL510" s="3061"/>
      <c r="CM510" s="3061"/>
      <c r="CN510" s="3061"/>
      <c r="CO510" s="3061"/>
      <c r="CP510" s="3061"/>
      <c r="CQ510" s="3061"/>
      <c r="CR510" s="3061"/>
      <c r="CS510" s="3062"/>
      <c r="CT510" s="3063"/>
      <c r="CU510" s="3064">
        <f t="shared" si="134"/>
        <v>1</v>
      </c>
      <c r="CV510" s="3022" t="str">
        <f>IF(OR(CT510="",CT510="None"),"-",DO510*CU510*SUMIF('Lighting Assumptions'!$G$3:$G$112,'6a - Lighting Counts'!G510,'Lighting Assumptions'!$J$3:$J$112))</f>
        <v>-</v>
      </c>
      <c r="CW510" s="3021"/>
      <c r="CX510" s="3021"/>
      <c r="CY510" s="3046"/>
      <c r="CZ510" s="2098">
        <f t="shared" si="135"/>
        <v>0</v>
      </c>
      <c r="DA510" s="2098" t="str">
        <f t="shared" si="136"/>
        <v>-</v>
      </c>
      <c r="DB510" s="2098">
        <f t="shared" si="137"/>
        <v>0</v>
      </c>
      <c r="DC510" s="3023" t="str">
        <f t="shared" si="138"/>
        <v>-</v>
      </c>
      <c r="DD510" s="3024" t="str">
        <f t="shared" si="139"/>
        <v/>
      </c>
      <c r="DE510" s="3025" t="str">
        <f t="shared" si="140"/>
        <v>-</v>
      </c>
      <c r="DF510" s="3024" t="str">
        <f t="shared" si="131"/>
        <v>-</v>
      </c>
      <c r="DG510" s="2098">
        <f t="shared" si="141"/>
        <v>0</v>
      </c>
      <c r="DH510" s="2098">
        <f t="array" ref="DH510">MIN(SUMPRODUCT(I510:CR510,IF($I$25:$CR$25="yes",1,0),$I$23:$CR$23),H510)</f>
        <v>0</v>
      </c>
      <c r="DI510" s="3026"/>
      <c r="DJ510" s="3021"/>
      <c r="DN510" s="917" t="str">
        <f>IF(CS510="","-",SUMIF('Lighting Assumptions'!$G$3:$G$112,'6a - Lighting Counts'!G510,'Lighting Assumptions'!$J$3:$J$112))</f>
        <v>-</v>
      </c>
      <c r="DO510" s="917" t="str">
        <f t="shared" si="132"/>
        <v>-</v>
      </c>
      <c r="DP510" s="917" t="str">
        <f t="shared" si="133"/>
        <v>-</v>
      </c>
      <c r="DQ510" s="917" t="str">
        <f>IF(LEFT(CELLformula(DF510),3)&lt;&gt;"=IF",1,"")</f>
        <v/>
      </c>
      <c r="DR510" s="917" t="str">
        <f>IF(LEFT(CELLformula(DD510),3)&lt;&gt;"=IF",1,"")</f>
        <v/>
      </c>
      <c r="DS510" s="3048">
        <f t="shared" si="142"/>
        <v>0</v>
      </c>
      <c r="DT510" s="3047" t="str">
        <f t="shared" si="143"/>
        <v/>
      </c>
      <c r="DU510" s="3047" t="str">
        <f>IFERROR(IF(G510="","",SUMIF('Lighting Assumptions'!$G$3:$G$112,'6a - Lighting Counts'!G510,'Lighting Assumptions'!$H$3:$H$112)*IF(SI_IP_Units="SI",10.76,1)),"")</f>
        <v/>
      </c>
      <c r="DV510" s="3047" t="str">
        <f>IFERROR(IF($CX510="","",IF(SI_IP_Units="SI",10.76,1)*SUMIF(BAMCategories,$CY510,'Lighting Assumptions'!$E$3:E$35)),"")</f>
        <v/>
      </c>
      <c r="DW510" s="3047" t="str">
        <f>IFERROR(IF($CX510="","",IF(SI_IP_Units="SI",10.76,1)*SUMIF(BAMCategories,$CY510,IF(bpf_reference="ACP",'Lighting Assumptions 90.1-2010'!$E$3:E$35,'Lighting Assumptions 90.1-2016'!$E$3:E$35))),"")</f>
        <v/>
      </c>
      <c r="EW510" s="855"/>
      <c r="EX510" s="855"/>
      <c r="EY510" s="855"/>
      <c r="EZ510" s="855"/>
    </row>
    <row r="511" spans="4:156" x14ac:dyDescent="0.25">
      <c r="D511" s="3029"/>
      <c r="E511" s="3028"/>
      <c r="F511" s="3021">
        <f t="shared" si="130"/>
        <v>0</v>
      </c>
      <c r="G511" s="3059"/>
      <c r="H511" s="3060"/>
      <c r="I511" s="3061"/>
      <c r="J511" s="3061"/>
      <c r="K511" s="3061"/>
      <c r="L511" s="3061"/>
      <c r="M511" s="3061"/>
      <c r="N511" s="3061"/>
      <c r="O511" s="3061"/>
      <c r="P511" s="3061"/>
      <c r="Q511" s="3061"/>
      <c r="R511" s="3061"/>
      <c r="S511" s="3061"/>
      <c r="T511" s="3061"/>
      <c r="U511" s="3061"/>
      <c r="V511" s="3061"/>
      <c r="W511" s="3061"/>
      <c r="X511" s="3061"/>
      <c r="Y511" s="3061"/>
      <c r="Z511" s="3061"/>
      <c r="AA511" s="3061"/>
      <c r="AB511" s="3061"/>
      <c r="AC511" s="3061"/>
      <c r="AD511" s="3061"/>
      <c r="AE511" s="3061"/>
      <c r="AF511" s="3061"/>
      <c r="AG511" s="3061"/>
      <c r="AH511" s="3061"/>
      <c r="AI511" s="3061"/>
      <c r="AJ511" s="3061"/>
      <c r="AK511" s="3061"/>
      <c r="AL511" s="3061"/>
      <c r="AM511" s="3061"/>
      <c r="AN511" s="3061"/>
      <c r="AO511" s="3061"/>
      <c r="AP511" s="3061"/>
      <c r="AQ511" s="3061"/>
      <c r="AR511" s="3061"/>
      <c r="AS511" s="3061"/>
      <c r="AT511" s="3061"/>
      <c r="AU511" s="3061"/>
      <c r="AV511" s="3061"/>
      <c r="AW511" s="3061"/>
      <c r="AX511" s="3061"/>
      <c r="AY511" s="3061"/>
      <c r="AZ511" s="3061"/>
      <c r="BA511" s="3061"/>
      <c r="BB511" s="3061"/>
      <c r="BC511" s="3061"/>
      <c r="BD511" s="3061"/>
      <c r="BE511" s="3061"/>
      <c r="BF511" s="3061"/>
      <c r="BG511" s="3061"/>
      <c r="BH511" s="3061"/>
      <c r="BI511" s="3061"/>
      <c r="BJ511" s="3061"/>
      <c r="BK511" s="3061"/>
      <c r="BL511" s="3061"/>
      <c r="BM511" s="3061"/>
      <c r="BN511" s="3061"/>
      <c r="BO511" s="3061"/>
      <c r="BP511" s="3061"/>
      <c r="BQ511" s="3061"/>
      <c r="BR511" s="3061"/>
      <c r="BS511" s="3061"/>
      <c r="BT511" s="3061"/>
      <c r="BU511" s="3061"/>
      <c r="BV511" s="3061"/>
      <c r="BW511" s="3061"/>
      <c r="BX511" s="3061"/>
      <c r="BY511" s="3061"/>
      <c r="BZ511" s="3061"/>
      <c r="CA511" s="3061"/>
      <c r="CB511" s="3061"/>
      <c r="CC511" s="3061"/>
      <c r="CD511" s="3061"/>
      <c r="CE511" s="3061"/>
      <c r="CF511" s="3061"/>
      <c r="CG511" s="3061"/>
      <c r="CH511" s="3061"/>
      <c r="CI511" s="3061"/>
      <c r="CJ511" s="3061"/>
      <c r="CK511" s="3061"/>
      <c r="CL511" s="3061"/>
      <c r="CM511" s="3061"/>
      <c r="CN511" s="3061"/>
      <c r="CO511" s="3061"/>
      <c r="CP511" s="3061"/>
      <c r="CQ511" s="3061"/>
      <c r="CR511" s="3061"/>
      <c r="CS511" s="3062"/>
      <c r="CT511" s="3063"/>
      <c r="CU511" s="3064">
        <f t="shared" si="134"/>
        <v>1</v>
      </c>
      <c r="CV511" s="3022" t="str">
        <f>IF(OR(CT511="",CT511="None"),"-",DO511*CU511*SUMIF('Lighting Assumptions'!$G$3:$G$112,'6a - Lighting Counts'!G511,'Lighting Assumptions'!$J$3:$J$112))</f>
        <v>-</v>
      </c>
      <c r="CW511" s="3021"/>
      <c r="CX511" s="3021"/>
      <c r="CY511" s="3046"/>
      <c r="CZ511" s="2098">
        <f t="shared" si="135"/>
        <v>0</v>
      </c>
      <c r="DA511" s="2098" t="str">
        <f t="shared" si="136"/>
        <v>-</v>
      </c>
      <c r="DB511" s="2098">
        <f t="shared" si="137"/>
        <v>0</v>
      </c>
      <c r="DC511" s="3023" t="str">
        <f t="shared" si="138"/>
        <v>-</v>
      </c>
      <c r="DD511" s="3024" t="str">
        <f t="shared" si="139"/>
        <v/>
      </c>
      <c r="DE511" s="3025" t="str">
        <f t="shared" si="140"/>
        <v>-</v>
      </c>
      <c r="DF511" s="3024" t="str">
        <f t="shared" si="131"/>
        <v>-</v>
      </c>
      <c r="DG511" s="2098">
        <f t="shared" si="141"/>
        <v>0</v>
      </c>
      <c r="DH511" s="2098">
        <f t="array" ref="DH511">MIN(SUMPRODUCT(I511:CR511,IF($I$25:$CR$25="yes",1,0),$I$23:$CR$23),H511)</f>
        <v>0</v>
      </c>
      <c r="DI511" s="3026"/>
      <c r="DJ511" s="3021"/>
      <c r="DN511" s="917" t="str">
        <f>IF(CS511="","-",SUMIF('Lighting Assumptions'!$G$3:$G$112,'6a - Lighting Counts'!G511,'Lighting Assumptions'!$J$3:$J$112))</f>
        <v>-</v>
      </c>
      <c r="DO511" s="917" t="str">
        <f t="shared" si="132"/>
        <v>-</v>
      </c>
      <c r="DP511" s="917" t="str">
        <f t="shared" si="133"/>
        <v>-</v>
      </c>
      <c r="DQ511" s="917" t="str">
        <f>IF(LEFT(CELLformula(DF511),3)&lt;&gt;"=IF",1,"")</f>
        <v/>
      </c>
      <c r="DR511" s="917" t="str">
        <f>IF(LEFT(CELLformula(DD511),3)&lt;&gt;"=IF",1,"")</f>
        <v/>
      </c>
      <c r="DS511" s="3048">
        <f t="shared" si="142"/>
        <v>0</v>
      </c>
      <c r="DT511" s="3047" t="str">
        <f t="shared" si="143"/>
        <v/>
      </c>
      <c r="DU511" s="3047" t="str">
        <f>IFERROR(IF(G511="","",SUMIF('Lighting Assumptions'!$G$3:$G$112,'6a - Lighting Counts'!G511,'Lighting Assumptions'!$H$3:$H$112)*IF(SI_IP_Units="SI",10.76,1)),"")</f>
        <v/>
      </c>
      <c r="DV511" s="3047" t="str">
        <f>IFERROR(IF($CX511="","",IF(SI_IP_Units="SI",10.76,1)*SUMIF(BAMCategories,$CY511,'Lighting Assumptions'!$E$3:E$35)),"")</f>
        <v/>
      </c>
      <c r="DW511" s="3047" t="str">
        <f>IFERROR(IF($CX511="","",IF(SI_IP_Units="SI",10.76,1)*SUMIF(BAMCategories,$CY511,IF(bpf_reference="ACP",'Lighting Assumptions 90.1-2010'!$E$3:E$35,'Lighting Assumptions 90.1-2016'!$E$3:E$35))),"")</f>
        <v/>
      </c>
      <c r="EW511" s="855"/>
      <c r="EX511" s="855"/>
      <c r="EY511" s="855"/>
      <c r="EZ511" s="855"/>
    </row>
    <row r="512" spans="4:156" x14ac:dyDescent="0.25">
      <c r="D512" s="3029"/>
      <c r="E512" s="3028"/>
      <c r="F512" s="3021">
        <f t="shared" si="130"/>
        <v>0</v>
      </c>
      <c r="G512" s="3059"/>
      <c r="H512" s="3060"/>
      <c r="I512" s="3061"/>
      <c r="J512" s="3061"/>
      <c r="K512" s="3061"/>
      <c r="L512" s="3061"/>
      <c r="M512" s="3061"/>
      <c r="N512" s="3061"/>
      <c r="O512" s="3061"/>
      <c r="P512" s="3061"/>
      <c r="Q512" s="3061"/>
      <c r="R512" s="3061"/>
      <c r="S512" s="3061"/>
      <c r="T512" s="3061"/>
      <c r="U512" s="3061"/>
      <c r="V512" s="3061"/>
      <c r="W512" s="3061"/>
      <c r="X512" s="3061"/>
      <c r="Y512" s="3061"/>
      <c r="Z512" s="3061"/>
      <c r="AA512" s="3061"/>
      <c r="AB512" s="3061"/>
      <c r="AC512" s="3061"/>
      <c r="AD512" s="3061"/>
      <c r="AE512" s="3061"/>
      <c r="AF512" s="3061"/>
      <c r="AG512" s="3061"/>
      <c r="AH512" s="3061"/>
      <c r="AI512" s="3061"/>
      <c r="AJ512" s="3061"/>
      <c r="AK512" s="3061"/>
      <c r="AL512" s="3061"/>
      <c r="AM512" s="3061"/>
      <c r="AN512" s="3061"/>
      <c r="AO512" s="3061"/>
      <c r="AP512" s="3061"/>
      <c r="AQ512" s="3061"/>
      <c r="AR512" s="3061"/>
      <c r="AS512" s="3061"/>
      <c r="AT512" s="3061"/>
      <c r="AU512" s="3061"/>
      <c r="AV512" s="3061"/>
      <c r="AW512" s="3061"/>
      <c r="AX512" s="3061"/>
      <c r="AY512" s="3061"/>
      <c r="AZ512" s="3061"/>
      <c r="BA512" s="3061"/>
      <c r="BB512" s="3061"/>
      <c r="BC512" s="3061"/>
      <c r="BD512" s="3061"/>
      <c r="BE512" s="3061"/>
      <c r="BF512" s="3061"/>
      <c r="BG512" s="3061"/>
      <c r="BH512" s="3061"/>
      <c r="BI512" s="3061"/>
      <c r="BJ512" s="3061"/>
      <c r="BK512" s="3061"/>
      <c r="BL512" s="3061"/>
      <c r="BM512" s="3061"/>
      <c r="BN512" s="3061"/>
      <c r="BO512" s="3061"/>
      <c r="BP512" s="3061"/>
      <c r="BQ512" s="3061"/>
      <c r="BR512" s="3061"/>
      <c r="BS512" s="3061"/>
      <c r="BT512" s="3061"/>
      <c r="BU512" s="3061"/>
      <c r="BV512" s="3061"/>
      <c r="BW512" s="3061"/>
      <c r="BX512" s="3061"/>
      <c r="BY512" s="3061"/>
      <c r="BZ512" s="3061"/>
      <c r="CA512" s="3061"/>
      <c r="CB512" s="3061"/>
      <c r="CC512" s="3061"/>
      <c r="CD512" s="3061"/>
      <c r="CE512" s="3061"/>
      <c r="CF512" s="3061"/>
      <c r="CG512" s="3061"/>
      <c r="CH512" s="3061"/>
      <c r="CI512" s="3061"/>
      <c r="CJ512" s="3061"/>
      <c r="CK512" s="3061"/>
      <c r="CL512" s="3061"/>
      <c r="CM512" s="3061"/>
      <c r="CN512" s="3061"/>
      <c r="CO512" s="3061"/>
      <c r="CP512" s="3061"/>
      <c r="CQ512" s="3061"/>
      <c r="CR512" s="3061"/>
      <c r="CS512" s="3062"/>
      <c r="CT512" s="3063"/>
      <c r="CU512" s="3064">
        <f t="shared" si="134"/>
        <v>1</v>
      </c>
      <c r="CV512" s="3022" t="str">
        <f>IF(OR(CT512="",CT512="None"),"-",DO512*CU512*SUMIF('Lighting Assumptions'!$G$3:$G$112,'6a - Lighting Counts'!G512,'Lighting Assumptions'!$J$3:$J$112))</f>
        <v>-</v>
      </c>
      <c r="CW512" s="3021"/>
      <c r="CX512" s="3021"/>
      <c r="CY512" s="3046"/>
      <c r="CZ512" s="2098">
        <f t="shared" si="135"/>
        <v>0</v>
      </c>
      <c r="DA512" s="2098" t="str">
        <f t="shared" si="136"/>
        <v>-</v>
      </c>
      <c r="DB512" s="2098">
        <f t="shared" si="137"/>
        <v>0</v>
      </c>
      <c r="DC512" s="3023" t="str">
        <f t="shared" si="138"/>
        <v>-</v>
      </c>
      <c r="DD512" s="3024" t="str">
        <f t="shared" si="139"/>
        <v/>
      </c>
      <c r="DE512" s="3025" t="str">
        <f t="shared" si="140"/>
        <v>-</v>
      </c>
      <c r="DF512" s="3024" t="str">
        <f t="shared" si="131"/>
        <v>-</v>
      </c>
      <c r="DG512" s="2098">
        <f t="shared" si="141"/>
        <v>0</v>
      </c>
      <c r="DH512" s="2098">
        <f t="array" ref="DH512">MIN(SUMPRODUCT(I512:CR512,IF($I$25:$CR$25="yes",1,0),$I$23:$CR$23),H512)</f>
        <v>0</v>
      </c>
      <c r="DI512" s="3026"/>
      <c r="DJ512" s="3021"/>
      <c r="DN512" s="917" t="str">
        <f>IF(CS512="","-",SUMIF('Lighting Assumptions'!$G$3:$G$112,'6a - Lighting Counts'!G512,'Lighting Assumptions'!$J$3:$J$112))</f>
        <v>-</v>
      </c>
      <c r="DO512" s="917" t="str">
        <f t="shared" si="132"/>
        <v>-</v>
      </c>
      <c r="DP512" s="917" t="str">
        <f t="shared" si="133"/>
        <v>-</v>
      </c>
      <c r="DQ512" s="917" t="str">
        <f>IF(LEFT(CELLformula(DF512),3)&lt;&gt;"=IF",1,"")</f>
        <v/>
      </c>
      <c r="DR512" s="917" t="str">
        <f>IF(LEFT(CELLformula(DD512),3)&lt;&gt;"=IF",1,"")</f>
        <v/>
      </c>
      <c r="DS512" s="3048">
        <f t="shared" si="142"/>
        <v>0</v>
      </c>
      <c r="DT512" s="3047" t="str">
        <f t="shared" si="143"/>
        <v/>
      </c>
      <c r="DU512" s="3047" t="str">
        <f>IFERROR(IF(G512="","",SUMIF('Lighting Assumptions'!$G$3:$G$112,'6a - Lighting Counts'!G512,'Lighting Assumptions'!$H$3:$H$112)*IF(SI_IP_Units="SI",10.76,1)),"")</f>
        <v/>
      </c>
      <c r="DV512" s="3047" t="str">
        <f>IFERROR(IF($CX512="","",IF(SI_IP_Units="SI",10.76,1)*SUMIF(BAMCategories,$CY512,'Lighting Assumptions'!$E$3:E$35)),"")</f>
        <v/>
      </c>
      <c r="DW512" s="3047" t="str">
        <f>IFERROR(IF($CX512="","",IF(SI_IP_Units="SI",10.76,1)*SUMIF(BAMCategories,$CY512,IF(bpf_reference="ACP",'Lighting Assumptions 90.1-2010'!$E$3:E$35,'Lighting Assumptions 90.1-2016'!$E$3:E$35))),"")</f>
        <v/>
      </c>
      <c r="EW512" s="855"/>
      <c r="EX512" s="855"/>
      <c r="EY512" s="855"/>
      <c r="EZ512" s="855"/>
    </row>
    <row r="513" spans="4:156" x14ac:dyDescent="0.25">
      <c r="D513" s="3029"/>
      <c r="E513" s="3028"/>
      <c r="F513" s="3021">
        <f t="shared" si="130"/>
        <v>0</v>
      </c>
      <c r="G513" s="3059"/>
      <c r="H513" s="3060"/>
      <c r="I513" s="3061"/>
      <c r="J513" s="3061"/>
      <c r="K513" s="3061"/>
      <c r="L513" s="3061"/>
      <c r="M513" s="3061"/>
      <c r="N513" s="3061"/>
      <c r="O513" s="3061"/>
      <c r="P513" s="3061"/>
      <c r="Q513" s="3061"/>
      <c r="R513" s="3061"/>
      <c r="S513" s="3061"/>
      <c r="T513" s="3061"/>
      <c r="U513" s="3061"/>
      <c r="V513" s="3061"/>
      <c r="W513" s="3061"/>
      <c r="X513" s="3061"/>
      <c r="Y513" s="3061"/>
      <c r="Z513" s="3061"/>
      <c r="AA513" s="3061"/>
      <c r="AB513" s="3061"/>
      <c r="AC513" s="3061"/>
      <c r="AD513" s="3061"/>
      <c r="AE513" s="3061"/>
      <c r="AF513" s="3061"/>
      <c r="AG513" s="3061"/>
      <c r="AH513" s="3061"/>
      <c r="AI513" s="3061"/>
      <c r="AJ513" s="3061"/>
      <c r="AK513" s="3061"/>
      <c r="AL513" s="3061"/>
      <c r="AM513" s="3061"/>
      <c r="AN513" s="3061"/>
      <c r="AO513" s="3061"/>
      <c r="AP513" s="3061"/>
      <c r="AQ513" s="3061"/>
      <c r="AR513" s="3061"/>
      <c r="AS513" s="3061"/>
      <c r="AT513" s="3061"/>
      <c r="AU513" s="3061"/>
      <c r="AV513" s="3061"/>
      <c r="AW513" s="3061"/>
      <c r="AX513" s="3061"/>
      <c r="AY513" s="3061"/>
      <c r="AZ513" s="3061"/>
      <c r="BA513" s="3061"/>
      <c r="BB513" s="3061"/>
      <c r="BC513" s="3061"/>
      <c r="BD513" s="3061"/>
      <c r="BE513" s="3061"/>
      <c r="BF513" s="3061"/>
      <c r="BG513" s="3061"/>
      <c r="BH513" s="3061"/>
      <c r="BI513" s="3061"/>
      <c r="BJ513" s="3061"/>
      <c r="BK513" s="3061"/>
      <c r="BL513" s="3061"/>
      <c r="BM513" s="3061"/>
      <c r="BN513" s="3061"/>
      <c r="BO513" s="3061"/>
      <c r="BP513" s="3061"/>
      <c r="BQ513" s="3061"/>
      <c r="BR513" s="3061"/>
      <c r="BS513" s="3061"/>
      <c r="BT513" s="3061"/>
      <c r="BU513" s="3061"/>
      <c r="BV513" s="3061"/>
      <c r="BW513" s="3061"/>
      <c r="BX513" s="3061"/>
      <c r="BY513" s="3061"/>
      <c r="BZ513" s="3061"/>
      <c r="CA513" s="3061"/>
      <c r="CB513" s="3061"/>
      <c r="CC513" s="3061"/>
      <c r="CD513" s="3061"/>
      <c r="CE513" s="3061"/>
      <c r="CF513" s="3061"/>
      <c r="CG513" s="3061"/>
      <c r="CH513" s="3061"/>
      <c r="CI513" s="3061"/>
      <c r="CJ513" s="3061"/>
      <c r="CK513" s="3061"/>
      <c r="CL513" s="3061"/>
      <c r="CM513" s="3061"/>
      <c r="CN513" s="3061"/>
      <c r="CO513" s="3061"/>
      <c r="CP513" s="3061"/>
      <c r="CQ513" s="3061"/>
      <c r="CR513" s="3061"/>
      <c r="CS513" s="3062"/>
      <c r="CT513" s="3063"/>
      <c r="CU513" s="3064">
        <f t="shared" si="134"/>
        <v>1</v>
      </c>
      <c r="CV513" s="3022" t="str">
        <f>IF(OR(CT513="",CT513="None"),"-",DO513*CU513*SUMIF('Lighting Assumptions'!$G$3:$G$112,'6a - Lighting Counts'!G513,'Lighting Assumptions'!$J$3:$J$112))</f>
        <v>-</v>
      </c>
      <c r="CW513" s="3021"/>
      <c r="CX513" s="3021"/>
      <c r="CY513" s="3046"/>
      <c r="CZ513" s="2098">
        <f t="shared" si="135"/>
        <v>0</v>
      </c>
      <c r="DA513" s="2098" t="str">
        <f t="shared" si="136"/>
        <v>-</v>
      </c>
      <c r="DB513" s="2098">
        <f t="shared" si="137"/>
        <v>0</v>
      </c>
      <c r="DC513" s="3023" t="str">
        <f t="shared" si="138"/>
        <v>-</v>
      </c>
      <c r="DD513" s="3024" t="str">
        <f t="shared" si="139"/>
        <v/>
      </c>
      <c r="DE513" s="3025" t="str">
        <f t="shared" si="140"/>
        <v>-</v>
      </c>
      <c r="DF513" s="3024" t="str">
        <f t="shared" si="131"/>
        <v>-</v>
      </c>
      <c r="DG513" s="2098">
        <f t="shared" si="141"/>
        <v>0</v>
      </c>
      <c r="DH513" s="2098">
        <f t="array" ref="DH513">MIN(SUMPRODUCT(I513:CR513,IF($I$25:$CR$25="yes",1,0),$I$23:$CR$23),H513)</f>
        <v>0</v>
      </c>
      <c r="DI513" s="3026"/>
      <c r="DJ513" s="3021"/>
      <c r="DN513" s="917" t="str">
        <f>IF(CS513="","-",SUMIF('Lighting Assumptions'!$G$3:$G$112,'6a - Lighting Counts'!G513,'Lighting Assumptions'!$J$3:$J$112))</f>
        <v>-</v>
      </c>
      <c r="DO513" s="917" t="str">
        <f t="shared" si="132"/>
        <v>-</v>
      </c>
      <c r="DP513" s="917" t="str">
        <f t="shared" si="133"/>
        <v>-</v>
      </c>
      <c r="DQ513" s="917" t="str">
        <f>IF(LEFT(CELLformula(DF513),3)&lt;&gt;"=IF",1,"")</f>
        <v/>
      </c>
      <c r="DR513" s="917" t="str">
        <f>IF(LEFT(CELLformula(DD513),3)&lt;&gt;"=IF",1,"")</f>
        <v/>
      </c>
      <c r="DS513" s="3048">
        <f t="shared" si="142"/>
        <v>0</v>
      </c>
      <c r="DT513" s="3047" t="str">
        <f t="shared" si="143"/>
        <v/>
      </c>
      <c r="DU513" s="3047" t="str">
        <f>IFERROR(IF(G513="","",SUMIF('Lighting Assumptions'!$G$3:$G$112,'6a - Lighting Counts'!G513,'Lighting Assumptions'!$H$3:$H$112)*IF(SI_IP_Units="SI",10.76,1)),"")</f>
        <v/>
      </c>
      <c r="DV513" s="3047" t="str">
        <f>IFERROR(IF($CX513="","",IF(SI_IP_Units="SI",10.76,1)*SUMIF(BAMCategories,$CY513,'Lighting Assumptions'!$E$3:E$35)),"")</f>
        <v/>
      </c>
      <c r="DW513" s="3047" t="str">
        <f>IFERROR(IF($CX513="","",IF(SI_IP_Units="SI",10.76,1)*SUMIF(BAMCategories,$CY513,IF(bpf_reference="ACP",'Lighting Assumptions 90.1-2010'!$E$3:E$35,'Lighting Assumptions 90.1-2016'!$E$3:E$35))),"")</f>
        <v/>
      </c>
      <c r="EW513" s="855"/>
      <c r="EX513" s="855"/>
      <c r="EY513" s="855"/>
      <c r="EZ513" s="855"/>
    </row>
    <row r="514" spans="4:156" x14ac:dyDescent="0.25">
      <c r="D514" s="3029"/>
      <c r="E514" s="3028"/>
      <c r="F514" s="3021">
        <f t="shared" si="130"/>
        <v>0</v>
      </c>
      <c r="G514" s="3059"/>
      <c r="H514" s="3060"/>
      <c r="I514" s="3061"/>
      <c r="J514" s="3061"/>
      <c r="K514" s="3061"/>
      <c r="L514" s="3061"/>
      <c r="M514" s="3061"/>
      <c r="N514" s="3061"/>
      <c r="O514" s="3061"/>
      <c r="P514" s="3061"/>
      <c r="Q514" s="3061"/>
      <c r="R514" s="3061"/>
      <c r="S514" s="3061"/>
      <c r="T514" s="3061"/>
      <c r="U514" s="3061"/>
      <c r="V514" s="3061"/>
      <c r="W514" s="3061"/>
      <c r="X514" s="3061"/>
      <c r="Y514" s="3061"/>
      <c r="Z514" s="3061"/>
      <c r="AA514" s="3061"/>
      <c r="AB514" s="3061"/>
      <c r="AC514" s="3061"/>
      <c r="AD514" s="3061"/>
      <c r="AE514" s="3061"/>
      <c r="AF514" s="3061"/>
      <c r="AG514" s="3061"/>
      <c r="AH514" s="3061"/>
      <c r="AI514" s="3061"/>
      <c r="AJ514" s="3061"/>
      <c r="AK514" s="3061"/>
      <c r="AL514" s="3061"/>
      <c r="AM514" s="3061"/>
      <c r="AN514" s="3061"/>
      <c r="AO514" s="3061"/>
      <c r="AP514" s="3061"/>
      <c r="AQ514" s="3061"/>
      <c r="AR514" s="3061"/>
      <c r="AS514" s="3061"/>
      <c r="AT514" s="3061"/>
      <c r="AU514" s="3061"/>
      <c r="AV514" s="3061"/>
      <c r="AW514" s="3061"/>
      <c r="AX514" s="3061"/>
      <c r="AY514" s="3061"/>
      <c r="AZ514" s="3061"/>
      <c r="BA514" s="3061"/>
      <c r="BB514" s="3061"/>
      <c r="BC514" s="3061"/>
      <c r="BD514" s="3061"/>
      <c r="BE514" s="3061"/>
      <c r="BF514" s="3061"/>
      <c r="BG514" s="3061"/>
      <c r="BH514" s="3061"/>
      <c r="BI514" s="3061"/>
      <c r="BJ514" s="3061"/>
      <c r="BK514" s="3061"/>
      <c r="BL514" s="3061"/>
      <c r="BM514" s="3061"/>
      <c r="BN514" s="3061"/>
      <c r="BO514" s="3061"/>
      <c r="BP514" s="3061"/>
      <c r="BQ514" s="3061"/>
      <c r="BR514" s="3061"/>
      <c r="BS514" s="3061"/>
      <c r="BT514" s="3061"/>
      <c r="BU514" s="3061"/>
      <c r="BV514" s="3061"/>
      <c r="BW514" s="3061"/>
      <c r="BX514" s="3061"/>
      <c r="BY514" s="3061"/>
      <c r="BZ514" s="3061"/>
      <c r="CA514" s="3061"/>
      <c r="CB514" s="3061"/>
      <c r="CC514" s="3061"/>
      <c r="CD514" s="3061"/>
      <c r="CE514" s="3061"/>
      <c r="CF514" s="3061"/>
      <c r="CG514" s="3061"/>
      <c r="CH514" s="3061"/>
      <c r="CI514" s="3061"/>
      <c r="CJ514" s="3061"/>
      <c r="CK514" s="3061"/>
      <c r="CL514" s="3061"/>
      <c r="CM514" s="3061"/>
      <c r="CN514" s="3061"/>
      <c r="CO514" s="3061"/>
      <c r="CP514" s="3061"/>
      <c r="CQ514" s="3061"/>
      <c r="CR514" s="3061"/>
      <c r="CS514" s="3062"/>
      <c r="CT514" s="3063"/>
      <c r="CU514" s="3064">
        <f t="shared" si="134"/>
        <v>1</v>
      </c>
      <c r="CV514" s="3022" t="str">
        <f>IF(OR(CT514="",CT514="None"),"-",DO514*CU514*SUMIF('Lighting Assumptions'!$G$3:$G$112,'6a - Lighting Counts'!G514,'Lighting Assumptions'!$J$3:$J$112))</f>
        <v>-</v>
      </c>
      <c r="CW514" s="3021"/>
      <c r="CX514" s="3021"/>
      <c r="CY514" s="3046"/>
      <c r="CZ514" s="2098">
        <f t="shared" si="135"/>
        <v>0</v>
      </c>
      <c r="DA514" s="2098" t="str">
        <f t="shared" si="136"/>
        <v>-</v>
      </c>
      <c r="DB514" s="2098">
        <f t="shared" si="137"/>
        <v>0</v>
      </c>
      <c r="DC514" s="3023" t="str">
        <f t="shared" si="138"/>
        <v>-</v>
      </c>
      <c r="DD514" s="3024" t="str">
        <f t="shared" si="139"/>
        <v/>
      </c>
      <c r="DE514" s="3025" t="str">
        <f t="shared" si="140"/>
        <v>-</v>
      </c>
      <c r="DF514" s="3024" t="str">
        <f t="shared" si="131"/>
        <v>-</v>
      </c>
      <c r="DG514" s="2098">
        <f t="shared" si="141"/>
        <v>0</v>
      </c>
      <c r="DH514" s="2098">
        <f t="array" ref="DH514">MIN(SUMPRODUCT(I514:CR514,IF($I$25:$CR$25="yes",1,0),$I$23:$CR$23),H514)</f>
        <v>0</v>
      </c>
      <c r="DI514" s="3026"/>
      <c r="DJ514" s="3021"/>
      <c r="DN514" s="917" t="str">
        <f>IF(CS514="","-",SUMIF('Lighting Assumptions'!$G$3:$G$112,'6a - Lighting Counts'!G514,'Lighting Assumptions'!$J$3:$J$112))</f>
        <v>-</v>
      </c>
      <c r="DO514" s="917" t="str">
        <f t="shared" si="132"/>
        <v>-</v>
      </c>
      <c r="DP514" s="917" t="str">
        <f t="shared" si="133"/>
        <v>-</v>
      </c>
      <c r="DQ514" s="917" t="str">
        <f>IF(LEFT(CELLformula(DF514),3)&lt;&gt;"=IF",1,"")</f>
        <v/>
      </c>
      <c r="DR514" s="917" t="str">
        <f>IF(LEFT(CELLformula(DD514),3)&lt;&gt;"=IF",1,"")</f>
        <v/>
      </c>
      <c r="DS514" s="3048">
        <f t="shared" si="142"/>
        <v>0</v>
      </c>
      <c r="DT514" s="3047" t="str">
        <f t="shared" si="143"/>
        <v/>
      </c>
      <c r="DU514" s="3047" t="str">
        <f>IFERROR(IF(G514="","",SUMIF('Lighting Assumptions'!$G$3:$G$112,'6a - Lighting Counts'!G514,'Lighting Assumptions'!$H$3:$H$112)*IF(SI_IP_Units="SI",10.76,1)),"")</f>
        <v/>
      </c>
      <c r="DV514" s="3047" t="str">
        <f>IFERROR(IF($CX514="","",IF(SI_IP_Units="SI",10.76,1)*SUMIF(BAMCategories,$CY514,'Lighting Assumptions'!$E$3:E$35)),"")</f>
        <v/>
      </c>
      <c r="DW514" s="3047" t="str">
        <f>IFERROR(IF($CX514="","",IF(SI_IP_Units="SI",10.76,1)*SUMIF(BAMCategories,$CY514,IF(bpf_reference="ACP",'Lighting Assumptions 90.1-2010'!$E$3:E$35,'Lighting Assumptions 90.1-2016'!$E$3:E$35))),"")</f>
        <v/>
      </c>
      <c r="EW514" s="855"/>
      <c r="EX514" s="855"/>
      <c r="EY514" s="855"/>
      <c r="EZ514" s="855"/>
    </row>
    <row r="515" spans="4:156" x14ac:dyDescent="0.25">
      <c r="D515" s="3029"/>
      <c r="E515" s="3028"/>
      <c r="F515" s="3021">
        <f t="shared" si="130"/>
        <v>0</v>
      </c>
      <c r="G515" s="3059"/>
      <c r="H515" s="3060"/>
      <c r="I515" s="3061"/>
      <c r="J515" s="3061"/>
      <c r="K515" s="3061"/>
      <c r="L515" s="3061"/>
      <c r="M515" s="3061"/>
      <c r="N515" s="3061"/>
      <c r="O515" s="3061"/>
      <c r="P515" s="3061"/>
      <c r="Q515" s="3061"/>
      <c r="R515" s="3061"/>
      <c r="S515" s="3061"/>
      <c r="T515" s="3061"/>
      <c r="U515" s="3061"/>
      <c r="V515" s="3061"/>
      <c r="W515" s="3061"/>
      <c r="X515" s="3061"/>
      <c r="Y515" s="3061"/>
      <c r="Z515" s="3061"/>
      <c r="AA515" s="3061"/>
      <c r="AB515" s="3061"/>
      <c r="AC515" s="3061"/>
      <c r="AD515" s="3061"/>
      <c r="AE515" s="3061"/>
      <c r="AF515" s="3061"/>
      <c r="AG515" s="3061"/>
      <c r="AH515" s="3061"/>
      <c r="AI515" s="3061"/>
      <c r="AJ515" s="3061"/>
      <c r="AK515" s="3061"/>
      <c r="AL515" s="3061"/>
      <c r="AM515" s="3061"/>
      <c r="AN515" s="3061"/>
      <c r="AO515" s="3061"/>
      <c r="AP515" s="3061"/>
      <c r="AQ515" s="3061"/>
      <c r="AR515" s="3061"/>
      <c r="AS515" s="3061"/>
      <c r="AT515" s="3061"/>
      <c r="AU515" s="3061"/>
      <c r="AV515" s="3061"/>
      <c r="AW515" s="3061"/>
      <c r="AX515" s="3061"/>
      <c r="AY515" s="3061"/>
      <c r="AZ515" s="3061"/>
      <c r="BA515" s="3061"/>
      <c r="BB515" s="3061"/>
      <c r="BC515" s="3061"/>
      <c r="BD515" s="3061"/>
      <c r="BE515" s="3061"/>
      <c r="BF515" s="3061"/>
      <c r="BG515" s="3061"/>
      <c r="BH515" s="3061"/>
      <c r="BI515" s="3061"/>
      <c r="BJ515" s="3061"/>
      <c r="BK515" s="3061"/>
      <c r="BL515" s="3061"/>
      <c r="BM515" s="3061"/>
      <c r="BN515" s="3061"/>
      <c r="BO515" s="3061"/>
      <c r="BP515" s="3061"/>
      <c r="BQ515" s="3061"/>
      <c r="BR515" s="3061"/>
      <c r="BS515" s="3061"/>
      <c r="BT515" s="3061"/>
      <c r="BU515" s="3061"/>
      <c r="BV515" s="3061"/>
      <c r="BW515" s="3061"/>
      <c r="BX515" s="3061"/>
      <c r="BY515" s="3061"/>
      <c r="BZ515" s="3061"/>
      <c r="CA515" s="3061"/>
      <c r="CB515" s="3061"/>
      <c r="CC515" s="3061"/>
      <c r="CD515" s="3061"/>
      <c r="CE515" s="3061"/>
      <c r="CF515" s="3061"/>
      <c r="CG515" s="3061"/>
      <c r="CH515" s="3061"/>
      <c r="CI515" s="3061"/>
      <c r="CJ515" s="3061"/>
      <c r="CK515" s="3061"/>
      <c r="CL515" s="3061"/>
      <c r="CM515" s="3061"/>
      <c r="CN515" s="3061"/>
      <c r="CO515" s="3061"/>
      <c r="CP515" s="3061"/>
      <c r="CQ515" s="3061"/>
      <c r="CR515" s="3061"/>
      <c r="CS515" s="3062"/>
      <c r="CT515" s="3063"/>
      <c r="CU515" s="3064">
        <f t="shared" si="134"/>
        <v>1</v>
      </c>
      <c r="CV515" s="3022" t="str">
        <f>IF(OR(CT515="",CT515="None"),"-",DO515*CU515*SUMIF('Lighting Assumptions'!$G$3:$G$112,'6a - Lighting Counts'!G515,'Lighting Assumptions'!$J$3:$J$112))</f>
        <v>-</v>
      </c>
      <c r="CW515" s="3021"/>
      <c r="CX515" s="3021"/>
      <c r="CY515" s="3046"/>
      <c r="CZ515" s="2098">
        <f t="shared" si="135"/>
        <v>0</v>
      </c>
      <c r="DA515" s="2098" t="str">
        <f t="shared" si="136"/>
        <v>-</v>
      </c>
      <c r="DB515" s="2098">
        <f t="shared" si="137"/>
        <v>0</v>
      </c>
      <c r="DC515" s="3023" t="str">
        <f t="shared" si="138"/>
        <v>-</v>
      </c>
      <c r="DD515" s="3024" t="str">
        <f t="shared" si="139"/>
        <v/>
      </c>
      <c r="DE515" s="3025" t="str">
        <f t="shared" si="140"/>
        <v>-</v>
      </c>
      <c r="DF515" s="3024" t="str">
        <f t="shared" si="131"/>
        <v>-</v>
      </c>
      <c r="DG515" s="2098">
        <f t="shared" si="141"/>
        <v>0</v>
      </c>
      <c r="DH515" s="2098">
        <f t="array" ref="DH515">MIN(SUMPRODUCT(I515:CR515,IF($I$25:$CR$25="yes",1,0),$I$23:$CR$23),H515)</f>
        <v>0</v>
      </c>
      <c r="DI515" s="3026"/>
      <c r="DJ515" s="3021"/>
      <c r="DN515" s="917" t="str">
        <f>IF(CS515="","-",SUMIF('Lighting Assumptions'!$G$3:$G$112,'6a - Lighting Counts'!G515,'Lighting Assumptions'!$J$3:$J$112))</f>
        <v>-</v>
      </c>
      <c r="DO515" s="917" t="str">
        <f t="shared" si="132"/>
        <v>-</v>
      </c>
      <c r="DP515" s="917" t="str">
        <f t="shared" si="133"/>
        <v>-</v>
      </c>
      <c r="DQ515" s="917" t="str">
        <f>IF(LEFT(CELLformula(DF515),3)&lt;&gt;"=IF",1,"")</f>
        <v/>
      </c>
      <c r="DR515" s="917" t="str">
        <f>IF(LEFT(CELLformula(DD515),3)&lt;&gt;"=IF",1,"")</f>
        <v/>
      </c>
      <c r="DS515" s="3048">
        <f t="shared" si="142"/>
        <v>0</v>
      </c>
      <c r="DT515" s="3047" t="str">
        <f t="shared" si="143"/>
        <v/>
      </c>
      <c r="DU515" s="3047" t="str">
        <f>IFERROR(IF(G515="","",SUMIF('Lighting Assumptions'!$G$3:$G$112,'6a - Lighting Counts'!G515,'Lighting Assumptions'!$H$3:$H$112)*IF(SI_IP_Units="SI",10.76,1)),"")</f>
        <v/>
      </c>
      <c r="DV515" s="3047" t="str">
        <f>IFERROR(IF($CX515="","",IF(SI_IP_Units="SI",10.76,1)*SUMIF(BAMCategories,$CY515,'Lighting Assumptions'!$E$3:E$35)),"")</f>
        <v/>
      </c>
      <c r="DW515" s="3047" t="str">
        <f>IFERROR(IF($CX515="","",IF(SI_IP_Units="SI",10.76,1)*SUMIF(BAMCategories,$CY515,IF(bpf_reference="ACP",'Lighting Assumptions 90.1-2010'!$E$3:E$35,'Lighting Assumptions 90.1-2016'!$E$3:E$35))),"")</f>
        <v/>
      </c>
      <c r="EW515" s="855"/>
      <c r="EX515" s="855"/>
      <c r="EY515" s="855"/>
      <c r="EZ515" s="855"/>
    </row>
    <row r="516" spans="4:156" x14ac:dyDescent="0.25">
      <c r="D516" s="3029"/>
      <c r="E516" s="3028"/>
      <c r="F516" s="3021">
        <f t="shared" si="130"/>
        <v>0</v>
      </c>
      <c r="G516" s="3059"/>
      <c r="H516" s="3060"/>
      <c r="I516" s="3061"/>
      <c r="J516" s="3061"/>
      <c r="K516" s="3061"/>
      <c r="L516" s="3061"/>
      <c r="M516" s="3061"/>
      <c r="N516" s="3061"/>
      <c r="O516" s="3061"/>
      <c r="P516" s="3061"/>
      <c r="Q516" s="3061"/>
      <c r="R516" s="3061"/>
      <c r="S516" s="3061"/>
      <c r="T516" s="3061"/>
      <c r="U516" s="3061"/>
      <c r="V516" s="3061"/>
      <c r="W516" s="3061"/>
      <c r="X516" s="3061"/>
      <c r="Y516" s="3061"/>
      <c r="Z516" s="3061"/>
      <c r="AA516" s="3061"/>
      <c r="AB516" s="3061"/>
      <c r="AC516" s="3061"/>
      <c r="AD516" s="3061"/>
      <c r="AE516" s="3061"/>
      <c r="AF516" s="3061"/>
      <c r="AG516" s="3061"/>
      <c r="AH516" s="3061"/>
      <c r="AI516" s="3061"/>
      <c r="AJ516" s="3061"/>
      <c r="AK516" s="3061"/>
      <c r="AL516" s="3061"/>
      <c r="AM516" s="3061"/>
      <c r="AN516" s="3061"/>
      <c r="AO516" s="3061"/>
      <c r="AP516" s="3061"/>
      <c r="AQ516" s="3061"/>
      <c r="AR516" s="3061"/>
      <c r="AS516" s="3061"/>
      <c r="AT516" s="3061"/>
      <c r="AU516" s="3061"/>
      <c r="AV516" s="3061"/>
      <c r="AW516" s="3061"/>
      <c r="AX516" s="3061"/>
      <c r="AY516" s="3061"/>
      <c r="AZ516" s="3061"/>
      <c r="BA516" s="3061"/>
      <c r="BB516" s="3061"/>
      <c r="BC516" s="3061"/>
      <c r="BD516" s="3061"/>
      <c r="BE516" s="3061"/>
      <c r="BF516" s="3061"/>
      <c r="BG516" s="3061"/>
      <c r="BH516" s="3061"/>
      <c r="BI516" s="3061"/>
      <c r="BJ516" s="3061"/>
      <c r="BK516" s="3061"/>
      <c r="BL516" s="3061"/>
      <c r="BM516" s="3061"/>
      <c r="BN516" s="3061"/>
      <c r="BO516" s="3061"/>
      <c r="BP516" s="3061"/>
      <c r="BQ516" s="3061"/>
      <c r="BR516" s="3061"/>
      <c r="BS516" s="3061"/>
      <c r="BT516" s="3061"/>
      <c r="BU516" s="3061"/>
      <c r="BV516" s="3061"/>
      <c r="BW516" s="3061"/>
      <c r="BX516" s="3061"/>
      <c r="BY516" s="3061"/>
      <c r="BZ516" s="3061"/>
      <c r="CA516" s="3061"/>
      <c r="CB516" s="3061"/>
      <c r="CC516" s="3061"/>
      <c r="CD516" s="3061"/>
      <c r="CE516" s="3061"/>
      <c r="CF516" s="3061"/>
      <c r="CG516" s="3061"/>
      <c r="CH516" s="3061"/>
      <c r="CI516" s="3061"/>
      <c r="CJ516" s="3061"/>
      <c r="CK516" s="3061"/>
      <c r="CL516" s="3061"/>
      <c r="CM516" s="3061"/>
      <c r="CN516" s="3061"/>
      <c r="CO516" s="3061"/>
      <c r="CP516" s="3061"/>
      <c r="CQ516" s="3061"/>
      <c r="CR516" s="3061"/>
      <c r="CS516" s="3062"/>
      <c r="CT516" s="3063"/>
      <c r="CU516" s="3064">
        <f t="shared" si="134"/>
        <v>1</v>
      </c>
      <c r="CV516" s="3022" t="str">
        <f>IF(OR(CT516="",CT516="None"),"-",DO516*CU516*SUMIF('Lighting Assumptions'!$G$3:$G$112,'6a - Lighting Counts'!G516,'Lighting Assumptions'!$J$3:$J$112))</f>
        <v>-</v>
      </c>
      <c r="CW516" s="3021"/>
      <c r="CX516" s="3021"/>
      <c r="CY516" s="3046"/>
      <c r="CZ516" s="2098">
        <f t="shared" si="135"/>
        <v>0</v>
      </c>
      <c r="DA516" s="2098" t="str">
        <f t="shared" si="136"/>
        <v>-</v>
      </c>
      <c r="DB516" s="2098">
        <f t="shared" si="137"/>
        <v>0</v>
      </c>
      <c r="DC516" s="3023" t="str">
        <f t="shared" si="138"/>
        <v>-</v>
      </c>
      <c r="DD516" s="3024" t="str">
        <f t="shared" si="139"/>
        <v/>
      </c>
      <c r="DE516" s="3025" t="str">
        <f t="shared" si="140"/>
        <v>-</v>
      </c>
      <c r="DF516" s="3024" t="str">
        <f t="shared" si="131"/>
        <v>-</v>
      </c>
      <c r="DG516" s="2098">
        <f t="shared" si="141"/>
        <v>0</v>
      </c>
      <c r="DH516" s="2098">
        <f t="array" ref="DH516">MIN(SUMPRODUCT(I516:CR516,IF($I$25:$CR$25="yes",1,0),$I$23:$CR$23),H516)</f>
        <v>0</v>
      </c>
      <c r="DI516" s="3026"/>
      <c r="DJ516" s="3021"/>
      <c r="DN516" s="917" t="str">
        <f>IF(CS516="","-",SUMIF('Lighting Assumptions'!$G$3:$G$112,'6a - Lighting Counts'!G516,'Lighting Assumptions'!$J$3:$J$112))</f>
        <v>-</v>
      </c>
      <c r="DO516" s="917" t="str">
        <f t="shared" si="132"/>
        <v>-</v>
      </c>
      <c r="DP516" s="917" t="str">
        <f t="shared" si="133"/>
        <v>-</v>
      </c>
      <c r="DQ516" s="917" t="str">
        <f>IF(LEFT(CELLformula(DF516),3)&lt;&gt;"=IF",1,"")</f>
        <v/>
      </c>
      <c r="DR516" s="917" t="str">
        <f>IF(LEFT(CELLformula(DD516),3)&lt;&gt;"=IF",1,"")</f>
        <v/>
      </c>
      <c r="DS516" s="3048">
        <f t="shared" si="142"/>
        <v>0</v>
      </c>
      <c r="DT516" s="3047" t="str">
        <f t="shared" si="143"/>
        <v/>
      </c>
      <c r="DU516" s="3047" t="str">
        <f>IFERROR(IF(G516="","",SUMIF('Lighting Assumptions'!$G$3:$G$112,'6a - Lighting Counts'!G516,'Lighting Assumptions'!$H$3:$H$112)*IF(SI_IP_Units="SI",10.76,1)),"")</f>
        <v/>
      </c>
      <c r="DV516" s="3047" t="str">
        <f>IFERROR(IF($CX516="","",IF(SI_IP_Units="SI",10.76,1)*SUMIF(BAMCategories,$CY516,'Lighting Assumptions'!$E$3:E$35)),"")</f>
        <v/>
      </c>
      <c r="DW516" s="3047" t="str">
        <f>IFERROR(IF($CX516="","",IF(SI_IP_Units="SI",10.76,1)*SUMIF(BAMCategories,$CY516,IF(bpf_reference="ACP",'Lighting Assumptions 90.1-2010'!$E$3:E$35,'Lighting Assumptions 90.1-2016'!$E$3:E$35))),"")</f>
        <v/>
      </c>
      <c r="EW516" s="855"/>
      <c r="EX516" s="855"/>
      <c r="EY516" s="855"/>
      <c r="EZ516" s="855"/>
    </row>
    <row r="517" spans="4:156" x14ac:dyDescent="0.25">
      <c r="D517" s="3029"/>
      <c r="E517" s="3028"/>
      <c r="F517" s="3021">
        <f t="shared" si="130"/>
        <v>0</v>
      </c>
      <c r="G517" s="3059"/>
      <c r="H517" s="3060"/>
      <c r="I517" s="3061"/>
      <c r="J517" s="3061"/>
      <c r="K517" s="3061"/>
      <c r="L517" s="3061"/>
      <c r="M517" s="3061"/>
      <c r="N517" s="3061"/>
      <c r="O517" s="3061"/>
      <c r="P517" s="3061"/>
      <c r="Q517" s="3061"/>
      <c r="R517" s="3061"/>
      <c r="S517" s="3061"/>
      <c r="T517" s="3061"/>
      <c r="U517" s="3061"/>
      <c r="V517" s="3061"/>
      <c r="W517" s="3061"/>
      <c r="X517" s="3061"/>
      <c r="Y517" s="3061"/>
      <c r="Z517" s="3061"/>
      <c r="AA517" s="3061"/>
      <c r="AB517" s="3061"/>
      <c r="AC517" s="3061"/>
      <c r="AD517" s="3061"/>
      <c r="AE517" s="3061"/>
      <c r="AF517" s="3061"/>
      <c r="AG517" s="3061"/>
      <c r="AH517" s="3061"/>
      <c r="AI517" s="3061"/>
      <c r="AJ517" s="3061"/>
      <c r="AK517" s="3061"/>
      <c r="AL517" s="3061"/>
      <c r="AM517" s="3061"/>
      <c r="AN517" s="3061"/>
      <c r="AO517" s="3061"/>
      <c r="AP517" s="3061"/>
      <c r="AQ517" s="3061"/>
      <c r="AR517" s="3061"/>
      <c r="AS517" s="3061"/>
      <c r="AT517" s="3061"/>
      <c r="AU517" s="3061"/>
      <c r="AV517" s="3061"/>
      <c r="AW517" s="3061"/>
      <c r="AX517" s="3061"/>
      <c r="AY517" s="3061"/>
      <c r="AZ517" s="3061"/>
      <c r="BA517" s="3061"/>
      <c r="BB517" s="3061"/>
      <c r="BC517" s="3061"/>
      <c r="BD517" s="3061"/>
      <c r="BE517" s="3061"/>
      <c r="BF517" s="3061"/>
      <c r="BG517" s="3061"/>
      <c r="BH517" s="3061"/>
      <c r="BI517" s="3061"/>
      <c r="BJ517" s="3061"/>
      <c r="BK517" s="3061"/>
      <c r="BL517" s="3061"/>
      <c r="BM517" s="3061"/>
      <c r="BN517" s="3061"/>
      <c r="BO517" s="3061"/>
      <c r="BP517" s="3061"/>
      <c r="BQ517" s="3061"/>
      <c r="BR517" s="3061"/>
      <c r="BS517" s="3061"/>
      <c r="BT517" s="3061"/>
      <c r="BU517" s="3061"/>
      <c r="BV517" s="3061"/>
      <c r="BW517" s="3061"/>
      <c r="BX517" s="3061"/>
      <c r="BY517" s="3061"/>
      <c r="BZ517" s="3061"/>
      <c r="CA517" s="3061"/>
      <c r="CB517" s="3061"/>
      <c r="CC517" s="3061"/>
      <c r="CD517" s="3061"/>
      <c r="CE517" s="3061"/>
      <c r="CF517" s="3061"/>
      <c r="CG517" s="3061"/>
      <c r="CH517" s="3061"/>
      <c r="CI517" s="3061"/>
      <c r="CJ517" s="3061"/>
      <c r="CK517" s="3061"/>
      <c r="CL517" s="3061"/>
      <c r="CM517" s="3061"/>
      <c r="CN517" s="3061"/>
      <c r="CO517" s="3061"/>
      <c r="CP517" s="3061"/>
      <c r="CQ517" s="3061"/>
      <c r="CR517" s="3061"/>
      <c r="CS517" s="3062"/>
      <c r="CT517" s="3063"/>
      <c r="CU517" s="3064">
        <f t="shared" si="134"/>
        <v>1</v>
      </c>
      <c r="CV517" s="3022" t="str">
        <f>IF(OR(CT517="",CT517="None"),"-",DO517*CU517*SUMIF('Lighting Assumptions'!$G$3:$G$112,'6a - Lighting Counts'!G517,'Lighting Assumptions'!$J$3:$J$112))</f>
        <v>-</v>
      </c>
      <c r="CW517" s="3021"/>
      <c r="CX517" s="3021"/>
      <c r="CY517" s="3046"/>
      <c r="CZ517" s="2098">
        <f t="shared" si="135"/>
        <v>0</v>
      </c>
      <c r="DA517" s="2098" t="str">
        <f t="shared" si="136"/>
        <v>-</v>
      </c>
      <c r="DB517" s="2098">
        <f t="shared" si="137"/>
        <v>0</v>
      </c>
      <c r="DC517" s="3023" t="str">
        <f t="shared" si="138"/>
        <v>-</v>
      </c>
      <c r="DD517" s="3024" t="str">
        <f t="shared" si="139"/>
        <v/>
      </c>
      <c r="DE517" s="3025" t="str">
        <f t="shared" si="140"/>
        <v>-</v>
      </c>
      <c r="DF517" s="3024" t="str">
        <f t="shared" si="131"/>
        <v>-</v>
      </c>
      <c r="DG517" s="2098">
        <f t="shared" si="141"/>
        <v>0</v>
      </c>
      <c r="DH517" s="2098">
        <f t="array" ref="DH517">MIN(SUMPRODUCT(I517:CR517,IF($I$25:$CR$25="yes",1,0),$I$23:$CR$23),H517)</f>
        <v>0</v>
      </c>
      <c r="DI517" s="3026"/>
      <c r="DJ517" s="3021"/>
      <c r="DN517" s="917" t="str">
        <f>IF(CS517="","-",SUMIF('Lighting Assumptions'!$G$3:$G$112,'6a - Lighting Counts'!G517,'Lighting Assumptions'!$J$3:$J$112))</f>
        <v>-</v>
      </c>
      <c r="DO517" s="917" t="str">
        <f t="shared" si="132"/>
        <v>-</v>
      </c>
      <c r="DP517" s="917" t="str">
        <f t="shared" si="133"/>
        <v>-</v>
      </c>
      <c r="DQ517" s="917" t="str">
        <f>IF(LEFT(CELLformula(DF517),3)&lt;&gt;"=IF",1,"")</f>
        <v/>
      </c>
      <c r="DR517" s="917" t="str">
        <f>IF(LEFT(CELLformula(DD517),3)&lt;&gt;"=IF",1,"")</f>
        <v/>
      </c>
      <c r="DS517" s="3048">
        <f t="shared" si="142"/>
        <v>0</v>
      </c>
      <c r="DT517" s="3047" t="str">
        <f t="shared" si="143"/>
        <v/>
      </c>
      <c r="DU517" s="3047" t="str">
        <f>IFERROR(IF(G517="","",SUMIF('Lighting Assumptions'!$G$3:$G$112,'6a - Lighting Counts'!G517,'Lighting Assumptions'!$H$3:$H$112)*IF(SI_IP_Units="SI",10.76,1)),"")</f>
        <v/>
      </c>
      <c r="DV517" s="3047" t="str">
        <f>IFERROR(IF($CX517="","",IF(SI_IP_Units="SI",10.76,1)*SUMIF(BAMCategories,$CY517,'Lighting Assumptions'!$E$3:E$35)),"")</f>
        <v/>
      </c>
      <c r="DW517" s="3047" t="str">
        <f>IFERROR(IF($CX517="","",IF(SI_IP_Units="SI",10.76,1)*SUMIF(BAMCategories,$CY517,IF(bpf_reference="ACP",'Lighting Assumptions 90.1-2010'!$E$3:E$35,'Lighting Assumptions 90.1-2016'!$E$3:E$35))),"")</f>
        <v/>
      </c>
      <c r="EW517" s="855"/>
      <c r="EX517" s="855"/>
      <c r="EY517" s="855"/>
      <c r="EZ517" s="855"/>
    </row>
    <row r="518" spans="4:156" x14ac:dyDescent="0.25">
      <c r="D518" s="3029"/>
      <c r="E518" s="3028"/>
      <c r="F518" s="3021">
        <f t="shared" si="130"/>
        <v>0</v>
      </c>
      <c r="G518" s="3059"/>
      <c r="H518" s="3060"/>
      <c r="I518" s="3061"/>
      <c r="J518" s="3061"/>
      <c r="K518" s="3061"/>
      <c r="L518" s="3061"/>
      <c r="M518" s="3061"/>
      <c r="N518" s="3061"/>
      <c r="O518" s="3061"/>
      <c r="P518" s="3061"/>
      <c r="Q518" s="3061"/>
      <c r="R518" s="3061"/>
      <c r="S518" s="3061"/>
      <c r="T518" s="3061"/>
      <c r="U518" s="3061"/>
      <c r="V518" s="3061"/>
      <c r="W518" s="3061"/>
      <c r="X518" s="3061"/>
      <c r="Y518" s="3061"/>
      <c r="Z518" s="3061"/>
      <c r="AA518" s="3061"/>
      <c r="AB518" s="3061"/>
      <c r="AC518" s="3061"/>
      <c r="AD518" s="3061"/>
      <c r="AE518" s="3061"/>
      <c r="AF518" s="3061"/>
      <c r="AG518" s="3061"/>
      <c r="AH518" s="3061"/>
      <c r="AI518" s="3061"/>
      <c r="AJ518" s="3061"/>
      <c r="AK518" s="3061"/>
      <c r="AL518" s="3061"/>
      <c r="AM518" s="3061"/>
      <c r="AN518" s="3061"/>
      <c r="AO518" s="3061"/>
      <c r="AP518" s="3061"/>
      <c r="AQ518" s="3061"/>
      <c r="AR518" s="3061"/>
      <c r="AS518" s="3061"/>
      <c r="AT518" s="3061"/>
      <c r="AU518" s="3061"/>
      <c r="AV518" s="3061"/>
      <c r="AW518" s="3061"/>
      <c r="AX518" s="3061"/>
      <c r="AY518" s="3061"/>
      <c r="AZ518" s="3061"/>
      <c r="BA518" s="3061"/>
      <c r="BB518" s="3061"/>
      <c r="BC518" s="3061"/>
      <c r="BD518" s="3061"/>
      <c r="BE518" s="3061"/>
      <c r="BF518" s="3061"/>
      <c r="BG518" s="3061"/>
      <c r="BH518" s="3061"/>
      <c r="BI518" s="3061"/>
      <c r="BJ518" s="3061"/>
      <c r="BK518" s="3061"/>
      <c r="BL518" s="3061"/>
      <c r="BM518" s="3061"/>
      <c r="BN518" s="3061"/>
      <c r="BO518" s="3061"/>
      <c r="BP518" s="3061"/>
      <c r="BQ518" s="3061"/>
      <c r="BR518" s="3061"/>
      <c r="BS518" s="3061"/>
      <c r="BT518" s="3061"/>
      <c r="BU518" s="3061"/>
      <c r="BV518" s="3061"/>
      <c r="BW518" s="3061"/>
      <c r="BX518" s="3061"/>
      <c r="BY518" s="3061"/>
      <c r="BZ518" s="3061"/>
      <c r="CA518" s="3061"/>
      <c r="CB518" s="3061"/>
      <c r="CC518" s="3061"/>
      <c r="CD518" s="3061"/>
      <c r="CE518" s="3061"/>
      <c r="CF518" s="3061"/>
      <c r="CG518" s="3061"/>
      <c r="CH518" s="3061"/>
      <c r="CI518" s="3061"/>
      <c r="CJ518" s="3061"/>
      <c r="CK518" s="3061"/>
      <c r="CL518" s="3061"/>
      <c r="CM518" s="3061"/>
      <c r="CN518" s="3061"/>
      <c r="CO518" s="3061"/>
      <c r="CP518" s="3061"/>
      <c r="CQ518" s="3061"/>
      <c r="CR518" s="3061"/>
      <c r="CS518" s="3062"/>
      <c r="CT518" s="3063"/>
      <c r="CU518" s="3064">
        <f t="shared" si="134"/>
        <v>1</v>
      </c>
      <c r="CV518" s="3022" t="str">
        <f>IF(OR(CT518="",CT518="None"),"-",DO518*CU518*SUMIF('Lighting Assumptions'!$G$3:$G$112,'6a - Lighting Counts'!G518,'Lighting Assumptions'!$J$3:$J$112))</f>
        <v>-</v>
      </c>
      <c r="CW518" s="3021"/>
      <c r="CX518" s="3021"/>
      <c r="CY518" s="3046"/>
      <c r="CZ518" s="2098">
        <f t="shared" si="135"/>
        <v>0</v>
      </c>
      <c r="DA518" s="2098" t="str">
        <f t="shared" si="136"/>
        <v>-</v>
      </c>
      <c r="DB518" s="2098">
        <f t="shared" si="137"/>
        <v>0</v>
      </c>
      <c r="DC518" s="3023" t="str">
        <f t="shared" si="138"/>
        <v>-</v>
      </c>
      <c r="DD518" s="3024" t="str">
        <f t="shared" si="139"/>
        <v/>
      </c>
      <c r="DE518" s="3025" t="str">
        <f t="shared" si="140"/>
        <v>-</v>
      </c>
      <c r="DF518" s="3024" t="str">
        <f t="shared" si="131"/>
        <v>-</v>
      </c>
      <c r="DG518" s="2098">
        <f t="shared" si="141"/>
        <v>0</v>
      </c>
      <c r="DH518" s="2098">
        <f t="array" ref="DH518">MIN(SUMPRODUCT(I518:CR518,IF($I$25:$CR$25="yes",1,0),$I$23:$CR$23),H518)</f>
        <v>0</v>
      </c>
      <c r="DI518" s="3026"/>
      <c r="DJ518" s="3021"/>
      <c r="DN518" s="917" t="str">
        <f>IF(CS518="","-",SUMIF('Lighting Assumptions'!$G$3:$G$112,'6a - Lighting Counts'!G518,'Lighting Assumptions'!$J$3:$J$112))</f>
        <v>-</v>
      </c>
      <c r="DO518" s="917" t="str">
        <f t="shared" si="132"/>
        <v>-</v>
      </c>
      <c r="DP518" s="917" t="str">
        <f t="shared" si="133"/>
        <v>-</v>
      </c>
      <c r="DQ518" s="917" t="str">
        <f>IF(LEFT(CELLformula(DF518),3)&lt;&gt;"=IF",1,"")</f>
        <v/>
      </c>
      <c r="DR518" s="917" t="str">
        <f>IF(LEFT(CELLformula(DD518),3)&lt;&gt;"=IF",1,"")</f>
        <v/>
      </c>
      <c r="DS518" s="3048">
        <f t="shared" si="142"/>
        <v>0</v>
      </c>
      <c r="DT518" s="3047" t="str">
        <f t="shared" si="143"/>
        <v/>
      </c>
      <c r="DU518" s="3047" t="str">
        <f>IFERROR(IF(G518="","",SUMIF('Lighting Assumptions'!$G$3:$G$112,'6a - Lighting Counts'!G518,'Lighting Assumptions'!$H$3:$H$112)*IF(SI_IP_Units="SI",10.76,1)),"")</f>
        <v/>
      </c>
      <c r="DV518" s="3047" t="str">
        <f>IFERROR(IF($CX518="","",IF(SI_IP_Units="SI",10.76,1)*SUMIF(BAMCategories,$CY518,'Lighting Assumptions'!$E$3:E$35)),"")</f>
        <v/>
      </c>
      <c r="DW518" s="3047" t="str">
        <f>IFERROR(IF($CX518="","",IF(SI_IP_Units="SI",10.76,1)*SUMIF(BAMCategories,$CY518,IF(bpf_reference="ACP",'Lighting Assumptions 90.1-2010'!$E$3:E$35,'Lighting Assumptions 90.1-2016'!$E$3:E$35))),"")</f>
        <v/>
      </c>
      <c r="EW518" s="855"/>
      <c r="EX518" s="855"/>
      <c r="EY518" s="855"/>
      <c r="EZ518" s="855"/>
    </row>
    <row r="519" spans="4:156" x14ac:dyDescent="0.25">
      <c r="D519" s="3029"/>
      <c r="E519" s="3028"/>
      <c r="F519" s="3021">
        <f t="shared" si="130"/>
        <v>0</v>
      </c>
      <c r="G519" s="3059"/>
      <c r="H519" s="3060"/>
      <c r="I519" s="3061"/>
      <c r="J519" s="3061"/>
      <c r="K519" s="3061"/>
      <c r="L519" s="3061"/>
      <c r="M519" s="3061"/>
      <c r="N519" s="3061"/>
      <c r="O519" s="3061"/>
      <c r="P519" s="3061"/>
      <c r="Q519" s="3061"/>
      <c r="R519" s="3061"/>
      <c r="S519" s="3061"/>
      <c r="T519" s="3061"/>
      <c r="U519" s="3061"/>
      <c r="V519" s="3061"/>
      <c r="W519" s="3061"/>
      <c r="X519" s="3061"/>
      <c r="Y519" s="3061"/>
      <c r="Z519" s="3061"/>
      <c r="AA519" s="3061"/>
      <c r="AB519" s="3061"/>
      <c r="AC519" s="3061"/>
      <c r="AD519" s="3061"/>
      <c r="AE519" s="3061"/>
      <c r="AF519" s="3061"/>
      <c r="AG519" s="3061"/>
      <c r="AH519" s="3061"/>
      <c r="AI519" s="3061"/>
      <c r="AJ519" s="3061"/>
      <c r="AK519" s="3061"/>
      <c r="AL519" s="3061"/>
      <c r="AM519" s="3061"/>
      <c r="AN519" s="3061"/>
      <c r="AO519" s="3061"/>
      <c r="AP519" s="3061"/>
      <c r="AQ519" s="3061"/>
      <c r="AR519" s="3061"/>
      <c r="AS519" s="3061"/>
      <c r="AT519" s="3061"/>
      <c r="AU519" s="3061"/>
      <c r="AV519" s="3061"/>
      <c r="AW519" s="3061"/>
      <c r="AX519" s="3061"/>
      <c r="AY519" s="3061"/>
      <c r="AZ519" s="3061"/>
      <c r="BA519" s="3061"/>
      <c r="BB519" s="3061"/>
      <c r="BC519" s="3061"/>
      <c r="BD519" s="3061"/>
      <c r="BE519" s="3061"/>
      <c r="BF519" s="3061"/>
      <c r="BG519" s="3061"/>
      <c r="BH519" s="3061"/>
      <c r="BI519" s="3061"/>
      <c r="BJ519" s="3061"/>
      <c r="BK519" s="3061"/>
      <c r="BL519" s="3061"/>
      <c r="BM519" s="3061"/>
      <c r="BN519" s="3061"/>
      <c r="BO519" s="3061"/>
      <c r="BP519" s="3061"/>
      <c r="BQ519" s="3061"/>
      <c r="BR519" s="3061"/>
      <c r="BS519" s="3061"/>
      <c r="BT519" s="3061"/>
      <c r="BU519" s="3061"/>
      <c r="BV519" s="3061"/>
      <c r="BW519" s="3061"/>
      <c r="BX519" s="3061"/>
      <c r="BY519" s="3061"/>
      <c r="BZ519" s="3061"/>
      <c r="CA519" s="3061"/>
      <c r="CB519" s="3061"/>
      <c r="CC519" s="3061"/>
      <c r="CD519" s="3061"/>
      <c r="CE519" s="3061"/>
      <c r="CF519" s="3061"/>
      <c r="CG519" s="3061"/>
      <c r="CH519" s="3061"/>
      <c r="CI519" s="3061"/>
      <c r="CJ519" s="3061"/>
      <c r="CK519" s="3061"/>
      <c r="CL519" s="3061"/>
      <c r="CM519" s="3061"/>
      <c r="CN519" s="3061"/>
      <c r="CO519" s="3061"/>
      <c r="CP519" s="3061"/>
      <c r="CQ519" s="3061"/>
      <c r="CR519" s="3061"/>
      <c r="CS519" s="3062"/>
      <c r="CT519" s="3063"/>
      <c r="CU519" s="3064">
        <f t="shared" si="134"/>
        <v>1</v>
      </c>
      <c r="CV519" s="3022" t="str">
        <f>IF(OR(CT519="",CT519="None"),"-",DO519*CU519*SUMIF('Lighting Assumptions'!$G$3:$G$112,'6a - Lighting Counts'!G519,'Lighting Assumptions'!$J$3:$J$112))</f>
        <v>-</v>
      </c>
      <c r="CW519" s="3021"/>
      <c r="CX519" s="3021"/>
      <c r="CY519" s="3046"/>
      <c r="CZ519" s="2098">
        <f t="shared" si="135"/>
        <v>0</v>
      </c>
      <c r="DA519" s="2098" t="str">
        <f t="shared" si="136"/>
        <v>-</v>
      </c>
      <c r="DB519" s="2098">
        <f t="shared" si="137"/>
        <v>0</v>
      </c>
      <c r="DC519" s="3023" t="str">
        <f t="shared" si="138"/>
        <v>-</v>
      </c>
      <c r="DD519" s="3024" t="str">
        <f t="shared" si="139"/>
        <v/>
      </c>
      <c r="DE519" s="3025" t="str">
        <f t="shared" si="140"/>
        <v>-</v>
      </c>
      <c r="DF519" s="3024" t="str">
        <f t="shared" si="131"/>
        <v>-</v>
      </c>
      <c r="DG519" s="2098">
        <f t="shared" si="141"/>
        <v>0</v>
      </c>
      <c r="DH519" s="2098">
        <f t="array" ref="DH519">MIN(SUMPRODUCT(I519:CR519,IF($I$25:$CR$25="yes",1,0),$I$23:$CR$23),H519)</f>
        <v>0</v>
      </c>
      <c r="DI519" s="3026"/>
      <c r="DJ519" s="3021"/>
      <c r="DN519" s="917" t="str">
        <f>IF(CS519="","-",SUMIF('Lighting Assumptions'!$G$3:$G$112,'6a - Lighting Counts'!G519,'Lighting Assumptions'!$J$3:$J$112))</f>
        <v>-</v>
      </c>
      <c r="DO519" s="917" t="str">
        <f t="shared" si="132"/>
        <v>-</v>
      </c>
      <c r="DP519" s="917" t="str">
        <f t="shared" si="133"/>
        <v>-</v>
      </c>
      <c r="DQ519" s="917" t="str">
        <f>IF(LEFT(CELLformula(DF519),3)&lt;&gt;"=IF",1,"")</f>
        <v/>
      </c>
      <c r="DR519" s="917" t="str">
        <f>IF(LEFT(CELLformula(DD519),3)&lt;&gt;"=IF",1,"")</f>
        <v/>
      </c>
      <c r="DS519" s="3048">
        <f t="shared" si="142"/>
        <v>0</v>
      </c>
      <c r="DT519" s="3047" t="str">
        <f t="shared" si="143"/>
        <v/>
      </c>
      <c r="DU519" s="3047" t="str">
        <f>IFERROR(IF(G519="","",SUMIF('Lighting Assumptions'!$G$3:$G$112,'6a - Lighting Counts'!G519,'Lighting Assumptions'!$H$3:$H$112)*IF(SI_IP_Units="SI",10.76,1)),"")</f>
        <v/>
      </c>
      <c r="DV519" s="3047" t="str">
        <f>IFERROR(IF($CX519="","",IF(SI_IP_Units="SI",10.76,1)*SUMIF(BAMCategories,$CY519,'Lighting Assumptions'!$E$3:E$35)),"")</f>
        <v/>
      </c>
      <c r="DW519" s="3047" t="str">
        <f>IFERROR(IF($CX519="","",IF(SI_IP_Units="SI",10.76,1)*SUMIF(BAMCategories,$CY519,IF(bpf_reference="ACP",'Lighting Assumptions 90.1-2010'!$E$3:E$35,'Lighting Assumptions 90.1-2016'!$E$3:E$35))),"")</f>
        <v/>
      </c>
      <c r="EW519" s="855"/>
      <c r="EX519" s="855"/>
      <c r="EY519" s="855"/>
      <c r="EZ519" s="855"/>
    </row>
    <row r="520" spans="4:156" x14ac:dyDescent="0.25">
      <c r="D520" s="3029"/>
      <c r="E520" s="3028"/>
      <c r="F520" s="3021">
        <f t="shared" si="130"/>
        <v>0</v>
      </c>
      <c r="G520" s="3059"/>
      <c r="H520" s="3060"/>
      <c r="I520" s="3061"/>
      <c r="J520" s="3061"/>
      <c r="K520" s="3061"/>
      <c r="L520" s="3061"/>
      <c r="M520" s="3061"/>
      <c r="N520" s="3061"/>
      <c r="O520" s="3061"/>
      <c r="P520" s="3061"/>
      <c r="Q520" s="3061"/>
      <c r="R520" s="3061"/>
      <c r="S520" s="3061"/>
      <c r="T520" s="3061"/>
      <c r="U520" s="3061"/>
      <c r="V520" s="3061"/>
      <c r="W520" s="3061"/>
      <c r="X520" s="3061"/>
      <c r="Y520" s="3061"/>
      <c r="Z520" s="3061"/>
      <c r="AA520" s="3061"/>
      <c r="AB520" s="3061"/>
      <c r="AC520" s="3061"/>
      <c r="AD520" s="3061"/>
      <c r="AE520" s="3061"/>
      <c r="AF520" s="3061"/>
      <c r="AG520" s="3061"/>
      <c r="AH520" s="3061"/>
      <c r="AI520" s="3061"/>
      <c r="AJ520" s="3061"/>
      <c r="AK520" s="3061"/>
      <c r="AL520" s="3061"/>
      <c r="AM520" s="3061"/>
      <c r="AN520" s="3061"/>
      <c r="AO520" s="3061"/>
      <c r="AP520" s="3061"/>
      <c r="AQ520" s="3061"/>
      <c r="AR520" s="3061"/>
      <c r="AS520" s="3061"/>
      <c r="AT520" s="3061"/>
      <c r="AU520" s="3061"/>
      <c r="AV520" s="3061"/>
      <c r="AW520" s="3061"/>
      <c r="AX520" s="3061"/>
      <c r="AY520" s="3061"/>
      <c r="AZ520" s="3061"/>
      <c r="BA520" s="3061"/>
      <c r="BB520" s="3061"/>
      <c r="BC520" s="3061"/>
      <c r="BD520" s="3061"/>
      <c r="BE520" s="3061"/>
      <c r="BF520" s="3061"/>
      <c r="BG520" s="3061"/>
      <c r="BH520" s="3061"/>
      <c r="BI520" s="3061"/>
      <c r="BJ520" s="3061"/>
      <c r="BK520" s="3061"/>
      <c r="BL520" s="3061"/>
      <c r="BM520" s="3061"/>
      <c r="BN520" s="3061"/>
      <c r="BO520" s="3061"/>
      <c r="BP520" s="3061"/>
      <c r="BQ520" s="3061"/>
      <c r="BR520" s="3061"/>
      <c r="BS520" s="3061"/>
      <c r="BT520" s="3061"/>
      <c r="BU520" s="3061"/>
      <c r="BV520" s="3061"/>
      <c r="BW520" s="3061"/>
      <c r="BX520" s="3061"/>
      <c r="BY520" s="3061"/>
      <c r="BZ520" s="3061"/>
      <c r="CA520" s="3061"/>
      <c r="CB520" s="3061"/>
      <c r="CC520" s="3061"/>
      <c r="CD520" s="3061"/>
      <c r="CE520" s="3061"/>
      <c r="CF520" s="3061"/>
      <c r="CG520" s="3061"/>
      <c r="CH520" s="3061"/>
      <c r="CI520" s="3061"/>
      <c r="CJ520" s="3061"/>
      <c r="CK520" s="3061"/>
      <c r="CL520" s="3061"/>
      <c r="CM520" s="3061"/>
      <c r="CN520" s="3061"/>
      <c r="CO520" s="3061"/>
      <c r="CP520" s="3061"/>
      <c r="CQ520" s="3061"/>
      <c r="CR520" s="3061"/>
      <c r="CS520" s="3062"/>
      <c r="CT520" s="3063"/>
      <c r="CU520" s="3064">
        <f t="shared" si="134"/>
        <v>1</v>
      </c>
      <c r="CV520" s="3022" t="str">
        <f>IF(OR(CT520="",CT520="None"),"-",DO520*CU520*SUMIF('Lighting Assumptions'!$G$3:$G$112,'6a - Lighting Counts'!G520,'Lighting Assumptions'!$J$3:$J$112))</f>
        <v>-</v>
      </c>
      <c r="CW520" s="3021"/>
      <c r="CX520" s="3021"/>
      <c r="CY520" s="3046"/>
      <c r="CZ520" s="2098">
        <f t="shared" si="135"/>
        <v>0</v>
      </c>
      <c r="DA520" s="2098" t="str">
        <f t="shared" si="136"/>
        <v>-</v>
      </c>
      <c r="DB520" s="2098">
        <f t="shared" si="137"/>
        <v>0</v>
      </c>
      <c r="DC520" s="3023" t="str">
        <f t="shared" si="138"/>
        <v>-</v>
      </c>
      <c r="DD520" s="3024" t="str">
        <f t="shared" si="139"/>
        <v/>
      </c>
      <c r="DE520" s="3025" t="str">
        <f t="shared" si="140"/>
        <v>-</v>
      </c>
      <c r="DF520" s="3024" t="str">
        <f t="shared" si="131"/>
        <v>-</v>
      </c>
      <c r="DG520" s="2098">
        <f t="shared" si="141"/>
        <v>0</v>
      </c>
      <c r="DH520" s="2098">
        <f t="array" ref="DH520">MIN(SUMPRODUCT(I520:CR520,IF($I$25:$CR$25="yes",1,0),$I$23:$CR$23),H520)</f>
        <v>0</v>
      </c>
      <c r="DI520" s="3026"/>
      <c r="DJ520" s="3021"/>
      <c r="DN520" s="917" t="str">
        <f>IF(CS520="","-",SUMIF('Lighting Assumptions'!$G$3:$G$112,'6a - Lighting Counts'!G520,'Lighting Assumptions'!$J$3:$J$112))</f>
        <v>-</v>
      </c>
      <c r="DO520" s="917" t="str">
        <f t="shared" si="132"/>
        <v>-</v>
      </c>
      <c r="DP520" s="917" t="str">
        <f t="shared" si="133"/>
        <v>-</v>
      </c>
      <c r="DQ520" s="917" t="str">
        <f>IF(LEFT(CELLformula(DF520),3)&lt;&gt;"=IF",1,"")</f>
        <v/>
      </c>
      <c r="DR520" s="917" t="str">
        <f>IF(LEFT(CELLformula(DD520),3)&lt;&gt;"=IF",1,"")</f>
        <v/>
      </c>
      <c r="DS520" s="3048">
        <f t="shared" si="142"/>
        <v>0</v>
      </c>
      <c r="DT520" s="3047" t="str">
        <f t="shared" si="143"/>
        <v/>
      </c>
      <c r="DU520" s="3047" t="str">
        <f>IFERROR(IF(G520="","",SUMIF('Lighting Assumptions'!$G$3:$G$112,'6a - Lighting Counts'!G520,'Lighting Assumptions'!$H$3:$H$112)*IF(SI_IP_Units="SI",10.76,1)),"")</f>
        <v/>
      </c>
      <c r="DV520" s="3047" t="str">
        <f>IFERROR(IF($CX520="","",IF(SI_IP_Units="SI",10.76,1)*SUMIF(BAMCategories,$CY520,'Lighting Assumptions'!$E$3:E$35)),"")</f>
        <v/>
      </c>
      <c r="DW520" s="3047" t="str">
        <f>IFERROR(IF($CX520="","",IF(SI_IP_Units="SI",10.76,1)*SUMIF(BAMCategories,$CY520,IF(bpf_reference="ACP",'Lighting Assumptions 90.1-2010'!$E$3:E$35,'Lighting Assumptions 90.1-2016'!$E$3:E$35))),"")</f>
        <v/>
      </c>
      <c r="EW520" s="855"/>
      <c r="EX520" s="855"/>
      <c r="EY520" s="855"/>
      <c r="EZ520" s="855"/>
    </row>
    <row r="521" spans="4:156" x14ac:dyDescent="0.25">
      <c r="D521" s="3029"/>
      <c r="E521" s="3028"/>
      <c r="F521" s="3021">
        <f t="shared" si="130"/>
        <v>0</v>
      </c>
      <c r="G521" s="3059"/>
      <c r="H521" s="3060"/>
      <c r="I521" s="3061"/>
      <c r="J521" s="3061"/>
      <c r="K521" s="3061"/>
      <c r="L521" s="3061"/>
      <c r="M521" s="3061"/>
      <c r="N521" s="3061"/>
      <c r="O521" s="3061"/>
      <c r="P521" s="3061"/>
      <c r="Q521" s="3061"/>
      <c r="R521" s="3061"/>
      <c r="S521" s="3061"/>
      <c r="T521" s="3061"/>
      <c r="U521" s="3061"/>
      <c r="V521" s="3061"/>
      <c r="W521" s="3061"/>
      <c r="X521" s="3061"/>
      <c r="Y521" s="3061"/>
      <c r="Z521" s="3061"/>
      <c r="AA521" s="3061"/>
      <c r="AB521" s="3061"/>
      <c r="AC521" s="3061"/>
      <c r="AD521" s="3061"/>
      <c r="AE521" s="3061"/>
      <c r="AF521" s="3061"/>
      <c r="AG521" s="3061"/>
      <c r="AH521" s="3061"/>
      <c r="AI521" s="3061"/>
      <c r="AJ521" s="3061"/>
      <c r="AK521" s="3061"/>
      <c r="AL521" s="3061"/>
      <c r="AM521" s="3061"/>
      <c r="AN521" s="3061"/>
      <c r="AO521" s="3061"/>
      <c r="AP521" s="3061"/>
      <c r="AQ521" s="3061"/>
      <c r="AR521" s="3061"/>
      <c r="AS521" s="3061"/>
      <c r="AT521" s="3061"/>
      <c r="AU521" s="3061"/>
      <c r="AV521" s="3061"/>
      <c r="AW521" s="3061"/>
      <c r="AX521" s="3061"/>
      <c r="AY521" s="3061"/>
      <c r="AZ521" s="3061"/>
      <c r="BA521" s="3061"/>
      <c r="BB521" s="3061"/>
      <c r="BC521" s="3061"/>
      <c r="BD521" s="3061"/>
      <c r="BE521" s="3061"/>
      <c r="BF521" s="3061"/>
      <c r="BG521" s="3061"/>
      <c r="BH521" s="3061"/>
      <c r="BI521" s="3061"/>
      <c r="BJ521" s="3061"/>
      <c r="BK521" s="3061"/>
      <c r="BL521" s="3061"/>
      <c r="BM521" s="3061"/>
      <c r="BN521" s="3061"/>
      <c r="BO521" s="3061"/>
      <c r="BP521" s="3061"/>
      <c r="BQ521" s="3061"/>
      <c r="BR521" s="3061"/>
      <c r="BS521" s="3061"/>
      <c r="BT521" s="3061"/>
      <c r="BU521" s="3061"/>
      <c r="BV521" s="3061"/>
      <c r="BW521" s="3061"/>
      <c r="BX521" s="3061"/>
      <c r="BY521" s="3061"/>
      <c r="BZ521" s="3061"/>
      <c r="CA521" s="3061"/>
      <c r="CB521" s="3061"/>
      <c r="CC521" s="3061"/>
      <c r="CD521" s="3061"/>
      <c r="CE521" s="3061"/>
      <c r="CF521" s="3061"/>
      <c r="CG521" s="3061"/>
      <c r="CH521" s="3061"/>
      <c r="CI521" s="3061"/>
      <c r="CJ521" s="3061"/>
      <c r="CK521" s="3061"/>
      <c r="CL521" s="3061"/>
      <c r="CM521" s="3061"/>
      <c r="CN521" s="3061"/>
      <c r="CO521" s="3061"/>
      <c r="CP521" s="3061"/>
      <c r="CQ521" s="3061"/>
      <c r="CR521" s="3061"/>
      <c r="CS521" s="3062"/>
      <c r="CT521" s="3063"/>
      <c r="CU521" s="3064">
        <f t="shared" si="134"/>
        <v>1</v>
      </c>
      <c r="CV521" s="3022" t="str">
        <f>IF(OR(CT521="",CT521="None"),"-",DO521*CU521*SUMIF('Lighting Assumptions'!$G$3:$G$112,'6a - Lighting Counts'!G521,'Lighting Assumptions'!$J$3:$J$112))</f>
        <v>-</v>
      </c>
      <c r="CW521" s="3021"/>
      <c r="CX521" s="3021"/>
      <c r="CY521" s="3046"/>
      <c r="CZ521" s="2098">
        <f t="shared" si="135"/>
        <v>0</v>
      </c>
      <c r="DA521" s="2098" t="str">
        <f t="shared" si="136"/>
        <v>-</v>
      </c>
      <c r="DB521" s="2098">
        <f t="shared" si="137"/>
        <v>0</v>
      </c>
      <c r="DC521" s="3023" t="str">
        <f t="shared" si="138"/>
        <v>-</v>
      </c>
      <c r="DD521" s="3024" t="str">
        <f t="shared" si="139"/>
        <v/>
      </c>
      <c r="DE521" s="3025" t="str">
        <f t="shared" si="140"/>
        <v>-</v>
      </c>
      <c r="DF521" s="3024" t="str">
        <f t="shared" si="131"/>
        <v>-</v>
      </c>
      <c r="DG521" s="2098">
        <f t="shared" si="141"/>
        <v>0</v>
      </c>
      <c r="DH521" s="2098">
        <f t="array" ref="DH521">MIN(SUMPRODUCT(I521:CR521,IF($I$25:$CR$25="yes",1,0),$I$23:$CR$23),H521)</f>
        <v>0</v>
      </c>
      <c r="DI521" s="3026"/>
      <c r="DJ521" s="3021"/>
      <c r="DN521" s="917" t="str">
        <f>IF(CS521="","-",SUMIF('Lighting Assumptions'!$G$3:$G$112,'6a - Lighting Counts'!G521,'Lighting Assumptions'!$J$3:$J$112))</f>
        <v>-</v>
      </c>
      <c r="DO521" s="917" t="str">
        <f t="shared" si="132"/>
        <v>-</v>
      </c>
      <c r="DP521" s="917" t="str">
        <f t="shared" si="133"/>
        <v>-</v>
      </c>
      <c r="DQ521" s="917" t="str">
        <f>IF(LEFT(CELLformula(DF521),3)&lt;&gt;"=IF",1,"")</f>
        <v/>
      </c>
      <c r="DR521" s="917" t="str">
        <f>IF(LEFT(CELLformula(DD521),3)&lt;&gt;"=IF",1,"")</f>
        <v/>
      </c>
      <c r="DS521" s="3048">
        <f t="shared" si="142"/>
        <v>0</v>
      </c>
      <c r="DT521" s="3047" t="str">
        <f t="shared" si="143"/>
        <v/>
      </c>
      <c r="DU521" s="3047" t="str">
        <f>IFERROR(IF(G521="","",SUMIF('Lighting Assumptions'!$G$3:$G$112,'6a - Lighting Counts'!G521,'Lighting Assumptions'!$H$3:$H$112)*IF(SI_IP_Units="SI",10.76,1)),"")</f>
        <v/>
      </c>
      <c r="DV521" s="3047" t="str">
        <f>IFERROR(IF($CX521="","",IF(SI_IP_Units="SI",10.76,1)*SUMIF(BAMCategories,$CY521,'Lighting Assumptions'!$E$3:E$35)),"")</f>
        <v/>
      </c>
      <c r="DW521" s="3047" t="str">
        <f>IFERROR(IF($CX521="","",IF(SI_IP_Units="SI",10.76,1)*SUMIF(BAMCategories,$CY521,IF(bpf_reference="ACP",'Lighting Assumptions 90.1-2010'!$E$3:E$35,'Lighting Assumptions 90.1-2016'!$E$3:E$35))),"")</f>
        <v/>
      </c>
      <c r="EW521" s="855"/>
      <c r="EX521" s="855"/>
      <c r="EY521" s="855"/>
      <c r="EZ521" s="855"/>
    </row>
    <row r="522" spans="4:156" x14ac:dyDescent="0.25">
      <c r="D522" s="3029"/>
      <c r="E522" s="3028"/>
      <c r="F522" s="3021">
        <f t="shared" si="130"/>
        <v>0</v>
      </c>
      <c r="G522" s="3059"/>
      <c r="H522" s="3060"/>
      <c r="I522" s="3061"/>
      <c r="J522" s="3061"/>
      <c r="K522" s="3061"/>
      <c r="L522" s="3061"/>
      <c r="M522" s="3061"/>
      <c r="N522" s="3061"/>
      <c r="O522" s="3061"/>
      <c r="P522" s="3061"/>
      <c r="Q522" s="3061"/>
      <c r="R522" s="3061"/>
      <c r="S522" s="3061"/>
      <c r="T522" s="3061"/>
      <c r="U522" s="3061"/>
      <c r="V522" s="3061"/>
      <c r="W522" s="3061"/>
      <c r="X522" s="3061"/>
      <c r="Y522" s="3061"/>
      <c r="Z522" s="3061"/>
      <c r="AA522" s="3061"/>
      <c r="AB522" s="3061"/>
      <c r="AC522" s="3061"/>
      <c r="AD522" s="3061"/>
      <c r="AE522" s="3061"/>
      <c r="AF522" s="3061"/>
      <c r="AG522" s="3061"/>
      <c r="AH522" s="3061"/>
      <c r="AI522" s="3061"/>
      <c r="AJ522" s="3061"/>
      <c r="AK522" s="3061"/>
      <c r="AL522" s="3061"/>
      <c r="AM522" s="3061"/>
      <c r="AN522" s="3061"/>
      <c r="AO522" s="3061"/>
      <c r="AP522" s="3061"/>
      <c r="AQ522" s="3061"/>
      <c r="AR522" s="3061"/>
      <c r="AS522" s="3061"/>
      <c r="AT522" s="3061"/>
      <c r="AU522" s="3061"/>
      <c r="AV522" s="3061"/>
      <c r="AW522" s="3061"/>
      <c r="AX522" s="3061"/>
      <c r="AY522" s="3061"/>
      <c r="AZ522" s="3061"/>
      <c r="BA522" s="3061"/>
      <c r="BB522" s="3061"/>
      <c r="BC522" s="3061"/>
      <c r="BD522" s="3061"/>
      <c r="BE522" s="3061"/>
      <c r="BF522" s="3061"/>
      <c r="BG522" s="3061"/>
      <c r="BH522" s="3061"/>
      <c r="BI522" s="3061"/>
      <c r="BJ522" s="3061"/>
      <c r="BK522" s="3061"/>
      <c r="BL522" s="3061"/>
      <c r="BM522" s="3061"/>
      <c r="BN522" s="3061"/>
      <c r="BO522" s="3061"/>
      <c r="BP522" s="3061"/>
      <c r="BQ522" s="3061"/>
      <c r="BR522" s="3061"/>
      <c r="BS522" s="3061"/>
      <c r="BT522" s="3061"/>
      <c r="BU522" s="3061"/>
      <c r="BV522" s="3061"/>
      <c r="BW522" s="3061"/>
      <c r="BX522" s="3061"/>
      <c r="BY522" s="3061"/>
      <c r="BZ522" s="3061"/>
      <c r="CA522" s="3061"/>
      <c r="CB522" s="3061"/>
      <c r="CC522" s="3061"/>
      <c r="CD522" s="3061"/>
      <c r="CE522" s="3061"/>
      <c r="CF522" s="3061"/>
      <c r="CG522" s="3061"/>
      <c r="CH522" s="3061"/>
      <c r="CI522" s="3061"/>
      <c r="CJ522" s="3061"/>
      <c r="CK522" s="3061"/>
      <c r="CL522" s="3061"/>
      <c r="CM522" s="3061"/>
      <c r="CN522" s="3061"/>
      <c r="CO522" s="3061"/>
      <c r="CP522" s="3061"/>
      <c r="CQ522" s="3061"/>
      <c r="CR522" s="3061"/>
      <c r="CS522" s="3062"/>
      <c r="CT522" s="3063"/>
      <c r="CU522" s="3064">
        <f t="shared" si="134"/>
        <v>1</v>
      </c>
      <c r="CV522" s="3022" t="str">
        <f>IF(OR(CT522="",CT522="None"),"-",DO522*CU522*SUMIF('Lighting Assumptions'!$G$3:$G$112,'6a - Lighting Counts'!G522,'Lighting Assumptions'!$J$3:$J$112))</f>
        <v>-</v>
      </c>
      <c r="CW522" s="3021"/>
      <c r="CX522" s="3021"/>
      <c r="CY522" s="3046"/>
      <c r="CZ522" s="2098">
        <f t="shared" si="135"/>
        <v>0</v>
      </c>
      <c r="DA522" s="2098" t="str">
        <f t="shared" si="136"/>
        <v>-</v>
      </c>
      <c r="DB522" s="2098">
        <f t="shared" si="137"/>
        <v>0</v>
      </c>
      <c r="DC522" s="3023" t="str">
        <f t="shared" si="138"/>
        <v>-</v>
      </c>
      <c r="DD522" s="3024" t="str">
        <f t="shared" si="139"/>
        <v/>
      </c>
      <c r="DE522" s="3025" t="str">
        <f t="shared" si="140"/>
        <v>-</v>
      </c>
      <c r="DF522" s="3024" t="str">
        <f t="shared" si="131"/>
        <v>-</v>
      </c>
      <c r="DG522" s="2098">
        <f t="shared" si="141"/>
        <v>0</v>
      </c>
      <c r="DH522" s="2098">
        <f t="array" ref="DH522">MIN(SUMPRODUCT(I522:CR522,IF($I$25:$CR$25="yes",1,0),$I$23:$CR$23),H522)</f>
        <v>0</v>
      </c>
      <c r="DI522" s="3026"/>
      <c r="DJ522" s="3021"/>
      <c r="DN522" s="917" t="str">
        <f>IF(CS522="","-",SUMIF('Lighting Assumptions'!$G$3:$G$112,'6a - Lighting Counts'!G522,'Lighting Assumptions'!$J$3:$J$112))</f>
        <v>-</v>
      </c>
      <c r="DO522" s="917" t="str">
        <f t="shared" si="132"/>
        <v>-</v>
      </c>
      <c r="DP522" s="917" t="str">
        <f t="shared" si="133"/>
        <v>-</v>
      </c>
      <c r="DQ522" s="917" t="str">
        <f>IF(LEFT(CELLformula(DF522),3)&lt;&gt;"=IF",1,"")</f>
        <v/>
      </c>
      <c r="DR522" s="917" t="str">
        <f>IF(LEFT(CELLformula(DD522),3)&lt;&gt;"=IF",1,"")</f>
        <v/>
      </c>
      <c r="DS522" s="3048">
        <f t="shared" si="142"/>
        <v>0</v>
      </c>
      <c r="DT522" s="3047" t="str">
        <f t="shared" si="143"/>
        <v/>
      </c>
      <c r="DU522" s="3047" t="str">
        <f>IFERROR(IF(G522="","",SUMIF('Lighting Assumptions'!$G$3:$G$112,'6a - Lighting Counts'!G522,'Lighting Assumptions'!$H$3:$H$112)*IF(SI_IP_Units="SI",10.76,1)),"")</f>
        <v/>
      </c>
      <c r="DV522" s="3047" t="str">
        <f>IFERROR(IF($CX522="","",IF(SI_IP_Units="SI",10.76,1)*SUMIF(BAMCategories,$CY522,'Lighting Assumptions'!$E$3:E$35)),"")</f>
        <v/>
      </c>
      <c r="DW522" s="3047" t="str">
        <f>IFERROR(IF($CX522="","",IF(SI_IP_Units="SI",10.76,1)*SUMIF(BAMCategories,$CY522,IF(bpf_reference="ACP",'Lighting Assumptions 90.1-2010'!$E$3:E$35,'Lighting Assumptions 90.1-2016'!$E$3:E$35))),"")</f>
        <v/>
      </c>
      <c r="EW522" s="855"/>
      <c r="EX522" s="855"/>
      <c r="EY522" s="855"/>
      <c r="EZ522" s="855"/>
    </row>
    <row r="523" spans="4:156" x14ac:dyDescent="0.25">
      <c r="D523" s="3029"/>
      <c r="E523" s="3028"/>
      <c r="F523" s="3021">
        <f t="shared" si="130"/>
        <v>0</v>
      </c>
      <c r="G523" s="3059"/>
      <c r="H523" s="3060"/>
      <c r="I523" s="3061"/>
      <c r="J523" s="3061"/>
      <c r="K523" s="3061"/>
      <c r="L523" s="3061"/>
      <c r="M523" s="3061"/>
      <c r="N523" s="3061"/>
      <c r="O523" s="3061"/>
      <c r="P523" s="3061"/>
      <c r="Q523" s="3061"/>
      <c r="R523" s="3061"/>
      <c r="S523" s="3061"/>
      <c r="T523" s="3061"/>
      <c r="U523" s="3061"/>
      <c r="V523" s="3061"/>
      <c r="W523" s="3061"/>
      <c r="X523" s="3061"/>
      <c r="Y523" s="3061"/>
      <c r="Z523" s="3061"/>
      <c r="AA523" s="3061"/>
      <c r="AB523" s="3061"/>
      <c r="AC523" s="3061"/>
      <c r="AD523" s="3061"/>
      <c r="AE523" s="3061"/>
      <c r="AF523" s="3061"/>
      <c r="AG523" s="3061"/>
      <c r="AH523" s="3061"/>
      <c r="AI523" s="3061"/>
      <c r="AJ523" s="3061"/>
      <c r="AK523" s="3061"/>
      <c r="AL523" s="3061"/>
      <c r="AM523" s="3061"/>
      <c r="AN523" s="3061"/>
      <c r="AO523" s="3061"/>
      <c r="AP523" s="3061"/>
      <c r="AQ523" s="3061"/>
      <c r="AR523" s="3061"/>
      <c r="AS523" s="3061"/>
      <c r="AT523" s="3061"/>
      <c r="AU523" s="3061"/>
      <c r="AV523" s="3061"/>
      <c r="AW523" s="3061"/>
      <c r="AX523" s="3061"/>
      <c r="AY523" s="3061"/>
      <c r="AZ523" s="3061"/>
      <c r="BA523" s="3061"/>
      <c r="BB523" s="3061"/>
      <c r="BC523" s="3061"/>
      <c r="BD523" s="3061"/>
      <c r="BE523" s="3061"/>
      <c r="BF523" s="3061"/>
      <c r="BG523" s="3061"/>
      <c r="BH523" s="3061"/>
      <c r="BI523" s="3061"/>
      <c r="BJ523" s="3061"/>
      <c r="BK523" s="3061"/>
      <c r="BL523" s="3061"/>
      <c r="BM523" s="3061"/>
      <c r="BN523" s="3061"/>
      <c r="BO523" s="3061"/>
      <c r="BP523" s="3061"/>
      <c r="BQ523" s="3061"/>
      <c r="BR523" s="3061"/>
      <c r="BS523" s="3061"/>
      <c r="BT523" s="3061"/>
      <c r="BU523" s="3061"/>
      <c r="BV523" s="3061"/>
      <c r="BW523" s="3061"/>
      <c r="BX523" s="3061"/>
      <c r="BY523" s="3061"/>
      <c r="BZ523" s="3061"/>
      <c r="CA523" s="3061"/>
      <c r="CB523" s="3061"/>
      <c r="CC523" s="3061"/>
      <c r="CD523" s="3061"/>
      <c r="CE523" s="3061"/>
      <c r="CF523" s="3061"/>
      <c r="CG523" s="3061"/>
      <c r="CH523" s="3061"/>
      <c r="CI523" s="3061"/>
      <c r="CJ523" s="3061"/>
      <c r="CK523" s="3061"/>
      <c r="CL523" s="3061"/>
      <c r="CM523" s="3061"/>
      <c r="CN523" s="3061"/>
      <c r="CO523" s="3061"/>
      <c r="CP523" s="3061"/>
      <c r="CQ523" s="3061"/>
      <c r="CR523" s="3061"/>
      <c r="CS523" s="3062"/>
      <c r="CT523" s="3063"/>
      <c r="CU523" s="3064">
        <f t="shared" si="134"/>
        <v>1</v>
      </c>
      <c r="CV523" s="3022" t="str">
        <f>IF(OR(CT523="",CT523="None"),"-",DO523*CU523*SUMIF('Lighting Assumptions'!$G$3:$G$112,'6a - Lighting Counts'!G523,'Lighting Assumptions'!$J$3:$J$112))</f>
        <v>-</v>
      </c>
      <c r="CW523" s="3021"/>
      <c r="CX523" s="3021"/>
      <c r="CY523" s="3046"/>
      <c r="CZ523" s="2098">
        <f t="shared" si="135"/>
        <v>0</v>
      </c>
      <c r="DA523" s="2098" t="str">
        <f t="shared" si="136"/>
        <v>-</v>
      </c>
      <c r="DB523" s="2098">
        <f t="shared" si="137"/>
        <v>0</v>
      </c>
      <c r="DC523" s="3023" t="str">
        <f t="shared" si="138"/>
        <v>-</v>
      </c>
      <c r="DD523" s="3024" t="str">
        <f t="shared" si="139"/>
        <v/>
      </c>
      <c r="DE523" s="3025" t="str">
        <f t="shared" si="140"/>
        <v>-</v>
      </c>
      <c r="DF523" s="3024" t="str">
        <f t="shared" si="131"/>
        <v>-</v>
      </c>
      <c r="DG523" s="2098">
        <f t="shared" si="141"/>
        <v>0</v>
      </c>
      <c r="DH523" s="2098">
        <f t="array" ref="DH523">MIN(SUMPRODUCT(I523:CR523,IF($I$25:$CR$25="yes",1,0),$I$23:$CR$23),H523)</f>
        <v>0</v>
      </c>
      <c r="DI523" s="3026"/>
      <c r="DJ523" s="3021"/>
      <c r="DN523" s="917" t="str">
        <f>IF(CS523="","-",SUMIF('Lighting Assumptions'!$G$3:$G$112,'6a - Lighting Counts'!G523,'Lighting Assumptions'!$J$3:$J$112))</f>
        <v>-</v>
      </c>
      <c r="DO523" s="917" t="str">
        <f t="shared" si="132"/>
        <v>-</v>
      </c>
      <c r="DP523" s="917" t="str">
        <f t="shared" si="133"/>
        <v>-</v>
      </c>
      <c r="DQ523" s="917" t="str">
        <f>IF(LEFT(CELLformula(DF523),3)&lt;&gt;"=IF",1,"")</f>
        <v/>
      </c>
      <c r="DR523" s="917" t="str">
        <f>IF(LEFT(CELLformula(DD523),3)&lt;&gt;"=IF",1,"")</f>
        <v/>
      </c>
      <c r="DS523" s="3048">
        <f t="shared" si="142"/>
        <v>0</v>
      </c>
      <c r="DT523" s="3047" t="str">
        <f t="shared" si="143"/>
        <v/>
      </c>
      <c r="DU523" s="3047" t="str">
        <f>IFERROR(IF(G523="","",SUMIF('Lighting Assumptions'!$G$3:$G$112,'6a - Lighting Counts'!G523,'Lighting Assumptions'!$H$3:$H$112)*IF(SI_IP_Units="SI",10.76,1)),"")</f>
        <v/>
      </c>
      <c r="DV523" s="3047" t="str">
        <f>IFERROR(IF($CX523="","",IF(SI_IP_Units="SI",10.76,1)*SUMIF(BAMCategories,$CY523,'Lighting Assumptions'!$E$3:E$35)),"")</f>
        <v/>
      </c>
      <c r="DW523" s="3047" t="str">
        <f>IFERROR(IF($CX523="","",IF(SI_IP_Units="SI",10.76,1)*SUMIF(BAMCategories,$CY523,IF(bpf_reference="ACP",'Lighting Assumptions 90.1-2010'!$E$3:E$35,'Lighting Assumptions 90.1-2016'!$E$3:E$35))),"")</f>
        <v/>
      </c>
      <c r="EW523" s="855"/>
      <c r="EX523" s="855"/>
      <c r="EY523" s="855"/>
      <c r="EZ523" s="855"/>
    </row>
    <row r="524" spans="4:156" x14ac:dyDescent="0.25">
      <c r="D524" s="3029"/>
      <c r="E524" s="3028"/>
      <c r="F524" s="3021">
        <f t="shared" si="130"/>
        <v>0</v>
      </c>
      <c r="G524" s="3059"/>
      <c r="H524" s="3060"/>
      <c r="I524" s="3061"/>
      <c r="J524" s="3061"/>
      <c r="K524" s="3061"/>
      <c r="L524" s="3061"/>
      <c r="M524" s="3061"/>
      <c r="N524" s="3061"/>
      <c r="O524" s="3061"/>
      <c r="P524" s="3061"/>
      <c r="Q524" s="3061"/>
      <c r="R524" s="3061"/>
      <c r="S524" s="3061"/>
      <c r="T524" s="3061"/>
      <c r="U524" s="3061"/>
      <c r="V524" s="3061"/>
      <c r="W524" s="3061"/>
      <c r="X524" s="3061"/>
      <c r="Y524" s="3061"/>
      <c r="Z524" s="3061"/>
      <c r="AA524" s="3061"/>
      <c r="AB524" s="3061"/>
      <c r="AC524" s="3061"/>
      <c r="AD524" s="3061"/>
      <c r="AE524" s="3061"/>
      <c r="AF524" s="3061"/>
      <c r="AG524" s="3061"/>
      <c r="AH524" s="3061"/>
      <c r="AI524" s="3061"/>
      <c r="AJ524" s="3061"/>
      <c r="AK524" s="3061"/>
      <c r="AL524" s="3061"/>
      <c r="AM524" s="3061"/>
      <c r="AN524" s="3061"/>
      <c r="AO524" s="3061"/>
      <c r="AP524" s="3061"/>
      <c r="AQ524" s="3061"/>
      <c r="AR524" s="3061"/>
      <c r="AS524" s="3061"/>
      <c r="AT524" s="3061"/>
      <c r="AU524" s="3061"/>
      <c r="AV524" s="3061"/>
      <c r="AW524" s="3061"/>
      <c r="AX524" s="3061"/>
      <c r="AY524" s="3061"/>
      <c r="AZ524" s="3061"/>
      <c r="BA524" s="3061"/>
      <c r="BB524" s="3061"/>
      <c r="BC524" s="3061"/>
      <c r="BD524" s="3061"/>
      <c r="BE524" s="3061"/>
      <c r="BF524" s="3061"/>
      <c r="BG524" s="3061"/>
      <c r="BH524" s="3061"/>
      <c r="BI524" s="3061"/>
      <c r="BJ524" s="3061"/>
      <c r="BK524" s="3061"/>
      <c r="BL524" s="3061"/>
      <c r="BM524" s="3061"/>
      <c r="BN524" s="3061"/>
      <c r="BO524" s="3061"/>
      <c r="BP524" s="3061"/>
      <c r="BQ524" s="3061"/>
      <c r="BR524" s="3061"/>
      <c r="BS524" s="3061"/>
      <c r="BT524" s="3061"/>
      <c r="BU524" s="3061"/>
      <c r="BV524" s="3061"/>
      <c r="BW524" s="3061"/>
      <c r="BX524" s="3061"/>
      <c r="BY524" s="3061"/>
      <c r="BZ524" s="3061"/>
      <c r="CA524" s="3061"/>
      <c r="CB524" s="3061"/>
      <c r="CC524" s="3061"/>
      <c r="CD524" s="3061"/>
      <c r="CE524" s="3061"/>
      <c r="CF524" s="3061"/>
      <c r="CG524" s="3061"/>
      <c r="CH524" s="3061"/>
      <c r="CI524" s="3061"/>
      <c r="CJ524" s="3061"/>
      <c r="CK524" s="3061"/>
      <c r="CL524" s="3061"/>
      <c r="CM524" s="3061"/>
      <c r="CN524" s="3061"/>
      <c r="CO524" s="3061"/>
      <c r="CP524" s="3061"/>
      <c r="CQ524" s="3061"/>
      <c r="CR524" s="3061"/>
      <c r="CS524" s="3062"/>
      <c r="CT524" s="3063"/>
      <c r="CU524" s="3064">
        <f t="shared" si="134"/>
        <v>1</v>
      </c>
      <c r="CV524" s="3022" t="str">
        <f>IF(OR(CT524="",CT524="None"),"-",DO524*CU524*SUMIF('Lighting Assumptions'!$G$3:$G$112,'6a - Lighting Counts'!G524,'Lighting Assumptions'!$J$3:$J$112))</f>
        <v>-</v>
      </c>
      <c r="CW524" s="3021"/>
      <c r="CX524" s="3021"/>
      <c r="CY524" s="3046"/>
      <c r="CZ524" s="2098">
        <f t="shared" si="135"/>
        <v>0</v>
      </c>
      <c r="DA524" s="2098" t="str">
        <f t="shared" si="136"/>
        <v>-</v>
      </c>
      <c r="DB524" s="2098">
        <f t="shared" si="137"/>
        <v>0</v>
      </c>
      <c r="DC524" s="3023" t="str">
        <f t="shared" si="138"/>
        <v>-</v>
      </c>
      <c r="DD524" s="3024" t="str">
        <f t="shared" si="139"/>
        <v/>
      </c>
      <c r="DE524" s="3025" t="str">
        <f t="shared" si="140"/>
        <v>-</v>
      </c>
      <c r="DF524" s="3024" t="str">
        <f t="shared" si="131"/>
        <v>-</v>
      </c>
      <c r="DG524" s="2098">
        <f t="shared" si="141"/>
        <v>0</v>
      </c>
      <c r="DH524" s="2098">
        <f t="array" ref="DH524">MIN(SUMPRODUCT(I524:CR524,IF($I$25:$CR$25="yes",1,0),$I$23:$CR$23),H524)</f>
        <v>0</v>
      </c>
      <c r="DI524" s="3026"/>
      <c r="DJ524" s="3021"/>
      <c r="DN524" s="917" t="str">
        <f>IF(CS524="","-",SUMIF('Lighting Assumptions'!$G$3:$G$112,'6a - Lighting Counts'!G524,'Lighting Assumptions'!$J$3:$J$112))</f>
        <v>-</v>
      </c>
      <c r="DO524" s="917" t="str">
        <f t="shared" si="132"/>
        <v>-</v>
      </c>
      <c r="DP524" s="917" t="str">
        <f t="shared" si="133"/>
        <v>-</v>
      </c>
      <c r="DQ524" s="917" t="str">
        <f>IF(LEFT(CELLformula(DF524),3)&lt;&gt;"=IF",1,"")</f>
        <v/>
      </c>
      <c r="DR524" s="917" t="str">
        <f>IF(LEFT(CELLformula(DD524),3)&lt;&gt;"=IF",1,"")</f>
        <v/>
      </c>
      <c r="DS524" s="3048">
        <f t="shared" si="142"/>
        <v>0</v>
      </c>
      <c r="DT524" s="3047" t="str">
        <f t="shared" si="143"/>
        <v/>
      </c>
      <c r="DU524" s="3047" t="str">
        <f>IFERROR(IF(G524="","",SUMIF('Lighting Assumptions'!$G$3:$G$112,'6a - Lighting Counts'!G524,'Lighting Assumptions'!$H$3:$H$112)*IF(SI_IP_Units="SI",10.76,1)),"")</f>
        <v/>
      </c>
      <c r="DV524" s="3047" t="str">
        <f>IFERROR(IF($CX524="","",IF(SI_IP_Units="SI",10.76,1)*SUMIF(BAMCategories,$CY524,'Lighting Assumptions'!$E$3:E$35)),"")</f>
        <v/>
      </c>
      <c r="DW524" s="3047" t="str">
        <f>IFERROR(IF($CX524="","",IF(SI_IP_Units="SI",10.76,1)*SUMIF(BAMCategories,$CY524,IF(bpf_reference="ACP",'Lighting Assumptions 90.1-2010'!$E$3:E$35,'Lighting Assumptions 90.1-2016'!$E$3:E$35))),"")</f>
        <v/>
      </c>
      <c r="EW524" s="855"/>
      <c r="EX524" s="855"/>
      <c r="EY524" s="855"/>
      <c r="EZ524" s="855"/>
    </row>
    <row r="525" spans="4:156" x14ac:dyDescent="0.25">
      <c r="D525" s="3029"/>
      <c r="E525" s="3028"/>
      <c r="F525" s="3021">
        <f t="shared" si="130"/>
        <v>0</v>
      </c>
      <c r="G525" s="3059"/>
      <c r="H525" s="3060"/>
      <c r="I525" s="3061"/>
      <c r="J525" s="3061"/>
      <c r="K525" s="3061"/>
      <c r="L525" s="3061"/>
      <c r="M525" s="3061"/>
      <c r="N525" s="3061"/>
      <c r="O525" s="3061"/>
      <c r="P525" s="3061"/>
      <c r="Q525" s="3061"/>
      <c r="R525" s="3061"/>
      <c r="S525" s="3061"/>
      <c r="T525" s="3061"/>
      <c r="U525" s="3061"/>
      <c r="V525" s="3061"/>
      <c r="W525" s="3061"/>
      <c r="X525" s="3061"/>
      <c r="Y525" s="3061"/>
      <c r="Z525" s="3061"/>
      <c r="AA525" s="3061"/>
      <c r="AB525" s="3061"/>
      <c r="AC525" s="3061"/>
      <c r="AD525" s="3061"/>
      <c r="AE525" s="3061"/>
      <c r="AF525" s="3061"/>
      <c r="AG525" s="3061"/>
      <c r="AH525" s="3061"/>
      <c r="AI525" s="3061"/>
      <c r="AJ525" s="3061"/>
      <c r="AK525" s="3061"/>
      <c r="AL525" s="3061"/>
      <c r="AM525" s="3061"/>
      <c r="AN525" s="3061"/>
      <c r="AO525" s="3061"/>
      <c r="AP525" s="3061"/>
      <c r="AQ525" s="3061"/>
      <c r="AR525" s="3061"/>
      <c r="AS525" s="3061"/>
      <c r="AT525" s="3061"/>
      <c r="AU525" s="3061"/>
      <c r="AV525" s="3061"/>
      <c r="AW525" s="3061"/>
      <c r="AX525" s="3061"/>
      <c r="AY525" s="3061"/>
      <c r="AZ525" s="3061"/>
      <c r="BA525" s="3061"/>
      <c r="BB525" s="3061"/>
      <c r="BC525" s="3061"/>
      <c r="BD525" s="3061"/>
      <c r="BE525" s="3061"/>
      <c r="BF525" s="3061"/>
      <c r="BG525" s="3061"/>
      <c r="BH525" s="3061"/>
      <c r="BI525" s="3061"/>
      <c r="BJ525" s="3061"/>
      <c r="BK525" s="3061"/>
      <c r="BL525" s="3061"/>
      <c r="BM525" s="3061"/>
      <c r="BN525" s="3061"/>
      <c r="BO525" s="3061"/>
      <c r="BP525" s="3061"/>
      <c r="BQ525" s="3061"/>
      <c r="BR525" s="3061"/>
      <c r="BS525" s="3061"/>
      <c r="BT525" s="3061"/>
      <c r="BU525" s="3061"/>
      <c r="BV525" s="3061"/>
      <c r="BW525" s="3061"/>
      <c r="BX525" s="3061"/>
      <c r="BY525" s="3061"/>
      <c r="BZ525" s="3061"/>
      <c r="CA525" s="3061"/>
      <c r="CB525" s="3061"/>
      <c r="CC525" s="3061"/>
      <c r="CD525" s="3061"/>
      <c r="CE525" s="3061"/>
      <c r="CF525" s="3061"/>
      <c r="CG525" s="3061"/>
      <c r="CH525" s="3061"/>
      <c r="CI525" s="3061"/>
      <c r="CJ525" s="3061"/>
      <c r="CK525" s="3061"/>
      <c r="CL525" s="3061"/>
      <c r="CM525" s="3061"/>
      <c r="CN525" s="3061"/>
      <c r="CO525" s="3061"/>
      <c r="CP525" s="3061"/>
      <c r="CQ525" s="3061"/>
      <c r="CR525" s="3061"/>
      <c r="CS525" s="3062"/>
      <c r="CT525" s="3063"/>
      <c r="CU525" s="3064">
        <f t="shared" si="134"/>
        <v>1</v>
      </c>
      <c r="CV525" s="3022" t="str">
        <f>IF(OR(CT525="",CT525="None"),"-",DO525*CU525*SUMIF('Lighting Assumptions'!$G$3:$G$112,'6a - Lighting Counts'!G525,'Lighting Assumptions'!$J$3:$J$112))</f>
        <v>-</v>
      </c>
      <c r="CW525" s="3021"/>
      <c r="CX525" s="3021"/>
      <c r="CY525" s="3046"/>
      <c r="CZ525" s="2098">
        <f t="shared" si="135"/>
        <v>0</v>
      </c>
      <c r="DA525" s="2098" t="str">
        <f t="shared" si="136"/>
        <v>-</v>
      </c>
      <c r="DB525" s="2098">
        <f t="shared" si="137"/>
        <v>0</v>
      </c>
      <c r="DC525" s="3023" t="str">
        <f t="shared" si="138"/>
        <v>-</v>
      </c>
      <c r="DD525" s="3024" t="str">
        <f t="shared" si="139"/>
        <v/>
      </c>
      <c r="DE525" s="3025" t="str">
        <f t="shared" si="140"/>
        <v>-</v>
      </c>
      <c r="DF525" s="3024" t="str">
        <f t="shared" si="131"/>
        <v>-</v>
      </c>
      <c r="DG525" s="2098">
        <f t="shared" si="141"/>
        <v>0</v>
      </c>
      <c r="DH525" s="2098">
        <f t="array" ref="DH525">MIN(SUMPRODUCT(I525:CR525,IF($I$25:$CR$25="yes",1,0),$I$23:$CR$23),H525)</f>
        <v>0</v>
      </c>
      <c r="DI525" s="3026"/>
      <c r="DJ525" s="3021"/>
      <c r="DN525" s="917" t="str">
        <f>IF(CS525="","-",SUMIF('Lighting Assumptions'!$G$3:$G$112,'6a - Lighting Counts'!G525,'Lighting Assumptions'!$J$3:$J$112))</f>
        <v>-</v>
      </c>
      <c r="DO525" s="917" t="str">
        <f t="shared" si="132"/>
        <v>-</v>
      </c>
      <c r="DP525" s="917" t="str">
        <f t="shared" si="133"/>
        <v>-</v>
      </c>
      <c r="DQ525" s="917" t="str">
        <f>IF(LEFT(CELLformula(DF525),3)&lt;&gt;"=IF",1,"")</f>
        <v/>
      </c>
      <c r="DR525" s="917" t="str">
        <f>IF(LEFT(CELLformula(DD525),3)&lt;&gt;"=IF",1,"")</f>
        <v/>
      </c>
      <c r="DS525" s="3048">
        <f t="shared" si="142"/>
        <v>0</v>
      </c>
      <c r="DT525" s="3047" t="str">
        <f t="shared" si="143"/>
        <v/>
      </c>
      <c r="DU525" s="3047" t="str">
        <f>IFERROR(IF(G525="","",SUMIF('Lighting Assumptions'!$G$3:$G$112,'6a - Lighting Counts'!G525,'Lighting Assumptions'!$H$3:$H$112)*IF(SI_IP_Units="SI",10.76,1)),"")</f>
        <v/>
      </c>
      <c r="DV525" s="3047" t="str">
        <f>IFERROR(IF($CX525="","",IF(SI_IP_Units="SI",10.76,1)*SUMIF(BAMCategories,$CY525,'Lighting Assumptions'!$E$3:E$35)),"")</f>
        <v/>
      </c>
      <c r="DW525" s="3047" t="str">
        <f>IFERROR(IF($CX525="","",IF(SI_IP_Units="SI",10.76,1)*SUMIF(BAMCategories,$CY525,IF(bpf_reference="ACP",'Lighting Assumptions 90.1-2010'!$E$3:E$35,'Lighting Assumptions 90.1-2016'!$E$3:E$35))),"")</f>
        <v/>
      </c>
      <c r="EW525" s="855"/>
      <c r="EX525" s="855"/>
      <c r="EY525" s="855"/>
      <c r="EZ525" s="855"/>
    </row>
    <row r="526" spans="4:156" x14ac:dyDescent="0.25">
      <c r="D526" s="3029"/>
      <c r="E526" s="3028"/>
      <c r="F526" s="3021">
        <f t="shared" si="130"/>
        <v>0</v>
      </c>
      <c r="G526" s="3059"/>
      <c r="H526" s="3060"/>
      <c r="I526" s="3061"/>
      <c r="J526" s="3061"/>
      <c r="K526" s="3061"/>
      <c r="L526" s="3061"/>
      <c r="M526" s="3061"/>
      <c r="N526" s="3061"/>
      <c r="O526" s="3061"/>
      <c r="P526" s="3061"/>
      <c r="Q526" s="3061"/>
      <c r="R526" s="3061"/>
      <c r="S526" s="3061"/>
      <c r="T526" s="3061"/>
      <c r="U526" s="3061"/>
      <c r="V526" s="3061"/>
      <c r="W526" s="3061"/>
      <c r="X526" s="3061"/>
      <c r="Y526" s="3061"/>
      <c r="Z526" s="3061"/>
      <c r="AA526" s="3061"/>
      <c r="AB526" s="3061"/>
      <c r="AC526" s="3061"/>
      <c r="AD526" s="3061"/>
      <c r="AE526" s="3061"/>
      <c r="AF526" s="3061"/>
      <c r="AG526" s="3061"/>
      <c r="AH526" s="3061"/>
      <c r="AI526" s="3061"/>
      <c r="AJ526" s="3061"/>
      <c r="AK526" s="3061"/>
      <c r="AL526" s="3061"/>
      <c r="AM526" s="3061"/>
      <c r="AN526" s="3061"/>
      <c r="AO526" s="3061"/>
      <c r="AP526" s="3061"/>
      <c r="AQ526" s="3061"/>
      <c r="AR526" s="3061"/>
      <c r="AS526" s="3061"/>
      <c r="AT526" s="3061"/>
      <c r="AU526" s="3061"/>
      <c r="AV526" s="3061"/>
      <c r="AW526" s="3061"/>
      <c r="AX526" s="3061"/>
      <c r="AY526" s="3061"/>
      <c r="AZ526" s="3061"/>
      <c r="BA526" s="3061"/>
      <c r="BB526" s="3061"/>
      <c r="BC526" s="3061"/>
      <c r="BD526" s="3061"/>
      <c r="BE526" s="3061"/>
      <c r="BF526" s="3061"/>
      <c r="BG526" s="3061"/>
      <c r="BH526" s="3061"/>
      <c r="BI526" s="3061"/>
      <c r="BJ526" s="3061"/>
      <c r="BK526" s="3061"/>
      <c r="BL526" s="3061"/>
      <c r="BM526" s="3061"/>
      <c r="BN526" s="3061"/>
      <c r="BO526" s="3061"/>
      <c r="BP526" s="3061"/>
      <c r="BQ526" s="3061"/>
      <c r="BR526" s="3061"/>
      <c r="BS526" s="3061"/>
      <c r="BT526" s="3061"/>
      <c r="BU526" s="3061"/>
      <c r="BV526" s="3061"/>
      <c r="BW526" s="3061"/>
      <c r="BX526" s="3061"/>
      <c r="BY526" s="3061"/>
      <c r="BZ526" s="3061"/>
      <c r="CA526" s="3061"/>
      <c r="CB526" s="3061"/>
      <c r="CC526" s="3061"/>
      <c r="CD526" s="3061"/>
      <c r="CE526" s="3061"/>
      <c r="CF526" s="3061"/>
      <c r="CG526" s="3061"/>
      <c r="CH526" s="3061"/>
      <c r="CI526" s="3061"/>
      <c r="CJ526" s="3061"/>
      <c r="CK526" s="3061"/>
      <c r="CL526" s="3061"/>
      <c r="CM526" s="3061"/>
      <c r="CN526" s="3061"/>
      <c r="CO526" s="3061"/>
      <c r="CP526" s="3061"/>
      <c r="CQ526" s="3061"/>
      <c r="CR526" s="3061"/>
      <c r="CS526" s="3062"/>
      <c r="CT526" s="3063"/>
      <c r="CU526" s="3064">
        <f t="shared" si="134"/>
        <v>1</v>
      </c>
      <c r="CV526" s="3022" t="str">
        <f>IF(OR(CT526="",CT526="None"),"-",DO526*CU526*SUMIF('Lighting Assumptions'!$G$3:$G$112,'6a - Lighting Counts'!G526,'Lighting Assumptions'!$J$3:$J$112))</f>
        <v>-</v>
      </c>
      <c r="CW526" s="3021"/>
      <c r="CX526" s="3021"/>
      <c r="CY526" s="3046"/>
      <c r="CZ526" s="2098">
        <f t="shared" si="135"/>
        <v>0</v>
      </c>
      <c r="DA526" s="2098" t="str">
        <f t="shared" si="136"/>
        <v>-</v>
      </c>
      <c r="DB526" s="2098">
        <f t="shared" si="137"/>
        <v>0</v>
      </c>
      <c r="DC526" s="3023" t="str">
        <f t="shared" si="138"/>
        <v>-</v>
      </c>
      <c r="DD526" s="3024" t="str">
        <f t="shared" si="139"/>
        <v/>
      </c>
      <c r="DE526" s="3025" t="str">
        <f t="shared" si="140"/>
        <v>-</v>
      </c>
      <c r="DF526" s="3024" t="str">
        <f t="shared" si="131"/>
        <v>-</v>
      </c>
      <c r="DG526" s="2098">
        <f t="shared" si="141"/>
        <v>0</v>
      </c>
      <c r="DH526" s="2098">
        <f t="array" ref="DH526">MIN(SUMPRODUCT(I526:CR526,IF($I$25:$CR$25="yes",1,0),$I$23:$CR$23),H526)</f>
        <v>0</v>
      </c>
      <c r="DI526" s="3026"/>
      <c r="DJ526" s="3021"/>
      <c r="DN526" s="917" t="str">
        <f>IF(CS526="","-",SUMIF('Lighting Assumptions'!$G$3:$G$112,'6a - Lighting Counts'!G526,'Lighting Assumptions'!$J$3:$J$112))</f>
        <v>-</v>
      </c>
      <c r="DO526" s="917" t="str">
        <f t="shared" si="132"/>
        <v>-</v>
      </c>
      <c r="DP526" s="917" t="str">
        <f t="shared" si="133"/>
        <v>-</v>
      </c>
      <c r="DQ526" s="917" t="str">
        <f>IF(LEFT(CELLformula(DF526),3)&lt;&gt;"=IF",1,"")</f>
        <v/>
      </c>
      <c r="DR526" s="917" t="str">
        <f>IF(LEFT(CELLformula(DD526),3)&lt;&gt;"=IF",1,"")</f>
        <v/>
      </c>
      <c r="DS526" s="3048">
        <f t="shared" si="142"/>
        <v>0</v>
      </c>
      <c r="DT526" s="3047" t="str">
        <f t="shared" si="143"/>
        <v/>
      </c>
      <c r="DU526" s="3047" t="str">
        <f>IFERROR(IF(G526="","",SUMIF('Lighting Assumptions'!$G$3:$G$112,'6a - Lighting Counts'!G526,'Lighting Assumptions'!$H$3:$H$112)*IF(SI_IP_Units="SI",10.76,1)),"")</f>
        <v/>
      </c>
      <c r="DV526" s="3047" t="str">
        <f>IFERROR(IF($CX526="","",IF(SI_IP_Units="SI",10.76,1)*SUMIF(BAMCategories,$CY526,'Lighting Assumptions'!$E$3:E$35)),"")</f>
        <v/>
      </c>
      <c r="DW526" s="3047" t="str">
        <f>IFERROR(IF($CX526="","",IF(SI_IP_Units="SI",10.76,1)*SUMIF(BAMCategories,$CY526,IF(bpf_reference="ACP",'Lighting Assumptions 90.1-2010'!$E$3:E$35,'Lighting Assumptions 90.1-2016'!$E$3:E$35))),"")</f>
        <v/>
      </c>
      <c r="EW526" s="855"/>
      <c r="EX526" s="855"/>
      <c r="EY526" s="855"/>
      <c r="EZ526" s="855"/>
    </row>
    <row r="527" spans="4:156" x14ac:dyDescent="0.25">
      <c r="D527" s="3029"/>
      <c r="E527" s="3028"/>
      <c r="F527" s="3021">
        <f t="shared" si="130"/>
        <v>0</v>
      </c>
      <c r="G527" s="3059"/>
      <c r="H527" s="3060"/>
      <c r="I527" s="3061"/>
      <c r="J527" s="3061"/>
      <c r="K527" s="3061"/>
      <c r="L527" s="3061"/>
      <c r="M527" s="3061"/>
      <c r="N527" s="3061"/>
      <c r="O527" s="3061"/>
      <c r="P527" s="3061"/>
      <c r="Q527" s="3061"/>
      <c r="R527" s="3061"/>
      <c r="S527" s="3061"/>
      <c r="T527" s="3061"/>
      <c r="U527" s="3061"/>
      <c r="V527" s="3061"/>
      <c r="W527" s="3061"/>
      <c r="X527" s="3061"/>
      <c r="Y527" s="3061"/>
      <c r="Z527" s="3061"/>
      <c r="AA527" s="3061"/>
      <c r="AB527" s="3061"/>
      <c r="AC527" s="3061"/>
      <c r="AD527" s="3061"/>
      <c r="AE527" s="3061"/>
      <c r="AF527" s="3061"/>
      <c r="AG527" s="3061"/>
      <c r="AH527" s="3061"/>
      <c r="AI527" s="3061"/>
      <c r="AJ527" s="3061"/>
      <c r="AK527" s="3061"/>
      <c r="AL527" s="3061"/>
      <c r="AM527" s="3061"/>
      <c r="AN527" s="3061"/>
      <c r="AO527" s="3061"/>
      <c r="AP527" s="3061"/>
      <c r="AQ527" s="3061"/>
      <c r="AR527" s="3061"/>
      <c r="AS527" s="3061"/>
      <c r="AT527" s="3061"/>
      <c r="AU527" s="3061"/>
      <c r="AV527" s="3061"/>
      <c r="AW527" s="3061"/>
      <c r="AX527" s="3061"/>
      <c r="AY527" s="3061"/>
      <c r="AZ527" s="3061"/>
      <c r="BA527" s="3061"/>
      <c r="BB527" s="3061"/>
      <c r="BC527" s="3061"/>
      <c r="BD527" s="3061"/>
      <c r="BE527" s="3061"/>
      <c r="BF527" s="3061"/>
      <c r="BG527" s="3061"/>
      <c r="BH527" s="3061"/>
      <c r="BI527" s="3061"/>
      <c r="BJ527" s="3061"/>
      <c r="BK527" s="3061"/>
      <c r="BL527" s="3061"/>
      <c r="BM527" s="3061"/>
      <c r="BN527" s="3061"/>
      <c r="BO527" s="3061"/>
      <c r="BP527" s="3061"/>
      <c r="BQ527" s="3061"/>
      <c r="BR527" s="3061"/>
      <c r="BS527" s="3061"/>
      <c r="BT527" s="3061"/>
      <c r="BU527" s="3061"/>
      <c r="BV527" s="3061"/>
      <c r="BW527" s="3061"/>
      <c r="BX527" s="3061"/>
      <c r="BY527" s="3061"/>
      <c r="BZ527" s="3061"/>
      <c r="CA527" s="3061"/>
      <c r="CB527" s="3061"/>
      <c r="CC527" s="3061"/>
      <c r="CD527" s="3061"/>
      <c r="CE527" s="3061"/>
      <c r="CF527" s="3061"/>
      <c r="CG527" s="3061"/>
      <c r="CH527" s="3061"/>
      <c r="CI527" s="3061"/>
      <c r="CJ527" s="3061"/>
      <c r="CK527" s="3061"/>
      <c r="CL527" s="3061"/>
      <c r="CM527" s="3061"/>
      <c r="CN527" s="3061"/>
      <c r="CO527" s="3061"/>
      <c r="CP527" s="3061"/>
      <c r="CQ527" s="3061"/>
      <c r="CR527" s="3061"/>
      <c r="CS527" s="3062"/>
      <c r="CT527" s="3063"/>
      <c r="CU527" s="3064">
        <f t="shared" si="134"/>
        <v>1</v>
      </c>
      <c r="CV527" s="3022" t="str">
        <f>IF(OR(CT527="",CT527="None"),"-",DO527*CU527*SUMIF('Lighting Assumptions'!$G$3:$G$112,'6a - Lighting Counts'!G527,'Lighting Assumptions'!$J$3:$J$112))</f>
        <v>-</v>
      </c>
      <c r="CW527" s="3021"/>
      <c r="CX527" s="3021"/>
      <c r="CY527" s="3046"/>
      <c r="CZ527" s="2098">
        <f t="shared" si="135"/>
        <v>0</v>
      </c>
      <c r="DA527" s="2098" t="str">
        <f t="shared" si="136"/>
        <v>-</v>
      </c>
      <c r="DB527" s="2098">
        <f t="shared" si="137"/>
        <v>0</v>
      </c>
      <c r="DC527" s="3023" t="str">
        <f t="shared" si="138"/>
        <v>-</v>
      </c>
      <c r="DD527" s="3024" t="str">
        <f t="shared" si="139"/>
        <v/>
      </c>
      <c r="DE527" s="3025" t="str">
        <f t="shared" si="140"/>
        <v>-</v>
      </c>
      <c r="DF527" s="3024" t="str">
        <f t="shared" si="131"/>
        <v>-</v>
      </c>
      <c r="DG527" s="2098">
        <f t="shared" si="141"/>
        <v>0</v>
      </c>
      <c r="DH527" s="2098">
        <f t="array" ref="DH527">MIN(SUMPRODUCT(I527:CR527,IF($I$25:$CR$25="yes",1,0),$I$23:$CR$23),H527)</f>
        <v>0</v>
      </c>
      <c r="DI527" s="3026"/>
      <c r="DJ527" s="3021"/>
      <c r="DN527" s="917" t="str">
        <f>IF(CS527="","-",SUMIF('Lighting Assumptions'!$G$3:$G$112,'6a - Lighting Counts'!G527,'Lighting Assumptions'!$J$3:$J$112))</f>
        <v>-</v>
      </c>
      <c r="DO527" s="917" t="str">
        <f t="shared" si="132"/>
        <v>-</v>
      </c>
      <c r="DP527" s="917" t="str">
        <f t="shared" si="133"/>
        <v>-</v>
      </c>
      <c r="DQ527" s="917" t="str">
        <f>IF(LEFT(CELLformula(DF527),3)&lt;&gt;"=IF",1,"")</f>
        <v/>
      </c>
      <c r="DR527" s="917" t="str">
        <f>IF(LEFT(CELLformula(DD527),3)&lt;&gt;"=IF",1,"")</f>
        <v/>
      </c>
      <c r="DS527" s="3048">
        <f t="shared" si="142"/>
        <v>0</v>
      </c>
      <c r="DT527" s="3047" t="str">
        <f t="shared" si="143"/>
        <v/>
      </c>
      <c r="DU527" s="3047" t="str">
        <f>IFERROR(IF(G527="","",SUMIF('Lighting Assumptions'!$G$3:$G$112,'6a - Lighting Counts'!G527,'Lighting Assumptions'!$H$3:$H$112)*IF(SI_IP_Units="SI",10.76,1)),"")</f>
        <v/>
      </c>
      <c r="DV527" s="3047" t="str">
        <f>IFERROR(IF($CX527="","",IF(SI_IP_Units="SI",10.76,1)*SUMIF(BAMCategories,$CY527,'Lighting Assumptions'!$E$3:E$35)),"")</f>
        <v/>
      </c>
      <c r="DW527" s="3047" t="str">
        <f>IFERROR(IF($CX527="","",IF(SI_IP_Units="SI",10.76,1)*SUMIF(BAMCategories,$CY527,IF(bpf_reference="ACP",'Lighting Assumptions 90.1-2010'!$E$3:E$35,'Lighting Assumptions 90.1-2016'!$E$3:E$35))),"")</f>
        <v/>
      </c>
      <c r="EW527" s="855"/>
      <c r="EX527" s="855"/>
      <c r="EY527" s="855"/>
      <c r="EZ527" s="855"/>
    </row>
    <row r="528" spans="4:156" x14ac:dyDescent="0.25">
      <c r="D528" s="3029"/>
      <c r="E528" s="3028"/>
      <c r="F528" s="3021">
        <f t="shared" si="130"/>
        <v>0</v>
      </c>
      <c r="G528" s="3059"/>
      <c r="H528" s="3060"/>
      <c r="I528" s="3061"/>
      <c r="J528" s="3061"/>
      <c r="K528" s="3061"/>
      <c r="L528" s="3061"/>
      <c r="M528" s="3061"/>
      <c r="N528" s="3061"/>
      <c r="O528" s="3061"/>
      <c r="P528" s="3061"/>
      <c r="Q528" s="3061"/>
      <c r="R528" s="3061"/>
      <c r="S528" s="3061"/>
      <c r="T528" s="3061"/>
      <c r="U528" s="3061"/>
      <c r="V528" s="3061"/>
      <c r="W528" s="3061"/>
      <c r="X528" s="3061"/>
      <c r="Y528" s="3061"/>
      <c r="Z528" s="3061"/>
      <c r="AA528" s="3061"/>
      <c r="AB528" s="3061"/>
      <c r="AC528" s="3061"/>
      <c r="AD528" s="3061"/>
      <c r="AE528" s="3061"/>
      <c r="AF528" s="3061"/>
      <c r="AG528" s="3061"/>
      <c r="AH528" s="3061"/>
      <c r="AI528" s="3061"/>
      <c r="AJ528" s="3061"/>
      <c r="AK528" s="3061"/>
      <c r="AL528" s="3061"/>
      <c r="AM528" s="3061"/>
      <c r="AN528" s="3061"/>
      <c r="AO528" s="3061"/>
      <c r="AP528" s="3061"/>
      <c r="AQ528" s="3061"/>
      <c r="AR528" s="3061"/>
      <c r="AS528" s="3061"/>
      <c r="AT528" s="3061"/>
      <c r="AU528" s="3061"/>
      <c r="AV528" s="3061"/>
      <c r="AW528" s="3061"/>
      <c r="AX528" s="3061"/>
      <c r="AY528" s="3061"/>
      <c r="AZ528" s="3061"/>
      <c r="BA528" s="3061"/>
      <c r="BB528" s="3061"/>
      <c r="BC528" s="3061"/>
      <c r="BD528" s="3061"/>
      <c r="BE528" s="3061"/>
      <c r="BF528" s="3061"/>
      <c r="BG528" s="3061"/>
      <c r="BH528" s="3061"/>
      <c r="BI528" s="3061"/>
      <c r="BJ528" s="3061"/>
      <c r="BK528" s="3061"/>
      <c r="BL528" s="3061"/>
      <c r="BM528" s="3061"/>
      <c r="BN528" s="3061"/>
      <c r="BO528" s="3061"/>
      <c r="BP528" s="3061"/>
      <c r="BQ528" s="3061"/>
      <c r="BR528" s="3061"/>
      <c r="BS528" s="3061"/>
      <c r="BT528" s="3061"/>
      <c r="BU528" s="3061"/>
      <c r="BV528" s="3061"/>
      <c r="BW528" s="3061"/>
      <c r="BX528" s="3061"/>
      <c r="BY528" s="3061"/>
      <c r="BZ528" s="3061"/>
      <c r="CA528" s="3061"/>
      <c r="CB528" s="3061"/>
      <c r="CC528" s="3061"/>
      <c r="CD528" s="3061"/>
      <c r="CE528" s="3061"/>
      <c r="CF528" s="3061"/>
      <c r="CG528" s="3061"/>
      <c r="CH528" s="3061"/>
      <c r="CI528" s="3061"/>
      <c r="CJ528" s="3061"/>
      <c r="CK528" s="3061"/>
      <c r="CL528" s="3061"/>
      <c r="CM528" s="3061"/>
      <c r="CN528" s="3061"/>
      <c r="CO528" s="3061"/>
      <c r="CP528" s="3061"/>
      <c r="CQ528" s="3061"/>
      <c r="CR528" s="3061"/>
      <c r="CS528" s="3062"/>
      <c r="CT528" s="3063"/>
      <c r="CU528" s="3064">
        <f t="shared" si="134"/>
        <v>1</v>
      </c>
      <c r="CV528" s="3022" t="str">
        <f>IF(OR(CT528="",CT528="None"),"-",DO528*CU528*SUMIF('Lighting Assumptions'!$G$3:$G$112,'6a - Lighting Counts'!G528,'Lighting Assumptions'!$J$3:$J$112))</f>
        <v>-</v>
      </c>
      <c r="CW528" s="3021"/>
      <c r="CX528" s="3021"/>
      <c r="CY528" s="3046"/>
      <c r="CZ528" s="2098">
        <f t="shared" si="135"/>
        <v>0</v>
      </c>
      <c r="DA528" s="2098" t="str">
        <f t="shared" si="136"/>
        <v>-</v>
      </c>
      <c r="DB528" s="2098">
        <f t="shared" si="137"/>
        <v>0</v>
      </c>
      <c r="DC528" s="3023" t="str">
        <f t="shared" si="138"/>
        <v>-</v>
      </c>
      <c r="DD528" s="3024" t="str">
        <f t="shared" si="139"/>
        <v/>
      </c>
      <c r="DE528" s="3025" t="str">
        <f t="shared" si="140"/>
        <v>-</v>
      </c>
      <c r="DF528" s="3024" t="str">
        <f t="shared" si="131"/>
        <v>-</v>
      </c>
      <c r="DG528" s="2098">
        <f t="shared" si="141"/>
        <v>0</v>
      </c>
      <c r="DH528" s="2098">
        <f t="array" ref="DH528">MIN(SUMPRODUCT(I528:CR528,IF($I$25:$CR$25="yes",1,0),$I$23:$CR$23),H528)</f>
        <v>0</v>
      </c>
      <c r="DI528" s="3026"/>
      <c r="DJ528" s="3021"/>
      <c r="DN528" s="917" t="str">
        <f>IF(CS528="","-",SUMIF('Lighting Assumptions'!$G$3:$G$112,'6a - Lighting Counts'!G528,'Lighting Assumptions'!$J$3:$J$112))</f>
        <v>-</v>
      </c>
      <c r="DO528" s="917" t="str">
        <f t="shared" si="132"/>
        <v>-</v>
      </c>
      <c r="DP528" s="917" t="str">
        <f t="shared" si="133"/>
        <v>-</v>
      </c>
      <c r="DQ528" s="917" t="str">
        <f>IF(LEFT(CELLformula(DF528),3)&lt;&gt;"=IF",1,"")</f>
        <v/>
      </c>
      <c r="DR528" s="917" t="str">
        <f>IF(LEFT(CELLformula(DD528),3)&lt;&gt;"=IF",1,"")</f>
        <v/>
      </c>
      <c r="DS528" s="3048">
        <f t="shared" si="142"/>
        <v>0</v>
      </c>
      <c r="DT528" s="3047" t="str">
        <f t="shared" si="143"/>
        <v/>
      </c>
      <c r="DU528" s="3047" t="str">
        <f>IFERROR(IF(G528="","",SUMIF('Lighting Assumptions'!$G$3:$G$112,'6a - Lighting Counts'!G528,'Lighting Assumptions'!$H$3:$H$112)*IF(SI_IP_Units="SI",10.76,1)),"")</f>
        <v/>
      </c>
      <c r="DV528" s="3047" t="str">
        <f>IFERROR(IF($CX528="","",IF(SI_IP_Units="SI",10.76,1)*SUMIF(BAMCategories,$CY528,'Lighting Assumptions'!$E$3:E$35)),"")</f>
        <v/>
      </c>
      <c r="DW528" s="3047" t="str">
        <f>IFERROR(IF($CX528="","",IF(SI_IP_Units="SI",10.76,1)*SUMIF(BAMCategories,$CY528,IF(bpf_reference="ACP",'Lighting Assumptions 90.1-2010'!$E$3:E$35,'Lighting Assumptions 90.1-2016'!$E$3:E$35))),"")</f>
        <v/>
      </c>
      <c r="EW528" s="855"/>
      <c r="EX528" s="855"/>
      <c r="EY528" s="855"/>
      <c r="EZ528" s="855"/>
    </row>
    <row r="529" spans="4:156" x14ac:dyDescent="0.25">
      <c r="D529" s="3029"/>
      <c r="E529" s="3028"/>
      <c r="F529" s="3021">
        <f t="shared" si="130"/>
        <v>0</v>
      </c>
      <c r="G529" s="3059"/>
      <c r="H529" s="3060"/>
      <c r="I529" s="3061"/>
      <c r="J529" s="3061"/>
      <c r="K529" s="3061"/>
      <c r="L529" s="3061"/>
      <c r="M529" s="3061"/>
      <c r="N529" s="3061"/>
      <c r="O529" s="3061"/>
      <c r="P529" s="3061"/>
      <c r="Q529" s="3061"/>
      <c r="R529" s="3061"/>
      <c r="S529" s="3061"/>
      <c r="T529" s="3061"/>
      <c r="U529" s="3061"/>
      <c r="V529" s="3061"/>
      <c r="W529" s="3061"/>
      <c r="X529" s="3061"/>
      <c r="Y529" s="3061"/>
      <c r="Z529" s="3061"/>
      <c r="AA529" s="3061"/>
      <c r="AB529" s="3061"/>
      <c r="AC529" s="3061"/>
      <c r="AD529" s="3061"/>
      <c r="AE529" s="3061"/>
      <c r="AF529" s="3061"/>
      <c r="AG529" s="3061"/>
      <c r="AH529" s="3061"/>
      <c r="AI529" s="3061"/>
      <c r="AJ529" s="3061"/>
      <c r="AK529" s="3061"/>
      <c r="AL529" s="3061"/>
      <c r="AM529" s="3061"/>
      <c r="AN529" s="3061"/>
      <c r="AO529" s="3061"/>
      <c r="AP529" s="3061"/>
      <c r="AQ529" s="3061"/>
      <c r="AR529" s="3061"/>
      <c r="AS529" s="3061"/>
      <c r="AT529" s="3061"/>
      <c r="AU529" s="3061"/>
      <c r="AV529" s="3061"/>
      <c r="AW529" s="3061"/>
      <c r="AX529" s="3061"/>
      <c r="AY529" s="3061"/>
      <c r="AZ529" s="3061"/>
      <c r="BA529" s="3061"/>
      <c r="BB529" s="3061"/>
      <c r="BC529" s="3061"/>
      <c r="BD529" s="3061"/>
      <c r="BE529" s="3061"/>
      <c r="BF529" s="3061"/>
      <c r="BG529" s="3061"/>
      <c r="BH529" s="3061"/>
      <c r="BI529" s="3061"/>
      <c r="BJ529" s="3061"/>
      <c r="BK529" s="3061"/>
      <c r="BL529" s="3061"/>
      <c r="BM529" s="3061"/>
      <c r="BN529" s="3061"/>
      <c r="BO529" s="3061"/>
      <c r="BP529" s="3061"/>
      <c r="BQ529" s="3061"/>
      <c r="BR529" s="3061"/>
      <c r="BS529" s="3061"/>
      <c r="BT529" s="3061"/>
      <c r="BU529" s="3061"/>
      <c r="BV529" s="3061"/>
      <c r="BW529" s="3061"/>
      <c r="BX529" s="3061"/>
      <c r="BY529" s="3061"/>
      <c r="BZ529" s="3061"/>
      <c r="CA529" s="3061"/>
      <c r="CB529" s="3061"/>
      <c r="CC529" s="3061"/>
      <c r="CD529" s="3061"/>
      <c r="CE529" s="3061"/>
      <c r="CF529" s="3061"/>
      <c r="CG529" s="3061"/>
      <c r="CH529" s="3061"/>
      <c r="CI529" s="3061"/>
      <c r="CJ529" s="3061"/>
      <c r="CK529" s="3061"/>
      <c r="CL529" s="3061"/>
      <c r="CM529" s="3061"/>
      <c r="CN529" s="3061"/>
      <c r="CO529" s="3061"/>
      <c r="CP529" s="3061"/>
      <c r="CQ529" s="3061"/>
      <c r="CR529" s="3061"/>
      <c r="CS529" s="3062"/>
      <c r="CT529" s="3063"/>
      <c r="CU529" s="3064">
        <f t="shared" si="134"/>
        <v>1</v>
      </c>
      <c r="CV529" s="3022" t="str">
        <f>IF(OR(CT529="",CT529="None"),"-",DO529*CU529*SUMIF('Lighting Assumptions'!$G$3:$G$112,'6a - Lighting Counts'!G529,'Lighting Assumptions'!$J$3:$J$112))</f>
        <v>-</v>
      </c>
      <c r="CW529" s="3021"/>
      <c r="CX529" s="3021"/>
      <c r="CY529" s="3046"/>
      <c r="CZ529" s="2098">
        <f t="shared" si="135"/>
        <v>0</v>
      </c>
      <c r="DA529" s="2098" t="str">
        <f t="shared" si="136"/>
        <v>-</v>
      </c>
      <c r="DB529" s="2098">
        <f t="shared" si="137"/>
        <v>0</v>
      </c>
      <c r="DC529" s="3023" t="str">
        <f t="shared" si="138"/>
        <v>-</v>
      </c>
      <c r="DD529" s="3024" t="str">
        <f t="shared" si="139"/>
        <v/>
      </c>
      <c r="DE529" s="3025" t="str">
        <f t="shared" si="140"/>
        <v>-</v>
      </c>
      <c r="DF529" s="3024" t="str">
        <f t="shared" si="131"/>
        <v>-</v>
      </c>
      <c r="DG529" s="2098">
        <f t="shared" si="141"/>
        <v>0</v>
      </c>
      <c r="DH529" s="2098">
        <f t="array" ref="DH529">MIN(SUMPRODUCT(I529:CR529,IF($I$25:$CR$25="yes",1,0),$I$23:$CR$23),H529)</f>
        <v>0</v>
      </c>
      <c r="DI529" s="3026"/>
      <c r="DJ529" s="3021"/>
      <c r="DN529" s="917" t="str">
        <f>IF(CS529="","-",SUMIF('Lighting Assumptions'!$G$3:$G$112,'6a - Lighting Counts'!G529,'Lighting Assumptions'!$J$3:$J$112))</f>
        <v>-</v>
      </c>
      <c r="DO529" s="917" t="str">
        <f t="shared" si="132"/>
        <v>-</v>
      </c>
      <c r="DP529" s="917" t="str">
        <f t="shared" si="133"/>
        <v>-</v>
      </c>
      <c r="DQ529" s="917" t="str">
        <f>IF(LEFT(CELLformula(DF529),3)&lt;&gt;"=IF",1,"")</f>
        <v/>
      </c>
      <c r="DR529" s="917" t="str">
        <f>IF(LEFT(CELLformula(DD529),3)&lt;&gt;"=IF",1,"")</f>
        <v/>
      </c>
      <c r="DS529" s="3048">
        <f t="shared" si="142"/>
        <v>0</v>
      </c>
      <c r="DT529" s="3047" t="str">
        <f t="shared" si="143"/>
        <v/>
      </c>
      <c r="DU529" s="3047" t="str">
        <f>IFERROR(IF(G529="","",SUMIF('Lighting Assumptions'!$G$3:$G$112,'6a - Lighting Counts'!G529,'Lighting Assumptions'!$H$3:$H$112)*IF(SI_IP_Units="SI",10.76,1)),"")</f>
        <v/>
      </c>
      <c r="DV529" s="3047" t="str">
        <f>IFERROR(IF($CX529="","",IF(SI_IP_Units="SI",10.76,1)*SUMIF(BAMCategories,$CY529,'Lighting Assumptions'!$E$3:E$35)),"")</f>
        <v/>
      </c>
      <c r="DW529" s="3047" t="str">
        <f>IFERROR(IF($CX529="","",IF(SI_IP_Units="SI",10.76,1)*SUMIF(BAMCategories,$CY529,IF(bpf_reference="ACP",'Lighting Assumptions 90.1-2010'!$E$3:E$35,'Lighting Assumptions 90.1-2016'!$E$3:E$35))),"")</f>
        <v/>
      </c>
      <c r="EW529" s="855"/>
      <c r="EX529" s="855"/>
      <c r="EY529" s="855"/>
      <c r="EZ529" s="855"/>
    </row>
    <row r="530" spans="4:156" x14ac:dyDescent="0.25">
      <c r="D530" s="3029"/>
      <c r="E530" s="3028"/>
      <c r="F530" s="3021">
        <f t="shared" si="130"/>
        <v>0</v>
      </c>
      <c r="G530" s="3059"/>
      <c r="H530" s="3060"/>
      <c r="I530" s="3061"/>
      <c r="J530" s="3061"/>
      <c r="K530" s="3061"/>
      <c r="L530" s="3061"/>
      <c r="M530" s="3061"/>
      <c r="N530" s="3061"/>
      <c r="O530" s="3061"/>
      <c r="P530" s="3061"/>
      <c r="Q530" s="3061"/>
      <c r="R530" s="3061"/>
      <c r="S530" s="3061"/>
      <c r="T530" s="3061"/>
      <c r="U530" s="3061"/>
      <c r="V530" s="3061"/>
      <c r="W530" s="3061"/>
      <c r="X530" s="3061"/>
      <c r="Y530" s="3061"/>
      <c r="Z530" s="3061"/>
      <c r="AA530" s="3061"/>
      <c r="AB530" s="3061"/>
      <c r="AC530" s="3061"/>
      <c r="AD530" s="3061"/>
      <c r="AE530" s="3061"/>
      <c r="AF530" s="3061"/>
      <c r="AG530" s="3061"/>
      <c r="AH530" s="3061"/>
      <c r="AI530" s="3061"/>
      <c r="AJ530" s="3061"/>
      <c r="AK530" s="3061"/>
      <c r="AL530" s="3061"/>
      <c r="AM530" s="3061"/>
      <c r="AN530" s="3061"/>
      <c r="AO530" s="3061"/>
      <c r="AP530" s="3061"/>
      <c r="AQ530" s="3061"/>
      <c r="AR530" s="3061"/>
      <c r="AS530" s="3061"/>
      <c r="AT530" s="3061"/>
      <c r="AU530" s="3061"/>
      <c r="AV530" s="3061"/>
      <c r="AW530" s="3061"/>
      <c r="AX530" s="3061"/>
      <c r="AY530" s="3061"/>
      <c r="AZ530" s="3061"/>
      <c r="BA530" s="3061"/>
      <c r="BB530" s="3061"/>
      <c r="BC530" s="3061"/>
      <c r="BD530" s="3061"/>
      <c r="BE530" s="3061"/>
      <c r="BF530" s="3061"/>
      <c r="BG530" s="3061"/>
      <c r="BH530" s="3061"/>
      <c r="BI530" s="3061"/>
      <c r="BJ530" s="3061"/>
      <c r="BK530" s="3061"/>
      <c r="BL530" s="3061"/>
      <c r="BM530" s="3061"/>
      <c r="BN530" s="3061"/>
      <c r="BO530" s="3061"/>
      <c r="BP530" s="3061"/>
      <c r="BQ530" s="3061"/>
      <c r="BR530" s="3061"/>
      <c r="BS530" s="3061"/>
      <c r="BT530" s="3061"/>
      <c r="BU530" s="3061"/>
      <c r="BV530" s="3061"/>
      <c r="BW530" s="3061"/>
      <c r="BX530" s="3061"/>
      <c r="BY530" s="3061"/>
      <c r="BZ530" s="3061"/>
      <c r="CA530" s="3061"/>
      <c r="CB530" s="3061"/>
      <c r="CC530" s="3061"/>
      <c r="CD530" s="3061"/>
      <c r="CE530" s="3061"/>
      <c r="CF530" s="3061"/>
      <c r="CG530" s="3061"/>
      <c r="CH530" s="3061"/>
      <c r="CI530" s="3061"/>
      <c r="CJ530" s="3061"/>
      <c r="CK530" s="3061"/>
      <c r="CL530" s="3061"/>
      <c r="CM530" s="3061"/>
      <c r="CN530" s="3061"/>
      <c r="CO530" s="3061"/>
      <c r="CP530" s="3061"/>
      <c r="CQ530" s="3061"/>
      <c r="CR530" s="3061"/>
      <c r="CS530" s="3062"/>
      <c r="CT530" s="3063"/>
      <c r="CU530" s="3064">
        <f t="shared" si="134"/>
        <v>1</v>
      </c>
      <c r="CV530" s="3022" t="str">
        <f>IF(OR(CT530="",CT530="None"),"-",DO530*CU530*SUMIF('Lighting Assumptions'!$G$3:$G$112,'6a - Lighting Counts'!G530,'Lighting Assumptions'!$J$3:$J$112))</f>
        <v>-</v>
      </c>
      <c r="CW530" s="3021"/>
      <c r="CX530" s="3021"/>
      <c r="CY530" s="3046"/>
      <c r="CZ530" s="2098">
        <f t="shared" si="135"/>
        <v>0</v>
      </c>
      <c r="DA530" s="2098" t="str">
        <f t="shared" si="136"/>
        <v>-</v>
      </c>
      <c r="DB530" s="2098">
        <f t="shared" si="137"/>
        <v>0</v>
      </c>
      <c r="DC530" s="3023" t="str">
        <f t="shared" si="138"/>
        <v>-</v>
      </c>
      <c r="DD530" s="3024" t="str">
        <f t="shared" si="139"/>
        <v/>
      </c>
      <c r="DE530" s="3025" t="str">
        <f t="shared" si="140"/>
        <v>-</v>
      </c>
      <c r="DF530" s="3024" t="str">
        <f t="shared" si="131"/>
        <v>-</v>
      </c>
      <c r="DG530" s="2098">
        <f t="shared" si="141"/>
        <v>0</v>
      </c>
      <c r="DH530" s="2098">
        <f t="array" ref="DH530">MIN(SUMPRODUCT(I530:CR530,IF($I$25:$CR$25="yes",1,0),$I$23:$CR$23),H530)</f>
        <v>0</v>
      </c>
      <c r="DI530" s="3026"/>
      <c r="DJ530" s="3021"/>
      <c r="DN530" s="917" t="str">
        <f>IF(CS530="","-",SUMIF('Lighting Assumptions'!$G$3:$G$112,'6a - Lighting Counts'!G530,'Lighting Assumptions'!$J$3:$J$112))</f>
        <v>-</v>
      </c>
      <c r="DO530" s="917" t="str">
        <f t="shared" si="132"/>
        <v>-</v>
      </c>
      <c r="DP530" s="917" t="str">
        <f t="shared" si="133"/>
        <v>-</v>
      </c>
      <c r="DQ530" s="917" t="str">
        <f>IF(LEFT(CELLformula(DF530),3)&lt;&gt;"=IF",1,"")</f>
        <v/>
      </c>
      <c r="DR530" s="917" t="str">
        <f>IF(LEFT(CELLformula(DD530),3)&lt;&gt;"=IF",1,"")</f>
        <v/>
      </c>
      <c r="DS530" s="3048">
        <f t="shared" si="142"/>
        <v>0</v>
      </c>
      <c r="DT530" s="3047" t="str">
        <f t="shared" si="143"/>
        <v/>
      </c>
      <c r="DU530" s="3047" t="str">
        <f>IFERROR(IF(G530="","",SUMIF('Lighting Assumptions'!$G$3:$G$112,'6a - Lighting Counts'!G530,'Lighting Assumptions'!$H$3:$H$112)*IF(SI_IP_Units="SI",10.76,1)),"")</f>
        <v/>
      </c>
      <c r="DV530" s="3047" t="str">
        <f>IFERROR(IF($CX530="","",IF(SI_IP_Units="SI",10.76,1)*SUMIF(BAMCategories,$CY530,'Lighting Assumptions'!$E$3:E$35)),"")</f>
        <v/>
      </c>
      <c r="DW530" s="3047" t="str">
        <f>IFERROR(IF($CX530="","",IF(SI_IP_Units="SI",10.76,1)*SUMIF(BAMCategories,$CY530,IF(bpf_reference="ACP",'Lighting Assumptions 90.1-2010'!$E$3:E$35,'Lighting Assumptions 90.1-2016'!$E$3:E$35))),"")</f>
        <v/>
      </c>
      <c r="EW530" s="855"/>
      <c r="EX530" s="855"/>
      <c r="EY530" s="855"/>
      <c r="EZ530" s="855"/>
    </row>
    <row r="531" spans="4:156" x14ac:dyDescent="0.25">
      <c r="D531" s="3029"/>
      <c r="E531" s="3028"/>
      <c r="F531" s="3021">
        <f t="shared" si="130"/>
        <v>0</v>
      </c>
      <c r="G531" s="3059"/>
      <c r="H531" s="3060"/>
      <c r="I531" s="3061"/>
      <c r="J531" s="3061"/>
      <c r="K531" s="3061"/>
      <c r="L531" s="3061"/>
      <c r="M531" s="3061"/>
      <c r="N531" s="3061"/>
      <c r="O531" s="3061"/>
      <c r="P531" s="3061"/>
      <c r="Q531" s="3061"/>
      <c r="R531" s="3061"/>
      <c r="S531" s="3061"/>
      <c r="T531" s="3061"/>
      <c r="U531" s="3061"/>
      <c r="V531" s="3061"/>
      <c r="W531" s="3061"/>
      <c r="X531" s="3061"/>
      <c r="Y531" s="3061"/>
      <c r="Z531" s="3061"/>
      <c r="AA531" s="3061"/>
      <c r="AB531" s="3061"/>
      <c r="AC531" s="3061"/>
      <c r="AD531" s="3061"/>
      <c r="AE531" s="3061"/>
      <c r="AF531" s="3061"/>
      <c r="AG531" s="3061"/>
      <c r="AH531" s="3061"/>
      <c r="AI531" s="3061"/>
      <c r="AJ531" s="3061"/>
      <c r="AK531" s="3061"/>
      <c r="AL531" s="3061"/>
      <c r="AM531" s="3061"/>
      <c r="AN531" s="3061"/>
      <c r="AO531" s="3061"/>
      <c r="AP531" s="3061"/>
      <c r="AQ531" s="3061"/>
      <c r="AR531" s="3061"/>
      <c r="AS531" s="3061"/>
      <c r="AT531" s="3061"/>
      <c r="AU531" s="3061"/>
      <c r="AV531" s="3061"/>
      <c r="AW531" s="3061"/>
      <c r="AX531" s="3061"/>
      <c r="AY531" s="3061"/>
      <c r="AZ531" s="3061"/>
      <c r="BA531" s="3061"/>
      <c r="BB531" s="3061"/>
      <c r="BC531" s="3061"/>
      <c r="BD531" s="3061"/>
      <c r="BE531" s="3061"/>
      <c r="BF531" s="3061"/>
      <c r="BG531" s="3061"/>
      <c r="BH531" s="3061"/>
      <c r="BI531" s="3061"/>
      <c r="BJ531" s="3061"/>
      <c r="BK531" s="3061"/>
      <c r="BL531" s="3061"/>
      <c r="BM531" s="3061"/>
      <c r="BN531" s="3061"/>
      <c r="BO531" s="3061"/>
      <c r="BP531" s="3061"/>
      <c r="BQ531" s="3061"/>
      <c r="BR531" s="3061"/>
      <c r="BS531" s="3061"/>
      <c r="BT531" s="3061"/>
      <c r="BU531" s="3061"/>
      <c r="BV531" s="3061"/>
      <c r="BW531" s="3061"/>
      <c r="BX531" s="3061"/>
      <c r="BY531" s="3061"/>
      <c r="BZ531" s="3061"/>
      <c r="CA531" s="3061"/>
      <c r="CB531" s="3061"/>
      <c r="CC531" s="3061"/>
      <c r="CD531" s="3061"/>
      <c r="CE531" s="3061"/>
      <c r="CF531" s="3061"/>
      <c r="CG531" s="3061"/>
      <c r="CH531" s="3061"/>
      <c r="CI531" s="3061"/>
      <c r="CJ531" s="3061"/>
      <c r="CK531" s="3061"/>
      <c r="CL531" s="3061"/>
      <c r="CM531" s="3061"/>
      <c r="CN531" s="3061"/>
      <c r="CO531" s="3061"/>
      <c r="CP531" s="3061"/>
      <c r="CQ531" s="3061"/>
      <c r="CR531" s="3061"/>
      <c r="CS531" s="3062"/>
      <c r="CT531" s="3063"/>
      <c r="CU531" s="3064">
        <f t="shared" si="134"/>
        <v>1</v>
      </c>
      <c r="CV531" s="3022" t="str">
        <f>IF(OR(CT531="",CT531="None"),"-",DO531*CU531*SUMIF('Lighting Assumptions'!$G$3:$G$112,'6a - Lighting Counts'!G531,'Lighting Assumptions'!$J$3:$J$112))</f>
        <v>-</v>
      </c>
      <c r="CW531" s="3021"/>
      <c r="CX531" s="3021"/>
      <c r="CY531" s="3046"/>
      <c r="CZ531" s="2098">
        <f t="shared" si="135"/>
        <v>0</v>
      </c>
      <c r="DA531" s="2098" t="str">
        <f t="shared" si="136"/>
        <v>-</v>
      </c>
      <c r="DB531" s="2098">
        <f t="shared" si="137"/>
        <v>0</v>
      </c>
      <c r="DC531" s="3023" t="str">
        <f t="shared" si="138"/>
        <v>-</v>
      </c>
      <c r="DD531" s="3024" t="str">
        <f t="shared" si="139"/>
        <v/>
      </c>
      <c r="DE531" s="3025" t="str">
        <f t="shared" si="140"/>
        <v>-</v>
      </c>
      <c r="DF531" s="3024" t="str">
        <f t="shared" si="131"/>
        <v>-</v>
      </c>
      <c r="DG531" s="2098">
        <f t="shared" si="141"/>
        <v>0</v>
      </c>
      <c r="DH531" s="2098">
        <f t="array" ref="DH531">MIN(SUMPRODUCT(I531:CR531,IF($I$25:$CR$25="yes",1,0),$I$23:$CR$23),H531)</f>
        <v>0</v>
      </c>
      <c r="DI531" s="3026"/>
      <c r="DJ531" s="3021"/>
      <c r="DN531" s="917" t="str">
        <f>IF(CS531="","-",SUMIF('Lighting Assumptions'!$G$3:$G$112,'6a - Lighting Counts'!G531,'Lighting Assumptions'!$J$3:$J$112))</f>
        <v>-</v>
      </c>
      <c r="DO531" s="917" t="str">
        <f t="shared" si="132"/>
        <v>-</v>
      </c>
      <c r="DP531" s="917" t="str">
        <f t="shared" si="133"/>
        <v>-</v>
      </c>
      <c r="DQ531" s="917" t="str">
        <f>IF(LEFT(CELLformula(DF531),3)&lt;&gt;"=IF",1,"")</f>
        <v/>
      </c>
      <c r="DR531" s="917" t="str">
        <f>IF(LEFT(CELLformula(DD531),3)&lt;&gt;"=IF",1,"")</f>
        <v/>
      </c>
      <c r="DS531" s="3048">
        <f t="shared" si="142"/>
        <v>0</v>
      </c>
      <c r="DT531" s="3047" t="str">
        <f t="shared" si="143"/>
        <v/>
      </c>
      <c r="DU531" s="3047" t="str">
        <f>IFERROR(IF(G531="","",SUMIF('Lighting Assumptions'!$G$3:$G$112,'6a - Lighting Counts'!G531,'Lighting Assumptions'!$H$3:$H$112)*IF(SI_IP_Units="SI",10.76,1)),"")</f>
        <v/>
      </c>
      <c r="DV531" s="3047" t="str">
        <f>IFERROR(IF($CX531="","",IF(SI_IP_Units="SI",10.76,1)*SUMIF(BAMCategories,$CY531,'Lighting Assumptions'!$E$3:E$35)),"")</f>
        <v/>
      </c>
      <c r="DW531" s="3047" t="str">
        <f>IFERROR(IF($CX531="","",IF(SI_IP_Units="SI",10.76,1)*SUMIF(BAMCategories,$CY531,IF(bpf_reference="ACP",'Lighting Assumptions 90.1-2010'!$E$3:E$35,'Lighting Assumptions 90.1-2016'!$E$3:E$35))),"")</f>
        <v/>
      </c>
      <c r="EW531" s="855"/>
      <c r="EX531" s="855"/>
      <c r="EY531" s="855"/>
      <c r="EZ531" s="855"/>
    </row>
    <row r="532" spans="4:156" x14ac:dyDescent="0.25">
      <c r="D532" s="3029"/>
      <c r="E532" s="3028"/>
      <c r="F532" s="3021">
        <f t="shared" si="130"/>
        <v>0</v>
      </c>
      <c r="G532" s="3059"/>
      <c r="H532" s="3060"/>
      <c r="I532" s="3061"/>
      <c r="J532" s="3061"/>
      <c r="K532" s="3061"/>
      <c r="L532" s="3061"/>
      <c r="M532" s="3061"/>
      <c r="N532" s="3061"/>
      <c r="O532" s="3061"/>
      <c r="P532" s="3061"/>
      <c r="Q532" s="3061"/>
      <c r="R532" s="3061"/>
      <c r="S532" s="3061"/>
      <c r="T532" s="3061"/>
      <c r="U532" s="3061"/>
      <c r="V532" s="3061"/>
      <c r="W532" s="3061"/>
      <c r="X532" s="3061"/>
      <c r="Y532" s="3061"/>
      <c r="Z532" s="3061"/>
      <c r="AA532" s="3061"/>
      <c r="AB532" s="3061"/>
      <c r="AC532" s="3061"/>
      <c r="AD532" s="3061"/>
      <c r="AE532" s="3061"/>
      <c r="AF532" s="3061"/>
      <c r="AG532" s="3061"/>
      <c r="AH532" s="3061"/>
      <c r="AI532" s="3061"/>
      <c r="AJ532" s="3061"/>
      <c r="AK532" s="3061"/>
      <c r="AL532" s="3061"/>
      <c r="AM532" s="3061"/>
      <c r="AN532" s="3061"/>
      <c r="AO532" s="3061"/>
      <c r="AP532" s="3061"/>
      <c r="AQ532" s="3061"/>
      <c r="AR532" s="3061"/>
      <c r="AS532" s="3061"/>
      <c r="AT532" s="3061"/>
      <c r="AU532" s="3061"/>
      <c r="AV532" s="3061"/>
      <c r="AW532" s="3061"/>
      <c r="AX532" s="3061"/>
      <c r="AY532" s="3061"/>
      <c r="AZ532" s="3061"/>
      <c r="BA532" s="3061"/>
      <c r="BB532" s="3061"/>
      <c r="BC532" s="3061"/>
      <c r="BD532" s="3061"/>
      <c r="BE532" s="3061"/>
      <c r="BF532" s="3061"/>
      <c r="BG532" s="3061"/>
      <c r="BH532" s="3061"/>
      <c r="BI532" s="3061"/>
      <c r="BJ532" s="3061"/>
      <c r="BK532" s="3061"/>
      <c r="BL532" s="3061"/>
      <c r="BM532" s="3061"/>
      <c r="BN532" s="3061"/>
      <c r="BO532" s="3061"/>
      <c r="BP532" s="3061"/>
      <c r="BQ532" s="3061"/>
      <c r="BR532" s="3061"/>
      <c r="BS532" s="3061"/>
      <c r="BT532" s="3061"/>
      <c r="BU532" s="3061"/>
      <c r="BV532" s="3061"/>
      <c r="BW532" s="3061"/>
      <c r="BX532" s="3061"/>
      <c r="BY532" s="3061"/>
      <c r="BZ532" s="3061"/>
      <c r="CA532" s="3061"/>
      <c r="CB532" s="3061"/>
      <c r="CC532" s="3061"/>
      <c r="CD532" s="3061"/>
      <c r="CE532" s="3061"/>
      <c r="CF532" s="3061"/>
      <c r="CG532" s="3061"/>
      <c r="CH532" s="3061"/>
      <c r="CI532" s="3061"/>
      <c r="CJ532" s="3061"/>
      <c r="CK532" s="3061"/>
      <c r="CL532" s="3061"/>
      <c r="CM532" s="3061"/>
      <c r="CN532" s="3061"/>
      <c r="CO532" s="3061"/>
      <c r="CP532" s="3061"/>
      <c r="CQ532" s="3061"/>
      <c r="CR532" s="3061"/>
      <c r="CS532" s="3062"/>
      <c r="CT532" s="3063"/>
      <c r="CU532" s="3064">
        <f t="shared" si="134"/>
        <v>1</v>
      </c>
      <c r="CV532" s="3022" t="str">
        <f>IF(OR(CT532="",CT532="None"),"-",DO532*CU532*SUMIF('Lighting Assumptions'!$G$3:$G$112,'6a - Lighting Counts'!G532,'Lighting Assumptions'!$J$3:$J$112))</f>
        <v>-</v>
      </c>
      <c r="CW532" s="3021"/>
      <c r="CX532" s="3021"/>
      <c r="CY532" s="3046"/>
      <c r="CZ532" s="2098">
        <f t="shared" si="135"/>
        <v>0</v>
      </c>
      <c r="DA532" s="2098" t="str">
        <f t="shared" si="136"/>
        <v>-</v>
      </c>
      <c r="DB532" s="2098">
        <f t="shared" si="137"/>
        <v>0</v>
      </c>
      <c r="DC532" s="3023" t="str">
        <f t="shared" si="138"/>
        <v>-</v>
      </c>
      <c r="DD532" s="3024" t="str">
        <f t="shared" si="139"/>
        <v/>
      </c>
      <c r="DE532" s="3025" t="str">
        <f t="shared" si="140"/>
        <v>-</v>
      </c>
      <c r="DF532" s="3024" t="str">
        <f t="shared" si="131"/>
        <v>-</v>
      </c>
      <c r="DG532" s="2098">
        <f t="shared" si="141"/>
        <v>0</v>
      </c>
      <c r="DH532" s="2098">
        <f t="array" ref="DH532">MIN(SUMPRODUCT(I532:CR532,IF($I$25:$CR$25="yes",1,0),$I$23:$CR$23),H532)</f>
        <v>0</v>
      </c>
      <c r="DI532" s="3026"/>
      <c r="DJ532" s="3021"/>
      <c r="DN532" s="917" t="str">
        <f>IF(CS532="","-",SUMIF('Lighting Assumptions'!$G$3:$G$112,'6a - Lighting Counts'!G532,'Lighting Assumptions'!$J$3:$J$112))</f>
        <v>-</v>
      </c>
      <c r="DO532" s="917" t="str">
        <f t="shared" si="132"/>
        <v>-</v>
      </c>
      <c r="DP532" s="917" t="str">
        <f t="shared" si="133"/>
        <v>-</v>
      </c>
      <c r="DQ532" s="917" t="str">
        <f>IF(LEFT(CELLformula(DF532),3)&lt;&gt;"=IF",1,"")</f>
        <v/>
      </c>
      <c r="DR532" s="917" t="str">
        <f>IF(LEFT(CELLformula(DD532),3)&lt;&gt;"=IF",1,"")</f>
        <v/>
      </c>
      <c r="DS532" s="3048">
        <f t="shared" si="142"/>
        <v>0</v>
      </c>
      <c r="DT532" s="3047" t="str">
        <f t="shared" si="143"/>
        <v/>
      </c>
      <c r="DU532" s="3047" t="str">
        <f>IFERROR(IF(G532="","",SUMIF('Lighting Assumptions'!$G$3:$G$112,'6a - Lighting Counts'!G532,'Lighting Assumptions'!$H$3:$H$112)*IF(SI_IP_Units="SI",10.76,1)),"")</f>
        <v/>
      </c>
      <c r="DV532" s="3047" t="str">
        <f>IFERROR(IF($CX532="","",IF(SI_IP_Units="SI",10.76,1)*SUMIF(BAMCategories,$CY532,'Lighting Assumptions'!$E$3:E$35)),"")</f>
        <v/>
      </c>
      <c r="DW532" s="3047" t="str">
        <f>IFERROR(IF($CX532="","",IF(SI_IP_Units="SI",10.76,1)*SUMIF(BAMCategories,$CY532,IF(bpf_reference="ACP",'Lighting Assumptions 90.1-2010'!$E$3:E$35,'Lighting Assumptions 90.1-2016'!$E$3:E$35))),"")</f>
        <v/>
      </c>
      <c r="EW532" s="855"/>
      <c r="EX532" s="855"/>
      <c r="EY532" s="855"/>
      <c r="EZ532" s="855"/>
    </row>
    <row r="533" spans="4:156" x14ac:dyDescent="0.25">
      <c r="D533" s="3029"/>
      <c r="E533" s="3028"/>
      <c r="F533" s="3021">
        <f t="shared" si="130"/>
        <v>0</v>
      </c>
      <c r="G533" s="3059"/>
      <c r="H533" s="3060"/>
      <c r="I533" s="3061"/>
      <c r="J533" s="3061"/>
      <c r="K533" s="3061"/>
      <c r="L533" s="3061"/>
      <c r="M533" s="3061"/>
      <c r="N533" s="3061"/>
      <c r="O533" s="3061"/>
      <c r="P533" s="3061"/>
      <c r="Q533" s="3061"/>
      <c r="R533" s="3061"/>
      <c r="S533" s="3061"/>
      <c r="T533" s="3061"/>
      <c r="U533" s="3061"/>
      <c r="V533" s="3061"/>
      <c r="W533" s="3061"/>
      <c r="X533" s="3061"/>
      <c r="Y533" s="3061"/>
      <c r="Z533" s="3061"/>
      <c r="AA533" s="3061"/>
      <c r="AB533" s="3061"/>
      <c r="AC533" s="3061"/>
      <c r="AD533" s="3061"/>
      <c r="AE533" s="3061"/>
      <c r="AF533" s="3061"/>
      <c r="AG533" s="3061"/>
      <c r="AH533" s="3061"/>
      <c r="AI533" s="3061"/>
      <c r="AJ533" s="3061"/>
      <c r="AK533" s="3061"/>
      <c r="AL533" s="3061"/>
      <c r="AM533" s="3061"/>
      <c r="AN533" s="3061"/>
      <c r="AO533" s="3061"/>
      <c r="AP533" s="3061"/>
      <c r="AQ533" s="3061"/>
      <c r="AR533" s="3061"/>
      <c r="AS533" s="3061"/>
      <c r="AT533" s="3061"/>
      <c r="AU533" s="3061"/>
      <c r="AV533" s="3061"/>
      <c r="AW533" s="3061"/>
      <c r="AX533" s="3061"/>
      <c r="AY533" s="3061"/>
      <c r="AZ533" s="3061"/>
      <c r="BA533" s="3061"/>
      <c r="BB533" s="3061"/>
      <c r="BC533" s="3061"/>
      <c r="BD533" s="3061"/>
      <c r="BE533" s="3061"/>
      <c r="BF533" s="3061"/>
      <c r="BG533" s="3061"/>
      <c r="BH533" s="3061"/>
      <c r="BI533" s="3061"/>
      <c r="BJ533" s="3061"/>
      <c r="BK533" s="3061"/>
      <c r="BL533" s="3061"/>
      <c r="BM533" s="3061"/>
      <c r="BN533" s="3061"/>
      <c r="BO533" s="3061"/>
      <c r="BP533" s="3061"/>
      <c r="BQ533" s="3061"/>
      <c r="BR533" s="3061"/>
      <c r="BS533" s="3061"/>
      <c r="BT533" s="3061"/>
      <c r="BU533" s="3061"/>
      <c r="BV533" s="3061"/>
      <c r="BW533" s="3061"/>
      <c r="BX533" s="3061"/>
      <c r="BY533" s="3061"/>
      <c r="BZ533" s="3061"/>
      <c r="CA533" s="3061"/>
      <c r="CB533" s="3061"/>
      <c r="CC533" s="3061"/>
      <c r="CD533" s="3061"/>
      <c r="CE533" s="3061"/>
      <c r="CF533" s="3061"/>
      <c r="CG533" s="3061"/>
      <c r="CH533" s="3061"/>
      <c r="CI533" s="3061"/>
      <c r="CJ533" s="3061"/>
      <c r="CK533" s="3061"/>
      <c r="CL533" s="3061"/>
      <c r="CM533" s="3061"/>
      <c r="CN533" s="3061"/>
      <c r="CO533" s="3061"/>
      <c r="CP533" s="3061"/>
      <c r="CQ533" s="3061"/>
      <c r="CR533" s="3061"/>
      <c r="CS533" s="3062"/>
      <c r="CT533" s="3063"/>
      <c r="CU533" s="3064">
        <f t="shared" si="134"/>
        <v>1</v>
      </c>
      <c r="CV533" s="3022" t="str">
        <f>IF(OR(CT533="",CT533="None"),"-",DO533*CU533*SUMIF('Lighting Assumptions'!$G$3:$G$112,'6a - Lighting Counts'!G533,'Lighting Assumptions'!$J$3:$J$112))</f>
        <v>-</v>
      </c>
      <c r="CW533" s="3021"/>
      <c r="CX533" s="3021"/>
      <c r="CY533" s="3046"/>
      <c r="CZ533" s="2098">
        <f t="shared" si="135"/>
        <v>0</v>
      </c>
      <c r="DA533" s="2098" t="str">
        <f t="shared" si="136"/>
        <v>-</v>
      </c>
      <c r="DB533" s="2098">
        <f t="shared" si="137"/>
        <v>0</v>
      </c>
      <c r="DC533" s="3023" t="str">
        <f t="shared" si="138"/>
        <v>-</v>
      </c>
      <c r="DD533" s="3024" t="str">
        <f t="shared" si="139"/>
        <v/>
      </c>
      <c r="DE533" s="3025" t="str">
        <f t="shared" si="140"/>
        <v>-</v>
      </c>
      <c r="DF533" s="3024" t="str">
        <f t="shared" si="131"/>
        <v>-</v>
      </c>
      <c r="DG533" s="2098">
        <f t="shared" si="141"/>
        <v>0</v>
      </c>
      <c r="DH533" s="2098">
        <f t="array" ref="DH533">MIN(SUMPRODUCT(I533:CR533,IF($I$25:$CR$25="yes",1,0),$I$23:$CR$23),H533)</f>
        <v>0</v>
      </c>
      <c r="DI533" s="3026"/>
      <c r="DJ533" s="3021"/>
      <c r="DN533" s="917" t="str">
        <f>IF(CS533="","-",SUMIF('Lighting Assumptions'!$G$3:$G$112,'6a - Lighting Counts'!G533,'Lighting Assumptions'!$J$3:$J$112))</f>
        <v>-</v>
      </c>
      <c r="DO533" s="917" t="str">
        <f t="shared" si="132"/>
        <v>-</v>
      </c>
      <c r="DP533" s="917" t="str">
        <f t="shared" si="133"/>
        <v>-</v>
      </c>
      <c r="DQ533" s="917" t="str">
        <f>IF(LEFT(CELLformula(DF533),3)&lt;&gt;"=IF",1,"")</f>
        <v/>
      </c>
      <c r="DR533" s="917" t="str">
        <f>IF(LEFT(CELLformula(DD533),3)&lt;&gt;"=IF",1,"")</f>
        <v/>
      </c>
      <c r="DS533" s="3048">
        <f t="shared" si="142"/>
        <v>0</v>
      </c>
      <c r="DT533" s="3047" t="str">
        <f t="shared" si="143"/>
        <v/>
      </c>
      <c r="DU533" s="3047" t="str">
        <f>IFERROR(IF(G533="","",SUMIF('Lighting Assumptions'!$G$3:$G$112,'6a - Lighting Counts'!G533,'Lighting Assumptions'!$H$3:$H$112)*IF(SI_IP_Units="SI",10.76,1)),"")</f>
        <v/>
      </c>
      <c r="DV533" s="3047" t="str">
        <f>IFERROR(IF($CX533="","",IF(SI_IP_Units="SI",10.76,1)*SUMIF(BAMCategories,$CY533,'Lighting Assumptions'!$E$3:E$35)),"")</f>
        <v/>
      </c>
      <c r="DW533" s="3047" t="str">
        <f>IFERROR(IF($CX533="","",IF(SI_IP_Units="SI",10.76,1)*SUMIF(BAMCategories,$CY533,IF(bpf_reference="ACP",'Lighting Assumptions 90.1-2010'!$E$3:E$35,'Lighting Assumptions 90.1-2016'!$E$3:E$35))),"")</f>
        <v/>
      </c>
      <c r="EW533" s="855"/>
      <c r="EX533" s="855"/>
      <c r="EY533" s="855"/>
      <c r="EZ533" s="855"/>
    </row>
    <row r="534" spans="4:156" x14ac:dyDescent="0.25">
      <c r="D534" s="3029"/>
      <c r="E534" s="3028"/>
      <c r="F534" s="3021">
        <f t="shared" si="130"/>
        <v>0</v>
      </c>
      <c r="G534" s="3059"/>
      <c r="H534" s="3060"/>
      <c r="I534" s="3061"/>
      <c r="J534" s="3061"/>
      <c r="K534" s="3061"/>
      <c r="L534" s="3061"/>
      <c r="M534" s="3061"/>
      <c r="N534" s="3061"/>
      <c r="O534" s="3061"/>
      <c r="P534" s="3061"/>
      <c r="Q534" s="3061"/>
      <c r="R534" s="3061"/>
      <c r="S534" s="3061"/>
      <c r="T534" s="3061"/>
      <c r="U534" s="3061"/>
      <c r="V534" s="3061"/>
      <c r="W534" s="3061"/>
      <c r="X534" s="3061"/>
      <c r="Y534" s="3061"/>
      <c r="Z534" s="3061"/>
      <c r="AA534" s="3061"/>
      <c r="AB534" s="3061"/>
      <c r="AC534" s="3061"/>
      <c r="AD534" s="3061"/>
      <c r="AE534" s="3061"/>
      <c r="AF534" s="3061"/>
      <c r="AG534" s="3061"/>
      <c r="AH534" s="3061"/>
      <c r="AI534" s="3061"/>
      <c r="AJ534" s="3061"/>
      <c r="AK534" s="3061"/>
      <c r="AL534" s="3061"/>
      <c r="AM534" s="3061"/>
      <c r="AN534" s="3061"/>
      <c r="AO534" s="3061"/>
      <c r="AP534" s="3061"/>
      <c r="AQ534" s="3061"/>
      <c r="AR534" s="3061"/>
      <c r="AS534" s="3061"/>
      <c r="AT534" s="3061"/>
      <c r="AU534" s="3061"/>
      <c r="AV534" s="3061"/>
      <c r="AW534" s="3061"/>
      <c r="AX534" s="3061"/>
      <c r="AY534" s="3061"/>
      <c r="AZ534" s="3061"/>
      <c r="BA534" s="3061"/>
      <c r="BB534" s="3061"/>
      <c r="BC534" s="3061"/>
      <c r="BD534" s="3061"/>
      <c r="BE534" s="3061"/>
      <c r="BF534" s="3061"/>
      <c r="BG534" s="3061"/>
      <c r="BH534" s="3061"/>
      <c r="BI534" s="3061"/>
      <c r="BJ534" s="3061"/>
      <c r="BK534" s="3061"/>
      <c r="BL534" s="3061"/>
      <c r="BM534" s="3061"/>
      <c r="BN534" s="3061"/>
      <c r="BO534" s="3061"/>
      <c r="BP534" s="3061"/>
      <c r="BQ534" s="3061"/>
      <c r="BR534" s="3061"/>
      <c r="BS534" s="3061"/>
      <c r="BT534" s="3061"/>
      <c r="BU534" s="3061"/>
      <c r="BV534" s="3061"/>
      <c r="BW534" s="3061"/>
      <c r="BX534" s="3061"/>
      <c r="BY534" s="3061"/>
      <c r="BZ534" s="3061"/>
      <c r="CA534" s="3061"/>
      <c r="CB534" s="3061"/>
      <c r="CC534" s="3061"/>
      <c r="CD534" s="3061"/>
      <c r="CE534" s="3061"/>
      <c r="CF534" s="3061"/>
      <c r="CG534" s="3061"/>
      <c r="CH534" s="3061"/>
      <c r="CI534" s="3061"/>
      <c r="CJ534" s="3061"/>
      <c r="CK534" s="3061"/>
      <c r="CL534" s="3061"/>
      <c r="CM534" s="3061"/>
      <c r="CN534" s="3061"/>
      <c r="CO534" s="3061"/>
      <c r="CP534" s="3061"/>
      <c r="CQ534" s="3061"/>
      <c r="CR534" s="3061"/>
      <c r="CS534" s="3062"/>
      <c r="CT534" s="3063"/>
      <c r="CU534" s="3064">
        <f t="shared" si="134"/>
        <v>1</v>
      </c>
      <c r="CV534" s="3022" t="str">
        <f>IF(OR(CT534="",CT534="None"),"-",DO534*CU534*SUMIF('Lighting Assumptions'!$G$3:$G$112,'6a - Lighting Counts'!G534,'Lighting Assumptions'!$J$3:$J$112))</f>
        <v>-</v>
      </c>
      <c r="CW534" s="3021"/>
      <c r="CX534" s="3021"/>
      <c r="CY534" s="3046"/>
      <c r="CZ534" s="2098">
        <f t="shared" si="135"/>
        <v>0</v>
      </c>
      <c r="DA534" s="2098" t="str">
        <f t="shared" si="136"/>
        <v>-</v>
      </c>
      <c r="DB534" s="2098">
        <f t="shared" si="137"/>
        <v>0</v>
      </c>
      <c r="DC534" s="3023" t="str">
        <f t="shared" si="138"/>
        <v>-</v>
      </c>
      <c r="DD534" s="3024" t="str">
        <f t="shared" si="139"/>
        <v/>
      </c>
      <c r="DE534" s="3025" t="str">
        <f t="shared" si="140"/>
        <v>-</v>
      </c>
      <c r="DF534" s="3024" t="str">
        <f t="shared" si="131"/>
        <v>-</v>
      </c>
      <c r="DG534" s="2098">
        <f t="shared" si="141"/>
        <v>0</v>
      </c>
      <c r="DH534" s="2098">
        <f t="array" ref="DH534">MIN(SUMPRODUCT(I534:CR534,IF($I$25:$CR$25="yes",1,0),$I$23:$CR$23),H534)</f>
        <v>0</v>
      </c>
      <c r="DI534" s="3026"/>
      <c r="DJ534" s="3021"/>
      <c r="DN534" s="917" t="str">
        <f>IF(CS534="","-",SUMIF('Lighting Assumptions'!$G$3:$G$112,'6a - Lighting Counts'!G534,'Lighting Assumptions'!$J$3:$J$112))</f>
        <v>-</v>
      </c>
      <c r="DO534" s="917" t="str">
        <f t="shared" si="132"/>
        <v>-</v>
      </c>
      <c r="DP534" s="917" t="str">
        <f t="shared" si="133"/>
        <v>-</v>
      </c>
      <c r="DQ534" s="917" t="str">
        <f>IF(LEFT(CELLformula(DF534),3)&lt;&gt;"=IF",1,"")</f>
        <v/>
      </c>
      <c r="DR534" s="917" t="str">
        <f>IF(LEFT(CELLformula(DD534),3)&lt;&gt;"=IF",1,"")</f>
        <v/>
      </c>
      <c r="DS534" s="3048">
        <f t="shared" si="142"/>
        <v>0</v>
      </c>
      <c r="DT534" s="3047" t="str">
        <f t="shared" si="143"/>
        <v/>
      </c>
      <c r="DU534" s="3047" t="str">
        <f>IFERROR(IF(G534="","",SUMIF('Lighting Assumptions'!$G$3:$G$112,'6a - Lighting Counts'!G534,'Lighting Assumptions'!$H$3:$H$112)*IF(SI_IP_Units="SI",10.76,1)),"")</f>
        <v/>
      </c>
      <c r="DV534" s="3047" t="str">
        <f>IFERROR(IF($CX534="","",IF(SI_IP_Units="SI",10.76,1)*SUMIF(BAMCategories,$CY534,'Lighting Assumptions'!$E$3:E$35)),"")</f>
        <v/>
      </c>
      <c r="DW534" s="3047" t="str">
        <f>IFERROR(IF($CX534="","",IF(SI_IP_Units="SI",10.76,1)*SUMIF(BAMCategories,$CY534,IF(bpf_reference="ACP",'Lighting Assumptions 90.1-2010'!$E$3:E$35,'Lighting Assumptions 90.1-2016'!$E$3:E$35))),"")</f>
        <v/>
      </c>
      <c r="EW534" s="855"/>
      <c r="EX534" s="855"/>
      <c r="EY534" s="855"/>
      <c r="EZ534" s="855"/>
    </row>
    <row r="535" spans="4:156" x14ac:dyDescent="0.25">
      <c r="D535" s="3029"/>
      <c r="E535" s="3028"/>
      <c r="F535" s="3021">
        <f t="shared" si="130"/>
        <v>0</v>
      </c>
      <c r="G535" s="3059"/>
      <c r="H535" s="3060"/>
      <c r="I535" s="3061"/>
      <c r="J535" s="3061"/>
      <c r="K535" s="3061"/>
      <c r="L535" s="3061"/>
      <c r="M535" s="3061"/>
      <c r="N535" s="3061"/>
      <c r="O535" s="3061"/>
      <c r="P535" s="3061"/>
      <c r="Q535" s="3061"/>
      <c r="R535" s="3061"/>
      <c r="S535" s="3061"/>
      <c r="T535" s="3061"/>
      <c r="U535" s="3061"/>
      <c r="V535" s="3061"/>
      <c r="W535" s="3061"/>
      <c r="X535" s="3061"/>
      <c r="Y535" s="3061"/>
      <c r="Z535" s="3061"/>
      <c r="AA535" s="3061"/>
      <c r="AB535" s="3061"/>
      <c r="AC535" s="3061"/>
      <c r="AD535" s="3061"/>
      <c r="AE535" s="3061"/>
      <c r="AF535" s="3061"/>
      <c r="AG535" s="3061"/>
      <c r="AH535" s="3061"/>
      <c r="AI535" s="3061"/>
      <c r="AJ535" s="3061"/>
      <c r="AK535" s="3061"/>
      <c r="AL535" s="3061"/>
      <c r="AM535" s="3061"/>
      <c r="AN535" s="3061"/>
      <c r="AO535" s="3061"/>
      <c r="AP535" s="3061"/>
      <c r="AQ535" s="3061"/>
      <c r="AR535" s="3061"/>
      <c r="AS535" s="3061"/>
      <c r="AT535" s="3061"/>
      <c r="AU535" s="3061"/>
      <c r="AV535" s="3061"/>
      <c r="AW535" s="3061"/>
      <c r="AX535" s="3061"/>
      <c r="AY535" s="3061"/>
      <c r="AZ535" s="3061"/>
      <c r="BA535" s="3061"/>
      <c r="BB535" s="3061"/>
      <c r="BC535" s="3061"/>
      <c r="BD535" s="3061"/>
      <c r="BE535" s="3061"/>
      <c r="BF535" s="3061"/>
      <c r="BG535" s="3061"/>
      <c r="BH535" s="3061"/>
      <c r="BI535" s="3061"/>
      <c r="BJ535" s="3061"/>
      <c r="BK535" s="3061"/>
      <c r="BL535" s="3061"/>
      <c r="BM535" s="3061"/>
      <c r="BN535" s="3061"/>
      <c r="BO535" s="3061"/>
      <c r="BP535" s="3061"/>
      <c r="BQ535" s="3061"/>
      <c r="BR535" s="3061"/>
      <c r="BS535" s="3061"/>
      <c r="BT535" s="3061"/>
      <c r="BU535" s="3061"/>
      <c r="BV535" s="3061"/>
      <c r="BW535" s="3061"/>
      <c r="BX535" s="3061"/>
      <c r="BY535" s="3061"/>
      <c r="BZ535" s="3061"/>
      <c r="CA535" s="3061"/>
      <c r="CB535" s="3061"/>
      <c r="CC535" s="3061"/>
      <c r="CD535" s="3061"/>
      <c r="CE535" s="3061"/>
      <c r="CF535" s="3061"/>
      <c r="CG535" s="3061"/>
      <c r="CH535" s="3061"/>
      <c r="CI535" s="3061"/>
      <c r="CJ535" s="3061"/>
      <c r="CK535" s="3061"/>
      <c r="CL535" s="3061"/>
      <c r="CM535" s="3061"/>
      <c r="CN535" s="3061"/>
      <c r="CO535" s="3061"/>
      <c r="CP535" s="3061"/>
      <c r="CQ535" s="3061"/>
      <c r="CR535" s="3061"/>
      <c r="CS535" s="3062"/>
      <c r="CT535" s="3063"/>
      <c r="CU535" s="3064">
        <f t="shared" si="134"/>
        <v>1</v>
      </c>
      <c r="CV535" s="3022" t="str">
        <f>IF(OR(CT535="",CT535="None"),"-",DO535*CU535*SUMIF('Lighting Assumptions'!$G$3:$G$112,'6a - Lighting Counts'!G535,'Lighting Assumptions'!$J$3:$J$112))</f>
        <v>-</v>
      </c>
      <c r="CW535" s="3021"/>
      <c r="CX535" s="3021"/>
      <c r="CY535" s="3046"/>
      <c r="CZ535" s="2098">
        <f t="shared" si="135"/>
        <v>0</v>
      </c>
      <c r="DA535" s="2098" t="str">
        <f t="shared" si="136"/>
        <v>-</v>
      </c>
      <c r="DB535" s="2098">
        <f t="shared" si="137"/>
        <v>0</v>
      </c>
      <c r="DC535" s="3023" t="str">
        <f t="shared" si="138"/>
        <v>-</v>
      </c>
      <c r="DD535" s="3024" t="str">
        <f t="shared" si="139"/>
        <v/>
      </c>
      <c r="DE535" s="3025" t="str">
        <f t="shared" si="140"/>
        <v>-</v>
      </c>
      <c r="DF535" s="3024" t="str">
        <f t="shared" si="131"/>
        <v>-</v>
      </c>
      <c r="DG535" s="2098">
        <f t="shared" si="141"/>
        <v>0</v>
      </c>
      <c r="DH535" s="2098">
        <f t="array" ref="DH535">MIN(SUMPRODUCT(I535:CR535,IF($I$25:$CR$25="yes",1,0),$I$23:$CR$23),H535)</f>
        <v>0</v>
      </c>
      <c r="DI535" s="3026"/>
      <c r="DJ535" s="3021"/>
      <c r="DN535" s="917" t="str">
        <f>IF(CS535="","-",SUMIF('Lighting Assumptions'!$G$3:$G$112,'6a - Lighting Counts'!G535,'Lighting Assumptions'!$J$3:$J$112))</f>
        <v>-</v>
      </c>
      <c r="DO535" s="917" t="str">
        <f t="shared" si="132"/>
        <v>-</v>
      </c>
      <c r="DP535" s="917" t="str">
        <f t="shared" si="133"/>
        <v>-</v>
      </c>
      <c r="DQ535" s="917" t="str">
        <f>IF(LEFT(CELLformula(DF535),3)&lt;&gt;"=IF",1,"")</f>
        <v/>
      </c>
      <c r="DR535" s="917" t="str">
        <f>IF(LEFT(CELLformula(DD535),3)&lt;&gt;"=IF",1,"")</f>
        <v/>
      </c>
      <c r="DS535" s="3048">
        <f t="shared" si="142"/>
        <v>0</v>
      </c>
      <c r="DT535" s="3047" t="str">
        <f t="shared" si="143"/>
        <v/>
      </c>
      <c r="DU535" s="3047" t="str">
        <f>IFERROR(IF(G535="","",SUMIF('Lighting Assumptions'!$G$3:$G$112,'6a - Lighting Counts'!G535,'Lighting Assumptions'!$H$3:$H$112)*IF(SI_IP_Units="SI",10.76,1)),"")</f>
        <v/>
      </c>
      <c r="DV535" s="3047" t="str">
        <f>IFERROR(IF($CX535="","",IF(SI_IP_Units="SI",10.76,1)*SUMIF(BAMCategories,$CY535,'Lighting Assumptions'!$E$3:E$35)),"")</f>
        <v/>
      </c>
      <c r="DW535" s="3047" t="str">
        <f>IFERROR(IF($CX535="","",IF(SI_IP_Units="SI",10.76,1)*SUMIF(BAMCategories,$CY535,IF(bpf_reference="ACP",'Lighting Assumptions 90.1-2010'!$E$3:E$35,'Lighting Assumptions 90.1-2016'!$E$3:E$35))),"")</f>
        <v/>
      </c>
      <c r="EW535" s="855"/>
      <c r="EX535" s="855"/>
      <c r="EY535" s="855"/>
      <c r="EZ535" s="855"/>
    </row>
    <row r="536" spans="4:156" x14ac:dyDescent="0.25">
      <c r="D536" s="3029"/>
      <c r="E536" s="3028"/>
      <c r="F536" s="3021">
        <f t="shared" si="130"/>
        <v>0</v>
      </c>
      <c r="G536" s="3059"/>
      <c r="H536" s="3060"/>
      <c r="I536" s="3061"/>
      <c r="J536" s="3061"/>
      <c r="K536" s="3061"/>
      <c r="L536" s="3061"/>
      <c r="M536" s="3061"/>
      <c r="N536" s="3061"/>
      <c r="O536" s="3061"/>
      <c r="P536" s="3061"/>
      <c r="Q536" s="3061"/>
      <c r="R536" s="3061"/>
      <c r="S536" s="3061"/>
      <c r="T536" s="3061"/>
      <c r="U536" s="3061"/>
      <c r="V536" s="3061"/>
      <c r="W536" s="3061"/>
      <c r="X536" s="3061"/>
      <c r="Y536" s="3061"/>
      <c r="Z536" s="3061"/>
      <c r="AA536" s="3061"/>
      <c r="AB536" s="3061"/>
      <c r="AC536" s="3061"/>
      <c r="AD536" s="3061"/>
      <c r="AE536" s="3061"/>
      <c r="AF536" s="3061"/>
      <c r="AG536" s="3061"/>
      <c r="AH536" s="3061"/>
      <c r="AI536" s="3061"/>
      <c r="AJ536" s="3061"/>
      <c r="AK536" s="3061"/>
      <c r="AL536" s="3061"/>
      <c r="AM536" s="3061"/>
      <c r="AN536" s="3061"/>
      <c r="AO536" s="3061"/>
      <c r="AP536" s="3061"/>
      <c r="AQ536" s="3061"/>
      <c r="AR536" s="3061"/>
      <c r="AS536" s="3061"/>
      <c r="AT536" s="3061"/>
      <c r="AU536" s="3061"/>
      <c r="AV536" s="3061"/>
      <c r="AW536" s="3061"/>
      <c r="AX536" s="3061"/>
      <c r="AY536" s="3061"/>
      <c r="AZ536" s="3061"/>
      <c r="BA536" s="3061"/>
      <c r="BB536" s="3061"/>
      <c r="BC536" s="3061"/>
      <c r="BD536" s="3061"/>
      <c r="BE536" s="3061"/>
      <c r="BF536" s="3061"/>
      <c r="BG536" s="3061"/>
      <c r="BH536" s="3061"/>
      <c r="BI536" s="3061"/>
      <c r="BJ536" s="3061"/>
      <c r="BK536" s="3061"/>
      <c r="BL536" s="3061"/>
      <c r="BM536" s="3061"/>
      <c r="BN536" s="3061"/>
      <c r="BO536" s="3061"/>
      <c r="BP536" s="3061"/>
      <c r="BQ536" s="3061"/>
      <c r="BR536" s="3061"/>
      <c r="BS536" s="3061"/>
      <c r="BT536" s="3061"/>
      <c r="BU536" s="3061"/>
      <c r="BV536" s="3061"/>
      <c r="BW536" s="3061"/>
      <c r="BX536" s="3061"/>
      <c r="BY536" s="3061"/>
      <c r="BZ536" s="3061"/>
      <c r="CA536" s="3061"/>
      <c r="CB536" s="3061"/>
      <c r="CC536" s="3061"/>
      <c r="CD536" s="3061"/>
      <c r="CE536" s="3061"/>
      <c r="CF536" s="3061"/>
      <c r="CG536" s="3061"/>
      <c r="CH536" s="3061"/>
      <c r="CI536" s="3061"/>
      <c r="CJ536" s="3061"/>
      <c r="CK536" s="3061"/>
      <c r="CL536" s="3061"/>
      <c r="CM536" s="3061"/>
      <c r="CN536" s="3061"/>
      <c r="CO536" s="3061"/>
      <c r="CP536" s="3061"/>
      <c r="CQ536" s="3061"/>
      <c r="CR536" s="3061"/>
      <c r="CS536" s="3062"/>
      <c r="CT536" s="3063"/>
      <c r="CU536" s="3064">
        <f t="shared" si="134"/>
        <v>1</v>
      </c>
      <c r="CV536" s="3022" t="str">
        <f>IF(OR(CT536="",CT536="None"),"-",DO536*CU536*SUMIF('Lighting Assumptions'!$G$3:$G$112,'6a - Lighting Counts'!G536,'Lighting Assumptions'!$J$3:$J$112))</f>
        <v>-</v>
      </c>
      <c r="CW536" s="3021"/>
      <c r="CX536" s="3021"/>
      <c r="CY536" s="3046"/>
      <c r="CZ536" s="2098">
        <f t="shared" si="135"/>
        <v>0</v>
      </c>
      <c r="DA536" s="2098" t="str">
        <f t="shared" si="136"/>
        <v>-</v>
      </c>
      <c r="DB536" s="2098">
        <f t="shared" si="137"/>
        <v>0</v>
      </c>
      <c r="DC536" s="3023" t="str">
        <f t="shared" si="138"/>
        <v>-</v>
      </c>
      <c r="DD536" s="3024" t="str">
        <f t="shared" si="139"/>
        <v/>
      </c>
      <c r="DE536" s="3025" t="str">
        <f t="shared" si="140"/>
        <v>-</v>
      </c>
      <c r="DF536" s="3024" t="str">
        <f t="shared" si="131"/>
        <v>-</v>
      </c>
      <c r="DG536" s="2098">
        <f t="shared" si="141"/>
        <v>0</v>
      </c>
      <c r="DH536" s="2098">
        <f t="array" ref="DH536">MIN(SUMPRODUCT(I536:CR536,IF($I$25:$CR$25="yes",1,0),$I$23:$CR$23),H536)</f>
        <v>0</v>
      </c>
      <c r="DI536" s="3026"/>
      <c r="DJ536" s="3021"/>
      <c r="DN536" s="917" t="str">
        <f>IF(CS536="","-",SUMIF('Lighting Assumptions'!$G$3:$G$112,'6a - Lighting Counts'!G536,'Lighting Assumptions'!$J$3:$J$112))</f>
        <v>-</v>
      </c>
      <c r="DO536" s="917" t="str">
        <f t="shared" si="132"/>
        <v>-</v>
      </c>
      <c r="DP536" s="917" t="str">
        <f t="shared" si="133"/>
        <v>-</v>
      </c>
      <c r="DQ536" s="917" t="str">
        <f>IF(LEFT(CELLformula(DF536),3)&lt;&gt;"=IF",1,"")</f>
        <v/>
      </c>
      <c r="DR536" s="917" t="str">
        <f>IF(LEFT(CELLformula(DD536),3)&lt;&gt;"=IF",1,"")</f>
        <v/>
      </c>
      <c r="DS536" s="3048">
        <f t="shared" si="142"/>
        <v>0</v>
      </c>
      <c r="DT536" s="3047" t="str">
        <f t="shared" si="143"/>
        <v/>
      </c>
      <c r="DU536" s="3047" t="str">
        <f>IFERROR(IF(G536="","",SUMIF('Lighting Assumptions'!$G$3:$G$112,'6a - Lighting Counts'!G536,'Lighting Assumptions'!$H$3:$H$112)*IF(SI_IP_Units="SI",10.76,1)),"")</f>
        <v/>
      </c>
      <c r="DV536" s="3047" t="str">
        <f>IFERROR(IF($CX536="","",IF(SI_IP_Units="SI",10.76,1)*SUMIF(BAMCategories,$CY536,'Lighting Assumptions'!$E$3:E$35)),"")</f>
        <v/>
      </c>
      <c r="DW536" s="3047" t="str">
        <f>IFERROR(IF($CX536="","",IF(SI_IP_Units="SI",10.76,1)*SUMIF(BAMCategories,$CY536,IF(bpf_reference="ACP",'Lighting Assumptions 90.1-2010'!$E$3:E$35,'Lighting Assumptions 90.1-2016'!$E$3:E$35))),"")</f>
        <v/>
      </c>
      <c r="EW536" s="855"/>
      <c r="EX536" s="855"/>
      <c r="EY536" s="855"/>
      <c r="EZ536" s="855"/>
    </row>
    <row r="537" spans="4:156" x14ac:dyDescent="0.25">
      <c r="D537" s="3029"/>
      <c r="E537" s="3028"/>
      <c r="F537" s="3021">
        <f t="shared" si="130"/>
        <v>0</v>
      </c>
      <c r="G537" s="3059"/>
      <c r="H537" s="3060"/>
      <c r="I537" s="3061"/>
      <c r="J537" s="3061"/>
      <c r="K537" s="3061"/>
      <c r="L537" s="3061"/>
      <c r="M537" s="3061"/>
      <c r="N537" s="3061"/>
      <c r="O537" s="3061"/>
      <c r="P537" s="3061"/>
      <c r="Q537" s="3061"/>
      <c r="R537" s="3061"/>
      <c r="S537" s="3061"/>
      <c r="T537" s="3061"/>
      <c r="U537" s="3061"/>
      <c r="V537" s="3061"/>
      <c r="W537" s="3061"/>
      <c r="X537" s="3061"/>
      <c r="Y537" s="3061"/>
      <c r="Z537" s="3061"/>
      <c r="AA537" s="3061"/>
      <c r="AB537" s="3061"/>
      <c r="AC537" s="3061"/>
      <c r="AD537" s="3061"/>
      <c r="AE537" s="3061"/>
      <c r="AF537" s="3061"/>
      <c r="AG537" s="3061"/>
      <c r="AH537" s="3061"/>
      <c r="AI537" s="3061"/>
      <c r="AJ537" s="3061"/>
      <c r="AK537" s="3061"/>
      <c r="AL537" s="3061"/>
      <c r="AM537" s="3061"/>
      <c r="AN537" s="3061"/>
      <c r="AO537" s="3061"/>
      <c r="AP537" s="3061"/>
      <c r="AQ537" s="3061"/>
      <c r="AR537" s="3061"/>
      <c r="AS537" s="3061"/>
      <c r="AT537" s="3061"/>
      <c r="AU537" s="3061"/>
      <c r="AV537" s="3061"/>
      <c r="AW537" s="3061"/>
      <c r="AX537" s="3061"/>
      <c r="AY537" s="3061"/>
      <c r="AZ537" s="3061"/>
      <c r="BA537" s="3061"/>
      <c r="BB537" s="3061"/>
      <c r="BC537" s="3061"/>
      <c r="BD537" s="3061"/>
      <c r="BE537" s="3061"/>
      <c r="BF537" s="3061"/>
      <c r="BG537" s="3061"/>
      <c r="BH537" s="3061"/>
      <c r="BI537" s="3061"/>
      <c r="BJ537" s="3061"/>
      <c r="BK537" s="3061"/>
      <c r="BL537" s="3061"/>
      <c r="BM537" s="3061"/>
      <c r="BN537" s="3061"/>
      <c r="BO537" s="3061"/>
      <c r="BP537" s="3061"/>
      <c r="BQ537" s="3061"/>
      <c r="BR537" s="3061"/>
      <c r="BS537" s="3061"/>
      <c r="BT537" s="3061"/>
      <c r="BU537" s="3061"/>
      <c r="BV537" s="3061"/>
      <c r="BW537" s="3061"/>
      <c r="BX537" s="3061"/>
      <c r="BY537" s="3061"/>
      <c r="BZ537" s="3061"/>
      <c r="CA537" s="3061"/>
      <c r="CB537" s="3061"/>
      <c r="CC537" s="3061"/>
      <c r="CD537" s="3061"/>
      <c r="CE537" s="3061"/>
      <c r="CF537" s="3061"/>
      <c r="CG537" s="3061"/>
      <c r="CH537" s="3061"/>
      <c r="CI537" s="3061"/>
      <c r="CJ537" s="3061"/>
      <c r="CK537" s="3061"/>
      <c r="CL537" s="3061"/>
      <c r="CM537" s="3061"/>
      <c r="CN537" s="3061"/>
      <c r="CO537" s="3061"/>
      <c r="CP537" s="3061"/>
      <c r="CQ537" s="3061"/>
      <c r="CR537" s="3061"/>
      <c r="CS537" s="3062"/>
      <c r="CT537" s="3063"/>
      <c r="CU537" s="3064">
        <f t="shared" si="134"/>
        <v>1</v>
      </c>
      <c r="CV537" s="3022" t="str">
        <f>IF(OR(CT537="",CT537="None"),"-",DO537*CU537*SUMIF('Lighting Assumptions'!$G$3:$G$112,'6a - Lighting Counts'!G537,'Lighting Assumptions'!$J$3:$J$112))</f>
        <v>-</v>
      </c>
      <c r="CW537" s="3021"/>
      <c r="CX537" s="3021"/>
      <c r="CY537" s="3046"/>
      <c r="CZ537" s="2098">
        <f t="shared" si="135"/>
        <v>0</v>
      </c>
      <c r="DA537" s="2098" t="str">
        <f t="shared" si="136"/>
        <v>-</v>
      </c>
      <c r="DB537" s="2098">
        <f t="shared" si="137"/>
        <v>0</v>
      </c>
      <c r="DC537" s="3023" t="str">
        <f t="shared" si="138"/>
        <v>-</v>
      </c>
      <c r="DD537" s="3024" t="str">
        <f t="shared" si="139"/>
        <v/>
      </c>
      <c r="DE537" s="3025" t="str">
        <f t="shared" si="140"/>
        <v>-</v>
      </c>
      <c r="DF537" s="3024" t="str">
        <f t="shared" si="131"/>
        <v>-</v>
      </c>
      <c r="DG537" s="2098">
        <f t="shared" si="141"/>
        <v>0</v>
      </c>
      <c r="DH537" s="2098">
        <f t="array" ref="DH537">MIN(SUMPRODUCT(I537:CR537,IF($I$25:$CR$25="yes",1,0),$I$23:$CR$23),H537)</f>
        <v>0</v>
      </c>
      <c r="DI537" s="3026"/>
      <c r="DJ537" s="3021"/>
      <c r="DN537" s="917" t="str">
        <f>IF(CS537="","-",SUMIF('Lighting Assumptions'!$G$3:$G$112,'6a - Lighting Counts'!G537,'Lighting Assumptions'!$J$3:$J$112))</f>
        <v>-</v>
      </c>
      <c r="DO537" s="917" t="str">
        <f t="shared" si="132"/>
        <v>-</v>
      </c>
      <c r="DP537" s="917" t="str">
        <f t="shared" si="133"/>
        <v>-</v>
      </c>
      <c r="DQ537" s="917" t="str">
        <f>IF(LEFT(CELLformula(DF537),3)&lt;&gt;"=IF",1,"")</f>
        <v/>
      </c>
      <c r="DR537" s="917" t="str">
        <f>IF(LEFT(CELLformula(DD537),3)&lt;&gt;"=IF",1,"")</f>
        <v/>
      </c>
      <c r="DS537" s="3048">
        <f t="shared" si="142"/>
        <v>0</v>
      </c>
      <c r="DT537" s="3047" t="str">
        <f t="shared" si="143"/>
        <v/>
      </c>
      <c r="DU537" s="3047" t="str">
        <f>IFERROR(IF(G537="","",SUMIF('Lighting Assumptions'!$G$3:$G$112,'6a - Lighting Counts'!G537,'Lighting Assumptions'!$H$3:$H$112)*IF(SI_IP_Units="SI",10.76,1)),"")</f>
        <v/>
      </c>
      <c r="DV537" s="3047" t="str">
        <f>IFERROR(IF($CX537="","",IF(SI_IP_Units="SI",10.76,1)*SUMIF(BAMCategories,$CY537,'Lighting Assumptions'!$E$3:E$35)),"")</f>
        <v/>
      </c>
      <c r="DW537" s="3047" t="str">
        <f>IFERROR(IF($CX537="","",IF(SI_IP_Units="SI",10.76,1)*SUMIF(BAMCategories,$CY537,IF(bpf_reference="ACP",'Lighting Assumptions 90.1-2010'!$E$3:E$35,'Lighting Assumptions 90.1-2016'!$E$3:E$35))),"")</f>
        <v/>
      </c>
      <c r="EW537" s="855"/>
      <c r="EX537" s="855"/>
      <c r="EY537" s="855"/>
      <c r="EZ537" s="855"/>
    </row>
    <row r="538" spans="4:156" x14ac:dyDescent="0.25">
      <c r="D538" s="3029"/>
      <c r="E538" s="3028"/>
      <c r="F538" s="3021">
        <f t="shared" si="130"/>
        <v>0</v>
      </c>
      <c r="G538" s="3059"/>
      <c r="H538" s="3060"/>
      <c r="I538" s="3061"/>
      <c r="J538" s="3061"/>
      <c r="K538" s="3061"/>
      <c r="L538" s="3061"/>
      <c r="M538" s="3061"/>
      <c r="N538" s="3061"/>
      <c r="O538" s="3061"/>
      <c r="P538" s="3061"/>
      <c r="Q538" s="3061"/>
      <c r="R538" s="3061"/>
      <c r="S538" s="3061"/>
      <c r="T538" s="3061"/>
      <c r="U538" s="3061"/>
      <c r="V538" s="3061"/>
      <c r="W538" s="3061"/>
      <c r="X538" s="3061"/>
      <c r="Y538" s="3061"/>
      <c r="Z538" s="3061"/>
      <c r="AA538" s="3061"/>
      <c r="AB538" s="3061"/>
      <c r="AC538" s="3061"/>
      <c r="AD538" s="3061"/>
      <c r="AE538" s="3061"/>
      <c r="AF538" s="3061"/>
      <c r="AG538" s="3061"/>
      <c r="AH538" s="3061"/>
      <c r="AI538" s="3061"/>
      <c r="AJ538" s="3061"/>
      <c r="AK538" s="3061"/>
      <c r="AL538" s="3061"/>
      <c r="AM538" s="3061"/>
      <c r="AN538" s="3061"/>
      <c r="AO538" s="3061"/>
      <c r="AP538" s="3061"/>
      <c r="AQ538" s="3061"/>
      <c r="AR538" s="3061"/>
      <c r="AS538" s="3061"/>
      <c r="AT538" s="3061"/>
      <c r="AU538" s="3061"/>
      <c r="AV538" s="3061"/>
      <c r="AW538" s="3061"/>
      <c r="AX538" s="3061"/>
      <c r="AY538" s="3061"/>
      <c r="AZ538" s="3061"/>
      <c r="BA538" s="3061"/>
      <c r="BB538" s="3061"/>
      <c r="BC538" s="3061"/>
      <c r="BD538" s="3061"/>
      <c r="BE538" s="3061"/>
      <c r="BF538" s="3061"/>
      <c r="BG538" s="3061"/>
      <c r="BH538" s="3061"/>
      <c r="BI538" s="3061"/>
      <c r="BJ538" s="3061"/>
      <c r="BK538" s="3061"/>
      <c r="BL538" s="3061"/>
      <c r="BM538" s="3061"/>
      <c r="BN538" s="3061"/>
      <c r="BO538" s="3061"/>
      <c r="BP538" s="3061"/>
      <c r="BQ538" s="3061"/>
      <c r="BR538" s="3061"/>
      <c r="BS538" s="3061"/>
      <c r="BT538" s="3061"/>
      <c r="BU538" s="3061"/>
      <c r="BV538" s="3061"/>
      <c r="BW538" s="3061"/>
      <c r="BX538" s="3061"/>
      <c r="BY538" s="3061"/>
      <c r="BZ538" s="3061"/>
      <c r="CA538" s="3061"/>
      <c r="CB538" s="3061"/>
      <c r="CC538" s="3061"/>
      <c r="CD538" s="3061"/>
      <c r="CE538" s="3061"/>
      <c r="CF538" s="3061"/>
      <c r="CG538" s="3061"/>
      <c r="CH538" s="3061"/>
      <c r="CI538" s="3061"/>
      <c r="CJ538" s="3061"/>
      <c r="CK538" s="3061"/>
      <c r="CL538" s="3061"/>
      <c r="CM538" s="3061"/>
      <c r="CN538" s="3061"/>
      <c r="CO538" s="3061"/>
      <c r="CP538" s="3061"/>
      <c r="CQ538" s="3061"/>
      <c r="CR538" s="3061"/>
      <c r="CS538" s="3062"/>
      <c r="CT538" s="3063"/>
      <c r="CU538" s="3064">
        <f t="shared" si="134"/>
        <v>1</v>
      </c>
      <c r="CV538" s="3022" t="str">
        <f>IF(OR(CT538="",CT538="None"),"-",DO538*CU538*SUMIF('Lighting Assumptions'!$G$3:$G$112,'6a - Lighting Counts'!G538,'Lighting Assumptions'!$J$3:$J$112))</f>
        <v>-</v>
      </c>
      <c r="CW538" s="3021"/>
      <c r="CX538" s="3021"/>
      <c r="CY538" s="3046"/>
      <c r="CZ538" s="2098">
        <f t="shared" si="135"/>
        <v>0</v>
      </c>
      <c r="DA538" s="2098" t="str">
        <f t="shared" si="136"/>
        <v>-</v>
      </c>
      <c r="DB538" s="2098">
        <f t="shared" si="137"/>
        <v>0</v>
      </c>
      <c r="DC538" s="3023" t="str">
        <f t="shared" si="138"/>
        <v>-</v>
      </c>
      <c r="DD538" s="3024" t="str">
        <f t="shared" si="139"/>
        <v/>
      </c>
      <c r="DE538" s="3025" t="str">
        <f t="shared" si="140"/>
        <v>-</v>
      </c>
      <c r="DF538" s="3024" t="str">
        <f t="shared" si="131"/>
        <v>-</v>
      </c>
      <c r="DG538" s="2098">
        <f t="shared" si="141"/>
        <v>0</v>
      </c>
      <c r="DH538" s="2098">
        <f t="array" ref="DH538">MIN(SUMPRODUCT(I538:CR538,IF($I$25:$CR$25="yes",1,0),$I$23:$CR$23),H538)</f>
        <v>0</v>
      </c>
      <c r="DI538" s="3026"/>
      <c r="DJ538" s="3021"/>
      <c r="DN538" s="917" t="str">
        <f>IF(CS538="","-",SUMIF('Lighting Assumptions'!$G$3:$G$112,'6a - Lighting Counts'!G538,'Lighting Assumptions'!$J$3:$J$112))</f>
        <v>-</v>
      </c>
      <c r="DO538" s="917" t="str">
        <f t="shared" si="132"/>
        <v>-</v>
      </c>
      <c r="DP538" s="917" t="str">
        <f t="shared" si="133"/>
        <v>-</v>
      </c>
      <c r="DQ538" s="917" t="str">
        <f>IF(LEFT(CELLformula(DF538),3)&lt;&gt;"=IF",1,"")</f>
        <v/>
      </c>
      <c r="DR538" s="917" t="str">
        <f>IF(LEFT(CELLformula(DD538),3)&lt;&gt;"=IF",1,"")</f>
        <v/>
      </c>
      <c r="DS538" s="3048">
        <f t="shared" si="142"/>
        <v>0</v>
      </c>
      <c r="DT538" s="3047" t="str">
        <f t="shared" si="143"/>
        <v/>
      </c>
      <c r="DU538" s="3047" t="str">
        <f>IFERROR(IF(G538="","",SUMIF('Lighting Assumptions'!$G$3:$G$112,'6a - Lighting Counts'!G538,'Lighting Assumptions'!$H$3:$H$112)*IF(SI_IP_Units="SI",10.76,1)),"")</f>
        <v/>
      </c>
      <c r="DV538" s="3047" t="str">
        <f>IFERROR(IF($CX538="","",IF(SI_IP_Units="SI",10.76,1)*SUMIF(BAMCategories,$CY538,'Lighting Assumptions'!$E$3:E$35)),"")</f>
        <v/>
      </c>
      <c r="DW538" s="3047" t="str">
        <f>IFERROR(IF($CX538="","",IF(SI_IP_Units="SI",10.76,1)*SUMIF(BAMCategories,$CY538,IF(bpf_reference="ACP",'Lighting Assumptions 90.1-2010'!$E$3:E$35,'Lighting Assumptions 90.1-2016'!$E$3:E$35))),"")</f>
        <v/>
      </c>
      <c r="EW538" s="855"/>
      <c r="EX538" s="855"/>
      <c r="EY538" s="855"/>
      <c r="EZ538" s="855"/>
    </row>
    <row r="539" spans="4:156" x14ac:dyDescent="0.25">
      <c r="D539" s="3029"/>
      <c r="E539" s="3028"/>
      <c r="F539" s="3021">
        <f t="shared" si="130"/>
        <v>0</v>
      </c>
      <c r="G539" s="3059"/>
      <c r="H539" s="3060"/>
      <c r="I539" s="3061"/>
      <c r="J539" s="3061"/>
      <c r="K539" s="3061"/>
      <c r="L539" s="3061"/>
      <c r="M539" s="3061"/>
      <c r="N539" s="3061"/>
      <c r="O539" s="3061"/>
      <c r="P539" s="3061"/>
      <c r="Q539" s="3061"/>
      <c r="R539" s="3061"/>
      <c r="S539" s="3061"/>
      <c r="T539" s="3061"/>
      <c r="U539" s="3061"/>
      <c r="V539" s="3061"/>
      <c r="W539" s="3061"/>
      <c r="X539" s="3061"/>
      <c r="Y539" s="3061"/>
      <c r="Z539" s="3061"/>
      <c r="AA539" s="3061"/>
      <c r="AB539" s="3061"/>
      <c r="AC539" s="3061"/>
      <c r="AD539" s="3061"/>
      <c r="AE539" s="3061"/>
      <c r="AF539" s="3061"/>
      <c r="AG539" s="3061"/>
      <c r="AH539" s="3061"/>
      <c r="AI539" s="3061"/>
      <c r="AJ539" s="3061"/>
      <c r="AK539" s="3061"/>
      <c r="AL539" s="3061"/>
      <c r="AM539" s="3061"/>
      <c r="AN539" s="3061"/>
      <c r="AO539" s="3061"/>
      <c r="AP539" s="3061"/>
      <c r="AQ539" s="3061"/>
      <c r="AR539" s="3061"/>
      <c r="AS539" s="3061"/>
      <c r="AT539" s="3061"/>
      <c r="AU539" s="3061"/>
      <c r="AV539" s="3061"/>
      <c r="AW539" s="3061"/>
      <c r="AX539" s="3061"/>
      <c r="AY539" s="3061"/>
      <c r="AZ539" s="3061"/>
      <c r="BA539" s="3061"/>
      <c r="BB539" s="3061"/>
      <c r="BC539" s="3061"/>
      <c r="BD539" s="3061"/>
      <c r="BE539" s="3061"/>
      <c r="BF539" s="3061"/>
      <c r="BG539" s="3061"/>
      <c r="BH539" s="3061"/>
      <c r="BI539" s="3061"/>
      <c r="BJ539" s="3061"/>
      <c r="BK539" s="3061"/>
      <c r="BL539" s="3061"/>
      <c r="BM539" s="3061"/>
      <c r="BN539" s="3061"/>
      <c r="BO539" s="3061"/>
      <c r="BP539" s="3061"/>
      <c r="BQ539" s="3061"/>
      <c r="BR539" s="3061"/>
      <c r="BS539" s="3061"/>
      <c r="BT539" s="3061"/>
      <c r="BU539" s="3061"/>
      <c r="BV539" s="3061"/>
      <c r="BW539" s="3061"/>
      <c r="BX539" s="3061"/>
      <c r="BY539" s="3061"/>
      <c r="BZ539" s="3061"/>
      <c r="CA539" s="3061"/>
      <c r="CB539" s="3061"/>
      <c r="CC539" s="3061"/>
      <c r="CD539" s="3061"/>
      <c r="CE539" s="3061"/>
      <c r="CF539" s="3061"/>
      <c r="CG539" s="3061"/>
      <c r="CH539" s="3061"/>
      <c r="CI539" s="3061"/>
      <c r="CJ539" s="3061"/>
      <c r="CK539" s="3061"/>
      <c r="CL539" s="3061"/>
      <c r="CM539" s="3061"/>
      <c r="CN539" s="3061"/>
      <c r="CO539" s="3061"/>
      <c r="CP539" s="3061"/>
      <c r="CQ539" s="3061"/>
      <c r="CR539" s="3061"/>
      <c r="CS539" s="3062"/>
      <c r="CT539" s="3063"/>
      <c r="CU539" s="3064">
        <f t="shared" si="134"/>
        <v>1</v>
      </c>
      <c r="CV539" s="3022" t="str">
        <f>IF(OR(CT539="",CT539="None"),"-",DO539*CU539*SUMIF('Lighting Assumptions'!$G$3:$G$112,'6a - Lighting Counts'!G539,'Lighting Assumptions'!$J$3:$J$112))</f>
        <v>-</v>
      </c>
      <c r="CW539" s="3021"/>
      <c r="CX539" s="3021"/>
      <c r="CY539" s="3046"/>
      <c r="CZ539" s="2098">
        <f t="shared" si="135"/>
        <v>0</v>
      </c>
      <c r="DA539" s="2098" t="str">
        <f t="shared" si="136"/>
        <v>-</v>
      </c>
      <c r="DB539" s="2098">
        <f t="shared" si="137"/>
        <v>0</v>
      </c>
      <c r="DC539" s="3023" t="str">
        <f t="shared" si="138"/>
        <v>-</v>
      </c>
      <c r="DD539" s="3024" t="str">
        <f t="shared" si="139"/>
        <v/>
      </c>
      <c r="DE539" s="3025" t="str">
        <f t="shared" si="140"/>
        <v>-</v>
      </c>
      <c r="DF539" s="3024" t="str">
        <f t="shared" si="131"/>
        <v>-</v>
      </c>
      <c r="DG539" s="2098">
        <f t="shared" si="141"/>
        <v>0</v>
      </c>
      <c r="DH539" s="2098">
        <f t="array" ref="DH539">MIN(SUMPRODUCT(I539:CR539,IF($I$25:$CR$25="yes",1,0),$I$23:$CR$23),H539)</f>
        <v>0</v>
      </c>
      <c r="DI539" s="3026"/>
      <c r="DJ539" s="3021"/>
      <c r="DN539" s="917" t="str">
        <f>IF(CS539="","-",SUMIF('Lighting Assumptions'!$G$3:$G$112,'6a - Lighting Counts'!G539,'Lighting Assumptions'!$J$3:$J$112))</f>
        <v>-</v>
      </c>
      <c r="DO539" s="917" t="str">
        <f t="shared" si="132"/>
        <v>-</v>
      </c>
      <c r="DP539" s="917" t="str">
        <f t="shared" si="133"/>
        <v>-</v>
      </c>
      <c r="DQ539" s="917" t="str">
        <f>IF(LEFT(CELLformula(DF539),3)&lt;&gt;"=IF",1,"")</f>
        <v/>
      </c>
      <c r="DR539" s="917" t="str">
        <f>IF(LEFT(CELLformula(DD539),3)&lt;&gt;"=IF",1,"")</f>
        <v/>
      </c>
      <c r="DS539" s="3048">
        <f t="shared" si="142"/>
        <v>0</v>
      </c>
      <c r="DT539" s="3047" t="str">
        <f t="shared" si="143"/>
        <v/>
      </c>
      <c r="DU539" s="3047" t="str">
        <f>IFERROR(IF(G539="","",SUMIF('Lighting Assumptions'!$G$3:$G$112,'6a - Lighting Counts'!G539,'Lighting Assumptions'!$H$3:$H$112)*IF(SI_IP_Units="SI",10.76,1)),"")</f>
        <v/>
      </c>
      <c r="DV539" s="3047" t="str">
        <f>IFERROR(IF($CX539="","",IF(SI_IP_Units="SI",10.76,1)*SUMIF(BAMCategories,$CY539,'Lighting Assumptions'!$E$3:E$35)),"")</f>
        <v/>
      </c>
      <c r="DW539" s="3047" t="str">
        <f>IFERROR(IF($CX539="","",IF(SI_IP_Units="SI",10.76,1)*SUMIF(BAMCategories,$CY539,IF(bpf_reference="ACP",'Lighting Assumptions 90.1-2010'!$E$3:E$35,'Lighting Assumptions 90.1-2016'!$E$3:E$35))),"")</f>
        <v/>
      </c>
      <c r="EW539" s="855"/>
      <c r="EX539" s="855"/>
      <c r="EY539" s="855"/>
      <c r="EZ539" s="855"/>
    </row>
    <row r="540" spans="4:156" x14ac:dyDescent="0.25">
      <c r="D540" s="3029"/>
      <c r="E540" s="3028"/>
      <c r="F540" s="3021">
        <f t="shared" si="130"/>
        <v>0</v>
      </c>
      <c r="G540" s="3059"/>
      <c r="H540" s="3060"/>
      <c r="I540" s="3061"/>
      <c r="J540" s="3061"/>
      <c r="K540" s="3061"/>
      <c r="L540" s="3061"/>
      <c r="M540" s="3061"/>
      <c r="N540" s="3061"/>
      <c r="O540" s="3061"/>
      <c r="P540" s="3061"/>
      <c r="Q540" s="3061"/>
      <c r="R540" s="3061"/>
      <c r="S540" s="3061"/>
      <c r="T540" s="3061"/>
      <c r="U540" s="3061"/>
      <c r="V540" s="3061"/>
      <c r="W540" s="3061"/>
      <c r="X540" s="3061"/>
      <c r="Y540" s="3061"/>
      <c r="Z540" s="3061"/>
      <c r="AA540" s="3061"/>
      <c r="AB540" s="3061"/>
      <c r="AC540" s="3061"/>
      <c r="AD540" s="3061"/>
      <c r="AE540" s="3061"/>
      <c r="AF540" s="3061"/>
      <c r="AG540" s="3061"/>
      <c r="AH540" s="3061"/>
      <c r="AI540" s="3061"/>
      <c r="AJ540" s="3061"/>
      <c r="AK540" s="3061"/>
      <c r="AL540" s="3061"/>
      <c r="AM540" s="3061"/>
      <c r="AN540" s="3061"/>
      <c r="AO540" s="3061"/>
      <c r="AP540" s="3061"/>
      <c r="AQ540" s="3061"/>
      <c r="AR540" s="3061"/>
      <c r="AS540" s="3061"/>
      <c r="AT540" s="3061"/>
      <c r="AU540" s="3061"/>
      <c r="AV540" s="3061"/>
      <c r="AW540" s="3061"/>
      <c r="AX540" s="3061"/>
      <c r="AY540" s="3061"/>
      <c r="AZ540" s="3061"/>
      <c r="BA540" s="3061"/>
      <c r="BB540" s="3061"/>
      <c r="BC540" s="3061"/>
      <c r="BD540" s="3061"/>
      <c r="BE540" s="3061"/>
      <c r="BF540" s="3061"/>
      <c r="BG540" s="3061"/>
      <c r="BH540" s="3061"/>
      <c r="BI540" s="3061"/>
      <c r="BJ540" s="3061"/>
      <c r="BK540" s="3061"/>
      <c r="BL540" s="3061"/>
      <c r="BM540" s="3061"/>
      <c r="BN540" s="3061"/>
      <c r="BO540" s="3061"/>
      <c r="BP540" s="3061"/>
      <c r="BQ540" s="3061"/>
      <c r="BR540" s="3061"/>
      <c r="BS540" s="3061"/>
      <c r="BT540" s="3061"/>
      <c r="BU540" s="3061"/>
      <c r="BV540" s="3061"/>
      <c r="BW540" s="3061"/>
      <c r="BX540" s="3061"/>
      <c r="BY540" s="3061"/>
      <c r="BZ540" s="3061"/>
      <c r="CA540" s="3061"/>
      <c r="CB540" s="3061"/>
      <c r="CC540" s="3061"/>
      <c r="CD540" s="3061"/>
      <c r="CE540" s="3061"/>
      <c r="CF540" s="3061"/>
      <c r="CG540" s="3061"/>
      <c r="CH540" s="3061"/>
      <c r="CI540" s="3061"/>
      <c r="CJ540" s="3061"/>
      <c r="CK540" s="3061"/>
      <c r="CL540" s="3061"/>
      <c r="CM540" s="3061"/>
      <c r="CN540" s="3061"/>
      <c r="CO540" s="3061"/>
      <c r="CP540" s="3061"/>
      <c r="CQ540" s="3061"/>
      <c r="CR540" s="3061"/>
      <c r="CS540" s="3062"/>
      <c r="CT540" s="3063"/>
      <c r="CU540" s="3064">
        <f t="shared" si="134"/>
        <v>1</v>
      </c>
      <c r="CV540" s="3022" t="str">
        <f>IF(OR(CT540="",CT540="None"),"-",DO540*CU540*SUMIF('Lighting Assumptions'!$G$3:$G$112,'6a - Lighting Counts'!G540,'Lighting Assumptions'!$J$3:$J$112))</f>
        <v>-</v>
      </c>
      <c r="CW540" s="3021"/>
      <c r="CX540" s="3021"/>
      <c r="CY540" s="3046"/>
      <c r="CZ540" s="2098">
        <f t="shared" si="135"/>
        <v>0</v>
      </c>
      <c r="DA540" s="2098" t="str">
        <f t="shared" si="136"/>
        <v>-</v>
      </c>
      <c r="DB540" s="2098">
        <f t="shared" si="137"/>
        <v>0</v>
      </c>
      <c r="DC540" s="3023" t="str">
        <f t="shared" si="138"/>
        <v>-</v>
      </c>
      <c r="DD540" s="3024" t="str">
        <f t="shared" si="139"/>
        <v/>
      </c>
      <c r="DE540" s="3025" t="str">
        <f t="shared" si="140"/>
        <v>-</v>
      </c>
      <c r="DF540" s="3024" t="str">
        <f t="shared" si="131"/>
        <v>-</v>
      </c>
      <c r="DG540" s="2098">
        <f t="shared" si="141"/>
        <v>0</v>
      </c>
      <c r="DH540" s="2098">
        <f t="array" ref="DH540">MIN(SUMPRODUCT(I540:CR540,IF($I$25:$CR$25="yes",1,0),$I$23:$CR$23),H540)</f>
        <v>0</v>
      </c>
      <c r="DI540" s="3026"/>
      <c r="DJ540" s="3021"/>
      <c r="DN540" s="917" t="str">
        <f>IF(CS540="","-",SUMIF('Lighting Assumptions'!$G$3:$G$112,'6a - Lighting Counts'!G540,'Lighting Assumptions'!$J$3:$J$112))</f>
        <v>-</v>
      </c>
      <c r="DO540" s="917" t="str">
        <f t="shared" si="132"/>
        <v>-</v>
      </c>
      <c r="DP540" s="917" t="str">
        <f t="shared" si="133"/>
        <v>-</v>
      </c>
      <c r="DQ540" s="917" t="str">
        <f>IF(LEFT(CELLformula(DF540),3)&lt;&gt;"=IF",1,"")</f>
        <v/>
      </c>
      <c r="DR540" s="917" t="str">
        <f>IF(LEFT(CELLformula(DD540),3)&lt;&gt;"=IF",1,"")</f>
        <v/>
      </c>
      <c r="DS540" s="3048">
        <f t="shared" si="142"/>
        <v>0</v>
      </c>
      <c r="DT540" s="3047" t="str">
        <f t="shared" si="143"/>
        <v/>
      </c>
      <c r="DU540" s="3047" t="str">
        <f>IFERROR(IF(G540="","",SUMIF('Lighting Assumptions'!$G$3:$G$112,'6a - Lighting Counts'!G540,'Lighting Assumptions'!$H$3:$H$112)*IF(SI_IP_Units="SI",10.76,1)),"")</f>
        <v/>
      </c>
      <c r="DV540" s="3047" t="str">
        <f>IFERROR(IF($CX540="","",IF(SI_IP_Units="SI",10.76,1)*SUMIF(BAMCategories,$CY540,'Lighting Assumptions'!$E$3:E$35)),"")</f>
        <v/>
      </c>
      <c r="DW540" s="3047" t="str">
        <f>IFERROR(IF($CX540="","",IF(SI_IP_Units="SI",10.76,1)*SUMIF(BAMCategories,$CY540,IF(bpf_reference="ACP",'Lighting Assumptions 90.1-2010'!$E$3:E$35,'Lighting Assumptions 90.1-2016'!$E$3:E$35))),"")</f>
        <v/>
      </c>
      <c r="EW540" s="855"/>
      <c r="EX540" s="855"/>
      <c r="EY540" s="855"/>
      <c r="EZ540" s="855"/>
    </row>
    <row r="541" spans="4:156" x14ac:dyDescent="0.25">
      <c r="D541" s="3029"/>
      <c r="E541" s="3028"/>
      <c r="F541" s="3021">
        <f t="shared" ref="F541:F551" si="144">IF(ISBLANK(D541)=FALSE,1,0)</f>
        <v>0</v>
      </c>
      <c r="G541" s="3059"/>
      <c r="H541" s="3060"/>
      <c r="I541" s="3061"/>
      <c r="J541" s="3061"/>
      <c r="K541" s="3061"/>
      <c r="L541" s="3061"/>
      <c r="M541" s="3061"/>
      <c r="N541" s="3061"/>
      <c r="O541" s="3061"/>
      <c r="P541" s="3061"/>
      <c r="Q541" s="3061"/>
      <c r="R541" s="3061"/>
      <c r="S541" s="3061"/>
      <c r="T541" s="3061"/>
      <c r="U541" s="3061"/>
      <c r="V541" s="3061"/>
      <c r="W541" s="3061"/>
      <c r="X541" s="3061"/>
      <c r="Y541" s="3061"/>
      <c r="Z541" s="3061"/>
      <c r="AA541" s="3061"/>
      <c r="AB541" s="3061"/>
      <c r="AC541" s="3061"/>
      <c r="AD541" s="3061"/>
      <c r="AE541" s="3061"/>
      <c r="AF541" s="3061"/>
      <c r="AG541" s="3061"/>
      <c r="AH541" s="3061"/>
      <c r="AI541" s="3061"/>
      <c r="AJ541" s="3061"/>
      <c r="AK541" s="3061"/>
      <c r="AL541" s="3061"/>
      <c r="AM541" s="3061"/>
      <c r="AN541" s="3061"/>
      <c r="AO541" s="3061"/>
      <c r="AP541" s="3061"/>
      <c r="AQ541" s="3061"/>
      <c r="AR541" s="3061"/>
      <c r="AS541" s="3061"/>
      <c r="AT541" s="3061"/>
      <c r="AU541" s="3061"/>
      <c r="AV541" s="3061"/>
      <c r="AW541" s="3061"/>
      <c r="AX541" s="3061"/>
      <c r="AY541" s="3061"/>
      <c r="AZ541" s="3061"/>
      <c r="BA541" s="3061"/>
      <c r="BB541" s="3061"/>
      <c r="BC541" s="3061"/>
      <c r="BD541" s="3061"/>
      <c r="BE541" s="3061"/>
      <c r="BF541" s="3061"/>
      <c r="BG541" s="3061"/>
      <c r="BH541" s="3061"/>
      <c r="BI541" s="3061"/>
      <c r="BJ541" s="3061"/>
      <c r="BK541" s="3061"/>
      <c r="BL541" s="3061"/>
      <c r="BM541" s="3061"/>
      <c r="BN541" s="3061"/>
      <c r="BO541" s="3061"/>
      <c r="BP541" s="3061"/>
      <c r="BQ541" s="3061"/>
      <c r="BR541" s="3061"/>
      <c r="BS541" s="3061"/>
      <c r="BT541" s="3061"/>
      <c r="BU541" s="3061"/>
      <c r="BV541" s="3061"/>
      <c r="BW541" s="3061"/>
      <c r="BX541" s="3061"/>
      <c r="BY541" s="3061"/>
      <c r="BZ541" s="3061"/>
      <c r="CA541" s="3061"/>
      <c r="CB541" s="3061"/>
      <c r="CC541" s="3061"/>
      <c r="CD541" s="3061"/>
      <c r="CE541" s="3061"/>
      <c r="CF541" s="3061"/>
      <c r="CG541" s="3061"/>
      <c r="CH541" s="3061"/>
      <c r="CI541" s="3061"/>
      <c r="CJ541" s="3061"/>
      <c r="CK541" s="3061"/>
      <c r="CL541" s="3061"/>
      <c r="CM541" s="3061"/>
      <c r="CN541" s="3061"/>
      <c r="CO541" s="3061"/>
      <c r="CP541" s="3061"/>
      <c r="CQ541" s="3061"/>
      <c r="CR541" s="3061"/>
      <c r="CS541" s="3062"/>
      <c r="CT541" s="3063"/>
      <c r="CU541" s="3064">
        <f t="shared" si="134"/>
        <v>1</v>
      </c>
      <c r="CV541" s="3022" t="str">
        <f>IF(OR(CT541="",CT541="None"),"-",DO541*CU541*SUMIF('Lighting Assumptions'!$G$3:$G$112,'6a - Lighting Counts'!G541,'Lighting Assumptions'!$J$3:$J$112))</f>
        <v>-</v>
      </c>
      <c r="CW541" s="3021"/>
      <c r="CX541" s="3021"/>
      <c r="CY541" s="3046"/>
      <c r="CZ541" s="2098">
        <f t="shared" si="135"/>
        <v>0</v>
      </c>
      <c r="DA541" s="2098" t="str">
        <f t="shared" si="136"/>
        <v>-</v>
      </c>
      <c r="DB541" s="2098">
        <f t="shared" si="137"/>
        <v>0</v>
      </c>
      <c r="DC541" s="3023" t="str">
        <f t="shared" si="138"/>
        <v>-</v>
      </c>
      <c r="DD541" s="3024" t="str">
        <f t="shared" si="139"/>
        <v/>
      </c>
      <c r="DE541" s="3025" t="str">
        <f t="shared" si="140"/>
        <v>-</v>
      </c>
      <c r="DF541" s="3024" t="str">
        <f t="shared" ref="DF541:DF551" si="145">IF(ISBLANK(H541)=FALSE,(CZ541-IF(ISNUMBER(CV541)=TRUE,CV541,0)*CS541)/H541,"-")</f>
        <v>-</v>
      </c>
      <c r="DG541" s="2098">
        <f t="shared" si="141"/>
        <v>0</v>
      </c>
      <c r="DH541" s="2098">
        <f t="array" ref="DH541">MIN(SUMPRODUCT(I541:CR541,IF($I$25:$CR$25="yes",1,0),$I$23:$CR$23),H541)</f>
        <v>0</v>
      </c>
      <c r="DI541" s="3026"/>
      <c r="DJ541" s="3021"/>
      <c r="DN541" s="917" t="str">
        <f>IF(CS541="","-",SUMIF('Lighting Assumptions'!$G$3:$G$112,'6a - Lighting Counts'!G541,'Lighting Assumptions'!$J$3:$J$112))</f>
        <v>-</v>
      </c>
      <c r="DO541" s="917" t="str">
        <f t="shared" ref="DO541:DO551" si="146">IF(CT541="","-",IF(CT541="Other",1,1.25))</f>
        <v>-</v>
      </c>
      <c r="DP541" s="917" t="str">
        <f t="shared" ref="DP541:DP551" si="147">IF(DO541="-","-",DO541*CV541)</f>
        <v>-</v>
      </c>
      <c r="DQ541" s="917" t="str">
        <f>IF(LEFT(CELLformula(DF541),3)&lt;&gt;"=IF",1,"")</f>
        <v/>
      </c>
      <c r="DR541" s="917" t="str">
        <f>IF(LEFT(CELLformula(DD541),3)&lt;&gt;"=IF",1,"")</f>
        <v/>
      </c>
      <c r="DS541" s="3048">
        <f t="shared" si="142"/>
        <v>0</v>
      </c>
      <c r="DT541" s="3047" t="str">
        <f t="shared" si="143"/>
        <v/>
      </c>
      <c r="DU541" s="3047" t="str">
        <f>IFERROR(IF(G541="","",SUMIF('Lighting Assumptions'!$G$3:$G$112,'6a - Lighting Counts'!G541,'Lighting Assumptions'!$H$3:$H$112)*IF(SI_IP_Units="SI",10.76,1)),"")</f>
        <v/>
      </c>
      <c r="DV541" s="3047" t="str">
        <f>IFERROR(IF($CX541="","",IF(SI_IP_Units="SI",10.76,1)*SUMIF(BAMCategories,$CY541,'Lighting Assumptions'!$E$3:E$35)),"")</f>
        <v/>
      </c>
      <c r="DW541" s="3047" t="str">
        <f>IFERROR(IF($CX541="","",IF(SI_IP_Units="SI",10.76,1)*SUMIF(BAMCategories,$CY541,IF(bpf_reference="ACP",'Lighting Assumptions 90.1-2010'!$E$3:E$35,'Lighting Assumptions 90.1-2016'!$E$3:E$35))),"")</f>
        <v/>
      </c>
      <c r="EW541" s="855"/>
      <c r="EX541" s="855"/>
      <c r="EY541" s="855"/>
      <c r="EZ541" s="855"/>
    </row>
    <row r="542" spans="4:156" x14ac:dyDescent="0.25">
      <c r="D542" s="3029"/>
      <c r="E542" s="3028"/>
      <c r="F542" s="3021">
        <f t="shared" si="144"/>
        <v>0</v>
      </c>
      <c r="G542" s="3059"/>
      <c r="H542" s="3060"/>
      <c r="I542" s="3061"/>
      <c r="J542" s="3061"/>
      <c r="K542" s="3061"/>
      <c r="L542" s="3061"/>
      <c r="M542" s="3061"/>
      <c r="N542" s="3061"/>
      <c r="O542" s="3061"/>
      <c r="P542" s="3061"/>
      <c r="Q542" s="3061"/>
      <c r="R542" s="3061"/>
      <c r="S542" s="3061"/>
      <c r="T542" s="3061"/>
      <c r="U542" s="3061"/>
      <c r="V542" s="3061"/>
      <c r="W542" s="3061"/>
      <c r="X542" s="3061"/>
      <c r="Y542" s="3061"/>
      <c r="Z542" s="3061"/>
      <c r="AA542" s="3061"/>
      <c r="AB542" s="3061"/>
      <c r="AC542" s="3061"/>
      <c r="AD542" s="3061"/>
      <c r="AE542" s="3061"/>
      <c r="AF542" s="3061"/>
      <c r="AG542" s="3061"/>
      <c r="AH542" s="3061"/>
      <c r="AI542" s="3061"/>
      <c r="AJ542" s="3061"/>
      <c r="AK542" s="3061"/>
      <c r="AL542" s="3061"/>
      <c r="AM542" s="3061"/>
      <c r="AN542" s="3061"/>
      <c r="AO542" s="3061"/>
      <c r="AP542" s="3061"/>
      <c r="AQ542" s="3061"/>
      <c r="AR542" s="3061"/>
      <c r="AS542" s="3061"/>
      <c r="AT542" s="3061"/>
      <c r="AU542" s="3061"/>
      <c r="AV542" s="3061"/>
      <c r="AW542" s="3061"/>
      <c r="AX542" s="3061"/>
      <c r="AY542" s="3061"/>
      <c r="AZ542" s="3061"/>
      <c r="BA542" s="3061"/>
      <c r="BB542" s="3061"/>
      <c r="BC542" s="3061"/>
      <c r="BD542" s="3061"/>
      <c r="BE542" s="3061"/>
      <c r="BF542" s="3061"/>
      <c r="BG542" s="3061"/>
      <c r="BH542" s="3061"/>
      <c r="BI542" s="3061"/>
      <c r="BJ542" s="3061"/>
      <c r="BK542" s="3061"/>
      <c r="BL542" s="3061"/>
      <c r="BM542" s="3061"/>
      <c r="BN542" s="3061"/>
      <c r="BO542" s="3061"/>
      <c r="BP542" s="3061"/>
      <c r="BQ542" s="3061"/>
      <c r="BR542" s="3061"/>
      <c r="BS542" s="3061"/>
      <c r="BT542" s="3061"/>
      <c r="BU542" s="3061"/>
      <c r="BV542" s="3061"/>
      <c r="BW542" s="3061"/>
      <c r="BX542" s="3061"/>
      <c r="BY542" s="3061"/>
      <c r="BZ542" s="3061"/>
      <c r="CA542" s="3061"/>
      <c r="CB542" s="3061"/>
      <c r="CC542" s="3061"/>
      <c r="CD542" s="3061"/>
      <c r="CE542" s="3061"/>
      <c r="CF542" s="3061"/>
      <c r="CG542" s="3061"/>
      <c r="CH542" s="3061"/>
      <c r="CI542" s="3061"/>
      <c r="CJ542" s="3061"/>
      <c r="CK542" s="3061"/>
      <c r="CL542" s="3061"/>
      <c r="CM542" s="3061"/>
      <c r="CN542" s="3061"/>
      <c r="CO542" s="3061"/>
      <c r="CP542" s="3061"/>
      <c r="CQ542" s="3061"/>
      <c r="CR542" s="3061"/>
      <c r="CS542" s="3062"/>
      <c r="CT542" s="3063"/>
      <c r="CU542" s="3064">
        <f t="shared" ref="CU542:CU551" si="148">IF(OR(CT542="Manual-On Individual Workstation",CT542="Partial-Auto-On Individual Workstation",CT542="Other Individual Workstation"),1.3,1)</f>
        <v>1</v>
      </c>
      <c r="CV542" s="3022" t="str">
        <f>IF(OR(CT542="",CT542="None"),"-",DO542*CU542*SUMIF('Lighting Assumptions'!$G$3:$G$112,'6a - Lighting Counts'!G542,'Lighting Assumptions'!$J$3:$J$112))</f>
        <v>-</v>
      </c>
      <c r="CW542" s="3021"/>
      <c r="CX542" s="3021"/>
      <c r="CY542" s="3046"/>
      <c r="CZ542" s="2098">
        <f t="shared" ref="CZ542:CZ551" si="149">IFERROR(SUMPRODUCT(I542:CR542,$I$23:$CR$23),0)+IFERROR(DW542*CX542,0)</f>
        <v>0</v>
      </c>
      <c r="DA542" s="2098" t="str">
        <f t="shared" ref="DA542:DA551" si="150">IF(DD542="","-",IF(H542="",0,DD542*H542))</f>
        <v>-</v>
      </c>
      <c r="DB542" s="2098">
        <f t="shared" ref="DB542:DB551" si="151">SUMPRODUCT(I542:CR542,$I$24:$CR$24)</f>
        <v>0</v>
      </c>
      <c r="DC542" s="3023" t="str">
        <f t="shared" ref="DC542:DC551" si="152">IF(ISBLANK(H542)=FALSE,CZ542/H542,"-")</f>
        <v>-</v>
      </c>
      <c r="DD542" s="3024" t="str">
        <f t="shared" ref="DD542:DD551" si="153">IFERROR(DS542/H542,"")</f>
        <v/>
      </c>
      <c r="DE542" s="3025" t="str">
        <f t="shared" ref="DE542:DE551" si="154">IF(ISBLANK(H542)=FALSE,DB542/H542,"-")</f>
        <v>-</v>
      </c>
      <c r="DF542" s="3024" t="str">
        <f t="shared" si="145"/>
        <v>-</v>
      </c>
      <c r="DG542" s="2098">
        <f t="shared" ref="DG542:DG551" si="155">IFERROR(DF542*H542,0)</f>
        <v>0</v>
      </c>
      <c r="DH542" s="2098">
        <f t="array" ref="DH542">MIN(SUMPRODUCT(I542:CR542,IF($I$25:$CR$25="yes",1,0),$I$23:$CR$23),H542)</f>
        <v>0</v>
      </c>
      <c r="DI542" s="3026"/>
      <c r="DJ542" s="3021"/>
      <c r="DN542" s="917" t="str">
        <f>IF(CS542="","-",SUMIF('Lighting Assumptions'!$G$3:$G$112,'6a - Lighting Counts'!G542,'Lighting Assumptions'!$J$3:$J$112))</f>
        <v>-</v>
      </c>
      <c r="DO542" s="917" t="str">
        <f t="shared" si="146"/>
        <v>-</v>
      </c>
      <c r="DP542" s="917" t="str">
        <f t="shared" si="147"/>
        <v>-</v>
      </c>
      <c r="DQ542" s="917" t="str">
        <f>IF(LEFT(CELLformula(DF542),3)&lt;&gt;"=IF",1,"")</f>
        <v/>
      </c>
      <c r="DR542" s="917" t="str">
        <f>IF(LEFT(CELLformula(DD542),3)&lt;&gt;"=IF",1,"")</f>
        <v/>
      </c>
      <c r="DS542" s="3048">
        <f t="shared" ref="DS542:DS551" si="156">IFERROR(DU542*MAX(H542-CX542,0),0)+(IFERROR(DV542*MAX(0,CX542),0))</f>
        <v>0</v>
      </c>
      <c r="DT542" s="3047" t="str">
        <f t="shared" ref="DT542:DT551" si="157">IFERROR(DS542/H542,"")</f>
        <v/>
      </c>
      <c r="DU542" s="3047" t="str">
        <f>IFERROR(IF(G542="","",SUMIF('Lighting Assumptions'!$G$3:$G$112,'6a - Lighting Counts'!G542,'Lighting Assumptions'!$H$3:$H$112)*IF(SI_IP_Units="SI",10.76,1)),"")</f>
        <v/>
      </c>
      <c r="DV542" s="3047" t="str">
        <f>IFERROR(IF($CX542="","",IF(SI_IP_Units="SI",10.76,1)*SUMIF(BAMCategories,$CY542,'Lighting Assumptions'!$E$3:E$35)),"")</f>
        <v/>
      </c>
      <c r="DW542" s="3047" t="str">
        <f>IFERROR(IF($CX542="","",IF(SI_IP_Units="SI",10.76,1)*SUMIF(BAMCategories,$CY542,IF(bpf_reference="ACP",'Lighting Assumptions 90.1-2010'!$E$3:E$35,'Lighting Assumptions 90.1-2016'!$E$3:E$35))),"")</f>
        <v/>
      </c>
      <c r="EW542" s="855"/>
      <c r="EX542" s="855"/>
      <c r="EY542" s="855"/>
      <c r="EZ542" s="855"/>
    </row>
    <row r="543" spans="4:156" x14ac:dyDescent="0.25">
      <c r="D543" s="3029"/>
      <c r="E543" s="3028"/>
      <c r="F543" s="3021">
        <f t="shared" si="144"/>
        <v>0</v>
      </c>
      <c r="G543" s="3059"/>
      <c r="H543" s="3060"/>
      <c r="I543" s="3061"/>
      <c r="J543" s="3061"/>
      <c r="K543" s="3061"/>
      <c r="L543" s="3061"/>
      <c r="M543" s="3061"/>
      <c r="N543" s="3061"/>
      <c r="O543" s="3061"/>
      <c r="P543" s="3061"/>
      <c r="Q543" s="3061"/>
      <c r="R543" s="3061"/>
      <c r="S543" s="3061"/>
      <c r="T543" s="3061"/>
      <c r="U543" s="3061"/>
      <c r="V543" s="3061"/>
      <c r="W543" s="3061"/>
      <c r="X543" s="3061"/>
      <c r="Y543" s="3061"/>
      <c r="Z543" s="3061"/>
      <c r="AA543" s="3061"/>
      <c r="AB543" s="3061"/>
      <c r="AC543" s="3061"/>
      <c r="AD543" s="3061"/>
      <c r="AE543" s="3061"/>
      <c r="AF543" s="3061"/>
      <c r="AG543" s="3061"/>
      <c r="AH543" s="3061"/>
      <c r="AI543" s="3061"/>
      <c r="AJ543" s="3061"/>
      <c r="AK543" s="3061"/>
      <c r="AL543" s="3061"/>
      <c r="AM543" s="3061"/>
      <c r="AN543" s="3061"/>
      <c r="AO543" s="3061"/>
      <c r="AP543" s="3061"/>
      <c r="AQ543" s="3061"/>
      <c r="AR543" s="3061"/>
      <c r="AS543" s="3061"/>
      <c r="AT543" s="3061"/>
      <c r="AU543" s="3061"/>
      <c r="AV543" s="3061"/>
      <c r="AW543" s="3061"/>
      <c r="AX543" s="3061"/>
      <c r="AY543" s="3061"/>
      <c r="AZ543" s="3061"/>
      <c r="BA543" s="3061"/>
      <c r="BB543" s="3061"/>
      <c r="BC543" s="3061"/>
      <c r="BD543" s="3061"/>
      <c r="BE543" s="3061"/>
      <c r="BF543" s="3061"/>
      <c r="BG543" s="3061"/>
      <c r="BH543" s="3061"/>
      <c r="BI543" s="3061"/>
      <c r="BJ543" s="3061"/>
      <c r="BK543" s="3061"/>
      <c r="BL543" s="3061"/>
      <c r="BM543" s="3061"/>
      <c r="BN543" s="3061"/>
      <c r="BO543" s="3061"/>
      <c r="BP543" s="3061"/>
      <c r="BQ543" s="3061"/>
      <c r="BR543" s="3061"/>
      <c r="BS543" s="3061"/>
      <c r="BT543" s="3061"/>
      <c r="BU543" s="3061"/>
      <c r="BV543" s="3061"/>
      <c r="BW543" s="3061"/>
      <c r="BX543" s="3061"/>
      <c r="BY543" s="3061"/>
      <c r="BZ543" s="3061"/>
      <c r="CA543" s="3061"/>
      <c r="CB543" s="3061"/>
      <c r="CC543" s="3061"/>
      <c r="CD543" s="3061"/>
      <c r="CE543" s="3061"/>
      <c r="CF543" s="3061"/>
      <c r="CG543" s="3061"/>
      <c r="CH543" s="3061"/>
      <c r="CI543" s="3061"/>
      <c r="CJ543" s="3061"/>
      <c r="CK543" s="3061"/>
      <c r="CL543" s="3061"/>
      <c r="CM543" s="3061"/>
      <c r="CN543" s="3061"/>
      <c r="CO543" s="3061"/>
      <c r="CP543" s="3061"/>
      <c r="CQ543" s="3061"/>
      <c r="CR543" s="3061"/>
      <c r="CS543" s="3062"/>
      <c r="CT543" s="3063"/>
      <c r="CU543" s="3064">
        <f t="shared" si="148"/>
        <v>1</v>
      </c>
      <c r="CV543" s="3022" t="str">
        <f>IF(OR(CT543="",CT543="None"),"-",DO543*CU543*SUMIF('Lighting Assumptions'!$G$3:$G$112,'6a - Lighting Counts'!G543,'Lighting Assumptions'!$J$3:$J$112))</f>
        <v>-</v>
      </c>
      <c r="CW543" s="3021"/>
      <c r="CX543" s="3021"/>
      <c r="CY543" s="3046"/>
      <c r="CZ543" s="2098">
        <f t="shared" si="149"/>
        <v>0</v>
      </c>
      <c r="DA543" s="2098" t="str">
        <f t="shared" si="150"/>
        <v>-</v>
      </c>
      <c r="DB543" s="2098">
        <f t="shared" si="151"/>
        <v>0</v>
      </c>
      <c r="DC543" s="3023" t="str">
        <f t="shared" si="152"/>
        <v>-</v>
      </c>
      <c r="DD543" s="3024" t="str">
        <f t="shared" si="153"/>
        <v/>
      </c>
      <c r="DE543" s="3025" t="str">
        <f t="shared" si="154"/>
        <v>-</v>
      </c>
      <c r="DF543" s="3024" t="str">
        <f t="shared" si="145"/>
        <v>-</v>
      </c>
      <c r="DG543" s="2098">
        <f t="shared" si="155"/>
        <v>0</v>
      </c>
      <c r="DH543" s="2098">
        <f t="array" ref="DH543">MIN(SUMPRODUCT(I543:CR543,IF($I$25:$CR$25="yes",1,0),$I$23:$CR$23),H543)</f>
        <v>0</v>
      </c>
      <c r="DI543" s="3026"/>
      <c r="DJ543" s="3021"/>
      <c r="DN543" s="917" t="str">
        <f>IF(CS543="","-",SUMIF('Lighting Assumptions'!$G$3:$G$112,'6a - Lighting Counts'!G543,'Lighting Assumptions'!$J$3:$J$112))</f>
        <v>-</v>
      </c>
      <c r="DO543" s="917" t="str">
        <f t="shared" si="146"/>
        <v>-</v>
      </c>
      <c r="DP543" s="917" t="str">
        <f t="shared" si="147"/>
        <v>-</v>
      </c>
      <c r="DQ543" s="917" t="str">
        <f>IF(LEFT(CELLformula(DF543),3)&lt;&gt;"=IF",1,"")</f>
        <v/>
      </c>
      <c r="DR543" s="917" t="str">
        <f>IF(LEFT(CELLformula(DD543),3)&lt;&gt;"=IF",1,"")</f>
        <v/>
      </c>
      <c r="DS543" s="3048">
        <f t="shared" si="156"/>
        <v>0</v>
      </c>
      <c r="DT543" s="3047" t="str">
        <f t="shared" si="157"/>
        <v/>
      </c>
      <c r="DU543" s="3047" t="str">
        <f>IFERROR(IF(G543="","",SUMIF('Lighting Assumptions'!$G$3:$G$112,'6a - Lighting Counts'!G543,'Lighting Assumptions'!$H$3:$H$112)*IF(SI_IP_Units="SI",10.76,1)),"")</f>
        <v/>
      </c>
      <c r="DV543" s="3047" t="str">
        <f>IFERROR(IF($CX543="","",IF(SI_IP_Units="SI",10.76,1)*SUMIF(BAMCategories,$CY543,'Lighting Assumptions'!$E$3:E$35)),"")</f>
        <v/>
      </c>
      <c r="DW543" s="3047" t="str">
        <f>IFERROR(IF($CX543="","",IF(SI_IP_Units="SI",10.76,1)*SUMIF(BAMCategories,$CY543,IF(bpf_reference="ACP",'Lighting Assumptions 90.1-2010'!$E$3:E$35,'Lighting Assumptions 90.1-2016'!$E$3:E$35))),"")</f>
        <v/>
      </c>
      <c r="EW543" s="855"/>
      <c r="EX543" s="855"/>
      <c r="EY543" s="855"/>
      <c r="EZ543" s="855"/>
    </row>
    <row r="544" spans="4:156" x14ac:dyDescent="0.25">
      <c r="D544" s="3029"/>
      <c r="E544" s="3028"/>
      <c r="F544" s="3021">
        <f t="shared" si="144"/>
        <v>0</v>
      </c>
      <c r="G544" s="3059"/>
      <c r="H544" s="3060"/>
      <c r="I544" s="3061"/>
      <c r="J544" s="3061"/>
      <c r="K544" s="3061"/>
      <c r="L544" s="3061"/>
      <c r="M544" s="3061"/>
      <c r="N544" s="3061"/>
      <c r="O544" s="3061"/>
      <c r="P544" s="3061"/>
      <c r="Q544" s="3061"/>
      <c r="R544" s="3061"/>
      <c r="S544" s="3061"/>
      <c r="T544" s="3061"/>
      <c r="U544" s="3061"/>
      <c r="V544" s="3061"/>
      <c r="W544" s="3061"/>
      <c r="X544" s="3061"/>
      <c r="Y544" s="3061"/>
      <c r="Z544" s="3061"/>
      <c r="AA544" s="3061"/>
      <c r="AB544" s="3061"/>
      <c r="AC544" s="3061"/>
      <c r="AD544" s="3061"/>
      <c r="AE544" s="3061"/>
      <c r="AF544" s="3061"/>
      <c r="AG544" s="3061"/>
      <c r="AH544" s="3061"/>
      <c r="AI544" s="3061"/>
      <c r="AJ544" s="3061"/>
      <c r="AK544" s="3061"/>
      <c r="AL544" s="3061"/>
      <c r="AM544" s="3061"/>
      <c r="AN544" s="3061"/>
      <c r="AO544" s="3061"/>
      <c r="AP544" s="3061"/>
      <c r="AQ544" s="3061"/>
      <c r="AR544" s="3061"/>
      <c r="AS544" s="3061"/>
      <c r="AT544" s="3061"/>
      <c r="AU544" s="3061"/>
      <c r="AV544" s="3061"/>
      <c r="AW544" s="3061"/>
      <c r="AX544" s="3061"/>
      <c r="AY544" s="3061"/>
      <c r="AZ544" s="3061"/>
      <c r="BA544" s="3061"/>
      <c r="BB544" s="3061"/>
      <c r="BC544" s="3061"/>
      <c r="BD544" s="3061"/>
      <c r="BE544" s="3061"/>
      <c r="BF544" s="3061"/>
      <c r="BG544" s="3061"/>
      <c r="BH544" s="3061"/>
      <c r="BI544" s="3061"/>
      <c r="BJ544" s="3061"/>
      <c r="BK544" s="3061"/>
      <c r="BL544" s="3061"/>
      <c r="BM544" s="3061"/>
      <c r="BN544" s="3061"/>
      <c r="BO544" s="3061"/>
      <c r="BP544" s="3061"/>
      <c r="BQ544" s="3061"/>
      <c r="BR544" s="3061"/>
      <c r="BS544" s="3061"/>
      <c r="BT544" s="3061"/>
      <c r="BU544" s="3061"/>
      <c r="BV544" s="3061"/>
      <c r="BW544" s="3061"/>
      <c r="BX544" s="3061"/>
      <c r="BY544" s="3061"/>
      <c r="BZ544" s="3061"/>
      <c r="CA544" s="3061"/>
      <c r="CB544" s="3061"/>
      <c r="CC544" s="3061"/>
      <c r="CD544" s="3061"/>
      <c r="CE544" s="3061"/>
      <c r="CF544" s="3061"/>
      <c r="CG544" s="3061"/>
      <c r="CH544" s="3061"/>
      <c r="CI544" s="3061"/>
      <c r="CJ544" s="3061"/>
      <c r="CK544" s="3061"/>
      <c r="CL544" s="3061"/>
      <c r="CM544" s="3061"/>
      <c r="CN544" s="3061"/>
      <c r="CO544" s="3061"/>
      <c r="CP544" s="3061"/>
      <c r="CQ544" s="3061"/>
      <c r="CR544" s="3061"/>
      <c r="CS544" s="3062"/>
      <c r="CT544" s="3063"/>
      <c r="CU544" s="3064">
        <f t="shared" si="148"/>
        <v>1</v>
      </c>
      <c r="CV544" s="3022" t="str">
        <f>IF(OR(CT544="",CT544="None"),"-",DO544*CU544*SUMIF('Lighting Assumptions'!$G$3:$G$112,'6a - Lighting Counts'!G544,'Lighting Assumptions'!$J$3:$J$112))</f>
        <v>-</v>
      </c>
      <c r="CW544" s="3021"/>
      <c r="CX544" s="3021"/>
      <c r="CY544" s="3046"/>
      <c r="CZ544" s="2098">
        <f t="shared" si="149"/>
        <v>0</v>
      </c>
      <c r="DA544" s="2098" t="str">
        <f t="shared" si="150"/>
        <v>-</v>
      </c>
      <c r="DB544" s="2098">
        <f t="shared" si="151"/>
        <v>0</v>
      </c>
      <c r="DC544" s="3023" t="str">
        <f t="shared" si="152"/>
        <v>-</v>
      </c>
      <c r="DD544" s="3024" t="str">
        <f t="shared" si="153"/>
        <v/>
      </c>
      <c r="DE544" s="3025" t="str">
        <f t="shared" si="154"/>
        <v>-</v>
      </c>
      <c r="DF544" s="3024" t="str">
        <f t="shared" si="145"/>
        <v>-</v>
      </c>
      <c r="DG544" s="2098">
        <f t="shared" si="155"/>
        <v>0</v>
      </c>
      <c r="DH544" s="2098">
        <f t="array" ref="DH544">MIN(SUMPRODUCT(I544:CR544,IF($I$25:$CR$25="yes",1,0),$I$23:$CR$23),H544)</f>
        <v>0</v>
      </c>
      <c r="DI544" s="3026"/>
      <c r="DJ544" s="3021"/>
      <c r="DN544" s="917" t="str">
        <f>IF(CS544="","-",SUMIF('Lighting Assumptions'!$G$3:$G$112,'6a - Lighting Counts'!G544,'Lighting Assumptions'!$J$3:$J$112))</f>
        <v>-</v>
      </c>
      <c r="DO544" s="917" t="str">
        <f t="shared" si="146"/>
        <v>-</v>
      </c>
      <c r="DP544" s="917" t="str">
        <f t="shared" si="147"/>
        <v>-</v>
      </c>
      <c r="DQ544" s="917" t="str">
        <f>IF(LEFT(CELLformula(DF544),3)&lt;&gt;"=IF",1,"")</f>
        <v/>
      </c>
      <c r="DR544" s="917" t="str">
        <f>IF(LEFT(CELLformula(DD544),3)&lt;&gt;"=IF",1,"")</f>
        <v/>
      </c>
      <c r="DS544" s="3048">
        <f t="shared" si="156"/>
        <v>0</v>
      </c>
      <c r="DT544" s="3047" t="str">
        <f t="shared" si="157"/>
        <v/>
      </c>
      <c r="DU544" s="3047" t="str">
        <f>IFERROR(IF(G544="","",SUMIF('Lighting Assumptions'!$G$3:$G$112,'6a - Lighting Counts'!G544,'Lighting Assumptions'!$H$3:$H$112)*IF(SI_IP_Units="SI",10.76,1)),"")</f>
        <v/>
      </c>
      <c r="DV544" s="3047" t="str">
        <f>IFERROR(IF($CX544="","",IF(SI_IP_Units="SI",10.76,1)*SUMIF(BAMCategories,$CY544,'Lighting Assumptions'!$E$3:E$35)),"")</f>
        <v/>
      </c>
      <c r="DW544" s="3047" t="str">
        <f>IFERROR(IF($CX544="","",IF(SI_IP_Units="SI",10.76,1)*SUMIF(BAMCategories,$CY544,IF(bpf_reference="ACP",'Lighting Assumptions 90.1-2010'!$E$3:E$35,'Lighting Assumptions 90.1-2016'!$E$3:E$35))),"")</f>
        <v/>
      </c>
      <c r="EW544" s="855"/>
      <c r="EX544" s="855"/>
      <c r="EY544" s="855"/>
      <c r="EZ544" s="855"/>
    </row>
    <row r="545" spans="4:156" x14ac:dyDescent="0.25">
      <c r="D545" s="3029"/>
      <c r="E545" s="3028"/>
      <c r="F545" s="3021">
        <f t="shared" si="144"/>
        <v>0</v>
      </c>
      <c r="G545" s="3059"/>
      <c r="H545" s="3060"/>
      <c r="I545" s="3061"/>
      <c r="J545" s="3061"/>
      <c r="K545" s="3061"/>
      <c r="L545" s="3061"/>
      <c r="M545" s="3061"/>
      <c r="N545" s="3061"/>
      <c r="O545" s="3061"/>
      <c r="P545" s="3061"/>
      <c r="Q545" s="3061"/>
      <c r="R545" s="3061"/>
      <c r="S545" s="3061"/>
      <c r="T545" s="3061"/>
      <c r="U545" s="3061"/>
      <c r="V545" s="3061"/>
      <c r="W545" s="3061"/>
      <c r="X545" s="3061"/>
      <c r="Y545" s="3061"/>
      <c r="Z545" s="3061"/>
      <c r="AA545" s="3061"/>
      <c r="AB545" s="3061"/>
      <c r="AC545" s="3061"/>
      <c r="AD545" s="3061"/>
      <c r="AE545" s="3061"/>
      <c r="AF545" s="3061"/>
      <c r="AG545" s="3061"/>
      <c r="AH545" s="3061"/>
      <c r="AI545" s="3061"/>
      <c r="AJ545" s="3061"/>
      <c r="AK545" s="3061"/>
      <c r="AL545" s="3061"/>
      <c r="AM545" s="3061"/>
      <c r="AN545" s="3061"/>
      <c r="AO545" s="3061"/>
      <c r="AP545" s="3061"/>
      <c r="AQ545" s="3061"/>
      <c r="AR545" s="3061"/>
      <c r="AS545" s="3061"/>
      <c r="AT545" s="3061"/>
      <c r="AU545" s="3061"/>
      <c r="AV545" s="3061"/>
      <c r="AW545" s="3061"/>
      <c r="AX545" s="3061"/>
      <c r="AY545" s="3061"/>
      <c r="AZ545" s="3061"/>
      <c r="BA545" s="3061"/>
      <c r="BB545" s="3061"/>
      <c r="BC545" s="3061"/>
      <c r="BD545" s="3061"/>
      <c r="BE545" s="3061"/>
      <c r="BF545" s="3061"/>
      <c r="BG545" s="3061"/>
      <c r="BH545" s="3061"/>
      <c r="BI545" s="3061"/>
      <c r="BJ545" s="3061"/>
      <c r="BK545" s="3061"/>
      <c r="BL545" s="3061"/>
      <c r="BM545" s="3061"/>
      <c r="BN545" s="3061"/>
      <c r="BO545" s="3061"/>
      <c r="BP545" s="3061"/>
      <c r="BQ545" s="3061"/>
      <c r="BR545" s="3061"/>
      <c r="BS545" s="3061"/>
      <c r="BT545" s="3061"/>
      <c r="BU545" s="3061"/>
      <c r="BV545" s="3061"/>
      <c r="BW545" s="3061"/>
      <c r="BX545" s="3061"/>
      <c r="BY545" s="3061"/>
      <c r="BZ545" s="3061"/>
      <c r="CA545" s="3061"/>
      <c r="CB545" s="3061"/>
      <c r="CC545" s="3061"/>
      <c r="CD545" s="3061"/>
      <c r="CE545" s="3061"/>
      <c r="CF545" s="3061"/>
      <c r="CG545" s="3061"/>
      <c r="CH545" s="3061"/>
      <c r="CI545" s="3061"/>
      <c r="CJ545" s="3061"/>
      <c r="CK545" s="3061"/>
      <c r="CL545" s="3061"/>
      <c r="CM545" s="3061"/>
      <c r="CN545" s="3061"/>
      <c r="CO545" s="3061"/>
      <c r="CP545" s="3061"/>
      <c r="CQ545" s="3061"/>
      <c r="CR545" s="3061"/>
      <c r="CS545" s="3062"/>
      <c r="CT545" s="3063"/>
      <c r="CU545" s="3064">
        <f t="shared" si="148"/>
        <v>1</v>
      </c>
      <c r="CV545" s="3022" t="str">
        <f>IF(OR(CT545="",CT545="None"),"-",DO545*CU545*SUMIF('Lighting Assumptions'!$G$3:$G$112,'6a - Lighting Counts'!G545,'Lighting Assumptions'!$J$3:$J$112))</f>
        <v>-</v>
      </c>
      <c r="CW545" s="3021"/>
      <c r="CX545" s="3021"/>
      <c r="CY545" s="3046"/>
      <c r="CZ545" s="2098">
        <f t="shared" si="149"/>
        <v>0</v>
      </c>
      <c r="DA545" s="2098" t="str">
        <f t="shared" si="150"/>
        <v>-</v>
      </c>
      <c r="DB545" s="2098">
        <f t="shared" si="151"/>
        <v>0</v>
      </c>
      <c r="DC545" s="3023" t="str">
        <f t="shared" si="152"/>
        <v>-</v>
      </c>
      <c r="DD545" s="3024" t="str">
        <f t="shared" si="153"/>
        <v/>
      </c>
      <c r="DE545" s="3025" t="str">
        <f t="shared" si="154"/>
        <v>-</v>
      </c>
      <c r="DF545" s="3024" t="str">
        <f t="shared" si="145"/>
        <v>-</v>
      </c>
      <c r="DG545" s="2098">
        <f t="shared" si="155"/>
        <v>0</v>
      </c>
      <c r="DH545" s="2098">
        <f t="array" ref="DH545">MIN(SUMPRODUCT(I545:CR545,IF($I$25:$CR$25="yes",1,0),$I$23:$CR$23),H545)</f>
        <v>0</v>
      </c>
      <c r="DI545" s="3026"/>
      <c r="DJ545" s="3021"/>
      <c r="DN545" s="917" t="str">
        <f>IF(CS545="","-",SUMIF('Lighting Assumptions'!$G$3:$G$112,'6a - Lighting Counts'!G545,'Lighting Assumptions'!$J$3:$J$112))</f>
        <v>-</v>
      </c>
      <c r="DO545" s="917" t="str">
        <f t="shared" si="146"/>
        <v>-</v>
      </c>
      <c r="DP545" s="917" t="str">
        <f t="shared" si="147"/>
        <v>-</v>
      </c>
      <c r="DQ545" s="917" t="str">
        <f>IF(LEFT(CELLformula(DF545),3)&lt;&gt;"=IF",1,"")</f>
        <v/>
      </c>
      <c r="DR545" s="917" t="str">
        <f>IF(LEFT(CELLformula(DD545),3)&lt;&gt;"=IF",1,"")</f>
        <v/>
      </c>
      <c r="DS545" s="3048">
        <f t="shared" si="156"/>
        <v>0</v>
      </c>
      <c r="DT545" s="3047" t="str">
        <f t="shared" si="157"/>
        <v/>
      </c>
      <c r="DU545" s="3047" t="str">
        <f>IFERROR(IF(G545="","",SUMIF('Lighting Assumptions'!$G$3:$G$112,'6a - Lighting Counts'!G545,'Lighting Assumptions'!$H$3:$H$112)*IF(SI_IP_Units="SI",10.76,1)),"")</f>
        <v/>
      </c>
      <c r="DV545" s="3047" t="str">
        <f>IFERROR(IF($CX545="","",IF(SI_IP_Units="SI",10.76,1)*SUMIF(BAMCategories,$CY545,'Lighting Assumptions'!$E$3:E$35)),"")</f>
        <v/>
      </c>
      <c r="DW545" s="3047" t="str">
        <f>IFERROR(IF($CX545="","",IF(SI_IP_Units="SI",10.76,1)*SUMIF(BAMCategories,$CY545,IF(bpf_reference="ACP",'Lighting Assumptions 90.1-2010'!$E$3:E$35,'Lighting Assumptions 90.1-2016'!$E$3:E$35))),"")</f>
        <v/>
      </c>
      <c r="EW545" s="855"/>
      <c r="EX545" s="855"/>
      <c r="EY545" s="855"/>
      <c r="EZ545" s="855"/>
    </row>
    <row r="546" spans="4:156" x14ac:dyDescent="0.25">
      <c r="D546" s="3029"/>
      <c r="E546" s="3028"/>
      <c r="F546" s="3021">
        <f t="shared" si="144"/>
        <v>0</v>
      </c>
      <c r="G546" s="3059"/>
      <c r="H546" s="3060"/>
      <c r="I546" s="3061"/>
      <c r="J546" s="3061"/>
      <c r="K546" s="3061"/>
      <c r="L546" s="3061"/>
      <c r="M546" s="3061"/>
      <c r="N546" s="3061"/>
      <c r="O546" s="3061"/>
      <c r="P546" s="3061"/>
      <c r="Q546" s="3061"/>
      <c r="R546" s="3061"/>
      <c r="S546" s="3061"/>
      <c r="T546" s="3061"/>
      <c r="U546" s="3061"/>
      <c r="V546" s="3061"/>
      <c r="W546" s="3061"/>
      <c r="X546" s="3061"/>
      <c r="Y546" s="3061"/>
      <c r="Z546" s="3061"/>
      <c r="AA546" s="3061"/>
      <c r="AB546" s="3061"/>
      <c r="AC546" s="3061"/>
      <c r="AD546" s="3061"/>
      <c r="AE546" s="3061"/>
      <c r="AF546" s="3061"/>
      <c r="AG546" s="3061"/>
      <c r="AH546" s="3061"/>
      <c r="AI546" s="3061"/>
      <c r="AJ546" s="3061"/>
      <c r="AK546" s="3061"/>
      <c r="AL546" s="3061"/>
      <c r="AM546" s="3061"/>
      <c r="AN546" s="3061"/>
      <c r="AO546" s="3061"/>
      <c r="AP546" s="3061"/>
      <c r="AQ546" s="3061"/>
      <c r="AR546" s="3061"/>
      <c r="AS546" s="3061"/>
      <c r="AT546" s="3061"/>
      <c r="AU546" s="3061"/>
      <c r="AV546" s="3061"/>
      <c r="AW546" s="3061"/>
      <c r="AX546" s="3061"/>
      <c r="AY546" s="3061"/>
      <c r="AZ546" s="3061"/>
      <c r="BA546" s="3061"/>
      <c r="BB546" s="3061"/>
      <c r="BC546" s="3061"/>
      <c r="BD546" s="3061"/>
      <c r="BE546" s="3061"/>
      <c r="BF546" s="3061"/>
      <c r="BG546" s="3061"/>
      <c r="BH546" s="3061"/>
      <c r="BI546" s="3061"/>
      <c r="BJ546" s="3061"/>
      <c r="BK546" s="3061"/>
      <c r="BL546" s="3061"/>
      <c r="BM546" s="3061"/>
      <c r="BN546" s="3061"/>
      <c r="BO546" s="3061"/>
      <c r="BP546" s="3061"/>
      <c r="BQ546" s="3061"/>
      <c r="BR546" s="3061"/>
      <c r="BS546" s="3061"/>
      <c r="BT546" s="3061"/>
      <c r="BU546" s="3061"/>
      <c r="BV546" s="3061"/>
      <c r="BW546" s="3061"/>
      <c r="BX546" s="3061"/>
      <c r="BY546" s="3061"/>
      <c r="BZ546" s="3061"/>
      <c r="CA546" s="3061"/>
      <c r="CB546" s="3061"/>
      <c r="CC546" s="3061"/>
      <c r="CD546" s="3061"/>
      <c r="CE546" s="3061"/>
      <c r="CF546" s="3061"/>
      <c r="CG546" s="3061"/>
      <c r="CH546" s="3061"/>
      <c r="CI546" s="3061"/>
      <c r="CJ546" s="3061"/>
      <c r="CK546" s="3061"/>
      <c r="CL546" s="3061"/>
      <c r="CM546" s="3061"/>
      <c r="CN546" s="3061"/>
      <c r="CO546" s="3061"/>
      <c r="CP546" s="3061"/>
      <c r="CQ546" s="3061"/>
      <c r="CR546" s="3061"/>
      <c r="CS546" s="3062"/>
      <c r="CT546" s="3063"/>
      <c r="CU546" s="3064">
        <f t="shared" si="148"/>
        <v>1</v>
      </c>
      <c r="CV546" s="3022" t="str">
        <f>IF(OR(CT546="",CT546="None"),"-",DO546*CU546*SUMIF('Lighting Assumptions'!$G$3:$G$112,'6a - Lighting Counts'!G546,'Lighting Assumptions'!$J$3:$J$112))</f>
        <v>-</v>
      </c>
      <c r="CW546" s="3021"/>
      <c r="CX546" s="3021"/>
      <c r="CY546" s="3046"/>
      <c r="CZ546" s="2098">
        <f t="shared" si="149"/>
        <v>0</v>
      </c>
      <c r="DA546" s="2098" t="str">
        <f t="shared" si="150"/>
        <v>-</v>
      </c>
      <c r="DB546" s="2098">
        <f t="shared" si="151"/>
        <v>0</v>
      </c>
      <c r="DC546" s="3023" t="str">
        <f t="shared" si="152"/>
        <v>-</v>
      </c>
      <c r="DD546" s="3024" t="str">
        <f t="shared" si="153"/>
        <v/>
      </c>
      <c r="DE546" s="3025" t="str">
        <f t="shared" si="154"/>
        <v>-</v>
      </c>
      <c r="DF546" s="3024" t="str">
        <f t="shared" si="145"/>
        <v>-</v>
      </c>
      <c r="DG546" s="2098">
        <f t="shared" si="155"/>
        <v>0</v>
      </c>
      <c r="DH546" s="2098">
        <f t="array" ref="DH546">MIN(SUMPRODUCT(I546:CR546,IF($I$25:$CR$25="yes",1,0),$I$23:$CR$23),H546)</f>
        <v>0</v>
      </c>
      <c r="DI546" s="3026"/>
      <c r="DJ546" s="3021"/>
      <c r="DN546" s="917" t="str">
        <f>IF(CS546="","-",SUMIF('Lighting Assumptions'!$G$3:$G$112,'6a - Lighting Counts'!G546,'Lighting Assumptions'!$J$3:$J$112))</f>
        <v>-</v>
      </c>
      <c r="DO546" s="917" t="str">
        <f t="shared" si="146"/>
        <v>-</v>
      </c>
      <c r="DP546" s="917" t="str">
        <f t="shared" si="147"/>
        <v>-</v>
      </c>
      <c r="DQ546" s="917" t="str">
        <f>IF(LEFT(CELLformula(DF546),3)&lt;&gt;"=IF",1,"")</f>
        <v/>
      </c>
      <c r="DR546" s="917" t="str">
        <f>IF(LEFT(CELLformula(DD546),3)&lt;&gt;"=IF",1,"")</f>
        <v/>
      </c>
      <c r="DS546" s="3048">
        <f t="shared" si="156"/>
        <v>0</v>
      </c>
      <c r="DT546" s="3047" t="str">
        <f t="shared" si="157"/>
        <v/>
      </c>
      <c r="DU546" s="3047" t="str">
        <f>IFERROR(IF(G546="","",SUMIF('Lighting Assumptions'!$G$3:$G$112,'6a - Lighting Counts'!G546,'Lighting Assumptions'!$H$3:$H$112)*IF(SI_IP_Units="SI",10.76,1)),"")</f>
        <v/>
      </c>
      <c r="DV546" s="3047" t="str">
        <f>IFERROR(IF($CX546="","",IF(SI_IP_Units="SI",10.76,1)*SUMIF(BAMCategories,$CY546,'Lighting Assumptions'!$E$3:E$35)),"")</f>
        <v/>
      </c>
      <c r="DW546" s="3047" t="str">
        <f>IFERROR(IF($CX546="","",IF(SI_IP_Units="SI",10.76,1)*SUMIF(BAMCategories,$CY546,IF(bpf_reference="ACP",'Lighting Assumptions 90.1-2010'!$E$3:E$35,'Lighting Assumptions 90.1-2016'!$E$3:E$35))),"")</f>
        <v/>
      </c>
      <c r="EW546" s="855"/>
      <c r="EX546" s="855"/>
      <c r="EY546" s="855"/>
      <c r="EZ546" s="855"/>
    </row>
    <row r="547" spans="4:156" x14ac:dyDescent="0.25">
      <c r="D547" s="3029"/>
      <c r="E547" s="3028"/>
      <c r="F547" s="3021">
        <f t="shared" si="144"/>
        <v>0</v>
      </c>
      <c r="G547" s="3059"/>
      <c r="H547" s="3060"/>
      <c r="I547" s="3061"/>
      <c r="J547" s="3061"/>
      <c r="K547" s="3061"/>
      <c r="L547" s="3061"/>
      <c r="M547" s="3061"/>
      <c r="N547" s="3061"/>
      <c r="O547" s="3061"/>
      <c r="P547" s="3061"/>
      <c r="Q547" s="3061"/>
      <c r="R547" s="3061"/>
      <c r="S547" s="3061"/>
      <c r="T547" s="3061"/>
      <c r="U547" s="3061"/>
      <c r="V547" s="3061"/>
      <c r="W547" s="3061"/>
      <c r="X547" s="3061"/>
      <c r="Y547" s="3061"/>
      <c r="Z547" s="3061"/>
      <c r="AA547" s="3061"/>
      <c r="AB547" s="3061"/>
      <c r="AC547" s="3061"/>
      <c r="AD547" s="3061"/>
      <c r="AE547" s="3061"/>
      <c r="AF547" s="3061"/>
      <c r="AG547" s="3061"/>
      <c r="AH547" s="3061"/>
      <c r="AI547" s="3061"/>
      <c r="AJ547" s="3061"/>
      <c r="AK547" s="3061"/>
      <c r="AL547" s="3061"/>
      <c r="AM547" s="3061"/>
      <c r="AN547" s="3061"/>
      <c r="AO547" s="3061"/>
      <c r="AP547" s="3061"/>
      <c r="AQ547" s="3061"/>
      <c r="AR547" s="3061"/>
      <c r="AS547" s="3061"/>
      <c r="AT547" s="3061"/>
      <c r="AU547" s="3061"/>
      <c r="AV547" s="3061"/>
      <c r="AW547" s="3061"/>
      <c r="AX547" s="3061"/>
      <c r="AY547" s="3061"/>
      <c r="AZ547" s="3061"/>
      <c r="BA547" s="3061"/>
      <c r="BB547" s="3061"/>
      <c r="BC547" s="3061"/>
      <c r="BD547" s="3061"/>
      <c r="BE547" s="3061"/>
      <c r="BF547" s="3061"/>
      <c r="BG547" s="3061"/>
      <c r="BH547" s="3061"/>
      <c r="BI547" s="3061"/>
      <c r="BJ547" s="3061"/>
      <c r="BK547" s="3061"/>
      <c r="BL547" s="3061"/>
      <c r="BM547" s="3061"/>
      <c r="BN547" s="3061"/>
      <c r="BO547" s="3061"/>
      <c r="BP547" s="3061"/>
      <c r="BQ547" s="3061"/>
      <c r="BR547" s="3061"/>
      <c r="BS547" s="3061"/>
      <c r="BT547" s="3061"/>
      <c r="BU547" s="3061"/>
      <c r="BV547" s="3061"/>
      <c r="BW547" s="3061"/>
      <c r="BX547" s="3061"/>
      <c r="BY547" s="3061"/>
      <c r="BZ547" s="3061"/>
      <c r="CA547" s="3061"/>
      <c r="CB547" s="3061"/>
      <c r="CC547" s="3061"/>
      <c r="CD547" s="3061"/>
      <c r="CE547" s="3061"/>
      <c r="CF547" s="3061"/>
      <c r="CG547" s="3061"/>
      <c r="CH547" s="3061"/>
      <c r="CI547" s="3061"/>
      <c r="CJ547" s="3061"/>
      <c r="CK547" s="3061"/>
      <c r="CL547" s="3061"/>
      <c r="CM547" s="3061"/>
      <c r="CN547" s="3061"/>
      <c r="CO547" s="3061"/>
      <c r="CP547" s="3061"/>
      <c r="CQ547" s="3061"/>
      <c r="CR547" s="3061"/>
      <c r="CS547" s="3062"/>
      <c r="CT547" s="3063"/>
      <c r="CU547" s="3064">
        <f t="shared" si="148"/>
        <v>1</v>
      </c>
      <c r="CV547" s="3022" t="str">
        <f>IF(OR(CT547="",CT547="None"),"-",DO547*CU547*SUMIF('Lighting Assumptions'!$G$3:$G$112,'6a - Lighting Counts'!G547,'Lighting Assumptions'!$J$3:$J$112))</f>
        <v>-</v>
      </c>
      <c r="CW547" s="3021"/>
      <c r="CX547" s="3021"/>
      <c r="CY547" s="3046"/>
      <c r="CZ547" s="2098">
        <f t="shared" si="149"/>
        <v>0</v>
      </c>
      <c r="DA547" s="2098" t="str">
        <f t="shared" si="150"/>
        <v>-</v>
      </c>
      <c r="DB547" s="2098">
        <f t="shared" si="151"/>
        <v>0</v>
      </c>
      <c r="DC547" s="3023" t="str">
        <f t="shared" si="152"/>
        <v>-</v>
      </c>
      <c r="DD547" s="3024" t="str">
        <f t="shared" si="153"/>
        <v/>
      </c>
      <c r="DE547" s="3025" t="str">
        <f t="shared" si="154"/>
        <v>-</v>
      </c>
      <c r="DF547" s="3024" t="str">
        <f t="shared" si="145"/>
        <v>-</v>
      </c>
      <c r="DG547" s="2098">
        <f t="shared" si="155"/>
        <v>0</v>
      </c>
      <c r="DH547" s="2098">
        <f t="array" ref="DH547">MIN(SUMPRODUCT(I547:CR547,IF($I$25:$CR$25="yes",1,0),$I$23:$CR$23),H547)</f>
        <v>0</v>
      </c>
      <c r="DI547" s="3026"/>
      <c r="DJ547" s="3021"/>
      <c r="DN547" s="917" t="str">
        <f>IF(CS547="","-",SUMIF('Lighting Assumptions'!$G$3:$G$112,'6a - Lighting Counts'!G547,'Lighting Assumptions'!$J$3:$J$112))</f>
        <v>-</v>
      </c>
      <c r="DO547" s="917" t="str">
        <f t="shared" si="146"/>
        <v>-</v>
      </c>
      <c r="DP547" s="917" t="str">
        <f t="shared" si="147"/>
        <v>-</v>
      </c>
      <c r="DQ547" s="917" t="str">
        <f>IF(LEFT(CELLformula(DF547),3)&lt;&gt;"=IF",1,"")</f>
        <v/>
      </c>
      <c r="DR547" s="917" t="str">
        <f>IF(LEFT(CELLformula(DD547),3)&lt;&gt;"=IF",1,"")</f>
        <v/>
      </c>
      <c r="DS547" s="3048">
        <f t="shared" si="156"/>
        <v>0</v>
      </c>
      <c r="DT547" s="3047" t="str">
        <f t="shared" si="157"/>
        <v/>
      </c>
      <c r="DU547" s="3047" t="str">
        <f>IFERROR(IF(G547="","",SUMIF('Lighting Assumptions'!$G$3:$G$112,'6a - Lighting Counts'!G547,'Lighting Assumptions'!$H$3:$H$112)*IF(SI_IP_Units="SI",10.76,1)),"")</f>
        <v/>
      </c>
      <c r="DV547" s="3047" t="str">
        <f>IFERROR(IF($CX547="","",IF(SI_IP_Units="SI",10.76,1)*SUMIF(BAMCategories,$CY547,'Lighting Assumptions'!$E$3:E$35)),"")</f>
        <v/>
      </c>
      <c r="DW547" s="3047" t="str">
        <f>IFERROR(IF($CX547="","",IF(SI_IP_Units="SI",10.76,1)*SUMIF(BAMCategories,$CY547,IF(bpf_reference="ACP",'Lighting Assumptions 90.1-2010'!$E$3:E$35,'Lighting Assumptions 90.1-2016'!$E$3:E$35))),"")</f>
        <v/>
      </c>
      <c r="EW547" s="855"/>
      <c r="EX547" s="855"/>
      <c r="EY547" s="855"/>
      <c r="EZ547" s="855"/>
    </row>
    <row r="548" spans="4:156" x14ac:dyDescent="0.25">
      <c r="D548" s="3029"/>
      <c r="E548" s="3028"/>
      <c r="F548" s="3021">
        <f t="shared" si="144"/>
        <v>0</v>
      </c>
      <c r="G548" s="3059"/>
      <c r="H548" s="3060"/>
      <c r="I548" s="3061"/>
      <c r="J548" s="3061"/>
      <c r="K548" s="3061"/>
      <c r="L548" s="3061"/>
      <c r="M548" s="3061"/>
      <c r="N548" s="3061"/>
      <c r="O548" s="3061"/>
      <c r="P548" s="3061"/>
      <c r="Q548" s="3061"/>
      <c r="R548" s="3061"/>
      <c r="S548" s="3061"/>
      <c r="T548" s="3061"/>
      <c r="U548" s="3061"/>
      <c r="V548" s="3061"/>
      <c r="W548" s="3061"/>
      <c r="X548" s="3061"/>
      <c r="Y548" s="3061"/>
      <c r="Z548" s="3061"/>
      <c r="AA548" s="3061"/>
      <c r="AB548" s="3061"/>
      <c r="AC548" s="3061"/>
      <c r="AD548" s="3061"/>
      <c r="AE548" s="3061"/>
      <c r="AF548" s="3061"/>
      <c r="AG548" s="3061"/>
      <c r="AH548" s="3061"/>
      <c r="AI548" s="3061"/>
      <c r="AJ548" s="3061"/>
      <c r="AK548" s="3061"/>
      <c r="AL548" s="3061"/>
      <c r="AM548" s="3061"/>
      <c r="AN548" s="3061"/>
      <c r="AO548" s="3061"/>
      <c r="AP548" s="3061"/>
      <c r="AQ548" s="3061"/>
      <c r="AR548" s="3061"/>
      <c r="AS548" s="3061"/>
      <c r="AT548" s="3061"/>
      <c r="AU548" s="3061"/>
      <c r="AV548" s="3061"/>
      <c r="AW548" s="3061"/>
      <c r="AX548" s="3061"/>
      <c r="AY548" s="3061"/>
      <c r="AZ548" s="3061"/>
      <c r="BA548" s="3061"/>
      <c r="BB548" s="3061"/>
      <c r="BC548" s="3061"/>
      <c r="BD548" s="3061"/>
      <c r="BE548" s="3061"/>
      <c r="BF548" s="3061"/>
      <c r="BG548" s="3061"/>
      <c r="BH548" s="3061"/>
      <c r="BI548" s="3061"/>
      <c r="BJ548" s="3061"/>
      <c r="BK548" s="3061"/>
      <c r="BL548" s="3061"/>
      <c r="BM548" s="3061"/>
      <c r="BN548" s="3061"/>
      <c r="BO548" s="3061"/>
      <c r="BP548" s="3061"/>
      <c r="BQ548" s="3061"/>
      <c r="BR548" s="3061"/>
      <c r="BS548" s="3061"/>
      <c r="BT548" s="3061"/>
      <c r="BU548" s="3061"/>
      <c r="BV548" s="3061"/>
      <c r="BW548" s="3061"/>
      <c r="BX548" s="3061"/>
      <c r="BY548" s="3061"/>
      <c r="BZ548" s="3061"/>
      <c r="CA548" s="3061"/>
      <c r="CB548" s="3061"/>
      <c r="CC548" s="3061"/>
      <c r="CD548" s="3061"/>
      <c r="CE548" s="3061"/>
      <c r="CF548" s="3061"/>
      <c r="CG548" s="3061"/>
      <c r="CH548" s="3061"/>
      <c r="CI548" s="3061"/>
      <c r="CJ548" s="3061"/>
      <c r="CK548" s="3061"/>
      <c r="CL548" s="3061"/>
      <c r="CM548" s="3061"/>
      <c r="CN548" s="3061"/>
      <c r="CO548" s="3061"/>
      <c r="CP548" s="3061"/>
      <c r="CQ548" s="3061"/>
      <c r="CR548" s="3061"/>
      <c r="CS548" s="3062"/>
      <c r="CT548" s="3063"/>
      <c r="CU548" s="3064">
        <f t="shared" si="148"/>
        <v>1</v>
      </c>
      <c r="CV548" s="3022" t="str">
        <f>IF(OR(CT548="",CT548="None"),"-",DO548*CU548*SUMIF('Lighting Assumptions'!$G$3:$G$112,'6a - Lighting Counts'!G548,'Lighting Assumptions'!$J$3:$J$112))</f>
        <v>-</v>
      </c>
      <c r="CW548" s="3021"/>
      <c r="CX548" s="3021"/>
      <c r="CY548" s="3046"/>
      <c r="CZ548" s="2098">
        <f t="shared" si="149"/>
        <v>0</v>
      </c>
      <c r="DA548" s="2098" t="str">
        <f t="shared" si="150"/>
        <v>-</v>
      </c>
      <c r="DB548" s="2098">
        <f t="shared" si="151"/>
        <v>0</v>
      </c>
      <c r="DC548" s="3023" t="str">
        <f t="shared" si="152"/>
        <v>-</v>
      </c>
      <c r="DD548" s="3024" t="str">
        <f t="shared" si="153"/>
        <v/>
      </c>
      <c r="DE548" s="3025" t="str">
        <f t="shared" si="154"/>
        <v>-</v>
      </c>
      <c r="DF548" s="3024" t="str">
        <f t="shared" si="145"/>
        <v>-</v>
      </c>
      <c r="DG548" s="2098">
        <f t="shared" si="155"/>
        <v>0</v>
      </c>
      <c r="DH548" s="2098">
        <f t="array" ref="DH548">MIN(SUMPRODUCT(I548:CR548,IF($I$25:$CR$25="yes",1,0),$I$23:$CR$23),H548)</f>
        <v>0</v>
      </c>
      <c r="DI548" s="3026"/>
      <c r="DJ548" s="3021"/>
      <c r="DN548" s="917" t="str">
        <f>IF(CS548="","-",SUMIF('Lighting Assumptions'!$G$3:$G$112,'6a - Lighting Counts'!G548,'Lighting Assumptions'!$J$3:$J$112))</f>
        <v>-</v>
      </c>
      <c r="DO548" s="917" t="str">
        <f t="shared" si="146"/>
        <v>-</v>
      </c>
      <c r="DP548" s="917" t="str">
        <f t="shared" si="147"/>
        <v>-</v>
      </c>
      <c r="DQ548" s="917" t="str">
        <f>IF(LEFT(CELLformula(DF548),3)&lt;&gt;"=IF",1,"")</f>
        <v/>
      </c>
      <c r="DR548" s="917" t="str">
        <f>IF(LEFT(CELLformula(DD548),3)&lt;&gt;"=IF",1,"")</f>
        <v/>
      </c>
      <c r="DS548" s="3048">
        <f t="shared" si="156"/>
        <v>0</v>
      </c>
      <c r="DT548" s="3047" t="str">
        <f t="shared" si="157"/>
        <v/>
      </c>
      <c r="DU548" s="3047" t="str">
        <f>IFERROR(IF(G548="","",SUMIF('Lighting Assumptions'!$G$3:$G$112,'6a - Lighting Counts'!G548,'Lighting Assumptions'!$H$3:$H$112)*IF(SI_IP_Units="SI",10.76,1)),"")</f>
        <v/>
      </c>
      <c r="DV548" s="3047" t="str">
        <f>IFERROR(IF($CX548="","",IF(SI_IP_Units="SI",10.76,1)*SUMIF(BAMCategories,$CY548,'Lighting Assumptions'!$E$3:E$35)),"")</f>
        <v/>
      </c>
      <c r="DW548" s="3047" t="str">
        <f>IFERROR(IF($CX548="","",IF(SI_IP_Units="SI",10.76,1)*SUMIF(BAMCategories,$CY548,IF(bpf_reference="ACP",'Lighting Assumptions 90.1-2010'!$E$3:E$35,'Lighting Assumptions 90.1-2016'!$E$3:E$35))),"")</f>
        <v/>
      </c>
      <c r="EW548" s="855"/>
      <c r="EX548" s="855"/>
      <c r="EY548" s="855"/>
      <c r="EZ548" s="855"/>
    </row>
    <row r="549" spans="4:156" x14ac:dyDescent="0.25">
      <c r="D549" s="3029"/>
      <c r="E549" s="3028"/>
      <c r="F549" s="3021">
        <f t="shared" si="144"/>
        <v>0</v>
      </c>
      <c r="G549" s="3059"/>
      <c r="H549" s="3060"/>
      <c r="I549" s="3061"/>
      <c r="J549" s="3061"/>
      <c r="K549" s="3061"/>
      <c r="L549" s="3061"/>
      <c r="M549" s="3061"/>
      <c r="N549" s="3061"/>
      <c r="O549" s="3061"/>
      <c r="P549" s="3061"/>
      <c r="Q549" s="3061"/>
      <c r="R549" s="3061"/>
      <c r="S549" s="3061"/>
      <c r="T549" s="3061"/>
      <c r="U549" s="3061"/>
      <c r="V549" s="3061"/>
      <c r="W549" s="3061"/>
      <c r="X549" s="3061"/>
      <c r="Y549" s="3061"/>
      <c r="Z549" s="3061"/>
      <c r="AA549" s="3061"/>
      <c r="AB549" s="3061"/>
      <c r="AC549" s="3061"/>
      <c r="AD549" s="3061"/>
      <c r="AE549" s="3061"/>
      <c r="AF549" s="3061"/>
      <c r="AG549" s="3061"/>
      <c r="AH549" s="3061"/>
      <c r="AI549" s="3061"/>
      <c r="AJ549" s="3061"/>
      <c r="AK549" s="3061"/>
      <c r="AL549" s="3061"/>
      <c r="AM549" s="3061"/>
      <c r="AN549" s="3061"/>
      <c r="AO549" s="3061"/>
      <c r="AP549" s="3061"/>
      <c r="AQ549" s="3061"/>
      <c r="AR549" s="3061"/>
      <c r="AS549" s="3061"/>
      <c r="AT549" s="3061"/>
      <c r="AU549" s="3061"/>
      <c r="AV549" s="3061"/>
      <c r="AW549" s="3061"/>
      <c r="AX549" s="3061"/>
      <c r="AY549" s="3061"/>
      <c r="AZ549" s="3061"/>
      <c r="BA549" s="3061"/>
      <c r="BB549" s="3061"/>
      <c r="BC549" s="3061"/>
      <c r="BD549" s="3061"/>
      <c r="BE549" s="3061"/>
      <c r="BF549" s="3061"/>
      <c r="BG549" s="3061"/>
      <c r="BH549" s="3061"/>
      <c r="BI549" s="3061"/>
      <c r="BJ549" s="3061"/>
      <c r="BK549" s="3061"/>
      <c r="BL549" s="3061"/>
      <c r="BM549" s="3061"/>
      <c r="BN549" s="3061"/>
      <c r="BO549" s="3061"/>
      <c r="BP549" s="3061"/>
      <c r="BQ549" s="3061"/>
      <c r="BR549" s="3061"/>
      <c r="BS549" s="3061"/>
      <c r="BT549" s="3061"/>
      <c r="BU549" s="3061"/>
      <c r="BV549" s="3061"/>
      <c r="BW549" s="3061"/>
      <c r="BX549" s="3061"/>
      <c r="BY549" s="3061"/>
      <c r="BZ549" s="3061"/>
      <c r="CA549" s="3061"/>
      <c r="CB549" s="3061"/>
      <c r="CC549" s="3061"/>
      <c r="CD549" s="3061"/>
      <c r="CE549" s="3061"/>
      <c r="CF549" s="3061"/>
      <c r="CG549" s="3061"/>
      <c r="CH549" s="3061"/>
      <c r="CI549" s="3061"/>
      <c r="CJ549" s="3061"/>
      <c r="CK549" s="3061"/>
      <c r="CL549" s="3061"/>
      <c r="CM549" s="3061"/>
      <c r="CN549" s="3061"/>
      <c r="CO549" s="3061"/>
      <c r="CP549" s="3061"/>
      <c r="CQ549" s="3061"/>
      <c r="CR549" s="3061"/>
      <c r="CS549" s="3062"/>
      <c r="CT549" s="3063"/>
      <c r="CU549" s="3064">
        <f t="shared" si="148"/>
        <v>1</v>
      </c>
      <c r="CV549" s="3022" t="str">
        <f>IF(OR(CT549="",CT549="None"),"-",DO549*CU549*SUMIF('Lighting Assumptions'!$G$3:$G$112,'6a - Lighting Counts'!G549,'Lighting Assumptions'!$J$3:$J$112))</f>
        <v>-</v>
      </c>
      <c r="CW549" s="3021"/>
      <c r="CX549" s="3021"/>
      <c r="CY549" s="3046"/>
      <c r="CZ549" s="2098">
        <f t="shared" si="149"/>
        <v>0</v>
      </c>
      <c r="DA549" s="2098" t="str">
        <f t="shared" si="150"/>
        <v>-</v>
      </c>
      <c r="DB549" s="2098">
        <f t="shared" si="151"/>
        <v>0</v>
      </c>
      <c r="DC549" s="3023" t="str">
        <f t="shared" si="152"/>
        <v>-</v>
      </c>
      <c r="DD549" s="3024" t="str">
        <f t="shared" si="153"/>
        <v/>
      </c>
      <c r="DE549" s="3025" t="str">
        <f t="shared" si="154"/>
        <v>-</v>
      </c>
      <c r="DF549" s="3024" t="str">
        <f t="shared" si="145"/>
        <v>-</v>
      </c>
      <c r="DG549" s="2098">
        <f t="shared" si="155"/>
        <v>0</v>
      </c>
      <c r="DH549" s="2098">
        <f t="array" ref="DH549">MIN(SUMPRODUCT(I549:CR549,IF($I$25:$CR$25="yes",1,0),$I$23:$CR$23),H549)</f>
        <v>0</v>
      </c>
      <c r="DI549" s="3026"/>
      <c r="DJ549" s="3021"/>
      <c r="DN549" s="917" t="str">
        <f>IF(CS549="","-",SUMIF('Lighting Assumptions'!$G$3:$G$112,'6a - Lighting Counts'!G549,'Lighting Assumptions'!$J$3:$J$112))</f>
        <v>-</v>
      </c>
      <c r="DO549" s="917" t="str">
        <f t="shared" si="146"/>
        <v>-</v>
      </c>
      <c r="DP549" s="917" t="str">
        <f t="shared" si="147"/>
        <v>-</v>
      </c>
      <c r="DQ549" s="917" t="str">
        <f>IF(LEFT(CELLformula(DF549),3)&lt;&gt;"=IF",1,"")</f>
        <v/>
      </c>
      <c r="DR549" s="917" t="str">
        <f>IF(LEFT(CELLformula(DD549),3)&lt;&gt;"=IF",1,"")</f>
        <v/>
      </c>
      <c r="DS549" s="3048">
        <f t="shared" si="156"/>
        <v>0</v>
      </c>
      <c r="DT549" s="3047" t="str">
        <f t="shared" si="157"/>
        <v/>
      </c>
      <c r="DU549" s="3047" t="str">
        <f>IFERROR(IF(G549="","",SUMIF('Lighting Assumptions'!$G$3:$G$112,'6a - Lighting Counts'!G549,'Lighting Assumptions'!$H$3:$H$112)*IF(SI_IP_Units="SI",10.76,1)),"")</f>
        <v/>
      </c>
      <c r="DV549" s="3047" t="str">
        <f>IFERROR(IF($CX549="","",IF(SI_IP_Units="SI",10.76,1)*SUMIF(BAMCategories,$CY549,'Lighting Assumptions'!$E$3:E$35)),"")</f>
        <v/>
      </c>
      <c r="DW549" s="3047" t="str">
        <f>IFERROR(IF($CX549="","",IF(SI_IP_Units="SI",10.76,1)*SUMIF(BAMCategories,$CY549,IF(bpf_reference="ACP",'Lighting Assumptions 90.1-2010'!$E$3:E$35,'Lighting Assumptions 90.1-2016'!$E$3:E$35))),"")</f>
        <v/>
      </c>
      <c r="EW549" s="855"/>
      <c r="EX549" s="855"/>
      <c r="EY549" s="855"/>
      <c r="EZ549" s="855"/>
    </row>
    <row r="550" spans="4:156" x14ac:dyDescent="0.25">
      <c r="D550" s="3029"/>
      <c r="E550" s="3028"/>
      <c r="F550" s="3021">
        <f t="shared" si="144"/>
        <v>0</v>
      </c>
      <c r="G550" s="3059"/>
      <c r="H550" s="3060"/>
      <c r="I550" s="3061"/>
      <c r="J550" s="3061"/>
      <c r="K550" s="3061"/>
      <c r="L550" s="3061"/>
      <c r="M550" s="3061"/>
      <c r="N550" s="3061"/>
      <c r="O550" s="3061"/>
      <c r="P550" s="3061"/>
      <c r="Q550" s="3061"/>
      <c r="R550" s="3061"/>
      <c r="S550" s="3061"/>
      <c r="T550" s="3061"/>
      <c r="U550" s="3061"/>
      <c r="V550" s="3061"/>
      <c r="W550" s="3061"/>
      <c r="X550" s="3061"/>
      <c r="Y550" s="3061"/>
      <c r="Z550" s="3061"/>
      <c r="AA550" s="3061"/>
      <c r="AB550" s="3061"/>
      <c r="AC550" s="3061"/>
      <c r="AD550" s="3061"/>
      <c r="AE550" s="3061"/>
      <c r="AF550" s="3061"/>
      <c r="AG550" s="3061"/>
      <c r="AH550" s="3061"/>
      <c r="AI550" s="3061"/>
      <c r="AJ550" s="3061"/>
      <c r="AK550" s="3061"/>
      <c r="AL550" s="3061"/>
      <c r="AM550" s="3061"/>
      <c r="AN550" s="3061"/>
      <c r="AO550" s="3061"/>
      <c r="AP550" s="3061"/>
      <c r="AQ550" s="3061"/>
      <c r="AR550" s="3061"/>
      <c r="AS550" s="3061"/>
      <c r="AT550" s="3061"/>
      <c r="AU550" s="3061"/>
      <c r="AV550" s="3061"/>
      <c r="AW550" s="3061"/>
      <c r="AX550" s="3061"/>
      <c r="AY550" s="3061"/>
      <c r="AZ550" s="3061"/>
      <c r="BA550" s="3061"/>
      <c r="BB550" s="3061"/>
      <c r="BC550" s="3061"/>
      <c r="BD550" s="3061"/>
      <c r="BE550" s="3061"/>
      <c r="BF550" s="3061"/>
      <c r="BG550" s="3061"/>
      <c r="BH550" s="3061"/>
      <c r="BI550" s="3061"/>
      <c r="BJ550" s="3061"/>
      <c r="BK550" s="3061"/>
      <c r="BL550" s="3061"/>
      <c r="BM550" s="3061"/>
      <c r="BN550" s="3061"/>
      <c r="BO550" s="3061"/>
      <c r="BP550" s="3061"/>
      <c r="BQ550" s="3061"/>
      <c r="BR550" s="3061"/>
      <c r="BS550" s="3061"/>
      <c r="BT550" s="3061"/>
      <c r="BU550" s="3061"/>
      <c r="BV550" s="3061"/>
      <c r="BW550" s="3061"/>
      <c r="BX550" s="3061"/>
      <c r="BY550" s="3061"/>
      <c r="BZ550" s="3061"/>
      <c r="CA550" s="3061"/>
      <c r="CB550" s="3061"/>
      <c r="CC550" s="3061"/>
      <c r="CD550" s="3061"/>
      <c r="CE550" s="3061"/>
      <c r="CF550" s="3061"/>
      <c r="CG550" s="3061"/>
      <c r="CH550" s="3061"/>
      <c r="CI550" s="3061"/>
      <c r="CJ550" s="3061"/>
      <c r="CK550" s="3061"/>
      <c r="CL550" s="3061"/>
      <c r="CM550" s="3061"/>
      <c r="CN550" s="3061"/>
      <c r="CO550" s="3061"/>
      <c r="CP550" s="3061"/>
      <c r="CQ550" s="3061"/>
      <c r="CR550" s="3061"/>
      <c r="CS550" s="3062"/>
      <c r="CT550" s="3063"/>
      <c r="CU550" s="3064">
        <f t="shared" si="148"/>
        <v>1</v>
      </c>
      <c r="CV550" s="3022" t="str">
        <f>IF(OR(CT550="",CT550="None"),"-",DO550*CU550*SUMIF('Lighting Assumptions'!$G$3:$G$112,'6a - Lighting Counts'!G550,'Lighting Assumptions'!$J$3:$J$112))</f>
        <v>-</v>
      </c>
      <c r="CW550" s="3021"/>
      <c r="CX550" s="3021"/>
      <c r="CY550" s="3046"/>
      <c r="CZ550" s="2098">
        <f t="shared" si="149"/>
        <v>0</v>
      </c>
      <c r="DA550" s="2098" t="str">
        <f t="shared" si="150"/>
        <v>-</v>
      </c>
      <c r="DB550" s="2098">
        <f t="shared" si="151"/>
        <v>0</v>
      </c>
      <c r="DC550" s="3023" t="str">
        <f t="shared" si="152"/>
        <v>-</v>
      </c>
      <c r="DD550" s="3024" t="str">
        <f t="shared" si="153"/>
        <v/>
      </c>
      <c r="DE550" s="3025" t="str">
        <f t="shared" si="154"/>
        <v>-</v>
      </c>
      <c r="DF550" s="3024" t="str">
        <f t="shared" si="145"/>
        <v>-</v>
      </c>
      <c r="DG550" s="2098">
        <f t="shared" si="155"/>
        <v>0</v>
      </c>
      <c r="DH550" s="2098">
        <f t="array" ref="DH550">MIN(SUMPRODUCT(I550:CR550,IF($I$25:$CR$25="yes",1,0),$I$23:$CR$23),H550)</f>
        <v>0</v>
      </c>
      <c r="DI550" s="3026"/>
      <c r="DJ550" s="3021"/>
      <c r="DN550" s="917" t="str">
        <f>IF(CS550="","-",SUMIF('Lighting Assumptions'!$G$3:$G$112,'6a - Lighting Counts'!G550,'Lighting Assumptions'!$J$3:$J$112))</f>
        <v>-</v>
      </c>
      <c r="DO550" s="917" t="str">
        <f t="shared" si="146"/>
        <v>-</v>
      </c>
      <c r="DP550" s="917" t="str">
        <f t="shared" si="147"/>
        <v>-</v>
      </c>
      <c r="DQ550" s="917" t="str">
        <f>IF(LEFT(CELLformula(DF550),3)&lt;&gt;"=IF",1,"")</f>
        <v/>
      </c>
      <c r="DR550" s="917" t="str">
        <f>IF(LEFT(CELLformula(DD550),3)&lt;&gt;"=IF",1,"")</f>
        <v/>
      </c>
      <c r="DS550" s="3048">
        <f t="shared" si="156"/>
        <v>0</v>
      </c>
      <c r="DT550" s="3047" t="str">
        <f t="shared" si="157"/>
        <v/>
      </c>
      <c r="DU550" s="3047" t="str">
        <f>IFERROR(IF(G550="","",SUMIF('Lighting Assumptions'!$G$3:$G$112,'6a - Lighting Counts'!G550,'Lighting Assumptions'!$H$3:$H$112)*IF(SI_IP_Units="SI",10.76,1)),"")</f>
        <v/>
      </c>
      <c r="DV550" s="3047" t="str">
        <f>IFERROR(IF($CX550="","",IF(SI_IP_Units="SI",10.76,1)*SUMIF(BAMCategories,$CY550,'Lighting Assumptions'!$E$3:E$35)),"")</f>
        <v/>
      </c>
      <c r="DW550" s="3047" t="str">
        <f>IFERROR(IF($CX550="","",IF(SI_IP_Units="SI",10.76,1)*SUMIF(BAMCategories,$CY550,IF(bpf_reference="ACP",'Lighting Assumptions 90.1-2010'!$E$3:E$35,'Lighting Assumptions 90.1-2016'!$E$3:E$35))),"")</f>
        <v/>
      </c>
      <c r="EW550" s="855"/>
      <c r="EX550" s="855"/>
      <c r="EY550" s="855"/>
      <c r="EZ550" s="855"/>
    </row>
    <row r="551" spans="4:156" x14ac:dyDescent="0.25">
      <c r="D551" s="3029"/>
      <c r="E551" s="3028"/>
      <c r="F551" s="3021">
        <f t="shared" si="144"/>
        <v>0</v>
      </c>
      <c r="G551" s="3059"/>
      <c r="H551" s="3060"/>
      <c r="I551" s="3061"/>
      <c r="J551" s="3061"/>
      <c r="K551" s="3061"/>
      <c r="L551" s="3061"/>
      <c r="M551" s="3061"/>
      <c r="N551" s="3061"/>
      <c r="O551" s="3061"/>
      <c r="P551" s="3061"/>
      <c r="Q551" s="3061"/>
      <c r="R551" s="3061"/>
      <c r="S551" s="3061"/>
      <c r="T551" s="3061"/>
      <c r="U551" s="3061"/>
      <c r="V551" s="3061"/>
      <c r="W551" s="3061"/>
      <c r="X551" s="3061"/>
      <c r="Y551" s="3061"/>
      <c r="Z551" s="3061"/>
      <c r="AA551" s="3061"/>
      <c r="AB551" s="3061"/>
      <c r="AC551" s="3061"/>
      <c r="AD551" s="3061"/>
      <c r="AE551" s="3061"/>
      <c r="AF551" s="3061"/>
      <c r="AG551" s="3061"/>
      <c r="AH551" s="3061"/>
      <c r="AI551" s="3061"/>
      <c r="AJ551" s="3061"/>
      <c r="AK551" s="3061"/>
      <c r="AL551" s="3061"/>
      <c r="AM551" s="3061"/>
      <c r="AN551" s="3061"/>
      <c r="AO551" s="3061"/>
      <c r="AP551" s="3061"/>
      <c r="AQ551" s="3061"/>
      <c r="AR551" s="3061"/>
      <c r="AS551" s="3061"/>
      <c r="AT551" s="3061"/>
      <c r="AU551" s="3061"/>
      <c r="AV551" s="3061"/>
      <c r="AW551" s="3061"/>
      <c r="AX551" s="3061"/>
      <c r="AY551" s="3061"/>
      <c r="AZ551" s="3061"/>
      <c r="BA551" s="3061"/>
      <c r="BB551" s="3061"/>
      <c r="BC551" s="3061"/>
      <c r="BD551" s="3061"/>
      <c r="BE551" s="3061"/>
      <c r="BF551" s="3061"/>
      <c r="BG551" s="3061"/>
      <c r="BH551" s="3061"/>
      <c r="BI551" s="3061"/>
      <c r="BJ551" s="3061"/>
      <c r="BK551" s="3061"/>
      <c r="BL551" s="3061"/>
      <c r="BM551" s="3061"/>
      <c r="BN551" s="3061"/>
      <c r="BO551" s="3061"/>
      <c r="BP551" s="3061"/>
      <c r="BQ551" s="3061"/>
      <c r="BR551" s="3061"/>
      <c r="BS551" s="3061"/>
      <c r="BT551" s="3061"/>
      <c r="BU551" s="3061"/>
      <c r="BV551" s="3061"/>
      <c r="BW551" s="3061"/>
      <c r="BX551" s="3061"/>
      <c r="BY551" s="3061"/>
      <c r="BZ551" s="3061"/>
      <c r="CA551" s="3061"/>
      <c r="CB551" s="3061"/>
      <c r="CC551" s="3061"/>
      <c r="CD551" s="3061"/>
      <c r="CE551" s="3061"/>
      <c r="CF551" s="3061"/>
      <c r="CG551" s="3061"/>
      <c r="CH551" s="3061"/>
      <c r="CI551" s="3061"/>
      <c r="CJ551" s="3061"/>
      <c r="CK551" s="3061"/>
      <c r="CL551" s="3061"/>
      <c r="CM551" s="3061"/>
      <c r="CN551" s="3061"/>
      <c r="CO551" s="3061"/>
      <c r="CP551" s="3061"/>
      <c r="CQ551" s="3061"/>
      <c r="CR551" s="3061"/>
      <c r="CS551" s="3062"/>
      <c r="CT551" s="3063"/>
      <c r="CU551" s="3064">
        <f t="shared" si="148"/>
        <v>1</v>
      </c>
      <c r="CV551" s="3022" t="str">
        <f>IF(OR(CT551="",CT551="None"),"-",DO551*CU551*SUMIF('Lighting Assumptions'!$G$3:$G$112,'6a - Lighting Counts'!G551,'Lighting Assumptions'!$J$3:$J$112))</f>
        <v>-</v>
      </c>
      <c r="CW551" s="3021"/>
      <c r="CX551" s="3021"/>
      <c r="CY551" s="3046"/>
      <c r="CZ551" s="2098">
        <f t="shared" si="149"/>
        <v>0</v>
      </c>
      <c r="DA551" s="2098" t="str">
        <f t="shared" si="150"/>
        <v>-</v>
      </c>
      <c r="DB551" s="2098">
        <f t="shared" si="151"/>
        <v>0</v>
      </c>
      <c r="DC551" s="3023" t="str">
        <f t="shared" si="152"/>
        <v>-</v>
      </c>
      <c r="DD551" s="3024" t="str">
        <f t="shared" si="153"/>
        <v/>
      </c>
      <c r="DE551" s="3025" t="str">
        <f t="shared" si="154"/>
        <v>-</v>
      </c>
      <c r="DF551" s="3024" t="str">
        <f t="shared" si="145"/>
        <v>-</v>
      </c>
      <c r="DG551" s="2098">
        <f t="shared" si="155"/>
        <v>0</v>
      </c>
      <c r="DH551" s="2098">
        <f t="array" ref="DH551">MIN(SUMPRODUCT(I551:CR551,IF($I$25:$CR$25="yes",1,0),$I$23:$CR$23),H551)</f>
        <v>0</v>
      </c>
      <c r="DI551" s="3026"/>
      <c r="DJ551" s="3021"/>
      <c r="DN551" s="917" t="str">
        <f>IF(CS551="","-",SUMIF('Lighting Assumptions'!$G$3:$G$112,'6a - Lighting Counts'!G551,'Lighting Assumptions'!$J$3:$J$112))</f>
        <v>-</v>
      </c>
      <c r="DO551" s="917" t="str">
        <f t="shared" si="146"/>
        <v>-</v>
      </c>
      <c r="DP551" s="917" t="str">
        <f t="shared" si="147"/>
        <v>-</v>
      </c>
      <c r="DQ551" s="917" t="str">
        <f>IF(LEFT(CELLformula(DF551),3)&lt;&gt;"=IF",1,"")</f>
        <v/>
      </c>
      <c r="DR551" s="917" t="str">
        <f>IF(LEFT(CELLformula(DD551),3)&lt;&gt;"=IF",1,"")</f>
        <v/>
      </c>
      <c r="DS551" s="3048">
        <f t="shared" si="156"/>
        <v>0</v>
      </c>
      <c r="DT551" s="3047" t="str">
        <f t="shared" si="157"/>
        <v/>
      </c>
      <c r="DU551" s="3047" t="str">
        <f>IFERROR(IF(G551="","",SUMIF('Lighting Assumptions'!$G$3:$G$112,'6a - Lighting Counts'!G551,'Lighting Assumptions'!$H$3:$H$112)*IF(SI_IP_Units="SI",10.76,1)),"")</f>
        <v/>
      </c>
      <c r="DV551" s="3047" t="str">
        <f>IFERROR(IF($CX551="","",IF(SI_IP_Units="SI",10.76,1)*SUMIF(BAMCategories,$CY551,'Lighting Assumptions'!$E$3:E$35)),"")</f>
        <v/>
      </c>
      <c r="DW551" s="3047" t="str">
        <f>IFERROR(IF($CX551="","",IF(SI_IP_Units="SI",10.76,1)*SUMIF(BAMCategories,$CY551,IF(bpf_reference="ACP",'Lighting Assumptions 90.1-2010'!$E$3:E$35,'Lighting Assumptions 90.1-2016'!$E$3:E$35))),"")</f>
        <v/>
      </c>
      <c r="EW551" s="855"/>
      <c r="EX551" s="855"/>
      <c r="EY551" s="855"/>
      <c r="EZ551" s="855"/>
    </row>
    <row r="552" spans="4:156" x14ac:dyDescent="0.25">
      <c r="EW552" s="855"/>
      <c r="EX552" s="855"/>
      <c r="EY552" s="855"/>
      <c r="EZ552" s="855"/>
    </row>
    <row r="553" spans="4:156" x14ac:dyDescent="0.25">
      <c r="EW553" s="855"/>
      <c r="EX553" s="855"/>
      <c r="EY553" s="855"/>
      <c r="EZ553" s="855"/>
    </row>
    <row r="554" spans="4:156" x14ac:dyDescent="0.25">
      <c r="EW554" s="855"/>
      <c r="EX554" s="855"/>
      <c r="EY554" s="855"/>
      <c r="EZ554" s="855"/>
    </row>
    <row r="555" spans="4:156" x14ac:dyDescent="0.25">
      <c r="EW555" s="855"/>
      <c r="EX555" s="855"/>
      <c r="EY555" s="855"/>
      <c r="EZ555" s="855"/>
    </row>
  </sheetData>
  <sheetProtection algorithmName="SHA-512" hashValue="hrKSqGqOXz2CCbiaxqPlMJqpszY+Z1oZwXApDFkjyQzvf+F8jWYfvcdAOFLnAzrMSrsMzSFLc3qtH+ra6TRUJQ==" saltValue="Mck2RCD35njtI+2y+E2aWQ==" spinCount="100000" sheet="1" objects="1" scenarios="1"/>
  <dataConsolidate/>
  <mergeCells count="19">
    <mergeCell ref="D5:T5"/>
    <mergeCell ref="D7:T7"/>
    <mergeCell ref="D6:T6"/>
    <mergeCell ref="D14:T14"/>
    <mergeCell ref="D15:T15"/>
    <mergeCell ref="D8:H8"/>
    <mergeCell ref="I28:CR28"/>
    <mergeCell ref="D26:G26"/>
    <mergeCell ref="D20:H20"/>
    <mergeCell ref="I20:BB20"/>
    <mergeCell ref="D16:T16"/>
    <mergeCell ref="DF25:DG25"/>
    <mergeCell ref="D21:H21"/>
    <mergeCell ref="I21:BB21"/>
    <mergeCell ref="D22:H22"/>
    <mergeCell ref="D23:H23"/>
    <mergeCell ref="D24:H24"/>
    <mergeCell ref="D25:H25"/>
    <mergeCell ref="DC25:DE25"/>
  </mergeCells>
  <conditionalFormatting sqref="CL29:CR551 BS30:CK30 AX30:BQ30 I31:I551 AD31:BQ551 I29:CK29 J39:AC551 J32:J34 L32:AC35 K36:AC38 K34:K35 J37:J38">
    <cfRule type="expression" dxfId="405" priority="63">
      <formula>$DJ29="x"</formula>
    </cfRule>
  </conditionalFormatting>
  <conditionalFormatting sqref="DF29:DF551">
    <cfRule type="expression" dxfId="404" priority="41">
      <formula>DQ29=1</formula>
    </cfRule>
  </conditionalFormatting>
  <conditionalFormatting sqref="I30">
    <cfRule type="expression" dxfId="403" priority="35">
      <formula>$DJ30="x"</formula>
    </cfRule>
  </conditionalFormatting>
  <conditionalFormatting sqref="DC29:DC551">
    <cfRule type="expression" dxfId="402" priority="1978" stopIfTrue="1">
      <formula>ROUND(DC29,1)&gt;ROUND($DD29,1)</formula>
    </cfRule>
  </conditionalFormatting>
  <conditionalFormatting sqref="DD29:DD551">
    <cfRule type="expression" dxfId="401" priority="1985">
      <formula>DR29=1</formula>
    </cfRule>
  </conditionalFormatting>
  <conditionalFormatting sqref="DI29:DJ551 CW29:CW551">
    <cfRule type="expression" dxfId="400" priority="2060" stopIfTrue="1">
      <formula>$CZ29&lt;$CS29</formula>
    </cfRule>
  </conditionalFormatting>
  <conditionalFormatting sqref="CS29:CT551">
    <cfRule type="expression" dxfId="399" priority="13">
      <formula>$DJ29="x"</formula>
    </cfRule>
  </conditionalFormatting>
  <conditionalFormatting sqref="DE29:DE551">
    <cfRule type="expression" dxfId="398" priority="2172">
      <formula>DW29=1</formula>
    </cfRule>
  </conditionalFormatting>
  <conditionalFormatting sqref="BR31:CK551">
    <cfRule type="expression" dxfId="397" priority="12">
      <formula>$DJ31="x"</formula>
    </cfRule>
  </conditionalFormatting>
  <conditionalFormatting sqref="BR30">
    <cfRule type="expression" dxfId="396" priority="11">
      <formula>$DJ30="x"</formula>
    </cfRule>
  </conditionalFormatting>
  <conditionalFormatting sqref="AE30:AW30">
    <cfRule type="expression" dxfId="395" priority="10">
      <formula>$DJ30="x"</formula>
    </cfRule>
  </conditionalFormatting>
  <conditionalFormatting sqref="AD30">
    <cfRule type="expression" dxfId="394" priority="9">
      <formula>$DJ30="x"</formula>
    </cfRule>
  </conditionalFormatting>
  <conditionalFormatting sqref="J31:AC31">
    <cfRule type="expression" dxfId="393" priority="8">
      <formula>$DJ31="x"</formula>
    </cfRule>
  </conditionalFormatting>
  <conditionalFormatting sqref="K30:AC30">
    <cfRule type="expression" dxfId="392" priority="7">
      <formula>$DJ30="x"</formula>
    </cfRule>
  </conditionalFormatting>
  <conditionalFormatting sqref="J30">
    <cfRule type="expression" dxfId="391" priority="6">
      <formula>$DJ30="x"</formula>
    </cfRule>
  </conditionalFormatting>
  <conditionalFormatting sqref="K32">
    <cfRule type="expression" dxfId="390" priority="5">
      <formula>$DJ32="x"</formula>
    </cfRule>
  </conditionalFormatting>
  <conditionalFormatting sqref="K33">
    <cfRule type="expression" dxfId="389" priority="4">
      <formula>$DJ33="x"</formula>
    </cfRule>
  </conditionalFormatting>
  <conditionalFormatting sqref="J35">
    <cfRule type="expression" dxfId="388" priority="3">
      <formula>$DJ35="x"</formula>
    </cfRule>
  </conditionalFormatting>
  <conditionalFormatting sqref="J36">
    <cfRule type="expression" dxfId="387" priority="2">
      <formula>$DJ36="x"</formula>
    </cfRule>
  </conditionalFormatting>
  <conditionalFormatting sqref="CY29:CY551">
    <cfRule type="expression" dxfId="386" priority="1">
      <formula>$CX29&lt;&gt;""</formula>
    </cfRule>
  </conditionalFormatting>
  <dataValidations xWindow="674" yWindow="781" count="22">
    <dataValidation allowBlank="1" showInputMessage="1" showErrorMessage="1" prompt="Productivity Tip: first enter only fixtures controlled by OS into the fixture count row; copy the value of the proposed wattage calculated by the template into the 'Proposed Lighting Power controlled by OS' column; enter the rest of the fixtures." sqref="CS28" xr:uid="{00000000-0002-0000-0F00-000000000000}"/>
    <dataValidation type="list" allowBlank="1" showInputMessage="1" showErrorMessage="1" prompt="For mixed use buildings, enter the primary building type that will be used to set the default baseline LPD for all thermal blocks." sqref="BR20:BV20 AX20:BB20 I20:N20 AD20:AH20" xr:uid="{00000000-0002-0000-0F00-000001000000}">
      <formula1>BuildingTypes</formula1>
    </dataValidation>
    <dataValidation allowBlank="1" showInputMessage="1" showErrorMessage="1" promptTitle="Examples" prompt="- spaces in existing buildings where fixtures are not retrofitted SG 3.7_x000a_- spaces with no or temp. lighting specified (e.g. core &amp; shell)  SG 3.7 &amp; 4.4.4_x000a_- spaces exempt from  90.1 where lighting was modeled as energy neutral SG 4.4.2.1 &amp; 4.4.3_x000a_- shafts" sqref="BR21:BV21 AX21:BB21 I21:N21 AD21:AH21" xr:uid="{00000000-0002-0000-0F00-000002000000}"/>
    <dataValidation allowBlank="1" showInputMessage="1" showErrorMessage="1" prompt="Enter fixture counts for each thermal block. If Rated Input Wattage in Step 5 is entered as W/LnFt, enter fixture length in linear foot (LnFt). Do not count fixtures meeting exceptions to 90.1 Section 9.2.2.3." sqref="I28" xr:uid="{00000000-0002-0000-0F00-000003000000}"/>
    <dataValidation allowBlank="1" showInputMessage="1" showErrorMessage="1" prompt="Space by space method: enter lighted floor area for each thermal block. Building area method: the input is only required for thermal blocks with non-qualified LED's, or the blocks with overwritten baseline LPD. " sqref="H28" xr:uid="{00000000-0002-0000-0F00-000004000000}"/>
    <dataValidation allowBlank="1" showInputMessage="1" showErrorMessage="1" prompt="The default is based on ASHRAE-90.1-2013 Addendum bw Table G3.7._x000a_" sqref="DN28:DP28" xr:uid="{00000000-0002-0000-0F00-000005000000}"/>
    <dataValidation type="list" allowBlank="1" showInputMessage="1" showErrorMessage="1" sqref="DO24:DQ24 CT24:CW24" xr:uid="{00000000-0002-0000-0F00-000006000000}">
      <formula1>"Yes,No"</formula1>
    </dataValidation>
    <dataValidation allowBlank="1" showInputMessage="1" showErrorMessage="1" prompt="Note: Additional lighting allowance is limited to a maximum of 1 W/SqFt." sqref="DH28:DH551" xr:uid="{00000000-0002-0000-0F00-000007000000}"/>
    <dataValidation allowBlank="1" showInputMessage="1" showErrorMessage="1" prompt="Productivity Tip: first enter only fixtures controlled by OS into the Fixture Count row; copy the value of the proposed wattage calculated by the template into the 'Connected Lighting Power Controlled by OS' column; enter counts for remaining fixtures." sqref="CS29:CS551" xr:uid="{00000000-0002-0000-0F00-000008000000}"/>
    <dataValidation allowBlank="1" showInputMessage="1" showErrorMessage="1" prompt="REMINDER: When entering custom baseline LPD's and using the space by space method, remember to take the additional lighting power into account. It will not be accounted for automatically." sqref="DD29:DD551" xr:uid="{00000000-0002-0000-0F00-000009000000}"/>
    <dataValidation allowBlank="1" showInputMessage="1" showErrorMessage="1" prompt="Use Multiplier if there are multiple blocks with identical area and lighting. All inputs and calculated values in each row are per individual thermal block. The Multiplier is accounted for in the &quot;Totals&quot; row and &quot;LPD by Space Type&quot; tab if applicable." sqref="F28:F551" xr:uid="{00000000-0002-0000-0F00-00000A000000}"/>
    <dataValidation allowBlank="1" showInputMessage="1" showErrorMessage="1" prompt="Space by space method: enter lighted floor area for each thermal block._x000a_" sqref="H29:H551" xr:uid="{00000000-0002-0000-0F00-00000B000000}"/>
    <dataValidation type="list" allowBlank="1" showInputMessage="1" showErrorMessage="1" sqref="DJ29:DJ551" xr:uid="{00000000-0002-0000-0F00-00000C000000}">
      <formula1>"x"</formula1>
    </dataValidation>
    <dataValidation allowBlank="1" showInputMessage="1" showErrorMessage="1" prompt="Area without specified lighting. This input must not exceed space area." sqref="CX29:CX551" xr:uid="{00000000-0002-0000-0F00-00000D000000}"/>
    <dataValidation allowBlank="1" showInputMessage="1" showErrorMessage="1" prompt="Note: Per Table G3.7, for occupancy sensors controlling individual workstation lighting, occupancy sensor reduction factor shall be 30%. This reduction may only apply towards open office spaces. Please overwrite the default OS credit if this note applies." sqref="DP29:DP551" xr:uid="{00000000-0002-0000-0F00-00000E000000}"/>
    <dataValidation type="list" allowBlank="1" showInputMessage="1" showErrorMessage="1" prompt="If the same fixture is used for both decorative/retail and general lighting applications, repeat it in a separate column." sqref="I25:CR25" xr:uid="{00000000-0002-0000-0F00-00000F000000}">
      <formula1>"Yes,No"</formula1>
    </dataValidation>
    <dataValidation allowBlank="1" showInputMessage="1" showErrorMessage="1" prompt="Use NCP Standard Wattage Table as a default. If actual input power from the manufacturer for the specific fixture (ballast, dimming/non-dimming, etc) is known, it may be used." sqref="I23:CR23" xr:uid="{00000000-0002-0000-0F00-000010000000}"/>
    <dataValidation type="list" allowBlank="1" showInputMessage="1" sqref="G29:G551" xr:uid="{00000000-0002-0000-0F00-000011000000}">
      <formula1>IF(RatingSystemSelection="ENERGY STAR MFHR",LPDbySpaceTypeES,LPDSpacebySpace)</formula1>
    </dataValidation>
    <dataValidation allowBlank="1" showErrorMessage="1" sqref="CU28 CV28:CV551" xr:uid="{00000000-0002-0000-0F00-000012000000}"/>
    <dataValidation type="list" allowBlank="1" showInputMessage="1" showErrorMessage="1" prompt="Please select Manual-On, Partial-Auto-On, or Other from the drop down based on the type of lighting control." sqref="CT29:CT551" xr:uid="{00000000-0002-0000-0F00-000013000000}">
      <formula1>"Manual-On, Partial-Auto-On,Other,Manual-On Individual Workstation, Partial-Auto-On Individual Workstation,Other Individual Workstation,None"</formula1>
    </dataValidation>
    <dataValidation allowBlank="1" showErrorMessage="1" prompt="REMINDER: When entering custom baseline LPD's and using the space by space method, remember to take the additional lighting power into account. It will not be accounted for automatically." sqref="DE29:DE551" xr:uid="{00000000-0002-0000-0F00-000014000000}"/>
    <dataValidation type="list" allowBlank="1" showInputMessage="1" showErrorMessage="1" prompt="Area without specified lighting. This input must not exceed space area." sqref="CY29:CY551" xr:uid="{00000000-0002-0000-0F00-000015000000}">
      <formula1>BAMCategories</formula1>
    </dataValidation>
  </dataValidations>
  <pageMargins left="0.7" right="0.7" top="0.75" bottom="0.75" header="0.3" footer="0.3"/>
  <pageSetup orientation="portrait" horizontalDpi="300" verticalDpi="300" r:id="rId1"/>
  <ignoredErrors>
    <ignoredError sqref="F39:F551 F31:F3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Button2_Click">
                <anchor moveWithCells="1" sizeWithCells="1">
                  <from>
                    <xdr:col>96</xdr:col>
                    <xdr:colOff>137160</xdr:colOff>
                    <xdr:row>21</xdr:row>
                    <xdr:rowOff>0</xdr:rowOff>
                  </from>
                  <to>
                    <xdr:col>96</xdr:col>
                    <xdr:colOff>990600</xdr:colOff>
                    <xdr:row>22</xdr:row>
                    <xdr:rowOff>53340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theme="0" tint="-0.249977111117893"/>
  </sheetPr>
  <dimension ref="A1:AK186"/>
  <sheetViews>
    <sheetView showGridLines="0" zoomScale="90" zoomScaleNormal="90" workbookViewId="0">
      <selection activeCell="P8" sqref="P8:Q8"/>
    </sheetView>
  </sheetViews>
  <sheetFormatPr defaultColWidth="8.69921875" defaultRowHeight="13.2" outlineLevelCol="1" x14ac:dyDescent="0.25"/>
  <cols>
    <col min="1" max="1" width="2.19921875" style="304" customWidth="1"/>
    <col min="2" max="13" width="11.796875" style="12" customWidth="1"/>
    <col min="14" max="14" width="11.796875" style="35" customWidth="1"/>
    <col min="15" max="18" width="11.796875" style="1" customWidth="1"/>
    <col min="19" max="19" width="1.69921875" style="1" customWidth="1"/>
    <col min="20" max="20" width="35.69921875" style="1" customWidth="1"/>
    <col min="21" max="21" width="18.796875" style="1" customWidth="1"/>
    <col min="22" max="22" width="2.69921875" style="12" customWidth="1"/>
    <col min="23" max="23" width="24.5" style="1" hidden="1" customWidth="1" outlineLevel="1"/>
    <col min="24" max="24" width="11.69921875" style="1" hidden="1" customWidth="1" outlineLevel="1"/>
    <col min="25" max="29" width="8.69921875" style="1" hidden="1" customWidth="1" outlineLevel="1"/>
    <col min="30" max="30" width="14.5" style="1" hidden="1" customWidth="1" outlineLevel="1"/>
    <col min="31" max="34" width="8.69921875" style="1" hidden="1" customWidth="1" outlineLevel="1"/>
    <col min="35" max="35" width="2.69921875" style="12" customWidth="1" collapsed="1"/>
    <col min="36" max="36" width="2.69921875" style="12" customWidth="1"/>
    <col min="37" max="37" width="50.69921875" style="2146" customWidth="1"/>
    <col min="38" max="16384" width="8.69921875" style="12"/>
  </cols>
  <sheetData>
    <row r="1" spans="1:37" s="3" customFormat="1" x14ac:dyDescent="0.25">
      <c r="A1" s="331" t="s">
        <v>1038</v>
      </c>
      <c r="B1" s="11"/>
      <c r="C1" s="11"/>
      <c r="D1" s="11"/>
      <c r="E1" s="11"/>
      <c r="F1" s="11"/>
      <c r="G1" s="11"/>
      <c r="H1" s="10"/>
      <c r="I1" s="11"/>
      <c r="J1" s="10"/>
      <c r="K1" s="10"/>
      <c r="L1" s="11"/>
      <c r="M1" s="11"/>
      <c r="N1" s="11"/>
      <c r="O1" s="11"/>
      <c r="P1" s="11"/>
      <c r="Q1" s="11"/>
      <c r="R1" s="11"/>
      <c r="S1" s="1001"/>
      <c r="T1" s="1001"/>
      <c r="U1" s="1001"/>
      <c r="W1" s="42"/>
      <c r="X1" s="42"/>
      <c r="Y1" s="42"/>
      <c r="Z1" s="42"/>
      <c r="AA1" s="42"/>
      <c r="AB1" s="42"/>
      <c r="AC1" s="42"/>
      <c r="AD1" s="42"/>
      <c r="AE1" s="42"/>
      <c r="AF1" s="42"/>
      <c r="AG1" s="42"/>
      <c r="AH1" s="42"/>
      <c r="AK1" s="2146"/>
    </row>
    <row r="2" spans="1:37" s="3" customFormat="1" ht="24.75" customHeight="1" x14ac:dyDescent="0.25">
      <c r="A2" s="331" t="s">
        <v>1038</v>
      </c>
      <c r="B2" s="15" t="s">
        <v>1967</v>
      </c>
      <c r="C2" s="16"/>
      <c r="D2" s="16"/>
      <c r="E2" s="16"/>
      <c r="F2" s="16"/>
      <c r="G2" s="16"/>
      <c r="H2" s="16"/>
      <c r="I2" s="16"/>
      <c r="J2" s="16"/>
      <c r="K2" s="16"/>
      <c r="L2" s="16"/>
      <c r="M2" s="16"/>
      <c r="N2" s="16"/>
      <c r="O2" s="16"/>
      <c r="P2" s="16"/>
      <c r="Q2" s="16"/>
      <c r="R2" s="16"/>
      <c r="S2" s="31"/>
      <c r="T2" s="31"/>
      <c r="U2" s="31"/>
      <c r="W2" s="42"/>
      <c r="X2" s="42"/>
      <c r="Y2" s="42"/>
      <c r="Z2" s="42"/>
      <c r="AA2" s="42"/>
      <c r="AB2" s="42"/>
      <c r="AC2" s="42"/>
      <c r="AD2" s="42"/>
      <c r="AE2" s="42"/>
      <c r="AF2" s="42"/>
      <c r="AG2" s="42"/>
      <c r="AH2" s="42"/>
      <c r="AK2" s="2146"/>
    </row>
    <row r="3" spans="1:37" s="3" customFormat="1" ht="15" customHeight="1" x14ac:dyDescent="0.25">
      <c r="A3" s="331" t="s">
        <v>1038</v>
      </c>
      <c r="B3" s="11"/>
      <c r="C3" s="11"/>
      <c r="D3" s="11"/>
      <c r="E3" s="11"/>
      <c r="F3" s="11"/>
      <c r="G3" s="11"/>
      <c r="H3" s="10"/>
      <c r="I3" s="11"/>
      <c r="J3" s="10"/>
      <c r="K3" s="10"/>
      <c r="L3" s="11"/>
      <c r="M3" s="11"/>
      <c r="N3" s="11"/>
      <c r="O3" s="11"/>
      <c r="P3" s="11"/>
      <c r="Q3" s="11"/>
      <c r="R3" s="11"/>
      <c r="S3" s="1001"/>
      <c r="T3" s="1001"/>
      <c r="U3" s="1001"/>
      <c r="W3" s="42"/>
      <c r="X3" s="42"/>
      <c r="Y3" s="42"/>
      <c r="Z3" s="42"/>
      <c r="AA3" s="42"/>
      <c r="AB3" s="42"/>
      <c r="AC3" s="42"/>
      <c r="AD3" s="42"/>
      <c r="AE3" s="42"/>
      <c r="AF3" s="42"/>
      <c r="AG3" s="42"/>
      <c r="AH3" s="42"/>
      <c r="AK3" s="2146"/>
    </row>
    <row r="4" spans="1:37" s="339" customFormat="1" ht="21.75" customHeight="1" x14ac:dyDescent="0.25">
      <c r="A4" s="304" t="s">
        <v>1038</v>
      </c>
      <c r="N4" s="1"/>
      <c r="O4" s="1"/>
      <c r="P4" s="1"/>
      <c r="Q4" s="1"/>
      <c r="R4" s="1"/>
      <c r="S4" s="1"/>
      <c r="T4" s="1"/>
      <c r="U4" s="1"/>
      <c r="W4" s="1"/>
      <c r="X4" s="1"/>
      <c r="Y4" s="1"/>
      <c r="Z4" s="1"/>
      <c r="AA4" s="1"/>
      <c r="AB4" s="1"/>
      <c r="AC4" s="1"/>
      <c r="AD4" s="1"/>
      <c r="AE4" s="1"/>
      <c r="AF4" s="1"/>
      <c r="AG4" s="1"/>
      <c r="AH4" s="1"/>
      <c r="AK4" s="1521"/>
    </row>
    <row r="5" spans="1:37" s="347" customFormat="1" ht="30" customHeight="1" x14ac:dyDescent="0.25">
      <c r="A5" s="304" t="s">
        <v>1038</v>
      </c>
      <c r="B5" s="196" t="s">
        <v>236</v>
      </c>
      <c r="C5" s="9"/>
      <c r="D5" s="9"/>
      <c r="E5" s="9"/>
      <c r="F5" s="9"/>
      <c r="G5" s="9"/>
      <c r="H5" s="9"/>
      <c r="I5" s="9"/>
      <c r="J5" s="9"/>
      <c r="K5" s="9"/>
      <c r="L5" s="9"/>
      <c r="M5" s="9"/>
      <c r="N5" s="42"/>
      <c r="O5" s="42"/>
      <c r="P5" s="42"/>
      <c r="Q5" s="42"/>
      <c r="R5" s="42"/>
      <c r="S5" s="42"/>
      <c r="T5" s="42"/>
      <c r="U5" s="42"/>
      <c r="W5" s="42"/>
      <c r="X5" s="42"/>
      <c r="Y5" s="42"/>
      <c r="Z5" s="42"/>
      <c r="AA5" s="42"/>
      <c r="AB5" s="42"/>
      <c r="AC5" s="42"/>
      <c r="AD5" s="42"/>
      <c r="AE5" s="42"/>
      <c r="AF5" s="42"/>
      <c r="AG5" s="42"/>
      <c r="AH5" s="42"/>
      <c r="AK5" s="1521"/>
    </row>
    <row r="6" spans="1:37" s="339" customFormat="1" ht="48.75" customHeight="1" x14ac:dyDescent="0.25">
      <c r="A6" s="304" t="s">
        <v>1038</v>
      </c>
      <c r="B6" s="3444" t="s">
        <v>2705</v>
      </c>
      <c r="C6" s="3444"/>
      <c r="D6" s="3444"/>
      <c r="E6" s="3444"/>
      <c r="F6" s="3444"/>
      <c r="G6" s="3444"/>
      <c r="H6" s="3444"/>
      <c r="I6" s="3444"/>
      <c r="J6" s="3444"/>
      <c r="K6" s="3444"/>
      <c r="L6" s="3444"/>
      <c r="M6" s="3571"/>
      <c r="N6" s="3571"/>
      <c r="O6" s="3571"/>
      <c r="P6" s="3571"/>
      <c r="Q6" s="3571"/>
      <c r="R6" s="866"/>
      <c r="S6" s="866"/>
      <c r="T6" s="866"/>
      <c r="U6" s="866"/>
      <c r="W6" s="1"/>
      <c r="X6" s="1"/>
      <c r="Y6" s="1"/>
      <c r="Z6" s="1"/>
      <c r="AA6" s="1"/>
      <c r="AB6" s="1"/>
      <c r="AC6" s="1"/>
      <c r="AD6" s="1"/>
      <c r="AE6" s="1"/>
      <c r="AF6" s="1"/>
      <c r="AG6" s="1"/>
      <c r="AH6" s="1"/>
      <c r="AK6" s="1370" t="s">
        <v>1635</v>
      </c>
    </row>
    <row r="7" spans="1:37" s="347" customFormat="1" ht="26.25" customHeight="1" x14ac:dyDescent="0.25">
      <c r="A7" s="304" t="s">
        <v>1038</v>
      </c>
      <c r="B7" s="7" t="s">
        <v>150</v>
      </c>
      <c r="C7" s="9"/>
      <c r="D7" s="9"/>
      <c r="E7" s="9"/>
      <c r="F7" s="9"/>
      <c r="G7" s="9"/>
      <c r="H7" s="9"/>
      <c r="I7" s="9"/>
      <c r="J7" s="9"/>
      <c r="K7" s="9"/>
      <c r="L7" s="9"/>
      <c r="M7" s="9"/>
      <c r="N7" s="42"/>
      <c r="O7" s="42"/>
      <c r="P7" s="42"/>
      <c r="Q7" s="42"/>
      <c r="R7" s="42"/>
      <c r="S7" s="42"/>
      <c r="T7" s="42"/>
      <c r="U7" s="42"/>
      <c r="W7" s="42"/>
      <c r="X7" s="42"/>
      <c r="Y7" s="42"/>
      <c r="Z7" s="42"/>
      <c r="AA7" s="42"/>
      <c r="AB7" s="42"/>
      <c r="AC7" s="42"/>
      <c r="AD7" s="42"/>
      <c r="AE7" s="42"/>
      <c r="AF7" s="42"/>
      <c r="AG7" s="42"/>
      <c r="AH7" s="42"/>
      <c r="AK7" s="1521"/>
    </row>
    <row r="8" spans="1:37" s="339" customFormat="1" ht="41.7" customHeight="1" x14ac:dyDescent="0.25">
      <c r="A8" s="304" t="s">
        <v>1038</v>
      </c>
      <c r="B8" s="3554" t="s">
        <v>2860</v>
      </c>
      <c r="C8" s="3402"/>
      <c r="D8" s="3402"/>
      <c r="E8" s="3402"/>
      <c r="F8" s="3402"/>
      <c r="G8" s="3402"/>
      <c r="H8" s="3402"/>
      <c r="I8" s="3402"/>
      <c r="J8" s="3402"/>
      <c r="K8" s="3402"/>
      <c r="L8" s="3402"/>
      <c r="M8" s="3402"/>
      <c r="N8" s="3402"/>
      <c r="O8" s="3402"/>
      <c r="P8" s="3504"/>
      <c r="Q8" s="3505"/>
      <c r="R8" s="1665"/>
      <c r="S8" s="1564"/>
      <c r="T8" s="1564"/>
      <c r="U8" s="1564"/>
      <c r="W8" s="1"/>
      <c r="X8" s="1"/>
      <c r="Y8" s="1"/>
      <c r="Z8" s="1"/>
      <c r="AA8" s="1"/>
      <c r="AB8" s="1"/>
      <c r="AC8" s="1"/>
      <c r="AD8" s="1"/>
      <c r="AE8" s="1"/>
      <c r="AF8" s="1"/>
      <c r="AG8" s="1"/>
      <c r="AH8" s="1"/>
      <c r="AK8" s="1802"/>
    </row>
    <row r="9" spans="1:37" s="866" customFormat="1" ht="9.75" customHeight="1" x14ac:dyDescent="0.25">
      <c r="A9" s="304" t="s">
        <v>1038</v>
      </c>
      <c r="L9" s="339"/>
      <c r="N9" s="35"/>
      <c r="O9" s="1553"/>
      <c r="P9" s="1665"/>
      <c r="Q9" s="1657"/>
      <c r="R9" s="1657"/>
      <c r="S9" s="1"/>
      <c r="T9" s="1"/>
      <c r="U9" s="1"/>
      <c r="W9" s="1553"/>
      <c r="X9" s="1553"/>
      <c r="Y9" s="1553"/>
      <c r="Z9" s="1553"/>
      <c r="AA9" s="1553"/>
      <c r="AB9" s="1553"/>
      <c r="AC9" s="1553"/>
      <c r="AD9" s="1553"/>
      <c r="AE9" s="1553"/>
      <c r="AF9" s="1553"/>
      <c r="AG9" s="1553"/>
      <c r="AH9" s="1553"/>
      <c r="AK9" s="1609"/>
    </row>
    <row r="10" spans="1:37" s="339" customFormat="1" ht="41.7" customHeight="1" x14ac:dyDescent="0.25">
      <c r="A10" s="304" t="s">
        <v>1038</v>
      </c>
      <c r="B10" s="3641" t="s">
        <v>3423</v>
      </c>
      <c r="C10" s="3402"/>
      <c r="D10" s="3402"/>
      <c r="E10" s="3402"/>
      <c r="F10" s="3402"/>
      <c r="G10" s="3402"/>
      <c r="H10" s="3402"/>
      <c r="I10" s="3402"/>
      <c r="J10" s="3402"/>
      <c r="K10" s="3402"/>
      <c r="L10" s="3402"/>
      <c r="M10" s="3402"/>
      <c r="N10" s="3402"/>
      <c r="O10" s="3402"/>
      <c r="P10" s="3504"/>
      <c r="Q10" s="3505"/>
      <c r="R10" s="1665"/>
      <c r="S10" s="1564"/>
      <c r="T10" s="1564"/>
      <c r="U10" s="1564"/>
      <c r="W10" s="1"/>
      <c r="X10" s="1"/>
      <c r="Y10" s="1"/>
      <c r="Z10" s="1"/>
      <c r="AA10" s="1"/>
      <c r="AB10" s="1"/>
      <c r="AC10" s="1"/>
      <c r="AD10" s="1"/>
      <c r="AE10" s="1"/>
      <c r="AF10" s="1"/>
      <c r="AG10" s="1"/>
      <c r="AH10" s="1"/>
      <c r="AK10" s="1802"/>
    </row>
    <row r="11" spans="1:37" s="866" customFormat="1" ht="9.75" customHeight="1" x14ac:dyDescent="0.25">
      <c r="A11" s="304" t="s">
        <v>1038</v>
      </c>
      <c r="O11" s="1553"/>
      <c r="P11" s="1665"/>
      <c r="Q11" s="1573"/>
      <c r="R11" s="1573"/>
      <c r="W11" s="1553"/>
      <c r="X11" s="1553"/>
      <c r="Y11" s="1553"/>
      <c r="Z11" s="1553"/>
      <c r="AA11" s="1553"/>
      <c r="AB11" s="1553"/>
      <c r="AC11" s="1553"/>
      <c r="AD11" s="1553"/>
      <c r="AE11" s="1553"/>
      <c r="AF11" s="1553"/>
      <c r="AG11" s="1553"/>
      <c r="AH11" s="1553"/>
      <c r="AK11" s="1609"/>
    </row>
    <row r="12" spans="1:37" s="339" customFormat="1" ht="41.7" customHeight="1" x14ac:dyDescent="0.25">
      <c r="A12" s="304" t="s">
        <v>1038</v>
      </c>
      <c r="B12" s="3554" t="s">
        <v>3422</v>
      </c>
      <c r="C12" s="3642"/>
      <c r="D12" s="3642"/>
      <c r="E12" s="3642"/>
      <c r="F12" s="3642"/>
      <c r="G12" s="3642"/>
      <c r="H12" s="3642"/>
      <c r="I12" s="3642"/>
      <c r="J12" s="3642"/>
      <c r="K12" s="3642"/>
      <c r="L12" s="3642"/>
      <c r="M12" s="3642"/>
      <c r="N12" s="3642"/>
      <c r="O12" s="3642"/>
      <c r="P12" s="3504"/>
      <c r="Q12" s="3505"/>
      <c r="R12" s="1665"/>
      <c r="S12" s="1564"/>
      <c r="T12" s="1564"/>
      <c r="U12" s="1564"/>
      <c r="W12" s="1"/>
      <c r="X12" s="1"/>
      <c r="Y12" s="1"/>
      <c r="Z12" s="1"/>
      <c r="AA12" s="1"/>
      <c r="AB12" s="1"/>
      <c r="AC12" s="1"/>
      <c r="AD12" s="1"/>
      <c r="AE12" s="1"/>
      <c r="AF12" s="1"/>
      <c r="AG12" s="1"/>
      <c r="AH12" s="1"/>
      <c r="AK12" s="1802"/>
    </row>
    <row r="13" spans="1:37" s="866" customFormat="1" ht="9.75" customHeight="1" x14ac:dyDescent="0.25">
      <c r="A13" s="304" t="s">
        <v>1038</v>
      </c>
      <c r="O13" s="1553"/>
      <c r="P13" s="1665"/>
      <c r="Q13" s="1573"/>
      <c r="R13" s="1573"/>
      <c r="W13" s="1553"/>
      <c r="X13" s="1553"/>
      <c r="Y13" s="1553"/>
      <c r="Z13" s="1553"/>
      <c r="AA13" s="1553"/>
      <c r="AB13" s="1553"/>
      <c r="AC13" s="1553"/>
      <c r="AD13" s="1553"/>
      <c r="AE13" s="1553"/>
      <c r="AF13" s="1553"/>
      <c r="AG13" s="1553"/>
      <c r="AH13" s="1553"/>
      <c r="AK13" s="1609"/>
    </row>
    <row r="14" spans="1:37" s="339" customFormat="1" ht="41.7" customHeight="1" x14ac:dyDescent="0.25">
      <c r="A14" s="304" t="s">
        <v>1038</v>
      </c>
      <c r="B14" s="3554" t="s">
        <v>2861</v>
      </c>
      <c r="C14" s="3642"/>
      <c r="D14" s="3642"/>
      <c r="E14" s="3642"/>
      <c r="F14" s="3642"/>
      <c r="G14" s="3642"/>
      <c r="H14" s="3642"/>
      <c r="I14" s="3642"/>
      <c r="J14" s="3642"/>
      <c r="K14" s="3642"/>
      <c r="L14" s="3642"/>
      <c r="M14" s="3642"/>
      <c r="N14" s="3642"/>
      <c r="O14" s="3642"/>
      <c r="P14" s="3504"/>
      <c r="Q14" s="3505"/>
      <c r="R14" s="1665"/>
      <c r="S14" s="1564"/>
      <c r="T14" s="1564"/>
      <c r="U14" s="1564"/>
      <c r="W14" s="1"/>
      <c r="X14" s="1"/>
      <c r="Y14" s="1"/>
      <c r="Z14" s="1"/>
      <c r="AA14" s="1"/>
      <c r="AB14" s="1"/>
      <c r="AC14" s="1"/>
      <c r="AD14" s="1"/>
      <c r="AE14" s="1"/>
      <c r="AF14" s="1"/>
      <c r="AG14" s="1"/>
      <c r="AH14" s="1"/>
      <c r="AK14" s="1802"/>
    </row>
    <row r="15" spans="1:37" s="866" customFormat="1" ht="9.75" customHeight="1" x14ac:dyDescent="0.25">
      <c r="A15" s="304" t="s">
        <v>1038</v>
      </c>
      <c r="O15" s="1553"/>
      <c r="P15" s="1665"/>
      <c r="Q15" s="1573"/>
      <c r="R15" s="1573"/>
      <c r="W15" s="1553"/>
      <c r="X15" s="1553"/>
      <c r="Y15" s="1553"/>
      <c r="Z15" s="1553"/>
      <c r="AA15" s="1553"/>
      <c r="AB15" s="1553"/>
      <c r="AC15" s="1553"/>
      <c r="AD15" s="1553"/>
      <c r="AE15" s="1553"/>
      <c r="AF15" s="1553"/>
      <c r="AG15" s="1553"/>
      <c r="AH15" s="1553"/>
      <c r="AK15" s="1609"/>
    </row>
    <row r="16" spans="1:37" s="866" customFormat="1" ht="41.7" customHeight="1" x14ac:dyDescent="0.25">
      <c r="A16" s="304" t="s">
        <v>1038</v>
      </c>
      <c r="B16" s="3554" t="s">
        <v>2712</v>
      </c>
      <c r="C16" s="3642"/>
      <c r="D16" s="3642"/>
      <c r="E16" s="3642"/>
      <c r="F16" s="3642"/>
      <c r="G16" s="3642"/>
      <c r="H16" s="3642"/>
      <c r="I16" s="3642"/>
      <c r="J16" s="3642"/>
      <c r="K16" s="3642"/>
      <c r="L16" s="3642"/>
      <c r="M16" s="3642"/>
      <c r="N16" s="3642"/>
      <c r="O16" s="3642"/>
      <c r="P16" s="3504"/>
      <c r="Q16" s="3505"/>
      <c r="R16" s="1665"/>
      <c r="W16" s="1553"/>
      <c r="X16" s="1553"/>
      <c r="Y16" s="1553"/>
      <c r="Z16" s="1553"/>
      <c r="AA16" s="1553"/>
      <c r="AB16" s="1553"/>
      <c r="AC16" s="1553"/>
      <c r="AD16" s="1553"/>
      <c r="AE16" s="1553"/>
      <c r="AF16" s="1553"/>
      <c r="AG16" s="1553"/>
      <c r="AH16" s="1553"/>
      <c r="AK16" s="1802"/>
    </row>
    <row r="17" spans="1:37" s="866" customFormat="1" ht="9.75" customHeight="1" x14ac:dyDescent="0.25">
      <c r="A17" s="304"/>
      <c r="O17" s="1553"/>
      <c r="P17" s="1573"/>
      <c r="Q17" s="1573"/>
      <c r="R17" s="1573"/>
      <c r="W17" s="1553"/>
      <c r="X17" s="1553"/>
      <c r="Y17" s="1553"/>
      <c r="Z17" s="1553"/>
      <c r="AA17" s="1553"/>
      <c r="AB17" s="1553"/>
      <c r="AC17" s="1553"/>
      <c r="AD17" s="1553"/>
      <c r="AE17" s="1553"/>
      <c r="AF17" s="1553"/>
      <c r="AG17" s="1553"/>
      <c r="AH17" s="1553"/>
      <c r="AK17" s="1609"/>
    </row>
    <row r="18" spans="1:37" s="339" customFormat="1" ht="41.7" customHeight="1" x14ac:dyDescent="0.25">
      <c r="A18" s="304" t="s">
        <v>1038</v>
      </c>
      <c r="B18" s="3554" t="s">
        <v>2706</v>
      </c>
      <c r="C18" s="3642"/>
      <c r="D18" s="3642"/>
      <c r="E18" s="3642"/>
      <c r="F18" s="3642"/>
      <c r="G18" s="3642"/>
      <c r="H18" s="3642"/>
      <c r="I18" s="3642"/>
      <c r="J18" s="3642"/>
      <c r="K18" s="3642"/>
      <c r="L18" s="3642"/>
      <c r="M18" s="3642"/>
      <c r="N18" s="3642"/>
      <c r="O18" s="3642"/>
      <c r="P18" s="3504"/>
      <c r="Q18" s="3505"/>
      <c r="R18" s="1665"/>
      <c r="S18" s="1564"/>
      <c r="T18" s="1564"/>
      <c r="U18" s="1564"/>
      <c r="W18" s="1"/>
      <c r="X18" s="1"/>
      <c r="Y18" s="1"/>
      <c r="Z18" s="1"/>
      <c r="AA18" s="1"/>
      <c r="AB18" s="1"/>
      <c r="AC18" s="1"/>
      <c r="AD18" s="1"/>
      <c r="AE18" s="1"/>
      <c r="AF18" s="1"/>
      <c r="AG18" s="1"/>
      <c r="AH18" s="1"/>
      <c r="AK18" s="1802"/>
    </row>
    <row r="19" spans="1:37" s="866" customFormat="1" ht="9.75" customHeight="1" x14ac:dyDescent="0.25">
      <c r="A19" s="304" t="s">
        <v>1038</v>
      </c>
      <c r="O19" s="1553"/>
      <c r="P19" s="1665"/>
      <c r="Q19" s="1573"/>
      <c r="R19" s="1573"/>
      <c r="W19" s="1553"/>
      <c r="X19" s="1553"/>
      <c r="Y19" s="1553"/>
      <c r="Z19" s="1553"/>
      <c r="AA19" s="1553"/>
      <c r="AB19" s="1553"/>
      <c r="AC19" s="1553"/>
      <c r="AD19" s="1553"/>
      <c r="AE19" s="1553"/>
      <c r="AF19" s="1553"/>
      <c r="AG19" s="1553"/>
      <c r="AH19" s="1553"/>
      <c r="AK19" s="1609"/>
    </row>
    <row r="20" spans="1:37" s="339" customFormat="1" ht="41.7" customHeight="1" x14ac:dyDescent="0.25">
      <c r="A20" s="304" t="s">
        <v>1038</v>
      </c>
      <c r="B20" s="3554" t="s">
        <v>2862</v>
      </c>
      <c r="C20" s="3642"/>
      <c r="D20" s="3642"/>
      <c r="E20" s="3642"/>
      <c r="F20" s="3642"/>
      <c r="G20" s="3642"/>
      <c r="H20" s="3642"/>
      <c r="I20" s="3642"/>
      <c r="J20" s="3642"/>
      <c r="K20" s="3642"/>
      <c r="L20" s="3642"/>
      <c r="M20" s="3642"/>
      <c r="N20" s="3642"/>
      <c r="O20" s="3642"/>
      <c r="P20" s="3504"/>
      <c r="Q20" s="3505"/>
      <c r="R20" s="1665"/>
      <c r="S20" s="1564"/>
      <c r="T20" s="1564"/>
      <c r="U20" s="1564"/>
      <c r="W20" s="1"/>
      <c r="X20" s="1"/>
      <c r="Y20" s="1"/>
      <c r="Z20" s="1"/>
      <c r="AA20" s="1"/>
      <c r="AB20" s="1"/>
      <c r="AC20" s="1"/>
      <c r="AD20" s="1"/>
      <c r="AE20" s="1"/>
      <c r="AF20" s="1"/>
      <c r="AG20" s="1"/>
      <c r="AH20" s="1"/>
      <c r="AK20" s="1802"/>
    </row>
    <row r="21" spans="1:37" s="339" customFormat="1" ht="15" customHeight="1" x14ac:dyDescent="0.25">
      <c r="A21" s="304" t="s">
        <v>1038</v>
      </c>
      <c r="B21" s="1520"/>
      <c r="C21" s="1520"/>
      <c r="D21" s="1520"/>
      <c r="E21" s="1520"/>
      <c r="F21" s="1520"/>
      <c r="G21" s="1520"/>
      <c r="H21" s="1520"/>
      <c r="I21" s="1520"/>
      <c r="J21" s="1520"/>
      <c r="K21" s="1520"/>
      <c r="L21" s="1504"/>
      <c r="N21" s="35"/>
      <c r="O21" s="1"/>
      <c r="P21" s="1"/>
      <c r="Q21" s="1"/>
      <c r="R21" s="1"/>
      <c r="S21" s="1"/>
      <c r="T21" s="1"/>
      <c r="U21" s="1"/>
      <c r="W21" s="1"/>
      <c r="X21" s="1"/>
      <c r="Y21" s="1"/>
      <c r="Z21" s="1"/>
      <c r="AA21" s="1"/>
      <c r="AB21" s="1"/>
      <c r="AC21" s="1"/>
      <c r="AD21" s="1"/>
      <c r="AE21" s="1"/>
      <c r="AF21" s="1"/>
      <c r="AG21" s="1"/>
      <c r="AH21" s="1"/>
      <c r="AK21" s="1521"/>
    </row>
    <row r="22" spans="1:37" s="347" customFormat="1" ht="50.25" customHeight="1" x14ac:dyDescent="0.25">
      <c r="A22" s="304" t="s">
        <v>1038</v>
      </c>
      <c r="B22" s="3509" t="s">
        <v>247</v>
      </c>
      <c r="C22" s="3509"/>
      <c r="D22" s="3509"/>
      <c r="E22" s="3509"/>
      <c r="F22" s="3509"/>
      <c r="G22" s="3509"/>
      <c r="H22" s="3509"/>
      <c r="I22" s="3509"/>
      <c r="J22" s="3509"/>
      <c r="K22" s="3509"/>
      <c r="L22" s="3509"/>
      <c r="M22" s="3571"/>
      <c r="N22" s="3571"/>
      <c r="O22" s="3571"/>
      <c r="P22" s="3571"/>
      <c r="Q22" s="3571"/>
      <c r="R22" s="866"/>
      <c r="S22" s="866"/>
      <c r="T22" s="866"/>
      <c r="U22" s="866"/>
      <c r="W22" s="42"/>
      <c r="X22" s="42"/>
      <c r="Y22" s="42"/>
      <c r="Z22" s="42"/>
      <c r="AA22" s="42"/>
      <c r="AB22" s="42"/>
      <c r="AC22" s="42"/>
      <c r="AD22" s="42"/>
      <c r="AE22" s="42"/>
      <c r="AF22" s="42"/>
      <c r="AG22" s="42"/>
      <c r="AH22" s="42"/>
      <c r="AK22" s="1521"/>
    </row>
    <row r="23" spans="1:37" s="347" customFormat="1" ht="13.8" x14ac:dyDescent="0.25">
      <c r="A23" s="304" t="s">
        <v>1038</v>
      </c>
      <c r="B23" s="3458"/>
      <c r="C23" s="3458"/>
      <c r="D23" s="3458"/>
      <c r="E23" s="3458"/>
      <c r="F23" s="3458"/>
      <c r="G23" s="3458"/>
      <c r="H23" s="3458"/>
      <c r="I23" s="3458"/>
      <c r="J23" s="3458"/>
      <c r="K23" s="3458"/>
      <c r="L23" s="3458"/>
      <c r="M23" s="3494"/>
      <c r="N23" s="3494"/>
      <c r="O23" s="3494"/>
      <c r="P23" s="3494"/>
      <c r="Q23" s="3494"/>
      <c r="R23" s="1960"/>
      <c r="S23" s="1565"/>
      <c r="T23" s="1565"/>
      <c r="U23" s="1565"/>
      <c r="W23" s="42"/>
      <c r="X23" s="42"/>
      <c r="Y23" s="42"/>
      <c r="Z23" s="42"/>
      <c r="AA23" s="42"/>
      <c r="AB23" s="42"/>
      <c r="AC23" s="42"/>
      <c r="AD23" s="42"/>
      <c r="AE23" s="42"/>
      <c r="AF23" s="42"/>
      <c r="AG23" s="42"/>
      <c r="AH23" s="42"/>
      <c r="AK23" s="1802"/>
    </row>
    <row r="24" spans="1:37" s="339" customFormat="1" ht="20.25" customHeight="1" x14ac:dyDescent="0.25">
      <c r="A24" s="304" t="s">
        <v>1038</v>
      </c>
      <c r="B24" s="18"/>
      <c r="C24" s="18"/>
      <c r="D24" s="18"/>
      <c r="E24" s="18"/>
      <c r="F24" s="1504"/>
      <c r="G24" s="1504"/>
      <c r="H24" s="1504"/>
      <c r="I24" s="1504"/>
      <c r="J24" s="1504"/>
      <c r="K24" s="1504"/>
      <c r="L24" s="1504"/>
      <c r="N24" s="35"/>
      <c r="O24" s="1"/>
      <c r="P24" s="1"/>
      <c r="Q24" s="1"/>
      <c r="R24" s="1"/>
      <c r="S24" s="1"/>
      <c r="T24" s="1"/>
      <c r="U24" s="1"/>
      <c r="W24" s="1"/>
      <c r="X24" s="1"/>
      <c r="Y24" s="1"/>
      <c r="Z24" s="1"/>
      <c r="AA24" s="1"/>
      <c r="AB24" s="1"/>
      <c r="AC24" s="1"/>
      <c r="AD24" s="1"/>
      <c r="AE24" s="1"/>
      <c r="AF24" s="1"/>
      <c r="AG24" s="1"/>
      <c r="AH24" s="1"/>
      <c r="AK24" s="1521"/>
    </row>
    <row r="25" spans="1:37" s="347" customFormat="1" ht="22.2" customHeight="1" x14ac:dyDescent="0.25">
      <c r="A25" s="304" t="s">
        <v>1038</v>
      </c>
      <c r="B25" s="196" t="s">
        <v>2387</v>
      </c>
      <c r="C25" s="343"/>
      <c r="D25" s="343"/>
      <c r="E25" s="343"/>
      <c r="F25" s="343"/>
      <c r="H25" s="3547" t="s">
        <v>1864</v>
      </c>
      <c r="I25" s="3556"/>
      <c r="J25" s="3548"/>
      <c r="K25" s="3547" t="s">
        <v>2693</v>
      </c>
      <c r="L25" s="3548"/>
      <c r="M25" s="343"/>
      <c r="N25" s="343"/>
      <c r="O25" s="1565"/>
      <c r="P25" s="1565"/>
      <c r="Q25" s="1565"/>
      <c r="R25" s="1565"/>
      <c r="S25" s="1565"/>
      <c r="T25" s="1565"/>
      <c r="U25" s="1565"/>
      <c r="W25" s="42"/>
      <c r="X25" s="42"/>
      <c r="Y25" s="42"/>
      <c r="Z25" s="42"/>
      <c r="AA25" s="42"/>
      <c r="AB25" s="42"/>
      <c r="AC25" s="2281">
        <v>2</v>
      </c>
      <c r="AD25" s="42"/>
      <c r="AE25" s="42"/>
      <c r="AF25" s="42"/>
      <c r="AG25" s="42"/>
      <c r="AH25" s="42"/>
      <c r="AK25" s="1521"/>
    </row>
    <row r="26" spans="1:37" s="339" customFormat="1" ht="93.45" customHeight="1" x14ac:dyDescent="0.25">
      <c r="A26" s="304" t="s">
        <v>1038</v>
      </c>
      <c r="B26" s="3557" t="s">
        <v>1970</v>
      </c>
      <c r="C26" s="3640"/>
      <c r="D26" s="2041" t="str">
        <f>CONCATENATE("Floor Area",IF(SI_IP_Units="IP"," (sq ft)"," (sq m)"))</f>
        <v>Floor Area (sq ft)</v>
      </c>
      <c r="E26" s="1386" t="s">
        <v>3438</v>
      </c>
      <c r="F26" s="1386" t="s">
        <v>3439</v>
      </c>
      <c r="G26" s="2041" t="s">
        <v>3440</v>
      </c>
      <c r="H26" s="1388" t="str">
        <f>CONCATENATE("Prop. LPD",IF(SI_IP_Units="IP"," (W/sq ft)"," (W/sq m)"))</f>
        <v>Prop. LPD (W/sq ft)</v>
      </c>
      <c r="I26" s="2041" t="str">
        <f>CONCATENATE("Baseline LPD",IF(SI_IP_Units="IP"," (W/sq ft)"," (W/sq m)"))</f>
        <v>Baseline LPD (W/sq ft)</v>
      </c>
      <c r="J26" s="2041" t="str">
        <f>CONCATENATE("Unregulated Lighting LPD (Baseline and Proposed)",IF(SI_IP_Units="IP"," (W/sq ft)"," (W/sq m)"))</f>
        <v>Unregulated Lighting LPD (Baseline and Proposed) (W/sq ft)</v>
      </c>
      <c r="K26" s="1386" t="str">
        <f>CONCATENATE("Prop. LPD x OS Credit ",IF(SI_IP_Units="IP"," (W/sq ft)"," (W/sq m)"))</f>
        <v>Prop. LPD x OS Credit  (W/sq ft)</v>
      </c>
      <c r="L26" s="2509" t="s">
        <v>3441</v>
      </c>
      <c r="M26" s="1497" t="str">
        <f>"Prescriptive Requirement of "&amp;'General Information'!H55&amp;" Applicable to App. G Baseline"</f>
        <v>Prescriptive Requirement of ASHRAE 90.1-2016 Applicable to App. G Baseline</v>
      </c>
      <c r="N26" s="1499" t="s">
        <v>2544</v>
      </c>
      <c r="O26" s="1565"/>
      <c r="P26" s="1565"/>
      <c r="Q26" s="1565"/>
      <c r="R26" s="1565"/>
      <c r="S26" s="1565"/>
      <c r="T26" s="2511"/>
      <c r="U26" s="2511"/>
      <c r="V26" s="347"/>
      <c r="W26" s="42"/>
      <c r="X26" s="1"/>
      <c r="Y26" s="1"/>
      <c r="Z26" s="1"/>
      <c r="AA26" s="1"/>
      <c r="AB26" s="1"/>
      <c r="AC26" s="1"/>
      <c r="AD26" s="1"/>
      <c r="AE26" s="1"/>
      <c r="AF26" s="1"/>
      <c r="AG26" s="1"/>
      <c r="AH26" s="1"/>
      <c r="AK26" s="1521"/>
    </row>
    <row r="27" spans="1:37" s="347" customFormat="1" ht="24" hidden="1" customHeight="1" x14ac:dyDescent="0.3">
      <c r="A27" s="304" t="s">
        <v>1038</v>
      </c>
      <c r="B27" s="3634" t="str">
        <f>'Lighting Assumptions'!C3</f>
        <v/>
      </c>
      <c r="C27" s="3634"/>
      <c r="D27" s="999">
        <f>SUMPRODUCT(--('6a - Lighting Counts'!$G$29:$G$551= B27),'6a - Lighting Counts'!H$29:$H$551,'6a - Lighting Counts'!$F$29:$F$551)</f>
        <v>0</v>
      </c>
      <c r="E27" s="999">
        <f>SUMPRODUCT(--('6a - Lighting Counts'!$G$29:$G$551= B27),'6a - Lighting Counts'!$CZ$29:$CZ$551,'6a - Lighting Counts'!$F$29:$F$551)</f>
        <v>0</v>
      </c>
      <c r="F27" s="1074">
        <f>IF(ISERROR(SUMPRODUCT(--('6a - Lighting Counts'!$G$29:$G$551= B27),'6a - Lighting Counts'!$DA$29:$DA$551,'6a - Lighting Counts'!$F$29:$F$551)=TRUE),"",SUMPRODUCT(--('6a - Lighting Counts'!$G$29:$G$551= '6b - General Lighting'!B27),'6a - Lighting Counts'!$DA$29:$DA$551,'6a - Lighting Counts'!$F$29:$F$551))</f>
        <v>0</v>
      </c>
      <c r="G27" s="1074">
        <f>IF(ISERROR(SUMPRODUCT(--('6a - Lighting Counts'!$G$29:$G$551= B27),'6a - Lighting Counts'!$DB$29:$DB$551,'6a - Lighting Counts'!$F$29:$F$551)=TRUE),"",SUMPRODUCT(--('6a - Lighting Counts'!$G$29:$G$551= '6b - General Lighting'!B27),'6a - Lighting Counts'!$DB$29:$DB$551,'6a - Lighting Counts'!$F$29:$F$551))</f>
        <v>0</v>
      </c>
      <c r="H27" s="1000" t="str">
        <f t="shared" ref="H27" si="0">IF(D27&gt;0, E27/D27, "-")</f>
        <v>-</v>
      </c>
      <c r="I27" s="1000" t="str">
        <f t="shared" ref="I27" si="1">IF(ISERROR(IF(D27&gt;0, F27/D27, "-"))=TRUE,"",IF(D27&gt;0, F27/D27, "-"))</f>
        <v>-</v>
      </c>
      <c r="J27" s="1000" t="str">
        <f t="shared" ref="J27" si="2">IF(D27&gt;0, G27/D27, "-")</f>
        <v>-</v>
      </c>
      <c r="K27" s="1000" t="str">
        <f t="shared" ref="K27" si="3">IF(D27&gt;0, L27/D27, "-")</f>
        <v>-</v>
      </c>
      <c r="L27" s="2528">
        <f>SUMPRODUCT(--('6a - Lighting Counts'!$G$29:$G$551= B27),'6a - Lighting Counts'!$DG$29:$DG$551,'6a - Lighting Counts'!$F$29:$F$551)</f>
        <v>0</v>
      </c>
      <c r="M27" s="2796">
        <f>IF('General Information'!$R$55=2007,"Not Supported",IF('General Information'!$R$55=2016,IFERROR(IF(SI_IP_Units="IP",(SUMIF('Lighting Assumptions 90.1-2016'!LPDSpacebySpace2016,'6b - General Lighting'!B27,'Lighting Assumptions 90.1-2016'!$H$3:$H$106)),(SUMIF('Lighting Assumptions 90.1-2016'!LPDSpacebySpace2016,'6b - General Lighting'!B27,'Lighting Assumptions 90.1-2016'!$I$3:$I$106))),""),IFERROR(IF(SI_IP_Units="IP",(SUMIF('Lighting Assumptions 90.1-2010'!LPDSpacebySpace,'6b - General Lighting'!B27,'Lighting Assumptions 90.1-2010'!$H$3:$H$106)),(SUMIF('Lighting Assumptions 90.1-2010'!LPDSpacebySpace,'6b - General Lighting'!B27,'Lighting Assumptions 90.1-2010'!$I$3:$I$106))),"")))</f>
        <v>0</v>
      </c>
      <c r="N27" s="2510"/>
      <c r="O27" s="1565"/>
      <c r="P27" s="1565"/>
      <c r="Q27" s="1565"/>
      <c r="R27" s="1565"/>
      <c r="S27" s="1565"/>
      <c r="T27" s="1565"/>
      <c r="U27" s="1565"/>
      <c r="W27" s="1566" t="str">
        <f>IF(ISERROR(INDEX('6a - Lighting Counts'!$G$33:$G$551, MATCH(0, COUNTIF($W$26:W26,'6a - Lighting Counts'!$G$33:$G$551), 0)))=TRUE,"",INDEX('6a - Lighting Counts'!$G$33:$G$551, MATCH(0, COUNTIF($W$26:W26,'6a - Lighting Counts'!$G$33:$G$551), 0)))</f>
        <v/>
      </c>
      <c r="X27" s="985">
        <f t="shared" ref="X27:X59" si="4">IF(B27="Dwelling Unit",IF(H27&lt;0.6,1,0),0)</f>
        <v>0</v>
      </c>
      <c r="Y27" s="985" t="str">
        <f t="shared" ref="Y27:Y59" si="5">IF(B27="Dwelling Unit",0,IF(B27="","",IF(H27&lt;(0.7*M27),1,0)))</f>
        <v/>
      </c>
      <c r="Z27" s="42"/>
      <c r="AA27" s="42"/>
      <c r="AB27" s="42"/>
      <c r="AC27" s="42"/>
      <c r="AD27" s="42"/>
      <c r="AE27" s="42"/>
      <c r="AF27" s="42"/>
      <c r="AG27" s="42"/>
      <c r="AH27" s="42"/>
      <c r="AK27" s="1802"/>
    </row>
    <row r="28" spans="1:37" s="347" customFormat="1" ht="24" hidden="1" customHeight="1" x14ac:dyDescent="0.3">
      <c r="A28" s="304" t="s">
        <v>1038</v>
      </c>
      <c r="B28" s="3634" t="str">
        <f>'Lighting Assumptions'!C4</f>
        <v/>
      </c>
      <c r="C28" s="3634"/>
      <c r="D28" s="999">
        <f>SUMPRODUCT(--('6a - Lighting Counts'!$G$29:$G$551= B28),'6a - Lighting Counts'!H$29:$H$551,'6a - Lighting Counts'!$F$29:$F$551)</f>
        <v>0</v>
      </c>
      <c r="E28" s="999">
        <f>SUMPRODUCT(--('6a - Lighting Counts'!$G$29:$G$551= B28),'6a - Lighting Counts'!$CZ$29:$CZ$551,'6a - Lighting Counts'!$F$29:$F$551)</f>
        <v>0</v>
      </c>
      <c r="F28" s="1074">
        <f>IF(ISERROR(SUMPRODUCT(--('6a - Lighting Counts'!$G$29:$G$551= B28),'6a - Lighting Counts'!$DA$29:$DA$551,'6a - Lighting Counts'!$F$29:$F$551)=TRUE),"",SUMPRODUCT(--('6a - Lighting Counts'!$G$29:$G$551= '6b - General Lighting'!B28),'6a - Lighting Counts'!$DA$29:$DA$551,'6a - Lighting Counts'!$F$29:$F$551))</f>
        <v>0</v>
      </c>
      <c r="G28" s="1074">
        <f>IF(ISERROR(SUMPRODUCT(--('6a - Lighting Counts'!$G$29:$G$551= B28),'6a - Lighting Counts'!$DB$29:$DB$551,'6a - Lighting Counts'!$F$29:$F$551)=TRUE),"",SUMPRODUCT(--('6a - Lighting Counts'!$G$29:$G$551= '6b - General Lighting'!B28),'6a - Lighting Counts'!$DB$29:$DB$551,'6a - Lighting Counts'!$F$29:$F$551))</f>
        <v>0</v>
      </c>
      <c r="H28" s="1000" t="str">
        <f t="shared" ref="H28:H60" si="6">IF(D28&gt;0, E28/D28, "-")</f>
        <v>-</v>
      </c>
      <c r="I28" s="1000" t="str">
        <f t="shared" ref="I28:I59" si="7">IF(ISERROR(IF(D28&gt;0, F28/D28, "-"))=TRUE,"",IF(D28&gt;0, F28/D28, "-"))</f>
        <v>-</v>
      </c>
      <c r="J28" s="1000" t="str">
        <f t="shared" ref="J28:J59" si="8">IF(D28&gt;0, G28/D28, "-")</f>
        <v>-</v>
      </c>
      <c r="K28" s="1000" t="str">
        <f t="shared" ref="K28:K60" si="9">IF(D28&gt;0, L28/D28, "-")</f>
        <v>-</v>
      </c>
      <c r="L28" s="2528">
        <f>SUMPRODUCT(--('6a - Lighting Counts'!$G$29:$G$551= B28),'6a - Lighting Counts'!$DG$29:$DG$551,'6a - Lighting Counts'!$F$29:$F$551)</f>
        <v>0</v>
      </c>
      <c r="M28" s="2796">
        <f>IF('General Information'!$R$55=2007,"Not Supported",IF('General Information'!$R$55=2016,IFERROR(IF(SI_IP_Units="IP",(SUMIF('Lighting Assumptions 90.1-2016'!LPDSpacebySpace2016,'6b - General Lighting'!B28,'Lighting Assumptions 90.1-2016'!$H$3:$H$106)),(SUMIF('Lighting Assumptions 90.1-2016'!LPDSpacebySpace2016,'6b - General Lighting'!B28,'Lighting Assumptions 90.1-2016'!$I$3:$I$106))),""),IFERROR(IF(SI_IP_Units="IP",(SUMIF('Lighting Assumptions 90.1-2010'!LPDSpacebySpace,'6b - General Lighting'!B28,'Lighting Assumptions 90.1-2010'!$H$3:$H$106)),(SUMIF('Lighting Assumptions 90.1-2010'!LPDSpacebySpace,'6b - General Lighting'!B28,'Lighting Assumptions 90.1-2010'!$I$3:$I$106))),"")))</f>
        <v>0</v>
      </c>
      <c r="N28" s="2510"/>
      <c r="O28" s="1565"/>
      <c r="P28" s="1565"/>
      <c r="Q28" s="1565"/>
      <c r="R28" s="1565"/>
      <c r="S28" s="1565"/>
      <c r="T28" s="1565"/>
      <c r="U28" s="1565"/>
      <c r="W28" s="1566" t="str">
        <f>IF(ISERROR(INDEX('6a - Lighting Counts'!$G$33:$G$551, MATCH(0, COUNTIF($W$26:W27,'6a - Lighting Counts'!$G$33:$G$551), 0)))=TRUE,"",INDEX('6a - Lighting Counts'!$G$33:$G$551, MATCH(0, COUNTIF($W$26:W27,'6a - Lighting Counts'!$G$33:$G$551), 0)))</f>
        <v/>
      </c>
      <c r="X28" s="985">
        <f t="shared" si="4"/>
        <v>0</v>
      </c>
      <c r="Y28" s="985" t="str">
        <f t="shared" si="5"/>
        <v/>
      </c>
      <c r="Z28" s="42"/>
      <c r="AA28" s="42"/>
      <c r="AB28" s="42"/>
      <c r="AC28" s="42"/>
      <c r="AD28" s="42"/>
      <c r="AE28" s="42"/>
      <c r="AF28" s="42"/>
      <c r="AG28" s="42"/>
      <c r="AH28" s="42"/>
      <c r="AK28" s="1802"/>
    </row>
    <row r="29" spans="1:37" s="396" customFormat="1" ht="24" hidden="1" customHeight="1" x14ac:dyDescent="0.3">
      <c r="A29" s="304" t="s">
        <v>1038</v>
      </c>
      <c r="B29" s="3634" t="str">
        <f>'Lighting Assumptions'!C5</f>
        <v/>
      </c>
      <c r="C29" s="3634"/>
      <c r="D29" s="999">
        <f>SUMPRODUCT(--('6a - Lighting Counts'!$G$29:$G$551= B29),'6a - Lighting Counts'!H$29:$H$551,'6a - Lighting Counts'!$F$29:$F$551)</f>
        <v>0</v>
      </c>
      <c r="E29" s="999">
        <f>SUMPRODUCT(--('6a - Lighting Counts'!$G$29:$G$551= B29),'6a - Lighting Counts'!$CZ$29:$CZ$551,'6a - Lighting Counts'!$F$29:$F$551)</f>
        <v>0</v>
      </c>
      <c r="F29" s="1074">
        <f>IF(ISERROR(SUMPRODUCT(--('6a - Lighting Counts'!$G$29:$G$551= B29),'6a - Lighting Counts'!$DA$29:$DA$551,'6a - Lighting Counts'!$F$29:$F$551)=TRUE),"",SUMPRODUCT(--('6a - Lighting Counts'!$G$29:$G$551= '6b - General Lighting'!B29),'6a - Lighting Counts'!$DA$29:$DA$551,'6a - Lighting Counts'!$F$29:$F$551))</f>
        <v>0</v>
      </c>
      <c r="G29" s="1074">
        <f>IF(ISERROR(SUMPRODUCT(--('6a - Lighting Counts'!$G$29:$G$551= B29),'6a - Lighting Counts'!$DB$29:$DB$551,'6a - Lighting Counts'!$F$29:$F$551)=TRUE),"",SUMPRODUCT(--('6a - Lighting Counts'!$G$29:$G$551= '6b - General Lighting'!B29),'6a - Lighting Counts'!$DB$29:$DB$551,'6a - Lighting Counts'!$F$29:$F$551))</f>
        <v>0</v>
      </c>
      <c r="H29" s="1000" t="str">
        <f t="shared" si="6"/>
        <v>-</v>
      </c>
      <c r="I29" s="1000" t="str">
        <f t="shared" si="7"/>
        <v>-</v>
      </c>
      <c r="J29" s="1000" t="str">
        <f t="shared" si="8"/>
        <v>-</v>
      </c>
      <c r="K29" s="1000" t="str">
        <f t="shared" si="9"/>
        <v>-</v>
      </c>
      <c r="L29" s="2528">
        <f>SUMPRODUCT(--('6a - Lighting Counts'!$G$29:$G$551= B29),'6a - Lighting Counts'!$DG$29:$DG$551,'6a - Lighting Counts'!$F$29:$F$551)</f>
        <v>0</v>
      </c>
      <c r="M29" s="2796">
        <f>IF('General Information'!$R$55=2007,"Not Supported",IF('General Information'!$R$55=2016,IFERROR(IF(SI_IP_Units="IP",(SUMIF('Lighting Assumptions 90.1-2016'!LPDSpacebySpace2016,'6b - General Lighting'!B29,'Lighting Assumptions 90.1-2016'!$H$3:$H$106)),(SUMIF('Lighting Assumptions 90.1-2016'!LPDSpacebySpace2016,'6b - General Lighting'!B29,'Lighting Assumptions 90.1-2016'!$I$3:$I$106))),""),IFERROR(IF(SI_IP_Units="IP",(SUMIF('Lighting Assumptions 90.1-2010'!LPDSpacebySpace,'6b - General Lighting'!B29,'Lighting Assumptions 90.1-2010'!$H$3:$H$106)),(SUMIF('Lighting Assumptions 90.1-2010'!LPDSpacebySpace,'6b - General Lighting'!B29,'Lighting Assumptions 90.1-2010'!$I$3:$I$106))),"")))</f>
        <v>0</v>
      </c>
      <c r="N29" s="2510"/>
      <c r="O29" s="1565"/>
      <c r="P29" s="1565"/>
      <c r="Q29" s="1565"/>
      <c r="R29" s="1565"/>
      <c r="S29" s="1565"/>
      <c r="T29" s="1565"/>
      <c r="U29" s="1565"/>
      <c r="V29" s="347"/>
      <c r="W29" s="1566" t="str">
        <f>IF(ISERROR(INDEX('6a - Lighting Counts'!$G$33:$G$551, MATCH(0, COUNTIF($W$26:W28,'6a - Lighting Counts'!$G$33:$G$551), 0)))=TRUE,"",INDEX('6a - Lighting Counts'!$G$33:$G$551, MATCH(0, COUNTIF($W$26:W28,'6a - Lighting Counts'!$G$33:$G$551), 0)))</f>
        <v/>
      </c>
      <c r="X29" s="985">
        <f t="shared" si="4"/>
        <v>0</v>
      </c>
      <c r="Y29" s="985" t="str">
        <f t="shared" si="5"/>
        <v/>
      </c>
      <c r="Z29" s="184"/>
      <c r="AA29" s="184"/>
      <c r="AB29" s="184"/>
      <c r="AC29" s="184"/>
      <c r="AD29" s="184"/>
      <c r="AE29" s="184"/>
      <c r="AF29" s="184"/>
      <c r="AG29" s="184"/>
      <c r="AH29" s="184"/>
      <c r="AK29" s="1802"/>
    </row>
    <row r="30" spans="1:37" s="396" customFormat="1" ht="24" hidden="1" customHeight="1" x14ac:dyDescent="0.3">
      <c r="A30" s="304" t="s">
        <v>1038</v>
      </c>
      <c r="B30" s="3634" t="str">
        <f>'Lighting Assumptions'!C6</f>
        <v/>
      </c>
      <c r="C30" s="3634"/>
      <c r="D30" s="999">
        <f>SUMPRODUCT(--('6a - Lighting Counts'!$G$29:$G$551= B30),'6a - Lighting Counts'!H$29:$H$551,'6a - Lighting Counts'!$F$29:$F$551)</f>
        <v>0</v>
      </c>
      <c r="E30" s="999">
        <f>SUMPRODUCT(--('6a - Lighting Counts'!$G$29:$G$551= B30),'6a - Lighting Counts'!$CZ$29:$CZ$551,'6a - Lighting Counts'!$F$29:$F$551)</f>
        <v>0</v>
      </c>
      <c r="F30" s="1074">
        <f>IF(ISERROR(SUMPRODUCT(--('6a - Lighting Counts'!$G$29:$G$551= B30),'6a - Lighting Counts'!$DA$29:$DA$551,'6a - Lighting Counts'!$F$29:$F$551)=TRUE),"",SUMPRODUCT(--('6a - Lighting Counts'!$G$29:$G$551= '6b - General Lighting'!B30),'6a - Lighting Counts'!$DA$29:$DA$551,'6a - Lighting Counts'!$F$29:$F$551))</f>
        <v>0</v>
      </c>
      <c r="G30" s="1074">
        <f>IF(ISERROR(SUMPRODUCT(--('6a - Lighting Counts'!$G$29:$G$551= B30),'6a - Lighting Counts'!$DB$29:$DB$551,'6a - Lighting Counts'!$F$29:$F$551)=TRUE),"",SUMPRODUCT(--('6a - Lighting Counts'!$G$29:$G$551= '6b - General Lighting'!B30),'6a - Lighting Counts'!$DB$29:$DB$551,'6a - Lighting Counts'!$F$29:$F$551))</f>
        <v>0</v>
      </c>
      <c r="H30" s="1000" t="str">
        <f t="shared" si="6"/>
        <v>-</v>
      </c>
      <c r="I30" s="1000" t="str">
        <f t="shared" si="7"/>
        <v>-</v>
      </c>
      <c r="J30" s="1000" t="str">
        <f t="shared" si="8"/>
        <v>-</v>
      </c>
      <c r="K30" s="1000" t="str">
        <f t="shared" si="9"/>
        <v>-</v>
      </c>
      <c r="L30" s="2528">
        <f>SUMPRODUCT(--('6a - Lighting Counts'!$G$29:$G$551= B30),'6a - Lighting Counts'!$DG$29:$DG$551,'6a - Lighting Counts'!$F$29:$F$551)</f>
        <v>0</v>
      </c>
      <c r="M30" s="2796">
        <f>IF('General Information'!$R$55=2007,"Not Supported",IF('General Information'!$R$55=2016,IFERROR(IF(SI_IP_Units="IP",(SUMIF('Lighting Assumptions 90.1-2016'!LPDSpacebySpace2016,'6b - General Lighting'!B30,'Lighting Assumptions 90.1-2016'!$H$3:$H$106)),(SUMIF('Lighting Assumptions 90.1-2016'!LPDSpacebySpace2016,'6b - General Lighting'!B30,'Lighting Assumptions 90.1-2016'!$I$3:$I$106))),""),IFERROR(IF(SI_IP_Units="IP",(SUMIF('Lighting Assumptions 90.1-2010'!LPDSpacebySpace,'6b - General Lighting'!B30,'Lighting Assumptions 90.1-2010'!$H$3:$H$106)),(SUMIF('Lighting Assumptions 90.1-2010'!LPDSpacebySpace,'6b - General Lighting'!B30,'Lighting Assumptions 90.1-2010'!$I$3:$I$106))),"")))</f>
        <v>0</v>
      </c>
      <c r="N30" s="2510"/>
      <c r="O30" s="1565"/>
      <c r="P30" s="1565"/>
      <c r="Q30" s="1565"/>
      <c r="R30" s="1565"/>
      <c r="S30" s="1565"/>
      <c r="T30" s="1565"/>
      <c r="U30" s="1565"/>
      <c r="V30" s="347"/>
      <c r="W30" s="1566" t="str">
        <f>IF(ISERROR(INDEX('6a - Lighting Counts'!$G$33:$G$551, MATCH(0, COUNTIF($W$26:W29,'6a - Lighting Counts'!$G$33:$G$551), 0)))=TRUE,"",INDEX('6a - Lighting Counts'!$G$33:$G$551, MATCH(0, COUNTIF($W$26:W29,'6a - Lighting Counts'!$G$33:$G$551), 0)))</f>
        <v/>
      </c>
      <c r="X30" s="985">
        <f t="shared" si="4"/>
        <v>0</v>
      </c>
      <c r="Y30" s="985" t="str">
        <f t="shared" si="5"/>
        <v/>
      </c>
      <c r="Z30" s="184"/>
      <c r="AA30" s="184"/>
      <c r="AB30" s="184"/>
      <c r="AC30" s="184"/>
      <c r="AD30" s="184"/>
      <c r="AE30" s="184"/>
      <c r="AF30" s="184"/>
      <c r="AG30" s="184"/>
      <c r="AH30" s="184"/>
      <c r="AK30" s="1802"/>
    </row>
    <row r="31" spans="1:37" s="396" customFormat="1" ht="24" hidden="1" customHeight="1" x14ac:dyDescent="0.3">
      <c r="A31" s="304" t="s">
        <v>1038</v>
      </c>
      <c r="B31" s="3634" t="str">
        <f>'Lighting Assumptions'!C7</f>
        <v/>
      </c>
      <c r="C31" s="3634"/>
      <c r="D31" s="999">
        <f>SUMPRODUCT(--('6a - Lighting Counts'!$G$29:$G$551= B31),'6a - Lighting Counts'!H$29:$H$551,'6a - Lighting Counts'!$F$29:$F$551)</f>
        <v>0</v>
      </c>
      <c r="E31" s="999">
        <f>SUMPRODUCT(--('6a - Lighting Counts'!$G$29:$G$551= B31),'6a - Lighting Counts'!$CZ$29:$CZ$551,'6a - Lighting Counts'!$F$29:$F$551)</f>
        <v>0</v>
      </c>
      <c r="F31" s="1074">
        <f>IF(ISERROR(SUMPRODUCT(--('6a - Lighting Counts'!$G$29:$G$551= B31),'6a - Lighting Counts'!$DA$29:$DA$551,'6a - Lighting Counts'!$F$29:$F$551)=TRUE),"",SUMPRODUCT(--('6a - Lighting Counts'!$G$29:$G$551= '6b - General Lighting'!B31),'6a - Lighting Counts'!$DA$29:$DA$551,'6a - Lighting Counts'!$F$29:$F$551))</f>
        <v>0</v>
      </c>
      <c r="G31" s="1074">
        <f>IF(ISERROR(SUMPRODUCT(--('6a - Lighting Counts'!$G$29:$G$551= B31),'6a - Lighting Counts'!$DB$29:$DB$551,'6a - Lighting Counts'!$F$29:$F$551)=TRUE),"",SUMPRODUCT(--('6a - Lighting Counts'!$G$29:$G$551= '6b - General Lighting'!B31),'6a - Lighting Counts'!$DB$29:$DB$551,'6a - Lighting Counts'!$F$29:$F$551))</f>
        <v>0</v>
      </c>
      <c r="H31" s="1000" t="str">
        <f t="shared" si="6"/>
        <v>-</v>
      </c>
      <c r="I31" s="1000" t="str">
        <f t="shared" si="7"/>
        <v>-</v>
      </c>
      <c r="J31" s="1000" t="str">
        <f t="shared" si="8"/>
        <v>-</v>
      </c>
      <c r="K31" s="1000" t="str">
        <f t="shared" si="9"/>
        <v>-</v>
      </c>
      <c r="L31" s="2528">
        <f>SUMPRODUCT(--('6a - Lighting Counts'!$G$29:$G$551= B31),'6a - Lighting Counts'!$DG$29:$DG$551,'6a - Lighting Counts'!$F$29:$F$551)</f>
        <v>0</v>
      </c>
      <c r="M31" s="2796">
        <f>IF('General Information'!$R$55=2007,"Not Supported",IF('General Information'!$R$55=2016,IFERROR(IF(SI_IP_Units="IP",(SUMIF('Lighting Assumptions 90.1-2016'!LPDSpacebySpace2016,'6b - General Lighting'!B31,'Lighting Assumptions 90.1-2016'!$H$3:$H$106)),(SUMIF('Lighting Assumptions 90.1-2016'!LPDSpacebySpace2016,'6b - General Lighting'!B31,'Lighting Assumptions 90.1-2016'!$I$3:$I$106))),""),IFERROR(IF(SI_IP_Units="IP",(SUMIF('Lighting Assumptions 90.1-2010'!LPDSpacebySpace,'6b - General Lighting'!B31,'Lighting Assumptions 90.1-2010'!$H$3:$H$106)),(SUMIF('Lighting Assumptions 90.1-2010'!LPDSpacebySpace,'6b - General Lighting'!B31,'Lighting Assumptions 90.1-2010'!$I$3:$I$106))),"")))</f>
        <v>0</v>
      </c>
      <c r="N31" s="2510"/>
      <c r="O31" s="1565"/>
      <c r="P31" s="1565"/>
      <c r="Q31" s="1565"/>
      <c r="R31" s="1565"/>
      <c r="S31" s="1565"/>
      <c r="T31" s="1565"/>
      <c r="U31" s="1565"/>
      <c r="V31" s="347"/>
      <c r="W31" s="1566" t="str">
        <f>IF(ISERROR(INDEX('6a - Lighting Counts'!$G$33:$G$551, MATCH(0, COUNTIF($W$26:W30,'6a - Lighting Counts'!$G$33:$G$551), 0)))=TRUE,"",INDEX('6a - Lighting Counts'!$G$33:$G$551, MATCH(0, COUNTIF($W$26:W30,'6a - Lighting Counts'!$G$33:$G$551), 0)))</f>
        <v/>
      </c>
      <c r="X31" s="985">
        <f t="shared" si="4"/>
        <v>0</v>
      </c>
      <c r="Y31" s="985" t="str">
        <f t="shared" si="5"/>
        <v/>
      </c>
      <c r="Z31" s="184"/>
      <c r="AA31" s="184"/>
      <c r="AB31" s="184"/>
      <c r="AC31" s="184"/>
      <c r="AD31" s="184"/>
      <c r="AE31" s="184"/>
      <c r="AF31" s="184"/>
      <c r="AG31" s="184"/>
      <c r="AH31" s="184"/>
      <c r="AK31" s="1802"/>
    </row>
    <row r="32" spans="1:37" s="396" customFormat="1" ht="24" hidden="1" customHeight="1" x14ac:dyDescent="0.3">
      <c r="A32" s="304" t="s">
        <v>1038</v>
      </c>
      <c r="B32" s="3634" t="str">
        <f>'Lighting Assumptions'!C8</f>
        <v/>
      </c>
      <c r="C32" s="3634"/>
      <c r="D32" s="999">
        <f>SUMPRODUCT(--('6a - Lighting Counts'!$G$29:$G$551= B32),'6a - Lighting Counts'!H$29:$H$551,'6a - Lighting Counts'!$F$29:$F$551)</f>
        <v>0</v>
      </c>
      <c r="E32" s="999">
        <f>SUMPRODUCT(--('6a - Lighting Counts'!$G$29:$G$551= B32),'6a - Lighting Counts'!$CZ$29:$CZ$551,'6a - Lighting Counts'!$F$29:$F$551)</f>
        <v>0</v>
      </c>
      <c r="F32" s="1074">
        <f>IF(ISERROR(SUMPRODUCT(--('6a - Lighting Counts'!$G$29:$G$551= B32),'6a - Lighting Counts'!$DA$29:$DA$551,'6a - Lighting Counts'!$F$29:$F$551)=TRUE),"",SUMPRODUCT(--('6a - Lighting Counts'!$G$29:$G$551= '6b - General Lighting'!B32),'6a - Lighting Counts'!$DA$29:$DA$551,'6a - Lighting Counts'!$F$29:$F$551))</f>
        <v>0</v>
      </c>
      <c r="G32" s="1074">
        <f>IF(ISERROR(SUMPRODUCT(--('6a - Lighting Counts'!$G$29:$G$551= B32),'6a - Lighting Counts'!$DB$29:$DB$551,'6a - Lighting Counts'!$F$29:$F$551)=TRUE),"",SUMPRODUCT(--('6a - Lighting Counts'!$G$29:$G$551= '6b - General Lighting'!B32),'6a - Lighting Counts'!$DB$29:$DB$551,'6a - Lighting Counts'!$F$29:$F$551))</f>
        <v>0</v>
      </c>
      <c r="H32" s="1000" t="str">
        <f t="shared" si="6"/>
        <v>-</v>
      </c>
      <c r="I32" s="1000" t="str">
        <f t="shared" si="7"/>
        <v>-</v>
      </c>
      <c r="J32" s="1000" t="str">
        <f t="shared" si="8"/>
        <v>-</v>
      </c>
      <c r="K32" s="1000" t="str">
        <f t="shared" si="9"/>
        <v>-</v>
      </c>
      <c r="L32" s="2528">
        <f>SUMPRODUCT(--('6a - Lighting Counts'!$G$29:$G$551= B32),'6a - Lighting Counts'!$DG$29:$DG$551,'6a - Lighting Counts'!$F$29:$F$551)</f>
        <v>0</v>
      </c>
      <c r="M32" s="2796">
        <f>IF('General Information'!$R$55=2007,"Not Supported",IF('General Information'!$R$55=2016,IFERROR(IF(SI_IP_Units="IP",(SUMIF('Lighting Assumptions 90.1-2016'!LPDSpacebySpace2016,'6b - General Lighting'!B32,'Lighting Assumptions 90.1-2016'!$H$3:$H$106)),(SUMIF('Lighting Assumptions 90.1-2016'!LPDSpacebySpace2016,'6b - General Lighting'!B32,'Lighting Assumptions 90.1-2016'!$I$3:$I$106))),""),IFERROR(IF(SI_IP_Units="IP",(SUMIF('Lighting Assumptions 90.1-2010'!LPDSpacebySpace,'6b - General Lighting'!B32,'Lighting Assumptions 90.1-2010'!$H$3:$H$106)),(SUMIF('Lighting Assumptions 90.1-2010'!LPDSpacebySpace,'6b - General Lighting'!B32,'Lighting Assumptions 90.1-2010'!$I$3:$I$106))),"")))</f>
        <v>0</v>
      </c>
      <c r="N32" s="2510"/>
      <c r="O32" s="1565"/>
      <c r="P32" s="1565"/>
      <c r="Q32" s="1565"/>
      <c r="R32" s="1565"/>
      <c r="S32" s="1565"/>
      <c r="T32" s="1565"/>
      <c r="U32" s="1565"/>
      <c r="V32" s="347"/>
      <c r="W32" s="1566" t="str">
        <f>IF(ISERROR(INDEX('6a - Lighting Counts'!$G$33:$G$551, MATCH(0, COUNTIF($W$26:W31,'6a - Lighting Counts'!$G$33:$G$551), 0)))=TRUE,"",INDEX('6a - Lighting Counts'!$G$33:$G$551, MATCH(0, COUNTIF($W$26:W31,'6a - Lighting Counts'!$G$33:$G$551), 0)))</f>
        <v/>
      </c>
      <c r="X32" s="985">
        <f t="shared" si="4"/>
        <v>0</v>
      </c>
      <c r="Y32" s="985" t="str">
        <f t="shared" si="5"/>
        <v/>
      </c>
      <c r="Z32" s="184"/>
      <c r="AA32" s="184"/>
      <c r="AB32" s="184"/>
      <c r="AC32" s="184"/>
      <c r="AD32" s="184"/>
      <c r="AE32" s="184"/>
      <c r="AF32" s="184"/>
      <c r="AG32" s="184"/>
      <c r="AH32" s="184"/>
      <c r="AK32" s="1802"/>
    </row>
    <row r="33" spans="1:37" s="396" customFormat="1" ht="24" hidden="1" customHeight="1" x14ac:dyDescent="0.3">
      <c r="A33" s="304"/>
      <c r="B33" s="3634" t="str">
        <f>'Lighting Assumptions'!C9</f>
        <v/>
      </c>
      <c r="C33" s="3634"/>
      <c r="D33" s="999">
        <f>SUMPRODUCT(--('6a - Lighting Counts'!$G$29:$G$551= B33),'6a - Lighting Counts'!H$29:$H$551,'6a - Lighting Counts'!$F$29:$F$551)</f>
        <v>0</v>
      </c>
      <c r="E33" s="999">
        <f>SUMPRODUCT(--('6a - Lighting Counts'!$G$29:$G$551= B33),'6a - Lighting Counts'!$CZ$29:$CZ$551,'6a - Lighting Counts'!$F$29:$F$551)</f>
        <v>0</v>
      </c>
      <c r="F33" s="1074">
        <f>IF(ISERROR(SUMPRODUCT(--('6a - Lighting Counts'!$G$29:$G$551= B33),'6a - Lighting Counts'!$DA$29:$DA$551,'6a - Lighting Counts'!$F$29:$F$551)=TRUE),"",SUMPRODUCT(--('6a - Lighting Counts'!$G$29:$G$551= '6b - General Lighting'!B33),'6a - Lighting Counts'!$DA$29:$DA$551,'6a - Lighting Counts'!$F$29:$F$551))</f>
        <v>0</v>
      </c>
      <c r="G33" s="1074">
        <f>IF(ISERROR(SUMPRODUCT(--('6a - Lighting Counts'!$G$29:$G$551= B33),'6a - Lighting Counts'!$DB$29:$DB$551,'6a - Lighting Counts'!$F$29:$F$551)=TRUE),"",SUMPRODUCT(--('6a - Lighting Counts'!$G$29:$G$551= '6b - General Lighting'!B33),'6a - Lighting Counts'!$DB$29:$DB$551,'6a - Lighting Counts'!$F$29:$F$551))</f>
        <v>0</v>
      </c>
      <c r="H33" s="1000" t="str">
        <f t="shared" si="6"/>
        <v>-</v>
      </c>
      <c r="I33" s="1000" t="str">
        <f t="shared" si="7"/>
        <v>-</v>
      </c>
      <c r="J33" s="1000" t="str">
        <f t="shared" si="8"/>
        <v>-</v>
      </c>
      <c r="K33" s="1000" t="str">
        <f t="shared" si="9"/>
        <v>-</v>
      </c>
      <c r="L33" s="2528">
        <f>SUMPRODUCT(--('6a - Lighting Counts'!$G$29:$G$551= B33),'6a - Lighting Counts'!$DG$29:$DG$551,'6a - Lighting Counts'!$F$29:$F$551)</f>
        <v>0</v>
      </c>
      <c r="M33" s="2796">
        <f>IF('General Information'!$R$55=2007,"Not Supported",IF('General Information'!$R$55=2016,IFERROR(IF(SI_IP_Units="IP",(SUMIF('Lighting Assumptions 90.1-2016'!LPDSpacebySpace2016,'6b - General Lighting'!B33,'Lighting Assumptions 90.1-2016'!$H$3:$H$106)),(SUMIF('Lighting Assumptions 90.1-2016'!LPDSpacebySpace2016,'6b - General Lighting'!B33,'Lighting Assumptions 90.1-2016'!$I$3:$I$106))),""),IFERROR(IF(SI_IP_Units="IP",(SUMIF('Lighting Assumptions 90.1-2010'!LPDSpacebySpace,'6b - General Lighting'!B33,'Lighting Assumptions 90.1-2010'!$H$3:$H$106)),(SUMIF('Lighting Assumptions 90.1-2010'!LPDSpacebySpace,'6b - General Lighting'!B33,'Lighting Assumptions 90.1-2010'!$I$3:$I$106))),"")))</f>
        <v>0</v>
      </c>
      <c r="N33" s="2510"/>
      <c r="O33" s="1565"/>
      <c r="P33" s="1565"/>
      <c r="Q33" s="1565"/>
      <c r="R33" s="1565"/>
      <c r="S33" s="1565"/>
      <c r="T33" s="1565"/>
      <c r="U33" s="1565"/>
      <c r="V33" s="347"/>
      <c r="W33" s="1566" t="str">
        <f>IF(ISERROR(INDEX('6a - Lighting Counts'!$G$33:$G$551, MATCH(0, COUNTIF($W$26:W32,'6a - Lighting Counts'!$G$33:$G$551), 0)))=TRUE,"",INDEX('6a - Lighting Counts'!$G$33:$G$551, MATCH(0, COUNTIF($W$26:W32,'6a - Lighting Counts'!$G$33:$G$551), 0)))</f>
        <v/>
      </c>
      <c r="X33" s="985">
        <f t="shared" si="4"/>
        <v>0</v>
      </c>
      <c r="Y33" s="985" t="str">
        <f t="shared" si="5"/>
        <v/>
      </c>
      <c r="Z33" s="184"/>
      <c r="AA33" s="184"/>
      <c r="AB33" s="184"/>
      <c r="AC33" s="184"/>
      <c r="AD33" s="184"/>
      <c r="AE33" s="184"/>
      <c r="AF33" s="184"/>
      <c r="AG33" s="184"/>
      <c r="AH33" s="184"/>
      <c r="AK33" s="1802"/>
    </row>
    <row r="34" spans="1:37" s="396" customFormat="1" ht="24" hidden="1" customHeight="1" x14ac:dyDescent="0.3">
      <c r="A34" s="304"/>
      <c r="B34" s="3634" t="str">
        <f>'Lighting Assumptions'!C10</f>
        <v/>
      </c>
      <c r="C34" s="3634"/>
      <c r="D34" s="999">
        <f>SUMPRODUCT(--('6a - Lighting Counts'!$G$29:$G$551= B34),'6a - Lighting Counts'!H$29:$H$551,'6a - Lighting Counts'!$F$29:$F$551)</f>
        <v>0</v>
      </c>
      <c r="E34" s="999">
        <f>SUMPRODUCT(--('6a - Lighting Counts'!$G$29:$G$551= B34),'6a - Lighting Counts'!$CZ$29:$CZ$551,'6a - Lighting Counts'!$F$29:$F$551)</f>
        <v>0</v>
      </c>
      <c r="F34" s="1074">
        <f>IF(ISERROR(SUMPRODUCT(--('6a - Lighting Counts'!$G$29:$G$551= B34),'6a - Lighting Counts'!$DA$29:$DA$551,'6a - Lighting Counts'!$F$29:$F$551)=TRUE),"",SUMPRODUCT(--('6a - Lighting Counts'!$G$29:$G$551= '6b - General Lighting'!B34),'6a - Lighting Counts'!$DA$29:$DA$551,'6a - Lighting Counts'!$F$29:$F$551))</f>
        <v>0</v>
      </c>
      <c r="G34" s="1074">
        <f>IF(ISERROR(SUMPRODUCT(--('6a - Lighting Counts'!$G$29:$G$551= B34),'6a - Lighting Counts'!$DB$29:$DB$551,'6a - Lighting Counts'!$F$29:$F$551)=TRUE),"",SUMPRODUCT(--('6a - Lighting Counts'!$G$29:$G$551= '6b - General Lighting'!B34),'6a - Lighting Counts'!$DB$29:$DB$551,'6a - Lighting Counts'!$F$29:$F$551))</f>
        <v>0</v>
      </c>
      <c r="H34" s="1000" t="str">
        <f t="shared" si="6"/>
        <v>-</v>
      </c>
      <c r="I34" s="1000" t="str">
        <f t="shared" si="7"/>
        <v>-</v>
      </c>
      <c r="J34" s="1000" t="str">
        <f t="shared" si="8"/>
        <v>-</v>
      </c>
      <c r="K34" s="1000" t="str">
        <f t="shared" si="9"/>
        <v>-</v>
      </c>
      <c r="L34" s="2528">
        <f>SUMPRODUCT(--('6a - Lighting Counts'!$G$29:$G$551= B34),'6a - Lighting Counts'!$DG$29:$DG$551,'6a - Lighting Counts'!$F$29:$F$551)</f>
        <v>0</v>
      </c>
      <c r="M34" s="2796">
        <f>IF('General Information'!$R$55=2007,"Not Supported",IF('General Information'!$R$55=2016,IFERROR(IF(SI_IP_Units="IP",(SUMIF('Lighting Assumptions 90.1-2016'!LPDSpacebySpace2016,'6b - General Lighting'!B34,'Lighting Assumptions 90.1-2016'!$H$3:$H$106)),(SUMIF('Lighting Assumptions 90.1-2016'!LPDSpacebySpace2016,'6b - General Lighting'!B34,'Lighting Assumptions 90.1-2016'!$I$3:$I$106))),""),IFERROR(IF(SI_IP_Units="IP",(SUMIF('Lighting Assumptions 90.1-2010'!LPDSpacebySpace,'6b - General Lighting'!B34,'Lighting Assumptions 90.1-2010'!$H$3:$H$106)),(SUMIF('Lighting Assumptions 90.1-2010'!LPDSpacebySpace,'6b - General Lighting'!B34,'Lighting Assumptions 90.1-2010'!$I$3:$I$106))),"")))</f>
        <v>0</v>
      </c>
      <c r="N34" s="2510"/>
      <c r="O34" s="1565"/>
      <c r="P34" s="1565"/>
      <c r="Q34" s="1565"/>
      <c r="R34" s="1565"/>
      <c r="S34" s="1565"/>
      <c r="T34" s="1565"/>
      <c r="U34" s="1565"/>
      <c r="V34" s="347"/>
      <c r="W34" s="1566" t="str">
        <f>IF(ISERROR(INDEX('6a - Lighting Counts'!$G$33:$G$551, MATCH(0, COUNTIF($W$26:W33,'6a - Lighting Counts'!$G$33:$G$551), 0)))=TRUE,"",INDEX('6a - Lighting Counts'!$G$33:$G$551, MATCH(0, COUNTIF($W$26:W33,'6a - Lighting Counts'!$G$33:$G$551), 0)))</f>
        <v/>
      </c>
      <c r="X34" s="985">
        <f t="shared" si="4"/>
        <v>0</v>
      </c>
      <c r="Y34" s="985" t="str">
        <f t="shared" si="5"/>
        <v/>
      </c>
      <c r="Z34" s="184"/>
      <c r="AA34" s="184"/>
      <c r="AB34" s="184"/>
      <c r="AC34" s="184"/>
      <c r="AD34" s="184"/>
      <c r="AE34" s="184"/>
      <c r="AF34" s="184"/>
      <c r="AG34" s="184"/>
      <c r="AH34" s="184"/>
      <c r="AK34" s="1802"/>
    </row>
    <row r="35" spans="1:37" s="396" customFormat="1" ht="24" hidden="1" customHeight="1" x14ac:dyDescent="0.3">
      <c r="A35" s="304"/>
      <c r="B35" s="3634" t="str">
        <f>'Lighting Assumptions'!C11</f>
        <v/>
      </c>
      <c r="C35" s="3634"/>
      <c r="D35" s="999">
        <f>SUMPRODUCT(--('6a - Lighting Counts'!$G$29:$G$551= B35),'6a - Lighting Counts'!H$29:$H$551,'6a - Lighting Counts'!$F$29:$F$551)</f>
        <v>0</v>
      </c>
      <c r="E35" s="999">
        <f>SUMPRODUCT(--('6a - Lighting Counts'!$G$29:$G$551= B35),'6a - Lighting Counts'!$CZ$29:$CZ$551,'6a - Lighting Counts'!$F$29:$F$551)</f>
        <v>0</v>
      </c>
      <c r="F35" s="1074">
        <f>IF(ISERROR(SUMPRODUCT(--('6a - Lighting Counts'!$G$29:$G$551= B35),'6a - Lighting Counts'!$DA$29:$DA$551,'6a - Lighting Counts'!$F$29:$F$551)=TRUE),"",SUMPRODUCT(--('6a - Lighting Counts'!$G$29:$G$551= '6b - General Lighting'!B35),'6a - Lighting Counts'!$DA$29:$DA$551,'6a - Lighting Counts'!$F$29:$F$551))</f>
        <v>0</v>
      </c>
      <c r="G35" s="1074">
        <f>IF(ISERROR(SUMPRODUCT(--('6a - Lighting Counts'!$G$29:$G$551= B35),'6a - Lighting Counts'!$DB$29:$DB$551,'6a - Lighting Counts'!$F$29:$F$551)=TRUE),"",SUMPRODUCT(--('6a - Lighting Counts'!$G$29:$G$551= '6b - General Lighting'!B35),'6a - Lighting Counts'!$DB$29:$DB$551,'6a - Lighting Counts'!$F$29:$F$551))</f>
        <v>0</v>
      </c>
      <c r="H35" s="1000" t="str">
        <f t="shared" si="6"/>
        <v>-</v>
      </c>
      <c r="I35" s="1000" t="str">
        <f t="shared" si="7"/>
        <v>-</v>
      </c>
      <c r="J35" s="1000" t="str">
        <f t="shared" si="8"/>
        <v>-</v>
      </c>
      <c r="K35" s="1000" t="str">
        <f t="shared" si="9"/>
        <v>-</v>
      </c>
      <c r="L35" s="2528">
        <f>SUMPRODUCT(--('6a - Lighting Counts'!$G$29:$G$551= B35),'6a - Lighting Counts'!$DG$29:$DG$551,'6a - Lighting Counts'!$F$29:$F$551)</f>
        <v>0</v>
      </c>
      <c r="M35" s="2796">
        <f>IF('General Information'!$R$55=2007,"Not Supported",IF('General Information'!$R$55=2016,IFERROR(IF(SI_IP_Units="IP",(SUMIF('Lighting Assumptions 90.1-2016'!LPDSpacebySpace2016,'6b - General Lighting'!B35,'Lighting Assumptions 90.1-2016'!$H$3:$H$106)),(SUMIF('Lighting Assumptions 90.1-2016'!LPDSpacebySpace2016,'6b - General Lighting'!B35,'Lighting Assumptions 90.1-2016'!$I$3:$I$106))),""),IFERROR(IF(SI_IP_Units="IP",(SUMIF('Lighting Assumptions 90.1-2010'!LPDSpacebySpace,'6b - General Lighting'!B35,'Lighting Assumptions 90.1-2010'!$H$3:$H$106)),(SUMIF('Lighting Assumptions 90.1-2010'!LPDSpacebySpace,'6b - General Lighting'!B35,'Lighting Assumptions 90.1-2010'!$I$3:$I$106))),"")))</f>
        <v>0</v>
      </c>
      <c r="N35" s="2510"/>
      <c r="O35" s="1565"/>
      <c r="P35" s="1565"/>
      <c r="Q35" s="1565"/>
      <c r="R35" s="1565"/>
      <c r="S35" s="1565"/>
      <c r="T35" s="1565"/>
      <c r="U35" s="1565"/>
      <c r="V35" s="347"/>
      <c r="W35" s="1566" t="str">
        <f>IF(ISERROR(INDEX('6a - Lighting Counts'!$G$33:$G$551, MATCH(0, COUNTIF($W$26:W34,'6a - Lighting Counts'!$G$33:$G$551), 0)))=TRUE,"",INDEX('6a - Lighting Counts'!$G$33:$G$551, MATCH(0, COUNTIF($W$26:W34,'6a - Lighting Counts'!$G$33:$G$551), 0)))</f>
        <v/>
      </c>
      <c r="X35" s="985">
        <f t="shared" si="4"/>
        <v>0</v>
      </c>
      <c r="Y35" s="985" t="str">
        <f t="shared" si="5"/>
        <v/>
      </c>
      <c r="Z35" s="184"/>
      <c r="AA35" s="184"/>
      <c r="AB35" s="184"/>
      <c r="AC35" s="184"/>
      <c r="AD35" s="184"/>
      <c r="AE35" s="184"/>
      <c r="AF35" s="184"/>
      <c r="AG35" s="184"/>
      <c r="AH35" s="184"/>
      <c r="AK35" s="1802"/>
    </row>
    <row r="36" spans="1:37" s="339" customFormat="1" ht="24" hidden="1" customHeight="1" x14ac:dyDescent="0.3">
      <c r="A36" s="304" t="s">
        <v>802</v>
      </c>
      <c r="B36" s="3634" t="str">
        <f>'Lighting Assumptions'!C12</f>
        <v/>
      </c>
      <c r="C36" s="3634"/>
      <c r="D36" s="999">
        <f>SUMPRODUCT(--('6a - Lighting Counts'!$G$29:$G$551= B36),'6a - Lighting Counts'!H$29:$H$551,'6a - Lighting Counts'!$F$29:$F$551)</f>
        <v>0</v>
      </c>
      <c r="E36" s="999">
        <f>SUMPRODUCT(--('6a - Lighting Counts'!$G$29:$G$551= B36),'6a - Lighting Counts'!$CZ$29:$CZ$551,'6a - Lighting Counts'!$F$29:$F$551)</f>
        <v>0</v>
      </c>
      <c r="F36" s="1074">
        <f>IF(ISERROR(SUMPRODUCT(--('6a - Lighting Counts'!$G$29:$G$551= B36),'6a - Lighting Counts'!$DA$29:$DA$551,'6a - Lighting Counts'!$F$29:$F$551)=TRUE),"",SUMPRODUCT(--('6a - Lighting Counts'!$G$29:$G$551= '6b - General Lighting'!B36),'6a - Lighting Counts'!$DA$29:$DA$551,'6a - Lighting Counts'!$F$29:$F$551))</f>
        <v>0</v>
      </c>
      <c r="G36" s="1074">
        <f>IF(ISERROR(SUMPRODUCT(--('6a - Lighting Counts'!$G$29:$G$551= B36),'6a - Lighting Counts'!$DB$29:$DB$551,'6a - Lighting Counts'!$F$29:$F$551)=TRUE),"",SUMPRODUCT(--('6a - Lighting Counts'!$G$29:$G$551= '6b - General Lighting'!B36),'6a - Lighting Counts'!$DB$29:$DB$551,'6a - Lighting Counts'!$F$29:$F$551))</f>
        <v>0</v>
      </c>
      <c r="H36" s="1000" t="str">
        <f t="shared" si="6"/>
        <v>-</v>
      </c>
      <c r="I36" s="1000" t="str">
        <f t="shared" si="7"/>
        <v>-</v>
      </c>
      <c r="J36" s="1000" t="str">
        <f t="shared" si="8"/>
        <v>-</v>
      </c>
      <c r="K36" s="1000" t="str">
        <f t="shared" si="9"/>
        <v>-</v>
      </c>
      <c r="L36" s="2528">
        <f>SUMPRODUCT(--('6a - Lighting Counts'!$G$29:$G$551= B36),'6a - Lighting Counts'!$DG$29:$DG$551,'6a - Lighting Counts'!$F$29:$F$551)</f>
        <v>0</v>
      </c>
      <c r="M36" s="2796">
        <f>IF('General Information'!$R$55=2007,"Not Supported",IF('General Information'!$R$55=2016,IFERROR(IF(SI_IP_Units="IP",(SUMIF('Lighting Assumptions 90.1-2016'!LPDSpacebySpace2016,'6b - General Lighting'!B36,'Lighting Assumptions 90.1-2016'!$H$3:$H$106)),(SUMIF('Lighting Assumptions 90.1-2016'!LPDSpacebySpace2016,'6b - General Lighting'!B36,'Lighting Assumptions 90.1-2016'!$I$3:$I$106))),""),IFERROR(IF(SI_IP_Units="IP",(SUMIF('Lighting Assumptions 90.1-2010'!LPDSpacebySpace,'6b - General Lighting'!B36,'Lighting Assumptions 90.1-2010'!$H$3:$H$106)),(SUMIF('Lighting Assumptions 90.1-2010'!LPDSpacebySpace,'6b - General Lighting'!B36,'Lighting Assumptions 90.1-2010'!$I$3:$I$106))),"")))</f>
        <v>0</v>
      </c>
      <c r="N36" s="2510"/>
      <c r="O36" s="1565"/>
      <c r="P36" s="1565"/>
      <c r="Q36" s="1565"/>
      <c r="R36" s="1565"/>
      <c r="S36" s="1565"/>
      <c r="T36" s="1565"/>
      <c r="U36" s="1565"/>
      <c r="V36" s="347"/>
      <c r="W36" s="1566" t="str">
        <f>IF(ISERROR(INDEX('6a - Lighting Counts'!$G$33:$G$551, MATCH(0, COUNTIF($W$26:W33,'6a - Lighting Counts'!$G$33:$G$551), 0)))=TRUE,"",INDEX('6a - Lighting Counts'!$G$33:$G$551, MATCH(0, COUNTIF($W$26:W33,'6a - Lighting Counts'!$G$33:$G$551), 0)))</f>
        <v/>
      </c>
      <c r="X36" s="985">
        <f t="shared" si="4"/>
        <v>0</v>
      </c>
      <c r="Y36" s="985" t="str">
        <f t="shared" si="5"/>
        <v/>
      </c>
      <c r="Z36" s="1"/>
      <c r="AA36" s="1"/>
      <c r="AB36" s="1"/>
      <c r="AC36" s="1"/>
      <c r="AD36" s="1"/>
      <c r="AE36" s="1"/>
      <c r="AF36" s="1"/>
      <c r="AG36" s="1"/>
      <c r="AH36" s="1"/>
      <c r="AK36" s="1802"/>
    </row>
    <row r="37" spans="1:37" s="339" customFormat="1" ht="24" hidden="1" customHeight="1" x14ac:dyDescent="0.3">
      <c r="A37" s="304"/>
      <c r="B37" s="3634" t="str">
        <f>'Lighting Assumptions'!C13</f>
        <v/>
      </c>
      <c r="C37" s="3634"/>
      <c r="D37" s="999">
        <f>SUMPRODUCT(--('6a - Lighting Counts'!$G$29:$G$551= B37),'6a - Lighting Counts'!H$29:$H$551,'6a - Lighting Counts'!$F$29:$F$551)</f>
        <v>0</v>
      </c>
      <c r="E37" s="999">
        <f>SUMPRODUCT(--('6a - Lighting Counts'!$G$29:$G$551= B37),'6a - Lighting Counts'!$CZ$29:$CZ$551,'6a - Lighting Counts'!$F$29:$F$551)</f>
        <v>0</v>
      </c>
      <c r="F37" s="1074">
        <f>IF(ISERROR(SUMPRODUCT(--('6a - Lighting Counts'!$G$29:$G$551= B37),'6a - Lighting Counts'!$DA$29:$DA$551,'6a - Lighting Counts'!$F$29:$F$551)=TRUE),"",SUMPRODUCT(--('6a - Lighting Counts'!$G$29:$G$551= '6b - General Lighting'!B37),'6a - Lighting Counts'!$DA$29:$DA$551,'6a - Lighting Counts'!$F$29:$F$551))</f>
        <v>0</v>
      </c>
      <c r="G37" s="1074">
        <f>IF(ISERROR(SUMPRODUCT(--('6a - Lighting Counts'!$G$29:$G$551= B37),'6a - Lighting Counts'!$DB$29:$DB$551,'6a - Lighting Counts'!$F$29:$F$551)=TRUE),"",SUMPRODUCT(--('6a - Lighting Counts'!$G$29:$G$551= '6b - General Lighting'!B37),'6a - Lighting Counts'!$DB$29:$DB$551,'6a - Lighting Counts'!$F$29:$F$551))</f>
        <v>0</v>
      </c>
      <c r="H37" s="1000" t="str">
        <f t="shared" si="6"/>
        <v>-</v>
      </c>
      <c r="I37" s="1000" t="str">
        <f t="shared" si="7"/>
        <v>-</v>
      </c>
      <c r="J37" s="1000" t="str">
        <f t="shared" si="8"/>
        <v>-</v>
      </c>
      <c r="K37" s="1000" t="str">
        <f t="shared" si="9"/>
        <v>-</v>
      </c>
      <c r="L37" s="2528">
        <f>SUMPRODUCT(--('6a - Lighting Counts'!$G$29:$G$551= B37),'6a - Lighting Counts'!$DG$29:$DG$551,'6a - Lighting Counts'!$F$29:$F$551)</f>
        <v>0</v>
      </c>
      <c r="M37" s="2796">
        <f>IF('General Information'!$R$55=2007,"Not Supported",IF('General Information'!$R$55=2016,IFERROR(IF(SI_IP_Units="IP",(SUMIF('Lighting Assumptions 90.1-2016'!LPDSpacebySpace2016,'6b - General Lighting'!B37,'Lighting Assumptions 90.1-2016'!$H$3:$H$106)),(SUMIF('Lighting Assumptions 90.1-2016'!LPDSpacebySpace2016,'6b - General Lighting'!B37,'Lighting Assumptions 90.1-2016'!$I$3:$I$106))),""),IFERROR(IF(SI_IP_Units="IP",(SUMIF('Lighting Assumptions 90.1-2010'!LPDSpacebySpace,'6b - General Lighting'!B37,'Lighting Assumptions 90.1-2010'!$H$3:$H$106)),(SUMIF('Lighting Assumptions 90.1-2010'!LPDSpacebySpace,'6b - General Lighting'!B37,'Lighting Assumptions 90.1-2010'!$I$3:$I$106))),"")))</f>
        <v>0</v>
      </c>
      <c r="N37" s="2510"/>
      <c r="O37" s="1565"/>
      <c r="P37" s="1565"/>
      <c r="Q37" s="1565"/>
      <c r="R37" s="1565"/>
      <c r="S37" s="1565"/>
      <c r="T37" s="1565"/>
      <c r="U37" s="1565"/>
      <c r="V37" s="347"/>
      <c r="W37" s="1566" t="str">
        <f>IF(ISERROR(INDEX('6a - Lighting Counts'!$G$33:$G$551, MATCH(0, COUNTIF($W$26:W36,'6a - Lighting Counts'!$G$33:$G$551), 0)))=TRUE,"",INDEX('6a - Lighting Counts'!$G$33:$G$551, MATCH(0, COUNTIF($W$26:W36,'6a - Lighting Counts'!$G$33:$G$551), 0)))</f>
        <v/>
      </c>
      <c r="X37" s="985">
        <f t="shared" si="4"/>
        <v>0</v>
      </c>
      <c r="Y37" s="985" t="str">
        <f t="shared" si="5"/>
        <v/>
      </c>
      <c r="Z37" s="1"/>
      <c r="AA37" s="1"/>
      <c r="AB37" s="1"/>
      <c r="AC37" s="1"/>
      <c r="AD37" s="1"/>
      <c r="AE37" s="1"/>
      <c r="AF37" s="1"/>
      <c r="AG37" s="1"/>
      <c r="AH37" s="1"/>
      <c r="AK37" s="1802"/>
    </row>
    <row r="38" spans="1:37" s="339" customFormat="1" ht="24" hidden="1" customHeight="1" x14ac:dyDescent="0.3">
      <c r="A38" s="304"/>
      <c r="B38" s="3634" t="str">
        <f>'Lighting Assumptions'!C14</f>
        <v/>
      </c>
      <c r="C38" s="3634"/>
      <c r="D38" s="999">
        <f>SUMPRODUCT(--('6a - Lighting Counts'!$G$29:$G$551= B38),'6a - Lighting Counts'!H$29:$H$551,'6a - Lighting Counts'!$F$29:$F$551)</f>
        <v>0</v>
      </c>
      <c r="E38" s="999">
        <f>SUMPRODUCT(--('6a - Lighting Counts'!$G$29:$G$551= B38),'6a - Lighting Counts'!$CZ$29:$CZ$551,'6a - Lighting Counts'!$F$29:$F$551)</f>
        <v>0</v>
      </c>
      <c r="F38" s="1074">
        <f>IF(ISERROR(SUMPRODUCT(--('6a - Lighting Counts'!$G$29:$G$551= B38),'6a - Lighting Counts'!$DA$29:$DA$551,'6a - Lighting Counts'!$F$29:$F$551)=TRUE),"",SUMPRODUCT(--('6a - Lighting Counts'!$G$29:$G$551= '6b - General Lighting'!B38),'6a - Lighting Counts'!$DA$29:$DA$551,'6a - Lighting Counts'!$F$29:$F$551))</f>
        <v>0</v>
      </c>
      <c r="G38" s="1074">
        <f>IF(ISERROR(SUMPRODUCT(--('6a - Lighting Counts'!$G$29:$G$551= B38),'6a - Lighting Counts'!$DB$29:$DB$551,'6a - Lighting Counts'!$F$29:$F$551)=TRUE),"",SUMPRODUCT(--('6a - Lighting Counts'!$G$29:$G$551= '6b - General Lighting'!B38),'6a - Lighting Counts'!$DB$29:$DB$551,'6a - Lighting Counts'!$F$29:$F$551))</f>
        <v>0</v>
      </c>
      <c r="H38" s="1000" t="str">
        <f t="shared" si="6"/>
        <v>-</v>
      </c>
      <c r="I38" s="1000" t="str">
        <f t="shared" si="7"/>
        <v>-</v>
      </c>
      <c r="J38" s="1000" t="str">
        <f t="shared" si="8"/>
        <v>-</v>
      </c>
      <c r="K38" s="1000" t="str">
        <f t="shared" si="9"/>
        <v>-</v>
      </c>
      <c r="L38" s="2528">
        <f>SUMPRODUCT(--('6a - Lighting Counts'!$G$29:$G$551= B38),'6a - Lighting Counts'!$DG$29:$DG$551,'6a - Lighting Counts'!$F$29:$F$551)</f>
        <v>0</v>
      </c>
      <c r="M38" s="2796">
        <f>IF('General Information'!$R$55=2007,"Not Supported",IF('General Information'!$R$55=2016,IFERROR(IF(SI_IP_Units="IP",(SUMIF('Lighting Assumptions 90.1-2016'!LPDSpacebySpace2016,'6b - General Lighting'!B38,'Lighting Assumptions 90.1-2016'!$H$3:$H$106)),(SUMIF('Lighting Assumptions 90.1-2016'!LPDSpacebySpace2016,'6b - General Lighting'!B38,'Lighting Assumptions 90.1-2016'!$I$3:$I$106))),""),IFERROR(IF(SI_IP_Units="IP",(SUMIF('Lighting Assumptions 90.1-2010'!LPDSpacebySpace,'6b - General Lighting'!B38,'Lighting Assumptions 90.1-2010'!$H$3:$H$106)),(SUMIF('Lighting Assumptions 90.1-2010'!LPDSpacebySpace,'6b - General Lighting'!B38,'Lighting Assumptions 90.1-2010'!$I$3:$I$106))),"")))</f>
        <v>0</v>
      </c>
      <c r="N38" s="2510"/>
      <c r="O38" s="1565"/>
      <c r="P38" s="1565"/>
      <c r="Q38" s="1565"/>
      <c r="R38" s="1565"/>
      <c r="S38" s="1565"/>
      <c r="T38" s="1565"/>
      <c r="U38" s="1565"/>
      <c r="V38" s="347"/>
      <c r="W38" s="1566" t="str">
        <f>IF(ISERROR(INDEX('6a - Lighting Counts'!$G$33:$G$551, MATCH(0, COUNTIF($W$26:W37,'6a - Lighting Counts'!$G$33:$G$551), 0)))=TRUE,"",INDEX('6a - Lighting Counts'!$G$33:$G$551, MATCH(0, COUNTIF($W$26:W37,'6a - Lighting Counts'!$G$33:$G$551), 0)))</f>
        <v/>
      </c>
      <c r="X38" s="985">
        <f t="shared" si="4"/>
        <v>0</v>
      </c>
      <c r="Y38" s="985" t="str">
        <f t="shared" si="5"/>
        <v/>
      </c>
      <c r="Z38" s="1"/>
      <c r="AA38" s="1"/>
      <c r="AB38" s="1"/>
      <c r="AC38" s="1"/>
      <c r="AD38" s="1"/>
      <c r="AE38" s="1"/>
      <c r="AF38" s="1"/>
      <c r="AG38" s="1"/>
      <c r="AH38" s="1"/>
      <c r="AK38" s="1802"/>
    </row>
    <row r="39" spans="1:37" s="339" customFormat="1" ht="24" hidden="1" customHeight="1" x14ac:dyDescent="0.3">
      <c r="A39" s="304"/>
      <c r="B39" s="3634" t="str">
        <f>'Lighting Assumptions'!C15</f>
        <v/>
      </c>
      <c r="C39" s="3634"/>
      <c r="D39" s="999">
        <f>SUMPRODUCT(--('6a - Lighting Counts'!$G$29:$G$551= B39),'6a - Lighting Counts'!H$29:$H$551,'6a - Lighting Counts'!$F$29:$F$551)</f>
        <v>0</v>
      </c>
      <c r="E39" s="999">
        <f>SUMPRODUCT(--('6a - Lighting Counts'!$G$29:$G$551= B39),'6a - Lighting Counts'!$CZ$29:$CZ$551,'6a - Lighting Counts'!$F$29:$F$551)</f>
        <v>0</v>
      </c>
      <c r="F39" s="1074">
        <f>IF(ISERROR(SUMPRODUCT(--('6a - Lighting Counts'!$G$29:$G$551= B39),'6a - Lighting Counts'!$DA$29:$DA$551,'6a - Lighting Counts'!$F$29:$F$551)=TRUE),"",SUMPRODUCT(--('6a - Lighting Counts'!$G$29:$G$551= '6b - General Lighting'!B39),'6a - Lighting Counts'!$DA$29:$DA$551,'6a - Lighting Counts'!$F$29:$F$551))</f>
        <v>0</v>
      </c>
      <c r="G39" s="1074">
        <f>IF(ISERROR(SUMPRODUCT(--('6a - Lighting Counts'!$G$29:$G$551= B39),'6a - Lighting Counts'!$DB$29:$DB$551,'6a - Lighting Counts'!$F$29:$F$551)=TRUE),"",SUMPRODUCT(--('6a - Lighting Counts'!$G$29:$G$551= '6b - General Lighting'!B39),'6a - Lighting Counts'!$DB$29:$DB$551,'6a - Lighting Counts'!$F$29:$F$551))</f>
        <v>0</v>
      </c>
      <c r="H39" s="1000" t="str">
        <f t="shared" si="6"/>
        <v>-</v>
      </c>
      <c r="I39" s="1000" t="str">
        <f t="shared" si="7"/>
        <v>-</v>
      </c>
      <c r="J39" s="1000" t="str">
        <f t="shared" si="8"/>
        <v>-</v>
      </c>
      <c r="K39" s="1000" t="str">
        <f t="shared" si="9"/>
        <v>-</v>
      </c>
      <c r="L39" s="2528">
        <f>SUMPRODUCT(--('6a - Lighting Counts'!$G$29:$G$551= B39),'6a - Lighting Counts'!$DG$29:$DG$551,'6a - Lighting Counts'!$F$29:$F$551)</f>
        <v>0</v>
      </c>
      <c r="M39" s="2796">
        <f>IF('General Information'!$R$55=2007,"Not Supported",IF('General Information'!$R$55=2016,IFERROR(IF(SI_IP_Units="IP",(SUMIF('Lighting Assumptions 90.1-2016'!LPDSpacebySpace2016,'6b - General Lighting'!B39,'Lighting Assumptions 90.1-2016'!$H$3:$H$106)),(SUMIF('Lighting Assumptions 90.1-2016'!LPDSpacebySpace2016,'6b - General Lighting'!B39,'Lighting Assumptions 90.1-2016'!$I$3:$I$106))),""),IFERROR(IF(SI_IP_Units="IP",(SUMIF('Lighting Assumptions 90.1-2010'!LPDSpacebySpace,'6b - General Lighting'!B39,'Lighting Assumptions 90.1-2010'!$H$3:$H$106)),(SUMIF('Lighting Assumptions 90.1-2010'!LPDSpacebySpace,'6b - General Lighting'!B39,'Lighting Assumptions 90.1-2010'!$I$3:$I$106))),"")))</f>
        <v>0</v>
      </c>
      <c r="N39" s="2510"/>
      <c r="O39" s="1565"/>
      <c r="P39" s="1565"/>
      <c r="Q39" s="1565"/>
      <c r="R39" s="1565"/>
      <c r="S39" s="1565"/>
      <c r="T39" s="1565"/>
      <c r="U39" s="1565"/>
      <c r="V39" s="347"/>
      <c r="W39" s="1566" t="str">
        <f>IF(ISERROR(INDEX('6a - Lighting Counts'!$G$33:$G$551, MATCH(0, COUNTIF($W$26:W38,'6a - Lighting Counts'!$G$33:$G$551), 0)))=TRUE,"",INDEX('6a - Lighting Counts'!$G$33:$G$551, MATCH(0, COUNTIF($W$26:W38,'6a - Lighting Counts'!$G$33:$G$551), 0)))</f>
        <v/>
      </c>
      <c r="X39" s="985">
        <f t="shared" si="4"/>
        <v>0</v>
      </c>
      <c r="Y39" s="985" t="str">
        <f t="shared" si="5"/>
        <v/>
      </c>
      <c r="Z39" s="1"/>
      <c r="AA39" s="1"/>
      <c r="AB39" s="1"/>
      <c r="AC39" s="1"/>
      <c r="AD39" s="1"/>
      <c r="AE39" s="1"/>
      <c r="AF39" s="1"/>
      <c r="AG39" s="1"/>
      <c r="AH39" s="1"/>
      <c r="AK39" s="1802"/>
    </row>
    <row r="40" spans="1:37" s="339" customFormat="1" ht="24" hidden="1" customHeight="1" x14ac:dyDescent="0.3">
      <c r="A40" s="304"/>
      <c r="B40" s="3634" t="str">
        <f>'Lighting Assumptions'!C16</f>
        <v/>
      </c>
      <c r="C40" s="3634"/>
      <c r="D40" s="999">
        <f>SUMPRODUCT(--('6a - Lighting Counts'!$G$29:$G$551= B40),'6a - Lighting Counts'!H$29:$H$551,'6a - Lighting Counts'!$F$29:$F$551)</f>
        <v>0</v>
      </c>
      <c r="E40" s="999">
        <f>SUMPRODUCT(--('6a - Lighting Counts'!$G$29:$G$551= B40),'6a - Lighting Counts'!$CZ$29:$CZ$551,'6a - Lighting Counts'!$F$29:$F$551)</f>
        <v>0</v>
      </c>
      <c r="F40" s="1074">
        <f>IF(ISERROR(SUMPRODUCT(--('6a - Lighting Counts'!$G$29:$G$551= B40),'6a - Lighting Counts'!$DA$29:$DA$551,'6a - Lighting Counts'!$F$29:$F$551)=TRUE),"",SUMPRODUCT(--('6a - Lighting Counts'!$G$29:$G$551= '6b - General Lighting'!B40),'6a - Lighting Counts'!$DA$29:$DA$551,'6a - Lighting Counts'!$F$29:$F$551))</f>
        <v>0</v>
      </c>
      <c r="G40" s="1074">
        <f>IF(ISERROR(SUMPRODUCT(--('6a - Lighting Counts'!$G$29:$G$551= B40),'6a - Lighting Counts'!$DB$29:$DB$551,'6a - Lighting Counts'!$F$29:$F$551)=TRUE),"",SUMPRODUCT(--('6a - Lighting Counts'!$G$29:$G$551= '6b - General Lighting'!B40),'6a - Lighting Counts'!$DB$29:$DB$551,'6a - Lighting Counts'!$F$29:$F$551))</f>
        <v>0</v>
      </c>
      <c r="H40" s="1000" t="str">
        <f t="shared" si="6"/>
        <v>-</v>
      </c>
      <c r="I40" s="1000" t="str">
        <f t="shared" si="7"/>
        <v>-</v>
      </c>
      <c r="J40" s="1000" t="str">
        <f t="shared" si="8"/>
        <v>-</v>
      </c>
      <c r="K40" s="1000" t="str">
        <f t="shared" si="9"/>
        <v>-</v>
      </c>
      <c r="L40" s="2528">
        <f>SUMPRODUCT(--('6a - Lighting Counts'!$G$29:$G$551= B40),'6a - Lighting Counts'!$DG$29:$DG$551,'6a - Lighting Counts'!$F$29:$F$551)</f>
        <v>0</v>
      </c>
      <c r="M40" s="2796">
        <f>IF('General Information'!$R$55=2007,"Not Supported",IF('General Information'!$R$55=2016,IFERROR(IF(SI_IP_Units="IP",(SUMIF('Lighting Assumptions 90.1-2016'!LPDSpacebySpace2016,'6b - General Lighting'!B40,'Lighting Assumptions 90.1-2016'!$H$3:$H$106)),(SUMIF('Lighting Assumptions 90.1-2016'!LPDSpacebySpace2016,'6b - General Lighting'!B40,'Lighting Assumptions 90.1-2016'!$I$3:$I$106))),""),IFERROR(IF(SI_IP_Units="IP",(SUMIF('Lighting Assumptions 90.1-2010'!LPDSpacebySpace,'6b - General Lighting'!B40,'Lighting Assumptions 90.1-2010'!$H$3:$H$106)),(SUMIF('Lighting Assumptions 90.1-2010'!LPDSpacebySpace,'6b - General Lighting'!B40,'Lighting Assumptions 90.1-2010'!$I$3:$I$106))),"")))</f>
        <v>0</v>
      </c>
      <c r="N40" s="2510"/>
      <c r="O40" s="1565"/>
      <c r="P40" s="1565"/>
      <c r="Q40" s="1565"/>
      <c r="R40" s="1565"/>
      <c r="S40" s="1565"/>
      <c r="T40" s="1565"/>
      <c r="U40" s="1565"/>
      <c r="V40" s="347"/>
      <c r="W40" s="1566" t="str">
        <f>IF(ISERROR(INDEX('6a - Lighting Counts'!$G$33:$G$551, MATCH(0, COUNTIF($W$26:W39,'6a - Lighting Counts'!$G$33:$G$551), 0)))=TRUE,"",INDEX('6a - Lighting Counts'!$G$33:$G$551, MATCH(0, COUNTIF($W$26:W39,'6a - Lighting Counts'!$G$33:$G$551), 0)))</f>
        <v/>
      </c>
      <c r="X40" s="985">
        <f t="shared" si="4"/>
        <v>0</v>
      </c>
      <c r="Y40" s="985" t="str">
        <f t="shared" si="5"/>
        <v/>
      </c>
      <c r="Z40" s="1"/>
      <c r="AA40" s="1"/>
      <c r="AB40" s="1"/>
      <c r="AC40" s="1"/>
      <c r="AD40" s="1"/>
      <c r="AE40" s="1"/>
      <c r="AF40" s="1"/>
      <c r="AG40" s="1"/>
      <c r="AH40" s="1"/>
      <c r="AK40" s="1802"/>
    </row>
    <row r="41" spans="1:37" s="339" customFormat="1" ht="24" hidden="1" customHeight="1" x14ac:dyDescent="0.3">
      <c r="A41" s="304" t="s">
        <v>1038</v>
      </c>
      <c r="B41" s="3634" t="str">
        <f>'Lighting Assumptions'!C17</f>
        <v/>
      </c>
      <c r="C41" s="3634"/>
      <c r="D41" s="999">
        <f>SUMPRODUCT(--('6a - Lighting Counts'!$G$29:$G$551= B41),'6a - Lighting Counts'!H$29:$H$551,'6a - Lighting Counts'!$F$29:$F$551)</f>
        <v>0</v>
      </c>
      <c r="E41" s="999">
        <f>SUMPRODUCT(--('6a - Lighting Counts'!$G$29:$G$551= B41),'6a - Lighting Counts'!$CZ$29:$CZ$551,'6a - Lighting Counts'!$F$29:$F$551)</f>
        <v>0</v>
      </c>
      <c r="F41" s="1074">
        <f>IF(ISERROR(SUMPRODUCT(--('6a - Lighting Counts'!$G$29:$G$551= B41),'6a - Lighting Counts'!$DA$29:$DA$551,'6a - Lighting Counts'!$F$29:$F$551)=TRUE),"",SUMPRODUCT(--('6a - Lighting Counts'!$G$29:$G$551= '6b - General Lighting'!B41),'6a - Lighting Counts'!$DA$29:$DA$551,'6a - Lighting Counts'!$F$29:$F$551))</f>
        <v>0</v>
      </c>
      <c r="G41" s="1074">
        <f>IF(ISERROR(SUMPRODUCT(--('6a - Lighting Counts'!$G$29:$G$551= B41),'6a - Lighting Counts'!$DB$29:$DB$551,'6a - Lighting Counts'!$F$29:$F$551)=TRUE),"",SUMPRODUCT(--('6a - Lighting Counts'!$G$29:$G$551= '6b - General Lighting'!B41),'6a - Lighting Counts'!$DB$29:$DB$551,'6a - Lighting Counts'!$F$29:$F$551))</f>
        <v>0</v>
      </c>
      <c r="H41" s="1000" t="str">
        <f t="shared" si="6"/>
        <v>-</v>
      </c>
      <c r="I41" s="1000" t="str">
        <f t="shared" si="7"/>
        <v>-</v>
      </c>
      <c r="J41" s="1000" t="str">
        <f t="shared" si="8"/>
        <v>-</v>
      </c>
      <c r="K41" s="1000" t="str">
        <f t="shared" si="9"/>
        <v>-</v>
      </c>
      <c r="L41" s="2528">
        <f>SUMPRODUCT(--('6a - Lighting Counts'!$G$29:$G$551= B41),'6a - Lighting Counts'!$DG$29:$DG$551,'6a - Lighting Counts'!$F$29:$F$551)</f>
        <v>0</v>
      </c>
      <c r="M41" s="2796">
        <f>IF('General Information'!$R$55=2007,"Not Supported",IF('General Information'!$R$55=2016,IFERROR(IF(SI_IP_Units="IP",(SUMIF('Lighting Assumptions 90.1-2016'!LPDSpacebySpace2016,'6b - General Lighting'!B41,'Lighting Assumptions 90.1-2016'!$H$3:$H$106)),(SUMIF('Lighting Assumptions 90.1-2016'!LPDSpacebySpace2016,'6b - General Lighting'!B41,'Lighting Assumptions 90.1-2016'!$I$3:$I$106))),""),IFERROR(IF(SI_IP_Units="IP",(SUMIF('Lighting Assumptions 90.1-2010'!LPDSpacebySpace,'6b - General Lighting'!B41,'Lighting Assumptions 90.1-2010'!$H$3:$H$106)),(SUMIF('Lighting Assumptions 90.1-2010'!LPDSpacebySpace,'6b - General Lighting'!B41,'Lighting Assumptions 90.1-2010'!$I$3:$I$106))),"")))</f>
        <v>0</v>
      </c>
      <c r="N41" s="2510"/>
      <c r="O41" s="1565"/>
      <c r="P41" s="1565"/>
      <c r="Q41" s="1565"/>
      <c r="R41" s="1565"/>
      <c r="S41" s="1565"/>
      <c r="T41" s="1565"/>
      <c r="U41" s="1565"/>
      <c r="V41" s="347"/>
      <c r="W41" s="1566" t="str">
        <f>IF(ISERROR(INDEX('6a - Lighting Counts'!$G$33:$G$551, MATCH(0, COUNTIF($W$26:W40,'6a - Lighting Counts'!$G$33:$G$551), 0)))=TRUE,"",INDEX('6a - Lighting Counts'!$G$33:$G$551, MATCH(0, COUNTIF($W$26:W40,'6a - Lighting Counts'!$G$33:$G$551), 0)))</f>
        <v/>
      </c>
      <c r="X41" s="985">
        <f t="shared" si="4"/>
        <v>0</v>
      </c>
      <c r="Y41" s="985" t="str">
        <f t="shared" si="5"/>
        <v/>
      </c>
      <c r="Z41" s="1"/>
      <c r="AA41" s="1"/>
      <c r="AB41" s="1"/>
      <c r="AC41" s="1"/>
      <c r="AD41" s="1"/>
      <c r="AE41" s="1"/>
      <c r="AF41" s="1"/>
      <c r="AG41" s="1"/>
      <c r="AH41" s="1"/>
      <c r="AK41" s="1802"/>
    </row>
    <row r="42" spans="1:37" s="339" customFormat="1" ht="24" hidden="1" customHeight="1" x14ac:dyDescent="0.3">
      <c r="A42" s="304" t="s">
        <v>1038</v>
      </c>
      <c r="B42" s="3634" t="str">
        <f>'Lighting Assumptions'!C18</f>
        <v/>
      </c>
      <c r="C42" s="3634"/>
      <c r="D42" s="999">
        <f>SUMPRODUCT(--('6a - Lighting Counts'!$G$29:$G$551= B42),'6a - Lighting Counts'!H$29:$H$551,'6a - Lighting Counts'!$F$29:$F$551)</f>
        <v>0</v>
      </c>
      <c r="E42" s="999">
        <f>SUMPRODUCT(--('6a - Lighting Counts'!$G$29:$G$551= B42),'6a - Lighting Counts'!$CZ$29:$CZ$551,'6a - Lighting Counts'!$F$29:$F$551)</f>
        <v>0</v>
      </c>
      <c r="F42" s="1074">
        <f>IF(ISERROR(SUMPRODUCT(--('6a - Lighting Counts'!$G$29:$G$551= B42),'6a - Lighting Counts'!$DA$29:$DA$551,'6a - Lighting Counts'!$F$29:$F$551)=TRUE),"",SUMPRODUCT(--('6a - Lighting Counts'!$G$29:$G$551= '6b - General Lighting'!B42),'6a - Lighting Counts'!$DA$29:$DA$551,'6a - Lighting Counts'!$F$29:$F$551))</f>
        <v>0</v>
      </c>
      <c r="G42" s="1074">
        <f>IF(ISERROR(SUMPRODUCT(--('6a - Lighting Counts'!$G$29:$G$551= B42),'6a - Lighting Counts'!$DB$29:$DB$551,'6a - Lighting Counts'!$F$29:$F$551)=TRUE),"",SUMPRODUCT(--('6a - Lighting Counts'!$G$29:$G$551= '6b - General Lighting'!B42),'6a - Lighting Counts'!$DB$29:$DB$551,'6a - Lighting Counts'!$F$29:$F$551))</f>
        <v>0</v>
      </c>
      <c r="H42" s="1000" t="str">
        <f t="shared" si="6"/>
        <v>-</v>
      </c>
      <c r="I42" s="1000" t="str">
        <f t="shared" si="7"/>
        <v>-</v>
      </c>
      <c r="J42" s="1000" t="str">
        <f t="shared" si="8"/>
        <v>-</v>
      </c>
      <c r="K42" s="1000" t="str">
        <f t="shared" si="9"/>
        <v>-</v>
      </c>
      <c r="L42" s="2528">
        <f>SUMPRODUCT(--('6a - Lighting Counts'!$G$29:$G$551= B42),'6a - Lighting Counts'!$DG$29:$DG$551,'6a - Lighting Counts'!$F$29:$F$551)</f>
        <v>0</v>
      </c>
      <c r="M42" s="2796">
        <f>IF('General Information'!$R$55=2007,"Not Supported",IF('General Information'!$R$55=2016,IFERROR(IF(SI_IP_Units="IP",(SUMIF('Lighting Assumptions 90.1-2016'!LPDSpacebySpace2016,'6b - General Lighting'!B42,'Lighting Assumptions 90.1-2016'!$H$3:$H$106)),(SUMIF('Lighting Assumptions 90.1-2016'!LPDSpacebySpace2016,'6b - General Lighting'!B42,'Lighting Assumptions 90.1-2016'!$I$3:$I$106))),""),IFERROR(IF(SI_IP_Units="IP",(SUMIF('Lighting Assumptions 90.1-2010'!LPDSpacebySpace,'6b - General Lighting'!B42,'Lighting Assumptions 90.1-2010'!$H$3:$H$106)),(SUMIF('Lighting Assumptions 90.1-2010'!LPDSpacebySpace,'6b - General Lighting'!B42,'Lighting Assumptions 90.1-2010'!$I$3:$I$106))),"")))</f>
        <v>0</v>
      </c>
      <c r="N42" s="2510"/>
      <c r="O42" s="1565"/>
      <c r="P42" s="1565"/>
      <c r="Q42" s="1565"/>
      <c r="R42" s="1565"/>
      <c r="S42" s="1565"/>
      <c r="T42" s="1565"/>
      <c r="U42" s="1565"/>
      <c r="V42" s="347"/>
      <c r="W42" s="1566" t="str">
        <f>IF(ISERROR(INDEX('6a - Lighting Counts'!$G$33:$G$551, MATCH(0, COUNTIF($W$26:W41,'6a - Lighting Counts'!$G$33:$G$551), 0)))=TRUE,"",INDEX('6a - Lighting Counts'!$G$33:$G$551, MATCH(0, COUNTIF($W$26:W41,'6a - Lighting Counts'!$G$33:$G$551), 0)))</f>
        <v/>
      </c>
      <c r="X42" s="985">
        <f t="shared" si="4"/>
        <v>0</v>
      </c>
      <c r="Y42" s="985" t="str">
        <f t="shared" si="5"/>
        <v/>
      </c>
      <c r="Z42" s="1"/>
      <c r="AA42" s="1"/>
      <c r="AB42" s="1"/>
      <c r="AC42" s="1"/>
      <c r="AD42" s="1"/>
      <c r="AE42" s="1"/>
      <c r="AF42" s="1"/>
      <c r="AG42" s="1"/>
      <c r="AH42" s="1"/>
      <c r="AK42" s="1802"/>
    </row>
    <row r="43" spans="1:37" s="339" customFormat="1" ht="24" hidden="1" customHeight="1" x14ac:dyDescent="0.3">
      <c r="A43" s="304" t="s">
        <v>1038</v>
      </c>
      <c r="B43" s="3634" t="str">
        <f>'Lighting Assumptions'!C19</f>
        <v/>
      </c>
      <c r="C43" s="3634"/>
      <c r="D43" s="999">
        <f>SUMPRODUCT(--('6a - Lighting Counts'!$G$29:$G$551= B43),'6a - Lighting Counts'!H$29:$H$551,'6a - Lighting Counts'!$F$29:$F$551)</f>
        <v>0</v>
      </c>
      <c r="E43" s="999">
        <f>SUMPRODUCT(--('6a - Lighting Counts'!$G$29:$G$551= B43),'6a - Lighting Counts'!$CZ$29:$CZ$551,'6a - Lighting Counts'!$F$29:$F$551)</f>
        <v>0</v>
      </c>
      <c r="F43" s="1074">
        <f>IF(ISERROR(SUMPRODUCT(--('6a - Lighting Counts'!$G$29:$G$551= B43),'6a - Lighting Counts'!$DA$29:$DA$551,'6a - Lighting Counts'!$F$29:$F$551)=TRUE),"",SUMPRODUCT(--('6a - Lighting Counts'!$G$29:$G$551= '6b - General Lighting'!B43),'6a - Lighting Counts'!$DA$29:$DA$551,'6a - Lighting Counts'!$F$29:$F$551))</f>
        <v>0</v>
      </c>
      <c r="G43" s="1074">
        <f>IF(ISERROR(SUMPRODUCT(--('6a - Lighting Counts'!$G$29:$G$551= B43),'6a - Lighting Counts'!$DB$29:$DB$551,'6a - Lighting Counts'!$F$29:$F$551)=TRUE),"",SUMPRODUCT(--('6a - Lighting Counts'!$G$29:$G$551= '6b - General Lighting'!B43),'6a - Lighting Counts'!$DB$29:$DB$551,'6a - Lighting Counts'!$F$29:$F$551))</f>
        <v>0</v>
      </c>
      <c r="H43" s="1000" t="str">
        <f t="shared" si="6"/>
        <v>-</v>
      </c>
      <c r="I43" s="1000" t="str">
        <f t="shared" si="7"/>
        <v>-</v>
      </c>
      <c r="J43" s="1000" t="str">
        <f t="shared" si="8"/>
        <v>-</v>
      </c>
      <c r="K43" s="1000" t="str">
        <f t="shared" si="9"/>
        <v>-</v>
      </c>
      <c r="L43" s="2528">
        <f>SUMPRODUCT(--('6a - Lighting Counts'!$G$29:$G$551= B43),'6a - Lighting Counts'!$DG$29:$DG$551,'6a - Lighting Counts'!$F$29:$F$551)</f>
        <v>0</v>
      </c>
      <c r="M43" s="2796">
        <f>IF('General Information'!$R$55=2007,"Not Supported",IF('General Information'!$R$55=2016,IFERROR(IF(SI_IP_Units="IP",(SUMIF('Lighting Assumptions 90.1-2016'!LPDSpacebySpace2016,'6b - General Lighting'!B43,'Lighting Assumptions 90.1-2016'!$H$3:$H$106)),(SUMIF('Lighting Assumptions 90.1-2016'!LPDSpacebySpace2016,'6b - General Lighting'!B43,'Lighting Assumptions 90.1-2016'!$I$3:$I$106))),""),IFERROR(IF(SI_IP_Units="IP",(SUMIF('Lighting Assumptions 90.1-2010'!LPDSpacebySpace,'6b - General Lighting'!B43,'Lighting Assumptions 90.1-2010'!$H$3:$H$106)),(SUMIF('Lighting Assumptions 90.1-2010'!LPDSpacebySpace,'6b - General Lighting'!B43,'Lighting Assumptions 90.1-2010'!$I$3:$I$106))),"")))</f>
        <v>0</v>
      </c>
      <c r="N43" s="2510"/>
      <c r="O43" s="1565"/>
      <c r="P43" s="1565"/>
      <c r="Q43" s="1565"/>
      <c r="R43" s="1565"/>
      <c r="S43" s="1565"/>
      <c r="T43" s="1565"/>
      <c r="U43" s="1565"/>
      <c r="V43" s="347"/>
      <c r="W43" s="1566" t="str">
        <f>IF(ISERROR(INDEX('6a - Lighting Counts'!$G$33:$G$551, MATCH(0, COUNTIF($W$26:W42,'6a - Lighting Counts'!$G$33:$G$551), 0)))=TRUE,"",INDEX('6a - Lighting Counts'!$G$33:$G$551, MATCH(0, COUNTIF($W$26:W42,'6a - Lighting Counts'!$G$33:$G$551), 0)))</f>
        <v/>
      </c>
      <c r="X43" s="985">
        <f t="shared" si="4"/>
        <v>0</v>
      </c>
      <c r="Y43" s="985" t="str">
        <f t="shared" si="5"/>
        <v/>
      </c>
      <c r="Z43" s="1"/>
      <c r="AA43" s="1"/>
      <c r="AB43" s="1"/>
      <c r="AC43" s="1"/>
      <c r="AD43" s="1"/>
      <c r="AE43" s="1"/>
      <c r="AF43" s="1"/>
      <c r="AG43" s="1"/>
      <c r="AH43" s="1"/>
      <c r="AK43" s="1802"/>
    </row>
    <row r="44" spans="1:37" s="339" customFormat="1" ht="24" hidden="1" customHeight="1" x14ac:dyDescent="0.3">
      <c r="A44" s="304" t="s">
        <v>1038</v>
      </c>
      <c r="B44" s="3634" t="str">
        <f>'Lighting Assumptions'!C20</f>
        <v/>
      </c>
      <c r="C44" s="3634"/>
      <c r="D44" s="999">
        <f>SUMPRODUCT(--('6a - Lighting Counts'!$G$29:$G$551= B44),'6a - Lighting Counts'!H$29:$H$551,'6a - Lighting Counts'!$F$29:$F$551)</f>
        <v>0</v>
      </c>
      <c r="E44" s="999">
        <f>SUMPRODUCT(--('6a - Lighting Counts'!$G$29:$G$551= B44),'6a - Lighting Counts'!$CZ$29:$CZ$551,'6a - Lighting Counts'!$F$29:$F$551)</f>
        <v>0</v>
      </c>
      <c r="F44" s="1074">
        <f>IF(ISERROR(SUMPRODUCT(--('6a - Lighting Counts'!$G$29:$G$551= B44),'6a - Lighting Counts'!$DA$29:$DA$551,'6a - Lighting Counts'!$F$29:$F$551)=TRUE),"",SUMPRODUCT(--('6a - Lighting Counts'!$G$29:$G$551= '6b - General Lighting'!B44),'6a - Lighting Counts'!$DA$29:$DA$551,'6a - Lighting Counts'!$F$29:$F$551))</f>
        <v>0</v>
      </c>
      <c r="G44" s="1074">
        <f>IF(ISERROR(SUMPRODUCT(--('6a - Lighting Counts'!$G$29:$G$551= B44),'6a - Lighting Counts'!$DB$29:$DB$551,'6a - Lighting Counts'!$F$29:$F$551)=TRUE),"",SUMPRODUCT(--('6a - Lighting Counts'!$G$29:$G$551= '6b - General Lighting'!B44),'6a - Lighting Counts'!$DB$29:$DB$551,'6a - Lighting Counts'!$F$29:$F$551))</f>
        <v>0</v>
      </c>
      <c r="H44" s="1000" t="str">
        <f t="shared" si="6"/>
        <v>-</v>
      </c>
      <c r="I44" s="1000" t="str">
        <f t="shared" si="7"/>
        <v>-</v>
      </c>
      <c r="J44" s="1000" t="str">
        <f t="shared" si="8"/>
        <v>-</v>
      </c>
      <c r="K44" s="1000" t="str">
        <f t="shared" si="9"/>
        <v>-</v>
      </c>
      <c r="L44" s="2528">
        <f>SUMPRODUCT(--('6a - Lighting Counts'!$G$29:$G$551= B44),'6a - Lighting Counts'!$DG$29:$DG$551,'6a - Lighting Counts'!$F$29:$F$551)</f>
        <v>0</v>
      </c>
      <c r="M44" s="2796">
        <f>IF('General Information'!$R$55=2007,"Not Supported",IF('General Information'!$R$55=2016,IFERROR(IF(SI_IP_Units="IP",(SUMIF('Lighting Assumptions 90.1-2016'!LPDSpacebySpace2016,'6b - General Lighting'!B44,'Lighting Assumptions 90.1-2016'!$H$3:$H$106)),(SUMIF('Lighting Assumptions 90.1-2016'!LPDSpacebySpace2016,'6b - General Lighting'!B44,'Lighting Assumptions 90.1-2016'!$I$3:$I$106))),""),IFERROR(IF(SI_IP_Units="IP",(SUMIF('Lighting Assumptions 90.1-2010'!LPDSpacebySpace,'6b - General Lighting'!B44,'Lighting Assumptions 90.1-2010'!$H$3:$H$106)),(SUMIF('Lighting Assumptions 90.1-2010'!LPDSpacebySpace,'6b - General Lighting'!B44,'Lighting Assumptions 90.1-2010'!$I$3:$I$106))),"")))</f>
        <v>0</v>
      </c>
      <c r="N44" s="2510"/>
      <c r="O44" s="1565"/>
      <c r="P44" s="1565"/>
      <c r="Q44" s="1565"/>
      <c r="R44" s="1565"/>
      <c r="S44" s="1565"/>
      <c r="T44" s="1565"/>
      <c r="U44" s="1565"/>
      <c r="V44" s="347"/>
      <c r="W44" s="1566" t="str">
        <f>IF(ISERROR(INDEX('6a - Lighting Counts'!$G$33:$G$551, MATCH(0, COUNTIF($W$26:W43,'6a - Lighting Counts'!$G$33:$G$551), 0)))=TRUE,"",INDEX('6a - Lighting Counts'!$G$33:$G$551, MATCH(0, COUNTIF($W$26:W43,'6a - Lighting Counts'!$G$33:$G$551), 0)))</f>
        <v/>
      </c>
      <c r="X44" s="985">
        <f t="shared" si="4"/>
        <v>0</v>
      </c>
      <c r="Y44" s="985" t="str">
        <f t="shared" si="5"/>
        <v/>
      </c>
      <c r="Z44" s="1"/>
      <c r="AA44" s="1"/>
      <c r="AB44" s="1"/>
      <c r="AC44" s="1"/>
      <c r="AD44" s="1"/>
      <c r="AE44" s="1"/>
      <c r="AF44" s="1"/>
      <c r="AG44" s="1"/>
      <c r="AH44" s="1"/>
      <c r="AK44" s="1802"/>
    </row>
    <row r="45" spans="1:37" s="888" customFormat="1" ht="24" hidden="1" customHeight="1" x14ac:dyDescent="0.3">
      <c r="A45" s="886"/>
      <c r="B45" s="3634" t="str">
        <f>'Lighting Assumptions'!C21</f>
        <v/>
      </c>
      <c r="C45" s="3634"/>
      <c r="D45" s="999">
        <f>SUMPRODUCT(--('6a - Lighting Counts'!$G$29:$G$551= B45),'6a - Lighting Counts'!H$29:$H$551,'6a - Lighting Counts'!$F$29:$F$551)</f>
        <v>0</v>
      </c>
      <c r="E45" s="999">
        <f>SUMPRODUCT(--('6a - Lighting Counts'!$G$29:$G$551= B45),'6a - Lighting Counts'!$CZ$29:$CZ$551,'6a - Lighting Counts'!$F$29:$F$551)</f>
        <v>0</v>
      </c>
      <c r="F45" s="1074">
        <f>IF(ISERROR(SUMPRODUCT(--('6a - Lighting Counts'!$G$29:$G$551= B45),'6a - Lighting Counts'!$DA$29:$DA$551,'6a - Lighting Counts'!$F$29:$F$551)=TRUE),"",SUMPRODUCT(--('6a - Lighting Counts'!$G$29:$G$551= '6b - General Lighting'!B45),'6a - Lighting Counts'!$DA$29:$DA$551,'6a - Lighting Counts'!$F$29:$F$551))</f>
        <v>0</v>
      </c>
      <c r="G45" s="1074">
        <f>IF(ISERROR(SUMPRODUCT(--('6a - Lighting Counts'!$G$29:$G$551= B45),'6a - Lighting Counts'!$DB$29:$DB$551,'6a - Lighting Counts'!$F$29:$F$551)=TRUE),"",SUMPRODUCT(--('6a - Lighting Counts'!$G$29:$G$551= '6b - General Lighting'!B45),'6a - Lighting Counts'!$DB$29:$DB$551,'6a - Lighting Counts'!$F$29:$F$551))</f>
        <v>0</v>
      </c>
      <c r="H45" s="1000" t="str">
        <f t="shared" si="6"/>
        <v>-</v>
      </c>
      <c r="I45" s="1000" t="str">
        <f t="shared" si="7"/>
        <v>-</v>
      </c>
      <c r="J45" s="1000" t="str">
        <f t="shared" si="8"/>
        <v>-</v>
      </c>
      <c r="K45" s="1000" t="str">
        <f t="shared" si="9"/>
        <v>-</v>
      </c>
      <c r="L45" s="2528">
        <f>SUMPRODUCT(--('6a - Lighting Counts'!$G$29:$G$551= B45),'6a - Lighting Counts'!$DG$29:$DG$551,'6a - Lighting Counts'!$F$29:$F$551)</f>
        <v>0</v>
      </c>
      <c r="M45" s="2796">
        <f>IF('General Information'!$R$55=2007,"Not Supported",IF('General Information'!$R$55=2016,IFERROR(IF(SI_IP_Units="IP",(SUMIF('Lighting Assumptions 90.1-2016'!LPDSpacebySpace2016,'6b - General Lighting'!B45,'Lighting Assumptions 90.1-2016'!$H$3:$H$106)),(SUMIF('Lighting Assumptions 90.1-2016'!LPDSpacebySpace2016,'6b - General Lighting'!B45,'Lighting Assumptions 90.1-2016'!$I$3:$I$106))),""),IFERROR(IF(SI_IP_Units="IP",(SUMIF('Lighting Assumptions 90.1-2010'!LPDSpacebySpace,'6b - General Lighting'!B45,'Lighting Assumptions 90.1-2010'!$H$3:$H$106)),(SUMIF('Lighting Assumptions 90.1-2010'!LPDSpacebySpace,'6b - General Lighting'!B45,'Lighting Assumptions 90.1-2010'!$I$3:$I$106))),"")))</f>
        <v>0</v>
      </c>
      <c r="N45" s="2510"/>
      <c r="O45" s="1565"/>
      <c r="P45" s="1565"/>
      <c r="Q45" s="1565"/>
      <c r="R45" s="1565"/>
      <c r="S45" s="1565"/>
      <c r="T45" s="1565"/>
      <c r="U45" s="1565"/>
      <c r="V45" s="347"/>
      <c r="W45" s="1566" t="str">
        <f>IF(ISERROR(INDEX('6a - Lighting Counts'!$G$33:$G$551, MATCH(0, COUNTIF($W$26:W44,'6a - Lighting Counts'!$G$33:$G$551), 0)))=TRUE,"",INDEX('6a - Lighting Counts'!$G$33:$G$551, MATCH(0, COUNTIF($W$26:W44,'6a - Lighting Counts'!$G$33:$G$551), 0)))</f>
        <v/>
      </c>
      <c r="X45" s="985">
        <f t="shared" si="4"/>
        <v>0</v>
      </c>
      <c r="Y45" s="985" t="str">
        <f t="shared" si="5"/>
        <v/>
      </c>
      <c r="Z45" s="890"/>
      <c r="AA45" s="890"/>
      <c r="AB45" s="890"/>
      <c r="AC45" s="890"/>
      <c r="AD45" s="890"/>
      <c r="AE45" s="890"/>
      <c r="AF45" s="890"/>
      <c r="AG45" s="890"/>
      <c r="AH45" s="890"/>
      <c r="AK45" s="1802"/>
    </row>
    <row r="46" spans="1:37" s="339" customFormat="1" ht="24" hidden="1" customHeight="1" x14ac:dyDescent="0.3">
      <c r="A46" s="304" t="s">
        <v>1038</v>
      </c>
      <c r="B46" s="3634" t="str">
        <f>'Lighting Assumptions'!C22</f>
        <v/>
      </c>
      <c r="C46" s="3634"/>
      <c r="D46" s="999">
        <f>SUMPRODUCT(--('6a - Lighting Counts'!$G$29:$G$551= B46),'6a - Lighting Counts'!H$29:$H$551,'6a - Lighting Counts'!$F$29:$F$551)</f>
        <v>0</v>
      </c>
      <c r="E46" s="999">
        <f>SUMPRODUCT(--('6a - Lighting Counts'!$G$29:$G$551= B46),'6a - Lighting Counts'!$CZ$29:$CZ$551,'6a - Lighting Counts'!$F$29:$F$551)</f>
        <v>0</v>
      </c>
      <c r="F46" s="1074">
        <f>IF(ISERROR(SUMPRODUCT(--('6a - Lighting Counts'!$G$29:$G$551= B46),'6a - Lighting Counts'!$DA$29:$DA$551,'6a - Lighting Counts'!$F$29:$F$551)=TRUE),"",SUMPRODUCT(--('6a - Lighting Counts'!$G$29:$G$551= '6b - General Lighting'!B46),'6a - Lighting Counts'!$DA$29:$DA$551,'6a - Lighting Counts'!$F$29:$F$551))</f>
        <v>0</v>
      </c>
      <c r="G46" s="1074">
        <f>IF(ISERROR(SUMPRODUCT(--('6a - Lighting Counts'!$G$29:$G$551= B46),'6a - Lighting Counts'!$DB$29:$DB$551,'6a - Lighting Counts'!$F$29:$F$551)=TRUE),"",SUMPRODUCT(--('6a - Lighting Counts'!$G$29:$G$551= '6b - General Lighting'!B46),'6a - Lighting Counts'!$DB$29:$DB$551,'6a - Lighting Counts'!$F$29:$F$551))</f>
        <v>0</v>
      </c>
      <c r="H46" s="1000" t="str">
        <f t="shared" si="6"/>
        <v>-</v>
      </c>
      <c r="I46" s="1000" t="str">
        <f t="shared" si="7"/>
        <v>-</v>
      </c>
      <c r="J46" s="1000" t="str">
        <f t="shared" si="8"/>
        <v>-</v>
      </c>
      <c r="K46" s="1000" t="str">
        <f t="shared" si="9"/>
        <v>-</v>
      </c>
      <c r="L46" s="2528">
        <f>SUMPRODUCT(--('6a - Lighting Counts'!$G$29:$G$551= B46),'6a - Lighting Counts'!$DG$29:$DG$551,'6a - Lighting Counts'!$F$29:$F$551)</f>
        <v>0</v>
      </c>
      <c r="M46" s="2796">
        <f>IF('General Information'!$R$55=2007,"Not Supported",IF('General Information'!$R$55=2016,IFERROR(IF(SI_IP_Units="IP",(SUMIF('Lighting Assumptions 90.1-2016'!LPDSpacebySpace2016,'6b - General Lighting'!B46,'Lighting Assumptions 90.1-2016'!$H$3:$H$106)),(SUMIF('Lighting Assumptions 90.1-2016'!LPDSpacebySpace2016,'6b - General Lighting'!B46,'Lighting Assumptions 90.1-2016'!$I$3:$I$106))),""),IFERROR(IF(SI_IP_Units="IP",(SUMIF('Lighting Assumptions 90.1-2010'!LPDSpacebySpace,'6b - General Lighting'!B46,'Lighting Assumptions 90.1-2010'!$H$3:$H$106)),(SUMIF('Lighting Assumptions 90.1-2010'!LPDSpacebySpace,'6b - General Lighting'!B46,'Lighting Assumptions 90.1-2010'!$I$3:$I$106))),"")))</f>
        <v>0</v>
      </c>
      <c r="N46" s="2510"/>
      <c r="O46" s="1565"/>
      <c r="P46" s="1565"/>
      <c r="Q46" s="1565"/>
      <c r="R46" s="1565"/>
      <c r="S46" s="1565"/>
      <c r="T46" s="1565"/>
      <c r="U46" s="1565"/>
      <c r="V46" s="347"/>
      <c r="W46" s="1566" t="str">
        <f>IF(ISERROR(INDEX('6a - Lighting Counts'!$G$33:$G$551, MATCH(0, COUNTIF($W$26:W45,'6a - Lighting Counts'!$G$33:$G$551), 0)))=TRUE,"",INDEX('6a - Lighting Counts'!$G$33:$G$551, MATCH(0, COUNTIF($W$26:W45,'6a - Lighting Counts'!$G$33:$G$551), 0)))</f>
        <v/>
      </c>
      <c r="X46" s="985">
        <f t="shared" si="4"/>
        <v>0</v>
      </c>
      <c r="Y46" s="985" t="str">
        <f t="shared" si="5"/>
        <v/>
      </c>
      <c r="Z46" s="1"/>
      <c r="AA46" s="1"/>
      <c r="AB46" s="1"/>
      <c r="AC46" s="1"/>
      <c r="AD46" s="1"/>
      <c r="AE46" s="1"/>
      <c r="AF46" s="1"/>
      <c r="AG46" s="1"/>
      <c r="AH46" s="1"/>
      <c r="AK46" s="1802"/>
    </row>
    <row r="47" spans="1:37" s="339" customFormat="1" ht="24" hidden="1" customHeight="1" x14ac:dyDescent="0.3">
      <c r="A47" s="304" t="s">
        <v>1038</v>
      </c>
      <c r="B47" s="3634" t="str">
        <f>'Lighting Assumptions'!C23</f>
        <v/>
      </c>
      <c r="C47" s="3634"/>
      <c r="D47" s="999">
        <f>SUMPRODUCT(--('6a - Lighting Counts'!$G$29:$G$551= B47),'6a - Lighting Counts'!H$29:$H$551,'6a - Lighting Counts'!$F$29:$F$551)</f>
        <v>0</v>
      </c>
      <c r="E47" s="999">
        <f>SUMPRODUCT(--('6a - Lighting Counts'!$G$29:$G$551= B47),'6a - Lighting Counts'!$CZ$29:$CZ$551,'6a - Lighting Counts'!$F$29:$F$551)</f>
        <v>0</v>
      </c>
      <c r="F47" s="1074">
        <f>IF(ISERROR(SUMPRODUCT(--('6a - Lighting Counts'!$G$29:$G$551= B47),'6a - Lighting Counts'!$DA$29:$DA$551,'6a - Lighting Counts'!$F$29:$F$551)=TRUE),"",SUMPRODUCT(--('6a - Lighting Counts'!$G$29:$G$551= '6b - General Lighting'!B47),'6a - Lighting Counts'!$DA$29:$DA$551,'6a - Lighting Counts'!$F$29:$F$551))</f>
        <v>0</v>
      </c>
      <c r="G47" s="1074">
        <f>IF(ISERROR(SUMPRODUCT(--('6a - Lighting Counts'!$G$29:$G$551= B47),'6a - Lighting Counts'!$DB$29:$DB$551,'6a - Lighting Counts'!$F$29:$F$551)=TRUE),"",SUMPRODUCT(--('6a - Lighting Counts'!$G$29:$G$551= '6b - General Lighting'!B47),'6a - Lighting Counts'!$DB$29:$DB$551,'6a - Lighting Counts'!$F$29:$F$551))</f>
        <v>0</v>
      </c>
      <c r="H47" s="1000" t="str">
        <f t="shared" si="6"/>
        <v>-</v>
      </c>
      <c r="I47" s="1000" t="str">
        <f t="shared" si="7"/>
        <v>-</v>
      </c>
      <c r="J47" s="1000" t="str">
        <f t="shared" si="8"/>
        <v>-</v>
      </c>
      <c r="K47" s="1000" t="str">
        <f t="shared" si="9"/>
        <v>-</v>
      </c>
      <c r="L47" s="2528">
        <f>SUMPRODUCT(--('6a - Lighting Counts'!$G$29:$G$551= B47),'6a - Lighting Counts'!$DG$29:$DG$551,'6a - Lighting Counts'!$F$29:$F$551)</f>
        <v>0</v>
      </c>
      <c r="M47" s="2796">
        <f>IF('General Information'!$R$55=2007,"Not Supported",IF('General Information'!$R$55=2016,IFERROR(IF(SI_IP_Units="IP",(SUMIF('Lighting Assumptions 90.1-2016'!LPDSpacebySpace2016,'6b - General Lighting'!B47,'Lighting Assumptions 90.1-2016'!$H$3:$H$106)),(SUMIF('Lighting Assumptions 90.1-2016'!LPDSpacebySpace2016,'6b - General Lighting'!B47,'Lighting Assumptions 90.1-2016'!$I$3:$I$106))),""),IFERROR(IF(SI_IP_Units="IP",(SUMIF('Lighting Assumptions 90.1-2010'!LPDSpacebySpace,'6b - General Lighting'!B47,'Lighting Assumptions 90.1-2010'!$H$3:$H$106)),(SUMIF('Lighting Assumptions 90.1-2010'!LPDSpacebySpace,'6b - General Lighting'!B47,'Lighting Assumptions 90.1-2010'!$I$3:$I$106))),"")))</f>
        <v>0</v>
      </c>
      <c r="N47" s="2510"/>
      <c r="O47" s="1565"/>
      <c r="P47" s="1565"/>
      <c r="Q47" s="1565"/>
      <c r="R47" s="1565"/>
      <c r="S47" s="1565"/>
      <c r="T47" s="1565"/>
      <c r="U47" s="1565"/>
      <c r="V47" s="347"/>
      <c r="W47" s="1566" t="str">
        <f>IF(ISERROR(INDEX('6a - Lighting Counts'!$G$33:$G$551, MATCH(0, COUNTIF($W$26:W46,'6a - Lighting Counts'!$G$33:$G$551), 0)))=TRUE,"",INDEX('6a - Lighting Counts'!$G$33:$G$551, MATCH(0, COUNTIF($W$26:W46,'6a - Lighting Counts'!$G$33:$G$551), 0)))</f>
        <v/>
      </c>
      <c r="X47" s="985">
        <f t="shared" si="4"/>
        <v>0</v>
      </c>
      <c r="Y47" s="985" t="str">
        <f t="shared" si="5"/>
        <v/>
      </c>
      <c r="Z47" s="1"/>
      <c r="AA47" s="1"/>
      <c r="AB47" s="1"/>
      <c r="AC47" s="1"/>
      <c r="AD47" s="1"/>
      <c r="AE47" s="1"/>
      <c r="AF47" s="1"/>
      <c r="AG47" s="1"/>
      <c r="AH47" s="1"/>
      <c r="AK47" s="1802"/>
    </row>
    <row r="48" spans="1:37" s="339" customFormat="1" ht="24" hidden="1" customHeight="1" x14ac:dyDescent="0.3">
      <c r="A48" s="304" t="s">
        <v>1038</v>
      </c>
      <c r="B48" s="3634" t="str">
        <f>'Lighting Assumptions'!C24</f>
        <v/>
      </c>
      <c r="C48" s="3634"/>
      <c r="D48" s="999">
        <f>SUMPRODUCT(--('6a - Lighting Counts'!$G$29:$G$551= B48),'6a - Lighting Counts'!H$29:$H$551,'6a - Lighting Counts'!$F$29:$F$551)</f>
        <v>0</v>
      </c>
      <c r="E48" s="999">
        <f>SUMPRODUCT(--('6a - Lighting Counts'!$G$29:$G$551= B48),'6a - Lighting Counts'!$CZ$29:$CZ$551,'6a - Lighting Counts'!$F$29:$F$551)</f>
        <v>0</v>
      </c>
      <c r="F48" s="1074">
        <f>IF(ISERROR(SUMPRODUCT(--('6a - Lighting Counts'!$G$29:$G$551= B48),'6a - Lighting Counts'!$DA$29:$DA$551,'6a - Lighting Counts'!$F$29:$F$551)=TRUE),"",SUMPRODUCT(--('6a - Lighting Counts'!$G$29:$G$551= '6b - General Lighting'!B48),'6a - Lighting Counts'!$DA$29:$DA$551,'6a - Lighting Counts'!$F$29:$F$551))</f>
        <v>0</v>
      </c>
      <c r="G48" s="1074">
        <f>IF(ISERROR(SUMPRODUCT(--('6a - Lighting Counts'!$G$29:$G$551= B48),'6a - Lighting Counts'!$DB$29:$DB$551,'6a - Lighting Counts'!$F$29:$F$551)=TRUE),"",SUMPRODUCT(--('6a - Lighting Counts'!$G$29:$G$551= '6b - General Lighting'!B48),'6a - Lighting Counts'!$DB$29:$DB$551,'6a - Lighting Counts'!$F$29:$F$551))</f>
        <v>0</v>
      </c>
      <c r="H48" s="1000" t="str">
        <f t="shared" si="6"/>
        <v>-</v>
      </c>
      <c r="I48" s="1000" t="str">
        <f t="shared" si="7"/>
        <v>-</v>
      </c>
      <c r="J48" s="1000" t="str">
        <f t="shared" si="8"/>
        <v>-</v>
      </c>
      <c r="K48" s="1000" t="str">
        <f t="shared" si="9"/>
        <v>-</v>
      </c>
      <c r="L48" s="2528">
        <f>SUMPRODUCT(--('6a - Lighting Counts'!$G$29:$G$551= B48),'6a - Lighting Counts'!$DG$29:$DG$551,'6a - Lighting Counts'!$F$29:$F$551)</f>
        <v>0</v>
      </c>
      <c r="M48" s="2796">
        <f>IF('General Information'!$R$55=2007,"Not Supported",IF('General Information'!$R$55=2016,IFERROR(IF(SI_IP_Units="IP",(SUMIF('Lighting Assumptions 90.1-2016'!LPDSpacebySpace2016,'6b - General Lighting'!B48,'Lighting Assumptions 90.1-2016'!$H$3:$H$106)),(SUMIF('Lighting Assumptions 90.1-2016'!LPDSpacebySpace2016,'6b - General Lighting'!B48,'Lighting Assumptions 90.1-2016'!$I$3:$I$106))),""),IFERROR(IF(SI_IP_Units="IP",(SUMIF('Lighting Assumptions 90.1-2010'!LPDSpacebySpace,'6b - General Lighting'!B48,'Lighting Assumptions 90.1-2010'!$H$3:$H$106)),(SUMIF('Lighting Assumptions 90.1-2010'!LPDSpacebySpace,'6b - General Lighting'!B48,'Lighting Assumptions 90.1-2010'!$I$3:$I$106))),"")))</f>
        <v>0</v>
      </c>
      <c r="N48" s="2510"/>
      <c r="O48" s="1565"/>
      <c r="P48" s="1565"/>
      <c r="Q48" s="1565"/>
      <c r="R48" s="1565"/>
      <c r="S48" s="1565"/>
      <c r="T48" s="1565"/>
      <c r="U48" s="1565"/>
      <c r="V48" s="347"/>
      <c r="W48" s="1566" t="str">
        <f>IF(ISERROR(INDEX('6a - Lighting Counts'!$G$33:$G$551, MATCH(0, COUNTIF($W$26:W47,'6a - Lighting Counts'!$G$33:$G$551), 0)))=TRUE,"",INDEX('6a - Lighting Counts'!$G$33:$G$551, MATCH(0, COUNTIF($W$26:W47,'6a - Lighting Counts'!$G$33:$G$551), 0)))</f>
        <v/>
      </c>
      <c r="X48" s="985">
        <f t="shared" si="4"/>
        <v>0</v>
      </c>
      <c r="Y48" s="985" t="str">
        <f t="shared" si="5"/>
        <v/>
      </c>
      <c r="Z48" s="1"/>
      <c r="AA48" s="1"/>
      <c r="AB48" s="1"/>
      <c r="AC48" s="1"/>
      <c r="AD48" s="1"/>
      <c r="AE48" s="1"/>
      <c r="AF48" s="1"/>
      <c r="AG48" s="1"/>
      <c r="AH48" s="1"/>
      <c r="AK48" s="1802"/>
    </row>
    <row r="49" spans="1:37" s="339" customFormat="1" ht="24" hidden="1" customHeight="1" x14ac:dyDescent="0.3">
      <c r="A49" s="304" t="s">
        <v>1038</v>
      </c>
      <c r="B49" s="3634" t="str">
        <f>'Lighting Assumptions'!C25</f>
        <v/>
      </c>
      <c r="C49" s="3634"/>
      <c r="D49" s="999">
        <f>SUMPRODUCT(--('6a - Lighting Counts'!$G$29:$G$551= B49),'6a - Lighting Counts'!H$29:$H$551,'6a - Lighting Counts'!$F$29:$F$551)</f>
        <v>0</v>
      </c>
      <c r="E49" s="999">
        <f>SUMPRODUCT(--('6a - Lighting Counts'!$G$29:$G$551= B49),'6a - Lighting Counts'!$CZ$29:$CZ$551,'6a - Lighting Counts'!$F$29:$F$551)</f>
        <v>0</v>
      </c>
      <c r="F49" s="1074">
        <f>IF(ISERROR(SUMPRODUCT(--('6a - Lighting Counts'!$G$29:$G$551= B49),'6a - Lighting Counts'!$DA$29:$DA$551,'6a - Lighting Counts'!$F$29:$F$551)=TRUE),"",SUMPRODUCT(--('6a - Lighting Counts'!$G$29:$G$551= '6b - General Lighting'!B49),'6a - Lighting Counts'!$DA$29:$DA$551,'6a - Lighting Counts'!$F$29:$F$551))</f>
        <v>0</v>
      </c>
      <c r="G49" s="1074">
        <f>IF(ISERROR(SUMPRODUCT(--('6a - Lighting Counts'!$G$29:$G$551= B49),'6a - Lighting Counts'!$DB$29:$DB$551,'6a - Lighting Counts'!$F$29:$F$551)=TRUE),"",SUMPRODUCT(--('6a - Lighting Counts'!$G$29:$G$551= '6b - General Lighting'!B49),'6a - Lighting Counts'!$DB$29:$DB$551,'6a - Lighting Counts'!$F$29:$F$551))</f>
        <v>0</v>
      </c>
      <c r="H49" s="1000" t="str">
        <f t="shared" si="6"/>
        <v>-</v>
      </c>
      <c r="I49" s="1000" t="str">
        <f t="shared" si="7"/>
        <v>-</v>
      </c>
      <c r="J49" s="1000" t="str">
        <f t="shared" si="8"/>
        <v>-</v>
      </c>
      <c r="K49" s="1000" t="str">
        <f t="shared" si="9"/>
        <v>-</v>
      </c>
      <c r="L49" s="2528">
        <f>SUMPRODUCT(--('6a - Lighting Counts'!$G$29:$G$551= B49),'6a - Lighting Counts'!$DG$29:$DG$551,'6a - Lighting Counts'!$F$29:$F$551)</f>
        <v>0</v>
      </c>
      <c r="M49" s="2796">
        <f>IF('General Information'!$R$55=2007,"Not Supported",IF('General Information'!$R$55=2016,IFERROR(IF(SI_IP_Units="IP",(SUMIF('Lighting Assumptions 90.1-2016'!LPDSpacebySpace2016,'6b - General Lighting'!B49,'Lighting Assumptions 90.1-2016'!$H$3:$H$106)),(SUMIF('Lighting Assumptions 90.1-2016'!LPDSpacebySpace2016,'6b - General Lighting'!B49,'Lighting Assumptions 90.1-2016'!$I$3:$I$106))),""),IFERROR(IF(SI_IP_Units="IP",(SUMIF('Lighting Assumptions 90.1-2010'!LPDSpacebySpace,'6b - General Lighting'!B49,'Lighting Assumptions 90.1-2010'!$H$3:$H$106)),(SUMIF('Lighting Assumptions 90.1-2010'!LPDSpacebySpace,'6b - General Lighting'!B49,'Lighting Assumptions 90.1-2010'!$I$3:$I$106))),"")))</f>
        <v>0</v>
      </c>
      <c r="N49" s="2510"/>
      <c r="O49" s="1565"/>
      <c r="P49" s="1565"/>
      <c r="Q49" s="1565"/>
      <c r="R49" s="1565"/>
      <c r="S49" s="1565"/>
      <c r="T49" s="1565"/>
      <c r="U49" s="1565"/>
      <c r="V49" s="347"/>
      <c r="W49" s="1566" t="str">
        <f>IF(ISERROR(INDEX('6a - Lighting Counts'!$G$33:$G$551, MATCH(0, COUNTIF($W$26:W46,'6a - Lighting Counts'!$G$33:$G$551), 0)))=TRUE,"",INDEX('6a - Lighting Counts'!$G$33:$G$551, MATCH(0, COUNTIF($W$26:W46,'6a - Lighting Counts'!$G$33:$G$551), 0)))</f>
        <v/>
      </c>
      <c r="X49" s="985">
        <f t="shared" si="4"/>
        <v>0</v>
      </c>
      <c r="Y49" s="985" t="str">
        <f t="shared" si="5"/>
        <v/>
      </c>
      <c r="Z49" s="1"/>
      <c r="AA49" s="1"/>
      <c r="AB49" s="1"/>
      <c r="AC49" s="1"/>
      <c r="AD49" s="1"/>
      <c r="AE49" s="1"/>
      <c r="AF49" s="1"/>
      <c r="AG49" s="1"/>
      <c r="AH49" s="1"/>
      <c r="AK49" s="1802"/>
    </row>
    <row r="50" spans="1:37" s="347" customFormat="1" ht="24" hidden="1" customHeight="1" x14ac:dyDescent="0.3">
      <c r="A50" s="304" t="s">
        <v>1038</v>
      </c>
      <c r="B50" s="3634" t="str">
        <f>'Lighting Assumptions'!C26</f>
        <v/>
      </c>
      <c r="C50" s="3634"/>
      <c r="D50" s="999">
        <f>SUMPRODUCT(--('6a - Lighting Counts'!$G$29:$G$551= B50),'6a - Lighting Counts'!H$29:$H$551,'6a - Lighting Counts'!$F$29:$F$551)</f>
        <v>0</v>
      </c>
      <c r="E50" s="999">
        <f>SUMPRODUCT(--('6a - Lighting Counts'!$G$29:$G$551= B50),'6a - Lighting Counts'!$CZ$29:$CZ$551,'6a - Lighting Counts'!$F$29:$F$551)</f>
        <v>0</v>
      </c>
      <c r="F50" s="1074">
        <f>IF(ISERROR(SUMPRODUCT(--('6a - Lighting Counts'!$G$29:$G$551= B50),'6a - Lighting Counts'!$DA$29:$DA$551,'6a - Lighting Counts'!$F$29:$F$551)=TRUE),"",SUMPRODUCT(--('6a - Lighting Counts'!$G$29:$G$551= '6b - General Lighting'!B50),'6a - Lighting Counts'!$DA$29:$DA$551,'6a - Lighting Counts'!$F$29:$F$551))</f>
        <v>0</v>
      </c>
      <c r="G50" s="1074">
        <f>IF(ISERROR(SUMPRODUCT(--('6a - Lighting Counts'!$G$29:$G$551= B50),'6a - Lighting Counts'!$DB$29:$DB$551,'6a - Lighting Counts'!$F$29:$F$551)=TRUE),"",SUMPRODUCT(--('6a - Lighting Counts'!$G$29:$G$551= '6b - General Lighting'!B50),'6a - Lighting Counts'!$DB$29:$DB$551,'6a - Lighting Counts'!$F$29:$F$551))</f>
        <v>0</v>
      </c>
      <c r="H50" s="1000" t="str">
        <f t="shared" si="6"/>
        <v>-</v>
      </c>
      <c r="I50" s="1000" t="str">
        <f t="shared" si="7"/>
        <v>-</v>
      </c>
      <c r="J50" s="1000" t="str">
        <f t="shared" si="8"/>
        <v>-</v>
      </c>
      <c r="K50" s="1000" t="str">
        <f t="shared" si="9"/>
        <v>-</v>
      </c>
      <c r="L50" s="2528">
        <f>SUMPRODUCT(--('6a - Lighting Counts'!$G$29:$G$551= B50),'6a - Lighting Counts'!$DG$29:$DG$551,'6a - Lighting Counts'!$F$29:$F$551)</f>
        <v>0</v>
      </c>
      <c r="M50" s="2796">
        <f>IF('General Information'!$R$55=2007,"Not Supported",IF('General Information'!$R$55=2016,IFERROR(IF(SI_IP_Units="IP",(SUMIF('Lighting Assumptions 90.1-2016'!LPDSpacebySpace2016,'6b - General Lighting'!B50,'Lighting Assumptions 90.1-2016'!$H$3:$H$106)),(SUMIF('Lighting Assumptions 90.1-2016'!LPDSpacebySpace2016,'6b - General Lighting'!B50,'Lighting Assumptions 90.1-2016'!$I$3:$I$106))),""),IFERROR(IF(SI_IP_Units="IP",(SUMIF('Lighting Assumptions 90.1-2010'!LPDSpacebySpace,'6b - General Lighting'!B50,'Lighting Assumptions 90.1-2010'!$H$3:$H$106)),(SUMIF('Lighting Assumptions 90.1-2010'!LPDSpacebySpace,'6b - General Lighting'!B50,'Lighting Assumptions 90.1-2010'!$I$3:$I$106))),"")))</f>
        <v>0</v>
      </c>
      <c r="N50" s="2510"/>
      <c r="O50" s="1565"/>
      <c r="P50" s="1565"/>
      <c r="Q50" s="1565"/>
      <c r="R50" s="1565"/>
      <c r="S50" s="1565"/>
      <c r="T50" s="1565"/>
      <c r="U50" s="1565"/>
      <c r="W50" s="1566" t="str">
        <f>IF(ISERROR(INDEX('6a - Lighting Counts'!$G$33:$G$551, MATCH(0, COUNTIF($W$26:W49,'6a - Lighting Counts'!$G$33:$G$551), 0)))=TRUE,"",INDEX('6a - Lighting Counts'!$G$33:$G$551, MATCH(0, COUNTIF($W$26:W49,'6a - Lighting Counts'!$G$33:$G$551), 0)))</f>
        <v/>
      </c>
      <c r="X50" s="985">
        <f t="shared" si="4"/>
        <v>0</v>
      </c>
      <c r="Y50" s="985" t="str">
        <f t="shared" si="5"/>
        <v/>
      </c>
      <c r="Z50" s="42"/>
      <c r="AA50" s="42"/>
      <c r="AB50" s="42"/>
      <c r="AC50" s="42"/>
      <c r="AD50" s="42"/>
      <c r="AE50" s="42"/>
      <c r="AF50" s="42"/>
      <c r="AG50" s="42"/>
      <c r="AH50" s="42"/>
      <c r="AK50" s="1802"/>
    </row>
    <row r="51" spans="1:37" s="347" customFormat="1" ht="24" hidden="1" customHeight="1" x14ac:dyDescent="0.3">
      <c r="A51" s="304" t="s">
        <v>1038</v>
      </c>
      <c r="B51" s="3634" t="str">
        <f>'Lighting Assumptions'!C27</f>
        <v/>
      </c>
      <c r="C51" s="3634"/>
      <c r="D51" s="999">
        <f>SUMPRODUCT(--('6a - Lighting Counts'!$G$29:$G$551= B51),'6a - Lighting Counts'!H$29:$H$551,'6a - Lighting Counts'!$F$29:$F$551)</f>
        <v>0</v>
      </c>
      <c r="E51" s="999">
        <f>SUMPRODUCT(--('6a - Lighting Counts'!$G$29:$G$551= B51),'6a - Lighting Counts'!$CZ$29:$CZ$551,'6a - Lighting Counts'!$F$29:$F$551)</f>
        <v>0</v>
      </c>
      <c r="F51" s="1074">
        <f>IF(ISERROR(SUMPRODUCT(--('6a - Lighting Counts'!$G$29:$G$551= B51),'6a - Lighting Counts'!$DA$29:$DA$551,'6a - Lighting Counts'!$F$29:$F$551)=TRUE),"",SUMPRODUCT(--('6a - Lighting Counts'!$G$29:$G$551= '6b - General Lighting'!B51),'6a - Lighting Counts'!$DA$29:$DA$551,'6a - Lighting Counts'!$F$29:$F$551))</f>
        <v>0</v>
      </c>
      <c r="G51" s="1074">
        <f>IF(ISERROR(SUMPRODUCT(--('6a - Lighting Counts'!$G$29:$G$551= B51),'6a - Lighting Counts'!$DB$29:$DB$551,'6a - Lighting Counts'!$F$29:$F$551)=TRUE),"",SUMPRODUCT(--('6a - Lighting Counts'!$G$29:$G$551= '6b - General Lighting'!B51),'6a - Lighting Counts'!$DB$29:$DB$551,'6a - Lighting Counts'!$F$29:$F$551))</f>
        <v>0</v>
      </c>
      <c r="H51" s="1000" t="str">
        <f t="shared" si="6"/>
        <v>-</v>
      </c>
      <c r="I51" s="1000" t="str">
        <f t="shared" si="7"/>
        <v>-</v>
      </c>
      <c r="J51" s="1000" t="str">
        <f t="shared" si="8"/>
        <v>-</v>
      </c>
      <c r="K51" s="1000" t="str">
        <f t="shared" si="9"/>
        <v>-</v>
      </c>
      <c r="L51" s="2528">
        <f>SUMPRODUCT(--('6a - Lighting Counts'!$G$29:$G$551= B51),'6a - Lighting Counts'!$DG$29:$DG$551,'6a - Lighting Counts'!$F$29:$F$551)</f>
        <v>0</v>
      </c>
      <c r="M51" s="2796">
        <f>IF('General Information'!$R$55=2007,"Not Supported",IF('General Information'!$R$55=2016,IFERROR(IF(SI_IP_Units="IP",(SUMIF('Lighting Assumptions 90.1-2016'!LPDSpacebySpace2016,'6b - General Lighting'!B51,'Lighting Assumptions 90.1-2016'!$H$3:$H$106)),(SUMIF('Lighting Assumptions 90.1-2016'!LPDSpacebySpace2016,'6b - General Lighting'!B51,'Lighting Assumptions 90.1-2016'!$I$3:$I$106))),""),IFERROR(IF(SI_IP_Units="IP",(SUMIF('Lighting Assumptions 90.1-2010'!LPDSpacebySpace,'6b - General Lighting'!B51,'Lighting Assumptions 90.1-2010'!$H$3:$H$106)),(SUMIF('Lighting Assumptions 90.1-2010'!LPDSpacebySpace,'6b - General Lighting'!B51,'Lighting Assumptions 90.1-2010'!$I$3:$I$106))),"")))</f>
        <v>0</v>
      </c>
      <c r="N51" s="2510"/>
      <c r="O51" s="1565"/>
      <c r="P51" s="1565"/>
      <c r="Q51" s="1565"/>
      <c r="R51" s="1565"/>
      <c r="S51" s="1565"/>
      <c r="T51" s="1565"/>
      <c r="U51" s="1565"/>
      <c r="W51" s="1566" t="str">
        <f>IF(ISERROR(INDEX('6a - Lighting Counts'!$G$33:$G$551, MATCH(0, COUNTIF($W$26:W50,'6a - Lighting Counts'!$G$33:$G$551), 0)))=TRUE,"",INDEX('6a - Lighting Counts'!$G$33:$G$551, MATCH(0, COUNTIF($W$26:W50,'6a - Lighting Counts'!$G$33:$G$551), 0)))</f>
        <v/>
      </c>
      <c r="X51" s="985">
        <f t="shared" si="4"/>
        <v>0</v>
      </c>
      <c r="Y51" s="985" t="str">
        <f t="shared" si="5"/>
        <v/>
      </c>
      <c r="Z51" s="42"/>
      <c r="AA51" s="42"/>
      <c r="AB51" s="42"/>
      <c r="AC51" s="42"/>
      <c r="AD51" s="42"/>
      <c r="AE51" s="42"/>
      <c r="AF51" s="42"/>
      <c r="AG51" s="42"/>
      <c r="AH51" s="42"/>
      <c r="AK51" s="1802"/>
    </row>
    <row r="52" spans="1:37" s="347" customFormat="1" ht="24" hidden="1" customHeight="1" x14ac:dyDescent="0.3">
      <c r="A52" s="304" t="s">
        <v>1038</v>
      </c>
      <c r="B52" s="3634" t="str">
        <f>'Lighting Assumptions'!C28</f>
        <v/>
      </c>
      <c r="C52" s="3634"/>
      <c r="D52" s="999">
        <f>SUMPRODUCT(--('6a - Lighting Counts'!$G$29:$G$551= B52),'6a - Lighting Counts'!H$29:$H$551,'6a - Lighting Counts'!$F$29:$F$551)</f>
        <v>0</v>
      </c>
      <c r="E52" s="999">
        <f>SUMPRODUCT(--('6a - Lighting Counts'!$G$29:$G$551= B52),'6a - Lighting Counts'!$CZ$29:$CZ$551,'6a - Lighting Counts'!$F$29:$F$551)</f>
        <v>0</v>
      </c>
      <c r="F52" s="1074">
        <f>IF(ISERROR(SUMPRODUCT(--('6a - Lighting Counts'!$G$29:$G$551= B52),'6a - Lighting Counts'!$DA$29:$DA$551,'6a - Lighting Counts'!$F$29:$F$551)=TRUE),"",SUMPRODUCT(--('6a - Lighting Counts'!$G$29:$G$551= '6b - General Lighting'!B52),'6a - Lighting Counts'!$DA$29:$DA$551,'6a - Lighting Counts'!$F$29:$F$551))</f>
        <v>0</v>
      </c>
      <c r="G52" s="1074">
        <f>IF(ISERROR(SUMPRODUCT(--('6a - Lighting Counts'!$G$29:$G$551= B52),'6a - Lighting Counts'!$DB$29:$DB$551,'6a - Lighting Counts'!$F$29:$F$551)=TRUE),"",SUMPRODUCT(--('6a - Lighting Counts'!$G$29:$G$551= '6b - General Lighting'!B52),'6a - Lighting Counts'!$DB$29:$DB$551,'6a - Lighting Counts'!$F$29:$F$551))</f>
        <v>0</v>
      </c>
      <c r="H52" s="1000" t="str">
        <f t="shared" si="6"/>
        <v>-</v>
      </c>
      <c r="I52" s="1000" t="str">
        <f t="shared" si="7"/>
        <v>-</v>
      </c>
      <c r="J52" s="1000" t="str">
        <f t="shared" si="8"/>
        <v>-</v>
      </c>
      <c r="K52" s="1000" t="str">
        <f t="shared" si="9"/>
        <v>-</v>
      </c>
      <c r="L52" s="2528">
        <f>SUMPRODUCT(--('6a - Lighting Counts'!$G$29:$G$551= B52),'6a - Lighting Counts'!$DG$29:$DG$551,'6a - Lighting Counts'!$F$29:$F$551)</f>
        <v>0</v>
      </c>
      <c r="M52" s="2796">
        <f>IF('General Information'!$R$55=2007,"Not Supported",IF('General Information'!$R$55=2016,IFERROR(IF(SI_IP_Units="IP",(SUMIF('Lighting Assumptions 90.1-2016'!LPDSpacebySpace2016,'6b - General Lighting'!B52,'Lighting Assumptions 90.1-2016'!$H$3:$H$106)),(SUMIF('Lighting Assumptions 90.1-2016'!LPDSpacebySpace2016,'6b - General Lighting'!B52,'Lighting Assumptions 90.1-2016'!$I$3:$I$106))),""),IFERROR(IF(SI_IP_Units="IP",(SUMIF('Lighting Assumptions 90.1-2010'!LPDSpacebySpace,'6b - General Lighting'!B52,'Lighting Assumptions 90.1-2010'!$H$3:$H$106)),(SUMIF('Lighting Assumptions 90.1-2010'!LPDSpacebySpace,'6b - General Lighting'!B52,'Lighting Assumptions 90.1-2010'!$I$3:$I$106))),"")))</f>
        <v>0</v>
      </c>
      <c r="N52" s="2510"/>
      <c r="O52" s="1565"/>
      <c r="P52" s="1565"/>
      <c r="Q52" s="1565"/>
      <c r="R52" s="1565"/>
      <c r="S52" s="1565"/>
      <c r="T52" s="1565"/>
      <c r="U52" s="1565"/>
      <c r="W52" s="1566" t="str">
        <f>IF(ISERROR(INDEX('6a - Lighting Counts'!$G$33:$G$551, MATCH(0, COUNTIF($W$26:W51,'6a - Lighting Counts'!$G$33:$G$551), 0)))=TRUE,"",INDEX('6a - Lighting Counts'!$G$33:$G$551, MATCH(0, COUNTIF($W$26:W51,'6a - Lighting Counts'!$G$33:$G$551), 0)))</f>
        <v/>
      </c>
      <c r="X52" s="985">
        <f t="shared" si="4"/>
        <v>0</v>
      </c>
      <c r="Y52" s="985" t="str">
        <f t="shared" si="5"/>
        <v/>
      </c>
      <c r="Z52" s="42"/>
      <c r="AA52" s="42"/>
      <c r="AB52" s="42"/>
      <c r="AC52" s="42"/>
      <c r="AD52" s="42"/>
      <c r="AE52" s="42"/>
      <c r="AF52" s="42"/>
      <c r="AG52" s="42"/>
      <c r="AH52" s="42"/>
      <c r="AK52" s="1802"/>
    </row>
    <row r="53" spans="1:37" s="347" customFormat="1" ht="24" hidden="1" customHeight="1" x14ac:dyDescent="0.3">
      <c r="A53" s="304" t="s">
        <v>1038</v>
      </c>
      <c r="B53" s="3634" t="str">
        <f>'Lighting Assumptions'!C29</f>
        <v/>
      </c>
      <c r="C53" s="3634"/>
      <c r="D53" s="999">
        <f>SUMPRODUCT(--('6a - Lighting Counts'!$G$29:$G$551= B53),'6a - Lighting Counts'!H$29:$H$551,'6a - Lighting Counts'!$F$29:$F$551)</f>
        <v>0</v>
      </c>
      <c r="E53" s="999">
        <f>SUMPRODUCT(--('6a - Lighting Counts'!$G$29:$G$551= B53),'6a - Lighting Counts'!$CZ$29:$CZ$551,'6a - Lighting Counts'!$F$29:$F$551)</f>
        <v>0</v>
      </c>
      <c r="F53" s="1074">
        <f>IF(ISERROR(SUMPRODUCT(--('6a - Lighting Counts'!$G$29:$G$551= B53),'6a - Lighting Counts'!$DA$29:$DA$551,'6a - Lighting Counts'!$F$29:$F$551)=TRUE),"",SUMPRODUCT(--('6a - Lighting Counts'!$G$29:$G$551= '6b - General Lighting'!B53),'6a - Lighting Counts'!$DA$29:$DA$551,'6a - Lighting Counts'!$F$29:$F$551))</f>
        <v>0</v>
      </c>
      <c r="G53" s="1074">
        <f>IF(ISERROR(SUMPRODUCT(--('6a - Lighting Counts'!$G$29:$G$551= B53),'6a - Lighting Counts'!$DB$29:$DB$551,'6a - Lighting Counts'!$F$29:$F$551)=TRUE),"",SUMPRODUCT(--('6a - Lighting Counts'!$G$29:$G$551= '6b - General Lighting'!B53),'6a - Lighting Counts'!$DB$29:$DB$551,'6a - Lighting Counts'!$F$29:$F$551))</f>
        <v>0</v>
      </c>
      <c r="H53" s="1000" t="str">
        <f t="shared" si="6"/>
        <v>-</v>
      </c>
      <c r="I53" s="1000" t="str">
        <f t="shared" si="7"/>
        <v>-</v>
      </c>
      <c r="J53" s="1000" t="str">
        <f t="shared" si="8"/>
        <v>-</v>
      </c>
      <c r="K53" s="1000" t="str">
        <f t="shared" si="9"/>
        <v>-</v>
      </c>
      <c r="L53" s="2528">
        <f>SUMPRODUCT(--('6a - Lighting Counts'!$G$29:$G$551= B53),'6a - Lighting Counts'!$DG$29:$DG$551,'6a - Lighting Counts'!$F$29:$F$551)</f>
        <v>0</v>
      </c>
      <c r="M53" s="2796">
        <f>IF('General Information'!$R$55=2007,"Not Supported",IF('General Information'!$R$55=2016,IFERROR(IF(SI_IP_Units="IP",(SUMIF('Lighting Assumptions 90.1-2016'!LPDSpacebySpace2016,'6b - General Lighting'!B53,'Lighting Assumptions 90.1-2016'!$H$3:$H$106)),(SUMIF('Lighting Assumptions 90.1-2016'!LPDSpacebySpace2016,'6b - General Lighting'!B53,'Lighting Assumptions 90.1-2016'!$I$3:$I$106))),""),IFERROR(IF(SI_IP_Units="IP",(SUMIF('Lighting Assumptions 90.1-2010'!LPDSpacebySpace,'6b - General Lighting'!B53,'Lighting Assumptions 90.1-2010'!$H$3:$H$106)),(SUMIF('Lighting Assumptions 90.1-2010'!LPDSpacebySpace,'6b - General Lighting'!B53,'Lighting Assumptions 90.1-2010'!$I$3:$I$106))),"")))</f>
        <v>0</v>
      </c>
      <c r="N53" s="2510"/>
      <c r="O53" s="1565"/>
      <c r="P53" s="1565"/>
      <c r="Q53" s="1565"/>
      <c r="R53" s="1565"/>
      <c r="S53" s="1565"/>
      <c r="T53" s="1565"/>
      <c r="U53" s="1565"/>
      <c r="W53" s="1566" t="str">
        <f>IF(ISERROR(INDEX('6a - Lighting Counts'!$G$33:$G$551, MATCH(0, COUNTIF($W$26:W52,'6a - Lighting Counts'!$G$33:$G$551), 0)))=TRUE,"",INDEX('6a - Lighting Counts'!$G$33:$G$551, MATCH(0, COUNTIF($W$26:W52,'6a - Lighting Counts'!$G$33:$G$551), 0)))</f>
        <v/>
      </c>
      <c r="X53" s="985">
        <f t="shared" si="4"/>
        <v>0</v>
      </c>
      <c r="Y53" s="985" t="str">
        <f t="shared" si="5"/>
        <v/>
      </c>
      <c r="Z53" s="42"/>
      <c r="AA53" s="42"/>
      <c r="AB53" s="42"/>
      <c r="AC53" s="42"/>
      <c r="AD53" s="42"/>
      <c r="AE53" s="42"/>
      <c r="AF53" s="42"/>
      <c r="AG53" s="42"/>
      <c r="AH53" s="42"/>
      <c r="AK53" s="1802"/>
    </row>
    <row r="54" spans="1:37" s="347" customFormat="1" ht="24" hidden="1" customHeight="1" x14ac:dyDescent="0.3">
      <c r="A54" s="304" t="s">
        <v>1038</v>
      </c>
      <c r="B54" s="3634" t="str">
        <f>'Lighting Assumptions'!C30</f>
        <v/>
      </c>
      <c r="C54" s="3634"/>
      <c r="D54" s="999">
        <f>SUMPRODUCT(--('6a - Lighting Counts'!$G$29:$G$551= B54),'6a - Lighting Counts'!H$29:$H$551,'6a - Lighting Counts'!$F$29:$F$551)</f>
        <v>0</v>
      </c>
      <c r="E54" s="999">
        <f>SUMPRODUCT(--('6a - Lighting Counts'!$G$29:$G$551= B54),'6a - Lighting Counts'!$CZ$29:$CZ$551,'6a - Lighting Counts'!$F$29:$F$551)</f>
        <v>0</v>
      </c>
      <c r="F54" s="1074">
        <f>IF(ISERROR(SUMPRODUCT(--('6a - Lighting Counts'!$G$29:$G$551= B54),'6a - Lighting Counts'!$DA$29:$DA$551,'6a - Lighting Counts'!$F$29:$F$551)=TRUE),"",SUMPRODUCT(--('6a - Lighting Counts'!$G$29:$G$551= '6b - General Lighting'!B54),'6a - Lighting Counts'!$DA$29:$DA$551,'6a - Lighting Counts'!$F$29:$F$551))</f>
        <v>0</v>
      </c>
      <c r="G54" s="1074">
        <f>IF(ISERROR(SUMPRODUCT(--('6a - Lighting Counts'!$G$29:$G$551= B54),'6a - Lighting Counts'!$DB$29:$DB$551,'6a - Lighting Counts'!$F$29:$F$551)=TRUE),"",SUMPRODUCT(--('6a - Lighting Counts'!$G$29:$G$551= '6b - General Lighting'!B54),'6a - Lighting Counts'!$DB$29:$DB$551,'6a - Lighting Counts'!$F$29:$F$551))</f>
        <v>0</v>
      </c>
      <c r="H54" s="1000" t="str">
        <f t="shared" si="6"/>
        <v>-</v>
      </c>
      <c r="I54" s="1000" t="str">
        <f t="shared" si="7"/>
        <v>-</v>
      </c>
      <c r="J54" s="1000" t="str">
        <f t="shared" si="8"/>
        <v>-</v>
      </c>
      <c r="K54" s="1000" t="str">
        <f t="shared" si="9"/>
        <v>-</v>
      </c>
      <c r="L54" s="2528">
        <f>SUMPRODUCT(--('6a - Lighting Counts'!$G$29:$G$551= B54),'6a - Lighting Counts'!$DG$29:$DG$551,'6a - Lighting Counts'!$F$29:$F$551)</f>
        <v>0</v>
      </c>
      <c r="M54" s="2796">
        <f>IF('General Information'!$R$55=2007,"Not Supported",IF('General Information'!$R$55=2016,IFERROR(IF(SI_IP_Units="IP",(SUMIF('Lighting Assumptions 90.1-2016'!LPDSpacebySpace2016,'6b - General Lighting'!B54,'Lighting Assumptions 90.1-2016'!$H$3:$H$106)),(SUMIF('Lighting Assumptions 90.1-2016'!LPDSpacebySpace2016,'6b - General Lighting'!B54,'Lighting Assumptions 90.1-2016'!$I$3:$I$106))),""),IFERROR(IF(SI_IP_Units="IP",(SUMIF('Lighting Assumptions 90.1-2010'!LPDSpacebySpace,'6b - General Lighting'!B54,'Lighting Assumptions 90.1-2010'!$H$3:$H$106)),(SUMIF('Lighting Assumptions 90.1-2010'!LPDSpacebySpace,'6b - General Lighting'!B54,'Lighting Assumptions 90.1-2010'!$I$3:$I$106))),"")))</f>
        <v>0</v>
      </c>
      <c r="N54" s="2510"/>
      <c r="O54" s="1565"/>
      <c r="P54" s="1565"/>
      <c r="Q54" s="1565"/>
      <c r="R54" s="1565"/>
      <c r="S54" s="1565"/>
      <c r="T54" s="1565"/>
      <c r="U54" s="1565"/>
      <c r="W54" s="1566" t="str">
        <f>IF(ISERROR(INDEX('6a - Lighting Counts'!$G$33:$G$551, MATCH(0, COUNTIF($W$26:W53,'6a - Lighting Counts'!$G$33:$G$551), 0)))=TRUE,"",INDEX('6a - Lighting Counts'!$G$33:$G$551, MATCH(0, COUNTIF($W$26:W53,'6a - Lighting Counts'!$G$33:$G$551), 0)))</f>
        <v/>
      </c>
      <c r="X54" s="985">
        <f t="shared" si="4"/>
        <v>0</v>
      </c>
      <c r="Y54" s="985" t="str">
        <f t="shared" si="5"/>
        <v/>
      </c>
      <c r="Z54" s="42"/>
      <c r="AA54" s="42"/>
      <c r="AB54" s="42"/>
      <c r="AC54" s="42"/>
      <c r="AD54" s="42"/>
      <c r="AE54" s="42"/>
      <c r="AF54" s="42"/>
      <c r="AG54" s="42"/>
      <c r="AH54" s="42"/>
      <c r="AK54" s="1802"/>
    </row>
    <row r="55" spans="1:37" s="347" customFormat="1" ht="24" hidden="1" customHeight="1" x14ac:dyDescent="0.3">
      <c r="A55" s="304" t="s">
        <v>1038</v>
      </c>
      <c r="B55" s="3634" t="str">
        <f>'Lighting Assumptions'!C31</f>
        <v/>
      </c>
      <c r="C55" s="3634"/>
      <c r="D55" s="999">
        <f>SUMPRODUCT(--('6a - Lighting Counts'!$G$29:$G$551= B55),'6a - Lighting Counts'!H$29:$H$551,'6a - Lighting Counts'!$F$29:$F$551)</f>
        <v>0</v>
      </c>
      <c r="E55" s="999">
        <f>SUMPRODUCT(--('6a - Lighting Counts'!$G$29:$G$551= B55),'6a - Lighting Counts'!$CZ$29:$CZ$551,'6a - Lighting Counts'!$F$29:$F$551)</f>
        <v>0</v>
      </c>
      <c r="F55" s="1074">
        <f>IF(ISERROR(SUMPRODUCT(--('6a - Lighting Counts'!$G$29:$G$551= B55),'6a - Lighting Counts'!$DA$29:$DA$551,'6a - Lighting Counts'!$F$29:$F$551)=TRUE),"",SUMPRODUCT(--('6a - Lighting Counts'!$G$29:$G$551= '6b - General Lighting'!B55),'6a - Lighting Counts'!$DA$29:$DA$551,'6a - Lighting Counts'!$F$29:$F$551))</f>
        <v>0</v>
      </c>
      <c r="G55" s="1074">
        <f>IF(ISERROR(SUMPRODUCT(--('6a - Lighting Counts'!$G$29:$G$551= B55),'6a - Lighting Counts'!$DB$29:$DB$551,'6a - Lighting Counts'!$F$29:$F$551)=TRUE),"",SUMPRODUCT(--('6a - Lighting Counts'!$G$29:$G$551= '6b - General Lighting'!B55),'6a - Lighting Counts'!$DB$29:$DB$551,'6a - Lighting Counts'!$F$29:$F$551))</f>
        <v>0</v>
      </c>
      <c r="H55" s="1000" t="str">
        <f t="shared" si="6"/>
        <v>-</v>
      </c>
      <c r="I55" s="1000" t="str">
        <f t="shared" si="7"/>
        <v>-</v>
      </c>
      <c r="J55" s="1000" t="str">
        <f t="shared" si="8"/>
        <v>-</v>
      </c>
      <c r="K55" s="1000" t="str">
        <f t="shared" si="9"/>
        <v>-</v>
      </c>
      <c r="L55" s="2528">
        <f>SUMPRODUCT(--('6a - Lighting Counts'!$G$29:$G$551= B55),'6a - Lighting Counts'!$DG$29:$DG$551,'6a - Lighting Counts'!$F$29:$F$551)</f>
        <v>0</v>
      </c>
      <c r="M55" s="2796">
        <f>IF('General Information'!$R$55=2007,"Not Supported",IF('General Information'!$R$55=2016,IFERROR(IF(SI_IP_Units="IP",(SUMIF('Lighting Assumptions 90.1-2016'!LPDSpacebySpace2016,'6b - General Lighting'!B55,'Lighting Assumptions 90.1-2016'!$H$3:$H$106)),(SUMIF('Lighting Assumptions 90.1-2016'!LPDSpacebySpace2016,'6b - General Lighting'!B55,'Lighting Assumptions 90.1-2016'!$I$3:$I$106))),""),IFERROR(IF(SI_IP_Units="IP",(SUMIF('Lighting Assumptions 90.1-2010'!LPDSpacebySpace,'6b - General Lighting'!B55,'Lighting Assumptions 90.1-2010'!$H$3:$H$106)),(SUMIF('Lighting Assumptions 90.1-2010'!LPDSpacebySpace,'6b - General Lighting'!B55,'Lighting Assumptions 90.1-2010'!$I$3:$I$106))),"")))</f>
        <v>0</v>
      </c>
      <c r="N55" s="2510"/>
      <c r="O55" s="1565"/>
      <c r="P55" s="1565"/>
      <c r="Q55" s="1565"/>
      <c r="R55" s="1565"/>
      <c r="S55" s="1565"/>
      <c r="T55" s="1565"/>
      <c r="U55" s="1565"/>
      <c r="W55" s="1566" t="str">
        <f>IF(ISERROR(INDEX('6a - Lighting Counts'!$G$33:$G$551, MATCH(0, COUNTIF($W$26:W54,'6a - Lighting Counts'!$G$33:$G$551), 0)))=TRUE,"",INDEX('6a - Lighting Counts'!$G$33:$G$551, MATCH(0, COUNTIF($W$26:W54,'6a - Lighting Counts'!$G$33:$G$551), 0)))</f>
        <v/>
      </c>
      <c r="X55" s="985">
        <f t="shared" si="4"/>
        <v>0</v>
      </c>
      <c r="Y55" s="985" t="str">
        <f t="shared" si="5"/>
        <v/>
      </c>
      <c r="Z55" s="42"/>
      <c r="AA55" s="42"/>
      <c r="AB55" s="42"/>
      <c r="AC55" s="42"/>
      <c r="AD55" s="42"/>
      <c r="AE55" s="42"/>
      <c r="AF55" s="42"/>
      <c r="AG55" s="42"/>
      <c r="AH55" s="42"/>
      <c r="AK55" s="1802"/>
    </row>
    <row r="56" spans="1:37" s="347" customFormat="1" ht="24" hidden="1" customHeight="1" x14ac:dyDescent="0.3">
      <c r="A56" s="304" t="s">
        <v>1038</v>
      </c>
      <c r="B56" s="3634" t="str">
        <f>'Lighting Assumptions'!C32</f>
        <v/>
      </c>
      <c r="C56" s="3634"/>
      <c r="D56" s="999">
        <f>SUMPRODUCT(--('6a - Lighting Counts'!$G$29:$G$551= B56),'6a - Lighting Counts'!H$29:$H$551,'6a - Lighting Counts'!$F$29:$F$551)</f>
        <v>0</v>
      </c>
      <c r="E56" s="999">
        <f>SUMPRODUCT(--('6a - Lighting Counts'!$G$29:$G$551= B56),'6a - Lighting Counts'!$CZ$29:$CZ$551,'6a - Lighting Counts'!$F$29:$F$551)</f>
        <v>0</v>
      </c>
      <c r="F56" s="1074">
        <f>IF(ISERROR(SUMPRODUCT(--('6a - Lighting Counts'!$G$29:$G$551= B56),'6a - Lighting Counts'!$DA$29:$DA$551,'6a - Lighting Counts'!$F$29:$F$551)=TRUE),"",SUMPRODUCT(--('6a - Lighting Counts'!$G$29:$G$551= '6b - General Lighting'!B56),'6a - Lighting Counts'!$DA$29:$DA$551,'6a - Lighting Counts'!$F$29:$F$551))</f>
        <v>0</v>
      </c>
      <c r="G56" s="1074">
        <f>IF(ISERROR(SUMPRODUCT(--('6a - Lighting Counts'!$G$29:$G$551= B56),'6a - Lighting Counts'!$DB$29:$DB$551,'6a - Lighting Counts'!$F$29:$F$551)=TRUE),"",SUMPRODUCT(--('6a - Lighting Counts'!$G$29:$G$551= '6b - General Lighting'!B56),'6a - Lighting Counts'!$DB$29:$DB$551,'6a - Lighting Counts'!$F$29:$F$551))</f>
        <v>0</v>
      </c>
      <c r="H56" s="1000" t="str">
        <f t="shared" si="6"/>
        <v>-</v>
      </c>
      <c r="I56" s="1000" t="str">
        <f t="shared" si="7"/>
        <v>-</v>
      </c>
      <c r="J56" s="1000" t="str">
        <f t="shared" si="8"/>
        <v>-</v>
      </c>
      <c r="K56" s="1000" t="str">
        <f t="shared" si="9"/>
        <v>-</v>
      </c>
      <c r="L56" s="2528">
        <f>SUMPRODUCT(--('6a - Lighting Counts'!$G$29:$G$551= B56),'6a - Lighting Counts'!$DG$29:$DG$551,'6a - Lighting Counts'!$F$29:$F$551)</f>
        <v>0</v>
      </c>
      <c r="M56" s="2796">
        <f>IF('General Information'!$R$55=2007,"Not Supported",IF('General Information'!$R$55=2016,IFERROR(IF(SI_IP_Units="IP",(SUMIF('Lighting Assumptions 90.1-2016'!LPDSpacebySpace2016,'6b - General Lighting'!B56,'Lighting Assumptions 90.1-2016'!$H$3:$H$106)),(SUMIF('Lighting Assumptions 90.1-2016'!LPDSpacebySpace2016,'6b - General Lighting'!B56,'Lighting Assumptions 90.1-2016'!$I$3:$I$106))),""),IFERROR(IF(SI_IP_Units="IP",(SUMIF('Lighting Assumptions 90.1-2010'!LPDSpacebySpace,'6b - General Lighting'!B56,'Lighting Assumptions 90.1-2010'!$H$3:$H$106)),(SUMIF('Lighting Assumptions 90.1-2010'!LPDSpacebySpace,'6b - General Lighting'!B56,'Lighting Assumptions 90.1-2010'!$I$3:$I$106))),"")))</f>
        <v>0</v>
      </c>
      <c r="N56" s="2510"/>
      <c r="O56" s="1565"/>
      <c r="P56" s="1565"/>
      <c r="Q56" s="1565"/>
      <c r="R56" s="1565"/>
      <c r="S56" s="1565"/>
      <c r="T56" s="1565"/>
      <c r="U56" s="1565"/>
      <c r="W56" s="1566" t="str">
        <f>IF(ISERROR(INDEX('6a - Lighting Counts'!$G$33:$G$551, MATCH(0, COUNTIF($W$26:W55,'6a - Lighting Counts'!$G$33:$G$551), 0)))=TRUE,"",INDEX('6a - Lighting Counts'!$G$33:$G$551, MATCH(0, COUNTIF($W$26:W55,'6a - Lighting Counts'!$G$33:$G$551), 0)))</f>
        <v/>
      </c>
      <c r="X56" s="985">
        <f t="shared" si="4"/>
        <v>0</v>
      </c>
      <c r="Y56" s="985" t="str">
        <f t="shared" si="5"/>
        <v/>
      </c>
      <c r="Z56" s="42"/>
      <c r="AA56" s="42"/>
      <c r="AB56" s="42"/>
      <c r="AC56" s="42"/>
      <c r="AD56" s="42"/>
      <c r="AE56" s="42"/>
      <c r="AF56" s="42"/>
      <c r="AG56" s="42"/>
      <c r="AH56" s="42"/>
      <c r="AK56" s="1802"/>
    </row>
    <row r="57" spans="1:37" s="396" customFormat="1" ht="24" hidden="1" customHeight="1" x14ac:dyDescent="0.3">
      <c r="A57" s="304" t="s">
        <v>1038</v>
      </c>
      <c r="B57" s="3634" t="str">
        <f>'Lighting Assumptions'!C33</f>
        <v/>
      </c>
      <c r="C57" s="3634"/>
      <c r="D57" s="999">
        <f>SUMPRODUCT(--('6a - Lighting Counts'!$G$29:$G$551= B57),'6a - Lighting Counts'!H$29:$H$551,'6a - Lighting Counts'!$F$29:$F$551)</f>
        <v>0</v>
      </c>
      <c r="E57" s="999">
        <f>SUMPRODUCT(--('6a - Lighting Counts'!$G$29:$G$551= B57),'6a - Lighting Counts'!$CZ$29:$CZ$551,'6a - Lighting Counts'!$F$29:$F$551)</f>
        <v>0</v>
      </c>
      <c r="F57" s="1074">
        <f>IF(ISERROR(SUMPRODUCT(--('6a - Lighting Counts'!$G$29:$G$551= B57),'6a - Lighting Counts'!$DA$29:$DA$551,'6a - Lighting Counts'!$F$29:$F$551)=TRUE),"",SUMPRODUCT(--('6a - Lighting Counts'!$G$29:$G$551= '6b - General Lighting'!B57),'6a - Lighting Counts'!$DA$29:$DA$551,'6a - Lighting Counts'!$F$29:$F$551))</f>
        <v>0</v>
      </c>
      <c r="G57" s="1074">
        <f>IF(ISERROR(SUMPRODUCT(--('6a - Lighting Counts'!$G$29:$G$551= B57),'6a - Lighting Counts'!$DB$29:$DB$551,'6a - Lighting Counts'!$F$29:$F$551)=TRUE),"",SUMPRODUCT(--('6a - Lighting Counts'!$G$29:$G$551= '6b - General Lighting'!B57),'6a - Lighting Counts'!$DB$29:$DB$551,'6a - Lighting Counts'!$F$29:$F$551))</f>
        <v>0</v>
      </c>
      <c r="H57" s="1000" t="str">
        <f t="shared" si="6"/>
        <v>-</v>
      </c>
      <c r="I57" s="1000" t="str">
        <f t="shared" si="7"/>
        <v>-</v>
      </c>
      <c r="J57" s="1000" t="str">
        <f t="shared" si="8"/>
        <v>-</v>
      </c>
      <c r="K57" s="1000" t="str">
        <f t="shared" si="9"/>
        <v>-</v>
      </c>
      <c r="L57" s="2528">
        <f>SUMPRODUCT(--('6a - Lighting Counts'!$G$29:$G$551= B57),'6a - Lighting Counts'!$DG$29:$DG$551,'6a - Lighting Counts'!$F$29:$F$551)</f>
        <v>0</v>
      </c>
      <c r="M57" s="2796">
        <f>IF('General Information'!$R$55=2007,"Not Supported",IF('General Information'!$R$55=2016,IFERROR(IF(SI_IP_Units="IP",(SUMIF('Lighting Assumptions 90.1-2016'!LPDSpacebySpace2016,'6b - General Lighting'!B57,'Lighting Assumptions 90.1-2016'!$H$3:$H$106)),(SUMIF('Lighting Assumptions 90.1-2016'!LPDSpacebySpace2016,'6b - General Lighting'!B57,'Lighting Assumptions 90.1-2016'!$I$3:$I$106))),""),IFERROR(IF(SI_IP_Units="IP",(SUMIF('Lighting Assumptions 90.1-2010'!LPDSpacebySpace,'6b - General Lighting'!B57,'Lighting Assumptions 90.1-2010'!$H$3:$H$106)),(SUMIF('Lighting Assumptions 90.1-2010'!LPDSpacebySpace,'6b - General Lighting'!B57,'Lighting Assumptions 90.1-2010'!$I$3:$I$106))),"")))</f>
        <v>0</v>
      </c>
      <c r="N57" s="2510"/>
      <c r="O57" s="1565"/>
      <c r="P57" s="1565"/>
      <c r="Q57" s="1565"/>
      <c r="R57" s="1565"/>
      <c r="S57" s="1565"/>
      <c r="T57" s="1565"/>
      <c r="U57" s="1565"/>
      <c r="V57" s="347"/>
      <c r="W57" s="1566" t="str">
        <f>IF(ISERROR(INDEX('6a - Lighting Counts'!$G$33:$G$551, MATCH(0, COUNTIF($W$26:W56,'6a - Lighting Counts'!$G$33:$G$551), 0)))=TRUE,"",INDEX('6a - Lighting Counts'!$G$33:$G$551, MATCH(0, COUNTIF($W$26:W56,'6a - Lighting Counts'!$G$33:$G$551), 0)))</f>
        <v/>
      </c>
      <c r="X57" s="985">
        <f t="shared" si="4"/>
        <v>0</v>
      </c>
      <c r="Y57" s="985" t="str">
        <f t="shared" si="5"/>
        <v/>
      </c>
      <c r="Z57" s="184"/>
      <c r="AA57" s="184"/>
      <c r="AB57" s="184"/>
      <c r="AC57" s="184"/>
      <c r="AD57" s="184"/>
      <c r="AE57" s="184"/>
      <c r="AF57" s="184"/>
      <c r="AG57" s="184"/>
      <c r="AH57" s="184"/>
      <c r="AK57" s="1802"/>
    </row>
    <row r="58" spans="1:37" s="396" customFormat="1" ht="24" hidden="1" customHeight="1" x14ac:dyDescent="0.3">
      <c r="A58" s="304" t="s">
        <v>1038</v>
      </c>
      <c r="B58" s="3634" t="str">
        <f>'Lighting Assumptions'!C34</f>
        <v/>
      </c>
      <c r="C58" s="3634"/>
      <c r="D58" s="999">
        <f>SUMPRODUCT(--('6a - Lighting Counts'!$G$29:$G$551= B58),'6a - Lighting Counts'!H$29:$H$551,'6a - Lighting Counts'!$F$29:$F$551)</f>
        <v>0</v>
      </c>
      <c r="E58" s="999">
        <f>SUMPRODUCT(--('6a - Lighting Counts'!$G$29:$G$551= B58),'6a - Lighting Counts'!$CZ$29:$CZ$551,'6a - Lighting Counts'!$F$29:$F$551)</f>
        <v>0</v>
      </c>
      <c r="F58" s="1074">
        <f>IF(ISERROR(SUMPRODUCT(--('6a - Lighting Counts'!$G$29:$G$551= B58),'6a - Lighting Counts'!$DA$29:$DA$551,'6a - Lighting Counts'!$F$29:$F$551)=TRUE),"",SUMPRODUCT(--('6a - Lighting Counts'!$G$29:$G$551= '6b - General Lighting'!B58),'6a - Lighting Counts'!$DA$29:$DA$551,'6a - Lighting Counts'!$F$29:$F$551))</f>
        <v>0</v>
      </c>
      <c r="G58" s="1074">
        <f>IF(ISERROR(SUMPRODUCT(--('6a - Lighting Counts'!$G$29:$G$551= B58),'6a - Lighting Counts'!$DB$29:$DB$551,'6a - Lighting Counts'!$F$29:$F$551)=TRUE),"",SUMPRODUCT(--('6a - Lighting Counts'!$G$29:$G$551= '6b - General Lighting'!B58),'6a - Lighting Counts'!$DB$29:$DB$551,'6a - Lighting Counts'!$F$29:$F$551))</f>
        <v>0</v>
      </c>
      <c r="H58" s="1000" t="str">
        <f t="shared" si="6"/>
        <v>-</v>
      </c>
      <c r="I58" s="1000" t="str">
        <f t="shared" si="7"/>
        <v>-</v>
      </c>
      <c r="J58" s="1000" t="str">
        <f t="shared" si="8"/>
        <v>-</v>
      </c>
      <c r="K58" s="1000" t="str">
        <f t="shared" si="9"/>
        <v>-</v>
      </c>
      <c r="L58" s="2528">
        <f>SUMPRODUCT(--('6a - Lighting Counts'!$G$29:$G$551= B58),'6a - Lighting Counts'!$DG$29:$DG$551,'6a - Lighting Counts'!$F$29:$F$551)</f>
        <v>0</v>
      </c>
      <c r="M58" s="2796">
        <f>IF('General Information'!$R$55=2007,"Not Supported",IF('General Information'!$R$55=2016,IFERROR(IF(SI_IP_Units="IP",(SUMIF('Lighting Assumptions 90.1-2016'!LPDSpacebySpace2016,'6b - General Lighting'!B58,'Lighting Assumptions 90.1-2016'!$H$3:$H$106)),(SUMIF('Lighting Assumptions 90.1-2016'!LPDSpacebySpace2016,'6b - General Lighting'!B58,'Lighting Assumptions 90.1-2016'!$I$3:$I$106))),""),IFERROR(IF(SI_IP_Units="IP",(SUMIF('Lighting Assumptions 90.1-2010'!LPDSpacebySpace,'6b - General Lighting'!B58,'Lighting Assumptions 90.1-2010'!$H$3:$H$106)),(SUMIF('Lighting Assumptions 90.1-2010'!LPDSpacebySpace,'6b - General Lighting'!B58,'Lighting Assumptions 90.1-2010'!$I$3:$I$106))),"")))</f>
        <v>0</v>
      </c>
      <c r="N58" s="2510"/>
      <c r="O58" s="1567"/>
      <c r="P58" s="1567"/>
      <c r="Q58" s="1565"/>
      <c r="R58" s="1565"/>
      <c r="S58" s="1565"/>
      <c r="T58" s="1565"/>
      <c r="U58" s="1565"/>
      <c r="V58" s="347"/>
      <c r="W58" s="1566" t="str">
        <f>IF(ISERROR(INDEX('6a - Lighting Counts'!$G$33:$G$551, MATCH(0, COUNTIF($W$26:W57,'6a - Lighting Counts'!$G$33:$G$551), 0)))=TRUE,"",INDEX('6a - Lighting Counts'!$G$33:$G$551, MATCH(0, COUNTIF($W$26:W57,'6a - Lighting Counts'!$G$33:$G$551), 0)))</f>
        <v/>
      </c>
      <c r="X58" s="985">
        <f t="shared" si="4"/>
        <v>0</v>
      </c>
      <c r="Y58" s="985" t="str">
        <f t="shared" si="5"/>
        <v/>
      </c>
      <c r="Z58" s="184"/>
      <c r="AA58" s="184"/>
      <c r="AB58" s="184"/>
      <c r="AC58" s="184"/>
      <c r="AD58" s="184"/>
      <c r="AE58" s="184"/>
      <c r="AF58" s="184"/>
      <c r="AG58" s="184"/>
      <c r="AH58" s="184"/>
      <c r="AK58" s="1802"/>
    </row>
    <row r="59" spans="1:37" s="396" customFormat="1" ht="24" hidden="1" customHeight="1" x14ac:dyDescent="0.3">
      <c r="A59" s="304" t="s">
        <v>1038</v>
      </c>
      <c r="B59" s="3634" t="str">
        <f>'Lighting Assumptions'!C35</f>
        <v/>
      </c>
      <c r="C59" s="3634"/>
      <c r="D59" s="999">
        <f>SUMPRODUCT(--('6a - Lighting Counts'!$G$29:$G$551= B59),'6a - Lighting Counts'!H$29:$H$551,'6a - Lighting Counts'!$F$29:$F$551)</f>
        <v>0</v>
      </c>
      <c r="E59" s="999">
        <f>SUMPRODUCT(--('6a - Lighting Counts'!$G$29:$G$551= B59),'6a - Lighting Counts'!$CZ$29:$CZ$551,'6a - Lighting Counts'!$F$29:$F$551)</f>
        <v>0</v>
      </c>
      <c r="F59" s="1074">
        <f>IF(ISERROR(SUMPRODUCT(--('6a - Lighting Counts'!$G$29:$G$551= B59),'6a - Lighting Counts'!$DA$29:$DA$551,'6a - Lighting Counts'!$F$29:$F$551)=TRUE),"",SUMPRODUCT(--('6a - Lighting Counts'!$G$29:$G$551= '6b - General Lighting'!B59),'6a - Lighting Counts'!$DA$29:$DA$551,'6a - Lighting Counts'!$F$29:$F$551))</f>
        <v>0</v>
      </c>
      <c r="G59" s="1074">
        <f>IF(ISERROR(SUMPRODUCT(--('6a - Lighting Counts'!$G$29:$G$551= B59),'6a - Lighting Counts'!$DB$29:$DB$551,'6a - Lighting Counts'!$F$29:$F$551)=TRUE),"",SUMPRODUCT(--('6a - Lighting Counts'!$G$29:$G$551= '6b - General Lighting'!B59),'6a - Lighting Counts'!$DB$29:$DB$551,'6a - Lighting Counts'!$F$29:$F$551))</f>
        <v>0</v>
      </c>
      <c r="H59" s="1000" t="str">
        <f t="shared" si="6"/>
        <v>-</v>
      </c>
      <c r="I59" s="1000" t="str">
        <f t="shared" si="7"/>
        <v>-</v>
      </c>
      <c r="J59" s="1000" t="str">
        <f t="shared" si="8"/>
        <v>-</v>
      </c>
      <c r="K59" s="1000" t="str">
        <f t="shared" si="9"/>
        <v>-</v>
      </c>
      <c r="L59" s="2528">
        <f>SUMPRODUCT(--('6a - Lighting Counts'!$G$29:$G$551= B59),'6a - Lighting Counts'!$DG$29:$DG$551,'6a - Lighting Counts'!$F$29:$F$551)</f>
        <v>0</v>
      </c>
      <c r="M59" s="2796">
        <f>IF('General Information'!$R$55=2007,"Not Supported",IF('General Information'!$R$55=2016,IFERROR(IF(SI_IP_Units="IP",(SUMIF('Lighting Assumptions 90.1-2016'!LPDSpacebySpace2016,'6b - General Lighting'!B59,'Lighting Assumptions 90.1-2016'!$H$3:$H$106)),(SUMIF('Lighting Assumptions 90.1-2016'!LPDSpacebySpace2016,'6b - General Lighting'!B59,'Lighting Assumptions 90.1-2016'!$I$3:$I$106))),""),IFERROR(IF(SI_IP_Units="IP",(SUMIF('Lighting Assumptions 90.1-2010'!LPDSpacebySpace,'6b - General Lighting'!B59,'Lighting Assumptions 90.1-2010'!$H$3:$H$106)),(SUMIF('Lighting Assumptions 90.1-2010'!LPDSpacebySpace,'6b - General Lighting'!B59,'Lighting Assumptions 90.1-2010'!$I$3:$I$106))),"")))</f>
        <v>0</v>
      </c>
      <c r="N59" s="2510"/>
      <c r="O59" s="1567"/>
      <c r="P59" s="1567"/>
      <c r="Q59" s="1565"/>
      <c r="R59" s="1565"/>
      <c r="S59" s="1565"/>
      <c r="T59" s="1565"/>
      <c r="U59" s="1565"/>
      <c r="V59" s="347"/>
      <c r="W59" s="1566" t="str">
        <f>IF(ISERROR(INDEX('6a - Lighting Counts'!$G$33:$G$551, MATCH(0, COUNTIF($W$26:W58,'6a - Lighting Counts'!$G$33:$G$551), 0)))=TRUE,"",INDEX('6a - Lighting Counts'!$G$33:$G$551, MATCH(0, COUNTIF($W$26:W58,'6a - Lighting Counts'!$G$33:$G$551), 0)))</f>
        <v/>
      </c>
      <c r="X59" s="985">
        <f t="shared" si="4"/>
        <v>0</v>
      </c>
      <c r="Y59" s="985" t="str">
        <f t="shared" si="5"/>
        <v/>
      </c>
      <c r="Z59" s="184"/>
      <c r="AA59" s="184"/>
      <c r="AB59" s="184"/>
      <c r="AC59" s="184"/>
      <c r="AD59" s="184"/>
      <c r="AE59" s="184"/>
      <c r="AF59" s="184"/>
      <c r="AG59" s="184"/>
      <c r="AH59" s="184"/>
      <c r="AK59" s="1802"/>
    </row>
    <row r="60" spans="1:37" s="396" customFormat="1" ht="20.25" customHeight="1" x14ac:dyDescent="0.25">
      <c r="A60" s="304" t="s">
        <v>1038</v>
      </c>
      <c r="B60" s="3557" t="s">
        <v>15</v>
      </c>
      <c r="C60" s="3640"/>
      <c r="D60" s="1390">
        <f>SUM(D27:D59)</f>
        <v>0</v>
      </c>
      <c r="E60" s="1390">
        <f>SUM(E27:E59)</f>
        <v>0</v>
      </c>
      <c r="F60" s="1392">
        <f>SUM(F27:F59)</f>
        <v>0</v>
      </c>
      <c r="G60" s="1392">
        <f>SUM(G27:G59)</f>
        <v>0</v>
      </c>
      <c r="H60" s="1391" t="str">
        <f t="shared" si="6"/>
        <v>-</v>
      </c>
      <c r="I60" s="1391" t="str">
        <f>IF(D60&gt;0, F60/D60, "-")</f>
        <v>-</v>
      </c>
      <c r="J60" s="1391" t="str">
        <f>IF(D60&gt;0, G60/D60, "-")</f>
        <v>-</v>
      </c>
      <c r="K60" s="1391" t="str">
        <f t="shared" si="9"/>
        <v>-</v>
      </c>
      <c r="L60" s="2529">
        <f>SUM(L27:L59)</f>
        <v>0</v>
      </c>
      <c r="M60" s="2797" t="str">
        <f>IF('General Information'!$R$55=2007,"Not Supported",IFERROR((SUMPRODUCT(D27:D59,M27:M59)/D60),""))</f>
        <v/>
      </c>
      <c r="N60" s="2510"/>
      <c r="O60" s="1565"/>
      <c r="P60" s="1565"/>
      <c r="Q60" s="1565"/>
      <c r="R60" s="1565"/>
      <c r="S60" s="1565"/>
      <c r="T60" s="1565"/>
      <c r="U60" s="1565"/>
      <c r="V60" s="347"/>
      <c r="W60" s="1213"/>
      <c r="X60" s="1475">
        <f>SUM(X27:X59)</f>
        <v>0</v>
      </c>
      <c r="Y60" s="1475">
        <f>SUM(Y27:Y59)</f>
        <v>0</v>
      </c>
      <c r="Z60" s="184"/>
      <c r="AA60" s="184"/>
      <c r="AB60" s="184"/>
      <c r="AC60" s="184"/>
      <c r="AD60" s="184"/>
      <c r="AE60" s="184"/>
      <c r="AF60" s="184"/>
      <c r="AG60" s="184"/>
      <c r="AH60" s="184"/>
      <c r="AK60" s="1802"/>
    </row>
    <row r="61" spans="1:37" s="396" customFormat="1" ht="24" customHeight="1" x14ac:dyDescent="0.25">
      <c r="A61" s="304" t="s">
        <v>1038</v>
      </c>
      <c r="B61" s="891"/>
      <c r="C61" s="891"/>
      <c r="E61" s="891"/>
      <c r="G61" s="891"/>
      <c r="H61" s="891"/>
      <c r="I61" s="891"/>
      <c r="J61" s="891"/>
      <c r="K61" s="891"/>
      <c r="L61" s="891"/>
      <c r="M61" s="891"/>
      <c r="N61" s="891"/>
      <c r="O61" s="891"/>
      <c r="P61" s="891"/>
      <c r="Q61" s="891"/>
      <c r="R61" s="891"/>
      <c r="S61" s="891"/>
      <c r="T61" s="891"/>
      <c r="U61" s="891"/>
      <c r="W61" s="184"/>
      <c r="X61" s="184"/>
      <c r="Y61" s="184"/>
      <c r="Z61" s="184"/>
      <c r="AA61" s="184"/>
      <c r="AB61" s="184"/>
      <c r="AC61" s="184"/>
      <c r="AD61" s="184"/>
      <c r="AE61" s="184"/>
      <c r="AF61" s="184"/>
      <c r="AG61" s="184"/>
      <c r="AH61" s="184"/>
      <c r="AK61" s="1521"/>
    </row>
    <row r="62" spans="1:37" s="396" customFormat="1" ht="24" hidden="1" customHeight="1" x14ac:dyDescent="0.25">
      <c r="A62" s="304" t="s">
        <v>1038</v>
      </c>
      <c r="B62" s="892"/>
      <c r="C62" s="878"/>
      <c r="D62" s="879"/>
      <c r="E62" s="881"/>
      <c r="F62" s="893"/>
      <c r="G62" s="3611"/>
      <c r="H62" s="3611"/>
      <c r="I62" s="3078"/>
      <c r="J62" s="3078"/>
      <c r="K62" s="3078"/>
      <c r="L62" s="894"/>
      <c r="M62" s="880"/>
      <c r="N62" s="190"/>
      <c r="O62" s="895"/>
      <c r="P62" s="896"/>
      <c r="Q62" s="894"/>
      <c r="R62" s="894"/>
      <c r="S62" s="894"/>
      <c r="T62" s="894"/>
      <c r="U62" s="894"/>
      <c r="W62" s="184"/>
      <c r="X62" s="184"/>
      <c r="Y62" s="184"/>
      <c r="Z62" s="184"/>
      <c r="AA62" s="184"/>
      <c r="AB62" s="184"/>
      <c r="AC62" s="184"/>
      <c r="AD62" s="184"/>
      <c r="AE62" s="184"/>
      <c r="AF62" s="184"/>
      <c r="AG62" s="184"/>
      <c r="AH62" s="184"/>
      <c r="AK62" s="2147"/>
    </row>
    <row r="63" spans="1:37" s="396" customFormat="1" ht="24" hidden="1" customHeight="1" x14ac:dyDescent="0.25">
      <c r="A63" s="304" t="s">
        <v>1038</v>
      </c>
      <c r="B63" s="892"/>
      <c r="C63" s="878"/>
      <c r="D63" s="879"/>
      <c r="E63" s="881"/>
      <c r="F63" s="893"/>
      <c r="G63" s="3611"/>
      <c r="H63" s="3611"/>
      <c r="I63" s="3078"/>
      <c r="J63" s="3078"/>
      <c r="K63" s="3078"/>
      <c r="L63" s="894"/>
      <c r="M63" s="880"/>
      <c r="N63" s="190"/>
      <c r="O63" s="895"/>
      <c r="P63" s="896"/>
      <c r="Q63" s="894"/>
      <c r="R63" s="894"/>
      <c r="S63" s="894"/>
      <c r="T63" s="894"/>
      <c r="U63" s="894"/>
      <c r="W63" s="184"/>
      <c r="X63" s="184"/>
      <c r="Y63" s="184"/>
      <c r="Z63" s="184"/>
      <c r="AA63" s="184"/>
      <c r="AB63" s="184"/>
      <c r="AC63" s="184"/>
      <c r="AD63" s="184"/>
      <c r="AE63" s="184"/>
      <c r="AF63" s="184"/>
      <c r="AG63" s="184"/>
      <c r="AH63" s="184"/>
      <c r="AK63" s="2147"/>
    </row>
    <row r="64" spans="1:37" s="396" customFormat="1" ht="24" hidden="1" customHeight="1" x14ac:dyDescent="0.25">
      <c r="A64" s="304" t="s">
        <v>1038</v>
      </c>
      <c r="B64" s="892"/>
      <c r="C64" s="878"/>
      <c r="D64" s="879"/>
      <c r="E64" s="881"/>
      <c r="F64" s="893"/>
      <c r="G64" s="3611"/>
      <c r="H64" s="3611"/>
      <c r="I64" s="3078"/>
      <c r="J64" s="3078"/>
      <c r="K64" s="3078"/>
      <c r="L64" s="894"/>
      <c r="M64" s="880"/>
      <c r="N64" s="190"/>
      <c r="O64" s="895"/>
      <c r="P64" s="896"/>
      <c r="Q64" s="894"/>
      <c r="R64" s="894"/>
      <c r="S64" s="894"/>
      <c r="T64" s="894"/>
      <c r="U64" s="894"/>
      <c r="W64" s="184"/>
      <c r="X64" s="184"/>
      <c r="Y64" s="184"/>
      <c r="Z64" s="184"/>
      <c r="AA64" s="184"/>
      <c r="AB64" s="184"/>
      <c r="AC64" s="184"/>
      <c r="AD64" s="184"/>
      <c r="AE64" s="184"/>
      <c r="AF64" s="184"/>
      <c r="AG64" s="184"/>
      <c r="AH64" s="184"/>
      <c r="AK64" s="2147"/>
    </row>
    <row r="65" spans="1:37" s="339" customFormat="1" ht="24" hidden="1" customHeight="1" x14ac:dyDescent="0.25">
      <c r="A65" s="304" t="s">
        <v>803</v>
      </c>
      <c r="B65" s="897"/>
      <c r="C65" s="897"/>
      <c r="D65" s="879"/>
      <c r="E65" s="881"/>
      <c r="F65" s="893"/>
      <c r="G65" s="3611"/>
      <c r="H65" s="3611"/>
      <c r="I65" s="3078"/>
      <c r="J65" s="3078"/>
      <c r="K65" s="3078"/>
      <c r="L65" s="894"/>
      <c r="M65" s="880"/>
      <c r="N65" s="190"/>
      <c r="O65" s="895"/>
      <c r="P65" s="896"/>
      <c r="Q65" s="894"/>
      <c r="R65" s="894"/>
      <c r="S65" s="894"/>
      <c r="T65" s="894"/>
      <c r="U65" s="894"/>
      <c r="W65" s="1"/>
      <c r="X65" s="1"/>
      <c r="Y65" s="1"/>
      <c r="Z65" s="1"/>
      <c r="AA65" s="1"/>
      <c r="AB65" s="1"/>
      <c r="AC65" s="1"/>
      <c r="AD65" s="1"/>
      <c r="AE65" s="1"/>
      <c r="AF65" s="1"/>
      <c r="AG65" s="1"/>
      <c r="AH65" s="1"/>
      <c r="AK65" s="2147"/>
    </row>
    <row r="66" spans="1:37" s="339" customFormat="1" ht="24" hidden="1" customHeight="1" x14ac:dyDescent="0.25">
      <c r="A66" s="304"/>
      <c r="B66" s="897"/>
      <c r="C66" s="897"/>
      <c r="D66" s="879"/>
      <c r="E66" s="881"/>
      <c r="F66" s="893"/>
      <c r="G66" s="3611"/>
      <c r="H66" s="3611"/>
      <c r="I66" s="3078"/>
      <c r="J66" s="3078"/>
      <c r="K66" s="3078"/>
      <c r="L66" s="894"/>
      <c r="M66" s="880"/>
      <c r="N66" s="190"/>
      <c r="O66" s="895"/>
      <c r="P66" s="896"/>
      <c r="Q66" s="894"/>
      <c r="R66" s="894"/>
      <c r="S66" s="894"/>
      <c r="T66" s="894"/>
      <c r="U66" s="894"/>
      <c r="W66" s="1"/>
      <c r="X66" s="1"/>
      <c r="Y66" s="1"/>
      <c r="Z66" s="1"/>
      <c r="AA66" s="1"/>
      <c r="AB66" s="1"/>
      <c r="AC66" s="1"/>
      <c r="AD66" s="1"/>
      <c r="AE66" s="1"/>
      <c r="AF66" s="1"/>
      <c r="AG66" s="1"/>
      <c r="AH66" s="1"/>
      <c r="AK66" s="2147"/>
    </row>
    <row r="67" spans="1:37" s="339" customFormat="1" ht="24" hidden="1" customHeight="1" x14ac:dyDescent="0.25">
      <c r="A67" s="304"/>
      <c r="B67" s="897"/>
      <c r="C67" s="897"/>
      <c r="D67" s="879"/>
      <c r="E67" s="881"/>
      <c r="F67" s="893"/>
      <c r="G67" s="3611"/>
      <c r="H67" s="3611"/>
      <c r="I67" s="3078"/>
      <c r="J67" s="3078"/>
      <c r="K67" s="3078"/>
      <c r="L67" s="894"/>
      <c r="M67" s="880"/>
      <c r="N67" s="190"/>
      <c r="O67" s="895"/>
      <c r="P67" s="896"/>
      <c r="Q67" s="894"/>
      <c r="R67" s="894"/>
      <c r="S67" s="894"/>
      <c r="T67" s="894"/>
      <c r="U67" s="894"/>
      <c r="W67" s="1"/>
      <c r="X67" s="1"/>
      <c r="Y67" s="1"/>
      <c r="Z67" s="1"/>
      <c r="AA67" s="1"/>
      <c r="AB67" s="1"/>
      <c r="AC67" s="1"/>
      <c r="AD67" s="1"/>
      <c r="AE67" s="1"/>
      <c r="AF67" s="1"/>
      <c r="AG67" s="1"/>
      <c r="AH67" s="1"/>
      <c r="AK67" s="2147"/>
    </row>
    <row r="68" spans="1:37" s="339" customFormat="1" ht="24" hidden="1" customHeight="1" x14ac:dyDescent="0.25">
      <c r="A68" s="304"/>
      <c r="B68" s="897"/>
      <c r="C68" s="897"/>
      <c r="D68" s="879"/>
      <c r="E68" s="881"/>
      <c r="F68" s="893"/>
      <c r="G68" s="3611"/>
      <c r="H68" s="3611"/>
      <c r="I68" s="3078"/>
      <c r="J68" s="3078"/>
      <c r="K68" s="3078"/>
      <c r="L68" s="894"/>
      <c r="M68" s="880"/>
      <c r="N68" s="190"/>
      <c r="O68" s="895"/>
      <c r="P68" s="896"/>
      <c r="Q68" s="894"/>
      <c r="R68" s="894"/>
      <c r="S68" s="894"/>
      <c r="T68" s="894"/>
      <c r="U68" s="894"/>
      <c r="W68" s="1"/>
      <c r="X68" s="1"/>
      <c r="Y68" s="1"/>
      <c r="Z68" s="1"/>
      <c r="AA68" s="1"/>
      <c r="AB68" s="1"/>
      <c r="AC68" s="1"/>
      <c r="AD68" s="1"/>
      <c r="AE68" s="1"/>
      <c r="AF68" s="1"/>
      <c r="AG68" s="1"/>
      <c r="AH68" s="1"/>
      <c r="AK68" s="2147"/>
    </row>
    <row r="69" spans="1:37" s="339" customFormat="1" ht="24" hidden="1" customHeight="1" x14ac:dyDescent="0.25">
      <c r="A69" s="304"/>
      <c r="B69" s="897"/>
      <c r="C69" s="897"/>
      <c r="D69" s="879"/>
      <c r="E69" s="881"/>
      <c r="F69" s="893"/>
      <c r="G69" s="3611"/>
      <c r="H69" s="3611"/>
      <c r="I69" s="3078"/>
      <c r="J69" s="3078"/>
      <c r="K69" s="3078"/>
      <c r="L69" s="894"/>
      <c r="M69" s="880"/>
      <c r="N69" s="190"/>
      <c r="O69" s="895"/>
      <c r="P69" s="896"/>
      <c r="Q69" s="894"/>
      <c r="R69" s="894"/>
      <c r="S69" s="894"/>
      <c r="T69" s="894"/>
      <c r="U69" s="894"/>
      <c r="W69" s="1"/>
      <c r="X69" s="1"/>
      <c r="Y69" s="1"/>
      <c r="Z69" s="1"/>
      <c r="AA69" s="1"/>
      <c r="AB69" s="1"/>
      <c r="AC69" s="1"/>
      <c r="AD69" s="1"/>
      <c r="AE69" s="1"/>
      <c r="AF69" s="1"/>
      <c r="AG69" s="1"/>
      <c r="AH69" s="1"/>
      <c r="AK69" s="2147"/>
    </row>
    <row r="70" spans="1:37" s="339" customFormat="1" ht="24" hidden="1" customHeight="1" x14ac:dyDescent="0.25">
      <c r="A70" s="304" t="s">
        <v>1038</v>
      </c>
      <c r="B70" s="3612"/>
      <c r="C70" s="3612"/>
      <c r="D70" s="882"/>
      <c r="E70" s="884"/>
      <c r="F70" s="885"/>
      <c r="G70" s="894"/>
      <c r="H70" s="894"/>
      <c r="I70" s="894"/>
      <c r="J70" s="894"/>
      <c r="K70" s="894"/>
      <c r="L70" s="883"/>
      <c r="M70" s="883"/>
      <c r="N70" s="898"/>
      <c r="O70" s="898"/>
      <c r="P70" s="898"/>
      <c r="Q70" s="883"/>
      <c r="R70" s="883"/>
      <c r="S70" s="883"/>
      <c r="T70" s="883"/>
      <c r="U70" s="883"/>
      <c r="W70" s="1"/>
      <c r="X70" s="1"/>
      <c r="Y70" s="1"/>
      <c r="Z70" s="1"/>
      <c r="AA70" s="1"/>
      <c r="AB70" s="1"/>
      <c r="AC70" s="1"/>
      <c r="AD70" s="1"/>
      <c r="AE70" s="1"/>
      <c r="AF70" s="1"/>
      <c r="AG70" s="1"/>
      <c r="AH70" s="1"/>
      <c r="AK70" s="2147"/>
    </row>
    <row r="71" spans="1:37" s="339" customFormat="1" ht="24" hidden="1" customHeight="1" x14ac:dyDescent="0.25">
      <c r="A71" s="304" t="s">
        <v>1038</v>
      </c>
      <c r="B71" s="32"/>
      <c r="C71" s="32"/>
      <c r="D71" s="882"/>
      <c r="E71" s="884"/>
      <c r="F71" s="885"/>
      <c r="G71" s="894"/>
      <c r="H71" s="894"/>
      <c r="I71" s="894"/>
      <c r="J71" s="894"/>
      <c r="K71" s="894"/>
      <c r="L71" s="883"/>
      <c r="M71" s="883"/>
      <c r="N71" s="898"/>
      <c r="O71" s="898"/>
      <c r="P71" s="898"/>
      <c r="Q71" s="899"/>
      <c r="R71" s="899"/>
      <c r="S71" s="899"/>
      <c r="T71" s="899"/>
      <c r="U71" s="899"/>
      <c r="W71" s="1"/>
      <c r="X71" s="1"/>
      <c r="Y71" s="1"/>
      <c r="Z71" s="1"/>
      <c r="AA71" s="1"/>
      <c r="AB71" s="1"/>
      <c r="AC71" s="1"/>
      <c r="AD71" s="1"/>
      <c r="AE71" s="1"/>
      <c r="AF71" s="1"/>
      <c r="AG71" s="1"/>
      <c r="AH71" s="1"/>
      <c r="AK71" s="1521"/>
    </row>
    <row r="72" spans="1:37" s="339" customFormat="1" ht="24" hidden="1" customHeight="1" x14ac:dyDescent="0.25">
      <c r="A72" s="304" t="s">
        <v>1038</v>
      </c>
      <c r="E72" s="396"/>
      <c r="F72" s="396"/>
      <c r="G72" s="396"/>
      <c r="H72" s="396"/>
      <c r="I72" s="396"/>
      <c r="J72" s="396"/>
      <c r="K72" s="396"/>
      <c r="L72" s="396"/>
      <c r="N72" s="35"/>
      <c r="O72" s="1"/>
      <c r="P72" s="1"/>
      <c r="Q72" s="1"/>
      <c r="R72" s="1"/>
      <c r="S72" s="1"/>
      <c r="T72" s="1"/>
      <c r="U72" s="1"/>
      <c r="W72" s="1"/>
      <c r="X72" s="1"/>
      <c r="Y72" s="1"/>
      <c r="Z72" s="1"/>
      <c r="AA72" s="1"/>
      <c r="AB72" s="1"/>
      <c r="AC72" s="1"/>
      <c r="AD72" s="1"/>
      <c r="AE72" s="1"/>
      <c r="AF72" s="1"/>
      <c r="AG72" s="1"/>
      <c r="AH72" s="1"/>
      <c r="AK72" s="1521"/>
    </row>
    <row r="73" spans="1:37" s="339" customFormat="1" ht="24" hidden="1" customHeight="1" x14ac:dyDescent="0.25">
      <c r="A73" s="304"/>
      <c r="B73" s="3610"/>
      <c r="C73" s="3610"/>
      <c r="D73" s="3571"/>
      <c r="E73" s="3571"/>
      <c r="F73" s="3571"/>
      <c r="G73" s="3610"/>
      <c r="H73" s="3571"/>
      <c r="I73" s="3571"/>
      <c r="J73" s="3571"/>
      <c r="K73" s="3571"/>
      <c r="L73" s="3610"/>
      <c r="M73" s="3571"/>
      <c r="N73" s="3571"/>
      <c r="O73" s="3571"/>
      <c r="P73" s="3571"/>
      <c r="Q73" s="3571"/>
      <c r="R73" s="866"/>
      <c r="S73" s="866"/>
      <c r="T73" s="866"/>
      <c r="U73" s="866"/>
      <c r="W73" s="1"/>
      <c r="X73" s="1"/>
      <c r="Y73" s="1"/>
      <c r="Z73" s="1"/>
      <c r="AA73" s="1"/>
      <c r="AB73" s="1"/>
      <c r="AC73" s="1"/>
      <c r="AD73" s="1"/>
      <c r="AE73" s="1"/>
      <c r="AF73" s="1"/>
      <c r="AG73" s="1"/>
      <c r="AH73" s="1"/>
      <c r="AK73" s="1521"/>
    </row>
    <row r="74" spans="1:37" s="339" customFormat="1" ht="24" hidden="1" customHeight="1" x14ac:dyDescent="0.25">
      <c r="A74" s="304" t="s">
        <v>1038</v>
      </c>
      <c r="B74" s="3610"/>
      <c r="C74" s="3610"/>
      <c r="D74" s="3571"/>
      <c r="E74" s="3571"/>
      <c r="F74" s="3571"/>
      <c r="G74" s="3610"/>
      <c r="H74" s="3571"/>
      <c r="I74" s="3571"/>
      <c r="J74" s="3610"/>
      <c r="K74" s="3614"/>
      <c r="L74" s="3610"/>
      <c r="M74" s="3614"/>
      <c r="N74" s="3614"/>
      <c r="O74" s="3610"/>
      <c r="P74" s="3571"/>
      <c r="Q74" s="3571"/>
      <c r="R74" s="866"/>
      <c r="S74" s="866"/>
      <c r="T74" s="866"/>
      <c r="U74" s="866"/>
      <c r="W74" s="1"/>
      <c r="X74" s="1"/>
      <c r="Y74" s="1"/>
      <c r="Z74" s="1"/>
      <c r="AA74" s="1"/>
      <c r="AB74" s="1"/>
      <c r="AC74" s="1"/>
      <c r="AD74" s="1"/>
      <c r="AE74" s="1"/>
      <c r="AF74" s="1"/>
      <c r="AG74" s="1"/>
      <c r="AH74" s="1"/>
      <c r="AK74" s="1521"/>
    </row>
    <row r="75" spans="1:37" s="888" customFormat="1" ht="24" hidden="1" customHeight="1" x14ac:dyDescent="0.3">
      <c r="A75" s="886"/>
      <c r="B75" s="887"/>
      <c r="C75" s="887"/>
      <c r="D75" s="1568"/>
      <c r="E75" s="1568"/>
      <c r="F75" s="1568"/>
      <c r="G75" s="887"/>
      <c r="H75" s="887"/>
      <c r="J75" s="887"/>
      <c r="K75" s="900"/>
      <c r="L75" s="901"/>
      <c r="M75" s="887"/>
      <c r="N75" s="889"/>
      <c r="O75" s="887"/>
      <c r="P75" s="890"/>
      <c r="Q75" s="890"/>
      <c r="R75" s="890"/>
      <c r="S75" s="890"/>
      <c r="T75" s="890"/>
      <c r="U75" s="890"/>
      <c r="W75" s="890"/>
      <c r="X75" s="890"/>
      <c r="Y75" s="890"/>
      <c r="Z75" s="890"/>
      <c r="AA75" s="890"/>
      <c r="AB75" s="890"/>
      <c r="AC75" s="890"/>
      <c r="AD75" s="890"/>
      <c r="AE75" s="890"/>
      <c r="AF75" s="890"/>
      <c r="AG75" s="890"/>
      <c r="AH75" s="890"/>
      <c r="AK75" s="2148"/>
    </row>
    <row r="76" spans="1:37" s="339" customFormat="1" ht="24" hidden="1" customHeight="1" x14ac:dyDescent="0.25">
      <c r="A76" s="304" t="s">
        <v>1038</v>
      </c>
      <c r="B76" s="387"/>
      <c r="C76" s="3615"/>
      <c r="D76" s="3571"/>
      <c r="E76" s="3571"/>
      <c r="F76" s="3571"/>
      <c r="G76" s="3600"/>
      <c r="H76" s="3571"/>
      <c r="I76" s="3571"/>
      <c r="J76" s="3600"/>
      <c r="K76" s="3614"/>
      <c r="L76" s="3600"/>
      <c r="M76" s="3614"/>
      <c r="N76" s="3614"/>
      <c r="O76" s="3600"/>
      <c r="P76" s="3571"/>
      <c r="Q76" s="3571"/>
      <c r="R76" s="866"/>
      <c r="S76" s="866"/>
      <c r="T76" s="866"/>
      <c r="U76" s="866"/>
      <c r="W76" s="1"/>
      <c r="X76" s="1"/>
      <c r="Y76" s="1"/>
      <c r="Z76" s="1"/>
      <c r="AA76" s="1"/>
      <c r="AB76" s="1"/>
      <c r="AC76" s="1"/>
      <c r="AD76" s="1"/>
      <c r="AE76" s="1"/>
      <c r="AF76" s="1"/>
      <c r="AG76" s="1"/>
      <c r="AH76" s="1"/>
      <c r="AK76" s="1521"/>
    </row>
    <row r="77" spans="1:37" s="339" customFormat="1" ht="24" hidden="1" customHeight="1" x14ac:dyDescent="0.25">
      <c r="A77" s="304" t="s">
        <v>1038</v>
      </c>
      <c r="B77" s="387"/>
      <c r="C77" s="3615"/>
      <c r="D77" s="3571"/>
      <c r="E77" s="3571"/>
      <c r="F77" s="3571"/>
      <c r="G77" s="3600"/>
      <c r="H77" s="3571"/>
      <c r="I77" s="3571"/>
      <c r="J77" s="3600"/>
      <c r="K77" s="3614"/>
      <c r="L77" s="3600"/>
      <c r="M77" s="3614"/>
      <c r="N77" s="3614"/>
      <c r="O77" s="3600"/>
      <c r="P77" s="3571"/>
      <c r="Q77" s="3571"/>
      <c r="R77" s="866"/>
      <c r="S77" s="866"/>
      <c r="T77" s="866"/>
      <c r="U77" s="866"/>
      <c r="W77" s="1"/>
      <c r="X77" s="1"/>
      <c r="Y77" s="1"/>
      <c r="Z77" s="1"/>
      <c r="AA77" s="1"/>
      <c r="AB77" s="1"/>
      <c r="AC77" s="1"/>
      <c r="AD77" s="1"/>
      <c r="AE77" s="1"/>
      <c r="AF77" s="1"/>
      <c r="AG77" s="1"/>
      <c r="AH77" s="1"/>
      <c r="AK77" s="1521"/>
    </row>
    <row r="78" spans="1:37" s="339" customFormat="1" ht="24" hidden="1" customHeight="1" x14ac:dyDescent="0.25">
      <c r="A78" s="304" t="s">
        <v>1038</v>
      </c>
      <c r="B78" s="387"/>
      <c r="C78" s="3615"/>
      <c r="D78" s="3571"/>
      <c r="E78" s="3571"/>
      <c r="F78" s="3571"/>
      <c r="G78" s="3600"/>
      <c r="H78" s="3571"/>
      <c r="I78" s="3571"/>
      <c r="J78" s="3600"/>
      <c r="K78" s="3614"/>
      <c r="L78" s="3600"/>
      <c r="M78" s="3614"/>
      <c r="N78" s="3614"/>
      <c r="O78" s="3600"/>
      <c r="P78" s="3571"/>
      <c r="Q78" s="3571"/>
      <c r="R78" s="866"/>
      <c r="S78" s="866"/>
      <c r="T78" s="866"/>
      <c r="U78" s="866"/>
      <c r="W78" s="1"/>
      <c r="X78" s="1"/>
      <c r="Y78" s="1"/>
      <c r="Z78" s="1"/>
      <c r="AA78" s="1"/>
      <c r="AB78" s="1"/>
      <c r="AC78" s="1"/>
      <c r="AD78" s="1"/>
      <c r="AE78" s="1"/>
      <c r="AF78" s="1"/>
      <c r="AG78" s="1"/>
      <c r="AH78" s="1"/>
      <c r="AK78" s="1521"/>
    </row>
    <row r="79" spans="1:37" s="339" customFormat="1" ht="24" hidden="1" customHeight="1" x14ac:dyDescent="0.25">
      <c r="A79" s="304" t="s">
        <v>1038</v>
      </c>
      <c r="E79" s="396"/>
      <c r="F79" s="396"/>
      <c r="G79" s="396"/>
      <c r="H79" s="396"/>
      <c r="I79" s="396"/>
      <c r="J79" s="396"/>
      <c r="K79" s="396"/>
      <c r="L79" s="396"/>
      <c r="N79" s="35"/>
      <c r="O79" s="1"/>
      <c r="P79" s="1"/>
      <c r="Q79" s="1"/>
      <c r="R79" s="1"/>
      <c r="S79" s="1"/>
      <c r="T79" s="1"/>
      <c r="U79" s="1"/>
      <c r="W79" s="35"/>
      <c r="X79" s="1"/>
      <c r="Y79" s="1"/>
      <c r="Z79" s="1"/>
      <c r="AA79" s="1"/>
      <c r="AB79" s="1"/>
      <c r="AC79" s="1"/>
      <c r="AD79" s="1"/>
      <c r="AE79" s="1"/>
      <c r="AF79" s="1"/>
      <c r="AG79" s="1"/>
      <c r="AH79" s="1"/>
      <c r="AK79" s="1521"/>
    </row>
    <row r="80" spans="1:37" s="347" customFormat="1" ht="24" hidden="1" customHeight="1" x14ac:dyDescent="0.25">
      <c r="A80" s="304" t="s">
        <v>1038</v>
      </c>
      <c r="B80" s="13"/>
      <c r="C80" s="9"/>
      <c r="D80" s="9"/>
      <c r="E80" s="9"/>
      <c r="F80" s="9"/>
      <c r="G80" s="9"/>
      <c r="H80" s="9"/>
      <c r="I80" s="9"/>
      <c r="J80" s="9"/>
      <c r="K80" s="9"/>
      <c r="L80" s="9"/>
      <c r="M80" s="9"/>
      <c r="W80" s="42"/>
      <c r="X80" s="42"/>
      <c r="Y80" s="42"/>
      <c r="Z80" s="42"/>
      <c r="AA80" s="42"/>
      <c r="AB80" s="42"/>
      <c r="AC80" s="42"/>
      <c r="AD80" s="42"/>
      <c r="AE80" s="42"/>
      <c r="AF80" s="42"/>
      <c r="AG80" s="42"/>
      <c r="AH80" s="42"/>
      <c r="AK80" s="1521"/>
    </row>
    <row r="81" spans="1:37" s="347" customFormat="1" ht="24" hidden="1" customHeight="1" x14ac:dyDescent="0.25">
      <c r="A81" s="304" t="s">
        <v>1038</v>
      </c>
      <c r="B81" s="3573"/>
      <c r="C81" s="3573"/>
      <c r="D81" s="3573"/>
      <c r="E81" s="42"/>
      <c r="F81" s="3570"/>
      <c r="G81" s="3570"/>
      <c r="H81" s="32"/>
      <c r="I81" s="3570"/>
      <c r="J81" s="3570"/>
      <c r="K81" s="3665"/>
      <c r="L81" s="3665"/>
      <c r="M81" s="3665"/>
      <c r="N81" s="3571"/>
      <c r="O81" s="3571"/>
      <c r="P81" s="3571"/>
      <c r="Q81" s="3571"/>
      <c r="R81" s="866"/>
      <c r="S81" s="866"/>
      <c r="T81" s="866"/>
      <c r="U81" s="866"/>
      <c r="W81" s="42"/>
      <c r="X81" s="42"/>
      <c r="Y81" s="42"/>
      <c r="Z81" s="42"/>
      <c r="AA81" s="42"/>
      <c r="AB81" s="42"/>
      <c r="AC81" s="42"/>
      <c r="AD81" s="42"/>
      <c r="AE81" s="42"/>
      <c r="AF81" s="42"/>
      <c r="AG81" s="42"/>
      <c r="AH81" s="42"/>
      <c r="AK81" s="1521"/>
    </row>
    <row r="82" spans="1:37" s="339" customFormat="1" ht="24" hidden="1" customHeight="1" x14ac:dyDescent="0.25">
      <c r="A82" s="304" t="s">
        <v>1038</v>
      </c>
      <c r="B82" s="3573"/>
      <c r="C82" s="3573"/>
      <c r="D82" s="3573"/>
      <c r="E82" s="42"/>
      <c r="F82" s="32"/>
      <c r="G82" s="32"/>
      <c r="H82" s="32"/>
      <c r="I82" s="3665"/>
      <c r="J82" s="3665"/>
      <c r="K82" s="3665"/>
      <c r="L82" s="3665"/>
      <c r="M82" s="3665"/>
      <c r="N82" s="3571"/>
      <c r="O82" s="3571"/>
      <c r="P82" s="3571"/>
      <c r="Q82" s="3571"/>
      <c r="R82" s="866"/>
      <c r="S82" s="866"/>
      <c r="T82" s="866"/>
      <c r="U82" s="866"/>
      <c r="W82" s="1"/>
      <c r="X82" s="1"/>
      <c r="Y82" s="1"/>
      <c r="Z82" s="1"/>
      <c r="AA82" s="1"/>
      <c r="AB82" s="1"/>
      <c r="AC82" s="1"/>
      <c r="AD82" s="1"/>
      <c r="AE82" s="1"/>
      <c r="AF82" s="1"/>
      <c r="AG82" s="1"/>
      <c r="AH82" s="1"/>
      <c r="AK82" s="1521"/>
    </row>
    <row r="83" spans="1:37" s="339" customFormat="1" ht="24" hidden="1" customHeight="1" x14ac:dyDescent="0.25">
      <c r="A83" s="304" t="s">
        <v>1038</v>
      </c>
      <c r="B83" s="877"/>
      <c r="C83" s="3613"/>
      <c r="D83" s="3613"/>
      <c r="E83" s="42"/>
      <c r="F83" s="3613"/>
      <c r="G83" s="3613"/>
      <c r="H83" s="32"/>
      <c r="I83" s="3613"/>
      <c r="J83" s="3616"/>
      <c r="K83" s="3616"/>
      <c r="L83" s="3616"/>
      <c r="M83" s="3616"/>
      <c r="N83" s="3616"/>
      <c r="O83" s="3616"/>
      <c r="P83" s="3616"/>
      <c r="Q83" s="3616"/>
      <c r="R83" s="1569"/>
      <c r="S83" s="1569"/>
      <c r="T83" s="1569"/>
      <c r="U83" s="1569"/>
      <c r="W83" s="1"/>
      <c r="X83" s="1"/>
      <c r="Y83" s="1"/>
      <c r="Z83" s="1"/>
      <c r="AA83" s="1"/>
      <c r="AB83" s="1"/>
      <c r="AC83" s="1"/>
      <c r="AD83" s="1"/>
      <c r="AE83" s="1"/>
      <c r="AF83" s="1"/>
      <c r="AG83" s="1"/>
      <c r="AH83" s="1"/>
      <c r="AK83" s="1521"/>
    </row>
    <row r="84" spans="1:37" s="339" customFormat="1" ht="24" hidden="1" customHeight="1" x14ac:dyDescent="0.25">
      <c r="A84" s="304" t="s">
        <v>1038</v>
      </c>
      <c r="B84" s="902"/>
      <c r="C84" s="902"/>
      <c r="D84" s="902"/>
      <c r="E84" s="676"/>
      <c r="F84" s="903"/>
      <c r="G84" s="903"/>
      <c r="H84" s="891"/>
      <c r="I84" s="904"/>
      <c r="J84" s="1570"/>
      <c r="K84" s="1570"/>
      <c r="L84" s="1570"/>
      <c r="M84" s="1570"/>
      <c r="N84" s="1570"/>
      <c r="O84" s="1570"/>
      <c r="P84" s="1570"/>
      <c r="Q84" s="1570"/>
      <c r="R84" s="1570"/>
      <c r="S84" s="1570"/>
      <c r="T84" s="1570"/>
      <c r="U84" s="1570"/>
      <c r="W84" s="1"/>
      <c r="X84" s="1"/>
      <c r="Y84" s="1"/>
      <c r="Z84" s="1"/>
      <c r="AA84" s="1"/>
      <c r="AB84" s="1"/>
      <c r="AC84" s="1"/>
      <c r="AD84" s="1"/>
      <c r="AE84" s="1"/>
      <c r="AF84" s="1"/>
      <c r="AG84" s="1"/>
      <c r="AH84" s="1"/>
      <c r="AK84" s="1521"/>
    </row>
    <row r="85" spans="1:37" s="339" customFormat="1" ht="24" hidden="1" customHeight="1" x14ac:dyDescent="0.25">
      <c r="A85" s="304" t="s">
        <v>805</v>
      </c>
      <c r="B85" s="1513"/>
      <c r="C85" s="3599"/>
      <c r="D85" s="3599"/>
      <c r="E85" s="42"/>
      <c r="F85" s="879"/>
      <c r="G85" s="905"/>
      <c r="H85" s="32"/>
      <c r="I85" s="3666"/>
      <c r="J85" s="3666"/>
      <c r="K85" s="3666"/>
      <c r="L85" s="3666"/>
      <c r="M85" s="3666"/>
      <c r="N85" s="3666"/>
      <c r="O85" s="3666"/>
      <c r="P85" s="3666"/>
      <c r="Q85" s="3666"/>
      <c r="R85" s="1512"/>
      <c r="S85" s="1512"/>
      <c r="T85" s="1512"/>
      <c r="U85" s="1512"/>
      <c r="W85" s="35"/>
      <c r="X85" s="1"/>
      <c r="Y85" s="1"/>
      <c r="Z85" s="1"/>
      <c r="AA85" s="1"/>
      <c r="AB85" s="1"/>
      <c r="AC85" s="1"/>
      <c r="AD85" s="1"/>
      <c r="AE85" s="1"/>
      <c r="AF85" s="1"/>
      <c r="AG85" s="1"/>
      <c r="AH85" s="1"/>
      <c r="AK85" s="2147"/>
    </row>
    <row r="86" spans="1:37" s="339" customFormat="1" ht="24" hidden="1" customHeight="1" x14ac:dyDescent="0.25">
      <c r="A86" s="304"/>
      <c r="B86" s="1513"/>
      <c r="C86" s="3599"/>
      <c r="D86" s="3599"/>
      <c r="E86" s="42"/>
      <c r="F86" s="879"/>
      <c r="G86" s="905"/>
      <c r="H86" s="32"/>
      <c r="I86" s="3621"/>
      <c r="J86" s="3622"/>
      <c r="K86" s="3622"/>
      <c r="L86" s="3622"/>
      <c r="M86" s="3622"/>
      <c r="N86" s="3623"/>
      <c r="O86" s="3623"/>
      <c r="P86" s="3623"/>
      <c r="Q86" s="3623"/>
      <c r="R86" s="1564"/>
      <c r="S86" s="1564"/>
      <c r="T86" s="1564"/>
      <c r="U86" s="1564"/>
      <c r="W86" s="35"/>
      <c r="X86" s="1"/>
      <c r="Y86" s="1"/>
      <c r="Z86" s="1"/>
      <c r="AA86" s="1"/>
      <c r="AB86" s="1"/>
      <c r="AC86" s="1"/>
      <c r="AD86" s="1"/>
      <c r="AE86" s="1"/>
      <c r="AF86" s="1"/>
      <c r="AG86" s="1"/>
      <c r="AH86" s="1"/>
      <c r="AK86" s="2147"/>
    </row>
    <row r="87" spans="1:37" s="339" customFormat="1" ht="24" hidden="1" customHeight="1" x14ac:dyDescent="0.25">
      <c r="A87" s="304"/>
      <c r="B87" s="1513"/>
      <c r="C87" s="3599"/>
      <c r="D87" s="3599"/>
      <c r="E87" s="42"/>
      <c r="F87" s="879"/>
      <c r="G87" s="905"/>
      <c r="H87" s="32"/>
      <c r="I87" s="3621"/>
      <c r="J87" s="3622"/>
      <c r="K87" s="3622"/>
      <c r="L87" s="3622"/>
      <c r="M87" s="3622"/>
      <c r="N87" s="3623"/>
      <c r="O87" s="3623"/>
      <c r="P87" s="3623"/>
      <c r="Q87" s="3623"/>
      <c r="R87" s="1564"/>
      <c r="S87" s="1564"/>
      <c r="T87" s="1564"/>
      <c r="U87" s="1564"/>
      <c r="W87" s="35"/>
      <c r="X87" s="1"/>
      <c r="Y87" s="1"/>
      <c r="Z87" s="1"/>
      <c r="AA87" s="1"/>
      <c r="AB87" s="1"/>
      <c r="AC87" s="1"/>
      <c r="AD87" s="1"/>
      <c r="AE87" s="1"/>
      <c r="AF87" s="1"/>
      <c r="AG87" s="1"/>
      <c r="AH87" s="1"/>
      <c r="AK87" s="2147"/>
    </row>
    <row r="88" spans="1:37" s="339" customFormat="1" ht="24" hidden="1" customHeight="1" x14ac:dyDescent="0.25">
      <c r="A88" s="304"/>
      <c r="B88" s="1513"/>
      <c r="C88" s="3599"/>
      <c r="D88" s="3599"/>
      <c r="E88" s="42"/>
      <c r="F88" s="879"/>
      <c r="G88" s="905"/>
      <c r="H88" s="32"/>
      <c r="I88" s="3621"/>
      <c r="J88" s="3622"/>
      <c r="K88" s="3622"/>
      <c r="L88" s="3622"/>
      <c r="M88" s="3622"/>
      <c r="N88" s="3623"/>
      <c r="O88" s="3623"/>
      <c r="P88" s="3623"/>
      <c r="Q88" s="3623"/>
      <c r="R88" s="1564"/>
      <c r="S88" s="1564"/>
      <c r="T88" s="1564"/>
      <c r="U88" s="1564"/>
      <c r="W88" s="35"/>
      <c r="X88" s="1"/>
      <c r="Y88" s="1"/>
      <c r="Z88" s="1"/>
      <c r="AA88" s="1"/>
      <c r="AB88" s="1"/>
      <c r="AC88" s="1"/>
      <c r="AD88" s="1"/>
      <c r="AE88" s="1"/>
      <c r="AF88" s="1"/>
      <c r="AG88" s="1"/>
      <c r="AH88" s="1"/>
      <c r="AK88" s="2147"/>
    </row>
    <row r="89" spans="1:37" s="339" customFormat="1" ht="24" hidden="1" customHeight="1" x14ac:dyDescent="0.25">
      <c r="A89" s="304"/>
      <c r="B89" s="1513"/>
      <c r="C89" s="3599"/>
      <c r="D89" s="3599"/>
      <c r="E89" s="42"/>
      <c r="F89" s="879"/>
      <c r="G89" s="905"/>
      <c r="H89" s="32"/>
      <c r="I89" s="3621"/>
      <c r="J89" s="3622"/>
      <c r="K89" s="3622"/>
      <c r="L89" s="3622"/>
      <c r="M89" s="3622"/>
      <c r="N89" s="3623"/>
      <c r="O89" s="3623"/>
      <c r="P89" s="3623"/>
      <c r="Q89" s="3623"/>
      <c r="R89" s="1564"/>
      <c r="S89" s="1564"/>
      <c r="T89" s="1564"/>
      <c r="U89" s="1564"/>
      <c r="W89" s="35"/>
      <c r="X89" s="1"/>
      <c r="Y89" s="1"/>
      <c r="Z89" s="1"/>
      <c r="AA89" s="1"/>
      <c r="AB89" s="1"/>
      <c r="AC89" s="1"/>
      <c r="AD89" s="1"/>
      <c r="AE89" s="1"/>
      <c r="AF89" s="1"/>
      <c r="AG89" s="1"/>
      <c r="AH89" s="1"/>
      <c r="AK89" s="2147"/>
    </row>
    <row r="90" spans="1:37" s="339" customFormat="1" ht="24" hidden="1" customHeight="1" x14ac:dyDescent="0.25">
      <c r="A90" s="304"/>
      <c r="B90" s="1513"/>
      <c r="C90" s="3599"/>
      <c r="D90" s="3599"/>
      <c r="E90" s="42"/>
      <c r="F90" s="879"/>
      <c r="G90" s="905"/>
      <c r="H90" s="32"/>
      <c r="I90" s="3621"/>
      <c r="J90" s="3622"/>
      <c r="K90" s="3622"/>
      <c r="L90" s="3622"/>
      <c r="M90" s="3622"/>
      <c r="N90" s="3623"/>
      <c r="O90" s="3623"/>
      <c r="P90" s="3623"/>
      <c r="Q90" s="3623"/>
      <c r="R90" s="1564"/>
      <c r="S90" s="1564"/>
      <c r="T90" s="1564"/>
      <c r="U90" s="1564"/>
      <c r="W90" s="35"/>
      <c r="X90" s="1"/>
      <c r="Y90" s="1"/>
      <c r="Z90" s="1"/>
      <c r="AA90" s="1"/>
      <c r="AB90" s="1"/>
      <c r="AC90" s="1"/>
      <c r="AD90" s="1"/>
      <c r="AE90" s="1"/>
      <c r="AF90" s="1"/>
      <c r="AG90" s="1"/>
      <c r="AH90" s="1"/>
      <c r="AK90" s="2147"/>
    </row>
    <row r="91" spans="1:37" s="339" customFormat="1" ht="24" hidden="1" customHeight="1" x14ac:dyDescent="0.25">
      <c r="A91" s="304" t="s">
        <v>1038</v>
      </c>
      <c r="B91" s="3612"/>
      <c r="C91" s="3612"/>
      <c r="D91" s="3612"/>
      <c r="E91" s="42"/>
      <c r="F91" s="882"/>
      <c r="G91" s="906"/>
      <c r="H91" s="32"/>
      <c r="I91" s="3667"/>
      <c r="J91" s="3571"/>
      <c r="K91" s="3571"/>
      <c r="L91" s="3571"/>
      <c r="M91" s="3571"/>
      <c r="N91" s="3571"/>
      <c r="O91" s="3571"/>
      <c r="P91" s="3571"/>
      <c r="Q91" s="3571"/>
      <c r="R91" s="866"/>
      <c r="S91" s="866"/>
      <c r="T91" s="866"/>
      <c r="U91" s="866"/>
      <c r="W91" s="35"/>
      <c r="X91" s="1"/>
      <c r="Y91" s="1"/>
      <c r="Z91" s="1"/>
      <c r="AA91" s="1"/>
      <c r="AB91" s="1"/>
      <c r="AC91" s="1"/>
      <c r="AD91" s="1"/>
      <c r="AE91" s="1"/>
      <c r="AF91" s="1"/>
      <c r="AG91" s="1"/>
      <c r="AH91" s="1"/>
      <c r="AK91" s="2147"/>
    </row>
    <row r="92" spans="1:37" s="339" customFormat="1" ht="24" hidden="1" customHeight="1" x14ac:dyDescent="0.25">
      <c r="A92" s="304" t="s">
        <v>1038</v>
      </c>
      <c r="B92" s="3572"/>
      <c r="C92" s="3572"/>
      <c r="D92" s="3572"/>
      <c r="E92" s="3572"/>
      <c r="F92" s="3572"/>
      <c r="G92" s="3572"/>
      <c r="H92" s="3572"/>
      <c r="I92" s="3572"/>
      <c r="J92" s="3572"/>
      <c r="K92" s="3572"/>
      <c r="L92" s="3571"/>
      <c r="M92" s="3571"/>
      <c r="N92" s="3571"/>
      <c r="O92" s="3571"/>
      <c r="P92" s="3650"/>
      <c r="Q92" s="3650"/>
      <c r="R92" s="1514"/>
      <c r="S92" s="1514"/>
      <c r="T92" s="1514"/>
      <c r="U92" s="1514"/>
      <c r="W92" s="35"/>
      <c r="X92" s="1"/>
      <c r="Y92" s="1"/>
      <c r="Z92" s="1"/>
      <c r="AA92" s="1"/>
      <c r="AB92" s="1"/>
      <c r="AC92" s="1"/>
      <c r="AD92" s="1"/>
      <c r="AE92" s="1"/>
      <c r="AF92" s="1"/>
      <c r="AG92" s="1"/>
      <c r="AH92" s="1"/>
      <c r="AK92" s="2147"/>
    </row>
    <row r="93" spans="1:37" s="339" customFormat="1" ht="24" hidden="1" customHeight="1" x14ac:dyDescent="0.25">
      <c r="A93" s="304" t="s">
        <v>1038</v>
      </c>
      <c r="B93" s="3572"/>
      <c r="C93" s="3572"/>
      <c r="D93" s="3572"/>
      <c r="E93" s="3572"/>
      <c r="F93" s="3572"/>
      <c r="G93" s="3572"/>
      <c r="H93" s="3572"/>
      <c r="I93" s="3572"/>
      <c r="J93" s="3572"/>
      <c r="K93" s="3572"/>
      <c r="L93" s="3571"/>
      <c r="M93" s="3571"/>
      <c r="N93" s="3571"/>
      <c r="O93" s="3571"/>
      <c r="P93" s="3650"/>
      <c r="Q93" s="3650"/>
      <c r="R93" s="1514"/>
      <c r="S93" s="1514"/>
      <c r="T93" s="1514"/>
      <c r="U93" s="1514"/>
      <c r="W93" s="35"/>
      <c r="X93" s="1"/>
      <c r="Y93" s="1"/>
      <c r="Z93" s="1"/>
      <c r="AA93" s="1"/>
      <c r="AB93" s="1"/>
      <c r="AC93" s="1"/>
      <c r="AD93" s="1"/>
      <c r="AE93" s="1"/>
      <c r="AF93" s="1"/>
      <c r="AG93" s="1"/>
      <c r="AH93" s="1"/>
      <c r="AK93" s="2147"/>
    </row>
    <row r="94" spans="1:37" s="339" customFormat="1" ht="24" hidden="1" customHeight="1" x14ac:dyDescent="0.25">
      <c r="A94" s="304" t="s">
        <v>1038</v>
      </c>
      <c r="B94" s="3572"/>
      <c r="C94" s="3572"/>
      <c r="D94" s="3572"/>
      <c r="E94" s="3572"/>
      <c r="F94" s="3572"/>
      <c r="G94" s="3572"/>
      <c r="H94" s="3572"/>
      <c r="I94" s="3572"/>
      <c r="J94" s="3572"/>
      <c r="K94" s="3572"/>
      <c r="L94" s="3571"/>
      <c r="M94" s="3571"/>
      <c r="N94" s="3571"/>
      <c r="O94" s="3571"/>
      <c r="P94" s="3650"/>
      <c r="Q94" s="3650"/>
      <c r="R94" s="1514"/>
      <c r="S94" s="1514"/>
      <c r="T94" s="1514"/>
      <c r="U94" s="1514"/>
      <c r="W94" s="35"/>
      <c r="X94" s="1"/>
      <c r="Y94" s="1"/>
      <c r="Z94" s="1"/>
      <c r="AA94" s="1"/>
      <c r="AB94" s="1"/>
      <c r="AC94" s="1"/>
      <c r="AD94" s="1"/>
      <c r="AE94" s="1"/>
      <c r="AF94" s="1"/>
      <c r="AG94" s="1"/>
      <c r="AH94" s="1"/>
      <c r="AK94" s="2147"/>
    </row>
    <row r="95" spans="1:37" s="339" customFormat="1" ht="24" hidden="1" customHeight="1" x14ac:dyDescent="0.25">
      <c r="A95" s="304" t="s">
        <v>1038</v>
      </c>
      <c r="B95" s="1571"/>
      <c r="C95" s="1571"/>
      <c r="D95" s="1571"/>
      <c r="E95" s="1571"/>
      <c r="F95" s="1571"/>
      <c r="G95" s="1571"/>
      <c r="H95" s="1571"/>
      <c r="I95" s="1571"/>
      <c r="J95" s="1571"/>
      <c r="K95" s="1571"/>
      <c r="L95" s="1514"/>
      <c r="M95" s="1514"/>
      <c r="N95" s="35"/>
      <c r="O95" s="1"/>
      <c r="P95" s="1"/>
      <c r="Q95" s="1"/>
      <c r="R95" s="1"/>
      <c r="S95" s="1"/>
      <c r="T95" s="1"/>
      <c r="U95" s="1"/>
      <c r="W95" s="35"/>
      <c r="X95" s="1"/>
      <c r="Y95" s="1"/>
      <c r="Z95" s="1"/>
      <c r="AA95" s="1"/>
      <c r="AB95" s="1"/>
      <c r="AC95" s="1"/>
      <c r="AD95" s="1"/>
      <c r="AE95" s="1"/>
      <c r="AF95" s="1"/>
      <c r="AG95" s="1"/>
      <c r="AH95" s="1"/>
      <c r="AK95" s="1521"/>
    </row>
    <row r="96" spans="1:37" s="339" customFormat="1" ht="24" hidden="1" customHeight="1" x14ac:dyDescent="0.25">
      <c r="A96" s="304" t="s">
        <v>1038</v>
      </c>
      <c r="N96" s="35"/>
      <c r="O96" s="1"/>
      <c r="P96" s="1"/>
      <c r="Q96" s="1"/>
      <c r="R96" s="1"/>
      <c r="S96" s="1"/>
      <c r="T96" s="1"/>
      <c r="U96" s="1"/>
      <c r="W96" s="35"/>
      <c r="X96" s="1"/>
      <c r="Y96" s="1"/>
      <c r="Z96" s="1"/>
      <c r="AA96" s="1"/>
      <c r="AB96" s="1"/>
      <c r="AC96" s="1"/>
      <c r="AD96" s="1"/>
      <c r="AE96" s="1"/>
      <c r="AF96" s="1"/>
      <c r="AG96" s="1"/>
      <c r="AH96" s="1"/>
      <c r="AK96" s="1521"/>
    </row>
    <row r="97" spans="1:37" s="339" customFormat="1" ht="30.75" hidden="1" customHeight="1" x14ac:dyDescent="0.25">
      <c r="A97" s="304" t="s">
        <v>1038</v>
      </c>
      <c r="B97" s="347"/>
      <c r="C97" s="3347"/>
      <c r="D97" s="3571"/>
      <c r="E97" s="3571"/>
      <c r="F97" s="3571"/>
      <c r="G97" s="3610"/>
      <c r="H97" s="3571"/>
      <c r="I97" s="3571"/>
      <c r="J97" s="3571"/>
      <c r="K97" s="3571"/>
      <c r="L97" s="3610"/>
      <c r="M97" s="3571"/>
      <c r="N97" s="3571"/>
      <c r="O97" s="3571"/>
      <c r="P97" s="3571"/>
      <c r="Q97" s="3571"/>
      <c r="R97" s="866"/>
      <c r="S97" s="866"/>
      <c r="T97" s="866"/>
      <c r="U97" s="866"/>
      <c r="W97" s="35"/>
      <c r="X97" s="1"/>
      <c r="Y97" s="1"/>
      <c r="Z97" s="1"/>
      <c r="AA97" s="1"/>
      <c r="AB97" s="1"/>
      <c r="AC97" s="1"/>
      <c r="AD97" s="1"/>
      <c r="AE97" s="1"/>
      <c r="AF97" s="1"/>
      <c r="AG97" s="1"/>
      <c r="AH97" s="1"/>
      <c r="AK97" s="1521"/>
    </row>
    <row r="98" spans="1:37" s="339" customFormat="1" ht="15.75" hidden="1" customHeight="1" x14ac:dyDescent="0.25">
      <c r="A98" s="304"/>
      <c r="B98" s="6"/>
      <c r="C98" s="3651"/>
      <c r="D98" s="3651"/>
      <c r="E98" s="3651"/>
      <c r="F98" s="3651"/>
      <c r="G98" s="3651"/>
      <c r="H98" s="3651"/>
      <c r="I98" s="3651"/>
      <c r="J98" s="3651"/>
      <c r="K98" s="3651"/>
      <c r="L98" s="3651"/>
      <c r="M98" s="3651"/>
      <c r="N98" s="3651"/>
      <c r="O98" s="3651"/>
      <c r="P98" s="3651"/>
      <c r="Q98" s="3651"/>
      <c r="R98" s="6"/>
      <c r="S98" s="6"/>
      <c r="T98" s="6"/>
      <c r="U98" s="6"/>
      <c r="W98" s="35"/>
      <c r="X98" s="1"/>
      <c r="Y98" s="1"/>
      <c r="Z98" s="1"/>
      <c r="AA98" s="1"/>
      <c r="AB98" s="1"/>
      <c r="AC98" s="1"/>
      <c r="AD98" s="1"/>
      <c r="AE98" s="1"/>
      <c r="AF98" s="1"/>
      <c r="AG98" s="1"/>
      <c r="AH98" s="1"/>
      <c r="AK98" s="1521"/>
    </row>
    <row r="99" spans="1:37" s="339" customFormat="1" ht="18" hidden="1" customHeight="1" x14ac:dyDescent="0.25">
      <c r="A99" s="304" t="s">
        <v>1038</v>
      </c>
      <c r="B99" s="387"/>
      <c r="C99" s="3608"/>
      <c r="D99" s="3609"/>
      <c r="E99" s="3609"/>
      <c r="F99" s="3609"/>
      <c r="G99" s="3600"/>
      <c r="H99" s="3571"/>
      <c r="I99" s="3571"/>
      <c r="J99" s="3571"/>
      <c r="K99" s="3571"/>
      <c r="L99" s="3570"/>
      <c r="M99" s="3571"/>
      <c r="N99" s="3571"/>
      <c r="O99" s="3571"/>
      <c r="P99" s="3571"/>
      <c r="Q99" s="3571"/>
      <c r="R99" s="866"/>
      <c r="S99" s="866"/>
      <c r="T99" s="866"/>
      <c r="U99" s="866"/>
      <c r="W99" s="35"/>
      <c r="X99" s="1"/>
      <c r="Y99" s="1"/>
      <c r="Z99" s="1"/>
      <c r="AA99" s="1"/>
      <c r="AB99" s="1"/>
      <c r="AC99" s="1"/>
      <c r="AD99" s="1"/>
      <c r="AE99" s="1"/>
      <c r="AF99" s="1"/>
      <c r="AG99" s="1"/>
      <c r="AH99" s="1"/>
      <c r="AK99" s="1521"/>
    </row>
    <row r="100" spans="1:37" s="339" customFormat="1" ht="18" hidden="1" customHeight="1" x14ac:dyDescent="0.25">
      <c r="A100" s="304" t="s">
        <v>1038</v>
      </c>
      <c r="B100" s="387"/>
      <c r="C100" s="3608"/>
      <c r="D100" s="3609"/>
      <c r="E100" s="3609"/>
      <c r="F100" s="3609"/>
      <c r="G100" s="3600"/>
      <c r="H100" s="3571"/>
      <c r="I100" s="3571"/>
      <c r="J100" s="3571"/>
      <c r="K100" s="3571"/>
      <c r="L100" s="3570"/>
      <c r="M100" s="3571"/>
      <c r="N100" s="3571"/>
      <c r="O100" s="3571"/>
      <c r="P100" s="3571"/>
      <c r="Q100" s="3571"/>
      <c r="R100" s="866"/>
      <c r="S100" s="866"/>
      <c r="T100" s="866"/>
      <c r="U100" s="866"/>
      <c r="W100" s="35"/>
      <c r="X100" s="1"/>
      <c r="Y100" s="1"/>
      <c r="Z100" s="1"/>
      <c r="AA100" s="1"/>
      <c r="AB100" s="1"/>
      <c r="AC100" s="1"/>
      <c r="AD100" s="1"/>
      <c r="AE100" s="1"/>
      <c r="AF100" s="1"/>
      <c r="AG100" s="1"/>
      <c r="AH100" s="1"/>
      <c r="AK100" s="1521"/>
    </row>
    <row r="101" spans="1:37" s="339" customFormat="1" ht="18" hidden="1" customHeight="1" x14ac:dyDescent="0.25">
      <c r="A101" s="304" t="s">
        <v>1038</v>
      </c>
      <c r="B101" s="387"/>
      <c r="C101" s="3608"/>
      <c r="D101" s="3609"/>
      <c r="E101" s="3609"/>
      <c r="F101" s="3609"/>
      <c r="G101" s="3600"/>
      <c r="H101" s="3571"/>
      <c r="I101" s="3571"/>
      <c r="J101" s="3571"/>
      <c r="K101" s="3571"/>
      <c r="L101" s="3570"/>
      <c r="M101" s="3571"/>
      <c r="N101" s="3571"/>
      <c r="O101" s="3571"/>
      <c r="P101" s="3571"/>
      <c r="Q101" s="3571"/>
      <c r="R101" s="866"/>
      <c r="S101" s="866"/>
      <c r="T101" s="866"/>
      <c r="U101" s="866"/>
      <c r="W101" s="35"/>
      <c r="X101" s="1"/>
      <c r="Y101" s="1"/>
      <c r="Z101" s="1"/>
      <c r="AA101" s="1"/>
      <c r="AB101" s="1"/>
      <c r="AC101" s="1"/>
      <c r="AD101" s="1"/>
      <c r="AE101" s="1"/>
      <c r="AF101" s="1"/>
      <c r="AG101" s="1"/>
      <c r="AH101" s="1"/>
      <c r="AK101" s="1521"/>
    </row>
    <row r="102" spans="1:37" s="339" customFormat="1" ht="18" customHeight="1" x14ac:dyDescent="0.25">
      <c r="A102" s="304" t="s">
        <v>1038</v>
      </c>
      <c r="B102" s="387"/>
      <c r="C102" s="387"/>
      <c r="D102" s="387"/>
      <c r="N102" s="35"/>
      <c r="O102" s="1"/>
      <c r="P102" s="1"/>
      <c r="Q102" s="1"/>
      <c r="R102" s="1"/>
      <c r="S102" s="1"/>
      <c r="T102" s="1"/>
      <c r="U102" s="1"/>
      <c r="W102" s="35"/>
      <c r="X102" s="1"/>
      <c r="Y102" s="1"/>
      <c r="Z102" s="1"/>
      <c r="AA102" s="1"/>
      <c r="AB102" s="1"/>
      <c r="AC102" s="1"/>
      <c r="AD102" s="1"/>
      <c r="AE102" s="1"/>
      <c r="AF102" s="1"/>
      <c r="AG102" s="1"/>
      <c r="AH102" s="1"/>
      <c r="AK102" s="1521"/>
    </row>
    <row r="103" spans="1:37" s="347" customFormat="1" ht="19.5" customHeight="1" x14ac:dyDescent="0.25">
      <c r="A103" s="304" t="s">
        <v>1038</v>
      </c>
      <c r="B103" s="47" t="s">
        <v>2388</v>
      </c>
      <c r="C103" s="9"/>
      <c r="D103" s="9"/>
      <c r="E103" s="9"/>
      <c r="F103" s="9"/>
      <c r="G103" s="9"/>
      <c r="H103" s="9"/>
      <c r="I103" s="9"/>
      <c r="J103" s="9"/>
      <c r="K103" s="9"/>
      <c r="L103" s="9"/>
      <c r="M103" s="9"/>
      <c r="W103" s="42"/>
      <c r="X103" s="42"/>
      <c r="Y103" s="42"/>
      <c r="Z103" s="42"/>
      <c r="AA103" s="42"/>
      <c r="AB103" s="42"/>
      <c r="AC103" s="42"/>
      <c r="AD103" s="42"/>
      <c r="AE103" s="42"/>
      <c r="AF103" s="42"/>
      <c r="AG103" s="42"/>
      <c r="AH103" s="42"/>
      <c r="AK103" s="1521"/>
    </row>
    <row r="104" spans="1:37" s="347" customFormat="1" ht="60" customHeight="1" x14ac:dyDescent="0.25">
      <c r="A104" s="304"/>
      <c r="B104" s="396" t="str">
        <f>"Total modeled interior lighting power, based on inputs above"</f>
        <v>Total modeled interior lighting power, based on inputs above</v>
      </c>
      <c r="C104" s="9"/>
      <c r="D104" s="9"/>
      <c r="E104" s="9"/>
      <c r="F104" s="9"/>
      <c r="G104" s="9"/>
      <c r="H104" s="9"/>
      <c r="I104" s="9"/>
      <c r="J104" s="9"/>
      <c r="K104" s="9"/>
      <c r="L104" s="9"/>
      <c r="M104" s="9"/>
      <c r="T104" s="1174"/>
      <c r="U104" s="14"/>
      <c r="W104" s="42"/>
      <c r="X104" s="42"/>
      <c r="Y104" s="42"/>
      <c r="Z104" s="42"/>
      <c r="AA104" s="42"/>
      <c r="AB104" s="42"/>
      <c r="AC104" s="42"/>
      <c r="AD104" s="42"/>
      <c r="AE104" s="42"/>
      <c r="AF104" s="42"/>
      <c r="AG104" s="42"/>
      <c r="AH104" s="42"/>
      <c r="AK104" s="1521"/>
    </row>
    <row r="105" spans="1:37" s="339" customFormat="1" ht="59.25" hidden="1" customHeight="1" x14ac:dyDescent="0.25">
      <c r="A105" s="304" t="s">
        <v>1038</v>
      </c>
      <c r="B105" s="9"/>
      <c r="C105" s="9"/>
      <c r="D105" s="9"/>
      <c r="E105" s="9"/>
      <c r="F105" s="9"/>
      <c r="G105" s="9"/>
      <c r="H105" s="9"/>
      <c r="I105" s="9"/>
      <c r="J105" s="9"/>
      <c r="K105" s="9"/>
      <c r="L105" s="9"/>
      <c r="M105" s="9"/>
      <c r="N105" s="9"/>
      <c r="O105" s="9"/>
      <c r="P105" s="9"/>
      <c r="Q105" s="9"/>
      <c r="R105" s="347"/>
      <c r="S105" s="1174"/>
      <c r="T105" s="1174"/>
      <c r="U105" s="14"/>
      <c r="W105" s="35"/>
      <c r="X105" s="1"/>
      <c r="Y105" s="1"/>
      <c r="Z105" s="1"/>
      <c r="AA105" s="1"/>
      <c r="AB105" s="1"/>
      <c r="AC105" s="1"/>
      <c r="AD105" s="1"/>
      <c r="AE105" s="1"/>
      <c r="AF105" s="1"/>
      <c r="AG105" s="1"/>
      <c r="AH105" s="1"/>
      <c r="AK105" s="1521"/>
    </row>
    <row r="106" spans="1:37" s="339" customFormat="1" ht="24.75" customHeight="1" x14ac:dyDescent="0.25">
      <c r="A106" s="304" t="s">
        <v>1038</v>
      </c>
      <c r="B106" s="3456" t="s">
        <v>1087</v>
      </c>
      <c r="C106" s="3495"/>
      <c r="D106" s="3495"/>
      <c r="E106" s="3495"/>
      <c r="F106" s="3457"/>
      <c r="G106" s="3395" t="str">
        <f>CONCATENATE("Baseline",CHAR(10),IF(SI_IP_Units="IP","(W/sq ft)","(W/sq m)"))</f>
        <v>Baseline
(W/sq ft)</v>
      </c>
      <c r="H106" s="3576"/>
      <c r="I106" s="3576"/>
      <c r="J106" s="1362" t="str">
        <f>CONCATENATE("Proposed Design",CHAR(10),IF(SI_IP_Units="IP","(W/sq ft)","(W/sq m)"))</f>
        <v>Proposed Design
(W/sq ft)</v>
      </c>
      <c r="K106" s="1362"/>
      <c r="L106" s="3395" t="str">
        <f>CONCATENATE("Baseline",CHAR(10),"(kW)")</f>
        <v>Baseline
(kW)</v>
      </c>
      <c r="M106" s="3607"/>
      <c r="N106" s="3607"/>
      <c r="O106" s="3395" t="str">
        <f>CONCATENATE("Proposed Design  ",CHAR(10),"(kW)")</f>
        <v>Proposed Design  
(kW)</v>
      </c>
      <c r="P106" s="3576"/>
      <c r="Q106" s="3576"/>
      <c r="R106" s="347"/>
      <c r="S106" s="1174"/>
      <c r="T106" s="1174"/>
      <c r="U106" s="14"/>
      <c r="W106" s="35"/>
      <c r="X106" s="1"/>
      <c r="Y106" s="1"/>
      <c r="Z106" s="1"/>
      <c r="AA106" s="1"/>
      <c r="AB106" s="1"/>
      <c r="AC106" s="1"/>
      <c r="AD106" s="1"/>
      <c r="AE106" s="1"/>
      <c r="AF106" s="1"/>
      <c r="AG106" s="1"/>
      <c r="AH106" s="1"/>
      <c r="AK106" s="1521"/>
    </row>
    <row r="107" spans="1:37" s="339" customFormat="1" ht="12.75" hidden="1" customHeight="1" x14ac:dyDescent="0.25">
      <c r="A107" s="304"/>
      <c r="B107" s="1507">
        <f>B105</f>
        <v>0</v>
      </c>
      <c r="C107" s="1393"/>
      <c r="D107" s="1393"/>
      <c r="E107" s="1393"/>
      <c r="F107" s="1393"/>
      <c r="G107" s="1507" t="s">
        <v>1386</v>
      </c>
      <c r="H107" s="1393"/>
      <c r="I107" s="1393"/>
      <c r="J107" s="1507" t="s">
        <v>1304</v>
      </c>
      <c r="K107" s="1507"/>
      <c r="L107" s="1507" t="s">
        <v>1387</v>
      </c>
      <c r="M107" s="1507"/>
      <c r="N107" s="1516"/>
      <c r="O107" s="1507" t="s">
        <v>1388</v>
      </c>
      <c r="P107" s="1394"/>
      <c r="Q107" s="1393"/>
      <c r="R107" s="347"/>
      <c r="S107" s="1174"/>
      <c r="T107" s="1174"/>
      <c r="U107" s="14"/>
      <c r="W107" s="35"/>
      <c r="X107" s="1"/>
      <c r="Y107" s="1"/>
      <c r="Z107" s="1"/>
      <c r="AA107" s="1"/>
      <c r="AB107" s="1"/>
      <c r="AC107" s="1"/>
      <c r="AD107" s="1"/>
      <c r="AE107" s="1"/>
      <c r="AF107" s="1"/>
      <c r="AG107" s="1"/>
      <c r="AH107" s="1"/>
      <c r="AK107" s="1521"/>
    </row>
    <row r="108" spans="1:37" s="339" customFormat="1" ht="42" customHeight="1" x14ac:dyDescent="0.25">
      <c r="A108" s="304"/>
      <c r="B108" s="3619">
        <f>'1 - Multiple Buildings Details'!B24</f>
        <v>0</v>
      </c>
      <c r="C108" s="3620"/>
      <c r="D108" s="3620"/>
      <c r="E108" s="3620"/>
      <c r="F108" s="3620"/>
      <c r="G108" s="3644" t="str">
        <f>I60</f>
        <v>-</v>
      </c>
      <c r="H108" s="3662"/>
      <c r="I108" s="3662"/>
      <c r="J108" s="3663" t="str">
        <f>K60</f>
        <v>-</v>
      </c>
      <c r="K108" s="3663"/>
      <c r="L108" s="3658" t="str">
        <f>IF(I60="-","-",I60*D60/1000)</f>
        <v>-</v>
      </c>
      <c r="M108" s="3659"/>
      <c r="N108" s="3659"/>
      <c r="O108" s="3660" t="str">
        <f>IF(K60="-","-",K60*D60/1000)</f>
        <v>-</v>
      </c>
      <c r="P108" s="3661"/>
      <c r="Q108" s="3661"/>
      <c r="R108" s="347"/>
      <c r="S108" s="1174"/>
      <c r="T108" s="1174"/>
      <c r="U108" s="14"/>
      <c r="W108" s="35"/>
      <c r="X108" s="1"/>
      <c r="Y108" s="1"/>
      <c r="Z108" s="1"/>
      <c r="AA108" s="1"/>
      <c r="AB108" s="1"/>
      <c r="AC108" s="1"/>
      <c r="AD108" s="1"/>
      <c r="AE108" s="1"/>
      <c r="AF108" s="1"/>
      <c r="AG108" s="1"/>
      <c r="AH108" s="1"/>
      <c r="AK108" s="1802"/>
    </row>
    <row r="109" spans="1:37" s="390" customFormat="1" ht="30" customHeight="1" x14ac:dyDescent="0.25">
      <c r="A109" s="304" t="s">
        <v>1038</v>
      </c>
      <c r="B109" s="1572"/>
      <c r="C109" s="1572"/>
      <c r="D109" s="1572"/>
      <c r="E109" s="1572"/>
      <c r="F109" s="1572"/>
      <c r="G109" s="1572"/>
      <c r="H109" s="1572"/>
      <c r="I109" s="1572"/>
      <c r="J109" s="229"/>
      <c r="K109" s="229"/>
      <c r="L109" s="229"/>
      <c r="R109" s="347"/>
      <c r="S109" s="339"/>
      <c r="T109" s="339"/>
      <c r="U109" s="339"/>
      <c r="W109" s="230"/>
      <c r="X109" s="231"/>
      <c r="Y109" s="231"/>
      <c r="Z109" s="231"/>
      <c r="AA109" s="231"/>
      <c r="AB109" s="231"/>
      <c r="AC109" s="231"/>
      <c r="AD109" s="231"/>
      <c r="AE109" s="231"/>
      <c r="AF109" s="231"/>
      <c r="AG109" s="231"/>
      <c r="AH109" s="231"/>
      <c r="AK109" s="1505"/>
    </row>
    <row r="110" spans="1:37" s="347" customFormat="1" ht="26.25" customHeight="1" x14ac:dyDescent="0.25">
      <c r="A110" s="304" t="s">
        <v>1038</v>
      </c>
      <c r="B110" s="13" t="s">
        <v>2389</v>
      </c>
      <c r="C110" s="9"/>
      <c r="D110" s="9"/>
      <c r="E110" s="9"/>
      <c r="F110" s="9"/>
      <c r="G110" s="9"/>
      <c r="H110" s="9"/>
      <c r="I110" s="9"/>
      <c r="J110" s="9"/>
      <c r="K110" s="9"/>
      <c r="L110" s="9"/>
      <c r="M110" s="9"/>
      <c r="W110" s="42"/>
      <c r="X110" s="42"/>
      <c r="Y110" s="42"/>
      <c r="Z110" s="42"/>
      <c r="AA110" s="42"/>
      <c r="AB110" s="42"/>
      <c r="AC110" s="42"/>
      <c r="AD110" s="42"/>
      <c r="AE110" s="42"/>
      <c r="AF110" s="42"/>
      <c r="AG110" s="42"/>
      <c r="AH110" s="42"/>
      <c r="AK110" s="1521"/>
    </row>
    <row r="111" spans="1:37" s="339" customFormat="1" ht="21" customHeight="1" x14ac:dyDescent="0.25">
      <c r="A111" s="304" t="s">
        <v>1038</v>
      </c>
      <c r="B111" s="3434" t="s">
        <v>1087</v>
      </c>
      <c r="C111" s="3664" t="s">
        <v>2</v>
      </c>
      <c r="D111" s="3664"/>
      <c r="E111" s="3664"/>
      <c r="F111" s="3664"/>
      <c r="G111" s="3395" t="s">
        <v>109</v>
      </c>
      <c r="H111" s="3395"/>
      <c r="I111" s="3395"/>
      <c r="J111" s="3395"/>
      <c r="K111" s="3402"/>
      <c r="L111" s="3395" t="s">
        <v>248</v>
      </c>
      <c r="M111" s="3402"/>
      <c r="N111" s="3402"/>
      <c r="O111" s="3395" t="s">
        <v>103</v>
      </c>
      <c r="P111" s="3402"/>
      <c r="Q111" s="3402"/>
      <c r="R111" s="347"/>
      <c r="S111" s="35"/>
      <c r="T111" s="35"/>
      <c r="U111" s="35"/>
      <c r="W111" s="35"/>
      <c r="X111" s="1"/>
      <c r="Y111" s="1"/>
      <c r="Z111" s="1"/>
      <c r="AA111" s="1"/>
      <c r="AB111" s="1"/>
      <c r="AC111" s="1"/>
      <c r="AD111" s="1"/>
      <c r="AE111" s="1"/>
      <c r="AF111" s="1"/>
      <c r="AG111" s="1"/>
      <c r="AH111" s="1"/>
      <c r="AK111" s="1521"/>
    </row>
    <row r="112" spans="1:37" s="339" customFormat="1" ht="67.5" customHeight="1" x14ac:dyDescent="0.25">
      <c r="A112" s="304" t="s">
        <v>1038</v>
      </c>
      <c r="B112" s="3435"/>
      <c r="C112" s="3467" t="s">
        <v>2290</v>
      </c>
      <c r="D112" s="3467"/>
      <c r="E112" s="3467"/>
      <c r="F112" s="3467"/>
      <c r="G112" s="3467" t="s">
        <v>2291</v>
      </c>
      <c r="H112" s="3467"/>
      <c r="I112" s="3467"/>
      <c r="J112" s="3467"/>
      <c r="K112" s="3602"/>
      <c r="L112" s="3601" t="s">
        <v>2362</v>
      </c>
      <c r="M112" s="3602"/>
      <c r="N112" s="3602"/>
      <c r="O112" s="3467" t="s">
        <v>2292</v>
      </c>
      <c r="P112" s="3602"/>
      <c r="Q112" s="3602"/>
      <c r="R112" s="1961"/>
      <c r="S112" s="35"/>
      <c r="T112" s="35"/>
      <c r="U112" s="35"/>
      <c r="W112" s="35"/>
      <c r="X112" s="1"/>
      <c r="Y112" s="1"/>
      <c r="Z112" s="1"/>
      <c r="AA112" s="1"/>
      <c r="AB112" s="1"/>
      <c r="AC112" s="1"/>
      <c r="AD112" s="1"/>
      <c r="AE112" s="1"/>
      <c r="AF112" s="1"/>
      <c r="AG112" s="1"/>
      <c r="AH112" s="1"/>
      <c r="AK112" s="1521"/>
    </row>
    <row r="113" spans="1:37" s="339" customFormat="1" ht="33.75" hidden="1" customHeight="1" x14ac:dyDescent="0.25">
      <c r="A113" s="304" t="s">
        <v>1038</v>
      </c>
      <c r="B113" s="1378" t="str">
        <f>B111</f>
        <v>Building ID</v>
      </c>
      <c r="C113" s="1378" t="str">
        <f>C111</f>
        <v>Description</v>
      </c>
      <c r="D113" s="1647"/>
      <c r="E113" s="1647"/>
      <c r="F113" s="1647"/>
      <c r="G113" s="1378" t="str">
        <f>G111</f>
        <v>Section 9.2.2.3 Exemption</v>
      </c>
      <c r="H113" s="1647"/>
      <c r="I113" s="1647"/>
      <c r="J113" s="1647"/>
      <c r="K113" s="1648"/>
      <c r="L113" s="1378" t="str">
        <f>L111</f>
        <v>Total Process Lighting Power (W)</v>
      </c>
      <c r="M113" s="1648"/>
      <c r="N113" s="1648"/>
      <c r="O113" s="1378" t="str">
        <f>O111</f>
        <v>Modeled Identically In Baseline?</v>
      </c>
      <c r="P113" s="1648"/>
      <c r="Q113" s="1648"/>
      <c r="R113" s="1962"/>
      <c r="S113" s="35"/>
      <c r="T113" s="35"/>
      <c r="U113" s="35"/>
      <c r="W113" s="35"/>
      <c r="X113" s="1"/>
      <c r="Y113" s="1"/>
      <c r="Z113" s="1"/>
      <c r="AA113" s="1"/>
      <c r="AB113" s="1"/>
      <c r="AC113" s="1"/>
      <c r="AD113" s="1"/>
      <c r="AE113" s="1"/>
      <c r="AF113" s="1"/>
      <c r="AG113" s="1"/>
      <c r="AH113" s="1"/>
      <c r="AK113" s="1521"/>
    </row>
    <row r="114" spans="1:37" s="339" customFormat="1" ht="15" customHeight="1" x14ac:dyDescent="0.25">
      <c r="A114" s="304" t="s">
        <v>1038</v>
      </c>
      <c r="B114" s="1649" t="s">
        <v>3414</v>
      </c>
      <c r="C114" s="3506"/>
      <c r="D114" s="3506"/>
      <c r="E114" s="3506"/>
      <c r="F114" s="3506"/>
      <c r="G114" s="3506"/>
      <c r="H114" s="3506"/>
      <c r="I114" s="3506"/>
      <c r="J114" s="3506"/>
      <c r="K114" s="3505"/>
      <c r="L114" s="3577"/>
      <c r="M114" s="3578"/>
      <c r="N114" s="3578"/>
      <c r="O114" s="3506"/>
      <c r="P114" s="3505"/>
      <c r="Q114" s="3505"/>
      <c r="R114" s="1665"/>
      <c r="S114" s="35"/>
      <c r="T114" s="35"/>
      <c r="U114" s="35"/>
      <c r="W114" s="35"/>
      <c r="X114" s="1"/>
      <c r="Y114" s="1"/>
      <c r="Z114" s="1"/>
      <c r="AA114" s="1"/>
      <c r="AB114" s="1"/>
      <c r="AC114" s="1"/>
      <c r="AD114" s="1"/>
      <c r="AE114" s="1"/>
      <c r="AF114" s="1"/>
      <c r="AG114" s="1"/>
      <c r="AH114" s="1"/>
      <c r="AK114" s="1802"/>
    </row>
    <row r="115" spans="1:37" s="339" customFormat="1" ht="15" customHeight="1" x14ac:dyDescent="0.25">
      <c r="A115" s="304" t="s">
        <v>1038</v>
      </c>
      <c r="B115" s="1649" t="s">
        <v>3414</v>
      </c>
      <c r="C115" s="3506"/>
      <c r="D115" s="3506"/>
      <c r="E115" s="3506"/>
      <c r="F115" s="3506"/>
      <c r="G115" s="3506"/>
      <c r="H115" s="3506"/>
      <c r="I115" s="3506"/>
      <c r="J115" s="3506"/>
      <c r="K115" s="3505"/>
      <c r="L115" s="3577"/>
      <c r="M115" s="3578"/>
      <c r="N115" s="3578"/>
      <c r="O115" s="3506"/>
      <c r="P115" s="3505"/>
      <c r="Q115" s="3505"/>
      <c r="R115" s="1665"/>
      <c r="S115" s="35"/>
      <c r="T115" s="35"/>
      <c r="U115" s="35"/>
      <c r="W115" s="35"/>
      <c r="X115" s="1"/>
      <c r="Y115" s="1"/>
      <c r="Z115" s="1"/>
      <c r="AA115" s="1"/>
      <c r="AB115" s="1"/>
      <c r="AC115" s="1"/>
      <c r="AD115" s="1"/>
      <c r="AE115" s="1"/>
      <c r="AF115" s="1"/>
      <c r="AG115" s="1"/>
      <c r="AH115" s="1"/>
      <c r="AK115" s="1802"/>
    </row>
    <row r="116" spans="1:37" s="339" customFormat="1" ht="15" customHeight="1" x14ac:dyDescent="0.25">
      <c r="A116" s="304" t="s">
        <v>1038</v>
      </c>
      <c r="B116" s="1649" t="s">
        <v>3414</v>
      </c>
      <c r="C116" s="3506"/>
      <c r="D116" s="3506"/>
      <c r="E116" s="3506"/>
      <c r="F116" s="3506"/>
      <c r="G116" s="3506"/>
      <c r="H116" s="3506"/>
      <c r="I116" s="3506"/>
      <c r="J116" s="3506"/>
      <c r="K116" s="3505"/>
      <c r="L116" s="3577"/>
      <c r="M116" s="3578"/>
      <c r="N116" s="3578"/>
      <c r="O116" s="3506"/>
      <c r="P116" s="3505"/>
      <c r="Q116" s="3505"/>
      <c r="R116" s="1665"/>
      <c r="S116" s="35"/>
      <c r="T116" s="35"/>
      <c r="U116" s="35"/>
      <c r="W116" s="35"/>
      <c r="X116" s="1"/>
      <c r="Y116" s="1"/>
      <c r="Z116" s="1"/>
      <c r="AA116" s="1"/>
      <c r="AB116" s="1"/>
      <c r="AC116" s="1"/>
      <c r="AD116" s="1"/>
      <c r="AE116" s="1"/>
      <c r="AF116" s="1"/>
      <c r="AG116" s="1"/>
      <c r="AH116" s="1"/>
      <c r="AK116" s="1802"/>
    </row>
    <row r="117" spans="1:37" s="339" customFormat="1" ht="20.25" customHeight="1" x14ac:dyDescent="0.25">
      <c r="A117" s="304" t="s">
        <v>1038</v>
      </c>
      <c r="B117" s="3655"/>
      <c r="C117" s="3656"/>
      <c r="D117" s="3656"/>
      <c r="E117" s="3656"/>
      <c r="F117" s="3656"/>
      <c r="G117" s="3656"/>
      <c r="H117" s="3656"/>
      <c r="I117" s="3656"/>
      <c r="J117" s="3656"/>
      <c r="K117" s="3657"/>
      <c r="L117" s="3652" t="str">
        <f>IF(L114="","-",SUM(L114:N116)&amp;" W")</f>
        <v>-</v>
      </c>
      <c r="M117" s="3653"/>
      <c r="N117" s="3653"/>
      <c r="O117" s="3654"/>
      <c r="P117" s="3505"/>
      <c r="Q117" s="3505"/>
      <c r="R117" s="1665"/>
      <c r="S117" s="1"/>
      <c r="T117" s="1"/>
      <c r="U117" s="1"/>
      <c r="W117" s="35"/>
      <c r="X117" s="1"/>
      <c r="Y117" s="1"/>
      <c r="Z117" s="1"/>
      <c r="AA117" s="1"/>
      <c r="AB117" s="1"/>
      <c r="AC117" s="1"/>
      <c r="AD117" s="1"/>
      <c r="AE117" s="1"/>
      <c r="AF117" s="1"/>
      <c r="AG117" s="1"/>
      <c r="AH117" s="1"/>
      <c r="AK117" s="1521"/>
    </row>
    <row r="118" spans="1:37" s="347" customFormat="1" ht="30" customHeight="1" x14ac:dyDescent="0.25">
      <c r="A118" s="304" t="s">
        <v>1038</v>
      </c>
      <c r="B118" s="196" t="s">
        <v>237</v>
      </c>
      <c r="C118" s="9"/>
      <c r="D118" s="9"/>
      <c r="E118" s="9"/>
      <c r="F118" s="9"/>
      <c r="G118" s="9"/>
      <c r="H118" s="9"/>
      <c r="I118" s="9"/>
      <c r="J118" s="9"/>
      <c r="K118" s="9"/>
      <c r="L118" s="9"/>
      <c r="M118" s="9"/>
      <c r="W118" s="42"/>
      <c r="X118" s="42"/>
      <c r="Y118" s="42"/>
      <c r="Z118" s="42"/>
      <c r="AA118" s="42"/>
      <c r="AB118" s="42"/>
      <c r="AC118" s="42"/>
      <c r="AD118" s="42"/>
      <c r="AE118" s="42"/>
      <c r="AF118" s="42"/>
      <c r="AG118" s="42"/>
      <c r="AH118" s="42"/>
      <c r="AK118" s="1521"/>
    </row>
    <row r="119" spans="1:37" s="339" customFormat="1" ht="40.5" customHeight="1" x14ac:dyDescent="0.25">
      <c r="A119" s="304" t="s">
        <v>1038</v>
      </c>
      <c r="B119" s="3603" t="s">
        <v>2268</v>
      </c>
      <c r="C119" s="3603"/>
      <c r="D119" s="3603"/>
      <c r="E119" s="3603"/>
      <c r="F119" s="3603"/>
      <c r="G119" s="3603"/>
      <c r="H119" s="3603"/>
      <c r="I119" s="3603"/>
      <c r="J119" s="3603"/>
      <c r="K119" s="3603"/>
      <c r="L119" s="3603"/>
      <c r="M119" s="3604"/>
      <c r="N119" s="3604"/>
      <c r="O119" s="3604"/>
      <c r="P119" s="3604"/>
      <c r="Q119" s="3604"/>
      <c r="R119" s="1553"/>
      <c r="S119" s="866"/>
      <c r="T119" s="866"/>
      <c r="U119" s="866"/>
      <c r="W119" s="35"/>
      <c r="X119" s="1"/>
      <c r="Y119" s="1"/>
      <c r="Z119" s="1"/>
      <c r="AA119" s="1"/>
      <c r="AB119" s="1"/>
      <c r="AC119" s="1"/>
      <c r="AD119" s="1"/>
      <c r="AE119" s="1"/>
      <c r="AF119" s="1"/>
      <c r="AG119" s="1"/>
      <c r="AH119" s="1"/>
      <c r="AK119" s="1521"/>
    </row>
    <row r="120" spans="1:37" s="347" customFormat="1" ht="26.25" customHeight="1" x14ac:dyDescent="0.25">
      <c r="A120" s="304" t="s">
        <v>1038</v>
      </c>
      <c r="B120" s="47" t="s">
        <v>151</v>
      </c>
      <c r="C120" s="9"/>
      <c r="D120" s="9"/>
      <c r="E120" s="9"/>
      <c r="F120" s="9"/>
      <c r="G120" s="9"/>
      <c r="H120" s="9"/>
      <c r="I120" s="9"/>
      <c r="J120" s="9"/>
      <c r="K120" s="9"/>
      <c r="L120" s="9"/>
      <c r="M120" s="9"/>
      <c r="W120" s="42"/>
      <c r="X120" s="42"/>
      <c r="Y120" s="42"/>
      <c r="Z120" s="42"/>
      <c r="AA120" s="42"/>
      <c r="AB120" s="42"/>
      <c r="AC120" s="42"/>
      <c r="AD120" s="42"/>
      <c r="AE120" s="42"/>
      <c r="AF120" s="42"/>
      <c r="AG120" s="42"/>
      <c r="AH120" s="42"/>
      <c r="AK120" s="1521"/>
    </row>
    <row r="121" spans="1:37" s="339" customFormat="1" ht="37.049999999999997" customHeight="1" x14ac:dyDescent="0.25">
      <c r="A121" s="304" t="s">
        <v>1038</v>
      </c>
      <c r="B121" s="3584" t="s">
        <v>2711</v>
      </c>
      <c r="C121" s="3584"/>
      <c r="D121" s="3584"/>
      <c r="E121" s="3584"/>
      <c r="F121" s="3584"/>
      <c r="G121" s="3584"/>
      <c r="H121" s="3584"/>
      <c r="I121" s="3584"/>
      <c r="J121" s="3584"/>
      <c r="K121" s="3584"/>
      <c r="L121" s="3402"/>
      <c r="M121" s="3402"/>
      <c r="N121" s="3402"/>
      <c r="O121" s="3402"/>
      <c r="P121" s="3504"/>
      <c r="Q121" s="3585"/>
      <c r="R121" s="1564"/>
      <c r="S121" s="1564"/>
      <c r="T121" s="1564"/>
      <c r="U121" s="1564"/>
      <c r="W121" s="35"/>
      <c r="X121" s="1"/>
      <c r="Y121" s="1"/>
      <c r="Z121" s="1"/>
      <c r="AA121" s="1"/>
      <c r="AB121" s="1"/>
      <c r="AC121" s="1"/>
      <c r="AD121" s="1"/>
      <c r="AE121" s="1"/>
      <c r="AF121" s="1"/>
      <c r="AG121" s="1"/>
      <c r="AH121" s="1"/>
      <c r="AK121" s="1802"/>
    </row>
    <row r="122" spans="1:37" s="339" customFormat="1" ht="12" customHeight="1" x14ac:dyDescent="0.25">
      <c r="A122" s="304"/>
      <c r="B122" s="907"/>
      <c r="C122" s="1519"/>
      <c r="D122" s="1519"/>
      <c r="E122" s="1519"/>
      <c r="F122" s="1519"/>
      <c r="G122" s="1519"/>
      <c r="H122" s="1519"/>
      <c r="I122" s="1519"/>
      <c r="J122" s="1519"/>
      <c r="K122" s="1519"/>
      <c r="L122" s="866"/>
      <c r="M122" s="1518"/>
      <c r="N122" s="1573"/>
      <c r="O122" s="1573"/>
      <c r="P122" s="1573"/>
      <c r="Q122" s="1573"/>
      <c r="R122" s="1573"/>
      <c r="S122" s="1573"/>
      <c r="T122" s="1573"/>
      <c r="U122" s="1573"/>
      <c r="W122" s="35"/>
      <c r="X122" s="1"/>
      <c r="Y122" s="1"/>
      <c r="Z122" s="1"/>
      <c r="AA122" s="1"/>
      <c r="AB122" s="1"/>
      <c r="AC122" s="1"/>
      <c r="AD122" s="1"/>
      <c r="AE122" s="1"/>
      <c r="AF122" s="1"/>
      <c r="AG122" s="1"/>
      <c r="AH122" s="1"/>
      <c r="AK122" s="2149"/>
    </row>
    <row r="123" spans="1:37" s="339" customFormat="1" ht="37.049999999999997" customHeight="1" x14ac:dyDescent="0.25">
      <c r="A123" s="304" t="s">
        <v>1038</v>
      </c>
      <c r="B123" s="3584" t="s">
        <v>2707</v>
      </c>
      <c r="C123" s="3584"/>
      <c r="D123" s="3584"/>
      <c r="E123" s="3584"/>
      <c r="F123" s="3584"/>
      <c r="G123" s="3584"/>
      <c r="H123" s="3584"/>
      <c r="I123" s="3584"/>
      <c r="J123" s="3584"/>
      <c r="K123" s="3584"/>
      <c r="L123" s="3402"/>
      <c r="M123" s="3402"/>
      <c r="N123" s="3402"/>
      <c r="O123" s="3402"/>
      <c r="P123" s="3504"/>
      <c r="Q123" s="3585"/>
      <c r="R123" s="1564"/>
      <c r="S123" s="1564"/>
      <c r="T123" s="1564"/>
      <c r="U123" s="1564"/>
      <c r="W123" s="35"/>
      <c r="X123" s="1"/>
      <c r="Y123" s="1"/>
      <c r="Z123" s="1"/>
      <c r="AA123" s="1"/>
      <c r="AB123" s="1"/>
      <c r="AC123" s="1"/>
      <c r="AD123" s="1"/>
      <c r="AE123" s="1"/>
      <c r="AF123" s="1"/>
      <c r="AG123" s="1"/>
      <c r="AH123" s="1"/>
      <c r="AK123" s="1802"/>
    </row>
    <row r="124" spans="1:37" s="339" customFormat="1" ht="12" customHeight="1" x14ac:dyDescent="0.25">
      <c r="A124" s="304"/>
      <c r="B124" s="907"/>
      <c r="C124" s="1519"/>
      <c r="D124" s="1519"/>
      <c r="E124" s="1519"/>
      <c r="F124" s="1519"/>
      <c r="G124" s="1519"/>
      <c r="H124" s="1519"/>
      <c r="I124" s="1519"/>
      <c r="J124" s="1519"/>
      <c r="K124" s="1519"/>
      <c r="L124" s="866"/>
      <c r="M124" s="1518"/>
      <c r="N124" s="1573"/>
      <c r="O124" s="1573"/>
      <c r="P124" s="1573"/>
      <c r="Q124" s="1573"/>
      <c r="R124" s="1573"/>
      <c r="S124" s="1573"/>
      <c r="T124" s="1573"/>
      <c r="U124" s="1573"/>
      <c r="W124" s="35"/>
      <c r="X124" s="1"/>
      <c r="Y124" s="1"/>
      <c r="Z124" s="1"/>
      <c r="AA124" s="1"/>
      <c r="AB124" s="1"/>
      <c r="AC124" s="1"/>
      <c r="AD124" s="1"/>
      <c r="AE124" s="1"/>
      <c r="AF124" s="1"/>
      <c r="AG124" s="1"/>
      <c r="AH124" s="1"/>
      <c r="AK124" s="2149"/>
    </row>
    <row r="125" spans="1:37" s="339" customFormat="1" ht="37.049999999999997" customHeight="1" x14ac:dyDescent="0.25">
      <c r="A125" s="304" t="s">
        <v>1038</v>
      </c>
      <c r="B125" s="3584" t="s">
        <v>2708</v>
      </c>
      <c r="C125" s="3584"/>
      <c r="D125" s="3584"/>
      <c r="E125" s="3584"/>
      <c r="F125" s="3584"/>
      <c r="G125" s="3584"/>
      <c r="H125" s="3584"/>
      <c r="I125" s="3584"/>
      <c r="J125" s="3584"/>
      <c r="K125" s="3584"/>
      <c r="L125" s="3402"/>
      <c r="M125" s="3402"/>
      <c r="N125" s="3402"/>
      <c r="O125" s="3402"/>
      <c r="P125" s="3504"/>
      <c r="Q125" s="3585"/>
      <c r="R125" s="1564"/>
      <c r="S125" s="1564"/>
      <c r="T125" s="1564"/>
      <c r="U125" s="1564"/>
      <c r="W125" s="35"/>
      <c r="X125" s="1"/>
      <c r="Y125" s="1"/>
      <c r="Z125" s="1"/>
      <c r="AA125" s="1"/>
      <c r="AB125" s="1"/>
      <c r="AC125" s="1"/>
      <c r="AD125" s="1"/>
      <c r="AE125" s="1"/>
      <c r="AF125" s="1"/>
      <c r="AG125" s="1"/>
      <c r="AH125" s="1"/>
      <c r="AK125" s="1802"/>
    </row>
    <row r="126" spans="1:37" s="339" customFormat="1" ht="12" customHeight="1" x14ac:dyDescent="0.25">
      <c r="A126" s="304"/>
      <c r="B126" s="907"/>
      <c r="C126" s="1519"/>
      <c r="D126" s="1519"/>
      <c r="E126" s="1519"/>
      <c r="F126" s="1519"/>
      <c r="G126" s="1519"/>
      <c r="H126" s="1519"/>
      <c r="I126" s="1519"/>
      <c r="J126" s="1519"/>
      <c r="K126" s="1519"/>
      <c r="L126" s="866"/>
      <c r="M126" s="1518"/>
      <c r="N126" s="1573"/>
      <c r="O126" s="1573"/>
      <c r="P126" s="1573"/>
      <c r="Q126" s="1573"/>
      <c r="R126" s="1573"/>
      <c r="S126" s="1573"/>
      <c r="T126" s="1573"/>
      <c r="U126" s="1573"/>
      <c r="W126" s="35"/>
      <c r="X126" s="1"/>
      <c r="Y126" s="1"/>
      <c r="Z126" s="1"/>
      <c r="AA126" s="1"/>
      <c r="AB126" s="1"/>
      <c r="AC126" s="1"/>
      <c r="AD126" s="1"/>
      <c r="AE126" s="1"/>
      <c r="AF126" s="1"/>
      <c r="AG126" s="1"/>
      <c r="AH126" s="1"/>
      <c r="AK126" s="2149"/>
    </row>
    <row r="127" spans="1:37" s="339" customFormat="1" ht="37.049999999999997" customHeight="1" x14ac:dyDescent="0.25">
      <c r="A127" s="304" t="s">
        <v>1038</v>
      </c>
      <c r="B127" s="3584" t="s">
        <v>2709</v>
      </c>
      <c r="C127" s="3584"/>
      <c r="D127" s="3584"/>
      <c r="E127" s="3584"/>
      <c r="F127" s="3584"/>
      <c r="G127" s="3584"/>
      <c r="H127" s="3584"/>
      <c r="I127" s="3584"/>
      <c r="J127" s="3584"/>
      <c r="K127" s="3584"/>
      <c r="L127" s="3402"/>
      <c r="M127" s="3402"/>
      <c r="N127" s="3402"/>
      <c r="O127" s="3402"/>
      <c r="P127" s="3504"/>
      <c r="Q127" s="3585"/>
      <c r="R127" s="1564"/>
      <c r="S127" s="1564"/>
      <c r="T127" s="1564"/>
      <c r="U127" s="1564"/>
      <c r="W127" s="35"/>
      <c r="X127" s="1"/>
      <c r="Y127" s="1"/>
      <c r="Z127" s="1"/>
      <c r="AA127" s="1"/>
      <c r="AB127" s="1"/>
      <c r="AC127" s="1"/>
      <c r="AD127" s="1"/>
      <c r="AE127" s="1"/>
      <c r="AF127" s="1"/>
      <c r="AG127" s="1"/>
      <c r="AH127" s="1"/>
      <c r="AK127" s="1802"/>
    </row>
    <row r="128" spans="1:37" s="339" customFormat="1" ht="12" customHeight="1" x14ac:dyDescent="0.25">
      <c r="A128" s="304"/>
      <c r="B128" s="907"/>
      <c r="C128" s="1519"/>
      <c r="D128" s="1519"/>
      <c r="E128" s="1519"/>
      <c r="F128" s="1519"/>
      <c r="G128" s="1519"/>
      <c r="H128" s="1519"/>
      <c r="I128" s="1519"/>
      <c r="J128" s="1519"/>
      <c r="K128" s="1519"/>
      <c r="L128" s="866"/>
      <c r="M128" s="1518"/>
      <c r="N128" s="1573"/>
      <c r="O128" s="1573"/>
      <c r="P128" s="1573"/>
      <c r="Q128" s="1573"/>
      <c r="R128" s="1573"/>
      <c r="S128" s="1573"/>
      <c r="T128" s="1573"/>
      <c r="U128" s="1573"/>
      <c r="W128" s="35"/>
      <c r="X128" s="1"/>
      <c r="Y128" s="1"/>
      <c r="Z128" s="1"/>
      <c r="AA128" s="1"/>
      <c r="AB128" s="1"/>
      <c r="AC128" s="1"/>
      <c r="AD128" s="1"/>
      <c r="AE128" s="1"/>
      <c r="AF128" s="1"/>
      <c r="AG128" s="1"/>
      <c r="AH128" s="1"/>
      <c r="AK128" s="2149"/>
    </row>
    <row r="129" spans="1:37" s="339" customFormat="1" ht="37.049999999999997" customHeight="1" x14ac:dyDescent="0.25">
      <c r="A129" s="304" t="s">
        <v>1038</v>
      </c>
      <c r="B129" s="3584" t="s">
        <v>2712</v>
      </c>
      <c r="C129" s="3584"/>
      <c r="D129" s="3584"/>
      <c r="E129" s="3584"/>
      <c r="F129" s="3584"/>
      <c r="G129" s="3584"/>
      <c r="H129" s="3584"/>
      <c r="I129" s="3584"/>
      <c r="J129" s="3584"/>
      <c r="K129" s="3584"/>
      <c r="L129" s="3402"/>
      <c r="M129" s="3402"/>
      <c r="N129" s="3402"/>
      <c r="O129" s="3402"/>
      <c r="P129" s="3504"/>
      <c r="Q129" s="3585"/>
      <c r="R129" s="1564"/>
      <c r="S129" s="1564"/>
      <c r="T129" s="1564"/>
      <c r="U129" s="1564"/>
      <c r="W129" s="35"/>
      <c r="X129" s="1"/>
      <c r="Y129" s="1"/>
      <c r="Z129" s="1"/>
      <c r="AA129" s="1"/>
      <c r="AB129" s="1"/>
      <c r="AC129" s="1"/>
      <c r="AD129" s="1"/>
      <c r="AE129" s="1"/>
      <c r="AF129" s="1"/>
      <c r="AG129" s="1"/>
      <c r="AH129" s="1"/>
      <c r="AK129" s="1802"/>
    </row>
    <row r="130" spans="1:37" s="339" customFormat="1" ht="12" customHeight="1" x14ac:dyDescent="0.25">
      <c r="A130" s="304"/>
      <c r="B130" s="907"/>
      <c r="C130" s="1519"/>
      <c r="D130" s="1519"/>
      <c r="E130" s="1519"/>
      <c r="F130" s="1519"/>
      <c r="G130" s="1519"/>
      <c r="H130" s="1519"/>
      <c r="I130" s="1519"/>
      <c r="J130" s="1519"/>
      <c r="K130" s="1519"/>
      <c r="L130" s="866"/>
      <c r="M130" s="1518"/>
      <c r="N130" s="1573"/>
      <c r="O130" s="1573"/>
      <c r="P130" s="1573"/>
      <c r="Q130" s="1573"/>
      <c r="R130" s="1573"/>
      <c r="S130" s="1573"/>
      <c r="T130" s="1573"/>
      <c r="U130" s="1573"/>
      <c r="W130" s="35"/>
      <c r="X130" s="1"/>
      <c r="Y130" s="1"/>
      <c r="Z130" s="1"/>
      <c r="AA130" s="1"/>
      <c r="AB130" s="1"/>
      <c r="AC130" s="1"/>
      <c r="AD130" s="1"/>
      <c r="AE130" s="1"/>
      <c r="AF130" s="1"/>
      <c r="AG130" s="1"/>
      <c r="AH130" s="1"/>
      <c r="AK130" s="2149"/>
    </row>
    <row r="131" spans="1:37" s="339" customFormat="1" ht="37.049999999999997" customHeight="1" x14ac:dyDescent="0.25">
      <c r="A131" s="304" t="s">
        <v>1038</v>
      </c>
      <c r="B131" s="3554" t="s">
        <v>2710</v>
      </c>
      <c r="C131" s="3554"/>
      <c r="D131" s="3554"/>
      <c r="E131" s="3554"/>
      <c r="F131" s="3554"/>
      <c r="G131" s="3554"/>
      <c r="H131" s="3554"/>
      <c r="I131" s="3554"/>
      <c r="J131" s="3554"/>
      <c r="K131" s="3554"/>
      <c r="L131" s="3576"/>
      <c r="M131" s="3576"/>
      <c r="N131" s="3576"/>
      <c r="O131" s="3576"/>
      <c r="P131" s="3605"/>
      <c r="Q131" s="3606"/>
      <c r="R131" s="1963"/>
      <c r="S131" s="1"/>
      <c r="T131" s="1"/>
      <c r="U131" s="1"/>
      <c r="W131" s="35"/>
      <c r="X131" s="1214" t="str">
        <f>IF(P131="Zone 0",0,IF(P131="Zone 1",1,IF(P131="Zone 2",2,IF(P131="Zone 3",3,IF(P131="Zone 4",4,"")))))</f>
        <v/>
      </c>
      <c r="Y131" s="1"/>
      <c r="Z131" s="1"/>
      <c r="AA131" s="1"/>
      <c r="AB131" s="1"/>
      <c r="AC131" s="1"/>
      <c r="AD131" s="1"/>
      <c r="AE131" s="1"/>
      <c r="AF131" s="1"/>
      <c r="AG131" s="1"/>
      <c r="AH131" s="1"/>
      <c r="AK131" s="1802"/>
    </row>
    <row r="132" spans="1:37" s="347" customFormat="1" ht="26.25" hidden="1" customHeight="1" x14ac:dyDescent="0.25">
      <c r="A132" s="304" t="s">
        <v>1038</v>
      </c>
      <c r="B132" s="47"/>
      <c r="C132" s="9"/>
      <c r="D132" s="9"/>
      <c r="E132" s="9"/>
      <c r="F132" s="9"/>
      <c r="G132" s="9"/>
      <c r="H132" s="9"/>
      <c r="I132" s="9"/>
      <c r="J132" s="9"/>
      <c r="K132" s="9"/>
      <c r="L132" s="9"/>
      <c r="M132" s="9"/>
      <c r="W132" s="42"/>
      <c r="X132" s="42"/>
      <c r="Y132" s="42"/>
      <c r="Z132" s="42"/>
      <c r="AA132" s="42"/>
      <c r="AB132" s="42"/>
      <c r="AC132" s="42"/>
      <c r="AD132" s="42"/>
      <c r="AE132" s="42"/>
      <c r="AF132" s="42"/>
      <c r="AG132" s="42"/>
      <c r="AH132" s="42"/>
      <c r="AK132" s="1521"/>
    </row>
    <row r="133" spans="1:37" s="339" customFormat="1" ht="48" hidden="1" customHeight="1" x14ac:dyDescent="0.25">
      <c r="A133" s="304" t="s">
        <v>1038</v>
      </c>
      <c r="B133" s="32"/>
      <c r="C133" s="3573"/>
      <c r="D133" s="3573"/>
      <c r="E133" s="3573"/>
      <c r="F133" s="3573"/>
      <c r="G133" s="3573"/>
      <c r="H133" s="3573"/>
      <c r="I133" s="3573"/>
      <c r="J133" s="3573"/>
      <c r="K133" s="3573"/>
      <c r="L133" s="3571"/>
      <c r="M133" s="3573"/>
      <c r="N133" s="3571"/>
      <c r="O133" s="3571"/>
      <c r="P133" s="3571"/>
      <c r="Q133" s="3571"/>
      <c r="R133" s="866"/>
      <c r="S133" s="866"/>
      <c r="T133" s="866"/>
      <c r="U133" s="866"/>
      <c r="W133" s="35"/>
      <c r="X133" s="1"/>
      <c r="Y133" s="1"/>
      <c r="Z133" s="1"/>
      <c r="AA133" s="1"/>
      <c r="AB133" s="1"/>
      <c r="AC133" s="1"/>
      <c r="AD133" s="1"/>
      <c r="AE133" s="1"/>
      <c r="AF133" s="1"/>
      <c r="AG133" s="1"/>
      <c r="AH133" s="1"/>
      <c r="AK133" s="1521"/>
    </row>
    <row r="134" spans="1:37" s="339" customFormat="1" ht="48" hidden="1" customHeight="1" x14ac:dyDescent="0.25">
      <c r="A134" s="304"/>
      <c r="B134" s="891"/>
      <c r="C134" s="891"/>
      <c r="D134" s="891"/>
      <c r="E134" s="891"/>
      <c r="F134" s="891"/>
      <c r="G134" s="891"/>
      <c r="H134" s="891"/>
      <c r="I134" s="891"/>
      <c r="J134" s="891"/>
      <c r="K134" s="891"/>
      <c r="L134" s="1570"/>
      <c r="M134" s="891"/>
      <c r="N134" s="1570"/>
      <c r="O134" s="1570"/>
      <c r="P134" s="1570"/>
      <c r="Q134" s="1570"/>
      <c r="R134" s="1570"/>
      <c r="S134" s="1570"/>
      <c r="T134" s="1570"/>
      <c r="U134" s="1570"/>
      <c r="W134" s="35"/>
      <c r="X134" s="1"/>
      <c r="Y134" s="1"/>
      <c r="Z134" s="1"/>
      <c r="AA134" s="1"/>
      <c r="AB134" s="1"/>
      <c r="AC134" s="1"/>
      <c r="AD134" s="1"/>
      <c r="AE134" s="1"/>
      <c r="AF134" s="1"/>
      <c r="AG134" s="1"/>
      <c r="AH134" s="1"/>
      <c r="AK134" s="1521"/>
    </row>
    <row r="135" spans="1:37" s="339" customFormat="1" ht="33" hidden="1" customHeight="1" x14ac:dyDescent="0.25">
      <c r="A135" s="304" t="s">
        <v>1038</v>
      </c>
      <c r="B135" s="907"/>
      <c r="C135" s="3635"/>
      <c r="D135" s="3635"/>
      <c r="E135" s="3635"/>
      <c r="F135" s="3635"/>
      <c r="G135" s="3635"/>
      <c r="H135" s="3635"/>
      <c r="I135" s="3635"/>
      <c r="J135" s="3635"/>
      <c r="K135" s="3635"/>
      <c r="L135" s="3571"/>
      <c r="M135" s="3574"/>
      <c r="N135" s="3575"/>
      <c r="O135" s="3575"/>
      <c r="P135" s="3575"/>
      <c r="Q135" s="3575"/>
      <c r="R135" s="1573"/>
      <c r="S135" s="1573"/>
      <c r="T135" s="1573"/>
      <c r="U135" s="1573"/>
      <c r="W135" s="35"/>
      <c r="X135" s="1"/>
      <c r="Y135" s="1"/>
      <c r="Z135" s="1"/>
      <c r="AA135" s="1"/>
      <c r="AB135" s="1"/>
      <c r="AC135" s="1"/>
      <c r="AD135" s="1"/>
      <c r="AE135" s="1"/>
      <c r="AF135" s="1"/>
      <c r="AG135" s="1"/>
      <c r="AH135" s="1"/>
      <c r="AK135" s="2147"/>
    </row>
    <row r="136" spans="1:37" s="339" customFormat="1" ht="33" customHeight="1" x14ac:dyDescent="0.25">
      <c r="A136" s="304"/>
      <c r="B136" s="907"/>
      <c r="C136" s="1519"/>
      <c r="D136" s="1519"/>
      <c r="E136" s="1519"/>
      <c r="F136" s="1519"/>
      <c r="G136" s="1519"/>
      <c r="H136" s="1519"/>
      <c r="I136" s="1519"/>
      <c r="J136" s="1519"/>
      <c r="K136" s="1519"/>
      <c r="L136" s="866"/>
      <c r="M136" s="1518"/>
      <c r="N136" s="1573"/>
      <c r="O136" s="1573"/>
      <c r="P136" s="1573"/>
      <c r="Q136" s="1573"/>
      <c r="R136" s="1573"/>
      <c r="S136" s="1573"/>
      <c r="T136" s="1573"/>
      <c r="U136" s="1573"/>
      <c r="W136" s="35"/>
      <c r="X136" s="1"/>
      <c r="Y136" s="1"/>
      <c r="Z136" s="1"/>
      <c r="AA136" s="1"/>
      <c r="AB136" s="1"/>
      <c r="AC136" s="1"/>
      <c r="AD136" s="1"/>
      <c r="AE136" s="1"/>
      <c r="AF136" s="1"/>
      <c r="AG136" s="1"/>
      <c r="AH136" s="1"/>
      <c r="AK136" s="2149"/>
    </row>
    <row r="137" spans="1:37" s="339" customFormat="1" ht="33" customHeight="1" x14ac:dyDescent="0.25">
      <c r="A137" s="304"/>
      <c r="B137" s="47" t="s">
        <v>2390</v>
      </c>
      <c r="C137" s="9"/>
      <c r="D137" s="9"/>
      <c r="E137" s="9"/>
      <c r="F137" s="9"/>
      <c r="G137" s="9"/>
      <c r="H137" s="9"/>
      <c r="I137" s="9"/>
      <c r="J137" s="9"/>
      <c r="K137" s="9"/>
      <c r="L137" s="9"/>
      <c r="M137" s="9"/>
      <c r="N137" s="347"/>
      <c r="O137" s="347"/>
      <c r="P137" s="347"/>
      <c r="Q137" s="347"/>
      <c r="R137" s="347"/>
      <c r="S137" s="347"/>
      <c r="T137" s="347"/>
      <c r="U137" s="347"/>
      <c r="W137" s="35"/>
      <c r="X137" s="1"/>
      <c r="Y137" s="1"/>
      <c r="Z137" s="1"/>
      <c r="AA137" s="1"/>
      <c r="AB137" s="1"/>
      <c r="AC137" s="1"/>
      <c r="AD137" s="1"/>
      <c r="AE137" s="1"/>
      <c r="AF137" s="1"/>
      <c r="AG137" s="1"/>
      <c r="AH137" s="1"/>
      <c r="AK137" s="2149"/>
    </row>
    <row r="138" spans="1:37" s="339" customFormat="1" ht="33" customHeight="1" x14ac:dyDescent="0.25">
      <c r="A138" s="304"/>
      <c r="B138" s="197" t="s">
        <v>2269</v>
      </c>
      <c r="C138" s="1163"/>
      <c r="D138" s="1163"/>
      <c r="E138" s="1163"/>
      <c r="F138" s="1163"/>
      <c r="G138" s="1163"/>
      <c r="H138" s="1163"/>
      <c r="I138" s="1163"/>
      <c r="J138" s="1163"/>
      <c r="K138" s="1163"/>
      <c r="L138" s="1163"/>
      <c r="M138" s="1163"/>
      <c r="N138" s="42"/>
      <c r="O138" s="42"/>
      <c r="P138" s="42"/>
      <c r="Q138" s="42"/>
      <c r="R138" s="42"/>
      <c r="S138" s="42"/>
      <c r="T138" s="42"/>
      <c r="U138" s="42"/>
      <c r="W138" s="35"/>
      <c r="X138" s="1"/>
      <c r="Y138" s="1"/>
      <c r="Z138" s="1"/>
      <c r="AA138" s="1"/>
      <c r="AB138" s="1"/>
      <c r="AC138" s="1"/>
      <c r="AD138" s="1"/>
      <c r="AE138" s="1"/>
      <c r="AF138" s="1"/>
      <c r="AG138" s="1"/>
      <c r="AH138" s="1"/>
      <c r="AK138" s="2149"/>
    </row>
    <row r="139" spans="1:37" s="339" customFormat="1" ht="16.95" customHeight="1" x14ac:dyDescent="0.25">
      <c r="A139" s="304"/>
      <c r="B139" s="3433" t="s">
        <v>244</v>
      </c>
      <c r="C139" s="3433"/>
      <c r="D139" s="3433"/>
      <c r="E139" s="3433"/>
      <c r="F139" s="3433"/>
      <c r="G139" s="3433"/>
      <c r="H139" s="3433"/>
      <c r="I139" s="3433" t="str">
        <f>"Baseline"&amp;"-"&amp;'General Information'!$H$49</f>
        <v>Baseline-</v>
      </c>
      <c r="J139" s="3433"/>
      <c r="K139" s="3433"/>
      <c r="L139" s="3576"/>
      <c r="M139" s="3433" t="s">
        <v>2682</v>
      </c>
      <c r="N139" s="3433"/>
      <c r="O139" s="3433"/>
      <c r="P139" s="3433"/>
      <c r="Q139" s="3433"/>
      <c r="R139" s="3433"/>
      <c r="S139" s="1787"/>
      <c r="T139" s="3432" t="str">
        <f>"Prescriptive Requirement of "&amp;'General Information'!H55&amp;" Applicable to App. G Baseline"</f>
        <v>Prescriptive Requirement of ASHRAE 90.1-2016 Applicable to App. G Baseline</v>
      </c>
      <c r="U139" s="3433" t="s">
        <v>2544</v>
      </c>
      <c r="W139" s="35"/>
      <c r="X139" s="1"/>
      <c r="Y139" s="1"/>
      <c r="Z139" s="1"/>
      <c r="AA139" s="1"/>
      <c r="AB139" s="1"/>
      <c r="AC139" s="1"/>
      <c r="AD139" s="1"/>
      <c r="AE139" s="1"/>
      <c r="AF139" s="1"/>
      <c r="AG139" s="1"/>
      <c r="AH139" s="1"/>
      <c r="AK139" s="2149"/>
    </row>
    <row r="140" spans="1:37" s="339" customFormat="1" ht="50.7" customHeight="1" thickBot="1" x14ac:dyDescent="0.3">
      <c r="A140" s="304"/>
      <c r="B140" s="3395" t="s">
        <v>1842</v>
      </c>
      <c r="C140" s="3395"/>
      <c r="D140" s="3395"/>
      <c r="E140" s="3395"/>
      <c r="F140" s="3395" t="s">
        <v>93</v>
      </c>
      <c r="G140" s="3395"/>
      <c r="H140" s="1491" t="str">
        <f>IF(SI_IP_Units="IP","Total Area 
(sq ft) 
or Length 
(ft)","Total Area 
(sq m) 
or Length 
(m)")</f>
        <v>Total Area 
(sq ft) 
or Length 
(ft)</v>
      </c>
      <c r="I140" s="1491" t="s">
        <v>110</v>
      </c>
      <c r="J140" s="3395" t="s">
        <v>250</v>
      </c>
      <c r="K140" s="3395"/>
      <c r="L140" s="3576"/>
      <c r="M140" s="3395" t="s">
        <v>251</v>
      </c>
      <c r="N140" s="3576"/>
      <c r="O140" s="3576"/>
      <c r="P140" s="3576"/>
      <c r="Q140" s="3576"/>
      <c r="R140" s="1957" t="s">
        <v>2610</v>
      </c>
      <c r="S140" s="1372"/>
      <c r="T140" s="3432"/>
      <c r="U140" s="3433"/>
      <c r="W140" s="1"/>
      <c r="X140" s="1"/>
      <c r="Y140" s="1"/>
      <c r="Z140" s="3624" t="s">
        <v>2208</v>
      </c>
      <c r="AA140" s="3624"/>
      <c r="AB140" s="1"/>
      <c r="AC140" s="1"/>
      <c r="AD140" s="1"/>
      <c r="AE140" s="1"/>
      <c r="AF140" s="1"/>
      <c r="AG140" s="1"/>
      <c r="AH140" s="1"/>
      <c r="AK140" s="2149"/>
    </row>
    <row r="141" spans="1:37" s="339" customFormat="1" ht="72" hidden="1" customHeight="1" x14ac:dyDescent="0.25">
      <c r="A141" s="304"/>
      <c r="B141" s="1497" t="s">
        <v>2270</v>
      </c>
      <c r="C141" s="1497"/>
      <c r="D141" s="1497"/>
      <c r="E141" s="1497"/>
      <c r="F141" s="1497" t="s">
        <v>93</v>
      </c>
      <c r="G141" s="1497"/>
      <c r="H141" s="1497" t="str">
        <f>IF(SI_IP_Units="IP","Total Area 
(sq ft) 
or Length 
(ft)","Total Area 
(sq m) 
or Length 
(m)")</f>
        <v>Total Area 
(sq ft) 
or Length 
(ft)</v>
      </c>
      <c r="I141" s="1497" t="s">
        <v>110</v>
      </c>
      <c r="J141" s="1497" t="s">
        <v>250</v>
      </c>
      <c r="K141" s="1497"/>
      <c r="L141" s="1395"/>
      <c r="M141" s="1863" t="s">
        <v>251</v>
      </c>
      <c r="N141" s="1965"/>
      <c r="O141" s="1965"/>
      <c r="P141" s="1965"/>
      <c r="Q141" s="1966"/>
      <c r="R141" s="1964"/>
      <c r="S141" s="1372"/>
      <c r="T141" s="2363" t="s">
        <v>2237</v>
      </c>
      <c r="U141" s="3433"/>
      <c r="W141" s="1"/>
      <c r="X141" s="1"/>
      <c r="Y141" s="1"/>
      <c r="Z141" s="3625"/>
      <c r="AA141" s="3625"/>
      <c r="AB141" s="1"/>
      <c r="AC141" s="1"/>
      <c r="AD141" s="1"/>
      <c r="AE141" s="1"/>
      <c r="AF141" s="1"/>
      <c r="AG141" s="1"/>
      <c r="AH141" s="1"/>
      <c r="AK141" s="2149"/>
    </row>
    <row r="142" spans="1:37" s="339" customFormat="1" ht="48" customHeight="1" thickBot="1" x14ac:dyDescent="0.3">
      <c r="A142" s="304"/>
      <c r="B142" s="3579"/>
      <c r="C142" s="3583" t="s">
        <v>2294</v>
      </c>
      <c r="D142" s="3583"/>
      <c r="E142" s="3583"/>
      <c r="F142" s="3636" t="s">
        <v>2293</v>
      </c>
      <c r="G142" s="3583"/>
      <c r="H142" s="3583" t="s">
        <v>2295</v>
      </c>
      <c r="I142" s="3583" t="s">
        <v>2427</v>
      </c>
      <c r="J142" s="3636" t="s">
        <v>2293</v>
      </c>
      <c r="K142" s="3583"/>
      <c r="L142" s="3583"/>
      <c r="M142" s="3590" t="s">
        <v>2713</v>
      </c>
      <c r="N142" s="3591"/>
      <c r="O142" s="3591"/>
      <c r="P142" s="3591"/>
      <c r="Q142" s="3591"/>
      <c r="R142" s="3592"/>
      <c r="S142" s="2362"/>
      <c r="T142" s="3467" t="str">
        <f>"In accordance with Prescriptive Requirements of 90.1-2016 Table 9.4.2-2"</f>
        <v>In accordance with Prescriptive Requirements of 90.1-2016 Table 9.4.2-2</v>
      </c>
      <c r="U142" s="3432"/>
      <c r="W142" s="1"/>
      <c r="X142" s="3631" t="s">
        <v>3255</v>
      </c>
      <c r="Y142" s="3632"/>
      <c r="Z142" s="3627" t="s">
        <v>2207</v>
      </c>
      <c r="AA142" s="3628"/>
      <c r="AB142" s="1"/>
      <c r="AC142" s="1"/>
      <c r="AD142" s="1"/>
      <c r="AE142" s="1"/>
      <c r="AF142" s="1"/>
      <c r="AG142" s="1"/>
      <c r="AH142" s="1"/>
      <c r="AK142" s="2149"/>
    </row>
    <row r="143" spans="1:37" s="339" customFormat="1" ht="48" customHeight="1" x14ac:dyDescent="0.25">
      <c r="A143" s="304" t="s">
        <v>1038</v>
      </c>
      <c r="B143" s="3579"/>
      <c r="C143" s="3583"/>
      <c r="D143" s="3583"/>
      <c r="E143" s="3583"/>
      <c r="F143" s="3583"/>
      <c r="G143" s="3583"/>
      <c r="H143" s="3583"/>
      <c r="I143" s="3583"/>
      <c r="J143" s="3583"/>
      <c r="K143" s="3583"/>
      <c r="L143" s="3583"/>
      <c r="M143" s="3593"/>
      <c r="N143" s="3594"/>
      <c r="O143" s="3594"/>
      <c r="P143" s="3594"/>
      <c r="Q143" s="3594"/>
      <c r="R143" s="3595"/>
      <c r="S143" s="2362"/>
      <c r="T143" s="3467"/>
      <c r="U143" s="3432"/>
      <c r="W143" s="1"/>
      <c r="X143" s="2532"/>
      <c r="Y143" s="2533"/>
      <c r="Z143" s="3627"/>
      <c r="AA143" s="3628"/>
      <c r="AB143" s="1"/>
      <c r="AC143" s="1"/>
      <c r="AD143" s="1"/>
      <c r="AE143" s="1"/>
      <c r="AF143" s="1"/>
      <c r="AG143" s="1"/>
      <c r="AH143" s="1"/>
      <c r="AK143" s="1521"/>
    </row>
    <row r="144" spans="1:37" s="339" customFormat="1" ht="15" customHeight="1" x14ac:dyDescent="0.25">
      <c r="A144" s="304" t="s">
        <v>1038</v>
      </c>
      <c r="B144" s="3582"/>
      <c r="C144" s="3582"/>
      <c r="D144" s="3582"/>
      <c r="E144" s="3582"/>
      <c r="F144" s="3586" t="str">
        <f>IFERROR(VLOOKUP(B144,'Lighting Assumptions'!$L$4:$M$17,2,FALSE),"")</f>
        <v/>
      </c>
      <c r="G144" s="3586"/>
      <c r="H144" s="1944"/>
      <c r="I144" s="1224" t="str">
        <f>IF(B144="","",SUMIF('Lighting Assumptions'!$L$16:$L$37,'6b - General Lighting'!W144,'Lighting Assumptions'!$N$16:$N$37))</f>
        <v/>
      </c>
      <c r="J144" s="3617" t="str">
        <f t="shared" ref="J144:J149" si="10">IFERROR(H144*I144,"")</f>
        <v/>
      </c>
      <c r="K144" s="3617"/>
      <c r="L144" s="3617"/>
      <c r="M144" s="3596"/>
      <c r="N144" s="3597"/>
      <c r="O144" s="3597"/>
      <c r="P144" s="3597"/>
      <c r="Q144" s="3598"/>
      <c r="R144" s="1515"/>
      <c r="S144" s="2362"/>
      <c r="T144" s="2796" t="str">
        <f>IF('General Information'!$R$55=2007,"Not Supported",IF($P$131="","-",IF('General Information'!$R$55=2016,IF(AND(X144="",Y144=""),"","LPD-"&amp;X144&amp;", "&amp;Y144&amp;" Watts"),IF(AND(Z144="",AA144=""),"","LPD-"&amp;Z144&amp;", "&amp;AA144&amp;" Watts"))))</f>
        <v>-</v>
      </c>
      <c r="U144" s="2490"/>
      <c r="W144" s="2530" t="str">
        <f>SI_IP_Units&amp;'6b - General Lighting'!B144</f>
        <v>IP</v>
      </c>
      <c r="X144" s="2534" t="str">
        <f>IF(B144="","",INDEX('Lighting Assumptions 90.1-2016'!$N$16:$N$37,MATCH('6b - General Lighting'!W144,'Lighting Assumptions 90.1-2016'!$L$16:$L$37,0)))</f>
        <v/>
      </c>
      <c r="Y144" s="2535" t="str">
        <f>IFERROR(H144*X144,"No Allowance")</f>
        <v>No Allowance</v>
      </c>
      <c r="Z144" s="2531" t="str">
        <f>IF(B144="","",INDEX('Lighting Assumptions 90.1-2010'!$N$16:$N$37,MATCH('6b - General Lighting'!W144,'Lighting Assumptions 90.1-2010'!$L$16:$L$37,0)))</f>
        <v/>
      </c>
      <c r="AA144" s="1214" t="str">
        <f>IFERROR(H144*Z144,"No Allowance")</f>
        <v>No Allowance</v>
      </c>
      <c r="AB144" s="1"/>
      <c r="AC144" s="1"/>
      <c r="AD144" s="1"/>
      <c r="AE144" s="1"/>
      <c r="AF144" s="1"/>
      <c r="AG144" s="1"/>
      <c r="AH144" s="1"/>
      <c r="AK144" s="1802"/>
    </row>
    <row r="145" spans="1:37" s="339" customFormat="1" ht="15" customHeight="1" x14ac:dyDescent="0.25">
      <c r="A145" s="304" t="s">
        <v>1038</v>
      </c>
      <c r="B145" s="3582"/>
      <c r="C145" s="3582"/>
      <c r="D145" s="3582"/>
      <c r="E145" s="3582"/>
      <c r="F145" s="3586" t="str">
        <f>IFERROR(VLOOKUP(B145,'Lighting Assumptions'!$L$4:$M$17,2,FALSE),"")</f>
        <v/>
      </c>
      <c r="G145" s="3586"/>
      <c r="H145" s="1944"/>
      <c r="I145" s="1224" t="str">
        <f>IF(B145="","",SUMIF('Lighting Assumptions'!$L$16:$L$37,'6b - General Lighting'!W145,'Lighting Assumptions'!$N$16:$N$37))</f>
        <v/>
      </c>
      <c r="J145" s="3580" t="str">
        <f t="shared" si="10"/>
        <v/>
      </c>
      <c r="K145" s="3580"/>
      <c r="L145" s="3581"/>
      <c r="M145" s="3596"/>
      <c r="N145" s="3597"/>
      <c r="O145" s="3597"/>
      <c r="P145" s="3597"/>
      <c r="Q145" s="3598"/>
      <c r="R145" s="1515"/>
      <c r="S145" s="2362"/>
      <c r="T145" s="2796" t="str">
        <f>IF('General Information'!$R$55=2007,"Not Supported",IF($P$131="","-",IF('General Information'!$R$55=2016,IF(AND(X145="",Y145=""),"","LPD-"&amp;X145&amp;", "&amp;Y145&amp;" Watts"),IF(AND(Z145="",AA145=""),"","LPD-"&amp;Z145&amp;", "&amp;AA145&amp;" Watts"))))</f>
        <v>-</v>
      </c>
      <c r="U145" s="2490"/>
      <c r="W145" s="2530" t="str">
        <f>SI_IP_Units&amp;'6b - General Lighting'!B145</f>
        <v>IP</v>
      </c>
      <c r="X145" s="2534" t="str">
        <f>IF(B145="","",INDEX('Lighting Assumptions 90.1-2013'!$N$16:$N$37,MATCH('6b - General Lighting'!W145,'Lighting Assumptions 90.1-2013'!$L$16:$L$37,0)))</f>
        <v/>
      </c>
      <c r="Y145" s="2535" t="str">
        <f t="shared" ref="Y145:Y147" si="11">IFERROR(H145*X145,"No Allowance")</f>
        <v>No Allowance</v>
      </c>
      <c r="Z145" s="2531" t="str">
        <f>IF(B145="","",INDEX('Lighting Assumptions 90.1-2010'!$N$16:$N$37,MATCH('6b - General Lighting'!W145,'Lighting Assumptions 90.1-2010'!$L$16:$L$37,0)))</f>
        <v/>
      </c>
      <c r="AA145" s="1214" t="str">
        <f t="shared" ref="AA145:AA147" si="12">IFERROR(H145*Z145,"No Allowance")</f>
        <v>No Allowance</v>
      </c>
      <c r="AB145" s="1"/>
      <c r="AC145" s="1"/>
      <c r="AD145" s="1"/>
      <c r="AE145" s="1"/>
      <c r="AF145" s="1"/>
      <c r="AG145" s="1"/>
      <c r="AH145" s="1"/>
      <c r="AK145" s="1802"/>
    </row>
    <row r="146" spans="1:37" s="339" customFormat="1" ht="15" customHeight="1" x14ac:dyDescent="0.25">
      <c r="A146" s="304" t="s">
        <v>1038</v>
      </c>
      <c r="B146" s="3582"/>
      <c r="C146" s="3582"/>
      <c r="D146" s="3582"/>
      <c r="E146" s="3582"/>
      <c r="F146" s="3586" t="str">
        <f>IFERROR(VLOOKUP(B146,'Lighting Assumptions'!$L$4:$M$17,2,FALSE),"")</f>
        <v/>
      </c>
      <c r="G146" s="3586"/>
      <c r="H146" s="1944"/>
      <c r="I146" s="1224" t="str">
        <f>IF(B146="","",SUMIF('Lighting Assumptions'!$L$16:$L$37,'6b - General Lighting'!W146,'Lighting Assumptions'!$N$16:$N$37))</f>
        <v/>
      </c>
      <c r="J146" s="3580" t="str">
        <f t="shared" si="10"/>
        <v/>
      </c>
      <c r="K146" s="3580"/>
      <c r="L146" s="3581"/>
      <c r="M146" s="3596"/>
      <c r="N146" s="3597"/>
      <c r="O146" s="3597"/>
      <c r="P146" s="3597"/>
      <c r="Q146" s="3598"/>
      <c r="R146" s="1515"/>
      <c r="S146" s="2362"/>
      <c r="T146" s="2796" t="str">
        <f>IF('General Information'!$R$55=2007,"Not Supported",IF($P$131="","-",IF('General Information'!$R$55=2016,IF(AND(X146="",Y146=""),"","LPD-"&amp;X146&amp;", "&amp;Y146&amp;" Watts"),IF(AND(Z146="",AA146=""),"","LPD-"&amp;Z146&amp;", "&amp;AA146&amp;" Watts"))))</f>
        <v>-</v>
      </c>
      <c r="U146" s="2490"/>
      <c r="W146" s="2530" t="str">
        <f>SI_IP_Units&amp;'6b - General Lighting'!B146</f>
        <v>IP</v>
      </c>
      <c r="X146" s="2534" t="str">
        <f>IF(B146="","",INDEX('Lighting Assumptions 90.1-2013'!$N$16:$N$37,MATCH('6b - General Lighting'!W146,'Lighting Assumptions 90.1-2013'!$L$16:$L$37,0)))</f>
        <v/>
      </c>
      <c r="Y146" s="2535" t="str">
        <f t="shared" si="11"/>
        <v>No Allowance</v>
      </c>
      <c r="Z146" s="2531" t="str">
        <f>IF(B146="","",INDEX('Lighting Assumptions 90.1-2010'!$N$16:$N$37,MATCH('6b - General Lighting'!W146,'Lighting Assumptions 90.1-2010'!$L$16:$L$37,0)))</f>
        <v/>
      </c>
      <c r="AA146" s="1214" t="str">
        <f t="shared" si="12"/>
        <v>No Allowance</v>
      </c>
      <c r="AB146" s="1"/>
      <c r="AC146" s="1"/>
      <c r="AD146" s="1"/>
      <c r="AE146" s="1"/>
      <c r="AF146" s="1"/>
      <c r="AG146" s="1"/>
      <c r="AH146" s="1"/>
      <c r="AK146" s="1802"/>
    </row>
    <row r="147" spans="1:37" s="339" customFormat="1" ht="15" customHeight="1" x14ac:dyDescent="0.25">
      <c r="A147" s="304"/>
      <c r="B147" s="3582"/>
      <c r="C147" s="3582"/>
      <c r="D147" s="3582"/>
      <c r="E147" s="3582"/>
      <c r="F147" s="3586" t="str">
        <f>IFERROR(VLOOKUP(B147,'Lighting Assumptions'!$L$4:$M$17,2,FALSE),"")</f>
        <v/>
      </c>
      <c r="G147" s="3586"/>
      <c r="H147" s="1944"/>
      <c r="I147" s="1224" t="str">
        <f>IF(B147="","",SUMIF('Lighting Assumptions'!$L$16:$L$37,'6b - General Lighting'!W147,'Lighting Assumptions'!$N$16:$N$37))</f>
        <v/>
      </c>
      <c r="J147" s="3580" t="str">
        <f t="shared" si="10"/>
        <v/>
      </c>
      <c r="K147" s="3580"/>
      <c r="L147" s="3581"/>
      <c r="M147" s="3596"/>
      <c r="N147" s="3597"/>
      <c r="O147" s="3597"/>
      <c r="P147" s="3597"/>
      <c r="Q147" s="3598"/>
      <c r="R147" s="1515"/>
      <c r="S147" s="2362"/>
      <c r="T147" s="2796" t="str">
        <f>IF('General Information'!$R$55=2007,"Not Supported",IF($P$131="","-",IF('General Information'!$R$55=2016,IF(AND(X147="",Y147=""),"","LPD-"&amp;X147&amp;", "&amp;Y147&amp;" Watts"),IF(AND(Z147="",AA147=""),"","LPD-"&amp;Z147&amp;", "&amp;AA147&amp;" Watts"))))</f>
        <v>-</v>
      </c>
      <c r="U147" s="2490"/>
      <c r="W147" s="2530" t="str">
        <f>SI_IP_Units&amp;'6b - General Lighting'!B147</f>
        <v>IP</v>
      </c>
      <c r="X147" s="2534" t="str">
        <f>IF(B147="","",INDEX('Lighting Assumptions 90.1-2013'!$N$16:$N$37,MATCH('6b - General Lighting'!W147,'Lighting Assumptions 90.1-2013'!$L$16:$L$37,0)))</f>
        <v/>
      </c>
      <c r="Y147" s="2535" t="str">
        <f t="shared" si="11"/>
        <v>No Allowance</v>
      </c>
      <c r="Z147" s="2531" t="str">
        <f>IF(B147="","",INDEX('Lighting Assumptions 90.1-2010'!$N$16:$N$37,MATCH('6b - General Lighting'!W147,'Lighting Assumptions 90.1-2010'!$L$16:$L$37,0)))</f>
        <v/>
      </c>
      <c r="AA147" s="1214" t="str">
        <f t="shared" si="12"/>
        <v>No Allowance</v>
      </c>
      <c r="AB147" s="1"/>
      <c r="AC147" s="1"/>
      <c r="AD147" s="1"/>
      <c r="AE147" s="1"/>
      <c r="AF147" s="1"/>
      <c r="AG147" s="1"/>
      <c r="AH147" s="1"/>
      <c r="AK147" s="1802"/>
    </row>
    <row r="148" spans="1:37" s="339" customFormat="1" ht="15" customHeight="1" thickBot="1" x14ac:dyDescent="0.3">
      <c r="A148" s="304" t="s">
        <v>804</v>
      </c>
      <c r="B148" s="3582"/>
      <c r="C148" s="3582"/>
      <c r="D148" s="3582"/>
      <c r="E148" s="3582"/>
      <c r="F148" s="3586" t="str">
        <f>IFERROR(VLOOKUP(B148,'Lighting Assumptions'!$L$4:$M$17,2,FALSE),"")</f>
        <v/>
      </c>
      <c r="G148" s="3586"/>
      <c r="H148" s="2111"/>
      <c r="I148" s="1224" t="str">
        <f>IF(B148="","",SUMIF('Lighting Assumptions'!$L$16:$L$37,'6b - General Lighting'!W148,'Lighting Assumptions'!$N$16:$N$37))</f>
        <v/>
      </c>
      <c r="J148" s="3580" t="str">
        <f t="shared" si="10"/>
        <v/>
      </c>
      <c r="K148" s="3580"/>
      <c r="L148" s="3581"/>
      <c r="M148" s="3596"/>
      <c r="N148" s="3597"/>
      <c r="O148" s="3597"/>
      <c r="P148" s="3597"/>
      <c r="Q148" s="3598"/>
      <c r="R148" s="1515"/>
      <c r="S148" s="2362"/>
      <c r="T148" s="2796" t="str">
        <f>IF('General Information'!$R$55=2007,"Not Supported",IF($P$131="","-",IF('General Information'!$R$55=2016,IF(AND(X148="",Y148=""),"","LPD-"&amp;X148&amp;", "&amp;Y148&amp;" Watts"),IF(AND(Z148="",AA148=""),"","LPD-"&amp;Z148&amp;", "&amp;AA148&amp;" Watts"))))</f>
        <v>-</v>
      </c>
      <c r="U148" s="2490"/>
      <c r="W148" s="2530" t="str">
        <f>SI_IP_Units&amp;'6b - General Lighting'!B148</f>
        <v>IP</v>
      </c>
      <c r="X148" s="2536" t="str">
        <f>IF(B148="","",INDEX('Lighting Assumptions 90.1-2013'!$N$16:$N$37,MATCH('6b - General Lighting'!W148,'Lighting Assumptions 90.1-2013'!$L$16:$L$37,0)))</f>
        <v/>
      </c>
      <c r="Y148" s="2537" t="str">
        <f t="shared" ref="Y148" si="13">IFERROR(H148*X148,"No Allowance")</f>
        <v>No Allowance</v>
      </c>
      <c r="Z148" s="2531" t="str">
        <f>IF(B148="","",INDEX('Lighting Assumptions 90.1-2010'!$N$16:$N$37,MATCH('6b - General Lighting'!W148,'Lighting Assumptions 90.1-2010'!$L$16:$L$37,0)))</f>
        <v/>
      </c>
      <c r="AA148" s="1214" t="str">
        <f t="shared" ref="AA148" si="14">IFERROR(H148*Z148,"No Allowance")</f>
        <v>No Allowance</v>
      </c>
      <c r="AB148" s="1"/>
      <c r="AC148" s="1"/>
      <c r="AD148" s="1"/>
      <c r="AE148" s="1"/>
      <c r="AF148" s="1"/>
      <c r="AG148" s="1"/>
      <c r="AH148" s="1"/>
      <c r="AK148" s="1802"/>
    </row>
    <row r="149" spans="1:37" s="339" customFormat="1" ht="15" customHeight="1" thickBot="1" x14ac:dyDescent="0.3">
      <c r="A149" s="304"/>
      <c r="B149" s="3582"/>
      <c r="C149" s="3582"/>
      <c r="D149" s="3582"/>
      <c r="E149" s="3582"/>
      <c r="F149" s="3586" t="str">
        <f>IFERROR(VLOOKUP(B149,'Lighting Assumptions'!$L$4:$M$17,2,FALSE),"")</f>
        <v/>
      </c>
      <c r="G149" s="3586"/>
      <c r="H149" s="2111"/>
      <c r="I149" s="1224" t="str">
        <f>IF(B149="","",SUMIF('Lighting Assumptions'!$L$16:$L$37,'6b - General Lighting'!W149,'Lighting Assumptions'!$N$16:$N$37))</f>
        <v/>
      </c>
      <c r="J149" s="3580" t="str">
        <f t="shared" si="10"/>
        <v/>
      </c>
      <c r="K149" s="3580"/>
      <c r="L149" s="3581"/>
      <c r="M149" s="3596"/>
      <c r="N149" s="3597"/>
      <c r="O149" s="3597"/>
      <c r="P149" s="3597"/>
      <c r="Q149" s="3598"/>
      <c r="R149" s="1515"/>
      <c r="S149" s="2362"/>
      <c r="T149" s="2796" t="str">
        <f>IF('General Information'!$R$55=2007,"Not Supported",IF($P$131="","-",IF('General Information'!$R$55=2016,IF(AND(X149="",Y149=""),"","LPD-"&amp;X149&amp;", "&amp;Y149&amp;" Watts"),IF(AND(Z149="",AA149=""),"","LPD-"&amp;Z149&amp;", "&amp;AA149&amp;" Watts"))))</f>
        <v>-</v>
      </c>
      <c r="U149" s="2490"/>
      <c r="W149" s="2530" t="str">
        <f>SI_IP_Units&amp;'6b - General Lighting'!B149</f>
        <v>IP</v>
      </c>
      <c r="X149" s="2536" t="str">
        <f>IF(B149="","",INDEX('Lighting Assumptions 90.1-2013'!$N$16:$N$37,MATCH('6b - General Lighting'!W149,'Lighting Assumptions 90.1-2013'!$L$16:$L$37,0)))</f>
        <v/>
      </c>
      <c r="Y149" s="2537" t="str">
        <f t="shared" ref="Y149" si="15">IFERROR(H149*X149,"No Allowance")</f>
        <v>No Allowance</v>
      </c>
      <c r="Z149" s="2531" t="str">
        <f>IF(B149="","",INDEX('Lighting Assumptions 90.1-2010'!$N$16:$N$37,MATCH('6b - General Lighting'!W149,'Lighting Assumptions 90.1-2010'!$L$16:$L$37,0)))</f>
        <v/>
      </c>
      <c r="AA149" s="1214" t="str">
        <f t="shared" ref="AA149" si="16">IFERROR(H149*Z149,"No Allowance")</f>
        <v>No Allowance</v>
      </c>
      <c r="AB149" s="1"/>
      <c r="AC149" s="1"/>
      <c r="AD149" s="1"/>
      <c r="AE149" s="1"/>
      <c r="AF149" s="1"/>
      <c r="AG149" s="1"/>
      <c r="AH149" s="1"/>
      <c r="AK149" s="1802"/>
    </row>
    <row r="150" spans="1:37" s="339" customFormat="1" ht="15" customHeight="1" x14ac:dyDescent="0.25">
      <c r="A150" s="304"/>
      <c r="B150" s="3569" t="s">
        <v>249</v>
      </c>
      <c r="C150" s="3569"/>
      <c r="D150" s="3569"/>
      <c r="E150" s="3569"/>
      <c r="F150" s="3569"/>
      <c r="G150" s="3569"/>
      <c r="H150" s="3569"/>
      <c r="I150" s="3569"/>
      <c r="J150" s="3617">
        <f>IFERROR(SUM(J144:J147),"")</f>
        <v>0</v>
      </c>
      <c r="K150" s="3617"/>
      <c r="L150" s="3618"/>
      <c r="M150" s="3637">
        <f>IFERROR(SUM(M144:M147),"")</f>
        <v>0</v>
      </c>
      <c r="N150" s="3638"/>
      <c r="O150" s="3638"/>
      <c r="P150" s="3638"/>
      <c r="Q150" s="3639"/>
      <c r="R150" s="1515"/>
      <c r="S150" s="2538"/>
      <c r="T150" s="2795">
        <f>IF('General Information'!$R$55=2007,"Not Supported",IFERROR(SUM(Y144:Y148),""))</f>
        <v>0</v>
      </c>
      <c r="U150" s="2490"/>
      <c r="W150" s="1"/>
      <c r="X150" s="1"/>
      <c r="Y150" s="1"/>
      <c r="Z150" s="1"/>
      <c r="AA150" s="1"/>
      <c r="AB150" s="1"/>
      <c r="AC150" s="1"/>
      <c r="AD150" s="1"/>
      <c r="AE150" s="1"/>
      <c r="AF150" s="1"/>
      <c r="AG150" s="1"/>
      <c r="AH150" s="1"/>
      <c r="AK150" s="1802"/>
    </row>
    <row r="151" spans="1:37" s="339" customFormat="1" ht="39" customHeight="1" x14ac:dyDescent="0.25">
      <c r="A151" s="304" t="s">
        <v>1038</v>
      </c>
      <c r="J151" s="2104"/>
      <c r="K151" s="2104"/>
      <c r="L151" s="2104"/>
      <c r="M151" s="2104"/>
      <c r="N151" s="2109"/>
      <c r="O151" s="2110"/>
      <c r="P151" s="2110"/>
      <c r="Q151" s="2110"/>
      <c r="R151" s="1"/>
      <c r="S151" s="1"/>
      <c r="T151" s="1"/>
      <c r="U151" s="1657"/>
      <c r="W151" s="35"/>
      <c r="X151" s="1"/>
      <c r="Y151" s="1"/>
      <c r="Z151" s="1"/>
      <c r="AA151" s="1"/>
      <c r="AB151" s="1"/>
      <c r="AC151" s="1"/>
      <c r="AD151" s="1"/>
      <c r="AE151" s="1"/>
      <c r="AF151" s="1"/>
      <c r="AG151" s="1"/>
      <c r="AH151" s="1"/>
      <c r="AK151" s="1521"/>
    </row>
    <row r="152" spans="1:37" s="339" customFormat="1" ht="20.25" customHeight="1" x14ac:dyDescent="0.25">
      <c r="A152" s="304" t="s">
        <v>1038</v>
      </c>
      <c r="B152" s="1520"/>
      <c r="C152" s="1520"/>
      <c r="D152" s="1520"/>
      <c r="E152" s="1520"/>
      <c r="F152" s="1520"/>
      <c r="G152" s="1520"/>
      <c r="H152" s="1520"/>
      <c r="I152" s="1520"/>
      <c r="J152" s="1504"/>
      <c r="K152" s="1504"/>
      <c r="L152" s="1504"/>
      <c r="N152" s="35"/>
      <c r="O152" s="1"/>
      <c r="P152" s="1"/>
      <c r="Q152" s="1"/>
      <c r="R152" s="1"/>
      <c r="S152" s="1"/>
      <c r="T152" s="1"/>
      <c r="U152" s="1"/>
      <c r="W152" s="35"/>
      <c r="X152" s="1"/>
      <c r="Y152" s="1"/>
      <c r="Z152" s="1"/>
      <c r="AA152" s="1"/>
      <c r="AB152" s="1"/>
      <c r="AC152" s="1"/>
      <c r="AD152" s="1"/>
      <c r="AE152" s="1"/>
      <c r="AF152" s="1"/>
      <c r="AG152" s="1"/>
      <c r="AH152" s="1"/>
      <c r="AK152" s="1521"/>
    </row>
    <row r="153" spans="1:37" s="347" customFormat="1" ht="26.25" customHeight="1" x14ac:dyDescent="0.25">
      <c r="A153" s="304" t="s">
        <v>1038</v>
      </c>
      <c r="B153" s="47" t="s">
        <v>2391</v>
      </c>
      <c r="C153" s="9"/>
      <c r="D153" s="9"/>
      <c r="E153" s="9"/>
      <c r="F153" s="9"/>
      <c r="G153" s="9"/>
      <c r="H153" s="9"/>
      <c r="I153" s="9"/>
      <c r="J153" s="9"/>
      <c r="K153" s="9"/>
      <c r="L153" s="9"/>
      <c r="M153" s="9"/>
      <c r="W153" s="42"/>
      <c r="X153" s="42"/>
      <c r="Y153" s="42"/>
      <c r="Z153" s="42"/>
      <c r="AA153" s="42"/>
      <c r="AB153" s="42"/>
      <c r="AC153" s="42"/>
      <c r="AD153" s="42"/>
      <c r="AE153" s="42"/>
      <c r="AF153" s="42"/>
      <c r="AG153" s="42"/>
      <c r="AH153" s="42"/>
      <c r="AK153" s="1521"/>
    </row>
    <row r="154" spans="1:37" s="347" customFormat="1" ht="21" customHeight="1" x14ac:dyDescent="0.25">
      <c r="A154" s="304" t="s">
        <v>1038</v>
      </c>
      <c r="B154" s="197" t="s">
        <v>2271</v>
      </c>
      <c r="C154" s="1163"/>
      <c r="D154" s="1163"/>
      <c r="E154" s="1163"/>
      <c r="F154" s="1163"/>
      <c r="G154" s="1163"/>
      <c r="H154" s="1163"/>
      <c r="I154" s="1163"/>
      <c r="J154" s="1163"/>
      <c r="K154" s="1163"/>
      <c r="L154" s="1163"/>
      <c r="M154" s="1163"/>
      <c r="N154" s="42"/>
      <c r="O154" s="42"/>
      <c r="P154" s="42"/>
      <c r="Q154" s="42"/>
      <c r="R154" s="42"/>
      <c r="S154" s="42"/>
      <c r="T154" s="42"/>
      <c r="W154" s="42"/>
      <c r="X154" s="42"/>
      <c r="Y154" s="42"/>
      <c r="Z154" s="42"/>
      <c r="AA154" s="42"/>
      <c r="AB154" s="42"/>
      <c r="AC154" s="42"/>
      <c r="AD154" s="42"/>
      <c r="AE154" s="42"/>
      <c r="AF154" s="42"/>
      <c r="AG154" s="42"/>
      <c r="AH154" s="42"/>
      <c r="AK154" s="1521"/>
    </row>
    <row r="155" spans="1:37" s="339" customFormat="1" ht="20.7" customHeight="1" x14ac:dyDescent="0.25">
      <c r="A155" s="304" t="s">
        <v>1038</v>
      </c>
      <c r="B155" s="3433" t="s">
        <v>244</v>
      </c>
      <c r="C155" s="3433"/>
      <c r="D155" s="3433"/>
      <c r="E155" s="3433"/>
      <c r="F155" s="3433"/>
      <c r="G155" s="3433"/>
      <c r="H155" s="3433"/>
      <c r="I155" s="3433" t="str">
        <f>"Baseline"&amp;"-"&amp;'General Information'!$H$49</f>
        <v>Baseline-</v>
      </c>
      <c r="J155" s="3433"/>
      <c r="K155" s="3433"/>
      <c r="L155" s="3576"/>
      <c r="M155" s="3430" t="s">
        <v>2682</v>
      </c>
      <c r="N155" s="3431"/>
      <c r="O155" s="3431"/>
      <c r="P155" s="3431"/>
      <c r="Q155" s="3431"/>
      <c r="R155" s="3432"/>
      <c r="S155" s="3395"/>
      <c r="T155" s="3433" t="str">
        <f>"Prescriptive Requirement of "&amp;'General Information'!H55&amp;" Applicable to App. G Baseline"</f>
        <v>Prescriptive Requirement of ASHRAE 90.1-2016 Applicable to App. G Baseline</v>
      </c>
      <c r="U155" s="347"/>
      <c r="W155" s="1"/>
      <c r="X155" s="1"/>
      <c r="Y155" s="1"/>
      <c r="Z155" s="1"/>
      <c r="AA155" s="1"/>
      <c r="AB155" s="1"/>
      <c r="AC155" s="1"/>
      <c r="AD155" s="1"/>
      <c r="AE155" s="1"/>
      <c r="AF155" s="1"/>
      <c r="AG155" s="1"/>
      <c r="AH155" s="1"/>
      <c r="AK155" s="1521"/>
    </row>
    <row r="156" spans="1:37" s="339" customFormat="1" ht="50.7" customHeight="1" thickBot="1" x14ac:dyDescent="0.3">
      <c r="A156" s="304" t="s">
        <v>1038</v>
      </c>
      <c r="B156" s="3395" t="s">
        <v>1843</v>
      </c>
      <c r="C156" s="3395"/>
      <c r="D156" s="3395"/>
      <c r="E156" s="3395"/>
      <c r="F156" s="3395" t="s">
        <v>96</v>
      </c>
      <c r="G156" s="3395"/>
      <c r="H156" s="1491" t="s">
        <v>99</v>
      </c>
      <c r="I156" s="1491" t="s">
        <v>110</v>
      </c>
      <c r="J156" s="3395" t="s">
        <v>250</v>
      </c>
      <c r="K156" s="3395"/>
      <c r="L156" s="3576"/>
      <c r="M156" s="3395" t="s">
        <v>251</v>
      </c>
      <c r="N156" s="3576"/>
      <c r="O156" s="3576"/>
      <c r="P156" s="3576"/>
      <c r="Q156" s="3576"/>
      <c r="R156" s="1957" t="s">
        <v>2610</v>
      </c>
      <c r="S156" s="3395"/>
      <c r="T156" s="3390"/>
      <c r="U156" s="347"/>
      <c r="W156" s="1"/>
      <c r="X156" s="1"/>
      <c r="Y156" s="1"/>
      <c r="Z156" s="1"/>
      <c r="AA156" s="3625" t="s">
        <v>2208</v>
      </c>
      <c r="AB156" s="3625"/>
      <c r="AC156" s="1"/>
      <c r="AD156" s="621" t="s">
        <v>963</v>
      </c>
      <c r="AE156" s="621" t="s">
        <v>273</v>
      </c>
      <c r="AF156" s="1"/>
      <c r="AG156" s="1"/>
      <c r="AH156" s="1"/>
      <c r="AK156" s="1521"/>
    </row>
    <row r="157" spans="1:37" s="339" customFormat="1" ht="33.75" customHeight="1" thickBot="1" x14ac:dyDescent="0.3">
      <c r="A157" s="304"/>
      <c r="B157" s="3579"/>
      <c r="C157" s="3583" t="s">
        <v>2296</v>
      </c>
      <c r="D157" s="3583"/>
      <c r="E157" s="3583"/>
      <c r="F157" s="3636" t="s">
        <v>2293</v>
      </c>
      <c r="G157" s="3583"/>
      <c r="H157" s="3583"/>
      <c r="I157" s="3583" t="s">
        <v>2297</v>
      </c>
      <c r="J157" s="3583"/>
      <c r="K157" s="3583"/>
      <c r="L157" s="3583"/>
      <c r="M157" s="3590" t="s">
        <v>2713</v>
      </c>
      <c r="N157" s="3591"/>
      <c r="O157" s="3591"/>
      <c r="P157" s="3591"/>
      <c r="Q157" s="3591"/>
      <c r="R157" s="3592"/>
      <c r="S157" s="3456"/>
      <c r="T157" s="3633" t="str">
        <f>"In accordance with Prescriptive Requirements of 90.1-2016 Table 9.4.2-2"</f>
        <v>In accordance with Prescriptive Requirements of 90.1-2016 Table 9.4.2-2</v>
      </c>
      <c r="U157" s="347"/>
      <c r="W157" s="1"/>
      <c r="X157" s="3629" t="s">
        <v>3255</v>
      </c>
      <c r="Y157" s="3630"/>
      <c r="Z157" s="1"/>
      <c r="AA157" s="3626" t="s">
        <v>2207</v>
      </c>
      <c r="AB157" s="3626"/>
      <c r="AC157" s="1"/>
      <c r="AD157" s="1"/>
      <c r="AE157" s="1"/>
      <c r="AF157" s="1"/>
      <c r="AG157" s="1"/>
      <c r="AH157" s="1"/>
      <c r="AK157" s="1521"/>
    </row>
    <row r="158" spans="1:37" s="339" customFormat="1" ht="33.75" customHeight="1" thickBot="1" x14ac:dyDescent="0.3">
      <c r="A158" s="304"/>
      <c r="B158" s="3579"/>
      <c r="C158" s="3583"/>
      <c r="D158" s="3583"/>
      <c r="E158" s="3583"/>
      <c r="F158" s="3583"/>
      <c r="G158" s="3583"/>
      <c r="H158" s="3583"/>
      <c r="I158" s="3583"/>
      <c r="J158" s="3583"/>
      <c r="K158" s="3583"/>
      <c r="L158" s="3583"/>
      <c r="M158" s="3593"/>
      <c r="N158" s="3594"/>
      <c r="O158" s="3594"/>
      <c r="P158" s="3594"/>
      <c r="Q158" s="3594"/>
      <c r="R158" s="3595"/>
      <c r="S158" s="3456"/>
      <c r="T158" s="3633"/>
      <c r="U158" s="347"/>
      <c r="W158" s="1"/>
      <c r="X158" s="1216"/>
      <c r="Y158" s="1217"/>
      <c r="Z158" s="1"/>
      <c r="AA158" s="1216"/>
      <c r="AB158" s="1217"/>
      <c r="AC158" s="1"/>
      <c r="AD158" s="1"/>
      <c r="AE158" s="1"/>
      <c r="AF158" s="1"/>
      <c r="AG158" s="1"/>
      <c r="AH158" s="1"/>
      <c r="AK158" s="1521"/>
    </row>
    <row r="159" spans="1:37" s="339" customFormat="1" ht="33" hidden="1" customHeight="1" x14ac:dyDescent="0.25">
      <c r="A159" s="304"/>
      <c r="B159" s="1378" t="s">
        <v>1490</v>
      </c>
      <c r="C159" s="1396"/>
      <c r="D159" s="1396"/>
      <c r="E159" s="1396"/>
      <c r="F159" s="1396" t="str">
        <f>F156</f>
        <v>Required Input</v>
      </c>
      <c r="G159" s="1396"/>
      <c r="H159" s="1396" t="str">
        <f>H156</f>
        <v>Quantity of Required Input for Project</v>
      </c>
      <c r="I159" s="1396" t="str">
        <f>I156</f>
        <v>Allowed LPD</v>
      </c>
      <c r="J159" s="1396" t="str">
        <f>J156</f>
        <v>Lighting Power Allowance 
(W)</v>
      </c>
      <c r="K159" s="1396"/>
      <c r="L159" s="1574"/>
      <c r="M159" s="1396" t="str">
        <f>M156</f>
        <v>Design Lighting Power 
(W)</v>
      </c>
      <c r="N159" s="1574"/>
      <c r="O159" s="1574"/>
      <c r="P159" s="1574"/>
      <c r="Q159" s="1574"/>
      <c r="R159" s="1574"/>
      <c r="S159" s="3456"/>
      <c r="T159" s="2796"/>
      <c r="U159" s="347"/>
      <c r="W159" s="1"/>
      <c r="X159" s="2539">
        <f>IF(B159="","",SUMIF('Lighting Assumptions 90.1-2013'!L27:L48,'6b - General Lighting'!W159,'Lighting Assumptions 90.1-2013'!N27:N48))</f>
        <v>0</v>
      </c>
      <c r="Y159" s="1" t="str">
        <f>IFERROR(H159*X159,"")</f>
        <v/>
      </c>
      <c r="Z159" s="1"/>
      <c r="AA159" s="1218" t="str">
        <f>IF(E159="","",SUMIF('Lighting Assumptions 90.1-2013'!O27:O48,'6b - General Lighting'!Z159,'Lighting Assumptions 90.1-2013'!Q27:Q48))</f>
        <v/>
      </c>
      <c r="AB159" s="1" t="str">
        <f>IFERROR(K159*AA159,"")</f>
        <v/>
      </c>
      <c r="AC159" s="1"/>
      <c r="AD159" s="1"/>
      <c r="AE159" s="1"/>
      <c r="AF159" s="1"/>
      <c r="AG159" s="1"/>
      <c r="AH159" s="1"/>
      <c r="AK159" s="1521"/>
    </row>
    <row r="160" spans="1:37" s="339" customFormat="1" ht="25.2" customHeight="1" x14ac:dyDescent="0.25">
      <c r="A160" s="304" t="s">
        <v>1038</v>
      </c>
      <c r="B160" s="3513" t="s">
        <v>86</v>
      </c>
      <c r="C160" s="3513"/>
      <c r="D160" s="3513"/>
      <c r="E160" s="3513"/>
      <c r="F160" s="3605" t="s">
        <v>91</v>
      </c>
      <c r="G160" s="3605"/>
      <c r="H160" s="2111"/>
      <c r="I160" s="1241">
        <f>IF(AND(SI_IP_Units="IP",F160="Area"),'Lighting Assumptions'!N46,IF(AND(SI_IP_Units="IP",F160="Length"),'Lighting Assumptions'!N52,IF(AND(SI_IP_Units="SI",F160="Area"),'Lighting Assumptions'!O46,IF(AND(SI_IP_Units="SI",F160="Length"),'Lighting Assumptions'!O52,""))))</f>
        <v>0.2</v>
      </c>
      <c r="J160" s="3580" t="str">
        <f>IFERROR(IF(H160="","",H160*I160),"")</f>
        <v/>
      </c>
      <c r="K160" s="3580"/>
      <c r="L160" s="3581"/>
      <c r="M160" s="3596"/>
      <c r="N160" s="3597"/>
      <c r="O160" s="3597"/>
      <c r="P160" s="3597"/>
      <c r="Q160" s="3597"/>
      <c r="R160" s="1515"/>
      <c r="S160" s="3456"/>
      <c r="T160" s="2796" t="str">
        <f>IF('General Information'!$R$55=2007,"Not Supported",IF('General Information'!$R$55=2016,IF(AND(X160="",Y160=""),"","LPD-"&amp;X160&amp;", "&amp;Y160&amp;" Watts"),IF(AND(AA160="",AB160=""),"","LPD-"&amp;AA160&amp;", "&amp;AB160&amp;" Watts")))</f>
        <v/>
      </c>
      <c r="U160" s="347"/>
      <c r="W160" s="2530" t="str">
        <f>SI_IP_Units&amp;'6b - General Lighting'!B160&amp;F160</f>
        <v>IPBuilding facadesArea</v>
      </c>
      <c r="X160" s="2540" t="str">
        <f>IF(H160="","",INDEX('Lighting Assumptions 90.1-2016'!$N$54:$N$67,MATCH('6b - General Lighting'!W160,'Lighting Assumptions 90.1-2016'!$L$54:$L$67,0)))</f>
        <v/>
      </c>
      <c r="Y160" s="2531" t="str">
        <f>IFERROR(IF(H160="","",H160*X160),"No Allowance")</f>
        <v/>
      </c>
      <c r="Z160" s="1215">
        <f t="shared" ref="Z160:Z165" si="17">IFERROR(Y160+0,0)</f>
        <v>0</v>
      </c>
      <c r="AA160" s="1215" t="str">
        <f>IF(H160="","",INDEX('Lighting Assumptions 90.1-2010'!$N$54:$N$67,MATCH('6b - General Lighting'!W160,'Lighting Assumptions 90.1-2010'!$L$54:$L$67,0)))</f>
        <v/>
      </c>
      <c r="AB160" s="1215" t="str">
        <f>IFERROR(IF(H160="","",H160*AA160),"No Allowance")</f>
        <v/>
      </c>
      <c r="AC160" s="1215">
        <f>IFERROR(AB160+0,0)</f>
        <v>0</v>
      </c>
      <c r="AD160" s="1219">
        <f t="shared" ref="AD160:AD165" si="18">IF(ISERROR(1/M160),0,MIN(J160,M160))</f>
        <v>0</v>
      </c>
      <c r="AE160" s="1220">
        <f t="shared" ref="AE160:AE165" si="19">M160</f>
        <v>0</v>
      </c>
      <c r="AF160" s="621" t="b">
        <f t="shared" ref="AF160:AF165" si="20">IF(M160&gt;J160,TRUE,FALSE)</f>
        <v>0</v>
      </c>
      <c r="AG160" s="1"/>
      <c r="AH160" s="1"/>
      <c r="AK160" s="1802"/>
    </row>
    <row r="161" spans="1:37" s="339" customFormat="1" ht="25.2" customHeight="1" x14ac:dyDescent="0.25">
      <c r="A161" s="304" t="s">
        <v>1038</v>
      </c>
      <c r="B161" s="3513" t="s">
        <v>104</v>
      </c>
      <c r="C161" s="3513"/>
      <c r="D161" s="3513"/>
      <c r="E161" s="3513"/>
      <c r="F161" s="3646" t="s">
        <v>98</v>
      </c>
      <c r="G161" s="3646"/>
      <c r="H161" s="2111"/>
      <c r="I161" s="1241" t="str">
        <f>IF(SI_IP_Units="IP",'Lighting Assumptions'!N47,'Lighting Assumptions'!O47)</f>
        <v>270 W+90 per additional</v>
      </c>
      <c r="J161" s="3580" t="str">
        <f>IFERROR(IF(H161&gt;0,IF(H161=1,270,(270+(H161-1)*90)),""),"")</f>
        <v/>
      </c>
      <c r="K161" s="3580"/>
      <c r="L161" s="3581"/>
      <c r="M161" s="3596"/>
      <c r="N161" s="3597"/>
      <c r="O161" s="3597"/>
      <c r="P161" s="3597"/>
      <c r="Q161" s="3597"/>
      <c r="R161" s="1515"/>
      <c r="S161" s="3456"/>
      <c r="T161" s="2796" t="str">
        <f>IF('General Information'!$R$55=2007,"Not Supported",IF('General Information'!$R$55=2016,IF(AND(X161="",Y161=""),"","LPD-"&amp;X161&amp;", "&amp;Y161&amp;" Watts"),IF(AND(AA161="",AB161=""),"","LPD-"&amp;AA161&amp;", "&amp;AB161&amp;" Watts")))</f>
        <v/>
      </c>
      <c r="U161" s="347"/>
      <c r="W161" s="2530" t="str">
        <f>SI_IP_Units&amp;'6b - General Lighting'!B161</f>
        <v>IPATMs and night depositories</v>
      </c>
      <c r="X161" s="2541" t="str">
        <f>IF(H161="","",INDEX('Lighting Assumptions 90.1-2016'!$N$54:$N$67,MATCH('6b - General Lighting'!W161,'Lighting Assumptions 90.1-2016'!$L$54:$L$67,0)))</f>
        <v/>
      </c>
      <c r="Y161" s="2531" t="str">
        <f t="shared" ref="Y161:Y165" si="21">IFERROR(IF(H161="","",H161*X161),"No Allowance")</f>
        <v/>
      </c>
      <c r="Z161" s="1215">
        <f t="shared" si="17"/>
        <v>0</v>
      </c>
      <c r="AA161" s="1215" t="str">
        <f>IF(H161="","",INDEX('Lighting Assumptions 90.1-2010'!$N$54:$N$67,MATCH('6b - General Lighting'!W161,'Lighting Assumptions 90.1-2010'!$L$54:$L$67,0)))</f>
        <v/>
      </c>
      <c r="AB161" s="1215" t="str">
        <f t="shared" ref="AB161:AB165" si="22">IFERROR(IF(H161="","",H161*AA161),"No Allowance")</f>
        <v/>
      </c>
      <c r="AC161" s="1215">
        <f>IFERROR(AB161+0,0)</f>
        <v>0</v>
      </c>
      <c r="AD161" s="1219">
        <f t="shared" si="18"/>
        <v>0</v>
      </c>
      <c r="AE161" s="1220">
        <f t="shared" si="19"/>
        <v>0</v>
      </c>
      <c r="AF161" s="621" t="b">
        <f t="shared" si="20"/>
        <v>0</v>
      </c>
      <c r="AG161" s="1"/>
      <c r="AH161" s="1"/>
      <c r="AK161" s="1802"/>
    </row>
    <row r="162" spans="1:37" s="339" customFormat="1" ht="25.2" customHeight="1" x14ac:dyDescent="0.25">
      <c r="A162" s="304" t="s">
        <v>1038</v>
      </c>
      <c r="B162" s="3513" t="s">
        <v>87</v>
      </c>
      <c r="C162" s="3513"/>
      <c r="D162" s="3513"/>
      <c r="E162" s="3513"/>
      <c r="F162" s="3646" t="s">
        <v>97</v>
      </c>
      <c r="G162" s="3646"/>
      <c r="H162" s="2111"/>
      <c r="I162" s="1241">
        <f>IF(SI_IP_Units="IP",'Lighting Assumptions'!N48,'Lighting Assumptions'!O48)</f>
        <v>1.25</v>
      </c>
      <c r="J162" s="3580" t="str">
        <f>IFERROR(IF(H162="","",H162*I162),"")</f>
        <v/>
      </c>
      <c r="K162" s="3580"/>
      <c r="L162" s="3581"/>
      <c r="M162" s="3596"/>
      <c r="N162" s="3597"/>
      <c r="O162" s="3597"/>
      <c r="P162" s="3597"/>
      <c r="Q162" s="3597"/>
      <c r="R162" s="1515"/>
      <c r="S162" s="3456"/>
      <c r="T162" s="2796" t="str">
        <f>IF('General Information'!$R$55=2007,"Not Supported",IF('General Information'!$R$55=2016,IF(AND(X162="",Y162=""),"","LPD-"&amp;X162&amp;", "&amp;Y162&amp;" Watts"),IF(AND(AA162="",AB162=""),"","LPD-"&amp;AA162&amp;", "&amp;AB162&amp;" Watts")))</f>
        <v/>
      </c>
      <c r="U162" s="1"/>
      <c r="W162" s="2530" t="str">
        <f>SI_IP_Units&amp;'6b - General Lighting'!B162</f>
        <v>IPEntrances and gatehouse inspection stations at guarded facilities</v>
      </c>
      <c r="X162" s="2541" t="str">
        <f>IF(H162="","",INDEX('Lighting Assumptions 90.1-2016'!$N$54:$N$67,MATCH('6b - General Lighting'!W162,'Lighting Assumptions 90.1-2016'!$L$54:$L$67,0)))</f>
        <v/>
      </c>
      <c r="Y162" s="2531" t="str">
        <f t="shared" si="21"/>
        <v/>
      </c>
      <c r="Z162" s="1215">
        <f t="shared" si="17"/>
        <v>0</v>
      </c>
      <c r="AA162" s="1215" t="str">
        <f>IF(H162="","",INDEX('Lighting Assumptions 90.1-2010'!$N$54:$N$67,MATCH('6b - General Lighting'!W162,'Lighting Assumptions 90.1-2010'!$L$54:$L$67,0)))</f>
        <v/>
      </c>
      <c r="AB162" s="1215" t="str">
        <f t="shared" si="22"/>
        <v/>
      </c>
      <c r="AC162" s="1215">
        <f>IFERROR(AB162+0,0)</f>
        <v>0</v>
      </c>
      <c r="AD162" s="1219">
        <f t="shared" si="18"/>
        <v>0</v>
      </c>
      <c r="AE162" s="1220">
        <f t="shared" si="19"/>
        <v>0</v>
      </c>
      <c r="AF162" s="621" t="b">
        <f t="shared" si="20"/>
        <v>0</v>
      </c>
      <c r="AG162" s="1"/>
      <c r="AH162" s="1"/>
      <c r="AK162" s="1802"/>
    </row>
    <row r="163" spans="1:37" s="339" customFormat="1" ht="25.2" customHeight="1" x14ac:dyDescent="0.25">
      <c r="A163" s="304" t="s">
        <v>1038</v>
      </c>
      <c r="B163" s="3513" t="s">
        <v>88</v>
      </c>
      <c r="C163" s="3513"/>
      <c r="D163" s="3513"/>
      <c r="E163" s="3513"/>
      <c r="F163" s="3646" t="s">
        <v>97</v>
      </c>
      <c r="G163" s="3646"/>
      <c r="H163" s="2111"/>
      <c r="I163" s="1242">
        <f>IF(SI_IP_Units="IP",'Lighting Assumptions'!N49,'Lighting Assumptions'!O49)</f>
        <v>0.5</v>
      </c>
      <c r="J163" s="3580" t="str">
        <f>IFERROR(IF(H163="","",H163*I163),"")</f>
        <v/>
      </c>
      <c r="K163" s="3580"/>
      <c r="L163" s="3581"/>
      <c r="M163" s="3596"/>
      <c r="N163" s="3597"/>
      <c r="O163" s="3597"/>
      <c r="P163" s="3597"/>
      <c r="Q163" s="3597"/>
      <c r="R163" s="1515"/>
      <c r="S163" s="3456"/>
      <c r="T163" s="2796" t="str">
        <f>IF('General Information'!$R$55=2007,"Not Supported",IF('General Information'!$R$55=2016,IF(AND(X163="",Y163=""),"","LPD-"&amp;X163&amp;", "&amp;Y163&amp;" Watts"),IF(AND(AA163="",AB163=""),"","LPD-"&amp;AA163&amp;", "&amp;AB163&amp;" Watts")))</f>
        <v/>
      </c>
      <c r="U163" s="347"/>
      <c r="W163" s="2530" t="str">
        <f>SI_IP_Units&amp;'6b - General Lighting'!B163</f>
        <v>IPLoading areas for law enforcement, fire, ambulance, and other emergency service vehicles</v>
      </c>
      <c r="X163" s="2541" t="str">
        <f>IF(H163="","",INDEX('Lighting Assumptions 90.1-2016'!$N$54:$N$67,MATCH('6b - General Lighting'!W163,'Lighting Assumptions 90.1-2016'!$L$54:$L$67,0)))</f>
        <v/>
      </c>
      <c r="Y163" s="2531" t="str">
        <f t="shared" si="21"/>
        <v/>
      </c>
      <c r="Z163" s="1215">
        <f t="shared" si="17"/>
        <v>0</v>
      </c>
      <c r="AA163" s="1215" t="str">
        <f>IF(H163="","",INDEX('Lighting Assumptions 90.1-2010'!$N$54:$N$67,MATCH('6b - General Lighting'!W163,'Lighting Assumptions 90.1-2010'!$L$54:$L$67,0)))</f>
        <v/>
      </c>
      <c r="AB163" s="1215" t="str">
        <f t="shared" si="22"/>
        <v/>
      </c>
      <c r="AC163" s="1215">
        <f>IFERROR(AB163+0,0)</f>
        <v>0</v>
      </c>
      <c r="AD163" s="1219">
        <f t="shared" si="18"/>
        <v>0</v>
      </c>
      <c r="AE163" s="1220">
        <f t="shared" si="19"/>
        <v>0</v>
      </c>
      <c r="AF163" s="621" t="b">
        <f t="shared" si="20"/>
        <v>0</v>
      </c>
      <c r="AG163" s="1"/>
      <c r="AH163" s="1"/>
      <c r="AK163" s="1802"/>
    </row>
    <row r="164" spans="1:37" s="339" customFormat="1" ht="25.2" customHeight="1" x14ac:dyDescent="0.25">
      <c r="A164" s="304" t="s">
        <v>1038</v>
      </c>
      <c r="B164" s="3513" t="s">
        <v>89</v>
      </c>
      <c r="C164" s="3513"/>
      <c r="D164" s="3513"/>
      <c r="E164" s="3513"/>
      <c r="F164" s="3646" t="s">
        <v>2351</v>
      </c>
      <c r="G164" s="3646"/>
      <c r="H164" s="2111"/>
      <c r="I164" s="1243">
        <f>IF(SI_IP_Units="IP",'Lighting Assumptions'!N50,'Lighting Assumptions'!O50)</f>
        <v>400</v>
      </c>
      <c r="J164" s="3580" t="str">
        <f>IFERROR(IF(H164="","",H164*I164),"")</f>
        <v/>
      </c>
      <c r="K164" s="3580"/>
      <c r="L164" s="3581"/>
      <c r="M164" s="3596"/>
      <c r="N164" s="3597"/>
      <c r="O164" s="3597"/>
      <c r="P164" s="3597"/>
      <c r="Q164" s="3597"/>
      <c r="R164" s="1515"/>
      <c r="S164" s="3456"/>
      <c r="T164" s="2796" t="str">
        <f>IF('General Information'!$R$55=2007,"Not Supported",IF('General Information'!$R$55=2016,IF(AND(X164="",Y164=""),"","LPD-"&amp;X164&amp;", "&amp;Y164&amp;" Watts"),IF(AND(AA164="",AB164=""),"","LPD-"&amp;AA164&amp;", "&amp;AB164&amp;" Watts")))</f>
        <v/>
      </c>
      <c r="U164" s="347"/>
      <c r="W164" s="2530" t="str">
        <f>SI_IP_Units&amp;'6b - General Lighting'!B164</f>
        <v>IPDrive-through windows at fast food restaurants</v>
      </c>
      <c r="X164" s="2541" t="str">
        <f>IF(H164="","",INDEX('Lighting Assumptions 90.1-2016'!$N$54:$N$67,MATCH('6b - General Lighting'!W164,'Lighting Assumptions 90.1-2016'!$L$54:$L$67,0)))</f>
        <v/>
      </c>
      <c r="Y164" s="2531" t="str">
        <f t="shared" si="21"/>
        <v/>
      </c>
      <c r="Z164" s="1215">
        <f t="shared" si="17"/>
        <v>0</v>
      </c>
      <c r="AA164" s="1215" t="str">
        <f>IF(H164="","",INDEX('Lighting Assumptions 90.1-2010'!$N$54:$N$67,MATCH('6b - General Lighting'!W164,'Lighting Assumptions 90.1-2010'!$L$54:$L$67,0)))</f>
        <v/>
      </c>
      <c r="AB164" s="1215" t="str">
        <f t="shared" si="22"/>
        <v/>
      </c>
      <c r="AC164" s="1215" t="str">
        <f>IFERROR(IF(H164="","",AB164),"")</f>
        <v/>
      </c>
      <c r="AD164" s="1219">
        <f t="shared" si="18"/>
        <v>0</v>
      </c>
      <c r="AE164" s="1220">
        <f t="shared" si="19"/>
        <v>0</v>
      </c>
      <c r="AF164" s="621" t="b">
        <f t="shared" si="20"/>
        <v>0</v>
      </c>
      <c r="AG164" s="1"/>
      <c r="AH164" s="1"/>
      <c r="AK164" s="1802"/>
    </row>
    <row r="165" spans="1:37" s="339" customFormat="1" ht="25.2" customHeight="1" thickBot="1" x14ac:dyDescent="0.3">
      <c r="A165" s="304" t="s">
        <v>1038</v>
      </c>
      <c r="B165" s="3513" t="s">
        <v>90</v>
      </c>
      <c r="C165" s="3513"/>
      <c r="D165" s="3513"/>
      <c r="E165" s="3513"/>
      <c r="F165" s="3646" t="s">
        <v>100</v>
      </c>
      <c r="G165" s="3646"/>
      <c r="H165" s="2111"/>
      <c r="I165" s="1243">
        <f>IF(SI_IP_Units="IP",'Lighting Assumptions'!N51,'Lighting Assumptions'!O51)</f>
        <v>800</v>
      </c>
      <c r="J165" s="3580" t="str">
        <f>IFERROR(IF(H165="","",H165*I165),"")</f>
        <v/>
      </c>
      <c r="K165" s="3580"/>
      <c r="L165" s="3581"/>
      <c r="M165" s="3596"/>
      <c r="N165" s="3597"/>
      <c r="O165" s="3597"/>
      <c r="P165" s="3597"/>
      <c r="Q165" s="3597"/>
      <c r="R165" s="1515"/>
      <c r="S165" s="3456"/>
      <c r="T165" s="2796" t="str">
        <f>IF('General Information'!$R$55=2007,"Not Supported",IF('General Information'!$R$55=2016,IF(AND(X165="",Y165=""),"","LPD-"&amp;X165&amp;", "&amp;Y165&amp;" Watts"),IF(AND(AA165="",AB165=""),"","LPD-"&amp;AA165&amp;", "&amp;AB165&amp;" Watts")))</f>
        <v/>
      </c>
      <c r="U165" s="347"/>
      <c r="W165" s="2530" t="str">
        <f>SI_IP_Units&amp;'6b - General Lighting'!B165</f>
        <v>IPParking near 24-hour retail entrances</v>
      </c>
      <c r="X165" s="2542" t="str">
        <f>IF(H165="","",INDEX('Lighting Assumptions 90.1-2016'!$N$54:$N$67,MATCH('6b - General Lighting'!W165,'Lighting Assumptions 90.1-2016'!$L$54:$L$67,0)))</f>
        <v/>
      </c>
      <c r="Y165" s="2531" t="str">
        <f t="shared" si="21"/>
        <v/>
      </c>
      <c r="Z165" s="1215">
        <f t="shared" si="17"/>
        <v>0</v>
      </c>
      <c r="AA165" s="1215" t="str">
        <f>IF(H165="","",INDEX('Lighting Assumptions 90.1-2010'!$N$54:$N$67,MATCH('6b - General Lighting'!W165,'Lighting Assumptions 90.1-2010'!$L$54:$L$67,0)))</f>
        <v/>
      </c>
      <c r="AB165" s="1215" t="str">
        <f t="shared" si="22"/>
        <v/>
      </c>
      <c r="AC165" s="1215">
        <f>IFERROR(AB165+0,0)</f>
        <v>0</v>
      </c>
      <c r="AD165" s="1219">
        <f t="shared" si="18"/>
        <v>0</v>
      </c>
      <c r="AE165" s="1220">
        <f t="shared" si="19"/>
        <v>0</v>
      </c>
      <c r="AF165" s="621" t="b">
        <f t="shared" si="20"/>
        <v>0</v>
      </c>
      <c r="AG165" s="1"/>
      <c r="AH165" s="1"/>
      <c r="AK165" s="1802"/>
    </row>
    <row r="166" spans="1:37" s="339" customFormat="1" ht="25.2" customHeight="1" x14ac:dyDescent="0.25">
      <c r="A166" s="304" t="s">
        <v>1038</v>
      </c>
      <c r="B166" s="3462" t="s">
        <v>252</v>
      </c>
      <c r="C166" s="3462"/>
      <c r="D166" s="3462"/>
      <c r="E166" s="3462"/>
      <c r="F166" s="3462"/>
      <c r="G166" s="3462"/>
      <c r="H166" s="3462"/>
      <c r="I166" s="3462"/>
      <c r="J166" s="3617">
        <f>IFERROR(SUM(AD160:AD165),"")</f>
        <v>0</v>
      </c>
      <c r="K166" s="3617"/>
      <c r="L166" s="3618"/>
      <c r="M166" s="3617">
        <f>IFERROR(SUM(M160:M165),"")</f>
        <v>0</v>
      </c>
      <c r="N166" s="3618"/>
      <c r="O166" s="3618"/>
      <c r="P166" s="3618"/>
      <c r="Q166" s="3618"/>
      <c r="R166" s="1515"/>
      <c r="S166" s="3395"/>
      <c r="T166" s="2543">
        <f>IF('General Information'!$R$55=2007,"Not Supported",IF('General Information'!$R$55=2013,IFERROR(SUM(Z160:Z165),""),IFERROR(SUM(AC160:AC165),"")))</f>
        <v>0</v>
      </c>
      <c r="U166" s="347"/>
      <c r="W166" s="1"/>
      <c r="X166" s="1"/>
      <c r="Y166" s="1"/>
      <c r="Z166" s="1"/>
      <c r="AA166" s="1"/>
      <c r="AB166" s="1"/>
      <c r="AC166" s="1"/>
      <c r="AD166" s="1221">
        <f>SUM(AD160:AD165)+$M$135</f>
        <v>0</v>
      </c>
      <c r="AE166" s="1222">
        <f>SUM(AE160:AE165)</f>
        <v>0</v>
      </c>
      <c r="AF166" s="622" t="b">
        <f>IF(AE166&gt;AD166,TRUE,FALSE)</f>
        <v>0</v>
      </c>
      <c r="AG166" s="1223" t="s">
        <v>964</v>
      </c>
      <c r="AH166" s="1"/>
      <c r="AK166" s="1802"/>
    </row>
    <row r="167" spans="1:37" s="339" customFormat="1" ht="20.25" customHeight="1" x14ac:dyDescent="0.25">
      <c r="A167" s="304" t="s">
        <v>1038</v>
      </c>
      <c r="B167" s="1520"/>
      <c r="C167" s="1520"/>
      <c r="D167" s="1520"/>
      <c r="E167" s="1520"/>
      <c r="F167" s="1520"/>
      <c r="G167" s="1520"/>
      <c r="H167" s="1520"/>
      <c r="I167" s="1520"/>
      <c r="J167" s="1504"/>
      <c r="K167" s="1504"/>
      <c r="L167" s="1504"/>
      <c r="N167" s="35"/>
      <c r="O167" s="1"/>
      <c r="P167" s="1"/>
      <c r="Q167" s="1"/>
      <c r="R167" s="1"/>
      <c r="S167" s="1"/>
      <c r="T167" s="1"/>
      <c r="U167" s="1"/>
      <c r="W167" s="35"/>
      <c r="X167" s="1"/>
      <c r="Y167" s="1"/>
      <c r="Z167" s="1"/>
      <c r="AA167" s="1"/>
      <c r="AB167" s="1"/>
      <c r="AC167" s="1"/>
      <c r="AD167" s="1"/>
      <c r="AE167" s="1"/>
      <c r="AF167" s="1"/>
      <c r="AG167" s="1"/>
      <c r="AH167" s="1"/>
      <c r="AK167" s="1521"/>
    </row>
    <row r="168" spans="1:37" s="347" customFormat="1" ht="68.25" customHeight="1" x14ac:dyDescent="0.25">
      <c r="A168" s="304" t="s">
        <v>1038</v>
      </c>
      <c r="B168" s="47" t="s">
        <v>2392</v>
      </c>
      <c r="C168" s="9"/>
      <c r="D168" s="9"/>
      <c r="E168" s="9"/>
      <c r="F168" s="9"/>
      <c r="G168" s="9"/>
      <c r="H168" s="9"/>
      <c r="I168" s="9"/>
      <c r="J168" s="9"/>
      <c r="K168" s="9"/>
      <c r="L168" s="9"/>
      <c r="M168" s="9"/>
      <c r="W168" s="42"/>
      <c r="X168" s="42"/>
      <c r="Y168" s="42"/>
      <c r="Z168" s="42"/>
      <c r="AA168" s="42"/>
      <c r="AB168" s="42"/>
      <c r="AC168" s="42"/>
      <c r="AD168" s="42"/>
      <c r="AE168" s="42"/>
      <c r="AF168" s="42"/>
      <c r="AG168" s="42"/>
      <c r="AH168" s="42"/>
      <c r="AK168" s="1521"/>
    </row>
    <row r="169" spans="1:37" s="339" customFormat="1" ht="34.950000000000003" customHeight="1" x14ac:dyDescent="0.25">
      <c r="A169" s="304" t="s">
        <v>1038</v>
      </c>
      <c r="B169" s="3433" t="s">
        <v>101</v>
      </c>
      <c r="C169" s="3433"/>
      <c r="D169" s="3433"/>
      <c r="E169" s="3433"/>
      <c r="F169" s="3433"/>
      <c r="G169" s="3433"/>
      <c r="H169" s="3433"/>
      <c r="I169" s="3433"/>
      <c r="J169" s="3433" t="str">
        <f>"Baseline"&amp;"-"&amp;'General Information'!$H$49</f>
        <v>Baseline-</v>
      </c>
      <c r="K169" s="3433"/>
      <c r="L169" s="3433"/>
      <c r="M169" s="3438" t="s">
        <v>2682</v>
      </c>
      <c r="N169" s="3647"/>
      <c r="O169" s="3647"/>
      <c r="P169" s="3647"/>
      <c r="Q169" s="3647"/>
      <c r="R169" s="3439"/>
      <c r="S169" s="3395"/>
      <c r="T169" s="1826" t="str">
        <f>"Prescriptive Requirement of "&amp;'General Information'!H55&amp;" Applicable to App. G Baseline"</f>
        <v>Prescriptive Requirement of ASHRAE 90.1-2016 Applicable to App. G Baseline</v>
      </c>
      <c r="W169" s="35"/>
      <c r="X169" s="1"/>
      <c r="Y169" s="1"/>
      <c r="Z169" s="1"/>
      <c r="AA169" s="1"/>
      <c r="AB169" s="1"/>
      <c r="AC169" s="1"/>
      <c r="AD169" s="1"/>
      <c r="AE169" s="1"/>
      <c r="AF169" s="1"/>
      <c r="AG169" s="1"/>
      <c r="AH169" s="1"/>
      <c r="AK169" s="1521"/>
    </row>
    <row r="170" spans="1:37" s="339" customFormat="1" ht="16.95" customHeight="1" x14ac:dyDescent="0.25">
      <c r="A170" s="304"/>
      <c r="B170" s="3433"/>
      <c r="C170" s="3433"/>
      <c r="D170" s="3433"/>
      <c r="E170" s="3433"/>
      <c r="F170" s="3433"/>
      <c r="G170" s="3433"/>
      <c r="H170" s="3433"/>
      <c r="I170" s="3433"/>
      <c r="J170" s="3433"/>
      <c r="K170" s="3433"/>
      <c r="L170" s="3433"/>
      <c r="M170" s="3440"/>
      <c r="N170" s="3648"/>
      <c r="O170" s="3648"/>
      <c r="P170" s="3648"/>
      <c r="Q170" s="3648"/>
      <c r="R170" s="3441"/>
      <c r="S170" s="3456"/>
      <c r="T170" s="3568" t="str">
        <f>"In accordance with Prescriptive Requirements of 90.1-2016 Table 9.6.1"</f>
        <v>In accordance with Prescriptive Requirements of 90.1-2016 Table 9.6.1</v>
      </c>
      <c r="W170" s="35"/>
      <c r="X170" s="1"/>
      <c r="Y170" s="1"/>
      <c r="Z170" s="1"/>
      <c r="AA170" s="1"/>
      <c r="AB170" s="1"/>
      <c r="AC170" s="1"/>
      <c r="AD170" s="1"/>
      <c r="AE170" s="1"/>
      <c r="AF170" s="1"/>
      <c r="AG170" s="1"/>
      <c r="AH170" s="1"/>
      <c r="AK170" s="1521"/>
    </row>
    <row r="171" spans="1:37" s="339" customFormat="1" ht="16.95" customHeight="1" x14ac:dyDescent="0.25">
      <c r="A171" s="304"/>
      <c r="B171" s="3433"/>
      <c r="C171" s="3433"/>
      <c r="D171" s="3433"/>
      <c r="E171" s="3433"/>
      <c r="F171" s="3433"/>
      <c r="G171" s="3433"/>
      <c r="H171" s="3433"/>
      <c r="I171" s="3433"/>
      <c r="J171" s="3433"/>
      <c r="K171" s="3433"/>
      <c r="L171" s="3433"/>
      <c r="M171" s="3442"/>
      <c r="N171" s="3649"/>
      <c r="O171" s="3649"/>
      <c r="P171" s="3649"/>
      <c r="Q171" s="3649"/>
      <c r="R171" s="3443"/>
      <c r="S171" s="3456"/>
      <c r="T171" s="3568"/>
      <c r="U171" s="347"/>
      <c r="W171" s="35"/>
      <c r="X171" s="1"/>
      <c r="Y171" s="1"/>
      <c r="Z171" s="1"/>
      <c r="AA171" s="1"/>
      <c r="AB171" s="1"/>
      <c r="AC171" s="1"/>
      <c r="AD171" s="1"/>
      <c r="AE171" s="1"/>
      <c r="AF171" s="1"/>
      <c r="AG171" s="1"/>
      <c r="AH171" s="1"/>
      <c r="AK171" s="1521"/>
    </row>
    <row r="172" spans="1:37" s="339" customFormat="1" ht="9.75" hidden="1" customHeight="1" x14ac:dyDescent="0.25">
      <c r="A172" s="304"/>
      <c r="B172" s="1497" t="s">
        <v>1490</v>
      </c>
      <c r="C172" s="1497"/>
      <c r="D172" s="1497"/>
      <c r="E172" s="1497"/>
      <c r="F172" s="1497"/>
      <c r="G172" s="1497"/>
      <c r="H172" s="1497"/>
      <c r="I172" s="1497"/>
      <c r="J172" s="1497" t="s">
        <v>1267</v>
      </c>
      <c r="K172" s="1497"/>
      <c r="L172" s="1575"/>
      <c r="M172" s="1497" t="s">
        <v>1491</v>
      </c>
      <c r="N172" s="1575"/>
      <c r="O172" s="1575"/>
      <c r="P172" s="1575"/>
      <c r="Q172" s="1575"/>
      <c r="R172" s="1575"/>
      <c r="S172" s="3456"/>
      <c r="T172" s="2796"/>
      <c r="U172" s="347"/>
      <c r="W172" s="35"/>
      <c r="X172" s="1"/>
      <c r="Y172" s="1"/>
      <c r="Z172" s="1"/>
      <c r="AA172" s="1"/>
      <c r="AB172" s="1"/>
      <c r="AC172" s="1"/>
      <c r="AD172" s="1"/>
      <c r="AE172" s="1"/>
      <c r="AF172" s="1"/>
      <c r="AG172" s="1"/>
      <c r="AH172" s="1"/>
      <c r="AK172" s="1521"/>
    </row>
    <row r="173" spans="1:37" s="339" customFormat="1" ht="21" customHeight="1" x14ac:dyDescent="0.25">
      <c r="A173" s="304" t="s">
        <v>1038</v>
      </c>
      <c r="B173" s="3462" t="s">
        <v>897</v>
      </c>
      <c r="C173" s="3462"/>
      <c r="D173" s="3462"/>
      <c r="E173" s="3462"/>
      <c r="F173" s="3462"/>
      <c r="G173" s="3462"/>
      <c r="H173" s="3462"/>
      <c r="I173" s="3462"/>
      <c r="J173" s="3644">
        <f>IFERROR(($J$150+$J$166+$M$135)/1000,0)</f>
        <v>0</v>
      </c>
      <c r="K173" s="3644"/>
      <c r="L173" s="3645"/>
      <c r="M173" s="3587">
        <f>IFERROR(($M$150+$M$166)/1000,0)</f>
        <v>0</v>
      </c>
      <c r="N173" s="3588"/>
      <c r="O173" s="3588"/>
      <c r="P173" s="3588"/>
      <c r="Q173" s="3588"/>
      <c r="R173" s="3589"/>
      <c r="S173" s="3456"/>
      <c r="T173" s="2796">
        <f>IF('General Information'!$R$55=2007,"Not Supported",IFERROR(($T$150+$T$166)/1000,0))</f>
        <v>0</v>
      </c>
      <c r="U173" s="347"/>
      <c r="W173" s="35"/>
      <c r="X173" s="1"/>
      <c r="Y173" s="1"/>
      <c r="Z173" s="1"/>
      <c r="AA173" s="1"/>
      <c r="AB173" s="1"/>
      <c r="AC173" s="1"/>
      <c r="AD173" s="1"/>
      <c r="AE173" s="1"/>
      <c r="AF173" s="622" t="b">
        <f>IF(M173&gt;J173,TRUE,FALSE)</f>
        <v>0</v>
      </c>
      <c r="AG173" s="1"/>
      <c r="AH173" s="1"/>
      <c r="AK173" s="1802"/>
    </row>
    <row r="174" spans="1:37" s="339" customFormat="1" ht="48.75" customHeight="1" x14ac:dyDescent="0.25">
      <c r="A174" s="304" t="s">
        <v>1038</v>
      </c>
      <c r="B174" s="1"/>
      <c r="C174" s="1"/>
      <c r="D174" s="1"/>
      <c r="E174" s="1"/>
      <c r="F174" s="1"/>
      <c r="G174" s="1"/>
      <c r="H174" s="1"/>
      <c r="I174" s="1"/>
      <c r="J174" s="1"/>
      <c r="K174" s="1"/>
      <c r="L174" s="1"/>
      <c r="M174" s="1"/>
      <c r="N174" s="35"/>
      <c r="O174" s="1"/>
      <c r="P174" s="1"/>
      <c r="Q174" s="1"/>
      <c r="R174" s="1"/>
      <c r="S174" s="1"/>
      <c r="T174" s="1"/>
      <c r="U174" s="347"/>
      <c r="W174" s="35"/>
      <c r="X174" s="1"/>
      <c r="Y174" s="1"/>
      <c r="Z174" s="1"/>
      <c r="AA174" s="1"/>
      <c r="AB174" s="1"/>
      <c r="AC174" s="1"/>
      <c r="AD174" s="1"/>
      <c r="AE174" s="1"/>
      <c r="AF174" s="1"/>
      <c r="AG174" s="1"/>
      <c r="AH174" s="1"/>
      <c r="AK174" s="1521"/>
    </row>
    <row r="175" spans="1:37" s="347" customFormat="1" ht="40.049999999999997" customHeight="1" x14ac:dyDescent="0.25">
      <c r="A175" s="304" t="s">
        <v>1038</v>
      </c>
      <c r="B175" s="3572" t="s">
        <v>20</v>
      </c>
      <c r="C175" s="3572"/>
      <c r="D175" s="3572"/>
      <c r="E175" s="3572"/>
      <c r="F175" s="3572"/>
      <c r="G175" s="3572"/>
      <c r="H175" s="3572"/>
      <c r="I175" s="3572"/>
      <c r="J175" s="3572"/>
      <c r="K175" s="3572"/>
      <c r="L175" s="3572"/>
      <c r="U175" s="1"/>
      <c r="W175" s="42"/>
      <c r="X175" s="42"/>
      <c r="Y175" s="42"/>
      <c r="Z175" s="42"/>
      <c r="AA175" s="42"/>
      <c r="AB175" s="42"/>
      <c r="AC175" s="42"/>
      <c r="AD175" s="42"/>
      <c r="AE175" s="42"/>
      <c r="AF175" s="42"/>
      <c r="AG175" s="42"/>
      <c r="AH175" s="42"/>
      <c r="AK175" s="1521"/>
    </row>
    <row r="176" spans="1:37" s="347" customFormat="1" ht="21" customHeight="1" x14ac:dyDescent="0.25">
      <c r="A176" s="304" t="s">
        <v>1038</v>
      </c>
      <c r="B176" s="3458"/>
      <c r="C176" s="3458"/>
      <c r="D176" s="3458"/>
      <c r="E176" s="3458"/>
      <c r="F176" s="3458"/>
      <c r="G176" s="3458"/>
      <c r="H176" s="3458"/>
      <c r="I176" s="3458"/>
      <c r="J176" s="3458"/>
      <c r="K176" s="3458"/>
      <c r="L176" s="3458"/>
      <c r="M176" s="3643"/>
      <c r="N176" s="3643"/>
      <c r="O176" s="3643"/>
      <c r="P176" s="3643"/>
      <c r="Q176" s="3643"/>
      <c r="R176" s="1576"/>
      <c r="S176" s="1576"/>
      <c r="T176" s="1576"/>
      <c r="W176" s="42"/>
      <c r="X176" s="42"/>
      <c r="Y176" s="42"/>
      <c r="Z176" s="42"/>
      <c r="AA176" s="42"/>
      <c r="AB176" s="42"/>
      <c r="AC176" s="42"/>
      <c r="AD176" s="42"/>
      <c r="AE176" s="42"/>
      <c r="AF176" s="42"/>
      <c r="AG176" s="42"/>
      <c r="AH176" s="42"/>
      <c r="AK176" s="1802"/>
    </row>
    <row r="177" spans="1:37" s="339" customFormat="1" x14ac:dyDescent="0.25">
      <c r="A177" s="304"/>
      <c r="N177" s="35"/>
      <c r="O177" s="1"/>
      <c r="P177" s="1"/>
      <c r="Q177" s="1"/>
      <c r="R177" s="1"/>
      <c r="S177" s="1"/>
      <c r="T177" s="1"/>
      <c r="W177" s="1"/>
      <c r="X177" s="1"/>
      <c r="Y177" s="1"/>
      <c r="Z177" s="1"/>
      <c r="AA177" s="1"/>
      <c r="AB177" s="1"/>
      <c r="AC177" s="1"/>
      <c r="AD177" s="1"/>
      <c r="AE177" s="1"/>
      <c r="AF177" s="1"/>
      <c r="AG177" s="1"/>
      <c r="AH177" s="1"/>
      <c r="AK177" s="1521"/>
    </row>
    <row r="178" spans="1:37" s="339" customFormat="1" x14ac:dyDescent="0.25">
      <c r="A178" s="304"/>
      <c r="N178" s="35"/>
      <c r="O178" s="1"/>
      <c r="P178" s="1"/>
      <c r="Q178" s="1"/>
      <c r="R178" s="1"/>
      <c r="S178" s="1"/>
      <c r="T178" s="1"/>
      <c r="U178" s="1"/>
      <c r="W178" s="1"/>
      <c r="X178" s="1"/>
      <c r="Y178" s="1"/>
      <c r="Z178" s="1"/>
      <c r="AA178" s="1"/>
      <c r="AB178" s="1"/>
      <c r="AC178" s="1"/>
      <c r="AD178" s="1"/>
      <c r="AE178" s="1"/>
      <c r="AF178" s="1"/>
      <c r="AG178" s="1"/>
      <c r="AH178" s="1"/>
      <c r="AK178" s="1521"/>
    </row>
    <row r="179" spans="1:37" s="339" customFormat="1" x14ac:dyDescent="0.25">
      <c r="A179" s="304"/>
      <c r="N179" s="35"/>
      <c r="O179" s="1"/>
      <c r="P179" s="1"/>
      <c r="Q179" s="1"/>
      <c r="R179" s="1"/>
      <c r="S179" s="1"/>
      <c r="T179" s="1"/>
      <c r="U179" s="1"/>
      <c r="W179" s="1"/>
      <c r="X179" s="1"/>
      <c r="Y179" s="1"/>
      <c r="Z179" s="1"/>
      <c r="AA179" s="1"/>
      <c r="AB179" s="1"/>
      <c r="AC179" s="1"/>
      <c r="AD179" s="1"/>
      <c r="AE179" s="1"/>
      <c r="AF179" s="1"/>
      <c r="AG179" s="1"/>
      <c r="AH179" s="1"/>
      <c r="AK179" s="1521"/>
    </row>
    <row r="180" spans="1:37" s="339" customFormat="1" x14ac:dyDescent="0.25">
      <c r="A180" s="304"/>
      <c r="N180" s="35"/>
      <c r="O180" s="1"/>
      <c r="P180" s="1"/>
      <c r="Q180" s="1"/>
      <c r="R180" s="1"/>
      <c r="S180" s="1"/>
      <c r="T180" s="1"/>
      <c r="U180" s="1"/>
      <c r="W180" s="1"/>
      <c r="X180" s="1"/>
      <c r="Y180" s="1"/>
      <c r="Z180" s="1"/>
      <c r="AA180" s="1"/>
      <c r="AB180" s="1"/>
      <c r="AC180" s="1"/>
      <c r="AD180" s="1"/>
      <c r="AE180" s="1"/>
      <c r="AF180" s="1"/>
      <c r="AG180" s="1"/>
      <c r="AH180" s="1"/>
      <c r="AK180" s="1521"/>
    </row>
    <row r="181" spans="1:37" s="339" customFormat="1" x14ac:dyDescent="0.25">
      <c r="A181" s="304"/>
      <c r="N181" s="35"/>
      <c r="O181" s="1"/>
      <c r="P181" s="1"/>
      <c r="Q181" s="1"/>
      <c r="R181" s="1"/>
      <c r="S181" s="1"/>
      <c r="T181" s="1"/>
      <c r="U181" s="1"/>
      <c r="W181" s="1"/>
      <c r="X181" s="1"/>
      <c r="Y181" s="1"/>
      <c r="Z181" s="1"/>
      <c r="AA181" s="1"/>
      <c r="AB181" s="1"/>
      <c r="AC181" s="1"/>
      <c r="AD181" s="1"/>
      <c r="AE181" s="1"/>
      <c r="AF181" s="1"/>
      <c r="AG181" s="1"/>
      <c r="AH181" s="1"/>
      <c r="AK181" s="1521"/>
    </row>
    <row r="182" spans="1:37" s="339" customFormat="1" x14ac:dyDescent="0.25">
      <c r="A182" s="304"/>
      <c r="N182" s="35"/>
      <c r="O182" s="1"/>
      <c r="P182" s="1"/>
      <c r="Q182" s="1"/>
      <c r="R182" s="1"/>
      <c r="S182" s="1"/>
      <c r="T182" s="1"/>
      <c r="U182" s="1"/>
      <c r="W182" s="1"/>
      <c r="X182" s="1"/>
      <c r="Y182" s="1"/>
      <c r="Z182" s="1"/>
      <c r="AA182" s="1"/>
      <c r="AB182" s="1"/>
      <c r="AC182" s="1"/>
      <c r="AD182" s="1"/>
      <c r="AE182" s="1"/>
      <c r="AF182" s="1"/>
      <c r="AG182" s="1"/>
      <c r="AH182" s="1"/>
      <c r="AK182" s="1521"/>
    </row>
    <row r="183" spans="1:37" s="339" customFormat="1" x14ac:dyDescent="0.25">
      <c r="A183" s="304"/>
      <c r="N183" s="35"/>
      <c r="O183" s="1"/>
      <c r="P183" s="1"/>
      <c r="Q183" s="1"/>
      <c r="R183" s="1"/>
      <c r="S183" s="1"/>
      <c r="T183" s="1"/>
      <c r="U183" s="1"/>
      <c r="W183" s="1"/>
      <c r="X183" s="1"/>
      <c r="Y183" s="1"/>
      <c r="Z183" s="1"/>
      <c r="AA183" s="1"/>
      <c r="AB183" s="1"/>
      <c r="AC183" s="1"/>
      <c r="AD183" s="1"/>
      <c r="AE183" s="1"/>
      <c r="AF183" s="1"/>
      <c r="AG183" s="1"/>
      <c r="AH183" s="1"/>
      <c r="AK183" s="1521"/>
    </row>
    <row r="184" spans="1:37" s="339" customFormat="1" x14ac:dyDescent="0.25">
      <c r="A184" s="304"/>
      <c r="N184" s="35"/>
      <c r="O184" s="1"/>
      <c r="P184" s="1"/>
      <c r="Q184" s="1"/>
      <c r="R184" s="1"/>
      <c r="S184" s="1"/>
      <c r="T184" s="1"/>
      <c r="U184" s="1"/>
      <c r="W184" s="1"/>
      <c r="X184" s="1"/>
      <c r="Y184" s="1"/>
      <c r="Z184" s="1"/>
      <c r="AA184" s="1"/>
      <c r="AB184" s="1"/>
      <c r="AC184" s="1"/>
      <c r="AD184" s="1"/>
      <c r="AE184" s="1"/>
      <c r="AF184" s="1"/>
      <c r="AG184" s="1"/>
      <c r="AH184" s="1"/>
      <c r="AK184" s="1521"/>
    </row>
    <row r="185" spans="1:37" s="339" customFormat="1" x14ac:dyDescent="0.25">
      <c r="A185" s="304"/>
      <c r="N185" s="35"/>
      <c r="O185" s="1"/>
      <c r="P185" s="1"/>
      <c r="Q185" s="1"/>
      <c r="R185" s="1"/>
      <c r="S185" s="1"/>
      <c r="T185" s="1"/>
      <c r="U185" s="1"/>
      <c r="W185" s="1"/>
      <c r="X185" s="1"/>
      <c r="Y185" s="1"/>
      <c r="Z185" s="1"/>
      <c r="AA185" s="1"/>
      <c r="AB185" s="1"/>
      <c r="AC185" s="1"/>
      <c r="AD185" s="1"/>
      <c r="AE185" s="1"/>
      <c r="AF185" s="1"/>
      <c r="AG185" s="1"/>
      <c r="AH185" s="1"/>
      <c r="AK185" s="1521"/>
    </row>
    <row r="186" spans="1:37" s="339" customFormat="1" x14ac:dyDescent="0.25">
      <c r="A186" s="304"/>
      <c r="N186" s="35"/>
      <c r="O186" s="1"/>
      <c r="P186" s="1"/>
      <c r="Q186" s="1"/>
      <c r="R186" s="1"/>
      <c r="S186" s="1"/>
      <c r="T186" s="1"/>
      <c r="U186" s="1"/>
      <c r="W186" s="1"/>
      <c r="X186" s="1"/>
      <c r="Y186" s="1"/>
      <c r="Z186" s="1"/>
      <c r="AA186" s="1"/>
      <c r="AB186" s="1"/>
      <c r="AC186" s="1"/>
      <c r="AD186" s="1"/>
      <c r="AE186" s="1"/>
      <c r="AF186" s="1"/>
      <c r="AG186" s="1"/>
      <c r="AH186" s="1"/>
      <c r="AK186" s="1521"/>
    </row>
  </sheetData>
  <sheetProtection algorithmName="SHA-512" hashValue="Ms4E7dKPyow74hyv5iBoah+ExS8nnL7/QY9KeZqh46GWYl4pfmx1YC2gE+UpYCfpgc45cyV3H4pVJhEnuwCr5g==" saltValue="mJc0Ar6PtFFwbZZe/vZU+g==" spinCount="100000" sheet="1" objects="1" scenarios="1"/>
  <customSheetViews>
    <customSheetView guid="{75D6F8CE-A4F4-4FDD-BA92-7996F9E19FA9}" scale="90" showGridLines="0" hiddenRows="1">
      <selection activeCell="N112" sqref="N112"/>
      <pageMargins left="0.25" right="0.25" top="0.75" bottom="0.75" header="0.3" footer="0.3"/>
      <pageSetup scale="75" orientation="portrait" verticalDpi="1200" r:id="rId1"/>
    </customSheetView>
  </customSheetViews>
  <mergeCells count="281">
    <mergeCell ref="B26:C26"/>
    <mergeCell ref="B27:C27"/>
    <mergeCell ref="L74:N74"/>
    <mergeCell ref="G115:K115"/>
    <mergeCell ref="J74:K74"/>
    <mergeCell ref="I81:Q82"/>
    <mergeCell ref="C100:F100"/>
    <mergeCell ref="G78:I78"/>
    <mergeCell ref="J78:K78"/>
    <mergeCell ref="L78:N78"/>
    <mergeCell ref="O78:Q78"/>
    <mergeCell ref="I90:Q90"/>
    <mergeCell ref="C89:D89"/>
    <mergeCell ref="B92:O92"/>
    <mergeCell ref="C85:D85"/>
    <mergeCell ref="I86:Q86"/>
    <mergeCell ref="I85:Q85"/>
    <mergeCell ref="I91:Q91"/>
    <mergeCell ref="I88:Q88"/>
    <mergeCell ref="C88:D88"/>
    <mergeCell ref="P92:Q92"/>
    <mergeCell ref="C90:D90"/>
    <mergeCell ref="P93:Q93"/>
    <mergeCell ref="B106:F106"/>
    <mergeCell ref="L117:N117"/>
    <mergeCell ref="O117:Q117"/>
    <mergeCell ref="B117:K117"/>
    <mergeCell ref="L108:N108"/>
    <mergeCell ref="O108:Q108"/>
    <mergeCell ref="G108:I108"/>
    <mergeCell ref="L111:N111"/>
    <mergeCell ref="P121:Q121"/>
    <mergeCell ref="B121:O121"/>
    <mergeCell ref="B111:B112"/>
    <mergeCell ref="G111:K111"/>
    <mergeCell ref="G114:K114"/>
    <mergeCell ref="G112:K112"/>
    <mergeCell ref="C114:F114"/>
    <mergeCell ref="L114:N114"/>
    <mergeCell ref="G116:K116"/>
    <mergeCell ref="C116:F116"/>
    <mergeCell ref="O114:Q114"/>
    <mergeCell ref="O111:Q111"/>
    <mergeCell ref="J108:K108"/>
    <mergeCell ref="O115:Q115"/>
    <mergeCell ref="C112:F112"/>
    <mergeCell ref="O112:Q112"/>
    <mergeCell ref="C111:F111"/>
    <mergeCell ref="C101:F101"/>
    <mergeCell ref="G101:K101"/>
    <mergeCell ref="L101:Q101"/>
    <mergeCell ref="P94:Q94"/>
    <mergeCell ref="B94:O94"/>
    <mergeCell ref="G97:K97"/>
    <mergeCell ref="L97:Q97"/>
    <mergeCell ref="C97:F97"/>
    <mergeCell ref="C98:F98"/>
    <mergeCell ref="G98:K98"/>
    <mergeCell ref="L98:Q98"/>
    <mergeCell ref="B176:Q176"/>
    <mergeCell ref="J173:L173"/>
    <mergeCell ref="F161:G161"/>
    <mergeCell ref="F162:G162"/>
    <mergeCell ref="F163:G163"/>
    <mergeCell ref="B160:E160"/>
    <mergeCell ref="B161:E161"/>
    <mergeCell ref="F160:G160"/>
    <mergeCell ref="B162:E162"/>
    <mergeCell ref="B163:E163"/>
    <mergeCell ref="J166:L166"/>
    <mergeCell ref="M160:Q160"/>
    <mergeCell ref="M161:Q161"/>
    <mergeCell ref="M162:Q162"/>
    <mergeCell ref="M163:Q163"/>
    <mergeCell ref="M164:Q164"/>
    <mergeCell ref="B175:L175"/>
    <mergeCell ref="B166:I166"/>
    <mergeCell ref="J164:L164"/>
    <mergeCell ref="J165:L165"/>
    <mergeCell ref="F164:G164"/>
    <mergeCell ref="F165:G165"/>
    <mergeCell ref="B169:I171"/>
    <mergeCell ref="M169:R171"/>
    <mergeCell ref="B6:Q6"/>
    <mergeCell ref="B23:Q23"/>
    <mergeCell ref="B22:Q22"/>
    <mergeCell ref="P8:Q8"/>
    <mergeCell ref="P10:Q10"/>
    <mergeCell ref="P12:Q12"/>
    <mergeCell ref="P14:Q14"/>
    <mergeCell ref="P18:Q18"/>
    <mergeCell ref="B8:O8"/>
    <mergeCell ref="B10:O10"/>
    <mergeCell ref="B12:O12"/>
    <mergeCell ref="B14:O14"/>
    <mergeCell ref="B18:O18"/>
    <mergeCell ref="B16:O16"/>
    <mergeCell ref="P16:Q16"/>
    <mergeCell ref="B20:O20"/>
    <mergeCell ref="P20:Q20"/>
    <mergeCell ref="G74:I74"/>
    <mergeCell ref="B59:C59"/>
    <mergeCell ref="B60:C60"/>
    <mergeCell ref="B50:C50"/>
    <mergeCell ref="B51:C51"/>
    <mergeCell ref="B52:C52"/>
    <mergeCell ref="B53:C53"/>
    <mergeCell ref="B54:C54"/>
    <mergeCell ref="B55:C55"/>
    <mergeCell ref="B56:C56"/>
    <mergeCell ref="B57:C57"/>
    <mergeCell ref="B58:C58"/>
    <mergeCell ref="B44:C44"/>
    <mergeCell ref="G73:K73"/>
    <mergeCell ref="L73:Q73"/>
    <mergeCell ref="G69:H69"/>
    <mergeCell ref="B45:C45"/>
    <mergeCell ref="B46:C46"/>
    <mergeCell ref="B49:C49"/>
    <mergeCell ref="G62:H62"/>
    <mergeCell ref="G63:H63"/>
    <mergeCell ref="G64:H64"/>
    <mergeCell ref="G65:H65"/>
    <mergeCell ref="B28:C28"/>
    <mergeCell ref="B29:C29"/>
    <mergeCell ref="B30:C30"/>
    <mergeCell ref="B34:C34"/>
    <mergeCell ref="B31:C31"/>
    <mergeCell ref="B32:C32"/>
    <mergeCell ref="B33:C33"/>
    <mergeCell ref="B36:C36"/>
    <mergeCell ref="B37:C37"/>
    <mergeCell ref="U139:U143"/>
    <mergeCell ref="T139:T140"/>
    <mergeCell ref="T157:T158"/>
    <mergeCell ref="B38:C38"/>
    <mergeCell ref="B35:C35"/>
    <mergeCell ref="B47:C47"/>
    <mergeCell ref="B48:C48"/>
    <mergeCell ref="C133:L133"/>
    <mergeCell ref="C135:L135"/>
    <mergeCell ref="F157:H158"/>
    <mergeCell ref="J142:L143"/>
    <mergeCell ref="I142:I143"/>
    <mergeCell ref="H142:H143"/>
    <mergeCell ref="F142:G143"/>
    <mergeCell ref="B148:E148"/>
    <mergeCell ref="J144:L144"/>
    <mergeCell ref="J150:L150"/>
    <mergeCell ref="M156:Q156"/>
    <mergeCell ref="M150:Q150"/>
    <mergeCell ref="B39:C39"/>
    <mergeCell ref="B40:C40"/>
    <mergeCell ref="B41:C41"/>
    <mergeCell ref="B42:C42"/>
    <mergeCell ref="B43:C43"/>
    <mergeCell ref="B108:F108"/>
    <mergeCell ref="O106:Q106"/>
    <mergeCell ref="I87:Q87"/>
    <mergeCell ref="B91:D91"/>
    <mergeCell ref="G100:K100"/>
    <mergeCell ref="I89:Q89"/>
    <mergeCell ref="Z140:AA141"/>
    <mergeCell ref="AA157:AB157"/>
    <mergeCell ref="Z142:AA142"/>
    <mergeCell ref="Z143:AA143"/>
    <mergeCell ref="AA156:AB156"/>
    <mergeCell ref="X157:Y157"/>
    <mergeCell ref="J148:L148"/>
    <mergeCell ref="M148:Q148"/>
    <mergeCell ref="X142:Y142"/>
    <mergeCell ref="M147:Q147"/>
    <mergeCell ref="M145:Q145"/>
    <mergeCell ref="M146:Q146"/>
    <mergeCell ref="M140:Q140"/>
    <mergeCell ref="J145:L145"/>
    <mergeCell ref="J140:L140"/>
    <mergeCell ref="J147:L147"/>
    <mergeCell ref="M144:Q144"/>
    <mergeCell ref="T155:T156"/>
    <mergeCell ref="T142:T143"/>
    <mergeCell ref="J160:L160"/>
    <mergeCell ref="B165:E165"/>
    <mergeCell ref="M166:Q166"/>
    <mergeCell ref="B164:E164"/>
    <mergeCell ref="M165:Q165"/>
    <mergeCell ref="J162:L162"/>
    <mergeCell ref="J163:L163"/>
    <mergeCell ref="J161:L161"/>
    <mergeCell ref="S155:S166"/>
    <mergeCell ref="I155:L155"/>
    <mergeCell ref="B146:E146"/>
    <mergeCell ref="F145:G145"/>
    <mergeCell ref="F144:G144"/>
    <mergeCell ref="B142:B143"/>
    <mergeCell ref="C142:E143"/>
    <mergeCell ref="B147:E147"/>
    <mergeCell ref="O74:Q74"/>
    <mergeCell ref="G67:H67"/>
    <mergeCell ref="C73:F74"/>
    <mergeCell ref="B70:C70"/>
    <mergeCell ref="B73:B74"/>
    <mergeCell ref="G66:H66"/>
    <mergeCell ref="F83:G83"/>
    <mergeCell ref="J76:K76"/>
    <mergeCell ref="C76:F76"/>
    <mergeCell ref="G76:I76"/>
    <mergeCell ref="I83:Q83"/>
    <mergeCell ref="L76:N76"/>
    <mergeCell ref="C83:D83"/>
    <mergeCell ref="J77:K77"/>
    <mergeCell ref="L77:N77"/>
    <mergeCell ref="O77:Q77"/>
    <mergeCell ref="F81:G81"/>
    <mergeCell ref="O76:Q76"/>
    <mergeCell ref="B81:B82"/>
    <mergeCell ref="C78:F78"/>
    <mergeCell ref="C81:D82"/>
    <mergeCell ref="G68:H68"/>
    <mergeCell ref="C77:F77"/>
    <mergeCell ref="G77:I77"/>
    <mergeCell ref="C87:D87"/>
    <mergeCell ref="C86:D86"/>
    <mergeCell ref="G99:K99"/>
    <mergeCell ref="G106:I106"/>
    <mergeCell ref="L112:N112"/>
    <mergeCell ref="C157:E158"/>
    <mergeCell ref="B144:E144"/>
    <mergeCell ref="B123:O123"/>
    <mergeCell ref="P123:Q123"/>
    <mergeCell ref="B125:O125"/>
    <mergeCell ref="P125:Q125"/>
    <mergeCell ref="B156:E156"/>
    <mergeCell ref="F147:G147"/>
    <mergeCell ref="F148:G148"/>
    <mergeCell ref="B119:Q119"/>
    <mergeCell ref="B131:O131"/>
    <mergeCell ref="P131:Q131"/>
    <mergeCell ref="F140:G140"/>
    <mergeCell ref="B140:E140"/>
    <mergeCell ref="F156:G156"/>
    <mergeCell ref="J156:L156"/>
    <mergeCell ref="L106:N106"/>
    <mergeCell ref="C99:F99"/>
    <mergeCell ref="L99:Q99"/>
    <mergeCell ref="B173:I173"/>
    <mergeCell ref="F146:G146"/>
    <mergeCell ref="M173:R173"/>
    <mergeCell ref="M139:R139"/>
    <mergeCell ref="M155:R155"/>
    <mergeCell ref="M142:R143"/>
    <mergeCell ref="M157:R158"/>
    <mergeCell ref="B149:E149"/>
    <mergeCell ref="F149:G149"/>
    <mergeCell ref="J149:L149"/>
    <mergeCell ref="M149:Q149"/>
    <mergeCell ref="B139:H139"/>
    <mergeCell ref="H25:J25"/>
    <mergeCell ref="K25:L25"/>
    <mergeCell ref="T170:T171"/>
    <mergeCell ref="B155:H155"/>
    <mergeCell ref="B150:I150"/>
    <mergeCell ref="L100:Q100"/>
    <mergeCell ref="B93:O93"/>
    <mergeCell ref="M133:Q133"/>
    <mergeCell ref="M135:Q135"/>
    <mergeCell ref="O116:Q116"/>
    <mergeCell ref="I139:L139"/>
    <mergeCell ref="C115:F115"/>
    <mergeCell ref="L115:N115"/>
    <mergeCell ref="L116:N116"/>
    <mergeCell ref="B157:B158"/>
    <mergeCell ref="J146:L146"/>
    <mergeCell ref="B145:E145"/>
    <mergeCell ref="I157:L158"/>
    <mergeCell ref="B127:O127"/>
    <mergeCell ref="P127:Q127"/>
    <mergeCell ref="B129:O129"/>
    <mergeCell ref="P129:Q129"/>
    <mergeCell ref="S169:S173"/>
    <mergeCell ref="J169:L171"/>
  </mergeCells>
  <conditionalFormatting sqref="G65:G69 G62 I61">
    <cfRule type="expression" dxfId="385" priority="1432">
      <formula>IF($P$54="NO",TRUE,FALSE)</formula>
    </cfRule>
  </conditionalFormatting>
  <conditionalFormatting sqref="G65:K69 G62:K62 I61:L61">
    <cfRule type="expression" dxfId="384" priority="160">
      <formula>IF($P$52="NO",TRUE,FALSE)</formula>
    </cfRule>
  </conditionalFormatting>
  <conditionalFormatting sqref="O58:P59">
    <cfRule type="expression" dxfId="383" priority="159">
      <formula>IF($P$54="No",TRUE,FALSE)</formula>
    </cfRule>
  </conditionalFormatting>
  <conditionalFormatting sqref="O58:P59">
    <cfRule type="expression" dxfId="382" priority="158">
      <formula>IF($P$54="Yes via the software program",TRUE,IF($P$54="Yes via schedule adjustments",TRUE,FALSE))</formula>
    </cfRule>
  </conditionalFormatting>
  <conditionalFormatting sqref="I65:K69 I62:K62 K61:L61">
    <cfRule type="expression" dxfId="381" priority="156">
      <formula>IF($P$54="NO",TRUE,FALSE)</formula>
    </cfRule>
  </conditionalFormatting>
  <conditionalFormatting sqref="J108:K108">
    <cfRule type="expression" dxfId="380" priority="126">
      <formula>$J108&gt;$G108</formula>
    </cfRule>
    <cfRule type="expression" dxfId="379" priority="127">
      <formula>$J108&lt;$G108</formula>
    </cfRule>
  </conditionalFormatting>
  <conditionalFormatting sqref="G63">
    <cfRule type="expression" dxfId="378" priority="116">
      <formula>IF($P$54="NO",TRUE,FALSE)</formula>
    </cfRule>
  </conditionalFormatting>
  <conditionalFormatting sqref="G63:K63">
    <cfRule type="expression" dxfId="377" priority="110">
      <formula>IF($P$52="NO",TRUE,FALSE)</formula>
    </cfRule>
  </conditionalFormatting>
  <conditionalFormatting sqref="I63:K63">
    <cfRule type="expression" dxfId="376" priority="108">
      <formula>IF($P$54="NO",TRUE,FALSE)</formula>
    </cfRule>
  </conditionalFormatting>
  <conditionalFormatting sqref="G64">
    <cfRule type="expression" dxfId="375" priority="81">
      <formula>IF($P$54="NO",TRUE,FALSE)</formula>
    </cfRule>
  </conditionalFormatting>
  <conditionalFormatting sqref="G64:K64">
    <cfRule type="expression" dxfId="374" priority="75">
      <formula>IF($P$52="NO",TRUE,FALSE)</formula>
    </cfRule>
  </conditionalFormatting>
  <conditionalFormatting sqref="I64:K64">
    <cfRule type="expression" dxfId="373" priority="73">
      <formula>IF($P$54="NO",TRUE,FALSE)</formula>
    </cfRule>
  </conditionalFormatting>
  <conditionalFormatting sqref="M147:Q149">
    <cfRule type="expression" dxfId="372" priority="67">
      <formula>$M147&lt;$Y147</formula>
    </cfRule>
    <cfRule type="expression" dxfId="371" priority="68">
      <formula>$M147&gt;$Y147</formula>
    </cfRule>
  </conditionalFormatting>
  <conditionalFormatting sqref="M147:Q149">
    <cfRule type="expression" dxfId="370" priority="65">
      <formula>$M147&gt;$J147</formula>
    </cfRule>
    <cfRule type="expression" dxfId="369" priority="66">
      <formula>$M147&lt;$J147</formula>
    </cfRule>
  </conditionalFormatting>
  <conditionalFormatting sqref="M146:Q146">
    <cfRule type="expression" dxfId="368" priority="61">
      <formula>$M146&gt;$J146</formula>
    </cfRule>
    <cfRule type="expression" dxfId="367" priority="62">
      <formula>$M146&lt;$J146</formula>
    </cfRule>
  </conditionalFormatting>
  <conditionalFormatting sqref="M146:Q146">
    <cfRule type="expression" dxfId="366" priority="63">
      <formula>$M146&lt;$Y146</formula>
    </cfRule>
    <cfRule type="expression" dxfId="365" priority="64">
      <formula>$M146&gt;$Y146</formula>
    </cfRule>
  </conditionalFormatting>
  <conditionalFormatting sqref="M145:Q145">
    <cfRule type="expression" dxfId="364" priority="59">
      <formula>$M145&lt;$Y145</formula>
    </cfRule>
    <cfRule type="expression" dxfId="363" priority="60">
      <formula>$M145&gt;$Y145</formula>
    </cfRule>
  </conditionalFormatting>
  <conditionalFormatting sqref="M145:Q145">
    <cfRule type="expression" dxfId="362" priority="57">
      <formula>$M145&gt;$J145</formula>
    </cfRule>
    <cfRule type="expression" dxfId="361" priority="58">
      <formula>$M145&lt;$J145</formula>
    </cfRule>
  </conditionalFormatting>
  <conditionalFormatting sqref="M160:Q165">
    <cfRule type="expression" dxfId="360" priority="47">
      <formula>$M160&lt;$Z160</formula>
    </cfRule>
    <cfRule type="expression" dxfId="359" priority="48">
      <formula>$M160&gt;$Z160</formula>
    </cfRule>
  </conditionalFormatting>
  <conditionalFormatting sqref="M160:Q160">
    <cfRule type="expression" dxfId="358" priority="45">
      <formula>$M160&gt;$J160</formula>
    </cfRule>
    <cfRule type="expression" dxfId="357" priority="46">
      <formula>$M160&lt;$J160</formula>
    </cfRule>
  </conditionalFormatting>
  <conditionalFormatting sqref="M161:Q161">
    <cfRule type="expression" dxfId="356" priority="43">
      <formula>$M161&gt;$J161</formula>
    </cfRule>
    <cfRule type="expression" dxfId="355" priority="44">
      <formula>$M161&lt;$J161</formula>
    </cfRule>
  </conditionalFormatting>
  <conditionalFormatting sqref="M162:Q162">
    <cfRule type="expression" dxfId="354" priority="41">
      <formula>$M162&gt;$J162</formula>
    </cfRule>
    <cfRule type="expression" dxfId="353" priority="42">
      <formula>$M162&lt;$J162</formula>
    </cfRule>
  </conditionalFormatting>
  <conditionalFormatting sqref="M163:Q163">
    <cfRule type="expression" dxfId="352" priority="39">
      <formula>$M163&gt;$J163</formula>
    </cfRule>
    <cfRule type="expression" dxfId="351" priority="40">
      <formula>$M163&lt;$J163</formula>
    </cfRule>
  </conditionalFormatting>
  <conditionalFormatting sqref="M164:Q164">
    <cfRule type="expression" dxfId="350" priority="37">
      <formula>$M164&gt;$J164</formula>
    </cfRule>
    <cfRule type="expression" dxfId="349" priority="38">
      <formula>$M164&lt;$J164</formula>
    </cfRule>
  </conditionalFormatting>
  <conditionalFormatting sqref="M165:Q165">
    <cfRule type="expression" dxfId="348" priority="35">
      <formula>$M165&gt;$J165</formula>
    </cfRule>
    <cfRule type="expression" dxfId="347" priority="36">
      <formula>$M165&lt;$J165</formula>
    </cfRule>
  </conditionalFormatting>
  <conditionalFormatting sqref="M144:Q149">
    <cfRule type="expression" dxfId="346" priority="53">
      <formula>$M144&gt;$J144</formula>
    </cfRule>
    <cfRule type="expression" dxfId="345" priority="54">
      <formula>$M144&lt;$J144</formula>
    </cfRule>
    <cfRule type="expression" dxfId="344" priority="55">
      <formula>$M144&lt;$Y144</formula>
    </cfRule>
    <cfRule type="expression" dxfId="343" priority="56">
      <formula>$M144&gt;$Y144</formula>
    </cfRule>
  </conditionalFormatting>
  <conditionalFormatting sqref="M161:Q161">
    <cfRule type="expression" dxfId="342" priority="33">
      <formula>$M161&gt;$J161</formula>
    </cfRule>
    <cfRule type="expression" dxfId="341" priority="34">
      <formula>$M161&lt;$J161</formula>
    </cfRule>
  </conditionalFormatting>
  <conditionalFormatting sqref="M162:Q162">
    <cfRule type="expression" dxfId="340" priority="31">
      <formula>$M162&gt;$J162</formula>
    </cfRule>
    <cfRule type="expression" dxfId="339" priority="32">
      <formula>$M162&lt;$J162</formula>
    </cfRule>
  </conditionalFormatting>
  <conditionalFormatting sqref="M163:Q163">
    <cfRule type="expression" dxfId="338" priority="29">
      <formula>$M163&gt;$J163</formula>
    </cfRule>
    <cfRule type="expression" dxfId="337" priority="30">
      <formula>$M163&lt;$J163</formula>
    </cfRule>
  </conditionalFormatting>
  <conditionalFormatting sqref="M164:Q164">
    <cfRule type="expression" dxfId="336" priority="27">
      <formula>$M164&gt;$J164</formula>
    </cfRule>
    <cfRule type="expression" dxfId="335" priority="28">
      <formula>$M164&lt;$J164</formula>
    </cfRule>
  </conditionalFormatting>
  <conditionalFormatting sqref="M165:Q165">
    <cfRule type="expression" dxfId="334" priority="25">
      <formula>$M165&gt;$J165</formula>
    </cfRule>
    <cfRule type="expression" dxfId="333" priority="26">
      <formula>$M165&lt;$J165</formula>
    </cfRule>
  </conditionalFormatting>
  <conditionalFormatting sqref="N61:P69">
    <cfRule type="expression" dxfId="332" priority="1937">
      <formula>IF(#REF!="No",TRUE,FALSE)</formula>
    </cfRule>
    <cfRule type="expression" dxfId="331" priority="1938">
      <formula>IF($P$54="No",TRUE,FALSE)</formula>
    </cfRule>
  </conditionalFormatting>
  <conditionalFormatting sqref="O61:P69">
    <cfRule type="expression" dxfId="330" priority="1941">
      <formula>IF(#REF!="Yes via the software program",TRUE,IF(#REF!="Yes via schedule adjustments",TRUE,FALSE))</formula>
    </cfRule>
    <cfRule type="expression" dxfId="329" priority="1942">
      <formula>IF($P$54="Yes via the software program",TRUE,IF($P$54="Yes via schedule adjustments",TRUE,FALSE))</formula>
    </cfRule>
  </conditionalFormatting>
  <conditionalFormatting sqref="N61:N69">
    <cfRule type="expression" dxfId="328" priority="1945">
      <formula>IF($P$54="Yes via control factors",TRUE,FALSE)</formula>
    </cfRule>
    <cfRule type="expression" dxfId="327" priority="1946">
      <formula>IF(#REF!="Yes via control factors",TRUE,FALSE)</formula>
    </cfRule>
  </conditionalFormatting>
  <conditionalFormatting sqref="M150:Q150">
    <cfRule type="expression" dxfId="326" priority="3">
      <formula>$M$150&gt;$T$150</formula>
    </cfRule>
    <cfRule type="expression" dxfId="325" priority="4">
      <formula>$M$150&gt;$J$150</formula>
    </cfRule>
    <cfRule type="expression" dxfId="324" priority="5">
      <formula>$M$150&lt;$T$150</formula>
    </cfRule>
    <cfRule type="expression" dxfId="323" priority="6">
      <formula>$M$150&lt;$J$150</formula>
    </cfRule>
  </conditionalFormatting>
  <conditionalFormatting sqref="L28:L59 E28:E59">
    <cfRule type="expression" dxfId="322" priority="2046">
      <formula>$L$27&gt;$F$27</formula>
    </cfRule>
  </conditionalFormatting>
  <conditionalFormatting sqref="K28:K59 H28:H59">
    <cfRule type="expression" dxfId="321" priority="2047">
      <formula>$K$27&gt;$I$27</formula>
    </cfRule>
  </conditionalFormatting>
  <conditionalFormatting sqref="L27 E27">
    <cfRule type="expression" dxfId="320" priority="1">
      <formula>$L$27&gt;$F$27</formula>
    </cfRule>
  </conditionalFormatting>
  <conditionalFormatting sqref="K27 H27">
    <cfRule type="expression" dxfId="319" priority="2">
      <formula>$K$27&gt;$I$27</formula>
    </cfRule>
  </conditionalFormatting>
  <dataValidations count="14">
    <dataValidation type="list" allowBlank="1" showInputMessage="1" showErrorMessage="1" sqref="P19 O114:O116 P9 P11 P13 P15 P17 R10" xr:uid="{00000000-0002-0000-1000-000000000000}">
      <formula1>"Yes,No"</formula1>
    </dataValidation>
    <dataValidation type="list" allowBlank="1" showInputMessage="1" showErrorMessage="1" sqref="B135:B136 B122 B124 B126 B128 B130" xr:uid="{00000000-0002-0000-1000-000001000000}">
      <formula1>Zone</formula1>
    </dataValidation>
    <dataValidation type="list" allowBlank="1" showInputMessage="1" showErrorMessage="1" sqref="F160:G160" xr:uid="{00000000-0002-0000-1000-000002000000}">
      <formula1>"Area,Length"</formula1>
    </dataValidation>
    <dataValidation allowBlank="1" showErrorMessage="1" sqref="H161:H165" xr:uid="{00000000-0002-0000-1000-000003000000}"/>
    <dataValidation type="decimal" operator="greaterThanOrEqual" allowBlank="1" showInputMessage="1" showErrorMessage="1" error="Please enter the value only (without any labels)" sqref="E65:E69 M62:M69" xr:uid="{00000000-0002-0000-1000-000004000000}">
      <formula1>0</formula1>
    </dataValidation>
    <dataValidation type="list" allowBlank="1" showInputMessage="1" showErrorMessage="1" sqref="B65:B69 B114:B116 B85:B90" xr:uid="{00000000-0002-0000-1000-000005000000}">
      <formula1>BuildingIDLookupAlt</formula1>
    </dataValidation>
    <dataValidation type="list" allowBlank="1" showInputMessage="1" showErrorMessage="1" sqref="P65:P69" xr:uid="{00000000-0002-0000-1000-000006000000}">
      <formula1>"N/A, 0%, 5%, 10%, 20%, 25%, 30%"</formula1>
    </dataValidation>
    <dataValidation type="list" allowBlank="1" showErrorMessage="1" sqref="C65:C69" xr:uid="{00000000-0002-0000-1000-000007000000}">
      <formula1>SxSCategories</formula1>
    </dataValidation>
    <dataValidation type="list" allowBlank="1" showInputMessage="1" sqref="L95 P92:P94" xr:uid="{00000000-0002-0000-1000-000008000000}">
      <formula1>"Yes,No"</formula1>
    </dataValidation>
    <dataValidation allowBlank="1" sqref="I85:I90" xr:uid="{00000000-0002-0000-1000-000009000000}"/>
    <dataValidation type="list" allowBlank="1" showInputMessage="1" showErrorMessage="1" sqref="C85:D90" xr:uid="{00000000-0002-0000-1000-00000A000000}">
      <formula1>SelectedSxS</formula1>
    </dataValidation>
    <dataValidation type="list" allowBlank="1" showInputMessage="1" showErrorMessage="1" sqref="B144:E149" xr:uid="{00000000-0002-0000-1000-00000B000000}">
      <formula1>TradableSurfaces</formula1>
    </dataValidation>
    <dataValidation type="list" allowBlank="1" showInputMessage="1" showErrorMessage="1" sqref="P8:R8 P16:R16 P10:Q10 P12:R12 P14:R14 P18:R18 P20:R20" xr:uid="{00000000-0002-0000-1000-00000C000000}">
      <formula1>"Yes,No,N/A"</formula1>
    </dataValidation>
    <dataValidation type="list" allowBlank="1" showInputMessage="1" showErrorMessage="1" sqref="P121:R121 P123:R123 P125:R125 P127:R127 P129:R129" xr:uid="{00000000-0002-0000-1000-00000D000000}">
      <formula1>"Yes,No,NA"</formula1>
    </dataValidation>
  </dataValidations>
  <pageMargins left="0.25" right="0.25" top="0.75" bottom="0.75" header="0.3" footer="0.3"/>
  <pageSetup scale="75" orientation="portrait" verticalDpi="1200" r:id="rId2"/>
  <cellWatches>
    <cellWatch r="K27"/>
    <cellWatch r="K28"/>
    <cellWatch r="K29"/>
  </cellWatches>
  <drawing r:id="rId3"/>
  <legacyDrawing r:id="rId4"/>
  <mc:AlternateContent xmlns:mc="http://schemas.openxmlformats.org/markup-compatibility/2006">
    <mc:Choice Requires="x14">
      <controls>
        <mc:AlternateContent xmlns:mc="http://schemas.openxmlformats.org/markup-compatibility/2006">
          <mc:Choice Requires="x14">
            <control shapeId="5123" r:id="rId5" name="Button 3">
              <controlPr defaultSize="0" print="0" autoFill="0" autoPict="0" macro="[0]!addA">
                <anchor moveWithCells="1">
                  <from>
                    <xdr:col>1</xdr:col>
                    <xdr:colOff>0</xdr:colOff>
                    <xdr:row>40</xdr:row>
                    <xdr:rowOff>0</xdr:rowOff>
                  </from>
                  <to>
                    <xdr:col>2</xdr:col>
                    <xdr:colOff>480060</xdr:colOff>
                    <xdr:row>60</xdr:row>
                    <xdr:rowOff>22860</xdr:rowOff>
                  </to>
                </anchor>
              </controlPr>
            </control>
          </mc:Choice>
        </mc:AlternateContent>
        <mc:AlternateContent xmlns:mc="http://schemas.openxmlformats.org/markup-compatibility/2006">
          <mc:Choice Requires="x14">
            <control shapeId="5152" r:id="rId6" name="Button 32">
              <controlPr defaultSize="0" print="0" autoFill="0" autoPict="0" macro="[0]!addC">
                <anchor moveWithCells="1">
                  <from>
                    <xdr:col>1</xdr:col>
                    <xdr:colOff>22860</xdr:colOff>
                    <xdr:row>150</xdr:row>
                    <xdr:rowOff>114300</xdr:rowOff>
                  </from>
                  <to>
                    <xdr:col>2</xdr:col>
                    <xdr:colOff>510540</xdr:colOff>
                    <xdr:row>150</xdr:row>
                    <xdr:rowOff>403860</xdr:rowOff>
                  </to>
                </anchor>
              </controlPr>
            </control>
          </mc:Choice>
        </mc:AlternateContent>
        <mc:AlternateContent xmlns:mc="http://schemas.openxmlformats.org/markup-compatibility/2006">
          <mc:Choice Requires="x14">
            <control shapeId="5374" r:id="rId7" name="Button 254">
              <controlPr defaultSize="0" print="0" autoFill="0" autoPict="0" macro="[0]!DeleteSome">
                <anchor moveWithCells="1">
                  <from>
                    <xdr:col>2</xdr:col>
                    <xdr:colOff>594360</xdr:colOff>
                    <xdr:row>150</xdr:row>
                    <xdr:rowOff>129540</xdr:rowOff>
                  </from>
                  <to>
                    <xdr:col>4</xdr:col>
                    <xdr:colOff>137160</xdr:colOff>
                    <xdr:row>150</xdr:row>
                    <xdr:rowOff>403860</xdr:rowOff>
                  </to>
                </anchor>
              </controlPr>
            </control>
          </mc:Choice>
        </mc:AlternateContent>
        <mc:AlternateContent xmlns:mc="http://schemas.openxmlformats.org/markup-compatibility/2006">
          <mc:Choice Requires="x14">
            <control shapeId="5375" r:id="rId8" name="Button 255">
              <controlPr defaultSize="0" print="0" autoFill="0" autoPict="0" macro="[0]!DeleteSome">
                <anchor moveWithCells="1">
                  <from>
                    <xdr:col>2</xdr:col>
                    <xdr:colOff>495300</xdr:colOff>
                    <xdr:row>40</xdr:row>
                    <xdr:rowOff>0</xdr:rowOff>
                  </from>
                  <to>
                    <xdr:col>4</xdr:col>
                    <xdr:colOff>53340</xdr:colOff>
                    <xdr:row>60</xdr:row>
                    <xdr:rowOff>22860</xdr:rowOff>
                  </to>
                </anchor>
              </controlPr>
            </control>
          </mc:Choice>
        </mc:AlternateContent>
        <mc:AlternateContent xmlns:mc="http://schemas.openxmlformats.org/markup-compatibility/2006">
          <mc:Choice Requires="x14">
            <control shapeId="5376" r:id="rId9" name="Button 256">
              <controlPr defaultSize="0" print="0" autoFill="0" autoPict="0" macro="[0]!DeleteSome">
                <anchor moveWithCells="1">
                  <from>
                    <xdr:col>2</xdr:col>
                    <xdr:colOff>495300</xdr:colOff>
                    <xdr:row>40</xdr:row>
                    <xdr:rowOff>0</xdr:rowOff>
                  </from>
                  <to>
                    <xdr:col>4</xdr:col>
                    <xdr:colOff>53340</xdr:colOff>
                    <xdr:row>60</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000-00000E000000}">
          <x14:formula1>
            <xm:f>'Lighting Assumptions'!$L$4:$L$17</xm:f>
          </x14:formula1>
          <xm:sqref>B144:E144</xm:sqref>
        </x14:dataValidation>
        <x14:dataValidation type="list" allowBlank="1" showInputMessage="1" showErrorMessage="1" xr:uid="{00000000-0002-0000-1000-00000F000000}">
          <x14:formula1>
            <xm:f>DropdownData!$AH$2:$AH$6</xm:f>
          </x14:formula1>
          <xm:sqref>P131:R131</xm:sqref>
        </x14:dataValidation>
        <x14:dataValidation type="list" allowBlank="1" showInputMessage="1" showErrorMessage="1" xr:uid="{00000000-0002-0000-1000-000010000000}">
          <x14:formula1>
            <xm:f>'C:\Users\ebsko\Dropbox (Karpman Consulting)\P4P\NC 2016 Program Development\LEED Templates Master\old\[v4_Minimum Energy Performance Calculator_01_28_2016_Fix_Unlocked - UPDATE 6-15-16.xlsm]Lighting Assumptions'!#REF!</xm:f>
          </x14:formula1>
          <xm:sqref>B145:E149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theme="5" tint="0.39997558519241921"/>
  </sheetPr>
  <dimension ref="A1:O550"/>
  <sheetViews>
    <sheetView topLeftCell="A85" workbookViewId="0">
      <selection activeCell="H105" sqref="H105"/>
    </sheetView>
  </sheetViews>
  <sheetFormatPr defaultColWidth="8.69921875" defaultRowHeight="13.2" x14ac:dyDescent="0.25"/>
  <cols>
    <col min="1" max="1" width="8.69921875" style="184" customWidth="1"/>
    <col min="2" max="2" width="29.796875" style="184" customWidth="1"/>
    <col min="3" max="3" width="32" style="184" customWidth="1"/>
    <col min="4" max="4" width="24.69921875" style="184" customWidth="1"/>
    <col min="5" max="5" width="10.69921875" style="184" customWidth="1"/>
    <col min="6" max="6" width="13" style="184" customWidth="1"/>
    <col min="7" max="7" width="35.796875" style="184" customWidth="1"/>
    <col min="8" max="10" width="10.69921875" style="184" customWidth="1"/>
    <col min="11" max="11" width="5.296875" style="184" customWidth="1"/>
    <col min="12" max="12" width="44.69921875" style="184" customWidth="1"/>
    <col min="13" max="13" width="8.69921875" style="184"/>
    <col min="14" max="14" width="11.69921875" style="184" customWidth="1"/>
    <col min="15" max="15" width="9.296875" style="184" customWidth="1"/>
    <col min="16" max="16384" width="8.69921875" style="184"/>
  </cols>
  <sheetData>
    <row r="1" spans="1:15" ht="93" customHeight="1" x14ac:dyDescent="0.25">
      <c r="A1" s="42"/>
      <c r="B1" s="42"/>
      <c r="C1" s="42"/>
      <c r="D1" s="3671" t="s">
        <v>77</v>
      </c>
      <c r="E1" s="3533" t="s">
        <v>1868</v>
      </c>
      <c r="F1" s="3534"/>
      <c r="G1" s="3538" t="s">
        <v>78</v>
      </c>
      <c r="H1" s="3533" t="s">
        <v>1869</v>
      </c>
      <c r="I1" s="3533"/>
      <c r="J1" s="985" t="s">
        <v>1866</v>
      </c>
      <c r="K1" s="32"/>
      <c r="L1" s="3668" t="s">
        <v>94</v>
      </c>
      <c r="M1" s="3539" t="s">
        <v>96</v>
      </c>
      <c r="N1" s="986" t="s">
        <v>1808</v>
      </c>
      <c r="O1" s="986" t="s">
        <v>1809</v>
      </c>
    </row>
    <row r="2" spans="1:15" ht="24" customHeight="1" x14ac:dyDescent="0.25">
      <c r="D2" s="3672"/>
      <c r="E2" s="984" t="s">
        <v>808</v>
      </c>
      <c r="F2" s="128" t="s">
        <v>809</v>
      </c>
      <c r="G2" s="3673"/>
      <c r="H2" s="984" t="s">
        <v>808</v>
      </c>
      <c r="I2" s="984" t="s">
        <v>809</v>
      </c>
      <c r="J2" s="985" t="s">
        <v>1867</v>
      </c>
      <c r="K2" s="32"/>
      <c r="L2" s="3669"/>
      <c r="M2" s="3670"/>
      <c r="N2" s="133" t="s">
        <v>707</v>
      </c>
      <c r="O2" s="671" t="s">
        <v>708</v>
      </c>
    </row>
    <row r="3" spans="1:15" s="181" customFormat="1" ht="47.25" customHeight="1" x14ac:dyDescent="0.25">
      <c r="A3" s="42">
        <v>1</v>
      </c>
      <c r="B3" s="42" t="str">
        <f>IF('6a - Lighting Counts'!G29="","",'6a - Lighting Counts'!G29)</f>
        <v/>
      </c>
      <c r="C3" s="42" t="str">
        <f>IFERROR(VLOOKUP(ROW()-2,$A$3:$B$550,2,FALSE),"")</f>
        <v/>
      </c>
      <c r="D3" s="1052" t="s">
        <v>47</v>
      </c>
      <c r="E3" s="1053">
        <v>0.9</v>
      </c>
      <c r="F3" s="1054">
        <f>E3*10.7639</f>
        <v>9.6875099999999996</v>
      </c>
      <c r="G3" s="1055" t="s">
        <v>1704</v>
      </c>
      <c r="H3" s="1054">
        <v>0.9</v>
      </c>
      <c r="I3" s="1054">
        <f>H3*10.7639</f>
        <v>9.6875099999999996</v>
      </c>
      <c r="J3" s="1054">
        <v>0.1</v>
      </c>
      <c r="K3" s="1075"/>
      <c r="L3" s="1056"/>
      <c r="M3" s="1057"/>
      <c r="N3" s="1056" t="str">
        <f>N1&amp;" "&amp;N2</f>
        <v>W/sf or W/linear foot IP</v>
      </c>
      <c r="O3" s="1058" t="str">
        <f>O1&amp;" "&amp;O2</f>
        <v>W/sm or W/linear meter SI</v>
      </c>
    </row>
    <row r="4" spans="1:15" s="181" customFormat="1" ht="15" customHeight="1" x14ac:dyDescent="0.25">
      <c r="A4" s="42">
        <f>IF(COUNTIF($B$3:B4,B4)=1,A3+1,A3)</f>
        <v>1</v>
      </c>
      <c r="B4" s="42" t="str">
        <f>IF('6a - Lighting Counts'!G30="","",'6a - Lighting Counts'!G30)</f>
        <v/>
      </c>
      <c r="C4" s="42" t="str">
        <f t="shared" ref="C4:C67" si="0">IFERROR(VLOOKUP(ROW()-2,$A$3:$B$550,2,FALSE),"")</f>
        <v/>
      </c>
      <c r="D4" s="1059" t="s">
        <v>48</v>
      </c>
      <c r="E4" s="1060">
        <v>1.2</v>
      </c>
      <c r="F4" s="1054">
        <f t="shared" ref="F4:F35" si="1">E4*10.7639</f>
        <v>12.916679999999999</v>
      </c>
      <c r="G4" s="1055" t="s">
        <v>1705</v>
      </c>
      <c r="H4" s="1054">
        <v>0.7</v>
      </c>
      <c r="I4" s="1054">
        <f t="shared" ref="I4:I67" si="2">H4*10.7639</f>
        <v>7.5347299999999988</v>
      </c>
      <c r="J4" s="1054">
        <v>0.1</v>
      </c>
      <c r="K4" s="171"/>
      <c r="L4" s="1061" t="s">
        <v>1810</v>
      </c>
      <c r="M4" s="1062" t="s">
        <v>91</v>
      </c>
      <c r="N4" s="1063">
        <v>0.15</v>
      </c>
      <c r="O4" s="1059">
        <v>1.6</v>
      </c>
    </row>
    <row r="5" spans="1:15" s="181" customFormat="1" ht="15" customHeight="1" x14ac:dyDescent="0.25">
      <c r="A5" s="42">
        <f>IF(COUNTIF($B$3:B5,B5)=1,A4+1,A4)</f>
        <v>1</v>
      </c>
      <c r="B5" s="42" t="str">
        <f>IF('6a - Lighting Counts'!G31="","",'6a - Lighting Counts'!G31)</f>
        <v/>
      </c>
      <c r="C5" s="42" t="str">
        <f t="shared" si="0"/>
        <v/>
      </c>
      <c r="D5" s="1059" t="s">
        <v>49</v>
      </c>
      <c r="E5" s="1060">
        <v>1.2</v>
      </c>
      <c r="F5" s="1054">
        <f t="shared" si="1"/>
        <v>12.916679999999999</v>
      </c>
      <c r="G5" s="1055" t="s">
        <v>1706</v>
      </c>
      <c r="H5" s="1054">
        <v>0.4</v>
      </c>
      <c r="I5" s="1054">
        <f t="shared" si="2"/>
        <v>4.3055599999999998</v>
      </c>
      <c r="J5" s="1054">
        <v>0.1</v>
      </c>
      <c r="K5" s="171"/>
      <c r="L5" s="1059" t="s">
        <v>79</v>
      </c>
      <c r="M5" s="1064" t="s">
        <v>92</v>
      </c>
      <c r="N5" s="1065">
        <v>1</v>
      </c>
      <c r="O5" s="1059">
        <v>3.3</v>
      </c>
    </row>
    <row r="6" spans="1:15" s="181" customFormat="1" ht="15" customHeight="1" x14ac:dyDescent="0.25">
      <c r="A6" s="42">
        <f>IF(COUNTIF($B$3:B6,B6)=1,A5+1,A5)</f>
        <v>1</v>
      </c>
      <c r="B6" s="42" t="str">
        <f>IF('6a - Lighting Counts'!G32="","",'6a - Lighting Counts'!G32)</f>
        <v/>
      </c>
      <c r="C6" s="42" t="str">
        <f t="shared" si="0"/>
        <v/>
      </c>
      <c r="D6" s="1059" t="s">
        <v>50</v>
      </c>
      <c r="E6" s="1060">
        <v>1.3</v>
      </c>
      <c r="F6" s="1054">
        <f t="shared" si="1"/>
        <v>13.993069999999999</v>
      </c>
      <c r="G6" s="1055" t="s">
        <v>1707</v>
      </c>
      <c r="H6" s="1054">
        <v>1.2</v>
      </c>
      <c r="I6" s="1054">
        <f t="shared" si="2"/>
        <v>12.916679999999999</v>
      </c>
      <c r="J6" s="1054">
        <v>0.1</v>
      </c>
      <c r="K6" s="171"/>
      <c r="L6" s="1059" t="s">
        <v>80</v>
      </c>
      <c r="M6" s="1064" t="s">
        <v>91</v>
      </c>
      <c r="N6" s="2525">
        <v>1</v>
      </c>
      <c r="O6" s="1059">
        <v>3.3</v>
      </c>
    </row>
    <row r="7" spans="1:15" s="181" customFormat="1" ht="15" customHeight="1" x14ac:dyDescent="0.25">
      <c r="A7" s="42">
        <f>IF(COUNTIF($B$3:B7,B7)=1,A6+1,A6)</f>
        <v>1</v>
      </c>
      <c r="B7" s="42" t="str">
        <f>IF('6a - Lighting Counts'!G33="","",'6a - Lighting Counts'!G33)</f>
        <v/>
      </c>
      <c r="C7" s="42" t="str">
        <f t="shared" si="0"/>
        <v/>
      </c>
      <c r="D7" s="1059" t="s">
        <v>51</v>
      </c>
      <c r="E7" s="1060">
        <v>1.4</v>
      </c>
      <c r="F7" s="1054">
        <f t="shared" si="1"/>
        <v>15.069459999999998</v>
      </c>
      <c r="G7" s="1055" t="s">
        <v>1708</v>
      </c>
      <c r="H7" s="1054">
        <v>0.7</v>
      </c>
      <c r="I7" s="1054">
        <f t="shared" si="2"/>
        <v>7.5347299999999988</v>
      </c>
      <c r="J7" s="1054">
        <v>0.1</v>
      </c>
      <c r="K7" s="171"/>
      <c r="L7" s="1059" t="s">
        <v>81</v>
      </c>
      <c r="M7" s="1064" t="s">
        <v>91</v>
      </c>
      <c r="N7" s="1065">
        <v>0.2</v>
      </c>
      <c r="O7" s="1059">
        <v>2.2000000000000002</v>
      </c>
    </row>
    <row r="8" spans="1:15" s="181" customFormat="1" ht="15" customHeight="1" x14ac:dyDescent="0.25">
      <c r="A8" s="42">
        <f>IF(COUNTIF($B$3:B8,B8)=1,A7+1,A7)</f>
        <v>1</v>
      </c>
      <c r="B8" s="42" t="str">
        <f>IF('6a - Lighting Counts'!G34="","",'6a - Lighting Counts'!G34)</f>
        <v/>
      </c>
      <c r="C8" s="42" t="str">
        <f t="shared" si="0"/>
        <v/>
      </c>
      <c r="D8" s="1059" t="s">
        <v>52</v>
      </c>
      <c r="E8" s="1060">
        <v>1.6</v>
      </c>
      <c r="F8" s="1054">
        <f t="shared" si="1"/>
        <v>17.222239999999999</v>
      </c>
      <c r="G8" s="1055" t="s">
        <v>1709</v>
      </c>
      <c r="H8" s="1054">
        <v>2.6</v>
      </c>
      <c r="I8" s="1054">
        <f t="shared" si="2"/>
        <v>27.986139999999999</v>
      </c>
      <c r="J8" s="1054">
        <v>0.1</v>
      </c>
      <c r="K8" s="171"/>
      <c r="L8" s="1059" t="s">
        <v>82</v>
      </c>
      <c r="M8" s="1064" t="s">
        <v>91</v>
      </c>
      <c r="N8" s="1065">
        <v>0.2</v>
      </c>
      <c r="O8" s="1059">
        <v>2.2000000000000002</v>
      </c>
    </row>
    <row r="9" spans="1:15" s="181" customFormat="1" ht="15" customHeight="1" x14ac:dyDescent="0.25">
      <c r="A9" s="42">
        <f>IF(COUNTIF($B$3:B9,B9)=1,A8+1,A8)</f>
        <v>1</v>
      </c>
      <c r="B9" s="42" t="str">
        <f>IF('6a - Lighting Counts'!G35="","",'6a - Lighting Counts'!G35)</f>
        <v/>
      </c>
      <c r="C9" s="42" t="str">
        <f t="shared" si="0"/>
        <v/>
      </c>
      <c r="D9" s="1059" t="s">
        <v>53</v>
      </c>
      <c r="E9" s="1060">
        <v>1</v>
      </c>
      <c r="F9" s="1054">
        <f t="shared" si="1"/>
        <v>10.7639</v>
      </c>
      <c r="G9" s="1055" t="s">
        <v>1710</v>
      </c>
      <c r="H9" s="1054">
        <v>1.7</v>
      </c>
      <c r="I9" s="1054">
        <f t="shared" si="2"/>
        <v>18.298629999999999</v>
      </c>
      <c r="J9" s="1054">
        <v>0.1</v>
      </c>
      <c r="K9" s="171"/>
      <c r="L9" s="1059" t="s">
        <v>83</v>
      </c>
      <c r="M9" s="1064" t="s">
        <v>91</v>
      </c>
      <c r="N9" s="1065">
        <v>1</v>
      </c>
      <c r="O9" s="1059">
        <v>10.8</v>
      </c>
    </row>
    <row r="10" spans="1:15" s="181" customFormat="1" ht="15" customHeight="1" x14ac:dyDescent="0.25">
      <c r="A10" s="42">
        <f>IF(COUNTIF($B$3:B10,B10)=1,A9+1,A9)</f>
        <v>1</v>
      </c>
      <c r="B10" s="42" t="str">
        <f>IF('6a - Lighting Counts'!G36="","",'6a - Lighting Counts'!G36)</f>
        <v/>
      </c>
      <c r="C10" s="42" t="str">
        <f t="shared" si="0"/>
        <v/>
      </c>
      <c r="D10" s="1059" t="s">
        <v>54</v>
      </c>
      <c r="E10" s="1060">
        <v>1</v>
      </c>
      <c r="F10" s="1054">
        <f t="shared" si="1"/>
        <v>10.7639</v>
      </c>
      <c r="G10" s="1055" t="s">
        <v>1711</v>
      </c>
      <c r="H10" s="1054">
        <v>0.4</v>
      </c>
      <c r="I10" s="1054">
        <f t="shared" si="2"/>
        <v>4.3055599999999998</v>
      </c>
      <c r="J10" s="1054">
        <v>0.1</v>
      </c>
      <c r="K10" s="171"/>
      <c r="L10" s="1059" t="s">
        <v>84</v>
      </c>
      <c r="M10" s="1064" t="s">
        <v>92</v>
      </c>
      <c r="N10" s="1065">
        <v>30</v>
      </c>
      <c r="O10" s="1059">
        <v>98</v>
      </c>
    </row>
    <row r="11" spans="1:15" s="181" customFormat="1" ht="15" customHeight="1" x14ac:dyDescent="0.25">
      <c r="A11" s="42">
        <f>IF(COUNTIF($B$3:B11,B11)=1,A10+1,A10)</f>
        <v>1</v>
      </c>
      <c r="B11" s="42" t="str">
        <f>IF('6a - Lighting Counts'!G37="","",'6a - Lighting Counts'!G37)</f>
        <v/>
      </c>
      <c r="C11" s="42" t="str">
        <f t="shared" si="0"/>
        <v/>
      </c>
      <c r="D11" s="1059" t="s">
        <v>232</v>
      </c>
      <c r="E11" s="1060">
        <v>1</v>
      </c>
      <c r="F11" s="1054">
        <f t="shared" si="1"/>
        <v>10.7639</v>
      </c>
      <c r="G11" s="1055" t="s">
        <v>1712</v>
      </c>
      <c r="H11" s="1054">
        <v>0.5</v>
      </c>
      <c r="I11" s="1054">
        <f t="shared" si="2"/>
        <v>5.3819499999999998</v>
      </c>
      <c r="J11" s="1054">
        <v>0.1</v>
      </c>
      <c r="K11" s="171"/>
      <c r="L11" s="1059" t="s">
        <v>85</v>
      </c>
      <c r="M11" s="1064" t="s">
        <v>92</v>
      </c>
      <c r="N11" s="1065">
        <v>20</v>
      </c>
      <c r="O11" s="1059">
        <v>66</v>
      </c>
    </row>
    <row r="12" spans="1:15" s="181" customFormat="1" ht="15" customHeight="1" x14ac:dyDescent="0.25">
      <c r="A12" s="42">
        <f>IF(COUNTIF($B$3:B12,B12)=1,A11+1,A11)</f>
        <v>1</v>
      </c>
      <c r="B12" s="42" t="str">
        <f>IF('6a - Lighting Counts'!G38="","",'6a - Lighting Counts'!G38)</f>
        <v/>
      </c>
      <c r="C12" s="42" t="str">
        <f t="shared" si="0"/>
        <v/>
      </c>
      <c r="D12" s="1059" t="s">
        <v>55</v>
      </c>
      <c r="E12" s="1060">
        <v>1.1000000000000001</v>
      </c>
      <c r="F12" s="1054">
        <f t="shared" si="1"/>
        <v>11.840290000000001</v>
      </c>
      <c r="G12" s="1055" t="s">
        <v>1713</v>
      </c>
      <c r="H12" s="1054">
        <v>0.9</v>
      </c>
      <c r="I12" s="1054">
        <f t="shared" si="2"/>
        <v>9.6875099999999996</v>
      </c>
      <c r="J12" s="1054">
        <v>0.1</v>
      </c>
      <c r="K12" s="171"/>
      <c r="L12" s="1059" t="s">
        <v>1811</v>
      </c>
      <c r="M12" s="1064" t="s">
        <v>91</v>
      </c>
      <c r="N12" s="1065">
        <v>1.25</v>
      </c>
      <c r="O12" s="1059">
        <v>13.5</v>
      </c>
    </row>
    <row r="13" spans="1:15" s="181" customFormat="1" ht="15" customHeight="1" x14ac:dyDescent="0.25">
      <c r="A13" s="42">
        <f>IF(COUNTIF($B$3:B13,B13)=1,A12+1,A12)</f>
        <v>1</v>
      </c>
      <c r="B13" s="42" t="str">
        <f>IF('6a - Lighting Counts'!G39="","",'6a - Lighting Counts'!G39)</f>
        <v/>
      </c>
      <c r="C13" s="42" t="str">
        <f t="shared" si="0"/>
        <v/>
      </c>
      <c r="D13" s="1059" t="s">
        <v>56</v>
      </c>
      <c r="E13" s="1060">
        <v>1</v>
      </c>
      <c r="F13" s="1054">
        <f t="shared" si="1"/>
        <v>10.7639</v>
      </c>
      <c r="G13" s="1055" t="s">
        <v>1714</v>
      </c>
      <c r="H13" s="1066" t="s">
        <v>1715</v>
      </c>
      <c r="I13" s="1066" t="s">
        <v>1715</v>
      </c>
      <c r="J13" s="1054">
        <v>0.1</v>
      </c>
      <c r="K13" s="171"/>
      <c r="L13" s="1059" t="s">
        <v>1812</v>
      </c>
      <c r="M13" s="1064" t="s">
        <v>91</v>
      </c>
      <c r="N13" s="1065">
        <v>0.5</v>
      </c>
      <c r="O13" s="1059">
        <v>5.4</v>
      </c>
    </row>
    <row r="14" spans="1:15" s="181" customFormat="1" ht="15" customHeight="1" x14ac:dyDescent="0.25">
      <c r="A14" s="42">
        <f>IF(COUNTIF($B$3:B14,B14)=1,A13+1,A13)</f>
        <v>1</v>
      </c>
      <c r="B14" s="42" t="str">
        <f>IF('6a - Lighting Counts'!G40="","",'6a - Lighting Counts'!G40)</f>
        <v/>
      </c>
      <c r="C14" s="42" t="str">
        <f t="shared" si="0"/>
        <v/>
      </c>
      <c r="D14" s="1059" t="s">
        <v>57</v>
      </c>
      <c r="E14" s="1060">
        <v>1.2</v>
      </c>
      <c r="F14" s="1054">
        <f t="shared" si="1"/>
        <v>12.916679999999999</v>
      </c>
      <c r="G14" s="1055" t="s">
        <v>1716</v>
      </c>
      <c r="H14" s="1066" t="s">
        <v>1715</v>
      </c>
      <c r="I14" s="1066" t="s">
        <v>1715</v>
      </c>
      <c r="J14" s="1054">
        <v>0.1</v>
      </c>
      <c r="K14" s="171"/>
      <c r="L14" s="1059" t="s">
        <v>1813</v>
      </c>
      <c r="M14" s="1064" t="s">
        <v>92</v>
      </c>
      <c r="N14" s="1065">
        <v>20</v>
      </c>
      <c r="O14" s="1059">
        <v>66</v>
      </c>
    </row>
    <row r="15" spans="1:15" s="181" customFormat="1" ht="15" customHeight="1" x14ac:dyDescent="0.25">
      <c r="A15" s="42">
        <f>IF(COUNTIF($B$3:B15,B15)=1,A14+1,A14)</f>
        <v>1</v>
      </c>
      <c r="B15" s="42" t="str">
        <f>IF('6a - Lighting Counts'!G41="","",'6a - Lighting Counts'!G41)</f>
        <v/>
      </c>
      <c r="C15" s="42" t="str">
        <f t="shared" si="0"/>
        <v/>
      </c>
      <c r="D15" s="1059" t="s">
        <v>1645</v>
      </c>
      <c r="E15" s="1060">
        <v>1.0900000000000001</v>
      </c>
      <c r="F15" s="1054">
        <f t="shared" si="1"/>
        <v>11.732651000000001</v>
      </c>
      <c r="G15" s="1055" t="s">
        <v>1717</v>
      </c>
      <c r="H15" s="1054">
        <v>1.5</v>
      </c>
      <c r="I15" s="1054">
        <f t="shared" si="2"/>
        <v>16.145849999999999</v>
      </c>
      <c r="J15" s="1054">
        <v>0.1</v>
      </c>
      <c r="K15" s="171"/>
    </row>
    <row r="16" spans="1:15" s="181" customFormat="1" ht="15" customHeight="1" x14ac:dyDescent="0.25">
      <c r="A16" s="42">
        <f>IF(COUNTIF($B$3:B16,B16)=1,A15+1,A15)</f>
        <v>1</v>
      </c>
      <c r="B16" s="42" t="str">
        <f>IF('6a - Lighting Counts'!G42="","",'6a - Lighting Counts'!G42)</f>
        <v/>
      </c>
      <c r="C16" s="42" t="str">
        <f t="shared" si="0"/>
        <v/>
      </c>
      <c r="D16" s="1059" t="s">
        <v>58</v>
      </c>
      <c r="E16" s="1060">
        <v>1.3</v>
      </c>
      <c r="F16" s="1054">
        <f t="shared" si="1"/>
        <v>13.993069999999999</v>
      </c>
      <c r="G16" s="1055" t="s">
        <v>1718</v>
      </c>
      <c r="H16" s="1054">
        <v>1.3</v>
      </c>
      <c r="I16" s="1054">
        <f t="shared" si="2"/>
        <v>13.993069999999999</v>
      </c>
      <c r="J16" s="1054">
        <v>0</v>
      </c>
      <c r="K16" s="171"/>
      <c r="L16" s="1059" t="s">
        <v>1814</v>
      </c>
      <c r="N16" s="1063">
        <f>N4</f>
        <v>0.15</v>
      </c>
    </row>
    <row r="17" spans="1:15" s="181" customFormat="1" ht="15" customHeight="1" x14ac:dyDescent="0.25">
      <c r="A17" s="42">
        <f>IF(COUNTIF($B$3:B17,B17)=1,A16+1,A16)</f>
        <v>1</v>
      </c>
      <c r="B17" s="42" t="str">
        <f>IF('6a - Lighting Counts'!G43="","",'6a - Lighting Counts'!G43)</f>
        <v/>
      </c>
      <c r="C17" s="42" t="str">
        <f t="shared" si="0"/>
        <v/>
      </c>
      <c r="D17" s="1059" t="s">
        <v>59</v>
      </c>
      <c r="E17" s="1060">
        <v>1.17</v>
      </c>
      <c r="F17" s="1054">
        <f t="shared" si="1"/>
        <v>12.593762999999999</v>
      </c>
      <c r="G17" s="1055" t="s">
        <v>1719</v>
      </c>
      <c r="H17" s="1054">
        <v>1.4</v>
      </c>
      <c r="I17" s="1054">
        <f t="shared" si="2"/>
        <v>15.069459999999998</v>
      </c>
      <c r="J17" s="1054">
        <v>0.3</v>
      </c>
      <c r="K17" s="171"/>
      <c r="L17" s="1059" t="s">
        <v>1815</v>
      </c>
      <c r="N17" s="1063">
        <f t="shared" ref="N17:N26" si="3">N5</f>
        <v>1</v>
      </c>
    </row>
    <row r="18" spans="1:15" s="181" customFormat="1" ht="15" customHeight="1" x14ac:dyDescent="0.25">
      <c r="A18" s="42">
        <f>IF(COUNTIF($B$3:B18,B18)=1,A17+1,A17)</f>
        <v>1</v>
      </c>
      <c r="B18" s="42" t="str">
        <f>IF('6a - Lighting Counts'!G44="","",'6a - Lighting Counts'!G44)</f>
        <v/>
      </c>
      <c r="C18" s="42" t="str">
        <f t="shared" si="0"/>
        <v/>
      </c>
      <c r="D18" s="1059" t="s">
        <v>60</v>
      </c>
      <c r="E18" s="1060">
        <v>1.2</v>
      </c>
      <c r="F18" s="1054">
        <f t="shared" si="1"/>
        <v>12.916679999999999</v>
      </c>
      <c r="G18" s="1055" t="s">
        <v>1720</v>
      </c>
      <c r="H18" s="1054">
        <v>1.3</v>
      </c>
      <c r="I18" s="1054">
        <f t="shared" si="2"/>
        <v>13.993069999999999</v>
      </c>
      <c r="J18" s="1054">
        <v>0</v>
      </c>
      <c r="K18" s="171"/>
      <c r="L18" s="1059" t="s">
        <v>1816</v>
      </c>
      <c r="N18" s="2526">
        <f t="shared" si="3"/>
        <v>1</v>
      </c>
      <c r="O18" s="129"/>
    </row>
    <row r="19" spans="1:15" s="181" customFormat="1" ht="15" customHeight="1" x14ac:dyDescent="0.25">
      <c r="A19" s="42">
        <f>IF(COUNTIF($B$3:B19,B19)=1,A18+1,A18)</f>
        <v>1</v>
      </c>
      <c r="B19" s="42" t="str">
        <f>IF('6a - Lighting Counts'!G45="","",'6a - Lighting Counts'!G45)</f>
        <v/>
      </c>
      <c r="C19" s="42" t="str">
        <f t="shared" si="0"/>
        <v/>
      </c>
      <c r="D19" s="1059" t="s">
        <v>61</v>
      </c>
      <c r="E19" s="1060">
        <v>0.7</v>
      </c>
      <c r="F19" s="1054">
        <f t="shared" si="1"/>
        <v>7.5347299999999988</v>
      </c>
      <c r="G19" s="1055" t="s">
        <v>1721</v>
      </c>
      <c r="H19" s="1054">
        <v>0.9</v>
      </c>
      <c r="I19" s="1054">
        <f t="shared" si="2"/>
        <v>9.6875099999999996</v>
      </c>
      <c r="J19" s="1054">
        <v>0</v>
      </c>
      <c r="K19" s="171"/>
      <c r="L19" s="1059" t="s">
        <v>1817</v>
      </c>
      <c r="N19" s="1063">
        <f t="shared" si="3"/>
        <v>0.2</v>
      </c>
      <c r="O19" s="129"/>
    </row>
    <row r="20" spans="1:15" s="181" customFormat="1" ht="15" customHeight="1" x14ac:dyDescent="0.25">
      <c r="A20" s="42">
        <f>IF(COUNTIF($B$3:B20,B20)=1,A19+1,A19)</f>
        <v>1</v>
      </c>
      <c r="B20" s="42" t="str">
        <f>IF('6a - Lighting Counts'!G46="","",'6a - Lighting Counts'!G46)</f>
        <v/>
      </c>
      <c r="C20" s="42" t="str">
        <f t="shared" si="0"/>
        <v/>
      </c>
      <c r="D20" s="1059" t="s">
        <v>62</v>
      </c>
      <c r="E20" s="1060">
        <v>1.1000000000000001</v>
      </c>
      <c r="F20" s="1054">
        <f t="shared" si="1"/>
        <v>11.840290000000001</v>
      </c>
      <c r="G20" s="1055" t="s">
        <v>1722</v>
      </c>
      <c r="H20" s="1054">
        <v>0.9</v>
      </c>
      <c r="I20" s="1054">
        <f t="shared" si="2"/>
        <v>9.6875099999999996</v>
      </c>
      <c r="J20" s="1054">
        <v>0.1</v>
      </c>
      <c r="K20" s="171"/>
      <c r="L20" s="1059" t="s">
        <v>1818</v>
      </c>
      <c r="N20" s="1063">
        <f t="shared" si="3"/>
        <v>0.2</v>
      </c>
    </row>
    <row r="21" spans="1:15" s="181" customFormat="1" ht="15" customHeight="1" x14ac:dyDescent="0.25">
      <c r="A21" s="42">
        <f>IF(COUNTIF($B$3:B21,B21)=1,A20+1,A20)</f>
        <v>1</v>
      </c>
      <c r="B21" s="42" t="str">
        <f>IF('6a - Lighting Counts'!G47="","",'6a - Lighting Counts'!G47)</f>
        <v/>
      </c>
      <c r="C21" s="42" t="str">
        <f t="shared" si="0"/>
        <v/>
      </c>
      <c r="D21" s="1059" t="s">
        <v>63</v>
      </c>
      <c r="E21" s="1060">
        <v>1</v>
      </c>
      <c r="F21" s="1054">
        <f t="shared" si="1"/>
        <v>10.7639</v>
      </c>
      <c r="G21" s="1055" t="s">
        <v>1723</v>
      </c>
      <c r="H21" s="1054">
        <v>1.1499999999999999</v>
      </c>
      <c r="I21" s="1054">
        <f t="shared" si="2"/>
        <v>12.378484999999998</v>
      </c>
      <c r="J21" s="1054">
        <v>0.25</v>
      </c>
      <c r="K21" s="171"/>
      <c r="L21" s="1059" t="s">
        <v>1819</v>
      </c>
      <c r="N21" s="1063">
        <f t="shared" si="3"/>
        <v>1</v>
      </c>
    </row>
    <row r="22" spans="1:15" s="181" customFormat="1" ht="15" customHeight="1" x14ac:dyDescent="0.25">
      <c r="A22" s="42">
        <f>IF(COUNTIF($B$3:B22,B22)=1,A21+1,A21)</f>
        <v>1</v>
      </c>
      <c r="B22" s="42" t="str">
        <f>IF('6a - Lighting Counts'!G48="","",'6a - Lighting Counts'!G48)</f>
        <v/>
      </c>
      <c r="C22" s="42" t="str">
        <f t="shared" si="0"/>
        <v/>
      </c>
      <c r="D22" s="1059" t="s">
        <v>64</v>
      </c>
      <c r="E22" s="1060">
        <v>0.3</v>
      </c>
      <c r="F22" s="1054">
        <f t="shared" si="1"/>
        <v>3.2291699999999999</v>
      </c>
      <c r="G22" s="1055" t="s">
        <v>1724</v>
      </c>
      <c r="H22" s="1054">
        <v>1</v>
      </c>
      <c r="I22" s="1054">
        <f t="shared" si="2"/>
        <v>10.7639</v>
      </c>
      <c r="J22" s="1054">
        <v>0.25</v>
      </c>
      <c r="K22" s="171"/>
      <c r="L22" s="1059" t="s">
        <v>1820</v>
      </c>
      <c r="N22" s="1063">
        <f t="shared" si="3"/>
        <v>30</v>
      </c>
    </row>
    <row r="23" spans="1:15" s="181" customFormat="1" ht="15" customHeight="1" x14ac:dyDescent="0.25">
      <c r="A23" s="42">
        <f>IF(COUNTIF($B$3:B23,B23)=1,A22+1,A22)</f>
        <v>1</v>
      </c>
      <c r="B23" s="42" t="str">
        <f>IF('6a - Lighting Counts'!G49="","",'6a - Lighting Counts'!G49)</f>
        <v/>
      </c>
      <c r="C23" s="42" t="str">
        <f t="shared" si="0"/>
        <v/>
      </c>
      <c r="D23" s="1059" t="s">
        <v>65</v>
      </c>
      <c r="E23" s="1060">
        <v>1</v>
      </c>
      <c r="F23" s="1054">
        <f t="shared" si="1"/>
        <v>10.7639</v>
      </c>
      <c r="G23" s="1055" t="s">
        <v>1725</v>
      </c>
      <c r="H23" s="1054">
        <v>0.5</v>
      </c>
      <c r="I23" s="1054">
        <f t="shared" si="2"/>
        <v>5.3819499999999998</v>
      </c>
      <c r="J23" s="1054">
        <v>0.25</v>
      </c>
      <c r="K23" s="171"/>
      <c r="L23" s="1059" t="s">
        <v>1821</v>
      </c>
      <c r="N23" s="1063">
        <f t="shared" si="3"/>
        <v>20</v>
      </c>
    </row>
    <row r="24" spans="1:15" s="181" customFormat="1" ht="15" customHeight="1" x14ac:dyDescent="0.25">
      <c r="A24" s="42">
        <f>IF(COUNTIF($B$3:B24,B24)=1,A23+1,A23)</f>
        <v>1</v>
      </c>
      <c r="B24" s="42" t="str">
        <f>IF('6a - Lighting Counts'!G50="","",'6a - Lighting Counts'!G50)</f>
        <v/>
      </c>
      <c r="C24" s="42" t="str">
        <f t="shared" si="0"/>
        <v/>
      </c>
      <c r="D24" s="1059" t="s">
        <v>66</v>
      </c>
      <c r="E24" s="1060">
        <v>1.6</v>
      </c>
      <c r="F24" s="1054">
        <f t="shared" si="1"/>
        <v>17.222239999999999</v>
      </c>
      <c r="G24" s="1055" t="s">
        <v>1726</v>
      </c>
      <c r="H24" s="1054">
        <f>IF(RatingSystemSelection="ENERGY STAR MFHR",0.83,0.5)</f>
        <v>0.5</v>
      </c>
      <c r="I24" s="1054">
        <f t="shared" si="2"/>
        <v>5.3819499999999998</v>
      </c>
      <c r="J24" s="1054">
        <v>0.25</v>
      </c>
      <c r="K24" s="171"/>
      <c r="L24" s="1059" t="s">
        <v>1822</v>
      </c>
      <c r="N24" s="1063">
        <f>N12</f>
        <v>1.25</v>
      </c>
    </row>
    <row r="25" spans="1:15" s="181" customFormat="1" ht="15" customHeight="1" x14ac:dyDescent="0.25">
      <c r="A25" s="42">
        <f>IF(COUNTIF($B$3:B25,B25)=1,A24+1,A24)</f>
        <v>1</v>
      </c>
      <c r="B25" s="42" t="str">
        <f>IF('6a - Lighting Counts'!G51="","",'6a - Lighting Counts'!G51)</f>
        <v/>
      </c>
      <c r="C25" s="42" t="str">
        <f t="shared" si="0"/>
        <v/>
      </c>
      <c r="D25" s="1059" t="s">
        <v>233</v>
      </c>
      <c r="E25" s="1060">
        <v>1</v>
      </c>
      <c r="F25" s="1054">
        <f t="shared" si="1"/>
        <v>10.7639</v>
      </c>
      <c r="G25" s="1055" t="s">
        <v>1727</v>
      </c>
      <c r="H25" s="1054">
        <v>1.9</v>
      </c>
      <c r="I25" s="1054">
        <f t="shared" si="2"/>
        <v>20.451409999999999</v>
      </c>
      <c r="J25" s="1054">
        <v>0.1</v>
      </c>
      <c r="K25" s="171"/>
      <c r="L25" s="1059" t="s">
        <v>1823</v>
      </c>
      <c r="N25" s="1063">
        <f t="shared" si="3"/>
        <v>0.5</v>
      </c>
    </row>
    <row r="26" spans="1:15" s="181" customFormat="1" ht="15" customHeight="1" x14ac:dyDescent="0.25">
      <c r="A26" s="42">
        <f>IF(COUNTIF($B$3:B26,B26)=1,A25+1,A25)</f>
        <v>1</v>
      </c>
      <c r="B26" s="42" t="str">
        <f>IF('6a - Lighting Counts'!G52="","",'6a - Lighting Counts'!G52)</f>
        <v/>
      </c>
      <c r="C26" s="42" t="str">
        <f t="shared" si="0"/>
        <v/>
      </c>
      <c r="D26" s="1059" t="s">
        <v>67</v>
      </c>
      <c r="E26" s="1060">
        <v>1.1000000000000001</v>
      </c>
      <c r="F26" s="1054">
        <f t="shared" si="1"/>
        <v>11.840290000000001</v>
      </c>
      <c r="G26" s="1055" t="s">
        <v>1728</v>
      </c>
      <c r="H26" s="1054">
        <v>2.14</v>
      </c>
      <c r="I26" s="1054">
        <f t="shared" si="2"/>
        <v>23.034746000000002</v>
      </c>
      <c r="J26" s="1054">
        <v>0.35</v>
      </c>
      <c r="K26" s="171"/>
      <c r="L26" s="1059" t="s">
        <v>1824</v>
      </c>
      <c r="N26" s="1063">
        <f t="shared" si="3"/>
        <v>20</v>
      </c>
    </row>
    <row r="27" spans="1:15" s="181" customFormat="1" ht="15" customHeight="1" x14ac:dyDescent="0.25">
      <c r="A27" s="42">
        <f>IF(COUNTIF($B$3:B27,B27)=1,A26+1,A26)</f>
        <v>1</v>
      </c>
      <c r="B27" s="42" t="str">
        <f>IF('6a - Lighting Counts'!G53="","",'6a - Lighting Counts'!G53)</f>
        <v/>
      </c>
      <c r="C27" s="42" t="str">
        <f t="shared" si="0"/>
        <v/>
      </c>
      <c r="D27" s="1059" t="s">
        <v>68</v>
      </c>
      <c r="E27" s="1060">
        <v>1.3</v>
      </c>
      <c r="F27" s="1054">
        <f t="shared" si="1"/>
        <v>13.993069999999999</v>
      </c>
      <c r="G27" s="1055" t="s">
        <v>1729</v>
      </c>
      <c r="H27" s="1054">
        <v>1.3</v>
      </c>
      <c r="I27" s="1054">
        <f t="shared" si="2"/>
        <v>13.993069999999999</v>
      </c>
      <c r="J27" s="1054">
        <v>0.35</v>
      </c>
      <c r="K27" s="171"/>
      <c r="L27" s="1061" t="s">
        <v>1825</v>
      </c>
      <c r="N27" s="2527">
        <f>O4</f>
        <v>1.6</v>
      </c>
    </row>
    <row r="28" spans="1:15" s="181" customFormat="1" ht="15" customHeight="1" x14ac:dyDescent="0.25">
      <c r="A28" s="42">
        <f>IF(COUNTIF($B$3:B28,B28)=1,A27+1,A27)</f>
        <v>1</v>
      </c>
      <c r="B28" s="42" t="str">
        <f>IF('6a - Lighting Counts'!G54="","",'6a - Lighting Counts'!G54)</f>
        <v/>
      </c>
      <c r="C28" s="42" t="str">
        <f t="shared" si="0"/>
        <v/>
      </c>
      <c r="D28" s="1059" t="s">
        <v>69</v>
      </c>
      <c r="E28" s="1060">
        <v>1.5</v>
      </c>
      <c r="F28" s="1054">
        <f t="shared" si="1"/>
        <v>16.145849999999999</v>
      </c>
      <c r="G28" s="1055" t="s">
        <v>1730</v>
      </c>
      <c r="H28" s="1054">
        <v>3.32</v>
      </c>
      <c r="I28" s="1054">
        <f t="shared" si="2"/>
        <v>35.736148</v>
      </c>
      <c r="J28" s="1054">
        <v>0.35</v>
      </c>
      <c r="K28" s="171"/>
      <c r="L28" s="1059" t="s">
        <v>1826</v>
      </c>
      <c r="N28" s="2527">
        <f t="shared" ref="N28:N37" si="4">O5</f>
        <v>3.3</v>
      </c>
    </row>
    <row r="29" spans="1:15" s="181" customFormat="1" ht="15" customHeight="1" x14ac:dyDescent="0.25">
      <c r="A29" s="42">
        <f>IF(COUNTIF($B$3:B29,B29)=1,A28+1,A28)</f>
        <v>1</v>
      </c>
      <c r="B29" s="42" t="str">
        <f>IF('6a - Lighting Counts'!G55="","",'6a - Lighting Counts'!G55)</f>
        <v/>
      </c>
      <c r="C29" s="42" t="str">
        <f t="shared" si="0"/>
        <v/>
      </c>
      <c r="D29" s="1059" t="s">
        <v>70</v>
      </c>
      <c r="E29" s="1060">
        <v>1.2</v>
      </c>
      <c r="F29" s="1054">
        <f t="shared" si="1"/>
        <v>12.916679999999999</v>
      </c>
      <c r="G29" s="1055" t="s">
        <v>1731</v>
      </c>
      <c r="H29" s="1054">
        <v>1.4</v>
      </c>
      <c r="I29" s="1054">
        <f t="shared" si="2"/>
        <v>15.069459999999998</v>
      </c>
      <c r="J29" s="1054">
        <v>0.35</v>
      </c>
      <c r="K29" s="171"/>
      <c r="L29" s="1059" t="s">
        <v>1827</v>
      </c>
      <c r="N29" s="2527">
        <f t="shared" si="4"/>
        <v>3.3</v>
      </c>
    </row>
    <row r="30" spans="1:15" s="181" customFormat="1" ht="15" customHeight="1" x14ac:dyDescent="0.25">
      <c r="A30" s="42">
        <f>IF(COUNTIF($B$3:B30,B30)=1,A29+1,A29)</f>
        <v>1</v>
      </c>
      <c r="B30" s="42" t="str">
        <f>IF('6a - Lighting Counts'!G56="","",'6a - Lighting Counts'!G56)</f>
        <v/>
      </c>
      <c r="C30" s="42" t="str">
        <f t="shared" si="0"/>
        <v/>
      </c>
      <c r="D30" s="1059" t="s">
        <v>71</v>
      </c>
      <c r="E30" s="1060">
        <v>1.1000000000000001</v>
      </c>
      <c r="F30" s="1054">
        <f t="shared" si="1"/>
        <v>11.840290000000001</v>
      </c>
      <c r="G30" s="1055" t="s">
        <v>1732</v>
      </c>
      <c r="H30" s="1054">
        <v>0.9</v>
      </c>
      <c r="I30" s="1054">
        <f t="shared" si="2"/>
        <v>9.6875099999999996</v>
      </c>
      <c r="J30" s="1054">
        <v>0.35</v>
      </c>
      <c r="K30" s="171"/>
      <c r="L30" s="1059" t="s">
        <v>1828</v>
      </c>
      <c r="N30" s="2527">
        <f t="shared" si="4"/>
        <v>2.2000000000000002</v>
      </c>
    </row>
    <row r="31" spans="1:15" s="181" customFormat="1" ht="15" customHeight="1" x14ac:dyDescent="0.25">
      <c r="A31" s="42">
        <f>IF(COUNTIF($B$3:B31,B31)=1,A30+1,A30)</f>
        <v>1</v>
      </c>
      <c r="B31" s="42" t="str">
        <f>IF('6a - Lighting Counts'!G57="","",'6a - Lighting Counts'!G57)</f>
        <v/>
      </c>
      <c r="C31" s="42" t="str">
        <f t="shared" si="0"/>
        <v/>
      </c>
      <c r="D31" s="1059" t="s">
        <v>72</v>
      </c>
      <c r="E31" s="1060">
        <v>1.1000000000000001</v>
      </c>
      <c r="F31" s="1054">
        <f t="shared" si="1"/>
        <v>11.840290000000001</v>
      </c>
      <c r="G31" s="1055" t="s">
        <v>1733</v>
      </c>
      <c r="H31" s="1054">
        <v>2.1</v>
      </c>
      <c r="I31" s="1054">
        <f t="shared" si="2"/>
        <v>22.604189999999999</v>
      </c>
      <c r="J31" s="1054">
        <v>0.35</v>
      </c>
      <c r="K31" s="171"/>
      <c r="L31" s="1059" t="s">
        <v>1829</v>
      </c>
      <c r="N31" s="2527">
        <f t="shared" si="4"/>
        <v>2.2000000000000002</v>
      </c>
    </row>
    <row r="32" spans="1:15" s="181" customFormat="1" ht="15" customHeight="1" x14ac:dyDescent="0.25">
      <c r="A32" s="42">
        <f>IF(COUNTIF($B$3:B32,B32)=1,A31+1,A31)</f>
        <v>1</v>
      </c>
      <c r="B32" s="42" t="str">
        <f>IF('6a - Lighting Counts'!G58="","",'6a - Lighting Counts'!G58)</f>
        <v/>
      </c>
      <c r="C32" s="42" t="str">
        <f t="shared" si="0"/>
        <v/>
      </c>
      <c r="D32" s="1059" t="s">
        <v>73</v>
      </c>
      <c r="E32" s="1060">
        <v>1</v>
      </c>
      <c r="F32" s="1054">
        <f t="shared" si="1"/>
        <v>10.7639</v>
      </c>
      <c r="G32" s="1055" t="s">
        <v>1734</v>
      </c>
      <c r="H32" s="1054">
        <v>0.9</v>
      </c>
      <c r="I32" s="1054">
        <f t="shared" si="2"/>
        <v>9.6875099999999996</v>
      </c>
      <c r="J32" s="1054">
        <v>0.35</v>
      </c>
      <c r="K32" s="171"/>
      <c r="L32" s="1059" t="s">
        <v>1830</v>
      </c>
      <c r="N32" s="2527">
        <f t="shared" si="4"/>
        <v>10.8</v>
      </c>
    </row>
    <row r="33" spans="1:15" s="181" customFormat="1" ht="15" customHeight="1" x14ac:dyDescent="0.25">
      <c r="A33" s="42">
        <f>IF(COUNTIF($B$3:B33,B33)=1,A32+1,A32)</f>
        <v>1</v>
      </c>
      <c r="B33" s="42" t="str">
        <f>IF('6a - Lighting Counts'!G59="","",'6a - Lighting Counts'!G59)</f>
        <v/>
      </c>
      <c r="C33" s="42" t="str">
        <f t="shared" si="0"/>
        <v/>
      </c>
      <c r="D33" s="1059" t="s">
        <v>74</v>
      </c>
      <c r="E33" s="1060">
        <v>0.8</v>
      </c>
      <c r="F33" s="1054">
        <f t="shared" si="1"/>
        <v>8.6111199999999997</v>
      </c>
      <c r="G33" s="1055" t="s">
        <v>1735</v>
      </c>
      <c r="H33" s="1054">
        <v>1.5</v>
      </c>
      <c r="I33" s="1054">
        <f t="shared" si="2"/>
        <v>16.145849999999999</v>
      </c>
      <c r="J33" s="1054">
        <v>0.3</v>
      </c>
      <c r="K33" s="171"/>
      <c r="L33" s="1059" t="s">
        <v>1831</v>
      </c>
      <c r="N33" s="2527">
        <f t="shared" si="4"/>
        <v>98</v>
      </c>
    </row>
    <row r="34" spans="1:15" s="181" customFormat="1" ht="15" customHeight="1" x14ac:dyDescent="0.25">
      <c r="A34" s="42">
        <f>IF(COUNTIF($B$3:B34,B34)=1,A33+1,A33)</f>
        <v>1</v>
      </c>
      <c r="B34" s="42" t="str">
        <f>IF('6a - Lighting Counts'!G60="","",'6a - Lighting Counts'!G60)</f>
        <v/>
      </c>
      <c r="C34" s="42" t="str">
        <f t="shared" si="0"/>
        <v/>
      </c>
      <c r="D34" s="178" t="s">
        <v>75</v>
      </c>
      <c r="E34" s="179">
        <v>1.4</v>
      </c>
      <c r="F34" s="1054">
        <f t="shared" si="1"/>
        <v>15.069459999999998</v>
      </c>
      <c r="G34" s="1055" t="s">
        <v>1736</v>
      </c>
      <c r="H34" s="1054">
        <v>0.8</v>
      </c>
      <c r="I34" s="1054">
        <f t="shared" si="2"/>
        <v>8.6111199999999997</v>
      </c>
      <c r="J34" s="1054">
        <v>0.1</v>
      </c>
      <c r="K34" s="171"/>
      <c r="L34" s="1059" t="s">
        <v>1832</v>
      </c>
      <c r="N34" s="2527">
        <f t="shared" si="4"/>
        <v>66</v>
      </c>
    </row>
    <row r="35" spans="1:15" s="181" customFormat="1" ht="15" customHeight="1" x14ac:dyDescent="0.25">
      <c r="A35" s="42">
        <f>IF(COUNTIF($B$3:B35,B35)=1,A34+1,A34)</f>
        <v>1</v>
      </c>
      <c r="B35" s="42" t="str">
        <f>IF('6a - Lighting Counts'!G61="","",'6a - Lighting Counts'!G61)</f>
        <v/>
      </c>
      <c r="C35" s="42" t="str">
        <f t="shared" si="0"/>
        <v/>
      </c>
      <c r="D35" s="178" t="s">
        <v>1806</v>
      </c>
      <c r="E35" s="179">
        <f>IF(bpf_reference="ACP",0.9,1.1)</f>
        <v>1.1000000000000001</v>
      </c>
      <c r="F35" s="180">
        <f t="shared" si="1"/>
        <v>11.840290000000001</v>
      </c>
      <c r="G35" s="1055" t="s">
        <v>1737</v>
      </c>
      <c r="H35" s="1054">
        <v>1.2</v>
      </c>
      <c r="I35" s="1054">
        <f t="shared" si="2"/>
        <v>12.916679999999999</v>
      </c>
      <c r="J35" s="1054">
        <v>0.1</v>
      </c>
      <c r="K35" s="171"/>
      <c r="L35" s="1059" t="s">
        <v>1833</v>
      </c>
      <c r="N35" s="2527">
        <f t="shared" si="4"/>
        <v>13.5</v>
      </c>
    </row>
    <row r="36" spans="1:15" s="181" customFormat="1" ht="15" customHeight="1" x14ac:dyDescent="0.25">
      <c r="A36" s="42">
        <f>IF(COUNTIF($B$3:B36,B36)=1,A35+1,A35)</f>
        <v>1</v>
      </c>
      <c r="B36" s="42" t="str">
        <f>IF('6a - Lighting Counts'!G62="","",'6a - Lighting Counts'!G62)</f>
        <v/>
      </c>
      <c r="C36" s="42" t="str">
        <f t="shared" si="0"/>
        <v/>
      </c>
      <c r="E36" s="171"/>
      <c r="F36" s="171"/>
      <c r="G36" s="1055" t="s">
        <v>1738</v>
      </c>
      <c r="H36" s="1054">
        <v>1.1000000000000001</v>
      </c>
      <c r="I36" s="1054">
        <f t="shared" si="2"/>
        <v>11.840290000000001</v>
      </c>
      <c r="J36" s="1054">
        <v>0.45</v>
      </c>
      <c r="K36" s="171"/>
      <c r="L36" s="1059" t="s">
        <v>1834</v>
      </c>
      <c r="N36" s="2527">
        <f t="shared" si="4"/>
        <v>5.4</v>
      </c>
    </row>
    <row r="37" spans="1:15" s="181" customFormat="1" ht="15" customHeight="1" x14ac:dyDescent="0.25">
      <c r="A37" s="42">
        <f>IF(COUNTIF($B$3:B37,B37)=1,A36+1,A36)</f>
        <v>1</v>
      </c>
      <c r="B37" s="42" t="str">
        <f>IF('6a - Lighting Counts'!G63="","",'6a - Lighting Counts'!G63)</f>
        <v/>
      </c>
      <c r="C37" s="42" t="str">
        <f t="shared" si="0"/>
        <v/>
      </c>
      <c r="E37" s="171"/>
      <c r="F37" s="171"/>
      <c r="G37" s="1055" t="s">
        <v>1739</v>
      </c>
      <c r="H37" s="1054">
        <v>1.3</v>
      </c>
      <c r="I37" s="1054">
        <f t="shared" si="2"/>
        <v>13.993069999999999</v>
      </c>
      <c r="J37" s="1054">
        <v>0.3</v>
      </c>
      <c r="K37" s="171"/>
      <c r="L37" s="1059" t="s">
        <v>1835</v>
      </c>
      <c r="N37" s="2527">
        <f t="shared" si="4"/>
        <v>66</v>
      </c>
    </row>
    <row r="38" spans="1:15" s="181" customFormat="1" ht="15" customHeight="1" x14ac:dyDescent="0.25">
      <c r="A38" s="42">
        <f>IF(COUNTIF($B$3:B38,B38)=1,A37+1,A37)</f>
        <v>1</v>
      </c>
      <c r="B38" s="42" t="str">
        <f>IF('6a - Lighting Counts'!G64="","",'6a - Lighting Counts'!G64)</f>
        <v/>
      </c>
      <c r="C38" s="42" t="str">
        <f t="shared" si="0"/>
        <v/>
      </c>
      <c r="E38" s="171"/>
      <c r="F38" s="171"/>
      <c r="G38" s="1055" t="s">
        <v>1740</v>
      </c>
      <c r="H38" s="1054">
        <v>1.4</v>
      </c>
      <c r="I38" s="1054">
        <f t="shared" si="2"/>
        <v>15.069459999999998</v>
      </c>
      <c r="J38" s="1054">
        <v>0</v>
      </c>
      <c r="K38" s="171"/>
    </row>
    <row r="39" spans="1:15" s="181" customFormat="1" ht="15" customHeight="1" x14ac:dyDescent="0.25">
      <c r="A39" s="42">
        <f>IF(COUNTIF($B$3:B39,B39)=1,A38+1,A38)</f>
        <v>1</v>
      </c>
      <c r="B39" s="42" t="str">
        <f>IF('6a - Lighting Counts'!G65="","",'6a - Lighting Counts'!G65)</f>
        <v/>
      </c>
      <c r="C39" s="42" t="str">
        <f t="shared" si="0"/>
        <v/>
      </c>
      <c r="E39" s="171"/>
      <c r="F39" s="171"/>
      <c r="G39" s="1055" t="s">
        <v>1741</v>
      </c>
      <c r="H39" s="1054">
        <v>1.4</v>
      </c>
      <c r="I39" s="1054">
        <f t="shared" si="2"/>
        <v>15.069459999999998</v>
      </c>
      <c r="J39" s="1054">
        <v>0.1</v>
      </c>
      <c r="K39" s="171"/>
    </row>
    <row r="40" spans="1:15" s="181" customFormat="1" ht="15" customHeight="1" x14ac:dyDescent="0.25">
      <c r="A40" s="42">
        <f>IF(COUNTIF($B$3:B40,B40)=1,A39+1,A39)</f>
        <v>1</v>
      </c>
      <c r="B40" s="42" t="str">
        <f>IF('6a - Lighting Counts'!G66="","",'6a - Lighting Counts'!G66)</f>
        <v/>
      </c>
      <c r="C40" s="42" t="str">
        <f t="shared" si="0"/>
        <v/>
      </c>
      <c r="G40" s="1055" t="s">
        <v>1742</v>
      </c>
      <c r="H40" s="1054">
        <v>0.6</v>
      </c>
      <c r="I40" s="1054">
        <f t="shared" si="2"/>
        <v>6.4583399999999997</v>
      </c>
      <c r="J40" s="1054">
        <v>0.1</v>
      </c>
      <c r="K40" s="171"/>
    </row>
    <row r="41" spans="1:15" s="181" customFormat="1" ht="15" customHeight="1" x14ac:dyDescent="0.25">
      <c r="A41" s="42">
        <f>IF(COUNTIF($B$3:B41,B41)=1,A40+1,A40)</f>
        <v>1</v>
      </c>
      <c r="B41" s="42" t="str">
        <f>IF('6a - Lighting Counts'!G67="","",'6a - Lighting Counts'!G67)</f>
        <v/>
      </c>
      <c r="C41" s="42" t="str">
        <f t="shared" si="0"/>
        <v/>
      </c>
      <c r="G41" s="1055" t="s">
        <v>1743</v>
      </c>
      <c r="H41" s="1054">
        <v>0.59</v>
      </c>
      <c r="I41" s="1054">
        <f t="shared" si="2"/>
        <v>6.350700999999999</v>
      </c>
      <c r="J41" s="1054">
        <v>0.1</v>
      </c>
      <c r="K41" s="171"/>
    </row>
    <row r="42" spans="1:15" s="181" customFormat="1" ht="15" customHeight="1" x14ac:dyDescent="0.25">
      <c r="A42" s="42">
        <f>IF(COUNTIF($B$3:B42,B42)=1,A41+1,A41)</f>
        <v>1</v>
      </c>
      <c r="B42" s="42" t="str">
        <f>IF('6a - Lighting Counts'!G68="","",'6a - Lighting Counts'!G68)</f>
        <v/>
      </c>
      <c r="C42" s="42" t="str">
        <f t="shared" si="0"/>
        <v/>
      </c>
      <c r="G42" s="1055" t="s">
        <v>1744</v>
      </c>
      <c r="H42" s="1054">
        <v>2.2599999999999998</v>
      </c>
      <c r="I42" s="1054">
        <f t="shared" si="2"/>
        <v>24.326413999999996</v>
      </c>
      <c r="J42" s="1054">
        <v>0.25</v>
      </c>
      <c r="K42" s="171"/>
    </row>
    <row r="43" spans="1:15" s="181" customFormat="1" ht="15" customHeight="1" x14ac:dyDescent="0.25">
      <c r="A43" s="42">
        <f>IF(COUNTIF($B$3:B43,B43)=1,A42+1,A42)</f>
        <v>1</v>
      </c>
      <c r="B43" s="42" t="str">
        <f>IF('6a - Lighting Counts'!G69="","",'6a - Lighting Counts'!G69)</f>
        <v/>
      </c>
      <c r="C43" s="42" t="str">
        <f t="shared" si="0"/>
        <v/>
      </c>
      <c r="G43" s="1055" t="s">
        <v>1745</v>
      </c>
      <c r="H43" s="1054">
        <v>0.8</v>
      </c>
      <c r="I43" s="1054">
        <f t="shared" si="2"/>
        <v>8.6111199999999997</v>
      </c>
      <c r="J43" s="1054">
        <v>0.25</v>
      </c>
      <c r="K43" s="171"/>
      <c r="L43" s="3668" t="s">
        <v>95</v>
      </c>
      <c r="M43" s="3539" t="s">
        <v>96</v>
      </c>
      <c r="N43" s="986" t="s">
        <v>1808</v>
      </c>
      <c r="O43" s="986" t="s">
        <v>1809</v>
      </c>
    </row>
    <row r="44" spans="1:15" s="181" customFormat="1" ht="15" customHeight="1" x14ac:dyDescent="0.25">
      <c r="A44" s="42">
        <f>IF(COUNTIF($B$3:B44,B44)=1,A43+1,A43)</f>
        <v>1</v>
      </c>
      <c r="B44" s="42" t="str">
        <f>IF('6a - Lighting Counts'!G70="","",'6a - Lighting Counts'!G70)</f>
        <v/>
      </c>
      <c r="C44" s="42" t="str">
        <f t="shared" si="0"/>
        <v/>
      </c>
      <c r="G44" s="1055" t="s">
        <v>1746</v>
      </c>
      <c r="H44" s="1054">
        <v>1.1000000000000001</v>
      </c>
      <c r="I44" s="1054">
        <f t="shared" si="2"/>
        <v>11.840290000000001</v>
      </c>
      <c r="J44" s="1054">
        <v>0.25</v>
      </c>
      <c r="K44" s="171"/>
      <c r="L44" s="3669"/>
      <c r="M44" s="3670"/>
      <c r="N44" s="133" t="s">
        <v>707</v>
      </c>
      <c r="O44" s="671" t="s">
        <v>708</v>
      </c>
    </row>
    <row r="45" spans="1:15" s="181" customFormat="1" ht="15" customHeight="1" x14ac:dyDescent="0.25">
      <c r="A45" s="42">
        <f>IF(COUNTIF($B$3:B45,B45)=1,A44+1,A44)</f>
        <v>1</v>
      </c>
      <c r="B45" s="42" t="str">
        <f>IF('6a - Lighting Counts'!G71="","",'6a - Lighting Counts'!G71)</f>
        <v/>
      </c>
      <c r="C45" s="42" t="str">
        <f t="shared" si="0"/>
        <v/>
      </c>
      <c r="G45" s="1055" t="s">
        <v>1747</v>
      </c>
      <c r="H45" s="1054">
        <v>1.1000000000000001</v>
      </c>
      <c r="I45" s="1054">
        <f t="shared" si="2"/>
        <v>11.840290000000001</v>
      </c>
      <c r="J45" s="1054">
        <v>0.25</v>
      </c>
      <c r="K45" s="171"/>
      <c r="L45" s="1056"/>
      <c r="M45" s="1057"/>
      <c r="N45" s="1056" t="str">
        <f>N43&amp;" "&amp;N44</f>
        <v>W/sf or W/linear foot IP</v>
      </c>
      <c r="O45" s="1058" t="str">
        <f>O43&amp;" "&amp;O44</f>
        <v>W/sm or W/linear meter SI</v>
      </c>
    </row>
    <row r="46" spans="1:15" s="181" customFormat="1" ht="15" customHeight="1" x14ac:dyDescent="0.25">
      <c r="A46" s="42">
        <f>IF(COUNTIF($B$3:B46,B46)=1,A45+1,A45)</f>
        <v>1</v>
      </c>
      <c r="B46" s="42" t="str">
        <f>IF('6a - Lighting Counts'!G72="","",'6a - Lighting Counts'!G72)</f>
        <v/>
      </c>
      <c r="C46" s="42" t="str">
        <f t="shared" si="0"/>
        <v/>
      </c>
      <c r="G46" s="1055" t="s">
        <v>1748</v>
      </c>
      <c r="H46" s="1054">
        <v>3.3</v>
      </c>
      <c r="I46" s="1054">
        <f t="shared" si="2"/>
        <v>35.520869999999995</v>
      </c>
      <c r="J46" s="1054">
        <v>0.25</v>
      </c>
      <c r="K46" s="171"/>
      <c r="L46" s="1061" t="s">
        <v>1836</v>
      </c>
      <c r="M46" s="1062" t="s">
        <v>91</v>
      </c>
      <c r="N46" s="1063">
        <v>0.2</v>
      </c>
      <c r="O46" s="1061">
        <v>2.2000000000000002</v>
      </c>
    </row>
    <row r="47" spans="1:15" s="181" customFormat="1" ht="15" customHeight="1" x14ac:dyDescent="0.25">
      <c r="A47" s="42">
        <f>IF(COUNTIF($B$3:B47,B47)=1,A46+1,A46)</f>
        <v>1</v>
      </c>
      <c r="B47" s="42" t="str">
        <f>IF('6a - Lighting Counts'!G73="","",'6a - Lighting Counts'!G73)</f>
        <v/>
      </c>
      <c r="C47" s="42" t="str">
        <f t="shared" si="0"/>
        <v/>
      </c>
      <c r="G47" s="1055" t="s">
        <v>1749</v>
      </c>
      <c r="H47" s="1054">
        <v>1.3</v>
      </c>
      <c r="I47" s="1054">
        <f t="shared" si="2"/>
        <v>13.993069999999999</v>
      </c>
      <c r="J47" s="1054">
        <v>0.25</v>
      </c>
      <c r="K47" s="171"/>
      <c r="L47" s="1059" t="s">
        <v>1837</v>
      </c>
      <c r="M47" s="1064" t="s">
        <v>92</v>
      </c>
      <c r="N47" s="1065" t="s">
        <v>1838</v>
      </c>
      <c r="O47" s="1065" t="s">
        <v>1838</v>
      </c>
    </row>
    <row r="48" spans="1:15" s="181" customFormat="1" ht="15" customHeight="1" x14ac:dyDescent="0.25">
      <c r="A48" s="42">
        <f>IF(COUNTIF($B$3:B48,B48)=1,A47+1,A47)</f>
        <v>1</v>
      </c>
      <c r="B48" s="42" t="str">
        <f>IF('6a - Lighting Counts'!G74="","",'6a - Lighting Counts'!G74)</f>
        <v/>
      </c>
      <c r="C48" s="42" t="str">
        <f t="shared" si="0"/>
        <v/>
      </c>
      <c r="G48" s="1055" t="s">
        <v>1750</v>
      </c>
      <c r="H48" s="1054">
        <v>0.6</v>
      </c>
      <c r="I48" s="1054">
        <f t="shared" si="2"/>
        <v>6.4583399999999997</v>
      </c>
      <c r="J48" s="1054">
        <v>0.25</v>
      </c>
      <c r="K48" s="171"/>
      <c r="L48" s="1059" t="s">
        <v>1839</v>
      </c>
      <c r="M48" s="1064" t="s">
        <v>91</v>
      </c>
      <c r="N48" s="1065">
        <v>1.25</v>
      </c>
      <c r="O48" s="1059">
        <v>13.5</v>
      </c>
    </row>
    <row r="49" spans="1:15" s="181" customFormat="1" ht="15" customHeight="1" x14ac:dyDescent="0.25">
      <c r="A49" s="42">
        <f>IF(COUNTIF($B$3:B49,B49)=1,A48+1,A48)</f>
        <v>1</v>
      </c>
      <c r="B49" s="42" t="str">
        <f>IF('6a - Lighting Counts'!G75="","",'6a - Lighting Counts'!G75)</f>
        <v/>
      </c>
      <c r="C49" s="42" t="str">
        <f t="shared" si="0"/>
        <v/>
      </c>
      <c r="G49" s="1055" t="s">
        <v>1751</v>
      </c>
      <c r="H49" s="1054">
        <v>0.8</v>
      </c>
      <c r="I49" s="1054">
        <f t="shared" si="2"/>
        <v>8.6111199999999997</v>
      </c>
      <c r="J49" s="1054">
        <v>0</v>
      </c>
      <c r="K49" s="171"/>
      <c r="L49" s="1059" t="s">
        <v>1840</v>
      </c>
      <c r="M49" s="1064" t="s">
        <v>91</v>
      </c>
      <c r="N49" s="1065">
        <v>0.5</v>
      </c>
      <c r="O49" s="1059">
        <v>5.4</v>
      </c>
    </row>
    <row r="50" spans="1:15" s="181" customFormat="1" ht="15" customHeight="1" x14ac:dyDescent="0.25">
      <c r="A50" s="42">
        <f>IF(COUNTIF($B$3:B50,B50)=1,A49+1,A49)</f>
        <v>1</v>
      </c>
      <c r="B50" s="42" t="str">
        <f>IF('6a - Lighting Counts'!G76="","",'6a - Lighting Counts'!G76)</f>
        <v/>
      </c>
      <c r="C50" s="42" t="str">
        <f t="shared" si="0"/>
        <v/>
      </c>
      <c r="G50" s="1055" t="s">
        <v>1752</v>
      </c>
      <c r="H50" s="1054">
        <v>1.2</v>
      </c>
      <c r="I50" s="1054">
        <f t="shared" si="2"/>
        <v>12.916679999999999</v>
      </c>
      <c r="J50" s="1054">
        <v>0</v>
      </c>
      <c r="K50" s="171"/>
      <c r="L50" s="1059" t="s">
        <v>1841</v>
      </c>
      <c r="M50" s="1064" t="s">
        <v>92</v>
      </c>
      <c r="N50" s="1065">
        <v>400</v>
      </c>
      <c r="O50" s="1059">
        <v>400</v>
      </c>
    </row>
    <row r="51" spans="1:15" s="181" customFormat="1" ht="15" customHeight="1" x14ac:dyDescent="0.25">
      <c r="A51" s="42">
        <f>IF(COUNTIF($B$3:B51,B51)=1,A50+1,A50)</f>
        <v>1</v>
      </c>
      <c r="B51" s="42" t="str">
        <f>IF('6a - Lighting Counts'!G77="","",'6a - Lighting Counts'!G77)</f>
        <v/>
      </c>
      <c r="C51" s="42" t="str">
        <f t="shared" si="0"/>
        <v/>
      </c>
      <c r="G51" s="1055" t="s">
        <v>1753</v>
      </c>
      <c r="H51" s="1054">
        <v>1.1000000000000001</v>
      </c>
      <c r="I51" s="1054">
        <f t="shared" si="2"/>
        <v>11.840290000000001</v>
      </c>
      <c r="J51" s="1054">
        <v>0.3</v>
      </c>
      <c r="K51" s="171"/>
      <c r="L51" s="1059" t="s">
        <v>90</v>
      </c>
      <c r="M51" s="1064" t="s">
        <v>92</v>
      </c>
      <c r="N51" s="1065">
        <v>800</v>
      </c>
      <c r="O51" s="1059">
        <v>800</v>
      </c>
    </row>
    <row r="52" spans="1:15" s="181" customFormat="1" ht="15" customHeight="1" x14ac:dyDescent="0.25">
      <c r="A52" s="42">
        <f>IF(COUNTIF($B$3:B52,B52)=1,A51+1,A51)</f>
        <v>1</v>
      </c>
      <c r="B52" s="42" t="str">
        <f>IF('6a - Lighting Counts'!G78="","",'6a - Lighting Counts'!G78)</f>
        <v/>
      </c>
      <c r="C52" s="42" t="str">
        <f t="shared" si="0"/>
        <v/>
      </c>
      <c r="G52" s="1055" t="s">
        <v>1754</v>
      </c>
      <c r="H52" s="1054">
        <v>1.1000000000000001</v>
      </c>
      <c r="I52" s="1054">
        <f t="shared" si="2"/>
        <v>11.840290000000001</v>
      </c>
      <c r="J52" s="1054">
        <v>0.15</v>
      </c>
      <c r="K52" s="171"/>
      <c r="L52" s="1061" t="s">
        <v>1836</v>
      </c>
      <c r="M52" s="1062" t="s">
        <v>92</v>
      </c>
      <c r="N52" s="1063">
        <v>5</v>
      </c>
      <c r="O52" s="1061">
        <v>5</v>
      </c>
    </row>
    <row r="53" spans="1:15" s="181" customFormat="1" ht="15" customHeight="1" x14ac:dyDescent="0.25">
      <c r="A53" s="42">
        <f>IF(COUNTIF($B$3:B53,B53)=1,A52+1,A52)</f>
        <v>1</v>
      </c>
      <c r="B53" s="42" t="str">
        <f>IF('6a - Lighting Counts'!G79="","",'6a - Lighting Counts'!G79)</f>
        <v/>
      </c>
      <c r="C53" s="42" t="str">
        <f t="shared" si="0"/>
        <v/>
      </c>
      <c r="G53" s="1055" t="s">
        <v>1755</v>
      </c>
      <c r="H53" s="1054">
        <v>0.2</v>
      </c>
      <c r="I53" s="1054">
        <f t="shared" si="2"/>
        <v>2.1527799999999999</v>
      </c>
      <c r="J53" s="1054">
        <v>0.15</v>
      </c>
      <c r="K53" s="171"/>
    </row>
    <row r="54" spans="1:15" s="181" customFormat="1" ht="15" customHeight="1" x14ac:dyDescent="0.25">
      <c r="A54" s="42">
        <f>IF(COUNTIF($B$3:B54,B54)=1,A53+1,A53)</f>
        <v>1</v>
      </c>
      <c r="B54" s="42" t="str">
        <f>IF('6a - Lighting Counts'!G80="","",'6a - Lighting Counts'!G80)</f>
        <v/>
      </c>
      <c r="C54" s="42" t="str">
        <f t="shared" si="0"/>
        <v/>
      </c>
      <c r="G54" s="1055" t="s">
        <v>1756</v>
      </c>
      <c r="H54" s="1054">
        <v>1.2</v>
      </c>
      <c r="I54" s="1054">
        <f t="shared" si="2"/>
        <v>12.916679999999999</v>
      </c>
      <c r="J54" s="1054">
        <v>0.1</v>
      </c>
      <c r="K54" s="171"/>
    </row>
    <row r="55" spans="1:15" s="181" customFormat="1" ht="15" customHeight="1" x14ac:dyDescent="0.25">
      <c r="A55" s="42">
        <f>IF(COUNTIF($B$3:B55,B55)=1,A54+1,A54)</f>
        <v>1</v>
      </c>
      <c r="B55" s="42" t="str">
        <f>IF('6a - Lighting Counts'!G81="","",'6a - Lighting Counts'!G81)</f>
        <v/>
      </c>
      <c r="C55" s="42" t="str">
        <f t="shared" si="0"/>
        <v/>
      </c>
      <c r="G55" s="1055" t="s">
        <v>1757</v>
      </c>
      <c r="H55" s="1054">
        <v>1.52</v>
      </c>
      <c r="I55" s="1054">
        <f t="shared" si="2"/>
        <v>16.361128000000001</v>
      </c>
      <c r="J55" s="1054">
        <v>0.45</v>
      </c>
      <c r="K55" s="171"/>
    </row>
    <row r="56" spans="1:15" s="181" customFormat="1" ht="15" customHeight="1" x14ac:dyDescent="0.25">
      <c r="A56" s="42">
        <f>IF(COUNTIF($B$3:B56,B56)=1,A55+1,A55)</f>
        <v>1</v>
      </c>
      <c r="B56" s="42" t="str">
        <f>IF('6a - Lighting Counts'!G82="","",'6a - Lighting Counts'!G82)</f>
        <v/>
      </c>
      <c r="C56" s="42" t="str">
        <f t="shared" si="0"/>
        <v/>
      </c>
      <c r="G56" s="1055" t="s">
        <v>1758</v>
      </c>
      <c r="H56" s="1054">
        <v>0.9</v>
      </c>
      <c r="I56" s="1054">
        <f t="shared" si="2"/>
        <v>9.6875099999999996</v>
      </c>
      <c r="J56" s="1054">
        <v>0.45</v>
      </c>
      <c r="K56" s="171"/>
    </row>
    <row r="57" spans="1:15" s="181" customFormat="1" ht="15" customHeight="1" x14ac:dyDescent="0.25">
      <c r="A57" s="42">
        <f>IF(COUNTIF($B$3:B57,B57)=1,A56+1,A56)</f>
        <v>1</v>
      </c>
      <c r="B57" s="42" t="str">
        <f>IF('6a - Lighting Counts'!G83="","",'6a - Lighting Counts'!G83)</f>
        <v/>
      </c>
      <c r="C57" s="42" t="str">
        <f t="shared" si="0"/>
        <v/>
      </c>
      <c r="G57" s="1055" t="s">
        <v>1759</v>
      </c>
      <c r="H57" s="1054">
        <v>1.7</v>
      </c>
      <c r="I57" s="1054">
        <f t="shared" si="2"/>
        <v>18.298629999999999</v>
      </c>
      <c r="J57" s="1054">
        <v>0.15</v>
      </c>
      <c r="K57" s="171"/>
    </row>
    <row r="58" spans="1:15" s="181" customFormat="1" ht="15" customHeight="1" x14ac:dyDescent="0.25">
      <c r="A58" s="42">
        <f>IF(COUNTIF($B$3:B58,B58)=1,A57+1,A57)</f>
        <v>1</v>
      </c>
      <c r="B58" s="42" t="str">
        <f>IF('6a - Lighting Counts'!G84="","",'6a - Lighting Counts'!G84)</f>
        <v/>
      </c>
      <c r="C58" s="42" t="str">
        <f t="shared" si="0"/>
        <v/>
      </c>
      <c r="G58" s="1055" t="s">
        <v>1760</v>
      </c>
      <c r="H58" s="1054">
        <v>0.68</v>
      </c>
      <c r="I58" s="1054">
        <f t="shared" si="2"/>
        <v>7.3194520000000001</v>
      </c>
      <c r="J58" s="1054">
        <v>0.1</v>
      </c>
      <c r="K58" s="171"/>
    </row>
    <row r="59" spans="1:15" s="181" customFormat="1" ht="15" customHeight="1" x14ac:dyDescent="0.25">
      <c r="A59" s="42">
        <f>IF(COUNTIF($B$3:B59,B59)=1,A58+1,A58)</f>
        <v>1</v>
      </c>
      <c r="B59" s="42" t="str">
        <f>IF('6a - Lighting Counts'!G85="","",'6a - Lighting Counts'!G85)</f>
        <v/>
      </c>
      <c r="C59" s="42" t="str">
        <f t="shared" si="0"/>
        <v/>
      </c>
      <c r="G59" s="1055" t="s">
        <v>1761</v>
      </c>
      <c r="H59" s="1054">
        <v>0.6</v>
      </c>
      <c r="I59" s="1054">
        <f t="shared" si="2"/>
        <v>6.4583399999999997</v>
      </c>
      <c r="J59" s="1054">
        <v>0.75</v>
      </c>
      <c r="K59" s="171"/>
    </row>
    <row r="60" spans="1:15" s="181" customFormat="1" ht="15" customHeight="1" x14ac:dyDescent="0.25">
      <c r="A60" s="42">
        <f>IF(COUNTIF($B$3:B60,B60)=1,A59+1,A59)</f>
        <v>1</v>
      </c>
      <c r="B60" s="42" t="str">
        <f>IF('6a - Lighting Counts'!G86="","",'6a - Lighting Counts'!G86)</f>
        <v/>
      </c>
      <c r="C60" s="42" t="str">
        <f t="shared" si="0"/>
        <v/>
      </c>
      <c r="G60" s="1055" t="s">
        <v>1762</v>
      </c>
      <c r="H60" s="1054">
        <v>0.9</v>
      </c>
      <c r="I60" s="1054">
        <f t="shared" si="2"/>
        <v>9.6875099999999996</v>
      </c>
      <c r="J60" s="1054">
        <v>0.45</v>
      </c>
      <c r="K60" s="171"/>
    </row>
    <row r="61" spans="1:15" s="181" customFormat="1" ht="15" customHeight="1" x14ac:dyDescent="0.25">
      <c r="A61" s="42">
        <f>IF(COUNTIF($B$3:B61,B61)=1,A60+1,A60)</f>
        <v>1</v>
      </c>
      <c r="B61" s="42" t="str">
        <f>IF('6a - Lighting Counts'!G87="","",'6a - Lighting Counts'!G87)</f>
        <v/>
      </c>
      <c r="C61" s="42" t="str">
        <f t="shared" si="0"/>
        <v/>
      </c>
      <c r="G61" s="1055" t="s">
        <v>1763</v>
      </c>
      <c r="H61" s="1054">
        <v>0.8</v>
      </c>
      <c r="I61" s="1054">
        <f t="shared" si="2"/>
        <v>8.6111199999999997</v>
      </c>
      <c r="J61" s="1054">
        <v>0.45</v>
      </c>
      <c r="K61" s="171"/>
    </row>
    <row r="62" spans="1:15" s="181" customFormat="1" ht="15" customHeight="1" x14ac:dyDescent="0.25">
      <c r="A62" s="42">
        <f>IF(COUNTIF($B$3:B62,B62)=1,A61+1,A61)</f>
        <v>1</v>
      </c>
      <c r="B62" s="42" t="str">
        <f>IF('6a - Lighting Counts'!G88="","",'6a - Lighting Counts'!G88)</f>
        <v/>
      </c>
      <c r="C62" s="42" t="str">
        <f t="shared" si="0"/>
        <v/>
      </c>
      <c r="G62" s="1055" t="s">
        <v>1764</v>
      </c>
      <c r="H62" s="1054">
        <v>0.8</v>
      </c>
      <c r="I62" s="1054">
        <f t="shared" si="2"/>
        <v>8.6111199999999997</v>
      </c>
      <c r="J62" s="1054">
        <v>0.45</v>
      </c>
      <c r="K62" s="171"/>
    </row>
    <row r="63" spans="1:15" s="181" customFormat="1" ht="15" customHeight="1" x14ac:dyDescent="0.25">
      <c r="A63" s="42">
        <f>IF(COUNTIF($B$3:B63,B63)=1,A62+1,A62)</f>
        <v>1</v>
      </c>
      <c r="B63" s="42" t="str">
        <f>IF('6a - Lighting Counts'!G89="","",'6a - Lighting Counts'!G89)</f>
        <v/>
      </c>
      <c r="C63" s="42" t="str">
        <f t="shared" si="0"/>
        <v/>
      </c>
      <c r="G63" s="1055" t="s">
        <v>1765</v>
      </c>
      <c r="H63" s="1054">
        <v>0.7</v>
      </c>
      <c r="I63" s="1054">
        <f t="shared" si="2"/>
        <v>7.5347299999999988</v>
      </c>
      <c r="J63" s="1054">
        <v>0.1</v>
      </c>
      <c r="K63" s="171"/>
    </row>
    <row r="64" spans="1:15" s="181" customFormat="1" ht="15" customHeight="1" x14ac:dyDescent="0.25">
      <c r="A64" s="42">
        <f>IF(COUNTIF($B$3:B64,B64)=1,A63+1,A63)</f>
        <v>1</v>
      </c>
      <c r="B64" s="42" t="str">
        <f>IF('6a - Lighting Counts'!G90="","",'6a - Lighting Counts'!G90)</f>
        <v/>
      </c>
      <c r="C64" s="42" t="str">
        <f t="shared" si="0"/>
        <v/>
      </c>
      <c r="G64" s="1055" t="s">
        <v>75</v>
      </c>
      <c r="H64" s="1054">
        <v>1.9</v>
      </c>
      <c r="I64" s="1054">
        <f t="shared" si="2"/>
        <v>20.451409999999999</v>
      </c>
      <c r="J64" s="1054">
        <v>0.1</v>
      </c>
      <c r="K64" s="171"/>
    </row>
    <row r="65" spans="1:11" s="181" customFormat="1" ht="15" customHeight="1" x14ac:dyDescent="0.25">
      <c r="A65" s="42">
        <f>IF(COUNTIF($B$3:B65,B65)=1,A64+1,A64)</f>
        <v>1</v>
      </c>
      <c r="B65" s="42" t="str">
        <f>IF('6a - Lighting Counts'!G91="","",'6a - Lighting Counts'!G91)</f>
        <v/>
      </c>
      <c r="C65" s="42" t="str">
        <f t="shared" si="0"/>
        <v/>
      </c>
      <c r="G65" s="1055" t="s">
        <v>1766</v>
      </c>
      <c r="H65" s="1054">
        <v>2.77</v>
      </c>
      <c r="I65" s="1054">
        <f t="shared" si="2"/>
        <v>29.816002999999998</v>
      </c>
      <c r="J65" s="1054">
        <v>0.1</v>
      </c>
      <c r="K65" s="171"/>
    </row>
    <row r="66" spans="1:11" s="181" customFormat="1" ht="15" customHeight="1" x14ac:dyDescent="0.25">
      <c r="A66" s="42">
        <f>IF(COUNTIF($B$3:B66,B66)=1,A65+1,A65)</f>
        <v>1</v>
      </c>
      <c r="B66" s="42" t="str">
        <f>IF('6a - Lighting Counts'!G92="","",'6a - Lighting Counts'!G92)</f>
        <v/>
      </c>
      <c r="C66" s="42" t="str">
        <f t="shared" si="0"/>
        <v/>
      </c>
      <c r="G66" s="1055" t="s">
        <v>1767</v>
      </c>
      <c r="H66" s="1054">
        <v>3.02</v>
      </c>
      <c r="I66" s="1054">
        <f t="shared" si="2"/>
        <v>32.506977999999997</v>
      </c>
      <c r="J66" s="1054">
        <v>0.1</v>
      </c>
      <c r="K66" s="171"/>
    </row>
    <row r="67" spans="1:11" s="181" customFormat="1" ht="15" customHeight="1" x14ac:dyDescent="0.25">
      <c r="A67" s="42">
        <f>IF(COUNTIF($B$3:B67,B67)=1,A66+1,A66)</f>
        <v>1</v>
      </c>
      <c r="B67" s="42" t="str">
        <f>IF('6a - Lighting Counts'!G93="","",'6a - Lighting Counts'!G93)</f>
        <v/>
      </c>
      <c r="C67" s="42" t="str">
        <f t="shared" si="0"/>
        <v/>
      </c>
      <c r="G67" s="1055" t="s">
        <v>1768</v>
      </c>
      <c r="H67" s="1054">
        <v>1.3</v>
      </c>
      <c r="I67" s="1054">
        <f t="shared" si="2"/>
        <v>13.993069999999999</v>
      </c>
      <c r="J67" s="1054">
        <v>0.35</v>
      </c>
      <c r="K67" s="171"/>
    </row>
    <row r="68" spans="1:11" s="181" customFormat="1" ht="15" customHeight="1" x14ac:dyDescent="0.25">
      <c r="A68" s="42">
        <f>IF(COUNTIF($B$3:B68,B68)=1,A67+1,A67)</f>
        <v>1</v>
      </c>
      <c r="B68" s="42" t="str">
        <f>IF('6a - Lighting Counts'!G94="","",'6a - Lighting Counts'!G94)</f>
        <v/>
      </c>
      <c r="C68" s="42" t="str">
        <f t="shared" ref="C68:C131" si="5">IFERROR(VLOOKUP(ROW()-2,$A$3:$B$550,2,FALSE),"")</f>
        <v/>
      </c>
      <c r="G68" s="1055" t="s">
        <v>1769</v>
      </c>
      <c r="H68" s="1054">
        <v>1.1100000000000001</v>
      </c>
      <c r="I68" s="1054">
        <f t="shared" ref="I68:I105" si="6">H68*10.7639</f>
        <v>11.947929</v>
      </c>
      <c r="J68" s="1054">
        <v>0.1</v>
      </c>
      <c r="K68" s="171"/>
    </row>
    <row r="69" spans="1:11" s="181" customFormat="1" ht="15" customHeight="1" x14ac:dyDescent="0.25">
      <c r="A69" s="42">
        <f>IF(COUNTIF($B$3:B69,B69)=1,A68+1,A68)</f>
        <v>1</v>
      </c>
      <c r="B69" s="42" t="str">
        <f>IF('6a - Lighting Counts'!G95="","",'6a - Lighting Counts'!G95)</f>
        <v/>
      </c>
      <c r="C69" s="42" t="str">
        <f t="shared" si="5"/>
        <v/>
      </c>
      <c r="G69" s="1055" t="s">
        <v>1770</v>
      </c>
      <c r="H69" s="1054">
        <v>0.3</v>
      </c>
      <c r="I69" s="1054">
        <f t="shared" si="6"/>
        <v>3.2291699999999999</v>
      </c>
      <c r="J69" s="1054">
        <v>0.1</v>
      </c>
      <c r="K69" s="171"/>
    </row>
    <row r="70" spans="1:11" s="181" customFormat="1" ht="15" customHeight="1" x14ac:dyDescent="0.25">
      <c r="A70" s="42">
        <f>IF(COUNTIF($B$3:B70,B70)=1,A69+1,A69)</f>
        <v>1</v>
      </c>
      <c r="B70" s="42" t="str">
        <f>IF('6a - Lighting Counts'!G96="","",'6a - Lighting Counts'!G96)</f>
        <v/>
      </c>
      <c r="C70" s="42" t="str">
        <f t="shared" si="5"/>
        <v/>
      </c>
      <c r="G70" s="1055" t="s">
        <v>1771</v>
      </c>
      <c r="H70" s="1054">
        <v>0.9</v>
      </c>
      <c r="I70" s="1054">
        <f t="shared" si="6"/>
        <v>9.6875099999999996</v>
      </c>
      <c r="J70" s="1054">
        <v>0.35</v>
      </c>
      <c r="K70" s="171"/>
    </row>
    <row r="71" spans="1:11" s="181" customFormat="1" ht="15" customHeight="1" x14ac:dyDescent="0.25">
      <c r="A71" s="42">
        <f>IF(COUNTIF($B$3:B71,B71)=1,A70+1,A70)</f>
        <v>1</v>
      </c>
      <c r="B71" s="42" t="str">
        <f>IF('6a - Lighting Counts'!G97="","",'6a - Lighting Counts'!G97)</f>
        <v/>
      </c>
      <c r="C71" s="42" t="str">
        <f t="shared" si="5"/>
        <v/>
      </c>
      <c r="G71" s="1055" t="s">
        <v>1772</v>
      </c>
      <c r="H71" s="1054">
        <v>1.4</v>
      </c>
      <c r="I71" s="1054">
        <f t="shared" si="6"/>
        <v>15.069459999999998</v>
      </c>
      <c r="J71" s="1054">
        <v>0.35</v>
      </c>
      <c r="K71" s="171"/>
    </row>
    <row r="72" spans="1:11" s="181" customFormat="1" ht="15" customHeight="1" x14ac:dyDescent="0.25">
      <c r="A72" s="42">
        <f>IF(COUNTIF($B$3:B72,B72)=1,A71+1,A71)</f>
        <v>1</v>
      </c>
      <c r="B72" s="42" t="str">
        <f>IF('6a - Lighting Counts'!G98="","",'6a - Lighting Counts'!G98)</f>
        <v/>
      </c>
      <c r="C72" s="42" t="str">
        <f t="shared" si="5"/>
        <v/>
      </c>
      <c r="G72" s="1055" t="s">
        <v>1773</v>
      </c>
      <c r="H72" s="1054">
        <v>2.7</v>
      </c>
      <c r="I72" s="1054">
        <f t="shared" si="6"/>
        <v>29.062530000000002</v>
      </c>
      <c r="J72" s="1054">
        <v>0.1</v>
      </c>
      <c r="K72" s="171"/>
    </row>
    <row r="73" spans="1:11" s="181" customFormat="1" ht="15" customHeight="1" x14ac:dyDescent="0.25">
      <c r="A73" s="42">
        <f>IF(COUNTIF($B$3:B73,B73)=1,A72+1,A72)</f>
        <v>1</v>
      </c>
      <c r="B73" s="42" t="str">
        <f>IF('6a - Lighting Counts'!G99="","",'6a - Lighting Counts'!G99)</f>
        <v/>
      </c>
      <c r="C73" s="42" t="str">
        <f t="shared" si="5"/>
        <v/>
      </c>
      <c r="G73" s="1055" t="s">
        <v>1774</v>
      </c>
      <c r="H73" s="1054">
        <v>1.5</v>
      </c>
      <c r="I73" s="1054">
        <f t="shared" si="6"/>
        <v>16.145849999999999</v>
      </c>
      <c r="J73" s="1054">
        <v>0.1</v>
      </c>
      <c r="K73" s="171"/>
    </row>
    <row r="74" spans="1:11" s="181" customFormat="1" ht="15" customHeight="1" x14ac:dyDescent="0.25">
      <c r="A74" s="42">
        <f>IF(COUNTIF($B$3:B74,B74)=1,A73+1,A73)</f>
        <v>1</v>
      </c>
      <c r="B74" s="42" t="str">
        <f>IF('6a - Lighting Counts'!G100="","",'6a - Lighting Counts'!G100)</f>
        <v/>
      </c>
      <c r="C74" s="42" t="str">
        <f t="shared" si="5"/>
        <v/>
      </c>
      <c r="G74" s="1055" t="s">
        <v>1775</v>
      </c>
      <c r="H74" s="1054">
        <v>0.4</v>
      </c>
      <c r="I74" s="1054">
        <f t="shared" si="6"/>
        <v>4.3055599999999998</v>
      </c>
      <c r="J74" s="1054">
        <v>0.22</v>
      </c>
      <c r="K74" s="171"/>
    </row>
    <row r="75" spans="1:11" s="181" customFormat="1" ht="15" customHeight="1" x14ac:dyDescent="0.25">
      <c r="A75" s="42">
        <f>IF(COUNTIF($B$3:B75,B75)=1,A74+1,A74)</f>
        <v>1</v>
      </c>
      <c r="B75" s="42" t="str">
        <f>IF('6a - Lighting Counts'!G101="","",'6a - Lighting Counts'!G101)</f>
        <v/>
      </c>
      <c r="C75" s="42" t="str">
        <f t="shared" si="5"/>
        <v/>
      </c>
      <c r="G75" s="1055" t="s">
        <v>1776</v>
      </c>
      <c r="H75" s="1054">
        <v>1.4</v>
      </c>
      <c r="I75" s="1054">
        <f t="shared" si="6"/>
        <v>15.069459999999998</v>
      </c>
      <c r="J75" s="1054">
        <v>0.45</v>
      </c>
      <c r="K75" s="171"/>
    </row>
    <row r="76" spans="1:11" s="181" customFormat="1" ht="15" customHeight="1" x14ac:dyDescent="0.25">
      <c r="A76" s="42">
        <f>IF(COUNTIF($B$3:B76,B76)=1,A75+1,A75)</f>
        <v>1</v>
      </c>
      <c r="B76" s="42" t="str">
        <f>IF('6a - Lighting Counts'!G102="","",'6a - Lighting Counts'!G102)</f>
        <v/>
      </c>
      <c r="C76" s="42" t="str">
        <f t="shared" si="5"/>
        <v/>
      </c>
      <c r="G76" s="1055" t="s">
        <v>1777</v>
      </c>
      <c r="H76" s="1054">
        <v>0.6</v>
      </c>
      <c r="I76" s="1054">
        <f t="shared" si="6"/>
        <v>6.4583399999999997</v>
      </c>
      <c r="J76" s="1054">
        <v>0.1</v>
      </c>
      <c r="K76" s="171"/>
    </row>
    <row r="77" spans="1:11" s="181" customFormat="1" ht="15" customHeight="1" x14ac:dyDescent="0.25">
      <c r="A77" s="42">
        <f>IF(COUNTIF($B$3:B77,B77)=1,A76+1,A76)</f>
        <v>1</v>
      </c>
      <c r="B77" s="42" t="str">
        <f>IF('6a - Lighting Counts'!G103="","",'6a - Lighting Counts'!G103)</f>
        <v/>
      </c>
      <c r="C77" s="42" t="str">
        <f t="shared" si="5"/>
        <v/>
      </c>
      <c r="G77" s="1055" t="s">
        <v>1778</v>
      </c>
      <c r="H77" s="1054">
        <v>1</v>
      </c>
      <c r="I77" s="1054">
        <f t="shared" si="6"/>
        <v>10.7639</v>
      </c>
      <c r="J77" s="1054">
        <v>0.1</v>
      </c>
      <c r="K77" s="171"/>
    </row>
    <row r="78" spans="1:11" s="181" customFormat="1" ht="15" customHeight="1" x14ac:dyDescent="0.25">
      <c r="A78" s="42">
        <f>IF(COUNTIF($B$3:B78,B78)=1,A77+1,A77)</f>
        <v>1</v>
      </c>
      <c r="B78" s="42" t="str">
        <f>IF('6a - Lighting Counts'!G104="","",'6a - Lighting Counts'!G104)</f>
        <v/>
      </c>
      <c r="C78" s="42" t="str">
        <f t="shared" si="5"/>
        <v/>
      </c>
      <c r="G78" s="1055" t="s">
        <v>1779</v>
      </c>
      <c r="H78" s="1054">
        <v>2.2000000000000002</v>
      </c>
      <c r="I78" s="1054">
        <f t="shared" si="6"/>
        <v>23.680580000000003</v>
      </c>
      <c r="J78" s="1054">
        <v>0.1</v>
      </c>
      <c r="K78" s="171"/>
    </row>
    <row r="79" spans="1:11" s="181" customFormat="1" ht="15" customHeight="1" x14ac:dyDescent="0.25">
      <c r="A79" s="42">
        <f>IF(COUNTIF($B$3:B79,B79)=1,A78+1,A78)</f>
        <v>1</v>
      </c>
      <c r="B79" s="42" t="str">
        <f>IF('6a - Lighting Counts'!G105="","",'6a - Lighting Counts'!G105)</f>
        <v/>
      </c>
      <c r="C79" s="42" t="str">
        <f t="shared" si="5"/>
        <v/>
      </c>
      <c r="G79" s="1055" t="s">
        <v>1780</v>
      </c>
      <c r="H79" s="1054">
        <v>0.7</v>
      </c>
      <c r="I79" s="1054">
        <f t="shared" si="6"/>
        <v>7.5347299999999988</v>
      </c>
      <c r="J79" s="1054">
        <v>0.1</v>
      </c>
      <c r="K79" s="171"/>
    </row>
    <row r="80" spans="1:11" s="181" customFormat="1" ht="15" customHeight="1" x14ac:dyDescent="0.25">
      <c r="A80" s="42">
        <f>IF(COUNTIF($B$3:B80,B80)=1,A79+1,A79)</f>
        <v>1</v>
      </c>
      <c r="B80" s="42" t="str">
        <f>IF('6a - Lighting Counts'!G106="","",'6a - Lighting Counts'!G106)</f>
        <v/>
      </c>
      <c r="C80" s="42" t="str">
        <f t="shared" si="5"/>
        <v/>
      </c>
      <c r="G80" s="1055" t="s">
        <v>1781</v>
      </c>
      <c r="H80" s="1054">
        <v>0.9</v>
      </c>
      <c r="I80" s="1054">
        <f t="shared" si="6"/>
        <v>9.6875099999999996</v>
      </c>
      <c r="J80" s="1054">
        <v>0.1</v>
      </c>
      <c r="K80" s="171"/>
    </row>
    <row r="81" spans="1:15" s="181" customFormat="1" ht="15" customHeight="1" x14ac:dyDescent="0.25">
      <c r="A81" s="42">
        <f>IF(COUNTIF($B$3:B81,B81)=1,A80+1,A80)</f>
        <v>1</v>
      </c>
      <c r="B81" s="42" t="str">
        <f>IF('6a - Lighting Counts'!G107="","",'6a - Lighting Counts'!G107)</f>
        <v/>
      </c>
      <c r="C81" s="42" t="str">
        <f t="shared" si="5"/>
        <v/>
      </c>
      <c r="G81" s="1055" t="s">
        <v>1782</v>
      </c>
      <c r="H81" s="1054">
        <v>0.8</v>
      </c>
      <c r="I81" s="1054">
        <f t="shared" si="6"/>
        <v>8.6111199999999997</v>
      </c>
      <c r="J81" s="1054">
        <v>0.1</v>
      </c>
      <c r="K81" s="171"/>
    </row>
    <row r="82" spans="1:15" s="181" customFormat="1" ht="15" customHeight="1" x14ac:dyDescent="0.25">
      <c r="A82" s="42">
        <f>IF(COUNTIF($B$3:B82,B82)=1,A81+1,A81)</f>
        <v>1</v>
      </c>
      <c r="B82" s="42" t="str">
        <f>IF('6a - Lighting Counts'!G108="","",'6a - Lighting Counts'!G108)</f>
        <v/>
      </c>
      <c r="C82" s="42" t="str">
        <f t="shared" si="5"/>
        <v/>
      </c>
      <c r="G82" s="1055" t="s">
        <v>1783</v>
      </c>
      <c r="H82" s="1054">
        <v>1.2</v>
      </c>
      <c r="I82" s="1054">
        <f t="shared" si="6"/>
        <v>12.916679999999999</v>
      </c>
      <c r="J82" s="1054">
        <v>0.15</v>
      </c>
      <c r="K82" s="171"/>
    </row>
    <row r="83" spans="1:15" s="181" customFormat="1" ht="15" customHeight="1" x14ac:dyDescent="0.25">
      <c r="A83" s="42">
        <f>IF(COUNTIF($B$3:B83,B83)=1,A82+1,A82)</f>
        <v>1</v>
      </c>
      <c r="B83" s="42" t="str">
        <f>IF('6a - Lighting Counts'!G109="","",'6a - Lighting Counts'!G109)</f>
        <v/>
      </c>
      <c r="C83" s="42" t="str">
        <f t="shared" si="5"/>
        <v/>
      </c>
      <c r="G83" s="1055" t="s">
        <v>1784</v>
      </c>
      <c r="H83" s="1054">
        <v>1.7</v>
      </c>
      <c r="I83" s="1054">
        <f t="shared" si="6"/>
        <v>18.298629999999999</v>
      </c>
      <c r="J83" s="1054">
        <v>0.15</v>
      </c>
      <c r="K83" s="171"/>
    </row>
    <row r="84" spans="1:15" s="181" customFormat="1" ht="15" customHeight="1" x14ac:dyDescent="0.25">
      <c r="A84" s="42">
        <f>IF(COUNTIF($B$3:B84,B84)=1,A83+1,A83)</f>
        <v>1</v>
      </c>
      <c r="B84" s="42" t="str">
        <f>IF('6a - Lighting Counts'!G110="","",'6a - Lighting Counts'!G110)</f>
        <v/>
      </c>
      <c r="C84" s="42" t="str">
        <f t="shared" si="5"/>
        <v/>
      </c>
      <c r="G84" s="1055" t="s">
        <v>1785</v>
      </c>
      <c r="H84" s="1054">
        <v>2.1</v>
      </c>
      <c r="I84" s="1054">
        <f t="shared" si="6"/>
        <v>22.604189999999999</v>
      </c>
      <c r="J84" s="1054">
        <v>0.1</v>
      </c>
      <c r="K84" s="171"/>
    </row>
    <row r="85" spans="1:15" s="181" customFormat="1" ht="15" customHeight="1" x14ac:dyDescent="0.25">
      <c r="A85" s="42">
        <f>IF(COUNTIF($B$3:B85,B85)=1,A84+1,A84)</f>
        <v>1</v>
      </c>
      <c r="B85" s="42" t="str">
        <f>IF('6a - Lighting Counts'!G111="","",'6a - Lighting Counts'!G111)</f>
        <v/>
      </c>
      <c r="C85" s="42" t="str">
        <f t="shared" si="5"/>
        <v/>
      </c>
      <c r="G85" s="1055" t="s">
        <v>1786</v>
      </c>
      <c r="H85" s="1054">
        <v>1.2</v>
      </c>
      <c r="I85" s="1054">
        <f t="shared" si="6"/>
        <v>12.916679999999999</v>
      </c>
      <c r="J85" s="1054">
        <v>0.1</v>
      </c>
      <c r="K85" s="171"/>
    </row>
    <row r="86" spans="1:15" s="181" customFormat="1" ht="15" customHeight="1" x14ac:dyDescent="0.25">
      <c r="A86" s="42">
        <f>IF(COUNTIF($B$3:B86,B86)=1,A85+1,A85)</f>
        <v>1</v>
      </c>
      <c r="B86" s="42" t="str">
        <f>IF('6a - Lighting Counts'!G112="","",'6a - Lighting Counts'!G112)</f>
        <v/>
      </c>
      <c r="C86" s="42" t="str">
        <f t="shared" si="5"/>
        <v/>
      </c>
      <c r="G86" s="1055" t="s">
        <v>1787</v>
      </c>
      <c r="H86" s="1054">
        <v>1.32</v>
      </c>
      <c r="I86" s="1054">
        <f t="shared" si="6"/>
        <v>14.208348000000001</v>
      </c>
      <c r="J86" s="1054">
        <v>0.1</v>
      </c>
      <c r="K86" s="171"/>
    </row>
    <row r="87" spans="1:15" s="181" customFormat="1" ht="15" customHeight="1" x14ac:dyDescent="0.25">
      <c r="A87" s="42">
        <f>IF(COUNTIF($B$3:B87,B87)=1,A86+1,A86)</f>
        <v>1</v>
      </c>
      <c r="B87" s="42" t="str">
        <f>IF('6a - Lighting Counts'!G113="","",'6a - Lighting Counts'!G113)</f>
        <v/>
      </c>
      <c r="C87" s="42" t="str">
        <f t="shared" si="5"/>
        <v/>
      </c>
      <c r="G87" s="1055" t="s">
        <v>1788</v>
      </c>
      <c r="H87" s="1054">
        <v>1.7</v>
      </c>
      <c r="I87" s="1054">
        <f t="shared" si="6"/>
        <v>18.298629999999999</v>
      </c>
      <c r="J87" s="1054">
        <v>0.1</v>
      </c>
      <c r="K87" s="171"/>
    </row>
    <row r="88" spans="1:15" s="181" customFormat="1" ht="15" customHeight="1" x14ac:dyDescent="0.25">
      <c r="A88" s="42">
        <f>IF(COUNTIF($B$3:B88,B88)=1,A87+1,A87)</f>
        <v>1</v>
      </c>
      <c r="B88" s="42" t="str">
        <f>IF('6a - Lighting Counts'!G114="","",'6a - Lighting Counts'!G114)</f>
        <v/>
      </c>
      <c r="C88" s="42" t="str">
        <f t="shared" si="5"/>
        <v/>
      </c>
      <c r="G88" s="1055" t="s">
        <v>1789</v>
      </c>
      <c r="H88" s="1054">
        <v>1.2</v>
      </c>
      <c r="I88" s="1054">
        <f t="shared" si="6"/>
        <v>12.916679999999999</v>
      </c>
      <c r="J88" s="1054">
        <v>0.1</v>
      </c>
      <c r="K88" s="171"/>
    </row>
    <row r="89" spans="1:15" s="181" customFormat="1" ht="15" customHeight="1" x14ac:dyDescent="0.25">
      <c r="A89" s="42">
        <f>IF(COUNTIF($B$3:B89,B89)=1,A88+1,A88)</f>
        <v>1</v>
      </c>
      <c r="B89" s="42" t="str">
        <f>IF('6a - Lighting Counts'!G115="","",'6a - Lighting Counts'!G115)</f>
        <v/>
      </c>
      <c r="C89" s="42" t="str">
        <f t="shared" si="5"/>
        <v/>
      </c>
      <c r="G89" s="1055" t="s">
        <v>1790</v>
      </c>
      <c r="H89" s="1054">
        <v>1</v>
      </c>
      <c r="I89" s="1054">
        <f t="shared" si="6"/>
        <v>10.7639</v>
      </c>
      <c r="J89" s="1054">
        <v>0.1</v>
      </c>
      <c r="K89" s="171"/>
    </row>
    <row r="90" spans="1:15" s="181" customFormat="1" ht="15" customHeight="1" x14ac:dyDescent="0.25">
      <c r="A90" s="42">
        <f>IF(COUNTIF($B$3:B90,B90)=1,A89+1,A89)</f>
        <v>1</v>
      </c>
      <c r="B90" s="42" t="str">
        <f>IF('6a - Lighting Counts'!G116="","",'6a - Lighting Counts'!G116)</f>
        <v/>
      </c>
      <c r="C90" s="42" t="str">
        <f t="shared" si="5"/>
        <v/>
      </c>
      <c r="G90" s="1055" t="s">
        <v>1791</v>
      </c>
      <c r="H90" s="1054">
        <v>1.7</v>
      </c>
      <c r="I90" s="1054">
        <f t="shared" si="6"/>
        <v>18.298629999999999</v>
      </c>
      <c r="J90" s="1054">
        <v>0.1</v>
      </c>
      <c r="K90" s="171"/>
    </row>
    <row r="91" spans="1:15" s="181" customFormat="1" ht="15" customHeight="1" x14ac:dyDescent="0.25">
      <c r="A91" s="42">
        <f>IF(COUNTIF($B$3:B91,B91)=1,A90+1,A90)</f>
        <v>1</v>
      </c>
      <c r="B91" s="42" t="str">
        <f>IF('6a - Lighting Counts'!G117="","",'6a - Lighting Counts'!G117)</f>
        <v/>
      </c>
      <c r="C91" s="42" t="str">
        <f t="shared" si="5"/>
        <v/>
      </c>
      <c r="G91" s="1055" t="s">
        <v>1792</v>
      </c>
      <c r="H91" s="1054">
        <v>1.2</v>
      </c>
      <c r="I91" s="1054">
        <f t="shared" si="6"/>
        <v>12.916679999999999</v>
      </c>
      <c r="J91" s="1054">
        <v>0.1</v>
      </c>
      <c r="K91" s="171"/>
    </row>
    <row r="92" spans="1:15" s="181" customFormat="1" ht="15" customHeight="1" x14ac:dyDescent="0.25">
      <c r="A92" s="42">
        <f>IF(COUNTIF($B$3:B92,B92)=1,A91+1,A91)</f>
        <v>1</v>
      </c>
      <c r="B92" s="42" t="str">
        <f>IF('6a - Lighting Counts'!G118="","",'6a - Lighting Counts'!G118)</f>
        <v/>
      </c>
      <c r="C92" s="42" t="str">
        <f t="shared" si="5"/>
        <v/>
      </c>
      <c r="G92" s="1055" t="s">
        <v>1793</v>
      </c>
      <c r="H92" s="1054">
        <v>0.9</v>
      </c>
      <c r="I92" s="1054">
        <f t="shared" si="6"/>
        <v>9.6875099999999996</v>
      </c>
      <c r="J92" s="1054">
        <v>0.1</v>
      </c>
      <c r="K92" s="171"/>
    </row>
    <row r="93" spans="1:15" s="181" customFormat="1" ht="15" customHeight="1" x14ac:dyDescent="0.25">
      <c r="A93" s="42">
        <f>IF(COUNTIF($B$3:B93,B93)=1,A92+1,A92)</f>
        <v>1</v>
      </c>
      <c r="B93" s="42" t="str">
        <f>IF('6a - Lighting Counts'!G119="","",'6a - Lighting Counts'!G119)</f>
        <v/>
      </c>
      <c r="C93" s="42" t="str">
        <f t="shared" si="5"/>
        <v/>
      </c>
      <c r="G93" s="1055" t="s">
        <v>1794</v>
      </c>
      <c r="H93" s="1054">
        <v>2.4</v>
      </c>
      <c r="I93" s="1054">
        <f t="shared" si="6"/>
        <v>25.833359999999999</v>
      </c>
      <c r="J93" s="1054">
        <v>0.1</v>
      </c>
      <c r="K93" s="171"/>
    </row>
    <row r="94" spans="1:15" s="181" customFormat="1" ht="15" customHeight="1" x14ac:dyDescent="0.25">
      <c r="A94" s="42">
        <f>IF(COUNTIF($B$3:B94,B94)=1,A93+1,A93)</f>
        <v>1</v>
      </c>
      <c r="B94" s="42" t="str">
        <f>IF('6a - Lighting Counts'!G120="","",'6a - Lighting Counts'!G120)</f>
        <v/>
      </c>
      <c r="C94" s="42" t="str">
        <f t="shared" si="5"/>
        <v/>
      </c>
      <c r="G94" s="1067" t="s">
        <v>1795</v>
      </c>
      <c r="H94" s="1066">
        <v>0.89</v>
      </c>
      <c r="I94" s="1054">
        <f t="shared" si="6"/>
        <v>9.5798709999999989</v>
      </c>
      <c r="J94" s="1054">
        <v>0.1</v>
      </c>
      <c r="K94" s="171"/>
    </row>
    <row r="95" spans="1:15" s="181" customFormat="1" ht="15" customHeight="1" x14ac:dyDescent="0.25">
      <c r="A95" s="42">
        <f>IF(COUNTIF($B$3:B95,B95)=1,A94+1,A94)</f>
        <v>1</v>
      </c>
      <c r="B95" s="42" t="str">
        <f>IF('6a - Lighting Counts'!G121="","",'6a - Lighting Counts'!G121)</f>
        <v/>
      </c>
      <c r="C95" s="42" t="str">
        <f t="shared" si="5"/>
        <v/>
      </c>
      <c r="G95" s="1067" t="s">
        <v>1796</v>
      </c>
      <c r="H95" s="1066">
        <v>1.7</v>
      </c>
      <c r="I95" s="1054">
        <f t="shared" si="6"/>
        <v>18.298629999999999</v>
      </c>
      <c r="J95" s="1054">
        <v>0.1</v>
      </c>
      <c r="K95" s="171"/>
      <c r="L95" s="184"/>
      <c r="M95" s="184"/>
      <c r="N95" s="184"/>
      <c r="O95" s="184"/>
    </row>
    <row r="96" spans="1:15" x14ac:dyDescent="0.25">
      <c r="A96" s="42">
        <f>IF(COUNTIF($B$3:B96,B96)=1,A95+1,A95)</f>
        <v>1</v>
      </c>
      <c r="B96" s="42" t="str">
        <f>IF('6a - Lighting Counts'!G122="","",'6a - Lighting Counts'!G122)</f>
        <v/>
      </c>
      <c r="C96" s="42" t="str">
        <f t="shared" si="5"/>
        <v/>
      </c>
      <c r="G96" s="1067" t="s">
        <v>1797</v>
      </c>
      <c r="H96" s="1066">
        <v>4.6100000000000003</v>
      </c>
      <c r="I96" s="1054">
        <f t="shared" si="6"/>
        <v>49.621579000000004</v>
      </c>
      <c r="J96" s="1054">
        <v>0.1</v>
      </c>
    </row>
    <row r="97" spans="1:10" x14ac:dyDescent="0.25">
      <c r="A97" s="42">
        <f>IF(COUNTIF($B$3:B97,B97)=1,A96+1,A96)</f>
        <v>1</v>
      </c>
      <c r="B97" s="42" t="str">
        <f>IF('6a - Lighting Counts'!G123="","",'6a - Lighting Counts'!G123)</f>
        <v/>
      </c>
      <c r="C97" s="42" t="str">
        <f t="shared" si="5"/>
        <v/>
      </c>
      <c r="G97" s="1067" t="s">
        <v>1798</v>
      </c>
      <c r="H97" s="1066">
        <v>3.01</v>
      </c>
      <c r="I97" s="1054">
        <f t="shared" si="6"/>
        <v>32.399338999999998</v>
      </c>
      <c r="J97" s="1054">
        <v>0.1</v>
      </c>
    </row>
    <row r="98" spans="1:10" x14ac:dyDescent="0.25">
      <c r="A98" s="42">
        <f>IF(COUNTIF($B$3:B98,B98)=1,A97+1,A97)</f>
        <v>1</v>
      </c>
      <c r="B98" s="42" t="str">
        <f>IF('6a - Lighting Counts'!G124="","",'6a - Lighting Counts'!G124)</f>
        <v/>
      </c>
      <c r="C98" s="42" t="str">
        <f t="shared" si="5"/>
        <v/>
      </c>
      <c r="G98" s="1067" t="s">
        <v>1799</v>
      </c>
      <c r="H98" s="1066">
        <v>2.2599999999999998</v>
      </c>
      <c r="I98" s="1054">
        <f t="shared" si="6"/>
        <v>24.326413999999996</v>
      </c>
      <c r="J98" s="1054">
        <v>0.1</v>
      </c>
    </row>
    <row r="99" spans="1:10" x14ac:dyDescent="0.25">
      <c r="A99" s="42">
        <f>IF(COUNTIF($B$3:B99,B99)=1,A98+1,A98)</f>
        <v>1</v>
      </c>
      <c r="B99" s="42" t="str">
        <f>IF('6a - Lighting Counts'!G125="","",'6a - Lighting Counts'!G125)</f>
        <v/>
      </c>
      <c r="C99" s="42" t="str">
        <f t="shared" si="5"/>
        <v/>
      </c>
      <c r="G99" s="1067" t="s">
        <v>1800</v>
      </c>
      <c r="H99" s="1066">
        <v>1.5</v>
      </c>
      <c r="I99" s="1054">
        <f t="shared" si="6"/>
        <v>16.145849999999999</v>
      </c>
      <c r="J99" s="1054">
        <v>0.1</v>
      </c>
    </row>
    <row r="100" spans="1:10" x14ac:dyDescent="0.25">
      <c r="A100" s="42">
        <f>IF(COUNTIF($B$3:B100,B100)=1,A99+1,A99)</f>
        <v>1</v>
      </c>
      <c r="B100" s="42" t="str">
        <f>IF('6a - Lighting Counts'!G126="","",'6a - Lighting Counts'!G126)</f>
        <v/>
      </c>
      <c r="C100" s="42" t="str">
        <f t="shared" si="5"/>
        <v/>
      </c>
      <c r="G100" s="1067" t="s">
        <v>1801</v>
      </c>
      <c r="H100" s="1066">
        <v>1</v>
      </c>
      <c r="I100" s="1054">
        <f t="shared" si="6"/>
        <v>10.7639</v>
      </c>
      <c r="J100" s="1054">
        <v>0.1</v>
      </c>
    </row>
    <row r="101" spans="1:10" x14ac:dyDescent="0.25">
      <c r="A101" s="42">
        <f>IF(COUNTIF($B$3:B101,B101)=1,A100+1,A100)</f>
        <v>1</v>
      </c>
      <c r="B101" s="42" t="str">
        <f>IF('6a - Lighting Counts'!G127="","",'6a - Lighting Counts'!G127)</f>
        <v/>
      </c>
      <c r="C101" s="42" t="str">
        <f t="shared" si="5"/>
        <v/>
      </c>
      <c r="G101" s="1067" t="s">
        <v>1802</v>
      </c>
      <c r="H101" s="1066">
        <v>0.6</v>
      </c>
      <c r="I101" s="1054">
        <f t="shared" si="6"/>
        <v>6.4583399999999997</v>
      </c>
      <c r="J101" s="1054">
        <v>0.1</v>
      </c>
    </row>
    <row r="102" spans="1:10" x14ac:dyDescent="0.25">
      <c r="A102" s="42">
        <f>IF(COUNTIF($B$3:B102,B102)=1,A101+1,A101)</f>
        <v>1</v>
      </c>
      <c r="B102" s="42" t="str">
        <f>IF('6a - Lighting Counts'!G128="","",'6a - Lighting Counts'!G128)</f>
        <v/>
      </c>
      <c r="C102" s="42" t="str">
        <f t="shared" si="5"/>
        <v/>
      </c>
      <c r="G102" s="1067" t="s">
        <v>1803</v>
      </c>
      <c r="H102" s="1066">
        <v>1.5</v>
      </c>
      <c r="I102" s="1054">
        <f t="shared" si="6"/>
        <v>16.145849999999999</v>
      </c>
      <c r="J102" s="1054">
        <v>0.1</v>
      </c>
    </row>
    <row r="103" spans="1:10" x14ac:dyDescent="0.25">
      <c r="A103" s="42">
        <f>IF(COUNTIF($B$3:B103,B103)=1,A102+1,A102)</f>
        <v>1</v>
      </c>
      <c r="B103" s="42" t="str">
        <f>IF('6a - Lighting Counts'!G129="","",'6a - Lighting Counts'!G129)</f>
        <v/>
      </c>
      <c r="C103" s="42" t="str">
        <f t="shared" si="5"/>
        <v/>
      </c>
      <c r="G103" s="1067" t="s">
        <v>1804</v>
      </c>
      <c r="H103" s="1066">
        <v>0.9</v>
      </c>
      <c r="I103" s="1054">
        <f t="shared" si="6"/>
        <v>9.6875099999999996</v>
      </c>
      <c r="J103" s="1054">
        <v>0.45</v>
      </c>
    </row>
    <row r="104" spans="1:10" x14ac:dyDescent="0.25">
      <c r="A104" s="42">
        <f>IF(COUNTIF($B$3:B104,B104)=1,A103+1,A103)</f>
        <v>1</v>
      </c>
      <c r="B104" s="42" t="str">
        <f>IF('6a - Lighting Counts'!G130="","",'6a - Lighting Counts'!G130)</f>
        <v/>
      </c>
      <c r="C104" s="42" t="str">
        <f t="shared" si="5"/>
        <v/>
      </c>
      <c r="G104" s="1067" t="s">
        <v>1805</v>
      </c>
      <c r="H104" s="1066">
        <v>1.4</v>
      </c>
      <c r="I104" s="1054">
        <f t="shared" si="6"/>
        <v>15.069459999999998</v>
      </c>
      <c r="J104" s="1054">
        <v>0.45</v>
      </c>
    </row>
    <row r="105" spans="1:10" x14ac:dyDescent="0.25">
      <c r="A105" s="42">
        <f>IF(COUNTIF($B$3:B105,B105)=1,A104+1,A104)</f>
        <v>1</v>
      </c>
      <c r="B105" s="42" t="str">
        <f>IF('6a - Lighting Counts'!G131="","",'6a - Lighting Counts'!G131)</f>
        <v/>
      </c>
      <c r="C105" s="42" t="str">
        <f t="shared" si="5"/>
        <v/>
      </c>
      <c r="G105" s="1067" t="s">
        <v>1806</v>
      </c>
      <c r="H105" s="830">
        <f>IF(bpf_reference="ACP",0.9,1.1)</f>
        <v>1.1000000000000001</v>
      </c>
      <c r="I105" s="828">
        <f t="shared" si="6"/>
        <v>11.840290000000001</v>
      </c>
      <c r="J105" s="1054">
        <v>0</v>
      </c>
    </row>
    <row r="106" spans="1:10" x14ac:dyDescent="0.25">
      <c r="A106" s="42">
        <f>IF(COUNTIF($B$3:B106,B106)=1,A105+1,A105)</f>
        <v>1</v>
      </c>
      <c r="B106" s="42" t="str">
        <f>IF('6a - Lighting Counts'!G132="","",'6a - Lighting Counts'!G132)</f>
        <v/>
      </c>
      <c r="C106" s="42" t="str">
        <f t="shared" si="5"/>
        <v/>
      </c>
      <c r="F106" s="184" t="s">
        <v>2522</v>
      </c>
      <c r="G106" s="1067" t="s">
        <v>2527</v>
      </c>
      <c r="H106" s="1066">
        <v>0.8</v>
      </c>
      <c r="I106" s="1054">
        <f>H106*10.7639</f>
        <v>8.6111199999999997</v>
      </c>
      <c r="J106" s="1054">
        <v>0.25</v>
      </c>
    </row>
    <row r="107" spans="1:10" x14ac:dyDescent="0.25">
      <c r="A107" s="42">
        <f>IF(COUNTIF($B$3:B107,B107)=1,A106+1,A106)</f>
        <v>1</v>
      </c>
      <c r="B107" s="42" t="str">
        <f>IF('6a - Lighting Counts'!G133="","",'6a - Lighting Counts'!G133)</f>
        <v/>
      </c>
      <c r="C107" s="42" t="str">
        <f t="shared" si="5"/>
        <v/>
      </c>
      <c r="G107" s="1067" t="s">
        <v>1807</v>
      </c>
      <c r="H107" s="1066" t="s">
        <v>1715</v>
      </c>
      <c r="I107" s="1054" t="s">
        <v>1715</v>
      </c>
      <c r="J107" s="1054" t="s">
        <v>1715</v>
      </c>
    </row>
    <row r="108" spans="1:10" x14ac:dyDescent="0.25">
      <c r="A108" s="42">
        <f>IF(COUNTIF($B$3:B108,B108)=1,A107+1,A107)</f>
        <v>1</v>
      </c>
      <c r="B108" s="42" t="str">
        <f>IF('6a - Lighting Counts'!G134="","",'6a - Lighting Counts'!G134)</f>
        <v/>
      </c>
      <c r="C108" s="42" t="str">
        <f t="shared" si="5"/>
        <v/>
      </c>
      <c r="F108" s="184" t="s">
        <v>2522</v>
      </c>
      <c r="G108" s="1067" t="s">
        <v>2523</v>
      </c>
      <c r="H108" s="1066">
        <v>0.9</v>
      </c>
      <c r="I108" s="1054">
        <f>H108*10.7639</f>
        <v>9.6875099999999996</v>
      </c>
      <c r="J108" s="1054">
        <v>0.35</v>
      </c>
    </row>
    <row r="109" spans="1:10" x14ac:dyDescent="0.25">
      <c r="A109" s="42">
        <f>IF(COUNTIF($B$3:B109,B109)=1,A108+1,A108)</f>
        <v>1</v>
      </c>
      <c r="B109" s="42" t="str">
        <f>IF('6a - Lighting Counts'!G135="","",'6a - Lighting Counts'!G135)</f>
        <v/>
      </c>
      <c r="C109" s="42" t="str">
        <f t="shared" si="5"/>
        <v/>
      </c>
      <c r="F109" s="184" t="s">
        <v>2522</v>
      </c>
      <c r="G109" s="1067" t="s">
        <v>2524</v>
      </c>
      <c r="H109" s="1066">
        <v>0.8</v>
      </c>
      <c r="I109" s="1054">
        <f>H109*10.7639</f>
        <v>8.6111199999999997</v>
      </c>
      <c r="J109" s="1054">
        <v>0.45</v>
      </c>
    </row>
    <row r="110" spans="1:10" x14ac:dyDescent="0.25">
      <c r="A110" s="42">
        <f>IF(COUNTIF($B$3:B110,B110)=1,A109+1,A109)</f>
        <v>1</v>
      </c>
      <c r="B110" s="42" t="str">
        <f>IF('6a - Lighting Counts'!G136="","",'6a - Lighting Counts'!G136)</f>
        <v/>
      </c>
      <c r="C110" s="42" t="str">
        <f t="shared" si="5"/>
        <v/>
      </c>
      <c r="F110" s="184" t="s">
        <v>2522</v>
      </c>
      <c r="G110" s="1067" t="s">
        <v>2525</v>
      </c>
      <c r="H110" s="1066">
        <v>0.8</v>
      </c>
      <c r="I110" s="1054">
        <f>H110*10.7639</f>
        <v>8.6111199999999997</v>
      </c>
      <c r="J110" s="1054">
        <v>0.45</v>
      </c>
    </row>
    <row r="111" spans="1:10" x14ac:dyDescent="0.25">
      <c r="A111" s="42">
        <f>IF(COUNTIF($B$3:B111,B111)=1,A110+1,A110)</f>
        <v>1</v>
      </c>
      <c r="B111" s="42" t="str">
        <f>IF('6a - Lighting Counts'!G137="","",'6a - Lighting Counts'!G137)</f>
        <v/>
      </c>
      <c r="C111" s="42" t="str">
        <f t="shared" si="5"/>
        <v/>
      </c>
      <c r="F111" s="184" t="s">
        <v>2522</v>
      </c>
      <c r="G111" s="1067" t="s">
        <v>2526</v>
      </c>
      <c r="H111" s="1066">
        <v>1.2</v>
      </c>
      <c r="I111" s="1054">
        <f>H111*10.7639</f>
        <v>12.916679999999999</v>
      </c>
      <c r="J111" s="1054">
        <v>0</v>
      </c>
    </row>
    <row r="112" spans="1:10" x14ac:dyDescent="0.25">
      <c r="A112" s="42">
        <f>IF(COUNTIF($B$3:B112,B112)=1,A111+1,A111)</f>
        <v>1</v>
      </c>
      <c r="B112" s="42" t="str">
        <f>IF('6a - Lighting Counts'!G138="","",'6a - Lighting Counts'!G138)</f>
        <v/>
      </c>
      <c r="C112" s="42" t="str">
        <f t="shared" si="5"/>
        <v/>
      </c>
      <c r="F112" s="184" t="s">
        <v>2522</v>
      </c>
      <c r="G112" s="1067" t="s">
        <v>2528</v>
      </c>
      <c r="H112" s="1066">
        <v>0.8</v>
      </c>
      <c r="I112" s="1054">
        <f>H112*10.7639</f>
        <v>8.6111199999999997</v>
      </c>
      <c r="J112" s="1054">
        <v>0.45</v>
      </c>
    </row>
    <row r="113" spans="1:3" x14ac:dyDescent="0.25">
      <c r="A113" s="42">
        <f>IF(COUNTIF($B$3:B113,B113)=1,A112+1,A112)</f>
        <v>1</v>
      </c>
      <c r="B113" s="42" t="str">
        <f>IF('6a - Lighting Counts'!G139="","",'6a - Lighting Counts'!G139)</f>
        <v/>
      </c>
      <c r="C113" s="42" t="str">
        <f t="shared" si="5"/>
        <v/>
      </c>
    </row>
    <row r="114" spans="1:3" x14ac:dyDescent="0.25">
      <c r="A114" s="42">
        <f>IF(COUNTIF($B$3:B114,B114)=1,A113+1,A113)</f>
        <v>1</v>
      </c>
      <c r="B114" s="42" t="str">
        <f>IF('6a - Lighting Counts'!G140="","",'6a - Lighting Counts'!G140)</f>
        <v/>
      </c>
      <c r="C114" s="42" t="str">
        <f t="shared" si="5"/>
        <v/>
      </c>
    </row>
    <row r="115" spans="1:3" x14ac:dyDescent="0.25">
      <c r="A115" s="42">
        <f>IF(COUNTIF($B$3:B115,B115)=1,A114+1,A114)</f>
        <v>1</v>
      </c>
      <c r="B115" s="42" t="str">
        <f>IF('6a - Lighting Counts'!G141="","",'6a - Lighting Counts'!G141)</f>
        <v/>
      </c>
      <c r="C115" s="42" t="str">
        <f t="shared" si="5"/>
        <v/>
      </c>
    </row>
    <row r="116" spans="1:3" x14ac:dyDescent="0.25">
      <c r="A116" s="42">
        <f>IF(COUNTIF($B$3:B116,B116)=1,A115+1,A115)</f>
        <v>1</v>
      </c>
      <c r="B116" s="42" t="str">
        <f>IF('6a - Lighting Counts'!G142="","",'6a - Lighting Counts'!G142)</f>
        <v/>
      </c>
      <c r="C116" s="42" t="str">
        <f t="shared" si="5"/>
        <v/>
      </c>
    </row>
    <row r="117" spans="1:3" x14ac:dyDescent="0.25">
      <c r="A117" s="42">
        <f>IF(COUNTIF($B$3:B117,B117)=1,A116+1,A116)</f>
        <v>1</v>
      </c>
      <c r="B117" s="42" t="str">
        <f>IF('6a - Lighting Counts'!G143="","",'6a - Lighting Counts'!G143)</f>
        <v/>
      </c>
      <c r="C117" s="42" t="str">
        <f t="shared" si="5"/>
        <v/>
      </c>
    </row>
    <row r="118" spans="1:3" x14ac:dyDescent="0.25">
      <c r="A118" s="42">
        <f>IF(COUNTIF($B$3:B118,B118)=1,A117+1,A117)</f>
        <v>1</v>
      </c>
      <c r="B118" s="42" t="str">
        <f>IF('6a - Lighting Counts'!G144="","",'6a - Lighting Counts'!G144)</f>
        <v/>
      </c>
      <c r="C118" s="42" t="str">
        <f t="shared" si="5"/>
        <v/>
      </c>
    </row>
    <row r="119" spans="1:3" x14ac:dyDescent="0.25">
      <c r="A119" s="42">
        <f>IF(COUNTIF($B$3:B119,B119)=1,A118+1,A118)</f>
        <v>1</v>
      </c>
      <c r="B119" s="42" t="str">
        <f>IF('6a - Lighting Counts'!G145="","",'6a - Lighting Counts'!G145)</f>
        <v/>
      </c>
      <c r="C119" s="42" t="str">
        <f t="shared" si="5"/>
        <v/>
      </c>
    </row>
    <row r="120" spans="1:3" x14ac:dyDescent="0.25">
      <c r="A120" s="42">
        <f>IF(COUNTIF($B$3:B120,B120)=1,A119+1,A119)</f>
        <v>1</v>
      </c>
      <c r="B120" s="42" t="str">
        <f>IF('6a - Lighting Counts'!G146="","",'6a - Lighting Counts'!G146)</f>
        <v/>
      </c>
      <c r="C120" s="42" t="str">
        <f t="shared" si="5"/>
        <v/>
      </c>
    </row>
    <row r="121" spans="1:3" x14ac:dyDescent="0.25">
      <c r="A121" s="42">
        <f>IF(COUNTIF($B$3:B121,B121)=1,A120+1,A120)</f>
        <v>1</v>
      </c>
      <c r="B121" s="42" t="str">
        <f>IF('6a - Lighting Counts'!G147="","",'6a - Lighting Counts'!G147)</f>
        <v/>
      </c>
      <c r="C121" s="42" t="str">
        <f t="shared" si="5"/>
        <v/>
      </c>
    </row>
    <row r="122" spans="1:3" x14ac:dyDescent="0.25">
      <c r="A122" s="42">
        <f>IF(COUNTIF($B$3:B122,B122)=1,A121+1,A121)</f>
        <v>1</v>
      </c>
      <c r="B122" s="42" t="str">
        <f>IF('6a - Lighting Counts'!G148="","",'6a - Lighting Counts'!G148)</f>
        <v/>
      </c>
      <c r="C122" s="42" t="str">
        <f t="shared" si="5"/>
        <v/>
      </c>
    </row>
    <row r="123" spans="1:3" x14ac:dyDescent="0.25">
      <c r="A123" s="42">
        <f>IF(COUNTIF($B$3:B123,B123)=1,A122+1,A122)</f>
        <v>1</v>
      </c>
      <c r="B123" s="42" t="str">
        <f>IF('6a - Lighting Counts'!G149="","",'6a - Lighting Counts'!G149)</f>
        <v/>
      </c>
      <c r="C123" s="42" t="str">
        <f t="shared" si="5"/>
        <v/>
      </c>
    </row>
    <row r="124" spans="1:3" x14ac:dyDescent="0.25">
      <c r="A124" s="42">
        <f>IF(COUNTIF($B$3:B124,B124)=1,A123+1,A123)</f>
        <v>1</v>
      </c>
      <c r="B124" s="42" t="str">
        <f>IF('6a - Lighting Counts'!G150="","",'6a - Lighting Counts'!G150)</f>
        <v/>
      </c>
      <c r="C124" s="42" t="str">
        <f t="shared" si="5"/>
        <v/>
      </c>
    </row>
    <row r="125" spans="1:3" x14ac:dyDescent="0.25">
      <c r="A125" s="42">
        <f>IF(COUNTIF($B$3:B125,B125)=1,A124+1,A124)</f>
        <v>1</v>
      </c>
      <c r="B125" s="42" t="str">
        <f>IF('6a - Lighting Counts'!G151="","",'6a - Lighting Counts'!G151)</f>
        <v/>
      </c>
      <c r="C125" s="42" t="str">
        <f t="shared" si="5"/>
        <v/>
      </c>
    </row>
    <row r="126" spans="1:3" x14ac:dyDescent="0.25">
      <c r="A126" s="42">
        <f>IF(COUNTIF($B$3:B126,B126)=1,A125+1,A125)</f>
        <v>1</v>
      </c>
      <c r="B126" s="42" t="str">
        <f>IF('6a - Lighting Counts'!G152="","",'6a - Lighting Counts'!G152)</f>
        <v/>
      </c>
      <c r="C126" s="42" t="str">
        <f t="shared" si="5"/>
        <v/>
      </c>
    </row>
    <row r="127" spans="1:3" x14ac:dyDescent="0.25">
      <c r="A127" s="42">
        <f>IF(COUNTIF($B$3:B127,B127)=1,A126+1,A126)</f>
        <v>1</v>
      </c>
      <c r="B127" s="42" t="str">
        <f>IF('6a - Lighting Counts'!G153="","",'6a - Lighting Counts'!G153)</f>
        <v/>
      </c>
      <c r="C127" s="42" t="str">
        <f t="shared" si="5"/>
        <v/>
      </c>
    </row>
    <row r="128" spans="1:3" x14ac:dyDescent="0.25">
      <c r="A128" s="42">
        <f>IF(COUNTIF($B$3:B128,B128)=1,A127+1,A127)</f>
        <v>1</v>
      </c>
      <c r="B128" s="42" t="str">
        <f>IF('6a - Lighting Counts'!G154="","",'6a - Lighting Counts'!G154)</f>
        <v/>
      </c>
      <c r="C128" s="42" t="str">
        <f t="shared" si="5"/>
        <v/>
      </c>
    </row>
    <row r="129" spans="1:3" x14ac:dyDescent="0.25">
      <c r="A129" s="42">
        <f>IF(COUNTIF($B$3:B129,B129)=1,A128+1,A128)</f>
        <v>1</v>
      </c>
      <c r="B129" s="42" t="str">
        <f>IF('6a - Lighting Counts'!G155="","",'6a - Lighting Counts'!G155)</f>
        <v/>
      </c>
      <c r="C129" s="42" t="str">
        <f t="shared" si="5"/>
        <v/>
      </c>
    </row>
    <row r="130" spans="1:3" x14ac:dyDescent="0.25">
      <c r="A130" s="42">
        <f>IF(COUNTIF($B$3:B130,B130)=1,A129+1,A129)</f>
        <v>1</v>
      </c>
      <c r="B130" s="42" t="str">
        <f>IF('6a - Lighting Counts'!G156="","",'6a - Lighting Counts'!G156)</f>
        <v/>
      </c>
      <c r="C130" s="42" t="str">
        <f t="shared" si="5"/>
        <v/>
      </c>
    </row>
    <row r="131" spans="1:3" x14ac:dyDescent="0.25">
      <c r="A131" s="42">
        <f>IF(COUNTIF($B$3:B131,B131)=1,A130+1,A130)</f>
        <v>1</v>
      </c>
      <c r="B131" s="42" t="str">
        <f>IF('6a - Lighting Counts'!G157="","",'6a - Lighting Counts'!G157)</f>
        <v/>
      </c>
      <c r="C131" s="42" t="str">
        <f t="shared" si="5"/>
        <v/>
      </c>
    </row>
    <row r="132" spans="1:3" x14ac:dyDescent="0.25">
      <c r="A132" s="42">
        <f>IF(COUNTIF($B$3:B132,B132)=1,A131+1,A131)</f>
        <v>1</v>
      </c>
      <c r="B132" s="42" t="str">
        <f>IF('6a - Lighting Counts'!G158="","",'6a - Lighting Counts'!G158)</f>
        <v/>
      </c>
      <c r="C132" s="42" t="str">
        <f t="shared" ref="C132:C195" si="7">IFERROR(VLOOKUP(ROW()-2,$A$3:$B$550,2,FALSE),"")</f>
        <v/>
      </c>
    </row>
    <row r="133" spans="1:3" x14ac:dyDescent="0.25">
      <c r="A133" s="42">
        <f>IF(COUNTIF($B$3:B133,B133)=1,A132+1,A132)</f>
        <v>1</v>
      </c>
      <c r="B133" s="42" t="str">
        <f>IF('6a - Lighting Counts'!G159="","",'6a - Lighting Counts'!G159)</f>
        <v/>
      </c>
      <c r="C133" s="42" t="str">
        <f t="shared" si="7"/>
        <v/>
      </c>
    </row>
    <row r="134" spans="1:3" x14ac:dyDescent="0.25">
      <c r="A134" s="42">
        <f>IF(COUNTIF($B$3:B134,B134)=1,A133+1,A133)</f>
        <v>1</v>
      </c>
      <c r="B134" s="42" t="str">
        <f>IF('6a - Lighting Counts'!G160="","",'6a - Lighting Counts'!G160)</f>
        <v/>
      </c>
      <c r="C134" s="42" t="str">
        <f t="shared" si="7"/>
        <v/>
      </c>
    </row>
    <row r="135" spans="1:3" x14ac:dyDescent="0.25">
      <c r="A135" s="42">
        <f>IF(COUNTIF($B$3:B135,B135)=1,A134+1,A134)</f>
        <v>1</v>
      </c>
      <c r="B135" s="42" t="str">
        <f>IF('6a - Lighting Counts'!G161="","",'6a - Lighting Counts'!G161)</f>
        <v/>
      </c>
      <c r="C135" s="42" t="str">
        <f t="shared" si="7"/>
        <v/>
      </c>
    </row>
    <row r="136" spans="1:3" x14ac:dyDescent="0.25">
      <c r="A136" s="42">
        <f>IF(COUNTIF($B$3:B136,B136)=1,A135+1,A135)</f>
        <v>1</v>
      </c>
      <c r="B136" s="42" t="str">
        <f>IF('6a - Lighting Counts'!G162="","",'6a - Lighting Counts'!G162)</f>
        <v/>
      </c>
      <c r="C136" s="42" t="str">
        <f t="shared" si="7"/>
        <v/>
      </c>
    </row>
    <row r="137" spans="1:3" x14ac:dyDescent="0.25">
      <c r="A137" s="42">
        <f>IF(COUNTIF($B$3:B137,B137)=1,A136+1,A136)</f>
        <v>1</v>
      </c>
      <c r="B137" s="42" t="str">
        <f>IF('6a - Lighting Counts'!G163="","",'6a - Lighting Counts'!G163)</f>
        <v/>
      </c>
      <c r="C137" s="42" t="str">
        <f t="shared" si="7"/>
        <v/>
      </c>
    </row>
    <row r="138" spans="1:3" x14ac:dyDescent="0.25">
      <c r="A138" s="42">
        <f>IF(COUNTIF($B$3:B138,B138)=1,A137+1,A137)</f>
        <v>1</v>
      </c>
      <c r="B138" s="42" t="str">
        <f>IF('6a - Lighting Counts'!G164="","",'6a - Lighting Counts'!G164)</f>
        <v/>
      </c>
      <c r="C138" s="42" t="str">
        <f t="shared" si="7"/>
        <v/>
      </c>
    </row>
    <row r="139" spans="1:3" x14ac:dyDescent="0.25">
      <c r="A139" s="42">
        <f>IF(COUNTIF($B$3:B139,B139)=1,A138+1,A138)</f>
        <v>1</v>
      </c>
      <c r="B139" s="42" t="str">
        <f>IF('6a - Lighting Counts'!G165="","",'6a - Lighting Counts'!G165)</f>
        <v/>
      </c>
      <c r="C139" s="42" t="str">
        <f t="shared" si="7"/>
        <v/>
      </c>
    </row>
    <row r="140" spans="1:3" x14ac:dyDescent="0.25">
      <c r="A140" s="42">
        <f>IF(COUNTIF($B$3:B140,B140)=1,A139+1,A139)</f>
        <v>1</v>
      </c>
      <c r="B140" s="42" t="str">
        <f>IF('6a - Lighting Counts'!G166="","",'6a - Lighting Counts'!G166)</f>
        <v/>
      </c>
      <c r="C140" s="42" t="str">
        <f t="shared" si="7"/>
        <v/>
      </c>
    </row>
    <row r="141" spans="1:3" x14ac:dyDescent="0.25">
      <c r="A141" s="42">
        <f>IF(COUNTIF($B$3:B141,B141)=1,A140+1,A140)</f>
        <v>1</v>
      </c>
      <c r="B141" s="42" t="str">
        <f>IF('6a - Lighting Counts'!G167="","",'6a - Lighting Counts'!G167)</f>
        <v/>
      </c>
      <c r="C141" s="42" t="str">
        <f t="shared" si="7"/>
        <v/>
      </c>
    </row>
    <row r="142" spans="1:3" x14ac:dyDescent="0.25">
      <c r="A142" s="42">
        <f>IF(COUNTIF($B$3:B142,B142)=1,A141+1,A141)</f>
        <v>1</v>
      </c>
      <c r="B142" s="42" t="str">
        <f>IF('6a - Lighting Counts'!G168="","",'6a - Lighting Counts'!G168)</f>
        <v/>
      </c>
      <c r="C142" s="42" t="str">
        <f t="shared" si="7"/>
        <v/>
      </c>
    </row>
    <row r="143" spans="1:3" x14ac:dyDescent="0.25">
      <c r="A143" s="42">
        <f>IF(COUNTIF($B$3:B143,B143)=1,A142+1,A142)</f>
        <v>1</v>
      </c>
      <c r="B143" s="42" t="str">
        <f>IF('6a - Lighting Counts'!G169="","",'6a - Lighting Counts'!G169)</f>
        <v/>
      </c>
      <c r="C143" s="42" t="str">
        <f t="shared" si="7"/>
        <v/>
      </c>
    </row>
    <row r="144" spans="1:3" x14ac:dyDescent="0.25">
      <c r="A144" s="42">
        <f>IF(COUNTIF($B$3:B144,B144)=1,A143+1,A143)</f>
        <v>1</v>
      </c>
      <c r="B144" s="42" t="str">
        <f>IF('6a - Lighting Counts'!G170="","",'6a - Lighting Counts'!G170)</f>
        <v/>
      </c>
      <c r="C144" s="42" t="str">
        <f t="shared" si="7"/>
        <v/>
      </c>
    </row>
    <row r="145" spans="1:3" x14ac:dyDescent="0.25">
      <c r="A145" s="42">
        <f>IF(COUNTIF($B$3:B145,B145)=1,A144+1,A144)</f>
        <v>1</v>
      </c>
      <c r="B145" s="42" t="str">
        <f>IF('6a - Lighting Counts'!G171="","",'6a - Lighting Counts'!G171)</f>
        <v/>
      </c>
      <c r="C145" s="42" t="str">
        <f t="shared" si="7"/>
        <v/>
      </c>
    </row>
    <row r="146" spans="1:3" x14ac:dyDescent="0.25">
      <c r="A146" s="42">
        <f>IF(COUNTIF($B$3:B146,B146)=1,A145+1,A145)</f>
        <v>1</v>
      </c>
      <c r="B146" s="42" t="str">
        <f>IF('6a - Lighting Counts'!G172="","",'6a - Lighting Counts'!G172)</f>
        <v/>
      </c>
      <c r="C146" s="42" t="str">
        <f t="shared" si="7"/>
        <v/>
      </c>
    </row>
    <row r="147" spans="1:3" x14ac:dyDescent="0.25">
      <c r="A147" s="42">
        <f>IF(COUNTIF($B$3:B147,B147)=1,A146+1,A146)</f>
        <v>1</v>
      </c>
      <c r="B147" s="42" t="str">
        <f>IF('6a - Lighting Counts'!G173="","",'6a - Lighting Counts'!G173)</f>
        <v/>
      </c>
      <c r="C147" s="42" t="str">
        <f t="shared" si="7"/>
        <v/>
      </c>
    </row>
    <row r="148" spans="1:3" x14ac:dyDescent="0.25">
      <c r="A148" s="42">
        <f>IF(COUNTIF($B$3:B148,B148)=1,A147+1,A147)</f>
        <v>1</v>
      </c>
      <c r="B148" s="42" t="str">
        <f>IF('6a - Lighting Counts'!G174="","",'6a - Lighting Counts'!G174)</f>
        <v/>
      </c>
      <c r="C148" s="42" t="str">
        <f t="shared" si="7"/>
        <v/>
      </c>
    </row>
    <row r="149" spans="1:3" x14ac:dyDescent="0.25">
      <c r="A149" s="42">
        <f>IF(COUNTIF($B$3:B149,B149)=1,A148+1,A148)</f>
        <v>1</v>
      </c>
      <c r="B149" s="42" t="str">
        <f>IF('6a - Lighting Counts'!G175="","",'6a - Lighting Counts'!G175)</f>
        <v/>
      </c>
      <c r="C149" s="42" t="str">
        <f t="shared" si="7"/>
        <v/>
      </c>
    </row>
    <row r="150" spans="1:3" x14ac:dyDescent="0.25">
      <c r="A150" s="42">
        <f>IF(COUNTIF($B$3:B150,B150)=1,A149+1,A149)</f>
        <v>1</v>
      </c>
      <c r="B150" s="42" t="str">
        <f>IF('6a - Lighting Counts'!G176="","",'6a - Lighting Counts'!G176)</f>
        <v/>
      </c>
      <c r="C150" s="42" t="str">
        <f t="shared" si="7"/>
        <v/>
      </c>
    </row>
    <row r="151" spans="1:3" x14ac:dyDescent="0.25">
      <c r="A151" s="42">
        <f>IF(COUNTIF($B$3:B151,B151)=1,A150+1,A150)</f>
        <v>1</v>
      </c>
      <c r="B151" s="42" t="str">
        <f>IF('6a - Lighting Counts'!G177="","",'6a - Lighting Counts'!G177)</f>
        <v/>
      </c>
      <c r="C151" s="42" t="str">
        <f t="shared" si="7"/>
        <v/>
      </c>
    </row>
    <row r="152" spans="1:3" x14ac:dyDescent="0.25">
      <c r="A152" s="42">
        <f>IF(COUNTIF($B$3:B152,B152)=1,A151+1,A151)</f>
        <v>1</v>
      </c>
      <c r="B152" s="42" t="str">
        <f>IF('6a - Lighting Counts'!G178="","",'6a - Lighting Counts'!G178)</f>
        <v/>
      </c>
      <c r="C152" s="42" t="str">
        <f t="shared" si="7"/>
        <v/>
      </c>
    </row>
    <row r="153" spans="1:3" x14ac:dyDescent="0.25">
      <c r="A153" s="42">
        <f>IF(COUNTIF($B$3:B153,B153)=1,A152+1,A152)</f>
        <v>1</v>
      </c>
      <c r="B153" s="42" t="str">
        <f>IF('6a - Lighting Counts'!G179="","",'6a - Lighting Counts'!G179)</f>
        <v/>
      </c>
      <c r="C153" s="42" t="str">
        <f t="shared" si="7"/>
        <v/>
      </c>
    </row>
    <row r="154" spans="1:3" x14ac:dyDescent="0.25">
      <c r="A154" s="42">
        <f>IF(COUNTIF($B$3:B154,B154)=1,A153+1,A153)</f>
        <v>1</v>
      </c>
      <c r="B154" s="42" t="str">
        <f>IF('6a - Lighting Counts'!G180="","",'6a - Lighting Counts'!G180)</f>
        <v/>
      </c>
      <c r="C154" s="42" t="str">
        <f t="shared" si="7"/>
        <v/>
      </c>
    </row>
    <row r="155" spans="1:3" x14ac:dyDescent="0.25">
      <c r="A155" s="42">
        <f>IF(COUNTIF($B$3:B155,B155)=1,A154+1,A154)</f>
        <v>1</v>
      </c>
      <c r="B155" s="42" t="str">
        <f>IF('6a - Lighting Counts'!G181="","",'6a - Lighting Counts'!G181)</f>
        <v/>
      </c>
      <c r="C155" s="42" t="str">
        <f t="shared" si="7"/>
        <v/>
      </c>
    </row>
    <row r="156" spans="1:3" x14ac:dyDescent="0.25">
      <c r="A156" s="42">
        <f>IF(COUNTIF($B$3:B156,B156)=1,A155+1,A155)</f>
        <v>1</v>
      </c>
      <c r="B156" s="42" t="str">
        <f>IF('6a - Lighting Counts'!G182="","",'6a - Lighting Counts'!G182)</f>
        <v/>
      </c>
      <c r="C156" s="42" t="str">
        <f t="shared" si="7"/>
        <v/>
      </c>
    </row>
    <row r="157" spans="1:3" x14ac:dyDescent="0.25">
      <c r="A157" s="42">
        <f>IF(COUNTIF($B$3:B157,B157)=1,A156+1,A156)</f>
        <v>1</v>
      </c>
      <c r="B157" s="42" t="str">
        <f>IF('6a - Lighting Counts'!G183="","",'6a - Lighting Counts'!G183)</f>
        <v/>
      </c>
      <c r="C157" s="42" t="str">
        <f t="shared" si="7"/>
        <v/>
      </c>
    </row>
    <row r="158" spans="1:3" x14ac:dyDescent="0.25">
      <c r="A158" s="42">
        <f>IF(COUNTIF($B$3:B158,B158)=1,A157+1,A157)</f>
        <v>1</v>
      </c>
      <c r="B158" s="42" t="str">
        <f>IF('6a - Lighting Counts'!G184="","",'6a - Lighting Counts'!G184)</f>
        <v/>
      </c>
      <c r="C158" s="42" t="str">
        <f t="shared" si="7"/>
        <v/>
      </c>
    </row>
    <row r="159" spans="1:3" x14ac:dyDescent="0.25">
      <c r="A159" s="42">
        <f>IF(COUNTIF($B$3:B159,B159)=1,A158+1,A158)</f>
        <v>1</v>
      </c>
      <c r="B159" s="42" t="str">
        <f>IF('6a - Lighting Counts'!G185="","",'6a - Lighting Counts'!G185)</f>
        <v/>
      </c>
      <c r="C159" s="42" t="str">
        <f t="shared" si="7"/>
        <v/>
      </c>
    </row>
    <row r="160" spans="1:3" x14ac:dyDescent="0.25">
      <c r="A160" s="42">
        <f>IF(COUNTIF($B$3:B160,B160)=1,A159+1,A159)</f>
        <v>1</v>
      </c>
      <c r="B160" s="42" t="str">
        <f>IF('6a - Lighting Counts'!G186="","",'6a - Lighting Counts'!G186)</f>
        <v/>
      </c>
      <c r="C160" s="42" t="str">
        <f t="shared" si="7"/>
        <v/>
      </c>
    </row>
    <row r="161" spans="1:3" x14ac:dyDescent="0.25">
      <c r="A161" s="42">
        <f>IF(COUNTIF($B$3:B161,B161)=1,A160+1,A160)</f>
        <v>1</v>
      </c>
      <c r="B161" s="42" t="str">
        <f>IF('6a - Lighting Counts'!G187="","",'6a - Lighting Counts'!G187)</f>
        <v/>
      </c>
      <c r="C161" s="42" t="str">
        <f t="shared" si="7"/>
        <v/>
      </c>
    </row>
    <row r="162" spans="1:3" x14ac:dyDescent="0.25">
      <c r="A162" s="42">
        <f>IF(COUNTIF($B$3:B162,B162)=1,A161+1,A161)</f>
        <v>1</v>
      </c>
      <c r="B162" s="42" t="str">
        <f>IF('6a - Lighting Counts'!G188="","",'6a - Lighting Counts'!G188)</f>
        <v/>
      </c>
      <c r="C162" s="42" t="str">
        <f t="shared" si="7"/>
        <v/>
      </c>
    </row>
    <row r="163" spans="1:3" x14ac:dyDescent="0.25">
      <c r="A163" s="42">
        <f>IF(COUNTIF($B$3:B163,B163)=1,A162+1,A162)</f>
        <v>1</v>
      </c>
      <c r="B163" s="42" t="str">
        <f>IF('6a - Lighting Counts'!G189="","",'6a - Lighting Counts'!G189)</f>
        <v/>
      </c>
      <c r="C163" s="42" t="str">
        <f t="shared" si="7"/>
        <v/>
      </c>
    </row>
    <row r="164" spans="1:3" x14ac:dyDescent="0.25">
      <c r="A164" s="42">
        <f>IF(COUNTIF($B$3:B164,B164)=1,A163+1,A163)</f>
        <v>1</v>
      </c>
      <c r="B164" s="42" t="str">
        <f>IF('6a - Lighting Counts'!G190="","",'6a - Lighting Counts'!G190)</f>
        <v/>
      </c>
      <c r="C164" s="42" t="str">
        <f t="shared" si="7"/>
        <v/>
      </c>
    </row>
    <row r="165" spans="1:3" x14ac:dyDescent="0.25">
      <c r="A165" s="42">
        <f>IF(COUNTIF($B$3:B165,B165)=1,A164+1,A164)</f>
        <v>1</v>
      </c>
      <c r="B165" s="42" t="str">
        <f>IF('6a - Lighting Counts'!G191="","",'6a - Lighting Counts'!G191)</f>
        <v/>
      </c>
      <c r="C165" s="42" t="str">
        <f t="shared" si="7"/>
        <v/>
      </c>
    </row>
    <row r="166" spans="1:3" x14ac:dyDescent="0.25">
      <c r="A166" s="42">
        <f>IF(COUNTIF($B$3:B166,B166)=1,A165+1,A165)</f>
        <v>1</v>
      </c>
      <c r="B166" s="42" t="str">
        <f>IF('6a - Lighting Counts'!G192="","",'6a - Lighting Counts'!G192)</f>
        <v/>
      </c>
      <c r="C166" s="42" t="str">
        <f t="shared" si="7"/>
        <v/>
      </c>
    </row>
    <row r="167" spans="1:3" x14ac:dyDescent="0.25">
      <c r="A167" s="42">
        <f>IF(COUNTIF($B$3:B167,B167)=1,A166+1,A166)</f>
        <v>1</v>
      </c>
      <c r="B167" s="42" t="str">
        <f>IF('6a - Lighting Counts'!G193="","",'6a - Lighting Counts'!G193)</f>
        <v/>
      </c>
      <c r="C167" s="42" t="str">
        <f t="shared" si="7"/>
        <v/>
      </c>
    </row>
    <row r="168" spans="1:3" x14ac:dyDescent="0.25">
      <c r="A168" s="42">
        <f>IF(COUNTIF($B$3:B168,B168)=1,A167+1,A167)</f>
        <v>1</v>
      </c>
      <c r="B168" s="42" t="str">
        <f>IF('6a - Lighting Counts'!G194="","",'6a - Lighting Counts'!G194)</f>
        <v/>
      </c>
      <c r="C168" s="42" t="str">
        <f t="shared" si="7"/>
        <v/>
      </c>
    </row>
    <row r="169" spans="1:3" x14ac:dyDescent="0.25">
      <c r="A169" s="42">
        <f>IF(COUNTIF($B$3:B169,B169)=1,A168+1,A168)</f>
        <v>1</v>
      </c>
      <c r="B169" s="42" t="str">
        <f>IF('6a - Lighting Counts'!G195="","",'6a - Lighting Counts'!G195)</f>
        <v/>
      </c>
      <c r="C169" s="42" t="str">
        <f t="shared" si="7"/>
        <v/>
      </c>
    </row>
    <row r="170" spans="1:3" x14ac:dyDescent="0.25">
      <c r="A170" s="42">
        <f>IF(COUNTIF($B$3:B170,B170)=1,A169+1,A169)</f>
        <v>1</v>
      </c>
      <c r="B170" s="42" t="str">
        <f>IF('6a - Lighting Counts'!G196="","",'6a - Lighting Counts'!G196)</f>
        <v/>
      </c>
      <c r="C170" s="42" t="str">
        <f t="shared" si="7"/>
        <v/>
      </c>
    </row>
    <row r="171" spans="1:3" x14ac:dyDescent="0.25">
      <c r="A171" s="42">
        <f>IF(COUNTIF($B$3:B171,B171)=1,A170+1,A170)</f>
        <v>1</v>
      </c>
      <c r="B171" s="42" t="str">
        <f>IF('6a - Lighting Counts'!G197="","",'6a - Lighting Counts'!G197)</f>
        <v/>
      </c>
      <c r="C171" s="42" t="str">
        <f t="shared" si="7"/>
        <v/>
      </c>
    </row>
    <row r="172" spans="1:3" x14ac:dyDescent="0.25">
      <c r="A172" s="42">
        <f>IF(COUNTIF($B$3:B172,B172)=1,A171+1,A171)</f>
        <v>1</v>
      </c>
      <c r="B172" s="42" t="str">
        <f>IF('6a - Lighting Counts'!G198="","",'6a - Lighting Counts'!G198)</f>
        <v/>
      </c>
      <c r="C172" s="42" t="str">
        <f t="shared" si="7"/>
        <v/>
      </c>
    </row>
    <row r="173" spans="1:3" x14ac:dyDescent="0.25">
      <c r="A173" s="42">
        <f>IF(COUNTIF($B$3:B173,B173)=1,A172+1,A172)</f>
        <v>1</v>
      </c>
      <c r="B173" s="42" t="str">
        <f>IF('6a - Lighting Counts'!G199="","",'6a - Lighting Counts'!G199)</f>
        <v/>
      </c>
      <c r="C173" s="42" t="str">
        <f t="shared" si="7"/>
        <v/>
      </c>
    </row>
    <row r="174" spans="1:3" x14ac:dyDescent="0.25">
      <c r="A174" s="42">
        <f>IF(COUNTIF($B$3:B174,B174)=1,A173+1,A173)</f>
        <v>1</v>
      </c>
      <c r="B174" s="42" t="str">
        <f>IF('6a - Lighting Counts'!G200="","",'6a - Lighting Counts'!G200)</f>
        <v/>
      </c>
      <c r="C174" s="42" t="str">
        <f t="shared" si="7"/>
        <v/>
      </c>
    </row>
    <row r="175" spans="1:3" x14ac:dyDescent="0.25">
      <c r="A175" s="42">
        <f>IF(COUNTIF($B$3:B175,B175)=1,A174+1,A174)</f>
        <v>1</v>
      </c>
      <c r="B175" s="42" t="str">
        <f>IF('6a - Lighting Counts'!G201="","",'6a - Lighting Counts'!G201)</f>
        <v/>
      </c>
      <c r="C175" s="42" t="str">
        <f t="shared" si="7"/>
        <v/>
      </c>
    </row>
    <row r="176" spans="1:3" x14ac:dyDescent="0.25">
      <c r="A176" s="42">
        <f>IF(COUNTIF($B$3:B176,B176)=1,A175+1,A175)</f>
        <v>1</v>
      </c>
      <c r="B176" s="42" t="str">
        <f>IF('6a - Lighting Counts'!G202="","",'6a - Lighting Counts'!G202)</f>
        <v/>
      </c>
      <c r="C176" s="42" t="str">
        <f t="shared" si="7"/>
        <v/>
      </c>
    </row>
    <row r="177" spans="1:3" x14ac:dyDescent="0.25">
      <c r="A177" s="42">
        <f>IF(COUNTIF($B$3:B177,B177)=1,A176+1,A176)</f>
        <v>1</v>
      </c>
      <c r="B177" s="42" t="str">
        <f>IF('6a - Lighting Counts'!G203="","",'6a - Lighting Counts'!G203)</f>
        <v/>
      </c>
      <c r="C177" s="42" t="str">
        <f t="shared" si="7"/>
        <v/>
      </c>
    </row>
    <row r="178" spans="1:3" x14ac:dyDescent="0.25">
      <c r="A178" s="42">
        <f>IF(COUNTIF($B$3:B178,B178)=1,A177+1,A177)</f>
        <v>1</v>
      </c>
      <c r="B178" s="42" t="str">
        <f>IF('6a - Lighting Counts'!G204="","",'6a - Lighting Counts'!G204)</f>
        <v/>
      </c>
      <c r="C178" s="42" t="str">
        <f t="shared" si="7"/>
        <v/>
      </c>
    </row>
    <row r="179" spans="1:3" x14ac:dyDescent="0.25">
      <c r="A179" s="42">
        <f>IF(COUNTIF($B$3:B179,B179)=1,A178+1,A178)</f>
        <v>1</v>
      </c>
      <c r="B179" s="42" t="str">
        <f>IF('6a - Lighting Counts'!G205="","",'6a - Lighting Counts'!G205)</f>
        <v/>
      </c>
      <c r="C179" s="42" t="str">
        <f t="shared" si="7"/>
        <v/>
      </c>
    </row>
    <row r="180" spans="1:3" x14ac:dyDescent="0.25">
      <c r="A180" s="42">
        <f>IF(COUNTIF($B$3:B180,B180)=1,A179+1,A179)</f>
        <v>1</v>
      </c>
      <c r="B180" s="42" t="str">
        <f>IF('6a - Lighting Counts'!G206="","",'6a - Lighting Counts'!G206)</f>
        <v/>
      </c>
      <c r="C180" s="42" t="str">
        <f t="shared" si="7"/>
        <v/>
      </c>
    </row>
    <row r="181" spans="1:3" x14ac:dyDescent="0.25">
      <c r="A181" s="42">
        <f>IF(COUNTIF($B$3:B181,B181)=1,A180+1,A180)</f>
        <v>1</v>
      </c>
      <c r="B181" s="42" t="str">
        <f>IF('6a - Lighting Counts'!G207="","",'6a - Lighting Counts'!G207)</f>
        <v/>
      </c>
      <c r="C181" s="42" t="str">
        <f t="shared" si="7"/>
        <v/>
      </c>
    </row>
    <row r="182" spans="1:3" x14ac:dyDescent="0.25">
      <c r="A182" s="42">
        <f>IF(COUNTIF($B$3:B182,B182)=1,A181+1,A181)</f>
        <v>1</v>
      </c>
      <c r="B182" s="42" t="str">
        <f>IF('6a - Lighting Counts'!G208="","",'6a - Lighting Counts'!G208)</f>
        <v/>
      </c>
      <c r="C182" s="42" t="str">
        <f t="shared" si="7"/>
        <v/>
      </c>
    </row>
    <row r="183" spans="1:3" x14ac:dyDescent="0.25">
      <c r="A183" s="42">
        <f>IF(COUNTIF($B$3:B183,B183)=1,A182+1,A182)</f>
        <v>1</v>
      </c>
      <c r="B183" s="42" t="str">
        <f>IF('6a - Lighting Counts'!G209="","",'6a - Lighting Counts'!G209)</f>
        <v/>
      </c>
      <c r="C183" s="42" t="str">
        <f t="shared" si="7"/>
        <v/>
      </c>
    </row>
    <row r="184" spans="1:3" x14ac:dyDescent="0.25">
      <c r="A184" s="42">
        <f>IF(COUNTIF($B$3:B184,B184)=1,A183+1,A183)</f>
        <v>1</v>
      </c>
      <c r="B184" s="42" t="str">
        <f>IF('6a - Lighting Counts'!G210="","",'6a - Lighting Counts'!G210)</f>
        <v/>
      </c>
      <c r="C184" s="42" t="str">
        <f t="shared" si="7"/>
        <v/>
      </c>
    </row>
    <row r="185" spans="1:3" x14ac:dyDescent="0.25">
      <c r="A185" s="42">
        <f>IF(COUNTIF($B$3:B185,B185)=1,A184+1,A184)</f>
        <v>1</v>
      </c>
      <c r="B185" s="42" t="str">
        <f>IF('6a - Lighting Counts'!G211="","",'6a - Lighting Counts'!G211)</f>
        <v/>
      </c>
      <c r="C185" s="42" t="str">
        <f t="shared" si="7"/>
        <v/>
      </c>
    </row>
    <row r="186" spans="1:3" x14ac:dyDescent="0.25">
      <c r="A186" s="42">
        <f>IF(COUNTIF($B$3:B186,B186)=1,A185+1,A185)</f>
        <v>1</v>
      </c>
      <c r="B186" s="42" t="str">
        <f>IF('6a - Lighting Counts'!G212="","",'6a - Lighting Counts'!G212)</f>
        <v/>
      </c>
      <c r="C186" s="42" t="str">
        <f t="shared" si="7"/>
        <v/>
      </c>
    </row>
    <row r="187" spans="1:3" x14ac:dyDescent="0.25">
      <c r="A187" s="42">
        <f>IF(COUNTIF($B$3:B187,B187)=1,A186+1,A186)</f>
        <v>1</v>
      </c>
      <c r="B187" s="42" t="str">
        <f>IF('6a - Lighting Counts'!G213="","",'6a - Lighting Counts'!G213)</f>
        <v/>
      </c>
      <c r="C187" s="42" t="str">
        <f t="shared" si="7"/>
        <v/>
      </c>
    </row>
    <row r="188" spans="1:3" x14ac:dyDescent="0.25">
      <c r="A188" s="42">
        <f>IF(COUNTIF($B$3:B188,B188)=1,A187+1,A187)</f>
        <v>1</v>
      </c>
      <c r="B188" s="42" t="str">
        <f>IF('6a - Lighting Counts'!G214="","",'6a - Lighting Counts'!G214)</f>
        <v/>
      </c>
      <c r="C188" s="42" t="str">
        <f t="shared" si="7"/>
        <v/>
      </c>
    </row>
    <row r="189" spans="1:3" x14ac:dyDescent="0.25">
      <c r="A189" s="42">
        <f>IF(COUNTIF($B$3:B189,B189)=1,A188+1,A188)</f>
        <v>1</v>
      </c>
      <c r="B189" s="42" t="str">
        <f>IF('6a - Lighting Counts'!G215="","",'6a - Lighting Counts'!G215)</f>
        <v/>
      </c>
      <c r="C189" s="42" t="str">
        <f t="shared" si="7"/>
        <v/>
      </c>
    </row>
    <row r="190" spans="1:3" x14ac:dyDescent="0.25">
      <c r="A190" s="42">
        <f>IF(COUNTIF($B$3:B190,B190)=1,A189+1,A189)</f>
        <v>1</v>
      </c>
      <c r="B190" s="42" t="str">
        <f>IF('6a - Lighting Counts'!G216="","",'6a - Lighting Counts'!G216)</f>
        <v/>
      </c>
      <c r="C190" s="42" t="str">
        <f t="shared" si="7"/>
        <v/>
      </c>
    </row>
    <row r="191" spans="1:3" x14ac:dyDescent="0.25">
      <c r="A191" s="42">
        <f>IF(COUNTIF($B$3:B191,B191)=1,A190+1,A190)</f>
        <v>1</v>
      </c>
      <c r="B191" s="42" t="str">
        <f>IF('6a - Lighting Counts'!G217="","",'6a - Lighting Counts'!G217)</f>
        <v/>
      </c>
      <c r="C191" s="42" t="str">
        <f t="shared" si="7"/>
        <v/>
      </c>
    </row>
    <row r="192" spans="1:3" x14ac:dyDescent="0.25">
      <c r="A192" s="42">
        <f>IF(COUNTIF($B$3:B192,B192)=1,A191+1,A191)</f>
        <v>1</v>
      </c>
      <c r="B192" s="42" t="str">
        <f>IF('6a - Lighting Counts'!G218="","",'6a - Lighting Counts'!G218)</f>
        <v/>
      </c>
      <c r="C192" s="42" t="str">
        <f t="shared" si="7"/>
        <v/>
      </c>
    </row>
    <row r="193" spans="1:3" x14ac:dyDescent="0.25">
      <c r="A193" s="42">
        <f>IF(COUNTIF($B$3:B193,B193)=1,A192+1,A192)</f>
        <v>1</v>
      </c>
      <c r="B193" s="42" t="str">
        <f>IF('6a - Lighting Counts'!G219="","",'6a - Lighting Counts'!G219)</f>
        <v/>
      </c>
      <c r="C193" s="42" t="str">
        <f t="shared" si="7"/>
        <v/>
      </c>
    </row>
    <row r="194" spans="1:3" x14ac:dyDescent="0.25">
      <c r="A194" s="42">
        <f>IF(COUNTIF($B$3:B194,B194)=1,A193+1,A193)</f>
        <v>1</v>
      </c>
      <c r="B194" s="42" t="str">
        <f>IF('6a - Lighting Counts'!G220="","",'6a - Lighting Counts'!G220)</f>
        <v/>
      </c>
      <c r="C194" s="42" t="str">
        <f t="shared" si="7"/>
        <v/>
      </c>
    </row>
    <row r="195" spans="1:3" x14ac:dyDescent="0.25">
      <c r="A195" s="42">
        <f>IF(COUNTIF($B$3:B195,B195)=1,A194+1,A194)</f>
        <v>1</v>
      </c>
      <c r="B195" s="42" t="str">
        <f>IF('6a - Lighting Counts'!G221="","",'6a - Lighting Counts'!G221)</f>
        <v/>
      </c>
      <c r="C195" s="42" t="str">
        <f t="shared" si="7"/>
        <v/>
      </c>
    </row>
    <row r="196" spans="1:3" x14ac:dyDescent="0.25">
      <c r="A196" s="42">
        <f>IF(COUNTIF($B$3:B196,B196)=1,A195+1,A195)</f>
        <v>1</v>
      </c>
      <c r="B196" s="42" t="str">
        <f>IF('6a - Lighting Counts'!G222="","",'6a - Lighting Counts'!G222)</f>
        <v/>
      </c>
      <c r="C196" s="42" t="str">
        <f t="shared" ref="C196:C259" si="8">IFERROR(VLOOKUP(ROW()-2,$A$3:$B$550,2,FALSE),"")</f>
        <v/>
      </c>
    </row>
    <row r="197" spans="1:3" x14ac:dyDescent="0.25">
      <c r="A197" s="42">
        <f>IF(COUNTIF($B$3:B197,B197)=1,A196+1,A196)</f>
        <v>1</v>
      </c>
      <c r="B197" s="42" t="str">
        <f>IF('6a - Lighting Counts'!G223="","",'6a - Lighting Counts'!G223)</f>
        <v/>
      </c>
      <c r="C197" s="42" t="str">
        <f t="shared" si="8"/>
        <v/>
      </c>
    </row>
    <row r="198" spans="1:3" x14ac:dyDescent="0.25">
      <c r="A198" s="42">
        <f>IF(COUNTIF($B$3:B198,B198)=1,A197+1,A197)</f>
        <v>1</v>
      </c>
      <c r="B198" s="42" t="str">
        <f>IF('6a - Lighting Counts'!G224="","",'6a - Lighting Counts'!G224)</f>
        <v/>
      </c>
      <c r="C198" s="42" t="str">
        <f t="shared" si="8"/>
        <v/>
      </c>
    </row>
    <row r="199" spans="1:3" x14ac:dyDescent="0.25">
      <c r="A199" s="42">
        <f>IF(COUNTIF($B$3:B199,B199)=1,A198+1,A198)</f>
        <v>1</v>
      </c>
      <c r="B199" s="42" t="str">
        <f>IF('6a - Lighting Counts'!G225="","",'6a - Lighting Counts'!G225)</f>
        <v/>
      </c>
      <c r="C199" s="42" t="str">
        <f t="shared" si="8"/>
        <v/>
      </c>
    </row>
    <row r="200" spans="1:3" x14ac:dyDescent="0.25">
      <c r="A200" s="42">
        <f>IF(COUNTIF($B$3:B200,B200)=1,A199+1,A199)</f>
        <v>1</v>
      </c>
      <c r="B200" s="42" t="str">
        <f>IF('6a - Lighting Counts'!G226="","",'6a - Lighting Counts'!G226)</f>
        <v/>
      </c>
      <c r="C200" s="42" t="str">
        <f t="shared" si="8"/>
        <v/>
      </c>
    </row>
    <row r="201" spans="1:3" x14ac:dyDescent="0.25">
      <c r="A201" s="42">
        <f>IF(COUNTIF($B$3:B201,B201)=1,A200+1,A200)</f>
        <v>1</v>
      </c>
      <c r="B201" s="42" t="str">
        <f>IF('6a - Lighting Counts'!G227="","",'6a - Lighting Counts'!G227)</f>
        <v/>
      </c>
      <c r="C201" s="42" t="str">
        <f t="shared" si="8"/>
        <v/>
      </c>
    </row>
    <row r="202" spans="1:3" x14ac:dyDescent="0.25">
      <c r="A202" s="42">
        <f>IF(COUNTIF($B$3:B202,B202)=1,A201+1,A201)</f>
        <v>1</v>
      </c>
      <c r="B202" s="42" t="str">
        <f>IF('6a - Lighting Counts'!G228="","",'6a - Lighting Counts'!G228)</f>
        <v/>
      </c>
      <c r="C202" s="42" t="str">
        <f t="shared" si="8"/>
        <v/>
      </c>
    </row>
    <row r="203" spans="1:3" x14ac:dyDescent="0.25">
      <c r="A203" s="42">
        <f>IF(COUNTIF($B$3:B203,B203)=1,A202+1,A202)</f>
        <v>1</v>
      </c>
      <c r="B203" s="42" t="str">
        <f>IF('6a - Lighting Counts'!G229="","",'6a - Lighting Counts'!G229)</f>
        <v/>
      </c>
      <c r="C203" s="42" t="str">
        <f t="shared" si="8"/>
        <v/>
      </c>
    </row>
    <row r="204" spans="1:3" x14ac:dyDescent="0.25">
      <c r="A204" s="42">
        <f>IF(COUNTIF($B$3:B204,B204)=1,A203+1,A203)</f>
        <v>1</v>
      </c>
      <c r="B204" s="42" t="str">
        <f>IF('6a - Lighting Counts'!G230="","",'6a - Lighting Counts'!G230)</f>
        <v/>
      </c>
      <c r="C204" s="42" t="str">
        <f t="shared" si="8"/>
        <v/>
      </c>
    </row>
    <row r="205" spans="1:3" x14ac:dyDescent="0.25">
      <c r="A205" s="42">
        <f>IF(COUNTIF($B$3:B205,B205)=1,A204+1,A204)</f>
        <v>1</v>
      </c>
      <c r="B205" s="42" t="str">
        <f>IF('6a - Lighting Counts'!G231="","",'6a - Lighting Counts'!G231)</f>
        <v/>
      </c>
      <c r="C205" s="42" t="str">
        <f t="shared" si="8"/>
        <v/>
      </c>
    </row>
    <row r="206" spans="1:3" x14ac:dyDescent="0.25">
      <c r="A206" s="42">
        <f>IF(COUNTIF($B$3:B206,B206)=1,A205+1,A205)</f>
        <v>1</v>
      </c>
      <c r="B206" s="42" t="str">
        <f>IF('6a - Lighting Counts'!G232="","",'6a - Lighting Counts'!G232)</f>
        <v/>
      </c>
      <c r="C206" s="42" t="str">
        <f t="shared" si="8"/>
        <v/>
      </c>
    </row>
    <row r="207" spans="1:3" x14ac:dyDescent="0.25">
      <c r="A207" s="42">
        <f>IF(COUNTIF($B$3:B207,B207)=1,A206+1,A206)</f>
        <v>1</v>
      </c>
      <c r="B207" s="42" t="str">
        <f>IF('6a - Lighting Counts'!G233="","",'6a - Lighting Counts'!G233)</f>
        <v/>
      </c>
      <c r="C207" s="42" t="str">
        <f t="shared" si="8"/>
        <v/>
      </c>
    </row>
    <row r="208" spans="1:3" x14ac:dyDescent="0.25">
      <c r="A208" s="42">
        <f>IF(COUNTIF($B$3:B208,B208)=1,A207+1,A207)</f>
        <v>1</v>
      </c>
      <c r="B208" s="42" t="str">
        <f>IF('6a - Lighting Counts'!G234="","",'6a - Lighting Counts'!G234)</f>
        <v/>
      </c>
      <c r="C208" s="42" t="str">
        <f t="shared" si="8"/>
        <v/>
      </c>
    </row>
    <row r="209" spans="1:3" x14ac:dyDescent="0.25">
      <c r="A209" s="42">
        <f>IF(COUNTIF($B$3:B209,B209)=1,A208+1,A208)</f>
        <v>1</v>
      </c>
      <c r="B209" s="42" t="str">
        <f>IF('6a - Lighting Counts'!G235="","",'6a - Lighting Counts'!G235)</f>
        <v/>
      </c>
      <c r="C209" s="42" t="str">
        <f t="shared" si="8"/>
        <v/>
      </c>
    </row>
    <row r="210" spans="1:3" x14ac:dyDescent="0.25">
      <c r="A210" s="42">
        <f>IF(COUNTIF($B$3:B210,B210)=1,A209+1,A209)</f>
        <v>1</v>
      </c>
      <c r="B210" s="42" t="str">
        <f>IF('6a - Lighting Counts'!G236="","",'6a - Lighting Counts'!G236)</f>
        <v/>
      </c>
      <c r="C210" s="42" t="str">
        <f t="shared" si="8"/>
        <v/>
      </c>
    </row>
    <row r="211" spans="1:3" x14ac:dyDescent="0.25">
      <c r="A211" s="42">
        <f>IF(COUNTIF($B$3:B211,B211)=1,A210+1,A210)</f>
        <v>1</v>
      </c>
      <c r="B211" s="42" t="str">
        <f>IF('6a - Lighting Counts'!G237="","",'6a - Lighting Counts'!G237)</f>
        <v/>
      </c>
      <c r="C211" s="42" t="str">
        <f t="shared" si="8"/>
        <v/>
      </c>
    </row>
    <row r="212" spans="1:3" x14ac:dyDescent="0.25">
      <c r="A212" s="42">
        <f>IF(COUNTIF($B$3:B212,B212)=1,A211+1,A211)</f>
        <v>1</v>
      </c>
      <c r="B212" s="42" t="str">
        <f>IF('6a - Lighting Counts'!G238="","",'6a - Lighting Counts'!G238)</f>
        <v/>
      </c>
      <c r="C212" s="42" t="str">
        <f t="shared" si="8"/>
        <v/>
      </c>
    </row>
    <row r="213" spans="1:3" x14ac:dyDescent="0.25">
      <c r="A213" s="42">
        <f>IF(COUNTIF($B$3:B213,B213)=1,A212+1,A212)</f>
        <v>1</v>
      </c>
      <c r="B213" s="42" t="str">
        <f>IF('6a - Lighting Counts'!G239="","",'6a - Lighting Counts'!G239)</f>
        <v/>
      </c>
      <c r="C213" s="42" t="str">
        <f t="shared" si="8"/>
        <v/>
      </c>
    </row>
    <row r="214" spans="1:3" x14ac:dyDescent="0.25">
      <c r="A214" s="42">
        <f>IF(COUNTIF($B$3:B214,B214)=1,A213+1,A213)</f>
        <v>1</v>
      </c>
      <c r="B214" s="42" t="str">
        <f>IF('6a - Lighting Counts'!G240="","",'6a - Lighting Counts'!G240)</f>
        <v/>
      </c>
      <c r="C214" s="42" t="str">
        <f t="shared" si="8"/>
        <v/>
      </c>
    </row>
    <row r="215" spans="1:3" x14ac:dyDescent="0.25">
      <c r="A215" s="42">
        <f>IF(COUNTIF($B$3:B215,B215)=1,A214+1,A214)</f>
        <v>1</v>
      </c>
      <c r="B215" s="42" t="str">
        <f>IF('6a - Lighting Counts'!G241="","",'6a - Lighting Counts'!G241)</f>
        <v/>
      </c>
      <c r="C215" s="42" t="str">
        <f t="shared" si="8"/>
        <v/>
      </c>
    </row>
    <row r="216" spans="1:3" x14ac:dyDescent="0.25">
      <c r="A216" s="42">
        <f>IF(COUNTIF($B$3:B216,B216)=1,A215+1,A215)</f>
        <v>1</v>
      </c>
      <c r="B216" s="42" t="str">
        <f>IF('6a - Lighting Counts'!G242="","",'6a - Lighting Counts'!G242)</f>
        <v/>
      </c>
      <c r="C216" s="42" t="str">
        <f t="shared" si="8"/>
        <v/>
      </c>
    </row>
    <row r="217" spans="1:3" x14ac:dyDescent="0.25">
      <c r="A217" s="42">
        <f>IF(COUNTIF($B$3:B217,B217)=1,A216+1,A216)</f>
        <v>1</v>
      </c>
      <c r="B217" s="42" t="str">
        <f>IF('6a - Lighting Counts'!G243="","",'6a - Lighting Counts'!G243)</f>
        <v/>
      </c>
      <c r="C217" s="42" t="str">
        <f t="shared" si="8"/>
        <v/>
      </c>
    </row>
    <row r="218" spans="1:3" x14ac:dyDescent="0.25">
      <c r="A218" s="42">
        <f>IF(COUNTIF($B$3:B218,B218)=1,A217+1,A217)</f>
        <v>1</v>
      </c>
      <c r="B218" s="42" t="str">
        <f>IF('6a - Lighting Counts'!G244="","",'6a - Lighting Counts'!G244)</f>
        <v/>
      </c>
      <c r="C218" s="42" t="str">
        <f t="shared" si="8"/>
        <v/>
      </c>
    </row>
    <row r="219" spans="1:3" x14ac:dyDescent="0.25">
      <c r="A219" s="42">
        <f>IF(COUNTIF($B$3:B219,B219)=1,A218+1,A218)</f>
        <v>1</v>
      </c>
      <c r="B219" s="42" t="str">
        <f>IF('6a - Lighting Counts'!G245="","",'6a - Lighting Counts'!G245)</f>
        <v/>
      </c>
      <c r="C219" s="42" t="str">
        <f t="shared" si="8"/>
        <v/>
      </c>
    </row>
    <row r="220" spans="1:3" x14ac:dyDescent="0.25">
      <c r="A220" s="42">
        <f>IF(COUNTIF($B$3:B220,B220)=1,A219+1,A219)</f>
        <v>1</v>
      </c>
      <c r="B220" s="42" t="str">
        <f>IF('6a - Lighting Counts'!G246="","",'6a - Lighting Counts'!G246)</f>
        <v/>
      </c>
      <c r="C220" s="42" t="str">
        <f t="shared" si="8"/>
        <v/>
      </c>
    </row>
    <row r="221" spans="1:3" x14ac:dyDescent="0.25">
      <c r="A221" s="42">
        <f>IF(COUNTIF($B$3:B221,B221)=1,A220+1,A220)</f>
        <v>1</v>
      </c>
      <c r="B221" s="42" t="str">
        <f>IF('6a - Lighting Counts'!G247="","",'6a - Lighting Counts'!G247)</f>
        <v/>
      </c>
      <c r="C221" s="42" t="str">
        <f t="shared" si="8"/>
        <v/>
      </c>
    </row>
    <row r="222" spans="1:3" x14ac:dyDescent="0.25">
      <c r="A222" s="42">
        <f>IF(COUNTIF($B$3:B222,B222)=1,A221+1,A221)</f>
        <v>1</v>
      </c>
      <c r="B222" s="42" t="str">
        <f>IF('6a - Lighting Counts'!G248="","",'6a - Lighting Counts'!G248)</f>
        <v/>
      </c>
      <c r="C222" s="42" t="str">
        <f t="shared" si="8"/>
        <v/>
      </c>
    </row>
    <row r="223" spans="1:3" x14ac:dyDescent="0.25">
      <c r="A223" s="42">
        <f>IF(COUNTIF($B$3:B223,B223)=1,A222+1,A222)</f>
        <v>1</v>
      </c>
      <c r="B223" s="42" t="str">
        <f>IF('6a - Lighting Counts'!G249="","",'6a - Lighting Counts'!G249)</f>
        <v/>
      </c>
      <c r="C223" s="42" t="str">
        <f t="shared" si="8"/>
        <v/>
      </c>
    </row>
    <row r="224" spans="1:3" x14ac:dyDescent="0.25">
      <c r="A224" s="42">
        <f>IF(COUNTIF($B$3:B224,B224)=1,A223+1,A223)</f>
        <v>1</v>
      </c>
      <c r="B224" s="42" t="str">
        <f>IF('6a - Lighting Counts'!G250="","",'6a - Lighting Counts'!G250)</f>
        <v/>
      </c>
      <c r="C224" s="42" t="str">
        <f t="shared" si="8"/>
        <v/>
      </c>
    </row>
    <row r="225" spans="1:3" x14ac:dyDescent="0.25">
      <c r="A225" s="42">
        <f>IF(COUNTIF($B$3:B225,B225)=1,A224+1,A224)</f>
        <v>1</v>
      </c>
      <c r="B225" s="42" t="str">
        <f>IF('6a - Lighting Counts'!G251="","",'6a - Lighting Counts'!G251)</f>
        <v/>
      </c>
      <c r="C225" s="42" t="str">
        <f t="shared" si="8"/>
        <v/>
      </c>
    </row>
    <row r="226" spans="1:3" x14ac:dyDescent="0.25">
      <c r="A226" s="42">
        <f>IF(COUNTIF($B$3:B226,B226)=1,A225+1,A225)</f>
        <v>1</v>
      </c>
      <c r="B226" s="42" t="str">
        <f>IF('6a - Lighting Counts'!G252="","",'6a - Lighting Counts'!G252)</f>
        <v/>
      </c>
      <c r="C226" s="42" t="str">
        <f t="shared" si="8"/>
        <v/>
      </c>
    </row>
    <row r="227" spans="1:3" x14ac:dyDescent="0.25">
      <c r="A227" s="42">
        <f>IF(COUNTIF($B$3:B227,B227)=1,A226+1,A226)</f>
        <v>1</v>
      </c>
      <c r="B227" s="42" t="str">
        <f>IF('6a - Lighting Counts'!G253="","",'6a - Lighting Counts'!G253)</f>
        <v/>
      </c>
      <c r="C227" s="42" t="str">
        <f t="shared" si="8"/>
        <v/>
      </c>
    </row>
    <row r="228" spans="1:3" x14ac:dyDescent="0.25">
      <c r="A228" s="42">
        <f>IF(COUNTIF($B$3:B228,B228)=1,A227+1,A227)</f>
        <v>1</v>
      </c>
      <c r="B228" s="42" t="str">
        <f>IF('6a - Lighting Counts'!G254="","",'6a - Lighting Counts'!G254)</f>
        <v/>
      </c>
      <c r="C228" s="42" t="str">
        <f t="shared" si="8"/>
        <v/>
      </c>
    </row>
    <row r="229" spans="1:3" x14ac:dyDescent="0.25">
      <c r="A229" s="42">
        <f>IF(COUNTIF($B$3:B229,B229)=1,A228+1,A228)</f>
        <v>1</v>
      </c>
      <c r="B229" s="42" t="str">
        <f>IF('6a - Lighting Counts'!G255="","",'6a - Lighting Counts'!G255)</f>
        <v/>
      </c>
      <c r="C229" s="42" t="str">
        <f t="shared" si="8"/>
        <v/>
      </c>
    </row>
    <row r="230" spans="1:3" x14ac:dyDescent="0.25">
      <c r="A230" s="42">
        <f>IF(COUNTIF($B$3:B230,B230)=1,A229+1,A229)</f>
        <v>1</v>
      </c>
      <c r="B230" s="42" t="str">
        <f>IF('6a - Lighting Counts'!G256="","",'6a - Lighting Counts'!G256)</f>
        <v/>
      </c>
      <c r="C230" s="42" t="str">
        <f t="shared" si="8"/>
        <v/>
      </c>
    </row>
    <row r="231" spans="1:3" x14ac:dyDescent="0.25">
      <c r="A231" s="42">
        <f>IF(COUNTIF($B$3:B231,B231)=1,A230+1,A230)</f>
        <v>1</v>
      </c>
      <c r="B231" s="42" t="str">
        <f>IF('6a - Lighting Counts'!G257="","",'6a - Lighting Counts'!G257)</f>
        <v/>
      </c>
      <c r="C231" s="42" t="str">
        <f t="shared" si="8"/>
        <v/>
      </c>
    </row>
    <row r="232" spans="1:3" x14ac:dyDescent="0.25">
      <c r="A232" s="42">
        <f>IF(COUNTIF($B$3:B232,B232)=1,A231+1,A231)</f>
        <v>1</v>
      </c>
      <c r="B232" s="42" t="str">
        <f>IF('6a - Lighting Counts'!G258="","",'6a - Lighting Counts'!G258)</f>
        <v/>
      </c>
      <c r="C232" s="42" t="str">
        <f t="shared" si="8"/>
        <v/>
      </c>
    </row>
    <row r="233" spans="1:3" x14ac:dyDescent="0.25">
      <c r="A233" s="42">
        <f>IF(COUNTIF($B$3:B233,B233)=1,A232+1,A232)</f>
        <v>1</v>
      </c>
      <c r="B233" s="42" t="str">
        <f>IF('6a - Lighting Counts'!G259="","",'6a - Lighting Counts'!G259)</f>
        <v/>
      </c>
      <c r="C233" s="42" t="str">
        <f t="shared" si="8"/>
        <v/>
      </c>
    </row>
    <row r="234" spans="1:3" x14ac:dyDescent="0.25">
      <c r="A234" s="42">
        <f>IF(COUNTIF($B$3:B234,B234)=1,A233+1,A233)</f>
        <v>1</v>
      </c>
      <c r="B234" s="42" t="str">
        <f>IF('6a - Lighting Counts'!G260="","",'6a - Lighting Counts'!G260)</f>
        <v/>
      </c>
      <c r="C234" s="42" t="str">
        <f t="shared" si="8"/>
        <v/>
      </c>
    </row>
    <row r="235" spans="1:3" x14ac:dyDescent="0.25">
      <c r="A235" s="42">
        <f>IF(COUNTIF($B$3:B235,B235)=1,A234+1,A234)</f>
        <v>1</v>
      </c>
      <c r="B235" s="42" t="str">
        <f>IF('6a - Lighting Counts'!G261="","",'6a - Lighting Counts'!G261)</f>
        <v/>
      </c>
      <c r="C235" s="42" t="str">
        <f t="shared" si="8"/>
        <v/>
      </c>
    </row>
    <row r="236" spans="1:3" x14ac:dyDescent="0.25">
      <c r="A236" s="42">
        <f>IF(COUNTIF($B$3:B236,B236)=1,A235+1,A235)</f>
        <v>1</v>
      </c>
      <c r="B236" s="42" t="str">
        <f>IF('6a - Lighting Counts'!G262="","",'6a - Lighting Counts'!G262)</f>
        <v/>
      </c>
      <c r="C236" s="42" t="str">
        <f t="shared" si="8"/>
        <v/>
      </c>
    </row>
    <row r="237" spans="1:3" x14ac:dyDescent="0.25">
      <c r="A237" s="42">
        <f>IF(COUNTIF($B$3:B237,B237)=1,A236+1,A236)</f>
        <v>1</v>
      </c>
      <c r="B237" s="42" t="str">
        <f>IF('6a - Lighting Counts'!G263="","",'6a - Lighting Counts'!G263)</f>
        <v/>
      </c>
      <c r="C237" s="42" t="str">
        <f t="shared" si="8"/>
        <v/>
      </c>
    </row>
    <row r="238" spans="1:3" x14ac:dyDescent="0.25">
      <c r="A238" s="42">
        <f>IF(COUNTIF($B$3:B238,B238)=1,A237+1,A237)</f>
        <v>1</v>
      </c>
      <c r="B238" s="42" t="str">
        <f>IF('6a - Lighting Counts'!G264="","",'6a - Lighting Counts'!G264)</f>
        <v/>
      </c>
      <c r="C238" s="42" t="str">
        <f t="shared" si="8"/>
        <v/>
      </c>
    </row>
    <row r="239" spans="1:3" x14ac:dyDescent="0.25">
      <c r="A239" s="42">
        <f>IF(COUNTIF($B$3:B239,B239)=1,A238+1,A238)</f>
        <v>1</v>
      </c>
      <c r="B239" s="42" t="str">
        <f>IF('6a - Lighting Counts'!G265="","",'6a - Lighting Counts'!G265)</f>
        <v/>
      </c>
      <c r="C239" s="42" t="str">
        <f t="shared" si="8"/>
        <v/>
      </c>
    </row>
    <row r="240" spans="1:3" x14ac:dyDescent="0.25">
      <c r="A240" s="42">
        <f>IF(COUNTIF($B$3:B240,B240)=1,A239+1,A239)</f>
        <v>1</v>
      </c>
      <c r="B240" s="42" t="str">
        <f>IF('6a - Lighting Counts'!G266="","",'6a - Lighting Counts'!G266)</f>
        <v/>
      </c>
      <c r="C240" s="42" t="str">
        <f t="shared" si="8"/>
        <v/>
      </c>
    </row>
    <row r="241" spans="1:3" x14ac:dyDescent="0.25">
      <c r="A241" s="42">
        <f>IF(COUNTIF($B$3:B241,B241)=1,A240+1,A240)</f>
        <v>1</v>
      </c>
      <c r="B241" s="42" t="str">
        <f>IF('6a - Lighting Counts'!G267="","",'6a - Lighting Counts'!G267)</f>
        <v/>
      </c>
      <c r="C241" s="42" t="str">
        <f t="shared" si="8"/>
        <v/>
      </c>
    </row>
    <row r="242" spans="1:3" x14ac:dyDescent="0.25">
      <c r="A242" s="42">
        <f>IF(COUNTIF($B$3:B242,B242)=1,A241+1,A241)</f>
        <v>1</v>
      </c>
      <c r="B242" s="42" t="str">
        <f>IF('6a - Lighting Counts'!G268="","",'6a - Lighting Counts'!G268)</f>
        <v/>
      </c>
      <c r="C242" s="42" t="str">
        <f t="shared" si="8"/>
        <v/>
      </c>
    </row>
    <row r="243" spans="1:3" x14ac:dyDescent="0.25">
      <c r="A243" s="42">
        <f>IF(COUNTIF($B$3:B243,B243)=1,A242+1,A242)</f>
        <v>1</v>
      </c>
      <c r="B243" s="42" t="str">
        <f>IF('6a - Lighting Counts'!G269="","",'6a - Lighting Counts'!G269)</f>
        <v/>
      </c>
      <c r="C243" s="42" t="str">
        <f t="shared" si="8"/>
        <v/>
      </c>
    </row>
    <row r="244" spans="1:3" x14ac:dyDescent="0.25">
      <c r="A244" s="42">
        <f>IF(COUNTIF($B$3:B244,B244)=1,A243+1,A243)</f>
        <v>1</v>
      </c>
      <c r="B244" s="42" t="str">
        <f>IF('6a - Lighting Counts'!G270="","",'6a - Lighting Counts'!G270)</f>
        <v/>
      </c>
      <c r="C244" s="42" t="str">
        <f t="shared" si="8"/>
        <v/>
      </c>
    </row>
    <row r="245" spans="1:3" x14ac:dyDescent="0.25">
      <c r="A245" s="42">
        <f>IF(COUNTIF($B$3:B245,B245)=1,A244+1,A244)</f>
        <v>1</v>
      </c>
      <c r="B245" s="42" t="str">
        <f>IF('6a - Lighting Counts'!G271="","",'6a - Lighting Counts'!G271)</f>
        <v/>
      </c>
      <c r="C245" s="42" t="str">
        <f t="shared" si="8"/>
        <v/>
      </c>
    </row>
    <row r="246" spans="1:3" x14ac:dyDescent="0.25">
      <c r="A246" s="42">
        <f>IF(COUNTIF($B$3:B246,B246)=1,A245+1,A245)</f>
        <v>1</v>
      </c>
      <c r="B246" s="42" t="str">
        <f>IF('6a - Lighting Counts'!G272="","",'6a - Lighting Counts'!G272)</f>
        <v/>
      </c>
      <c r="C246" s="42" t="str">
        <f t="shared" si="8"/>
        <v/>
      </c>
    </row>
    <row r="247" spans="1:3" x14ac:dyDescent="0.25">
      <c r="A247" s="42">
        <f>IF(COUNTIF($B$3:B247,B247)=1,A246+1,A246)</f>
        <v>1</v>
      </c>
      <c r="B247" s="42" t="str">
        <f>IF('6a - Lighting Counts'!G273="","",'6a - Lighting Counts'!G273)</f>
        <v/>
      </c>
      <c r="C247" s="42" t="str">
        <f t="shared" si="8"/>
        <v/>
      </c>
    </row>
    <row r="248" spans="1:3" x14ac:dyDescent="0.25">
      <c r="A248" s="42">
        <f>IF(COUNTIF($B$3:B248,B248)=1,A247+1,A247)</f>
        <v>1</v>
      </c>
      <c r="B248" s="42" t="str">
        <f>IF('6a - Lighting Counts'!G274="","",'6a - Lighting Counts'!G274)</f>
        <v/>
      </c>
      <c r="C248" s="42" t="str">
        <f t="shared" si="8"/>
        <v/>
      </c>
    </row>
    <row r="249" spans="1:3" x14ac:dyDescent="0.25">
      <c r="A249" s="42">
        <f>IF(COUNTIF($B$3:B249,B249)=1,A248+1,A248)</f>
        <v>1</v>
      </c>
      <c r="B249" s="42" t="str">
        <f>IF('6a - Lighting Counts'!G275="","",'6a - Lighting Counts'!G275)</f>
        <v/>
      </c>
      <c r="C249" s="42" t="str">
        <f t="shared" si="8"/>
        <v/>
      </c>
    </row>
    <row r="250" spans="1:3" x14ac:dyDescent="0.25">
      <c r="A250" s="42">
        <f>IF(COUNTIF($B$3:B250,B250)=1,A249+1,A249)</f>
        <v>1</v>
      </c>
      <c r="B250" s="42" t="str">
        <f>IF('6a - Lighting Counts'!G276="","",'6a - Lighting Counts'!G276)</f>
        <v/>
      </c>
      <c r="C250" s="42" t="str">
        <f t="shared" si="8"/>
        <v/>
      </c>
    </row>
    <row r="251" spans="1:3" x14ac:dyDescent="0.25">
      <c r="A251" s="42">
        <f>IF(COUNTIF($B$3:B251,B251)=1,A250+1,A250)</f>
        <v>1</v>
      </c>
      <c r="B251" s="42" t="str">
        <f>IF('6a - Lighting Counts'!G277="","",'6a - Lighting Counts'!G277)</f>
        <v/>
      </c>
      <c r="C251" s="42" t="str">
        <f t="shared" si="8"/>
        <v/>
      </c>
    </row>
    <row r="252" spans="1:3" x14ac:dyDescent="0.25">
      <c r="A252" s="42">
        <f>IF(COUNTIF($B$3:B252,B252)=1,A251+1,A251)</f>
        <v>1</v>
      </c>
      <c r="B252" s="42" t="str">
        <f>IF('6a - Lighting Counts'!G278="","",'6a - Lighting Counts'!G278)</f>
        <v/>
      </c>
      <c r="C252" s="42" t="str">
        <f t="shared" si="8"/>
        <v/>
      </c>
    </row>
    <row r="253" spans="1:3" x14ac:dyDescent="0.25">
      <c r="A253" s="42">
        <f>IF(COUNTIF($B$3:B253,B253)=1,A252+1,A252)</f>
        <v>1</v>
      </c>
      <c r="B253" s="42" t="str">
        <f>IF('6a - Lighting Counts'!G279="","",'6a - Lighting Counts'!G279)</f>
        <v/>
      </c>
      <c r="C253" s="42" t="str">
        <f t="shared" si="8"/>
        <v/>
      </c>
    </row>
    <row r="254" spans="1:3" x14ac:dyDescent="0.25">
      <c r="A254" s="42">
        <f>IF(COUNTIF($B$3:B254,B254)=1,A253+1,A253)</f>
        <v>1</v>
      </c>
      <c r="B254" s="42" t="str">
        <f>IF('6a - Lighting Counts'!G280="","",'6a - Lighting Counts'!G280)</f>
        <v/>
      </c>
      <c r="C254" s="42" t="str">
        <f t="shared" si="8"/>
        <v/>
      </c>
    </row>
    <row r="255" spans="1:3" x14ac:dyDescent="0.25">
      <c r="A255" s="42">
        <f>IF(COUNTIF($B$3:B255,B255)=1,A254+1,A254)</f>
        <v>1</v>
      </c>
      <c r="B255" s="42" t="str">
        <f>IF('6a - Lighting Counts'!G281="","",'6a - Lighting Counts'!G281)</f>
        <v/>
      </c>
      <c r="C255" s="42" t="str">
        <f t="shared" si="8"/>
        <v/>
      </c>
    </row>
    <row r="256" spans="1:3" x14ac:dyDescent="0.25">
      <c r="A256" s="42">
        <f>IF(COUNTIF($B$3:B256,B256)=1,A255+1,A255)</f>
        <v>1</v>
      </c>
      <c r="B256" s="42" t="str">
        <f>IF('6a - Lighting Counts'!G282="","",'6a - Lighting Counts'!G282)</f>
        <v/>
      </c>
      <c r="C256" s="42" t="str">
        <f t="shared" si="8"/>
        <v/>
      </c>
    </row>
    <row r="257" spans="1:3" x14ac:dyDescent="0.25">
      <c r="A257" s="42">
        <f>IF(COUNTIF($B$3:B257,B257)=1,A256+1,A256)</f>
        <v>1</v>
      </c>
      <c r="B257" s="42" t="str">
        <f>IF('6a - Lighting Counts'!G283="","",'6a - Lighting Counts'!G283)</f>
        <v/>
      </c>
      <c r="C257" s="42" t="str">
        <f t="shared" si="8"/>
        <v/>
      </c>
    </row>
    <row r="258" spans="1:3" x14ac:dyDescent="0.25">
      <c r="A258" s="42">
        <f>IF(COUNTIF($B$3:B258,B258)=1,A257+1,A257)</f>
        <v>1</v>
      </c>
      <c r="B258" s="42" t="str">
        <f>IF('6a - Lighting Counts'!G284="","",'6a - Lighting Counts'!G284)</f>
        <v/>
      </c>
      <c r="C258" s="42" t="str">
        <f t="shared" si="8"/>
        <v/>
      </c>
    </row>
    <row r="259" spans="1:3" x14ac:dyDescent="0.25">
      <c r="A259" s="42">
        <f>IF(COUNTIF($B$3:B259,B259)=1,A258+1,A258)</f>
        <v>1</v>
      </c>
      <c r="B259" s="42" t="str">
        <f>IF('6a - Lighting Counts'!G285="","",'6a - Lighting Counts'!G285)</f>
        <v/>
      </c>
      <c r="C259" s="42" t="str">
        <f t="shared" si="8"/>
        <v/>
      </c>
    </row>
    <row r="260" spans="1:3" x14ac:dyDescent="0.25">
      <c r="A260" s="42">
        <f>IF(COUNTIF($B$3:B260,B260)=1,A259+1,A259)</f>
        <v>1</v>
      </c>
      <c r="B260" s="42" t="str">
        <f>IF('6a - Lighting Counts'!G286="","",'6a - Lighting Counts'!G286)</f>
        <v/>
      </c>
      <c r="C260" s="42" t="str">
        <f t="shared" ref="C260:C323" si="9">IFERROR(VLOOKUP(ROW()-2,$A$3:$B$550,2,FALSE),"")</f>
        <v/>
      </c>
    </row>
    <row r="261" spans="1:3" x14ac:dyDescent="0.25">
      <c r="A261" s="42">
        <f>IF(COUNTIF($B$3:B261,B261)=1,A260+1,A260)</f>
        <v>1</v>
      </c>
      <c r="B261" s="42" t="str">
        <f>IF('6a - Lighting Counts'!G287="","",'6a - Lighting Counts'!G287)</f>
        <v/>
      </c>
      <c r="C261" s="42" t="str">
        <f t="shared" si="9"/>
        <v/>
      </c>
    </row>
    <row r="262" spans="1:3" x14ac:dyDescent="0.25">
      <c r="A262" s="42">
        <f>IF(COUNTIF($B$3:B262,B262)=1,A261+1,A261)</f>
        <v>1</v>
      </c>
      <c r="B262" s="42" t="str">
        <f>IF('6a - Lighting Counts'!G288="","",'6a - Lighting Counts'!G288)</f>
        <v/>
      </c>
      <c r="C262" s="42" t="str">
        <f t="shared" si="9"/>
        <v/>
      </c>
    </row>
    <row r="263" spans="1:3" x14ac:dyDescent="0.25">
      <c r="A263" s="42">
        <f>IF(COUNTIF($B$3:B263,B263)=1,A262+1,A262)</f>
        <v>1</v>
      </c>
      <c r="B263" s="42" t="str">
        <f>IF('6a - Lighting Counts'!G289="","",'6a - Lighting Counts'!G289)</f>
        <v/>
      </c>
      <c r="C263" s="42" t="str">
        <f t="shared" si="9"/>
        <v/>
      </c>
    </row>
    <row r="264" spans="1:3" x14ac:dyDescent="0.25">
      <c r="A264" s="42">
        <f>IF(COUNTIF($B$3:B264,B264)=1,A263+1,A263)</f>
        <v>1</v>
      </c>
      <c r="B264" s="42" t="str">
        <f>IF('6a - Lighting Counts'!G290="","",'6a - Lighting Counts'!G290)</f>
        <v/>
      </c>
      <c r="C264" s="42" t="str">
        <f t="shared" si="9"/>
        <v/>
      </c>
    </row>
    <row r="265" spans="1:3" x14ac:dyDescent="0.25">
      <c r="A265" s="42">
        <f>IF(COUNTIF($B$3:B265,B265)=1,A264+1,A264)</f>
        <v>1</v>
      </c>
      <c r="B265" s="42" t="str">
        <f>IF('6a - Lighting Counts'!G291="","",'6a - Lighting Counts'!G291)</f>
        <v/>
      </c>
      <c r="C265" s="42" t="str">
        <f t="shared" si="9"/>
        <v/>
      </c>
    </row>
    <row r="266" spans="1:3" x14ac:dyDescent="0.25">
      <c r="A266" s="42">
        <f>IF(COUNTIF($B$3:B266,B266)=1,A265+1,A265)</f>
        <v>1</v>
      </c>
      <c r="B266" s="42" t="str">
        <f>IF('6a - Lighting Counts'!G292="","",'6a - Lighting Counts'!G292)</f>
        <v/>
      </c>
      <c r="C266" s="42" t="str">
        <f t="shared" si="9"/>
        <v/>
      </c>
    </row>
    <row r="267" spans="1:3" x14ac:dyDescent="0.25">
      <c r="A267" s="42">
        <f>IF(COUNTIF($B$3:B267,B267)=1,A266+1,A266)</f>
        <v>1</v>
      </c>
      <c r="B267" s="42" t="str">
        <f>IF('6a - Lighting Counts'!G293="","",'6a - Lighting Counts'!G293)</f>
        <v/>
      </c>
      <c r="C267" s="42" t="str">
        <f t="shared" si="9"/>
        <v/>
      </c>
    </row>
    <row r="268" spans="1:3" x14ac:dyDescent="0.25">
      <c r="A268" s="42">
        <f>IF(COUNTIF($B$3:B268,B268)=1,A267+1,A267)</f>
        <v>1</v>
      </c>
      <c r="B268" s="42" t="str">
        <f>IF('6a - Lighting Counts'!G294="","",'6a - Lighting Counts'!G294)</f>
        <v/>
      </c>
      <c r="C268" s="42" t="str">
        <f t="shared" si="9"/>
        <v/>
      </c>
    </row>
    <row r="269" spans="1:3" x14ac:dyDescent="0.25">
      <c r="A269" s="42">
        <f>IF(COUNTIF($B$3:B269,B269)=1,A268+1,A268)</f>
        <v>1</v>
      </c>
      <c r="B269" s="42" t="str">
        <f>IF('6a - Lighting Counts'!G295="","",'6a - Lighting Counts'!G295)</f>
        <v/>
      </c>
      <c r="C269" s="42" t="str">
        <f t="shared" si="9"/>
        <v/>
      </c>
    </row>
    <row r="270" spans="1:3" x14ac:dyDescent="0.25">
      <c r="A270" s="42">
        <f>IF(COUNTIF($B$3:B270,B270)=1,A269+1,A269)</f>
        <v>1</v>
      </c>
      <c r="B270" s="42" t="str">
        <f>IF('6a - Lighting Counts'!G296="","",'6a - Lighting Counts'!G296)</f>
        <v/>
      </c>
      <c r="C270" s="42" t="str">
        <f t="shared" si="9"/>
        <v/>
      </c>
    </row>
    <row r="271" spans="1:3" x14ac:dyDescent="0.25">
      <c r="A271" s="42">
        <f>IF(COUNTIF($B$3:B271,B271)=1,A270+1,A270)</f>
        <v>1</v>
      </c>
      <c r="B271" s="42" t="str">
        <f>IF('6a - Lighting Counts'!G297="","",'6a - Lighting Counts'!G297)</f>
        <v/>
      </c>
      <c r="C271" s="42" t="str">
        <f t="shared" si="9"/>
        <v/>
      </c>
    </row>
    <row r="272" spans="1:3" x14ac:dyDescent="0.25">
      <c r="A272" s="42">
        <f>IF(COUNTIF($B$3:B272,B272)=1,A271+1,A271)</f>
        <v>1</v>
      </c>
      <c r="B272" s="42" t="str">
        <f>IF('6a - Lighting Counts'!G298="","",'6a - Lighting Counts'!G298)</f>
        <v/>
      </c>
      <c r="C272" s="42" t="str">
        <f t="shared" si="9"/>
        <v/>
      </c>
    </row>
    <row r="273" spans="1:3" x14ac:dyDescent="0.25">
      <c r="A273" s="42">
        <f>IF(COUNTIF($B$3:B273,B273)=1,A272+1,A272)</f>
        <v>1</v>
      </c>
      <c r="B273" s="42" t="str">
        <f>IF('6a - Lighting Counts'!G299="","",'6a - Lighting Counts'!G299)</f>
        <v/>
      </c>
      <c r="C273" s="42" t="str">
        <f t="shared" si="9"/>
        <v/>
      </c>
    </row>
    <row r="274" spans="1:3" x14ac:dyDescent="0.25">
      <c r="A274" s="42">
        <f>IF(COUNTIF($B$3:B274,B274)=1,A273+1,A273)</f>
        <v>1</v>
      </c>
      <c r="B274" s="42" t="str">
        <f>IF('6a - Lighting Counts'!G300="","",'6a - Lighting Counts'!G300)</f>
        <v/>
      </c>
      <c r="C274" s="42" t="str">
        <f t="shared" si="9"/>
        <v/>
      </c>
    </row>
    <row r="275" spans="1:3" x14ac:dyDescent="0.25">
      <c r="A275" s="42">
        <f>IF(COUNTIF($B$3:B275,B275)=1,A274+1,A274)</f>
        <v>1</v>
      </c>
      <c r="B275" s="42" t="str">
        <f>IF('6a - Lighting Counts'!G301="","",'6a - Lighting Counts'!G301)</f>
        <v/>
      </c>
      <c r="C275" s="42" t="str">
        <f t="shared" si="9"/>
        <v/>
      </c>
    </row>
    <row r="276" spans="1:3" x14ac:dyDescent="0.25">
      <c r="A276" s="42">
        <f>IF(COUNTIF($B$3:B276,B276)=1,A275+1,A275)</f>
        <v>1</v>
      </c>
      <c r="B276" s="42" t="str">
        <f>IF('6a - Lighting Counts'!G302="","",'6a - Lighting Counts'!G302)</f>
        <v/>
      </c>
      <c r="C276" s="42" t="str">
        <f t="shared" si="9"/>
        <v/>
      </c>
    </row>
    <row r="277" spans="1:3" x14ac:dyDescent="0.25">
      <c r="A277" s="42">
        <f>IF(COUNTIF($B$3:B277,B277)=1,A276+1,A276)</f>
        <v>1</v>
      </c>
      <c r="B277" s="42" t="str">
        <f>IF('6a - Lighting Counts'!G303="","",'6a - Lighting Counts'!G303)</f>
        <v/>
      </c>
      <c r="C277" s="42" t="str">
        <f t="shared" si="9"/>
        <v/>
      </c>
    </row>
    <row r="278" spans="1:3" x14ac:dyDescent="0.25">
      <c r="A278" s="42">
        <f>IF(COUNTIF($B$3:B278,B278)=1,A277+1,A277)</f>
        <v>1</v>
      </c>
      <c r="B278" s="42" t="str">
        <f>IF('6a - Lighting Counts'!G304="","",'6a - Lighting Counts'!G304)</f>
        <v/>
      </c>
      <c r="C278" s="42" t="str">
        <f t="shared" si="9"/>
        <v/>
      </c>
    </row>
    <row r="279" spans="1:3" x14ac:dyDescent="0.25">
      <c r="A279" s="42">
        <f>IF(COUNTIF($B$3:B279,B279)=1,A278+1,A278)</f>
        <v>1</v>
      </c>
      <c r="B279" s="42" t="str">
        <f>IF('6a - Lighting Counts'!G305="","",'6a - Lighting Counts'!G305)</f>
        <v/>
      </c>
      <c r="C279" s="42" t="str">
        <f t="shared" si="9"/>
        <v/>
      </c>
    </row>
    <row r="280" spans="1:3" x14ac:dyDescent="0.25">
      <c r="A280" s="42">
        <f>IF(COUNTIF($B$3:B280,B280)=1,A279+1,A279)</f>
        <v>1</v>
      </c>
      <c r="B280" s="42" t="str">
        <f>IF('6a - Lighting Counts'!G306="","",'6a - Lighting Counts'!G306)</f>
        <v/>
      </c>
      <c r="C280" s="42" t="str">
        <f t="shared" si="9"/>
        <v/>
      </c>
    </row>
    <row r="281" spans="1:3" x14ac:dyDescent="0.25">
      <c r="A281" s="42">
        <f>IF(COUNTIF($B$3:B281,B281)=1,A280+1,A280)</f>
        <v>1</v>
      </c>
      <c r="B281" s="42" t="str">
        <f>IF('6a - Lighting Counts'!G307="","",'6a - Lighting Counts'!G307)</f>
        <v/>
      </c>
      <c r="C281" s="42" t="str">
        <f t="shared" si="9"/>
        <v/>
      </c>
    </row>
    <row r="282" spans="1:3" x14ac:dyDescent="0.25">
      <c r="A282" s="42">
        <f>IF(COUNTIF($B$3:B282,B282)=1,A281+1,A281)</f>
        <v>1</v>
      </c>
      <c r="B282" s="42" t="str">
        <f>IF('6a - Lighting Counts'!G308="","",'6a - Lighting Counts'!G308)</f>
        <v/>
      </c>
      <c r="C282" s="42" t="str">
        <f t="shared" si="9"/>
        <v/>
      </c>
    </row>
    <row r="283" spans="1:3" x14ac:dyDescent="0.25">
      <c r="A283" s="42">
        <f>IF(COUNTIF($B$3:B283,B283)=1,A282+1,A282)</f>
        <v>1</v>
      </c>
      <c r="B283" s="42" t="str">
        <f>IF('6a - Lighting Counts'!G309="","",'6a - Lighting Counts'!G309)</f>
        <v/>
      </c>
      <c r="C283" s="42" t="str">
        <f t="shared" si="9"/>
        <v/>
      </c>
    </row>
    <row r="284" spans="1:3" x14ac:dyDescent="0.25">
      <c r="A284" s="42">
        <f>IF(COUNTIF($B$3:B284,B284)=1,A283+1,A283)</f>
        <v>1</v>
      </c>
      <c r="B284" s="42" t="str">
        <f>IF('6a - Lighting Counts'!G310="","",'6a - Lighting Counts'!G310)</f>
        <v/>
      </c>
      <c r="C284" s="42" t="str">
        <f t="shared" si="9"/>
        <v/>
      </c>
    </row>
    <row r="285" spans="1:3" x14ac:dyDescent="0.25">
      <c r="A285" s="42">
        <f>IF(COUNTIF($B$3:B285,B285)=1,A284+1,A284)</f>
        <v>1</v>
      </c>
      <c r="B285" s="42" t="str">
        <f>IF('6a - Lighting Counts'!G311="","",'6a - Lighting Counts'!G311)</f>
        <v/>
      </c>
      <c r="C285" s="42" t="str">
        <f t="shared" si="9"/>
        <v/>
      </c>
    </row>
    <row r="286" spans="1:3" x14ac:dyDescent="0.25">
      <c r="A286" s="42">
        <f>IF(COUNTIF($B$3:B286,B286)=1,A285+1,A285)</f>
        <v>1</v>
      </c>
      <c r="B286" s="42" t="str">
        <f>IF('6a - Lighting Counts'!G312="","",'6a - Lighting Counts'!G312)</f>
        <v/>
      </c>
      <c r="C286" s="42" t="str">
        <f t="shared" si="9"/>
        <v/>
      </c>
    </row>
    <row r="287" spans="1:3" x14ac:dyDescent="0.25">
      <c r="A287" s="42">
        <f>IF(COUNTIF($B$3:B287,B287)=1,A286+1,A286)</f>
        <v>1</v>
      </c>
      <c r="B287" s="42" t="str">
        <f>IF('6a - Lighting Counts'!G313="","",'6a - Lighting Counts'!G313)</f>
        <v/>
      </c>
      <c r="C287" s="42" t="str">
        <f t="shared" si="9"/>
        <v/>
      </c>
    </row>
    <row r="288" spans="1:3" x14ac:dyDescent="0.25">
      <c r="A288" s="42">
        <f>IF(COUNTIF($B$3:B288,B288)=1,A287+1,A287)</f>
        <v>1</v>
      </c>
      <c r="B288" s="42" t="str">
        <f>IF('6a - Lighting Counts'!G314="","",'6a - Lighting Counts'!G314)</f>
        <v/>
      </c>
      <c r="C288" s="42" t="str">
        <f t="shared" si="9"/>
        <v/>
      </c>
    </row>
    <row r="289" spans="1:3" x14ac:dyDescent="0.25">
      <c r="A289" s="42">
        <f>IF(COUNTIF($B$3:B289,B289)=1,A288+1,A288)</f>
        <v>1</v>
      </c>
      <c r="B289" s="42" t="str">
        <f>IF('6a - Lighting Counts'!G315="","",'6a - Lighting Counts'!G315)</f>
        <v/>
      </c>
      <c r="C289" s="42" t="str">
        <f t="shared" si="9"/>
        <v/>
      </c>
    </row>
    <row r="290" spans="1:3" x14ac:dyDescent="0.25">
      <c r="A290" s="42">
        <f>IF(COUNTIF($B$3:B290,B290)=1,A289+1,A289)</f>
        <v>1</v>
      </c>
      <c r="B290" s="42" t="str">
        <f>IF('6a - Lighting Counts'!G316="","",'6a - Lighting Counts'!G316)</f>
        <v/>
      </c>
      <c r="C290" s="42" t="str">
        <f t="shared" si="9"/>
        <v/>
      </c>
    </row>
    <row r="291" spans="1:3" x14ac:dyDescent="0.25">
      <c r="A291" s="42">
        <f>IF(COUNTIF($B$3:B291,B291)=1,A290+1,A290)</f>
        <v>1</v>
      </c>
      <c r="B291" s="42" t="str">
        <f>IF('6a - Lighting Counts'!G317="","",'6a - Lighting Counts'!G317)</f>
        <v/>
      </c>
      <c r="C291" s="42" t="str">
        <f t="shared" si="9"/>
        <v/>
      </c>
    </row>
    <row r="292" spans="1:3" x14ac:dyDescent="0.25">
      <c r="A292" s="42">
        <f>IF(COUNTIF($B$3:B292,B292)=1,A291+1,A291)</f>
        <v>1</v>
      </c>
      <c r="B292" s="42" t="str">
        <f>IF('6a - Lighting Counts'!G318="","",'6a - Lighting Counts'!G318)</f>
        <v/>
      </c>
      <c r="C292" s="42" t="str">
        <f t="shared" si="9"/>
        <v/>
      </c>
    </row>
    <row r="293" spans="1:3" x14ac:dyDescent="0.25">
      <c r="A293" s="42">
        <f>IF(COUNTIF($B$3:B293,B293)=1,A292+1,A292)</f>
        <v>1</v>
      </c>
      <c r="B293" s="42" t="str">
        <f>IF('6a - Lighting Counts'!G319="","",'6a - Lighting Counts'!G319)</f>
        <v/>
      </c>
      <c r="C293" s="42" t="str">
        <f t="shared" si="9"/>
        <v/>
      </c>
    </row>
    <row r="294" spans="1:3" x14ac:dyDescent="0.25">
      <c r="A294" s="42">
        <f>IF(COUNTIF($B$3:B294,B294)=1,A293+1,A293)</f>
        <v>1</v>
      </c>
      <c r="B294" s="42" t="str">
        <f>IF('6a - Lighting Counts'!G320="","",'6a - Lighting Counts'!G320)</f>
        <v/>
      </c>
      <c r="C294" s="42" t="str">
        <f t="shared" si="9"/>
        <v/>
      </c>
    </row>
    <row r="295" spans="1:3" x14ac:dyDescent="0.25">
      <c r="A295" s="42">
        <f>IF(COUNTIF($B$3:B295,B295)=1,A294+1,A294)</f>
        <v>1</v>
      </c>
      <c r="B295" s="42" t="str">
        <f>IF('6a - Lighting Counts'!G321="","",'6a - Lighting Counts'!G321)</f>
        <v/>
      </c>
      <c r="C295" s="42" t="str">
        <f t="shared" si="9"/>
        <v/>
      </c>
    </row>
    <row r="296" spans="1:3" x14ac:dyDescent="0.25">
      <c r="A296" s="42">
        <f>IF(COUNTIF($B$3:B296,B296)=1,A295+1,A295)</f>
        <v>1</v>
      </c>
      <c r="B296" s="42" t="str">
        <f>IF('6a - Lighting Counts'!G322="","",'6a - Lighting Counts'!G322)</f>
        <v/>
      </c>
      <c r="C296" s="42" t="str">
        <f t="shared" si="9"/>
        <v/>
      </c>
    </row>
    <row r="297" spans="1:3" x14ac:dyDescent="0.25">
      <c r="A297" s="42">
        <f>IF(COUNTIF($B$3:B297,B297)=1,A296+1,A296)</f>
        <v>1</v>
      </c>
      <c r="B297" s="42" t="str">
        <f>IF('6a - Lighting Counts'!G323="","",'6a - Lighting Counts'!G323)</f>
        <v/>
      </c>
      <c r="C297" s="42" t="str">
        <f t="shared" si="9"/>
        <v/>
      </c>
    </row>
    <row r="298" spans="1:3" x14ac:dyDescent="0.25">
      <c r="A298" s="42">
        <f>IF(COUNTIF($B$3:B298,B298)=1,A297+1,A297)</f>
        <v>1</v>
      </c>
      <c r="B298" s="42" t="str">
        <f>IF('6a - Lighting Counts'!G324="","",'6a - Lighting Counts'!G324)</f>
        <v/>
      </c>
      <c r="C298" s="42" t="str">
        <f t="shared" si="9"/>
        <v/>
      </c>
    </row>
    <row r="299" spans="1:3" x14ac:dyDescent="0.25">
      <c r="A299" s="42">
        <f>IF(COUNTIF($B$3:B299,B299)=1,A298+1,A298)</f>
        <v>1</v>
      </c>
      <c r="B299" s="42" t="str">
        <f>IF('6a - Lighting Counts'!G325="","",'6a - Lighting Counts'!G325)</f>
        <v/>
      </c>
      <c r="C299" s="42" t="str">
        <f t="shared" si="9"/>
        <v/>
      </c>
    </row>
    <row r="300" spans="1:3" x14ac:dyDescent="0.25">
      <c r="A300" s="42">
        <f>IF(COUNTIF($B$3:B300,B300)=1,A299+1,A299)</f>
        <v>1</v>
      </c>
      <c r="B300" s="42" t="str">
        <f>IF('6a - Lighting Counts'!G326="","",'6a - Lighting Counts'!G326)</f>
        <v/>
      </c>
      <c r="C300" s="42" t="str">
        <f t="shared" si="9"/>
        <v/>
      </c>
    </row>
    <row r="301" spans="1:3" x14ac:dyDescent="0.25">
      <c r="A301" s="42">
        <f>IF(COUNTIF($B$3:B301,B301)=1,A300+1,A300)</f>
        <v>1</v>
      </c>
      <c r="B301" s="42" t="str">
        <f>IF('6a - Lighting Counts'!G327="","",'6a - Lighting Counts'!G327)</f>
        <v/>
      </c>
      <c r="C301" s="42" t="str">
        <f t="shared" si="9"/>
        <v/>
      </c>
    </row>
    <row r="302" spans="1:3" x14ac:dyDescent="0.25">
      <c r="A302" s="42">
        <f>IF(COUNTIF($B$3:B302,B302)=1,A301+1,A301)</f>
        <v>1</v>
      </c>
      <c r="B302" s="42" t="str">
        <f>IF('6a - Lighting Counts'!G328="","",'6a - Lighting Counts'!G328)</f>
        <v/>
      </c>
      <c r="C302" s="42" t="str">
        <f t="shared" si="9"/>
        <v/>
      </c>
    </row>
    <row r="303" spans="1:3" x14ac:dyDescent="0.25">
      <c r="A303" s="42">
        <f>IF(COUNTIF($B$3:B303,B303)=1,A302+1,A302)</f>
        <v>1</v>
      </c>
      <c r="B303" s="42" t="str">
        <f>IF('6a - Lighting Counts'!G329="","",'6a - Lighting Counts'!G329)</f>
        <v/>
      </c>
      <c r="C303" s="42" t="str">
        <f t="shared" si="9"/>
        <v/>
      </c>
    </row>
    <row r="304" spans="1:3" x14ac:dyDescent="0.25">
      <c r="A304" s="42">
        <f>IF(COUNTIF($B$3:B304,B304)=1,A303+1,A303)</f>
        <v>1</v>
      </c>
      <c r="B304" s="42" t="str">
        <f>IF('6a - Lighting Counts'!G330="","",'6a - Lighting Counts'!G330)</f>
        <v/>
      </c>
      <c r="C304" s="42" t="str">
        <f t="shared" si="9"/>
        <v/>
      </c>
    </row>
    <row r="305" spans="1:3" x14ac:dyDescent="0.25">
      <c r="A305" s="42">
        <f>IF(COUNTIF($B$3:B305,B305)=1,A304+1,A304)</f>
        <v>1</v>
      </c>
      <c r="B305" s="42" t="str">
        <f>IF('6a - Lighting Counts'!G331="","",'6a - Lighting Counts'!G331)</f>
        <v/>
      </c>
      <c r="C305" s="42" t="str">
        <f t="shared" si="9"/>
        <v/>
      </c>
    </row>
    <row r="306" spans="1:3" x14ac:dyDescent="0.25">
      <c r="A306" s="42">
        <f>IF(COUNTIF($B$3:B306,B306)=1,A305+1,A305)</f>
        <v>1</v>
      </c>
      <c r="B306" s="42" t="str">
        <f>IF('6a - Lighting Counts'!G332="","",'6a - Lighting Counts'!G332)</f>
        <v/>
      </c>
      <c r="C306" s="42" t="str">
        <f t="shared" si="9"/>
        <v/>
      </c>
    </row>
    <row r="307" spans="1:3" x14ac:dyDescent="0.25">
      <c r="A307" s="42">
        <f>IF(COUNTIF($B$3:B307,B307)=1,A306+1,A306)</f>
        <v>1</v>
      </c>
      <c r="B307" s="42" t="str">
        <f>IF('6a - Lighting Counts'!G333="","",'6a - Lighting Counts'!G333)</f>
        <v/>
      </c>
      <c r="C307" s="42" t="str">
        <f t="shared" si="9"/>
        <v/>
      </c>
    </row>
    <row r="308" spans="1:3" x14ac:dyDescent="0.25">
      <c r="A308" s="42">
        <f>IF(COUNTIF($B$3:B308,B308)=1,A307+1,A307)</f>
        <v>1</v>
      </c>
      <c r="B308" s="42" t="str">
        <f>IF('6a - Lighting Counts'!G334="","",'6a - Lighting Counts'!G334)</f>
        <v/>
      </c>
      <c r="C308" s="42" t="str">
        <f t="shared" si="9"/>
        <v/>
      </c>
    </row>
    <row r="309" spans="1:3" x14ac:dyDescent="0.25">
      <c r="A309" s="42">
        <f>IF(COUNTIF($B$3:B309,B309)=1,A308+1,A308)</f>
        <v>1</v>
      </c>
      <c r="B309" s="42" t="str">
        <f>IF('6a - Lighting Counts'!G335="","",'6a - Lighting Counts'!G335)</f>
        <v/>
      </c>
      <c r="C309" s="42" t="str">
        <f t="shared" si="9"/>
        <v/>
      </c>
    </row>
    <row r="310" spans="1:3" x14ac:dyDescent="0.25">
      <c r="A310" s="42">
        <f>IF(COUNTIF($B$3:B310,B310)=1,A309+1,A309)</f>
        <v>1</v>
      </c>
      <c r="B310" s="42" t="str">
        <f>IF('6a - Lighting Counts'!G336="","",'6a - Lighting Counts'!G336)</f>
        <v/>
      </c>
      <c r="C310" s="42" t="str">
        <f t="shared" si="9"/>
        <v/>
      </c>
    </row>
    <row r="311" spans="1:3" x14ac:dyDescent="0.25">
      <c r="A311" s="42">
        <f>IF(COUNTIF($B$3:B311,B311)=1,A310+1,A310)</f>
        <v>1</v>
      </c>
      <c r="B311" s="42" t="str">
        <f>IF('6a - Lighting Counts'!G337="","",'6a - Lighting Counts'!G337)</f>
        <v/>
      </c>
      <c r="C311" s="42" t="str">
        <f t="shared" si="9"/>
        <v/>
      </c>
    </row>
    <row r="312" spans="1:3" x14ac:dyDescent="0.25">
      <c r="A312" s="42">
        <f>IF(COUNTIF($B$3:B312,B312)=1,A311+1,A311)</f>
        <v>1</v>
      </c>
      <c r="B312" s="42" t="str">
        <f>IF('6a - Lighting Counts'!G338="","",'6a - Lighting Counts'!G338)</f>
        <v/>
      </c>
      <c r="C312" s="42" t="str">
        <f t="shared" si="9"/>
        <v/>
      </c>
    </row>
    <row r="313" spans="1:3" x14ac:dyDescent="0.25">
      <c r="A313" s="42">
        <f>IF(COUNTIF($B$3:B313,B313)=1,A312+1,A312)</f>
        <v>1</v>
      </c>
      <c r="B313" s="42" t="str">
        <f>IF('6a - Lighting Counts'!G339="","",'6a - Lighting Counts'!G339)</f>
        <v/>
      </c>
      <c r="C313" s="42" t="str">
        <f t="shared" si="9"/>
        <v/>
      </c>
    </row>
    <row r="314" spans="1:3" x14ac:dyDescent="0.25">
      <c r="A314" s="42">
        <f>IF(COUNTIF($B$3:B314,B314)=1,A313+1,A313)</f>
        <v>1</v>
      </c>
      <c r="B314" s="42" t="str">
        <f>IF('6a - Lighting Counts'!G340="","",'6a - Lighting Counts'!G340)</f>
        <v/>
      </c>
      <c r="C314" s="42" t="str">
        <f t="shared" si="9"/>
        <v/>
      </c>
    </row>
    <row r="315" spans="1:3" x14ac:dyDescent="0.25">
      <c r="A315" s="42">
        <f>IF(COUNTIF($B$3:B315,B315)=1,A314+1,A314)</f>
        <v>1</v>
      </c>
      <c r="B315" s="42" t="str">
        <f>IF('6a - Lighting Counts'!G341="","",'6a - Lighting Counts'!G341)</f>
        <v/>
      </c>
      <c r="C315" s="42" t="str">
        <f t="shared" si="9"/>
        <v/>
      </c>
    </row>
    <row r="316" spans="1:3" x14ac:dyDescent="0.25">
      <c r="A316" s="42">
        <f>IF(COUNTIF($B$3:B316,B316)=1,A315+1,A315)</f>
        <v>1</v>
      </c>
      <c r="B316" s="42" t="str">
        <f>IF('6a - Lighting Counts'!G342="","",'6a - Lighting Counts'!G342)</f>
        <v/>
      </c>
      <c r="C316" s="42" t="str">
        <f t="shared" si="9"/>
        <v/>
      </c>
    </row>
    <row r="317" spans="1:3" x14ac:dyDescent="0.25">
      <c r="A317" s="42">
        <f>IF(COUNTIF($B$3:B317,B317)=1,A316+1,A316)</f>
        <v>1</v>
      </c>
      <c r="B317" s="42" t="str">
        <f>IF('6a - Lighting Counts'!G343="","",'6a - Lighting Counts'!G343)</f>
        <v/>
      </c>
      <c r="C317" s="42" t="str">
        <f t="shared" si="9"/>
        <v/>
      </c>
    </row>
    <row r="318" spans="1:3" x14ac:dyDescent="0.25">
      <c r="A318" s="42">
        <f>IF(COUNTIF($B$3:B318,B318)=1,A317+1,A317)</f>
        <v>1</v>
      </c>
      <c r="B318" s="42" t="str">
        <f>IF('6a - Lighting Counts'!G344="","",'6a - Lighting Counts'!G344)</f>
        <v/>
      </c>
      <c r="C318" s="42" t="str">
        <f t="shared" si="9"/>
        <v/>
      </c>
    </row>
    <row r="319" spans="1:3" x14ac:dyDescent="0.25">
      <c r="A319" s="42">
        <f>IF(COUNTIF($B$3:B319,B319)=1,A318+1,A318)</f>
        <v>1</v>
      </c>
      <c r="B319" s="42" t="str">
        <f>IF('6a - Lighting Counts'!G345="","",'6a - Lighting Counts'!G345)</f>
        <v/>
      </c>
      <c r="C319" s="42" t="str">
        <f t="shared" si="9"/>
        <v/>
      </c>
    </row>
    <row r="320" spans="1:3" x14ac:dyDescent="0.25">
      <c r="A320" s="42">
        <f>IF(COUNTIF($B$3:B320,B320)=1,A319+1,A319)</f>
        <v>1</v>
      </c>
      <c r="B320" s="42" t="str">
        <f>IF('6a - Lighting Counts'!G346="","",'6a - Lighting Counts'!G346)</f>
        <v/>
      </c>
      <c r="C320" s="42" t="str">
        <f t="shared" si="9"/>
        <v/>
      </c>
    </row>
    <row r="321" spans="1:3" x14ac:dyDescent="0.25">
      <c r="A321" s="42">
        <f>IF(COUNTIF($B$3:B321,B321)=1,A320+1,A320)</f>
        <v>1</v>
      </c>
      <c r="B321" s="42" t="str">
        <f>IF('6a - Lighting Counts'!G347="","",'6a - Lighting Counts'!G347)</f>
        <v/>
      </c>
      <c r="C321" s="42" t="str">
        <f t="shared" si="9"/>
        <v/>
      </c>
    </row>
    <row r="322" spans="1:3" x14ac:dyDescent="0.25">
      <c r="A322" s="42">
        <f>IF(COUNTIF($B$3:B322,B322)=1,A321+1,A321)</f>
        <v>1</v>
      </c>
      <c r="B322" s="42" t="str">
        <f>IF('6a - Lighting Counts'!G348="","",'6a - Lighting Counts'!G348)</f>
        <v/>
      </c>
      <c r="C322" s="42" t="str">
        <f t="shared" si="9"/>
        <v/>
      </c>
    </row>
    <row r="323" spans="1:3" x14ac:dyDescent="0.25">
      <c r="A323" s="42">
        <f>IF(COUNTIF($B$3:B323,B323)=1,A322+1,A322)</f>
        <v>1</v>
      </c>
      <c r="B323" s="42" t="str">
        <f>IF('6a - Lighting Counts'!G349="","",'6a - Lighting Counts'!G349)</f>
        <v/>
      </c>
      <c r="C323" s="42" t="str">
        <f t="shared" si="9"/>
        <v/>
      </c>
    </row>
    <row r="324" spans="1:3" x14ac:dyDescent="0.25">
      <c r="A324" s="42">
        <f>IF(COUNTIF($B$3:B324,B324)=1,A323+1,A323)</f>
        <v>1</v>
      </c>
      <c r="B324" s="42" t="str">
        <f>IF('6a - Lighting Counts'!G350="","",'6a - Lighting Counts'!G350)</f>
        <v/>
      </c>
      <c r="C324" s="42" t="str">
        <f t="shared" ref="C324:C387" si="10">IFERROR(VLOOKUP(ROW()-2,$A$3:$B$550,2,FALSE),"")</f>
        <v/>
      </c>
    </row>
    <row r="325" spans="1:3" x14ac:dyDescent="0.25">
      <c r="A325" s="42">
        <f>IF(COUNTIF($B$3:B325,B325)=1,A324+1,A324)</f>
        <v>1</v>
      </c>
      <c r="B325" s="42" t="str">
        <f>IF('6a - Lighting Counts'!G351="","",'6a - Lighting Counts'!G351)</f>
        <v/>
      </c>
      <c r="C325" s="42" t="str">
        <f t="shared" si="10"/>
        <v/>
      </c>
    </row>
    <row r="326" spans="1:3" x14ac:dyDescent="0.25">
      <c r="A326" s="42">
        <f>IF(COUNTIF($B$3:B326,B326)=1,A325+1,A325)</f>
        <v>1</v>
      </c>
      <c r="B326" s="42" t="str">
        <f>IF('6a - Lighting Counts'!G352="","",'6a - Lighting Counts'!G352)</f>
        <v/>
      </c>
      <c r="C326" s="42" t="str">
        <f t="shared" si="10"/>
        <v/>
      </c>
    </row>
    <row r="327" spans="1:3" x14ac:dyDescent="0.25">
      <c r="A327" s="42">
        <f>IF(COUNTIF($B$3:B327,B327)=1,A326+1,A326)</f>
        <v>1</v>
      </c>
      <c r="B327" s="42" t="str">
        <f>IF('6a - Lighting Counts'!G353="","",'6a - Lighting Counts'!G353)</f>
        <v/>
      </c>
      <c r="C327" s="42" t="str">
        <f t="shared" si="10"/>
        <v/>
      </c>
    </row>
    <row r="328" spans="1:3" x14ac:dyDescent="0.25">
      <c r="A328" s="42">
        <f>IF(COUNTIF($B$3:B328,B328)=1,A327+1,A327)</f>
        <v>1</v>
      </c>
      <c r="B328" s="42" t="str">
        <f>IF('6a - Lighting Counts'!G354="","",'6a - Lighting Counts'!G354)</f>
        <v/>
      </c>
      <c r="C328" s="42" t="str">
        <f t="shared" si="10"/>
        <v/>
      </c>
    </row>
    <row r="329" spans="1:3" x14ac:dyDescent="0.25">
      <c r="A329" s="42">
        <f>IF(COUNTIF($B$3:B329,B329)=1,A328+1,A328)</f>
        <v>1</v>
      </c>
      <c r="B329" s="42" t="str">
        <f>IF('6a - Lighting Counts'!G355="","",'6a - Lighting Counts'!G355)</f>
        <v/>
      </c>
      <c r="C329" s="42" t="str">
        <f t="shared" si="10"/>
        <v/>
      </c>
    </row>
    <row r="330" spans="1:3" x14ac:dyDescent="0.25">
      <c r="A330" s="42">
        <f>IF(COUNTIF($B$3:B330,B330)=1,A329+1,A329)</f>
        <v>1</v>
      </c>
      <c r="B330" s="42" t="str">
        <f>IF('6a - Lighting Counts'!G356="","",'6a - Lighting Counts'!G356)</f>
        <v/>
      </c>
      <c r="C330" s="42" t="str">
        <f t="shared" si="10"/>
        <v/>
      </c>
    </row>
    <row r="331" spans="1:3" x14ac:dyDescent="0.25">
      <c r="A331" s="42">
        <f>IF(COUNTIF($B$3:B331,B331)=1,A330+1,A330)</f>
        <v>1</v>
      </c>
      <c r="B331" s="42" t="str">
        <f>IF('6a - Lighting Counts'!G357="","",'6a - Lighting Counts'!G357)</f>
        <v/>
      </c>
      <c r="C331" s="42" t="str">
        <f t="shared" si="10"/>
        <v/>
      </c>
    </row>
    <row r="332" spans="1:3" x14ac:dyDescent="0.25">
      <c r="A332" s="42">
        <f>IF(COUNTIF($B$3:B332,B332)=1,A331+1,A331)</f>
        <v>1</v>
      </c>
      <c r="B332" s="42" t="str">
        <f>IF('6a - Lighting Counts'!G358="","",'6a - Lighting Counts'!G358)</f>
        <v/>
      </c>
      <c r="C332" s="42" t="str">
        <f t="shared" si="10"/>
        <v/>
      </c>
    </row>
    <row r="333" spans="1:3" x14ac:dyDescent="0.25">
      <c r="A333" s="42">
        <f>IF(COUNTIF($B$3:B333,B333)=1,A332+1,A332)</f>
        <v>1</v>
      </c>
      <c r="B333" s="42" t="str">
        <f>IF('6a - Lighting Counts'!G359="","",'6a - Lighting Counts'!G359)</f>
        <v/>
      </c>
      <c r="C333" s="42" t="str">
        <f t="shared" si="10"/>
        <v/>
      </c>
    </row>
    <row r="334" spans="1:3" x14ac:dyDescent="0.25">
      <c r="A334" s="42">
        <f>IF(COUNTIF($B$3:B334,B334)=1,A333+1,A333)</f>
        <v>1</v>
      </c>
      <c r="B334" s="42" t="str">
        <f>IF('6a - Lighting Counts'!G360="","",'6a - Lighting Counts'!G360)</f>
        <v/>
      </c>
      <c r="C334" s="42" t="str">
        <f t="shared" si="10"/>
        <v/>
      </c>
    </row>
    <row r="335" spans="1:3" x14ac:dyDescent="0.25">
      <c r="A335" s="42">
        <f>IF(COUNTIF($B$3:B335,B335)=1,A334+1,A334)</f>
        <v>1</v>
      </c>
      <c r="B335" s="42" t="str">
        <f>IF('6a - Lighting Counts'!G361="","",'6a - Lighting Counts'!G361)</f>
        <v/>
      </c>
      <c r="C335" s="42" t="str">
        <f t="shared" si="10"/>
        <v/>
      </c>
    </row>
    <row r="336" spans="1:3" x14ac:dyDescent="0.25">
      <c r="A336" s="42">
        <f>IF(COUNTIF($B$3:B336,B336)=1,A335+1,A335)</f>
        <v>1</v>
      </c>
      <c r="B336" s="42" t="str">
        <f>IF('6a - Lighting Counts'!G362="","",'6a - Lighting Counts'!G362)</f>
        <v/>
      </c>
      <c r="C336" s="42" t="str">
        <f t="shared" si="10"/>
        <v/>
      </c>
    </row>
    <row r="337" spans="1:3" x14ac:dyDescent="0.25">
      <c r="A337" s="42">
        <f>IF(COUNTIF($B$3:B337,B337)=1,A336+1,A336)</f>
        <v>1</v>
      </c>
      <c r="B337" s="42" t="str">
        <f>IF('6a - Lighting Counts'!G363="","",'6a - Lighting Counts'!G363)</f>
        <v/>
      </c>
      <c r="C337" s="42" t="str">
        <f t="shared" si="10"/>
        <v/>
      </c>
    </row>
    <row r="338" spans="1:3" x14ac:dyDescent="0.25">
      <c r="A338" s="42">
        <f>IF(COUNTIF($B$3:B338,B338)=1,A337+1,A337)</f>
        <v>1</v>
      </c>
      <c r="B338" s="42" t="str">
        <f>IF('6a - Lighting Counts'!G364="","",'6a - Lighting Counts'!G364)</f>
        <v/>
      </c>
      <c r="C338" s="42" t="str">
        <f t="shared" si="10"/>
        <v/>
      </c>
    </row>
    <row r="339" spans="1:3" x14ac:dyDescent="0.25">
      <c r="A339" s="42">
        <f>IF(COUNTIF($B$3:B339,B339)=1,A338+1,A338)</f>
        <v>1</v>
      </c>
      <c r="B339" s="42" t="str">
        <f>IF('6a - Lighting Counts'!G365="","",'6a - Lighting Counts'!G365)</f>
        <v/>
      </c>
      <c r="C339" s="42" t="str">
        <f t="shared" si="10"/>
        <v/>
      </c>
    </row>
    <row r="340" spans="1:3" x14ac:dyDescent="0.25">
      <c r="A340" s="42">
        <f>IF(COUNTIF($B$3:B340,B340)=1,A339+1,A339)</f>
        <v>1</v>
      </c>
      <c r="B340" s="42" t="str">
        <f>IF('6a - Lighting Counts'!G366="","",'6a - Lighting Counts'!G366)</f>
        <v/>
      </c>
      <c r="C340" s="42" t="str">
        <f t="shared" si="10"/>
        <v/>
      </c>
    </row>
    <row r="341" spans="1:3" x14ac:dyDescent="0.25">
      <c r="A341" s="42">
        <f>IF(COUNTIF($B$3:B341,B341)=1,A340+1,A340)</f>
        <v>1</v>
      </c>
      <c r="B341" s="42" t="str">
        <f>IF('6a - Lighting Counts'!G367="","",'6a - Lighting Counts'!G367)</f>
        <v/>
      </c>
      <c r="C341" s="42" t="str">
        <f t="shared" si="10"/>
        <v/>
      </c>
    </row>
    <row r="342" spans="1:3" x14ac:dyDescent="0.25">
      <c r="A342" s="42">
        <f>IF(COUNTIF($B$3:B342,B342)=1,A341+1,A341)</f>
        <v>1</v>
      </c>
      <c r="B342" s="42" t="str">
        <f>IF('6a - Lighting Counts'!G368="","",'6a - Lighting Counts'!G368)</f>
        <v/>
      </c>
      <c r="C342" s="42" t="str">
        <f t="shared" si="10"/>
        <v/>
      </c>
    </row>
    <row r="343" spans="1:3" x14ac:dyDescent="0.25">
      <c r="A343" s="42">
        <f>IF(COUNTIF($B$3:B343,B343)=1,A342+1,A342)</f>
        <v>1</v>
      </c>
      <c r="B343" s="42" t="str">
        <f>IF('6a - Lighting Counts'!G369="","",'6a - Lighting Counts'!G369)</f>
        <v/>
      </c>
      <c r="C343" s="42" t="str">
        <f t="shared" si="10"/>
        <v/>
      </c>
    </row>
    <row r="344" spans="1:3" x14ac:dyDescent="0.25">
      <c r="A344" s="42">
        <f>IF(COUNTIF($B$3:B344,B344)=1,A343+1,A343)</f>
        <v>1</v>
      </c>
      <c r="B344" s="42" t="str">
        <f>IF('6a - Lighting Counts'!G370="","",'6a - Lighting Counts'!G370)</f>
        <v/>
      </c>
      <c r="C344" s="42" t="str">
        <f t="shared" si="10"/>
        <v/>
      </c>
    </row>
    <row r="345" spans="1:3" x14ac:dyDescent="0.25">
      <c r="A345" s="42">
        <f>IF(COUNTIF($B$3:B345,B345)=1,A344+1,A344)</f>
        <v>1</v>
      </c>
      <c r="B345" s="42" t="str">
        <f>IF('6a - Lighting Counts'!G371="","",'6a - Lighting Counts'!G371)</f>
        <v/>
      </c>
      <c r="C345" s="42" t="str">
        <f t="shared" si="10"/>
        <v/>
      </c>
    </row>
    <row r="346" spans="1:3" x14ac:dyDescent="0.25">
      <c r="A346" s="42">
        <f>IF(COUNTIF($B$3:B346,B346)=1,A345+1,A345)</f>
        <v>1</v>
      </c>
      <c r="B346" s="42" t="str">
        <f>IF('6a - Lighting Counts'!G372="","",'6a - Lighting Counts'!G372)</f>
        <v/>
      </c>
      <c r="C346" s="42" t="str">
        <f t="shared" si="10"/>
        <v/>
      </c>
    </row>
    <row r="347" spans="1:3" x14ac:dyDescent="0.25">
      <c r="A347" s="42">
        <f>IF(COUNTIF($B$3:B347,B347)=1,A346+1,A346)</f>
        <v>1</v>
      </c>
      <c r="B347" s="42" t="str">
        <f>IF('6a - Lighting Counts'!G373="","",'6a - Lighting Counts'!G373)</f>
        <v/>
      </c>
      <c r="C347" s="42" t="str">
        <f t="shared" si="10"/>
        <v/>
      </c>
    </row>
    <row r="348" spans="1:3" x14ac:dyDescent="0.25">
      <c r="A348" s="42">
        <f>IF(COUNTIF($B$3:B348,B348)=1,A347+1,A347)</f>
        <v>1</v>
      </c>
      <c r="B348" s="42" t="str">
        <f>IF('6a - Lighting Counts'!G374="","",'6a - Lighting Counts'!G374)</f>
        <v/>
      </c>
      <c r="C348" s="42" t="str">
        <f t="shared" si="10"/>
        <v/>
      </c>
    </row>
    <row r="349" spans="1:3" x14ac:dyDescent="0.25">
      <c r="A349" s="42">
        <f>IF(COUNTIF($B$3:B349,B349)=1,A348+1,A348)</f>
        <v>1</v>
      </c>
      <c r="B349" s="42" t="str">
        <f>IF('6a - Lighting Counts'!G375="","",'6a - Lighting Counts'!G375)</f>
        <v/>
      </c>
      <c r="C349" s="42" t="str">
        <f t="shared" si="10"/>
        <v/>
      </c>
    </row>
    <row r="350" spans="1:3" x14ac:dyDescent="0.25">
      <c r="A350" s="42">
        <f>IF(COUNTIF($B$3:B350,B350)=1,A349+1,A349)</f>
        <v>1</v>
      </c>
      <c r="B350" s="42" t="str">
        <f>IF('6a - Lighting Counts'!G376="","",'6a - Lighting Counts'!G376)</f>
        <v/>
      </c>
      <c r="C350" s="42" t="str">
        <f t="shared" si="10"/>
        <v/>
      </c>
    </row>
    <row r="351" spans="1:3" x14ac:dyDescent="0.25">
      <c r="A351" s="42">
        <f>IF(COUNTIF($B$3:B351,B351)=1,A350+1,A350)</f>
        <v>1</v>
      </c>
      <c r="B351" s="42" t="str">
        <f>IF('6a - Lighting Counts'!G377="","",'6a - Lighting Counts'!G377)</f>
        <v/>
      </c>
      <c r="C351" s="42" t="str">
        <f t="shared" si="10"/>
        <v/>
      </c>
    </row>
    <row r="352" spans="1:3" x14ac:dyDescent="0.25">
      <c r="A352" s="42">
        <f>IF(COUNTIF($B$3:B352,B352)=1,A351+1,A351)</f>
        <v>1</v>
      </c>
      <c r="B352" s="42" t="str">
        <f>IF('6a - Lighting Counts'!G378="","",'6a - Lighting Counts'!G378)</f>
        <v/>
      </c>
      <c r="C352" s="42" t="str">
        <f t="shared" si="10"/>
        <v/>
      </c>
    </row>
    <row r="353" spans="1:3" x14ac:dyDescent="0.25">
      <c r="A353" s="42">
        <f>IF(COUNTIF($B$3:B353,B353)=1,A352+1,A352)</f>
        <v>1</v>
      </c>
      <c r="B353" s="42" t="str">
        <f>IF('6a - Lighting Counts'!G379="","",'6a - Lighting Counts'!G379)</f>
        <v/>
      </c>
      <c r="C353" s="42" t="str">
        <f t="shared" si="10"/>
        <v/>
      </c>
    </row>
    <row r="354" spans="1:3" x14ac:dyDescent="0.25">
      <c r="A354" s="42">
        <f>IF(COUNTIF($B$3:B354,B354)=1,A353+1,A353)</f>
        <v>1</v>
      </c>
      <c r="B354" s="42" t="str">
        <f>IF('6a - Lighting Counts'!G380="","",'6a - Lighting Counts'!G380)</f>
        <v/>
      </c>
      <c r="C354" s="42" t="str">
        <f t="shared" si="10"/>
        <v/>
      </c>
    </row>
    <row r="355" spans="1:3" x14ac:dyDescent="0.25">
      <c r="A355" s="42">
        <f>IF(COUNTIF($B$3:B355,B355)=1,A354+1,A354)</f>
        <v>1</v>
      </c>
      <c r="B355" s="42" t="str">
        <f>IF('6a - Lighting Counts'!G381="","",'6a - Lighting Counts'!G381)</f>
        <v/>
      </c>
      <c r="C355" s="42" t="str">
        <f t="shared" si="10"/>
        <v/>
      </c>
    </row>
    <row r="356" spans="1:3" x14ac:dyDescent="0.25">
      <c r="A356" s="42">
        <f>IF(COUNTIF($B$3:B356,B356)=1,A355+1,A355)</f>
        <v>1</v>
      </c>
      <c r="B356" s="42" t="str">
        <f>IF('6a - Lighting Counts'!G382="","",'6a - Lighting Counts'!G382)</f>
        <v/>
      </c>
      <c r="C356" s="42" t="str">
        <f t="shared" si="10"/>
        <v/>
      </c>
    </row>
    <row r="357" spans="1:3" x14ac:dyDescent="0.25">
      <c r="A357" s="42">
        <f>IF(COUNTIF($B$3:B357,B357)=1,A356+1,A356)</f>
        <v>1</v>
      </c>
      <c r="B357" s="42" t="str">
        <f>IF('6a - Lighting Counts'!G383="","",'6a - Lighting Counts'!G383)</f>
        <v/>
      </c>
      <c r="C357" s="42" t="str">
        <f t="shared" si="10"/>
        <v/>
      </c>
    </row>
    <row r="358" spans="1:3" x14ac:dyDescent="0.25">
      <c r="A358" s="42">
        <f>IF(COUNTIF($B$3:B358,B358)=1,A357+1,A357)</f>
        <v>1</v>
      </c>
      <c r="B358" s="42" t="str">
        <f>IF('6a - Lighting Counts'!G384="","",'6a - Lighting Counts'!G384)</f>
        <v/>
      </c>
      <c r="C358" s="42" t="str">
        <f t="shared" si="10"/>
        <v/>
      </c>
    </row>
    <row r="359" spans="1:3" x14ac:dyDescent="0.25">
      <c r="A359" s="42">
        <f>IF(COUNTIF($B$3:B359,B359)=1,A358+1,A358)</f>
        <v>1</v>
      </c>
      <c r="B359" s="42" t="str">
        <f>IF('6a - Lighting Counts'!G385="","",'6a - Lighting Counts'!G385)</f>
        <v/>
      </c>
      <c r="C359" s="42" t="str">
        <f t="shared" si="10"/>
        <v/>
      </c>
    </row>
    <row r="360" spans="1:3" x14ac:dyDescent="0.25">
      <c r="A360" s="42">
        <f>IF(COUNTIF($B$3:B360,B360)=1,A359+1,A359)</f>
        <v>1</v>
      </c>
      <c r="B360" s="42" t="str">
        <f>IF('6a - Lighting Counts'!G386="","",'6a - Lighting Counts'!G386)</f>
        <v/>
      </c>
      <c r="C360" s="42" t="str">
        <f t="shared" si="10"/>
        <v/>
      </c>
    </row>
    <row r="361" spans="1:3" x14ac:dyDescent="0.25">
      <c r="A361" s="42">
        <f>IF(COUNTIF($B$3:B361,B361)=1,A360+1,A360)</f>
        <v>1</v>
      </c>
      <c r="B361" s="42" t="str">
        <f>IF('6a - Lighting Counts'!G387="","",'6a - Lighting Counts'!G387)</f>
        <v/>
      </c>
      <c r="C361" s="42" t="str">
        <f t="shared" si="10"/>
        <v/>
      </c>
    </row>
    <row r="362" spans="1:3" x14ac:dyDescent="0.25">
      <c r="A362" s="42">
        <f>IF(COUNTIF($B$3:B362,B362)=1,A361+1,A361)</f>
        <v>1</v>
      </c>
      <c r="B362" s="42" t="str">
        <f>IF('6a - Lighting Counts'!G388="","",'6a - Lighting Counts'!G388)</f>
        <v/>
      </c>
      <c r="C362" s="42" t="str">
        <f t="shared" si="10"/>
        <v/>
      </c>
    </row>
    <row r="363" spans="1:3" x14ac:dyDescent="0.25">
      <c r="A363" s="42">
        <f>IF(COUNTIF($B$3:B363,B363)=1,A362+1,A362)</f>
        <v>1</v>
      </c>
      <c r="B363" s="42" t="str">
        <f>IF('6a - Lighting Counts'!G389="","",'6a - Lighting Counts'!G389)</f>
        <v/>
      </c>
      <c r="C363" s="42" t="str">
        <f t="shared" si="10"/>
        <v/>
      </c>
    </row>
    <row r="364" spans="1:3" x14ac:dyDescent="0.25">
      <c r="A364" s="42">
        <f>IF(COUNTIF($B$3:B364,B364)=1,A363+1,A363)</f>
        <v>1</v>
      </c>
      <c r="B364" s="42" t="str">
        <f>IF('6a - Lighting Counts'!G390="","",'6a - Lighting Counts'!G390)</f>
        <v/>
      </c>
      <c r="C364" s="42" t="str">
        <f t="shared" si="10"/>
        <v/>
      </c>
    </row>
    <row r="365" spans="1:3" x14ac:dyDescent="0.25">
      <c r="A365" s="42">
        <f>IF(COUNTIF($B$3:B365,B365)=1,A364+1,A364)</f>
        <v>1</v>
      </c>
      <c r="B365" s="42" t="str">
        <f>IF('6a - Lighting Counts'!G391="","",'6a - Lighting Counts'!G391)</f>
        <v/>
      </c>
      <c r="C365" s="42" t="str">
        <f t="shared" si="10"/>
        <v/>
      </c>
    </row>
    <row r="366" spans="1:3" x14ac:dyDescent="0.25">
      <c r="A366" s="42">
        <f>IF(COUNTIF($B$3:B366,B366)=1,A365+1,A365)</f>
        <v>1</v>
      </c>
      <c r="B366" s="42" t="str">
        <f>IF('6a - Lighting Counts'!G392="","",'6a - Lighting Counts'!G392)</f>
        <v/>
      </c>
      <c r="C366" s="42" t="str">
        <f t="shared" si="10"/>
        <v/>
      </c>
    </row>
    <row r="367" spans="1:3" x14ac:dyDescent="0.25">
      <c r="A367" s="42">
        <f>IF(COUNTIF($B$3:B367,B367)=1,A366+1,A366)</f>
        <v>1</v>
      </c>
      <c r="B367" s="42" t="str">
        <f>IF('6a - Lighting Counts'!G393="","",'6a - Lighting Counts'!G393)</f>
        <v/>
      </c>
      <c r="C367" s="42" t="str">
        <f t="shared" si="10"/>
        <v/>
      </c>
    </row>
    <row r="368" spans="1:3" x14ac:dyDescent="0.25">
      <c r="A368" s="42">
        <f>IF(COUNTIF($B$3:B368,B368)=1,A367+1,A367)</f>
        <v>1</v>
      </c>
      <c r="B368" s="42" t="str">
        <f>IF('6a - Lighting Counts'!G394="","",'6a - Lighting Counts'!G394)</f>
        <v/>
      </c>
      <c r="C368" s="42" t="str">
        <f t="shared" si="10"/>
        <v/>
      </c>
    </row>
    <row r="369" spans="1:3" x14ac:dyDescent="0.25">
      <c r="A369" s="42">
        <f>IF(COUNTIF($B$3:B369,B369)=1,A368+1,A368)</f>
        <v>1</v>
      </c>
      <c r="B369" s="42" t="str">
        <f>IF('6a - Lighting Counts'!G395="","",'6a - Lighting Counts'!G395)</f>
        <v/>
      </c>
      <c r="C369" s="42" t="str">
        <f t="shared" si="10"/>
        <v/>
      </c>
    </row>
    <row r="370" spans="1:3" x14ac:dyDescent="0.25">
      <c r="A370" s="42">
        <f>IF(COUNTIF($B$3:B370,B370)=1,A369+1,A369)</f>
        <v>1</v>
      </c>
      <c r="B370" s="42" t="str">
        <f>IF('6a - Lighting Counts'!G396="","",'6a - Lighting Counts'!G396)</f>
        <v/>
      </c>
      <c r="C370" s="42" t="str">
        <f t="shared" si="10"/>
        <v/>
      </c>
    </row>
    <row r="371" spans="1:3" x14ac:dyDescent="0.25">
      <c r="A371" s="42">
        <f>IF(COUNTIF($B$3:B371,B371)=1,A370+1,A370)</f>
        <v>1</v>
      </c>
      <c r="B371" s="42" t="str">
        <f>IF('6a - Lighting Counts'!G397="","",'6a - Lighting Counts'!G397)</f>
        <v/>
      </c>
      <c r="C371" s="42" t="str">
        <f t="shared" si="10"/>
        <v/>
      </c>
    </row>
    <row r="372" spans="1:3" x14ac:dyDescent="0.25">
      <c r="A372" s="42">
        <f>IF(COUNTIF($B$3:B372,B372)=1,A371+1,A371)</f>
        <v>1</v>
      </c>
      <c r="B372" s="42" t="str">
        <f>IF('6a - Lighting Counts'!G398="","",'6a - Lighting Counts'!G398)</f>
        <v/>
      </c>
      <c r="C372" s="42" t="str">
        <f t="shared" si="10"/>
        <v/>
      </c>
    </row>
    <row r="373" spans="1:3" x14ac:dyDescent="0.25">
      <c r="A373" s="42">
        <f>IF(COUNTIF($B$3:B373,B373)=1,A372+1,A372)</f>
        <v>1</v>
      </c>
      <c r="B373" s="42" t="str">
        <f>IF('6a - Lighting Counts'!G399="","",'6a - Lighting Counts'!G399)</f>
        <v/>
      </c>
      <c r="C373" s="42" t="str">
        <f t="shared" si="10"/>
        <v/>
      </c>
    </row>
    <row r="374" spans="1:3" x14ac:dyDescent="0.25">
      <c r="A374" s="42">
        <f>IF(COUNTIF($B$3:B374,B374)=1,A373+1,A373)</f>
        <v>1</v>
      </c>
      <c r="B374" s="42" t="str">
        <f>IF('6a - Lighting Counts'!G400="","",'6a - Lighting Counts'!G400)</f>
        <v/>
      </c>
      <c r="C374" s="42" t="str">
        <f t="shared" si="10"/>
        <v/>
      </c>
    </row>
    <row r="375" spans="1:3" x14ac:dyDescent="0.25">
      <c r="A375" s="42">
        <f>IF(COUNTIF($B$3:B375,B375)=1,A374+1,A374)</f>
        <v>1</v>
      </c>
      <c r="B375" s="42" t="str">
        <f>IF('6a - Lighting Counts'!G401="","",'6a - Lighting Counts'!G401)</f>
        <v/>
      </c>
      <c r="C375" s="42" t="str">
        <f t="shared" si="10"/>
        <v/>
      </c>
    </row>
    <row r="376" spans="1:3" x14ac:dyDescent="0.25">
      <c r="A376" s="42">
        <f>IF(COUNTIF($B$3:B376,B376)=1,A375+1,A375)</f>
        <v>1</v>
      </c>
      <c r="B376" s="42" t="str">
        <f>IF('6a - Lighting Counts'!G402="","",'6a - Lighting Counts'!G402)</f>
        <v/>
      </c>
      <c r="C376" s="42" t="str">
        <f t="shared" si="10"/>
        <v/>
      </c>
    </row>
    <row r="377" spans="1:3" x14ac:dyDescent="0.25">
      <c r="A377" s="42">
        <f>IF(COUNTIF($B$3:B377,B377)=1,A376+1,A376)</f>
        <v>1</v>
      </c>
      <c r="B377" s="42" t="str">
        <f>IF('6a - Lighting Counts'!G403="","",'6a - Lighting Counts'!G403)</f>
        <v/>
      </c>
      <c r="C377" s="42" t="str">
        <f t="shared" si="10"/>
        <v/>
      </c>
    </row>
    <row r="378" spans="1:3" x14ac:dyDescent="0.25">
      <c r="A378" s="42">
        <f>IF(COUNTIF($B$3:B378,B378)=1,A377+1,A377)</f>
        <v>1</v>
      </c>
      <c r="B378" s="42" t="str">
        <f>IF('6a - Lighting Counts'!G404="","",'6a - Lighting Counts'!G404)</f>
        <v/>
      </c>
      <c r="C378" s="42" t="str">
        <f t="shared" si="10"/>
        <v/>
      </c>
    </row>
    <row r="379" spans="1:3" x14ac:dyDescent="0.25">
      <c r="A379" s="42">
        <f>IF(COUNTIF($B$3:B379,B379)=1,A378+1,A378)</f>
        <v>1</v>
      </c>
      <c r="B379" s="42" t="str">
        <f>IF('6a - Lighting Counts'!G405="","",'6a - Lighting Counts'!G405)</f>
        <v/>
      </c>
      <c r="C379" s="42" t="str">
        <f t="shared" si="10"/>
        <v/>
      </c>
    </row>
    <row r="380" spans="1:3" x14ac:dyDescent="0.25">
      <c r="A380" s="42">
        <f>IF(COUNTIF($B$3:B380,B380)=1,A379+1,A379)</f>
        <v>1</v>
      </c>
      <c r="B380" s="42" t="str">
        <f>IF('6a - Lighting Counts'!G406="","",'6a - Lighting Counts'!G406)</f>
        <v/>
      </c>
      <c r="C380" s="42" t="str">
        <f t="shared" si="10"/>
        <v/>
      </c>
    </row>
    <row r="381" spans="1:3" x14ac:dyDescent="0.25">
      <c r="A381" s="42">
        <f>IF(COUNTIF($B$3:B381,B381)=1,A380+1,A380)</f>
        <v>1</v>
      </c>
      <c r="B381" s="42" t="str">
        <f>IF('6a - Lighting Counts'!G407="","",'6a - Lighting Counts'!G407)</f>
        <v/>
      </c>
      <c r="C381" s="42" t="str">
        <f t="shared" si="10"/>
        <v/>
      </c>
    </row>
    <row r="382" spans="1:3" x14ac:dyDescent="0.25">
      <c r="A382" s="42">
        <f>IF(COUNTIF($B$3:B382,B382)=1,A381+1,A381)</f>
        <v>1</v>
      </c>
      <c r="B382" s="42" t="str">
        <f>IF('6a - Lighting Counts'!G408="","",'6a - Lighting Counts'!G408)</f>
        <v/>
      </c>
      <c r="C382" s="42" t="str">
        <f t="shared" si="10"/>
        <v/>
      </c>
    </row>
    <row r="383" spans="1:3" x14ac:dyDescent="0.25">
      <c r="A383" s="42">
        <f>IF(COUNTIF($B$3:B383,B383)=1,A382+1,A382)</f>
        <v>1</v>
      </c>
      <c r="B383" s="42" t="str">
        <f>IF('6a - Lighting Counts'!G409="","",'6a - Lighting Counts'!G409)</f>
        <v/>
      </c>
      <c r="C383" s="42" t="str">
        <f t="shared" si="10"/>
        <v/>
      </c>
    </row>
    <row r="384" spans="1:3" x14ac:dyDescent="0.25">
      <c r="A384" s="42">
        <f>IF(COUNTIF($B$3:B384,B384)=1,A383+1,A383)</f>
        <v>1</v>
      </c>
      <c r="B384" s="42" t="str">
        <f>IF('6a - Lighting Counts'!G410="","",'6a - Lighting Counts'!G410)</f>
        <v/>
      </c>
      <c r="C384" s="42" t="str">
        <f t="shared" si="10"/>
        <v/>
      </c>
    </row>
    <row r="385" spans="1:3" x14ac:dyDescent="0.25">
      <c r="A385" s="42">
        <f>IF(COUNTIF($B$3:B385,B385)=1,A384+1,A384)</f>
        <v>1</v>
      </c>
      <c r="B385" s="42" t="str">
        <f>IF('6a - Lighting Counts'!G411="","",'6a - Lighting Counts'!G411)</f>
        <v/>
      </c>
      <c r="C385" s="42" t="str">
        <f t="shared" si="10"/>
        <v/>
      </c>
    </row>
    <row r="386" spans="1:3" x14ac:dyDescent="0.25">
      <c r="A386" s="42">
        <f>IF(COUNTIF($B$3:B386,B386)=1,A385+1,A385)</f>
        <v>1</v>
      </c>
      <c r="B386" s="42" t="str">
        <f>IF('6a - Lighting Counts'!G412="","",'6a - Lighting Counts'!G412)</f>
        <v/>
      </c>
      <c r="C386" s="42" t="str">
        <f t="shared" si="10"/>
        <v/>
      </c>
    </row>
    <row r="387" spans="1:3" x14ac:dyDescent="0.25">
      <c r="A387" s="42">
        <f>IF(COUNTIF($B$3:B387,B387)=1,A386+1,A386)</f>
        <v>1</v>
      </c>
      <c r="B387" s="42" t="str">
        <f>IF('6a - Lighting Counts'!G413="","",'6a - Lighting Counts'!G413)</f>
        <v/>
      </c>
      <c r="C387" s="42" t="str">
        <f t="shared" si="10"/>
        <v/>
      </c>
    </row>
    <row r="388" spans="1:3" x14ac:dyDescent="0.25">
      <c r="A388" s="42">
        <f>IF(COUNTIF($B$3:B388,B388)=1,A387+1,A387)</f>
        <v>1</v>
      </c>
      <c r="B388" s="42" t="str">
        <f>IF('6a - Lighting Counts'!G414="","",'6a - Lighting Counts'!G414)</f>
        <v/>
      </c>
      <c r="C388" s="42" t="str">
        <f t="shared" ref="C388:C451" si="11">IFERROR(VLOOKUP(ROW()-2,$A$3:$B$550,2,FALSE),"")</f>
        <v/>
      </c>
    </row>
    <row r="389" spans="1:3" x14ac:dyDescent="0.25">
      <c r="A389" s="42">
        <f>IF(COUNTIF($B$3:B389,B389)=1,A388+1,A388)</f>
        <v>1</v>
      </c>
      <c r="B389" s="42" t="str">
        <f>IF('6a - Lighting Counts'!G415="","",'6a - Lighting Counts'!G415)</f>
        <v/>
      </c>
      <c r="C389" s="42" t="str">
        <f t="shared" si="11"/>
        <v/>
      </c>
    </row>
    <row r="390" spans="1:3" x14ac:dyDescent="0.25">
      <c r="A390" s="42">
        <f>IF(COUNTIF($B$3:B390,B390)=1,A389+1,A389)</f>
        <v>1</v>
      </c>
      <c r="B390" s="42" t="str">
        <f>IF('6a - Lighting Counts'!G416="","",'6a - Lighting Counts'!G416)</f>
        <v/>
      </c>
      <c r="C390" s="42" t="str">
        <f t="shared" si="11"/>
        <v/>
      </c>
    </row>
    <row r="391" spans="1:3" x14ac:dyDescent="0.25">
      <c r="A391" s="42">
        <f>IF(COUNTIF($B$3:B391,B391)=1,A390+1,A390)</f>
        <v>1</v>
      </c>
      <c r="B391" s="42" t="str">
        <f>IF('6a - Lighting Counts'!G417="","",'6a - Lighting Counts'!G417)</f>
        <v/>
      </c>
      <c r="C391" s="42" t="str">
        <f t="shared" si="11"/>
        <v/>
      </c>
    </row>
    <row r="392" spans="1:3" x14ac:dyDescent="0.25">
      <c r="A392" s="42">
        <f>IF(COUNTIF($B$3:B392,B392)=1,A391+1,A391)</f>
        <v>1</v>
      </c>
      <c r="B392" s="42" t="str">
        <f>IF('6a - Lighting Counts'!G418="","",'6a - Lighting Counts'!G418)</f>
        <v/>
      </c>
      <c r="C392" s="42" t="str">
        <f t="shared" si="11"/>
        <v/>
      </c>
    </row>
    <row r="393" spans="1:3" x14ac:dyDescent="0.25">
      <c r="A393" s="42">
        <f>IF(COUNTIF($B$3:B393,B393)=1,A392+1,A392)</f>
        <v>1</v>
      </c>
      <c r="B393" s="42" t="str">
        <f>IF('6a - Lighting Counts'!G419="","",'6a - Lighting Counts'!G419)</f>
        <v/>
      </c>
      <c r="C393" s="42" t="str">
        <f t="shared" si="11"/>
        <v/>
      </c>
    </row>
    <row r="394" spans="1:3" x14ac:dyDescent="0.25">
      <c r="A394" s="42">
        <f>IF(COUNTIF($B$3:B394,B394)=1,A393+1,A393)</f>
        <v>1</v>
      </c>
      <c r="B394" s="42" t="str">
        <f>IF('6a - Lighting Counts'!G420="","",'6a - Lighting Counts'!G420)</f>
        <v/>
      </c>
      <c r="C394" s="42" t="str">
        <f t="shared" si="11"/>
        <v/>
      </c>
    </row>
    <row r="395" spans="1:3" x14ac:dyDescent="0.25">
      <c r="A395" s="42">
        <f>IF(COUNTIF($B$3:B395,B395)=1,A394+1,A394)</f>
        <v>1</v>
      </c>
      <c r="B395" s="42" t="str">
        <f>IF('6a - Lighting Counts'!G421="","",'6a - Lighting Counts'!G421)</f>
        <v/>
      </c>
      <c r="C395" s="42" t="str">
        <f t="shared" si="11"/>
        <v/>
      </c>
    </row>
    <row r="396" spans="1:3" x14ac:dyDescent="0.25">
      <c r="A396" s="42">
        <f>IF(COUNTIF($B$3:B396,B396)=1,A395+1,A395)</f>
        <v>1</v>
      </c>
      <c r="B396" s="42" t="str">
        <f>IF('6a - Lighting Counts'!G422="","",'6a - Lighting Counts'!G422)</f>
        <v/>
      </c>
      <c r="C396" s="42" t="str">
        <f t="shared" si="11"/>
        <v/>
      </c>
    </row>
    <row r="397" spans="1:3" x14ac:dyDescent="0.25">
      <c r="A397" s="42">
        <f>IF(COUNTIF($B$3:B397,B397)=1,A396+1,A396)</f>
        <v>1</v>
      </c>
      <c r="B397" s="42" t="str">
        <f>IF('6a - Lighting Counts'!G423="","",'6a - Lighting Counts'!G423)</f>
        <v/>
      </c>
      <c r="C397" s="42" t="str">
        <f t="shared" si="11"/>
        <v/>
      </c>
    </row>
    <row r="398" spans="1:3" x14ac:dyDescent="0.25">
      <c r="A398" s="42">
        <f>IF(COUNTIF($B$3:B398,B398)=1,A397+1,A397)</f>
        <v>1</v>
      </c>
      <c r="B398" s="42" t="str">
        <f>IF('6a - Lighting Counts'!G424="","",'6a - Lighting Counts'!G424)</f>
        <v/>
      </c>
      <c r="C398" s="42" t="str">
        <f t="shared" si="11"/>
        <v/>
      </c>
    </row>
    <row r="399" spans="1:3" x14ac:dyDescent="0.25">
      <c r="A399" s="42">
        <f>IF(COUNTIF($B$3:B399,B399)=1,A398+1,A398)</f>
        <v>1</v>
      </c>
      <c r="B399" s="42" t="str">
        <f>IF('6a - Lighting Counts'!G425="","",'6a - Lighting Counts'!G425)</f>
        <v/>
      </c>
      <c r="C399" s="42" t="str">
        <f t="shared" si="11"/>
        <v/>
      </c>
    </row>
    <row r="400" spans="1:3" x14ac:dyDescent="0.25">
      <c r="A400" s="42">
        <f>IF(COUNTIF($B$3:B400,B400)=1,A399+1,A399)</f>
        <v>1</v>
      </c>
      <c r="B400" s="42" t="str">
        <f>IF('6a - Lighting Counts'!G426="","",'6a - Lighting Counts'!G426)</f>
        <v/>
      </c>
      <c r="C400" s="42" t="str">
        <f t="shared" si="11"/>
        <v/>
      </c>
    </row>
    <row r="401" spans="1:3" x14ac:dyDescent="0.25">
      <c r="A401" s="42">
        <f>IF(COUNTIF($B$3:B401,B401)=1,A400+1,A400)</f>
        <v>1</v>
      </c>
      <c r="B401" s="42" t="str">
        <f>IF('6a - Lighting Counts'!G427="","",'6a - Lighting Counts'!G427)</f>
        <v/>
      </c>
      <c r="C401" s="42" t="str">
        <f t="shared" si="11"/>
        <v/>
      </c>
    </row>
    <row r="402" spans="1:3" x14ac:dyDescent="0.25">
      <c r="A402" s="42">
        <f>IF(COUNTIF($B$3:B402,B402)=1,A401+1,A401)</f>
        <v>1</v>
      </c>
      <c r="B402" s="42" t="str">
        <f>IF('6a - Lighting Counts'!G428="","",'6a - Lighting Counts'!G428)</f>
        <v/>
      </c>
      <c r="C402" s="42" t="str">
        <f t="shared" si="11"/>
        <v/>
      </c>
    </row>
    <row r="403" spans="1:3" x14ac:dyDescent="0.25">
      <c r="A403" s="42">
        <f>IF(COUNTIF($B$3:B403,B403)=1,A402+1,A402)</f>
        <v>1</v>
      </c>
      <c r="B403" s="42" t="str">
        <f>IF('6a - Lighting Counts'!G429="","",'6a - Lighting Counts'!G429)</f>
        <v/>
      </c>
      <c r="C403" s="42" t="str">
        <f t="shared" si="11"/>
        <v/>
      </c>
    </row>
    <row r="404" spans="1:3" x14ac:dyDescent="0.25">
      <c r="A404" s="42">
        <f>IF(COUNTIF($B$3:B404,B404)=1,A403+1,A403)</f>
        <v>1</v>
      </c>
      <c r="B404" s="42" t="str">
        <f>IF('6a - Lighting Counts'!G430="","",'6a - Lighting Counts'!G430)</f>
        <v/>
      </c>
      <c r="C404" s="42" t="str">
        <f t="shared" si="11"/>
        <v/>
      </c>
    </row>
    <row r="405" spans="1:3" x14ac:dyDescent="0.25">
      <c r="A405" s="42">
        <f>IF(COUNTIF($B$3:B405,B405)=1,A404+1,A404)</f>
        <v>1</v>
      </c>
      <c r="B405" s="42" t="str">
        <f>IF('6a - Lighting Counts'!G431="","",'6a - Lighting Counts'!G431)</f>
        <v/>
      </c>
      <c r="C405" s="42" t="str">
        <f t="shared" si="11"/>
        <v/>
      </c>
    </row>
    <row r="406" spans="1:3" x14ac:dyDescent="0.25">
      <c r="A406" s="42">
        <f>IF(COUNTIF($B$3:B406,B406)=1,A405+1,A405)</f>
        <v>1</v>
      </c>
      <c r="B406" s="42" t="str">
        <f>IF('6a - Lighting Counts'!G432="","",'6a - Lighting Counts'!G432)</f>
        <v/>
      </c>
      <c r="C406" s="42" t="str">
        <f t="shared" si="11"/>
        <v/>
      </c>
    </row>
    <row r="407" spans="1:3" x14ac:dyDescent="0.25">
      <c r="A407" s="42">
        <f>IF(COUNTIF($B$3:B407,B407)=1,A406+1,A406)</f>
        <v>1</v>
      </c>
      <c r="B407" s="42" t="str">
        <f>IF('6a - Lighting Counts'!G433="","",'6a - Lighting Counts'!G433)</f>
        <v/>
      </c>
      <c r="C407" s="42" t="str">
        <f t="shared" si="11"/>
        <v/>
      </c>
    </row>
    <row r="408" spans="1:3" x14ac:dyDescent="0.25">
      <c r="A408" s="42">
        <f>IF(COUNTIF($B$3:B408,B408)=1,A407+1,A407)</f>
        <v>1</v>
      </c>
      <c r="B408" s="42" t="str">
        <f>IF('6a - Lighting Counts'!G434="","",'6a - Lighting Counts'!G434)</f>
        <v/>
      </c>
      <c r="C408" s="42" t="str">
        <f t="shared" si="11"/>
        <v/>
      </c>
    </row>
    <row r="409" spans="1:3" x14ac:dyDescent="0.25">
      <c r="A409" s="42">
        <f>IF(COUNTIF($B$3:B409,B409)=1,A408+1,A408)</f>
        <v>1</v>
      </c>
      <c r="B409" s="42" t="str">
        <f>IF('6a - Lighting Counts'!G435="","",'6a - Lighting Counts'!G435)</f>
        <v/>
      </c>
      <c r="C409" s="42" t="str">
        <f t="shared" si="11"/>
        <v/>
      </c>
    </row>
    <row r="410" spans="1:3" x14ac:dyDescent="0.25">
      <c r="A410" s="42">
        <f>IF(COUNTIF($B$3:B410,B410)=1,A409+1,A409)</f>
        <v>1</v>
      </c>
      <c r="B410" s="42" t="str">
        <f>IF('6a - Lighting Counts'!G436="","",'6a - Lighting Counts'!G436)</f>
        <v/>
      </c>
      <c r="C410" s="42" t="str">
        <f t="shared" si="11"/>
        <v/>
      </c>
    </row>
    <row r="411" spans="1:3" x14ac:dyDescent="0.25">
      <c r="A411" s="42">
        <f>IF(COUNTIF($B$3:B411,B411)=1,A410+1,A410)</f>
        <v>1</v>
      </c>
      <c r="B411" s="42" t="str">
        <f>IF('6a - Lighting Counts'!G437="","",'6a - Lighting Counts'!G437)</f>
        <v/>
      </c>
      <c r="C411" s="42" t="str">
        <f t="shared" si="11"/>
        <v/>
      </c>
    </row>
    <row r="412" spans="1:3" x14ac:dyDescent="0.25">
      <c r="A412" s="42">
        <f>IF(COUNTIF($B$3:B412,B412)=1,A411+1,A411)</f>
        <v>1</v>
      </c>
      <c r="B412" s="42" t="str">
        <f>IF('6a - Lighting Counts'!G438="","",'6a - Lighting Counts'!G438)</f>
        <v/>
      </c>
      <c r="C412" s="42" t="str">
        <f t="shared" si="11"/>
        <v/>
      </c>
    </row>
    <row r="413" spans="1:3" x14ac:dyDescent="0.25">
      <c r="A413" s="42">
        <f>IF(COUNTIF($B$3:B413,B413)=1,A412+1,A412)</f>
        <v>1</v>
      </c>
      <c r="B413" s="42" t="str">
        <f>IF('6a - Lighting Counts'!G439="","",'6a - Lighting Counts'!G439)</f>
        <v/>
      </c>
      <c r="C413" s="42" t="str">
        <f t="shared" si="11"/>
        <v/>
      </c>
    </row>
    <row r="414" spans="1:3" x14ac:dyDescent="0.25">
      <c r="A414" s="42">
        <f>IF(COUNTIF($B$3:B414,B414)=1,A413+1,A413)</f>
        <v>1</v>
      </c>
      <c r="B414" s="42" t="str">
        <f>IF('6a - Lighting Counts'!G440="","",'6a - Lighting Counts'!G440)</f>
        <v/>
      </c>
      <c r="C414" s="42" t="str">
        <f t="shared" si="11"/>
        <v/>
      </c>
    </row>
    <row r="415" spans="1:3" x14ac:dyDescent="0.25">
      <c r="A415" s="42">
        <f>IF(COUNTIF($B$3:B415,B415)=1,A414+1,A414)</f>
        <v>1</v>
      </c>
      <c r="B415" s="42" t="str">
        <f>IF('6a - Lighting Counts'!G441="","",'6a - Lighting Counts'!G441)</f>
        <v/>
      </c>
      <c r="C415" s="42" t="str">
        <f t="shared" si="11"/>
        <v/>
      </c>
    </row>
    <row r="416" spans="1:3" x14ac:dyDescent="0.25">
      <c r="A416" s="42">
        <f>IF(COUNTIF($B$3:B416,B416)=1,A415+1,A415)</f>
        <v>1</v>
      </c>
      <c r="B416" s="42" t="str">
        <f>IF('6a - Lighting Counts'!G442="","",'6a - Lighting Counts'!G442)</f>
        <v/>
      </c>
      <c r="C416" s="42" t="str">
        <f t="shared" si="11"/>
        <v/>
      </c>
    </row>
    <row r="417" spans="1:3" x14ac:dyDescent="0.25">
      <c r="A417" s="42">
        <f>IF(COUNTIF($B$3:B417,B417)=1,A416+1,A416)</f>
        <v>1</v>
      </c>
      <c r="B417" s="42" t="str">
        <f>IF('6a - Lighting Counts'!G443="","",'6a - Lighting Counts'!G443)</f>
        <v/>
      </c>
      <c r="C417" s="42" t="str">
        <f t="shared" si="11"/>
        <v/>
      </c>
    </row>
    <row r="418" spans="1:3" x14ac:dyDescent="0.25">
      <c r="A418" s="42">
        <f>IF(COUNTIF($B$3:B418,B418)=1,A417+1,A417)</f>
        <v>1</v>
      </c>
      <c r="B418" s="42" t="str">
        <f>IF('6a - Lighting Counts'!G444="","",'6a - Lighting Counts'!G444)</f>
        <v/>
      </c>
      <c r="C418" s="42" t="str">
        <f t="shared" si="11"/>
        <v/>
      </c>
    </row>
    <row r="419" spans="1:3" x14ac:dyDescent="0.25">
      <c r="A419" s="42">
        <f>IF(COUNTIF($B$3:B419,B419)=1,A418+1,A418)</f>
        <v>1</v>
      </c>
      <c r="B419" s="42" t="str">
        <f>IF('6a - Lighting Counts'!G445="","",'6a - Lighting Counts'!G445)</f>
        <v/>
      </c>
      <c r="C419" s="42" t="str">
        <f t="shared" si="11"/>
        <v/>
      </c>
    </row>
    <row r="420" spans="1:3" x14ac:dyDescent="0.25">
      <c r="A420" s="42">
        <f>IF(COUNTIF($B$3:B420,B420)=1,A419+1,A419)</f>
        <v>1</v>
      </c>
      <c r="B420" s="42" t="str">
        <f>IF('6a - Lighting Counts'!G446="","",'6a - Lighting Counts'!G446)</f>
        <v/>
      </c>
      <c r="C420" s="42" t="str">
        <f t="shared" si="11"/>
        <v/>
      </c>
    </row>
    <row r="421" spans="1:3" x14ac:dyDescent="0.25">
      <c r="A421" s="42">
        <f>IF(COUNTIF($B$3:B421,B421)=1,A420+1,A420)</f>
        <v>1</v>
      </c>
      <c r="B421" s="42" t="str">
        <f>IF('6a - Lighting Counts'!G447="","",'6a - Lighting Counts'!G447)</f>
        <v/>
      </c>
      <c r="C421" s="42" t="str">
        <f t="shared" si="11"/>
        <v/>
      </c>
    </row>
    <row r="422" spans="1:3" x14ac:dyDescent="0.25">
      <c r="A422" s="42">
        <f>IF(COUNTIF($B$3:B422,B422)=1,A421+1,A421)</f>
        <v>1</v>
      </c>
      <c r="B422" s="42" t="str">
        <f>IF('6a - Lighting Counts'!G448="","",'6a - Lighting Counts'!G448)</f>
        <v/>
      </c>
      <c r="C422" s="42" t="str">
        <f t="shared" si="11"/>
        <v/>
      </c>
    </row>
    <row r="423" spans="1:3" x14ac:dyDescent="0.25">
      <c r="A423" s="42">
        <f>IF(COUNTIF($B$3:B423,B423)=1,A422+1,A422)</f>
        <v>1</v>
      </c>
      <c r="B423" s="42" t="str">
        <f>IF('6a - Lighting Counts'!G449="","",'6a - Lighting Counts'!G449)</f>
        <v/>
      </c>
      <c r="C423" s="42" t="str">
        <f t="shared" si="11"/>
        <v/>
      </c>
    </row>
    <row r="424" spans="1:3" x14ac:dyDescent="0.25">
      <c r="A424" s="42">
        <f>IF(COUNTIF($B$3:B424,B424)=1,A423+1,A423)</f>
        <v>1</v>
      </c>
      <c r="B424" s="42" t="str">
        <f>IF('6a - Lighting Counts'!G450="","",'6a - Lighting Counts'!G450)</f>
        <v/>
      </c>
      <c r="C424" s="42" t="str">
        <f t="shared" si="11"/>
        <v/>
      </c>
    </row>
    <row r="425" spans="1:3" x14ac:dyDescent="0.25">
      <c r="A425" s="42">
        <f>IF(COUNTIF($B$3:B425,B425)=1,A424+1,A424)</f>
        <v>1</v>
      </c>
      <c r="B425" s="42" t="str">
        <f>IF('6a - Lighting Counts'!G451="","",'6a - Lighting Counts'!G451)</f>
        <v/>
      </c>
      <c r="C425" s="42" t="str">
        <f t="shared" si="11"/>
        <v/>
      </c>
    </row>
    <row r="426" spans="1:3" x14ac:dyDescent="0.25">
      <c r="A426" s="42">
        <f>IF(COUNTIF($B$3:B426,B426)=1,A425+1,A425)</f>
        <v>1</v>
      </c>
      <c r="B426" s="42" t="str">
        <f>IF('6a - Lighting Counts'!G452="","",'6a - Lighting Counts'!G452)</f>
        <v/>
      </c>
      <c r="C426" s="42" t="str">
        <f t="shared" si="11"/>
        <v/>
      </c>
    </row>
    <row r="427" spans="1:3" x14ac:dyDescent="0.25">
      <c r="A427" s="42">
        <f>IF(COUNTIF($B$3:B427,B427)=1,A426+1,A426)</f>
        <v>1</v>
      </c>
      <c r="B427" s="42" t="str">
        <f>IF('6a - Lighting Counts'!G453="","",'6a - Lighting Counts'!G453)</f>
        <v/>
      </c>
      <c r="C427" s="42" t="str">
        <f t="shared" si="11"/>
        <v/>
      </c>
    </row>
    <row r="428" spans="1:3" x14ac:dyDescent="0.25">
      <c r="A428" s="42">
        <f>IF(COUNTIF($B$3:B428,B428)=1,A427+1,A427)</f>
        <v>1</v>
      </c>
      <c r="B428" s="42" t="str">
        <f>IF('6a - Lighting Counts'!G454="","",'6a - Lighting Counts'!G454)</f>
        <v/>
      </c>
      <c r="C428" s="42" t="str">
        <f t="shared" si="11"/>
        <v/>
      </c>
    </row>
    <row r="429" spans="1:3" x14ac:dyDescent="0.25">
      <c r="A429" s="42">
        <f>IF(COUNTIF($B$3:B429,B429)=1,A428+1,A428)</f>
        <v>1</v>
      </c>
      <c r="B429" s="42" t="str">
        <f>IF('6a - Lighting Counts'!G455="","",'6a - Lighting Counts'!G455)</f>
        <v/>
      </c>
      <c r="C429" s="42" t="str">
        <f t="shared" si="11"/>
        <v/>
      </c>
    </row>
    <row r="430" spans="1:3" x14ac:dyDescent="0.25">
      <c r="A430" s="42">
        <f>IF(COUNTIF($B$3:B430,B430)=1,A429+1,A429)</f>
        <v>1</v>
      </c>
      <c r="B430" s="42" t="str">
        <f>IF('6a - Lighting Counts'!G456="","",'6a - Lighting Counts'!G456)</f>
        <v/>
      </c>
      <c r="C430" s="42" t="str">
        <f t="shared" si="11"/>
        <v/>
      </c>
    </row>
    <row r="431" spans="1:3" x14ac:dyDescent="0.25">
      <c r="A431" s="42">
        <f>IF(COUNTIF($B$3:B431,B431)=1,A430+1,A430)</f>
        <v>1</v>
      </c>
      <c r="B431" s="42" t="str">
        <f>IF('6a - Lighting Counts'!G457="","",'6a - Lighting Counts'!G457)</f>
        <v/>
      </c>
      <c r="C431" s="42" t="str">
        <f t="shared" si="11"/>
        <v/>
      </c>
    </row>
    <row r="432" spans="1:3" x14ac:dyDescent="0.25">
      <c r="A432" s="42">
        <f>IF(COUNTIF($B$3:B432,B432)=1,A431+1,A431)</f>
        <v>1</v>
      </c>
      <c r="B432" s="42" t="str">
        <f>IF('6a - Lighting Counts'!G458="","",'6a - Lighting Counts'!G458)</f>
        <v/>
      </c>
      <c r="C432" s="42" t="str">
        <f t="shared" si="11"/>
        <v/>
      </c>
    </row>
    <row r="433" spans="1:3" x14ac:dyDescent="0.25">
      <c r="A433" s="42">
        <f>IF(COUNTIF($B$3:B433,B433)=1,A432+1,A432)</f>
        <v>1</v>
      </c>
      <c r="B433" s="42" t="str">
        <f>IF('6a - Lighting Counts'!G459="","",'6a - Lighting Counts'!G459)</f>
        <v/>
      </c>
      <c r="C433" s="42" t="str">
        <f t="shared" si="11"/>
        <v/>
      </c>
    </row>
    <row r="434" spans="1:3" x14ac:dyDescent="0.25">
      <c r="A434" s="42">
        <f>IF(COUNTIF($B$3:B434,B434)=1,A433+1,A433)</f>
        <v>1</v>
      </c>
      <c r="B434" s="42" t="str">
        <f>IF('6a - Lighting Counts'!G460="","",'6a - Lighting Counts'!G460)</f>
        <v/>
      </c>
      <c r="C434" s="42" t="str">
        <f t="shared" si="11"/>
        <v/>
      </c>
    </row>
    <row r="435" spans="1:3" x14ac:dyDescent="0.25">
      <c r="A435" s="42">
        <f>IF(COUNTIF($B$3:B435,B435)=1,A434+1,A434)</f>
        <v>1</v>
      </c>
      <c r="B435" s="42" t="str">
        <f>IF('6a - Lighting Counts'!G461="","",'6a - Lighting Counts'!G461)</f>
        <v/>
      </c>
      <c r="C435" s="42" t="str">
        <f t="shared" si="11"/>
        <v/>
      </c>
    </row>
    <row r="436" spans="1:3" x14ac:dyDescent="0.25">
      <c r="A436" s="42">
        <f>IF(COUNTIF($B$3:B436,B436)=1,A435+1,A435)</f>
        <v>1</v>
      </c>
      <c r="B436" s="42" t="str">
        <f>IF('6a - Lighting Counts'!G462="","",'6a - Lighting Counts'!G462)</f>
        <v/>
      </c>
      <c r="C436" s="42" t="str">
        <f t="shared" si="11"/>
        <v/>
      </c>
    </row>
    <row r="437" spans="1:3" x14ac:dyDescent="0.25">
      <c r="A437" s="42">
        <f>IF(COUNTIF($B$3:B437,B437)=1,A436+1,A436)</f>
        <v>1</v>
      </c>
      <c r="B437" s="42" t="str">
        <f>IF('6a - Lighting Counts'!G463="","",'6a - Lighting Counts'!G463)</f>
        <v/>
      </c>
      <c r="C437" s="42" t="str">
        <f t="shared" si="11"/>
        <v/>
      </c>
    </row>
    <row r="438" spans="1:3" x14ac:dyDescent="0.25">
      <c r="A438" s="42">
        <f>IF(COUNTIF($B$3:B438,B438)=1,A437+1,A437)</f>
        <v>1</v>
      </c>
      <c r="B438" s="42" t="str">
        <f>IF('6a - Lighting Counts'!G464="","",'6a - Lighting Counts'!G464)</f>
        <v/>
      </c>
      <c r="C438" s="42" t="str">
        <f t="shared" si="11"/>
        <v/>
      </c>
    </row>
    <row r="439" spans="1:3" x14ac:dyDescent="0.25">
      <c r="A439" s="42">
        <f>IF(COUNTIF($B$3:B439,B439)=1,A438+1,A438)</f>
        <v>1</v>
      </c>
      <c r="B439" s="42" t="str">
        <f>IF('6a - Lighting Counts'!G465="","",'6a - Lighting Counts'!G465)</f>
        <v/>
      </c>
      <c r="C439" s="42" t="str">
        <f t="shared" si="11"/>
        <v/>
      </c>
    </row>
    <row r="440" spans="1:3" x14ac:dyDescent="0.25">
      <c r="A440" s="42">
        <f>IF(COUNTIF($B$3:B440,B440)=1,A439+1,A439)</f>
        <v>1</v>
      </c>
      <c r="B440" s="42" t="str">
        <f>IF('6a - Lighting Counts'!G466="","",'6a - Lighting Counts'!G466)</f>
        <v/>
      </c>
      <c r="C440" s="42" t="str">
        <f t="shared" si="11"/>
        <v/>
      </c>
    </row>
    <row r="441" spans="1:3" x14ac:dyDescent="0.25">
      <c r="A441" s="42">
        <f>IF(COUNTIF($B$3:B441,B441)=1,A440+1,A440)</f>
        <v>1</v>
      </c>
      <c r="B441" s="42" t="str">
        <f>IF('6a - Lighting Counts'!G467="","",'6a - Lighting Counts'!G467)</f>
        <v/>
      </c>
      <c r="C441" s="42" t="str">
        <f t="shared" si="11"/>
        <v/>
      </c>
    </row>
    <row r="442" spans="1:3" x14ac:dyDescent="0.25">
      <c r="A442" s="42">
        <f>IF(COUNTIF($B$3:B442,B442)=1,A441+1,A441)</f>
        <v>1</v>
      </c>
      <c r="B442" s="42" t="str">
        <f>IF('6a - Lighting Counts'!G468="","",'6a - Lighting Counts'!G468)</f>
        <v/>
      </c>
      <c r="C442" s="42" t="str">
        <f t="shared" si="11"/>
        <v/>
      </c>
    </row>
    <row r="443" spans="1:3" x14ac:dyDescent="0.25">
      <c r="A443" s="42">
        <f>IF(COUNTIF($B$3:B443,B443)=1,A442+1,A442)</f>
        <v>1</v>
      </c>
      <c r="B443" s="42" t="str">
        <f>IF('6a - Lighting Counts'!G469="","",'6a - Lighting Counts'!G469)</f>
        <v/>
      </c>
      <c r="C443" s="42" t="str">
        <f t="shared" si="11"/>
        <v/>
      </c>
    </row>
    <row r="444" spans="1:3" x14ac:dyDescent="0.25">
      <c r="A444" s="42">
        <f>IF(COUNTIF($B$3:B444,B444)=1,A443+1,A443)</f>
        <v>1</v>
      </c>
      <c r="B444" s="42" t="str">
        <f>IF('6a - Lighting Counts'!G470="","",'6a - Lighting Counts'!G470)</f>
        <v/>
      </c>
      <c r="C444" s="42" t="str">
        <f t="shared" si="11"/>
        <v/>
      </c>
    </row>
    <row r="445" spans="1:3" x14ac:dyDescent="0.25">
      <c r="A445" s="42">
        <f>IF(COUNTIF($B$3:B445,B445)=1,A444+1,A444)</f>
        <v>1</v>
      </c>
      <c r="B445" s="42" t="str">
        <f>IF('6a - Lighting Counts'!G471="","",'6a - Lighting Counts'!G471)</f>
        <v/>
      </c>
      <c r="C445" s="42" t="str">
        <f t="shared" si="11"/>
        <v/>
      </c>
    </row>
    <row r="446" spans="1:3" x14ac:dyDescent="0.25">
      <c r="A446" s="42">
        <f>IF(COUNTIF($B$3:B446,B446)=1,A445+1,A445)</f>
        <v>1</v>
      </c>
      <c r="B446" s="42" t="str">
        <f>IF('6a - Lighting Counts'!G472="","",'6a - Lighting Counts'!G472)</f>
        <v/>
      </c>
      <c r="C446" s="42" t="str">
        <f t="shared" si="11"/>
        <v/>
      </c>
    </row>
    <row r="447" spans="1:3" x14ac:dyDescent="0.25">
      <c r="A447" s="42">
        <f>IF(COUNTIF($B$3:B447,B447)=1,A446+1,A446)</f>
        <v>1</v>
      </c>
      <c r="B447" s="42" t="str">
        <f>IF('6a - Lighting Counts'!G473="","",'6a - Lighting Counts'!G473)</f>
        <v/>
      </c>
      <c r="C447" s="42" t="str">
        <f t="shared" si="11"/>
        <v/>
      </c>
    </row>
    <row r="448" spans="1:3" x14ac:dyDescent="0.25">
      <c r="A448" s="42">
        <f>IF(COUNTIF($B$3:B448,B448)=1,A447+1,A447)</f>
        <v>1</v>
      </c>
      <c r="B448" s="42" t="str">
        <f>IF('6a - Lighting Counts'!G474="","",'6a - Lighting Counts'!G474)</f>
        <v/>
      </c>
      <c r="C448" s="42" t="str">
        <f t="shared" si="11"/>
        <v/>
      </c>
    </row>
    <row r="449" spans="1:3" x14ac:dyDescent="0.25">
      <c r="A449" s="42">
        <f>IF(COUNTIF($B$3:B449,B449)=1,A448+1,A448)</f>
        <v>1</v>
      </c>
      <c r="B449" s="42" t="str">
        <f>IF('6a - Lighting Counts'!G475="","",'6a - Lighting Counts'!G475)</f>
        <v/>
      </c>
      <c r="C449" s="42" t="str">
        <f t="shared" si="11"/>
        <v/>
      </c>
    </row>
    <row r="450" spans="1:3" x14ac:dyDescent="0.25">
      <c r="A450" s="42">
        <f>IF(COUNTIF($B$3:B450,B450)=1,A449+1,A449)</f>
        <v>1</v>
      </c>
      <c r="B450" s="42" t="str">
        <f>IF('6a - Lighting Counts'!G476="","",'6a - Lighting Counts'!G476)</f>
        <v/>
      </c>
      <c r="C450" s="42" t="str">
        <f t="shared" si="11"/>
        <v/>
      </c>
    </row>
    <row r="451" spans="1:3" x14ac:dyDescent="0.25">
      <c r="A451" s="42">
        <f>IF(COUNTIF($B$3:B451,B451)=1,A450+1,A450)</f>
        <v>1</v>
      </c>
      <c r="B451" s="42" t="str">
        <f>IF('6a - Lighting Counts'!G477="","",'6a - Lighting Counts'!G477)</f>
        <v/>
      </c>
      <c r="C451" s="42" t="str">
        <f t="shared" si="11"/>
        <v/>
      </c>
    </row>
    <row r="452" spans="1:3" x14ac:dyDescent="0.25">
      <c r="A452" s="42">
        <f>IF(COUNTIF($B$3:B452,B452)=1,A451+1,A451)</f>
        <v>1</v>
      </c>
      <c r="B452" s="42" t="str">
        <f>IF('6a - Lighting Counts'!G478="","",'6a - Lighting Counts'!G478)</f>
        <v/>
      </c>
      <c r="C452" s="42" t="str">
        <f t="shared" ref="C452:C515" si="12">IFERROR(VLOOKUP(ROW()-2,$A$3:$B$550,2,FALSE),"")</f>
        <v/>
      </c>
    </row>
    <row r="453" spans="1:3" x14ac:dyDescent="0.25">
      <c r="A453" s="42">
        <f>IF(COUNTIF($B$3:B453,B453)=1,A452+1,A452)</f>
        <v>1</v>
      </c>
      <c r="B453" s="42" t="str">
        <f>IF('6a - Lighting Counts'!G479="","",'6a - Lighting Counts'!G479)</f>
        <v/>
      </c>
      <c r="C453" s="42" t="str">
        <f t="shared" si="12"/>
        <v/>
      </c>
    </row>
    <row r="454" spans="1:3" x14ac:dyDescent="0.25">
      <c r="A454" s="42">
        <f>IF(COUNTIF($B$3:B454,B454)=1,A453+1,A453)</f>
        <v>1</v>
      </c>
      <c r="B454" s="42" t="str">
        <f>IF('6a - Lighting Counts'!G480="","",'6a - Lighting Counts'!G480)</f>
        <v/>
      </c>
      <c r="C454" s="42" t="str">
        <f t="shared" si="12"/>
        <v/>
      </c>
    </row>
    <row r="455" spans="1:3" x14ac:dyDescent="0.25">
      <c r="A455" s="42">
        <f>IF(COUNTIF($B$3:B455,B455)=1,A454+1,A454)</f>
        <v>1</v>
      </c>
      <c r="B455" s="42" t="str">
        <f>IF('6a - Lighting Counts'!G481="","",'6a - Lighting Counts'!G481)</f>
        <v/>
      </c>
      <c r="C455" s="42" t="str">
        <f t="shared" si="12"/>
        <v/>
      </c>
    </row>
    <row r="456" spans="1:3" x14ac:dyDescent="0.25">
      <c r="A456" s="42">
        <f>IF(COUNTIF($B$3:B456,B456)=1,A455+1,A455)</f>
        <v>1</v>
      </c>
      <c r="B456" s="42" t="str">
        <f>IF('6a - Lighting Counts'!G482="","",'6a - Lighting Counts'!G482)</f>
        <v/>
      </c>
      <c r="C456" s="42" t="str">
        <f t="shared" si="12"/>
        <v/>
      </c>
    </row>
    <row r="457" spans="1:3" x14ac:dyDescent="0.25">
      <c r="A457" s="42">
        <f>IF(COUNTIF($B$3:B457,B457)=1,A456+1,A456)</f>
        <v>1</v>
      </c>
      <c r="B457" s="42" t="str">
        <f>IF('6a - Lighting Counts'!G483="","",'6a - Lighting Counts'!G483)</f>
        <v/>
      </c>
      <c r="C457" s="42" t="str">
        <f t="shared" si="12"/>
        <v/>
      </c>
    </row>
    <row r="458" spans="1:3" x14ac:dyDescent="0.25">
      <c r="A458" s="42">
        <f>IF(COUNTIF($B$3:B458,B458)=1,A457+1,A457)</f>
        <v>1</v>
      </c>
      <c r="B458" s="42" t="str">
        <f>IF('6a - Lighting Counts'!G484="","",'6a - Lighting Counts'!G484)</f>
        <v/>
      </c>
      <c r="C458" s="42" t="str">
        <f t="shared" si="12"/>
        <v/>
      </c>
    </row>
    <row r="459" spans="1:3" x14ac:dyDescent="0.25">
      <c r="A459" s="42">
        <f>IF(COUNTIF($B$3:B459,B459)=1,A458+1,A458)</f>
        <v>1</v>
      </c>
      <c r="B459" s="42" t="str">
        <f>IF('6a - Lighting Counts'!G485="","",'6a - Lighting Counts'!G485)</f>
        <v/>
      </c>
      <c r="C459" s="42" t="str">
        <f t="shared" si="12"/>
        <v/>
      </c>
    </row>
    <row r="460" spans="1:3" x14ac:dyDescent="0.25">
      <c r="A460" s="42">
        <f>IF(COUNTIF($B$3:B460,B460)=1,A459+1,A459)</f>
        <v>1</v>
      </c>
      <c r="B460" s="42" t="str">
        <f>IF('6a - Lighting Counts'!G486="","",'6a - Lighting Counts'!G486)</f>
        <v/>
      </c>
      <c r="C460" s="42" t="str">
        <f t="shared" si="12"/>
        <v/>
      </c>
    </row>
    <row r="461" spans="1:3" x14ac:dyDescent="0.25">
      <c r="A461" s="42">
        <f>IF(COUNTIF($B$3:B461,B461)=1,A460+1,A460)</f>
        <v>1</v>
      </c>
      <c r="B461" s="42" t="str">
        <f>IF('6a - Lighting Counts'!G487="","",'6a - Lighting Counts'!G487)</f>
        <v/>
      </c>
      <c r="C461" s="42" t="str">
        <f t="shared" si="12"/>
        <v/>
      </c>
    </row>
    <row r="462" spans="1:3" x14ac:dyDescent="0.25">
      <c r="A462" s="42">
        <f>IF(COUNTIF($B$3:B462,B462)=1,A461+1,A461)</f>
        <v>1</v>
      </c>
      <c r="B462" s="42" t="str">
        <f>IF('6a - Lighting Counts'!G488="","",'6a - Lighting Counts'!G488)</f>
        <v/>
      </c>
      <c r="C462" s="42" t="str">
        <f t="shared" si="12"/>
        <v/>
      </c>
    </row>
    <row r="463" spans="1:3" x14ac:dyDescent="0.25">
      <c r="A463" s="42">
        <f>IF(COUNTIF($B$3:B463,B463)=1,A462+1,A462)</f>
        <v>1</v>
      </c>
      <c r="B463" s="42" t="str">
        <f>IF('6a - Lighting Counts'!G489="","",'6a - Lighting Counts'!G489)</f>
        <v/>
      </c>
      <c r="C463" s="42" t="str">
        <f t="shared" si="12"/>
        <v/>
      </c>
    </row>
    <row r="464" spans="1:3" x14ac:dyDescent="0.25">
      <c r="A464" s="42">
        <f>IF(COUNTIF($B$3:B464,B464)=1,A463+1,A463)</f>
        <v>1</v>
      </c>
      <c r="B464" s="42" t="str">
        <f>IF('6a - Lighting Counts'!G490="","",'6a - Lighting Counts'!G490)</f>
        <v/>
      </c>
      <c r="C464" s="42" t="str">
        <f t="shared" si="12"/>
        <v/>
      </c>
    </row>
    <row r="465" spans="1:3" x14ac:dyDescent="0.25">
      <c r="A465" s="42">
        <f>IF(COUNTIF($B$3:B465,B465)=1,A464+1,A464)</f>
        <v>1</v>
      </c>
      <c r="B465" s="42" t="str">
        <f>IF('6a - Lighting Counts'!G491="","",'6a - Lighting Counts'!G491)</f>
        <v/>
      </c>
      <c r="C465" s="42" t="str">
        <f t="shared" si="12"/>
        <v/>
      </c>
    </row>
    <row r="466" spans="1:3" x14ac:dyDescent="0.25">
      <c r="A466" s="42">
        <f>IF(COUNTIF($B$3:B466,B466)=1,A465+1,A465)</f>
        <v>1</v>
      </c>
      <c r="B466" s="42" t="str">
        <f>IF('6a - Lighting Counts'!G492="","",'6a - Lighting Counts'!G492)</f>
        <v/>
      </c>
      <c r="C466" s="42" t="str">
        <f t="shared" si="12"/>
        <v/>
      </c>
    </row>
    <row r="467" spans="1:3" x14ac:dyDescent="0.25">
      <c r="A467" s="42">
        <f>IF(COUNTIF($B$3:B467,B467)=1,A466+1,A466)</f>
        <v>1</v>
      </c>
      <c r="B467" s="42" t="str">
        <f>IF('6a - Lighting Counts'!G493="","",'6a - Lighting Counts'!G493)</f>
        <v/>
      </c>
      <c r="C467" s="42" t="str">
        <f t="shared" si="12"/>
        <v/>
      </c>
    </row>
    <row r="468" spans="1:3" x14ac:dyDescent="0.25">
      <c r="A468" s="42">
        <f>IF(COUNTIF($B$3:B468,B468)=1,A467+1,A467)</f>
        <v>1</v>
      </c>
      <c r="B468" s="42" t="str">
        <f>IF('6a - Lighting Counts'!G494="","",'6a - Lighting Counts'!G494)</f>
        <v/>
      </c>
      <c r="C468" s="42" t="str">
        <f t="shared" si="12"/>
        <v/>
      </c>
    </row>
    <row r="469" spans="1:3" x14ac:dyDescent="0.25">
      <c r="A469" s="42">
        <f>IF(COUNTIF($B$3:B469,B469)=1,A468+1,A468)</f>
        <v>1</v>
      </c>
      <c r="B469" s="42" t="str">
        <f>IF('6a - Lighting Counts'!G495="","",'6a - Lighting Counts'!G495)</f>
        <v/>
      </c>
      <c r="C469" s="42" t="str">
        <f t="shared" si="12"/>
        <v/>
      </c>
    </row>
    <row r="470" spans="1:3" x14ac:dyDescent="0.25">
      <c r="A470" s="42">
        <f>IF(COUNTIF($B$3:B470,B470)=1,A469+1,A469)</f>
        <v>1</v>
      </c>
      <c r="B470" s="42" t="str">
        <f>IF('6a - Lighting Counts'!G496="","",'6a - Lighting Counts'!G496)</f>
        <v/>
      </c>
      <c r="C470" s="42" t="str">
        <f t="shared" si="12"/>
        <v/>
      </c>
    </row>
    <row r="471" spans="1:3" x14ac:dyDescent="0.25">
      <c r="A471" s="42">
        <f>IF(COUNTIF($B$3:B471,B471)=1,A470+1,A470)</f>
        <v>1</v>
      </c>
      <c r="B471" s="42" t="str">
        <f>IF('6a - Lighting Counts'!G497="","",'6a - Lighting Counts'!G497)</f>
        <v/>
      </c>
      <c r="C471" s="42" t="str">
        <f t="shared" si="12"/>
        <v/>
      </c>
    </row>
    <row r="472" spans="1:3" x14ac:dyDescent="0.25">
      <c r="A472" s="42">
        <f>IF(COUNTIF($B$3:B472,B472)=1,A471+1,A471)</f>
        <v>1</v>
      </c>
      <c r="B472" s="42" t="str">
        <f>IF('6a - Lighting Counts'!G498="","",'6a - Lighting Counts'!G498)</f>
        <v/>
      </c>
      <c r="C472" s="42" t="str">
        <f t="shared" si="12"/>
        <v/>
      </c>
    </row>
    <row r="473" spans="1:3" x14ac:dyDescent="0.25">
      <c r="A473" s="42">
        <f>IF(COUNTIF($B$3:B473,B473)=1,A472+1,A472)</f>
        <v>1</v>
      </c>
      <c r="B473" s="42" t="str">
        <f>IF('6a - Lighting Counts'!G499="","",'6a - Lighting Counts'!G499)</f>
        <v/>
      </c>
      <c r="C473" s="42" t="str">
        <f t="shared" si="12"/>
        <v/>
      </c>
    </row>
    <row r="474" spans="1:3" x14ac:dyDescent="0.25">
      <c r="A474" s="42">
        <f>IF(COUNTIF($B$3:B474,B474)=1,A473+1,A473)</f>
        <v>1</v>
      </c>
      <c r="B474" s="42" t="str">
        <f>IF('6a - Lighting Counts'!G500="","",'6a - Lighting Counts'!G500)</f>
        <v/>
      </c>
      <c r="C474" s="42" t="str">
        <f t="shared" si="12"/>
        <v/>
      </c>
    </row>
    <row r="475" spans="1:3" x14ac:dyDescent="0.25">
      <c r="A475" s="42">
        <f>IF(COUNTIF($B$3:B475,B475)=1,A474+1,A474)</f>
        <v>1</v>
      </c>
      <c r="B475" s="42" t="str">
        <f>IF('6a - Lighting Counts'!G501="","",'6a - Lighting Counts'!G501)</f>
        <v/>
      </c>
      <c r="C475" s="42" t="str">
        <f t="shared" si="12"/>
        <v/>
      </c>
    </row>
    <row r="476" spans="1:3" x14ac:dyDescent="0.25">
      <c r="A476" s="42">
        <f>IF(COUNTIF($B$3:B476,B476)=1,A475+1,A475)</f>
        <v>1</v>
      </c>
      <c r="B476" s="42" t="str">
        <f>IF('6a - Lighting Counts'!G502="","",'6a - Lighting Counts'!G502)</f>
        <v/>
      </c>
      <c r="C476" s="42" t="str">
        <f t="shared" si="12"/>
        <v/>
      </c>
    </row>
    <row r="477" spans="1:3" x14ac:dyDescent="0.25">
      <c r="A477" s="42">
        <f>IF(COUNTIF($B$3:B477,B477)=1,A476+1,A476)</f>
        <v>1</v>
      </c>
      <c r="B477" s="42" t="str">
        <f>IF('6a - Lighting Counts'!G503="","",'6a - Lighting Counts'!G503)</f>
        <v/>
      </c>
      <c r="C477" s="42" t="str">
        <f t="shared" si="12"/>
        <v/>
      </c>
    </row>
    <row r="478" spans="1:3" x14ac:dyDescent="0.25">
      <c r="A478" s="42">
        <f>IF(COUNTIF($B$3:B478,B478)=1,A477+1,A477)</f>
        <v>1</v>
      </c>
      <c r="B478" s="42" t="str">
        <f>IF('6a - Lighting Counts'!G504="","",'6a - Lighting Counts'!G504)</f>
        <v/>
      </c>
      <c r="C478" s="42" t="str">
        <f t="shared" si="12"/>
        <v/>
      </c>
    </row>
    <row r="479" spans="1:3" x14ac:dyDescent="0.25">
      <c r="A479" s="42">
        <f>IF(COUNTIF($B$3:B479,B479)=1,A478+1,A478)</f>
        <v>1</v>
      </c>
      <c r="B479" s="42" t="str">
        <f>IF('6a - Lighting Counts'!G505="","",'6a - Lighting Counts'!G505)</f>
        <v/>
      </c>
      <c r="C479" s="42" t="str">
        <f t="shared" si="12"/>
        <v/>
      </c>
    </row>
    <row r="480" spans="1:3" x14ac:dyDescent="0.25">
      <c r="A480" s="42">
        <f>IF(COUNTIF($B$3:B480,B480)=1,A479+1,A479)</f>
        <v>1</v>
      </c>
      <c r="B480" s="42" t="str">
        <f>IF('6a - Lighting Counts'!G506="","",'6a - Lighting Counts'!G506)</f>
        <v/>
      </c>
      <c r="C480" s="42" t="str">
        <f t="shared" si="12"/>
        <v/>
      </c>
    </row>
    <row r="481" spans="1:3" x14ac:dyDescent="0.25">
      <c r="A481" s="42">
        <f>IF(COUNTIF($B$3:B481,B481)=1,A480+1,A480)</f>
        <v>1</v>
      </c>
      <c r="B481" s="42" t="str">
        <f>IF('6a - Lighting Counts'!G507="","",'6a - Lighting Counts'!G507)</f>
        <v/>
      </c>
      <c r="C481" s="42" t="str">
        <f t="shared" si="12"/>
        <v/>
      </c>
    </row>
    <row r="482" spans="1:3" x14ac:dyDescent="0.25">
      <c r="A482" s="42">
        <f>IF(COUNTIF($B$3:B482,B482)=1,A481+1,A481)</f>
        <v>1</v>
      </c>
      <c r="B482" s="42" t="str">
        <f>IF('6a - Lighting Counts'!G508="","",'6a - Lighting Counts'!G508)</f>
        <v/>
      </c>
      <c r="C482" s="42" t="str">
        <f t="shared" si="12"/>
        <v/>
      </c>
    </row>
    <row r="483" spans="1:3" x14ac:dyDescent="0.25">
      <c r="A483" s="42">
        <f>IF(COUNTIF($B$3:B483,B483)=1,A482+1,A482)</f>
        <v>1</v>
      </c>
      <c r="B483" s="42" t="str">
        <f>IF('6a - Lighting Counts'!G509="","",'6a - Lighting Counts'!G509)</f>
        <v/>
      </c>
      <c r="C483" s="42" t="str">
        <f t="shared" si="12"/>
        <v/>
      </c>
    </row>
    <row r="484" spans="1:3" x14ac:dyDescent="0.25">
      <c r="A484" s="42">
        <f>IF(COUNTIF($B$3:B484,B484)=1,A483+1,A483)</f>
        <v>1</v>
      </c>
      <c r="B484" s="42" t="str">
        <f>IF('6a - Lighting Counts'!G510="","",'6a - Lighting Counts'!G510)</f>
        <v/>
      </c>
      <c r="C484" s="42" t="str">
        <f t="shared" si="12"/>
        <v/>
      </c>
    </row>
    <row r="485" spans="1:3" x14ac:dyDescent="0.25">
      <c r="A485" s="42">
        <f>IF(COUNTIF($B$3:B485,B485)=1,A484+1,A484)</f>
        <v>1</v>
      </c>
      <c r="B485" s="42" t="str">
        <f>IF('6a - Lighting Counts'!G511="","",'6a - Lighting Counts'!G511)</f>
        <v/>
      </c>
      <c r="C485" s="42" t="str">
        <f t="shared" si="12"/>
        <v/>
      </c>
    </row>
    <row r="486" spans="1:3" x14ac:dyDescent="0.25">
      <c r="A486" s="42">
        <f>IF(COUNTIF($B$3:B486,B486)=1,A485+1,A485)</f>
        <v>1</v>
      </c>
      <c r="B486" s="42" t="str">
        <f>IF('6a - Lighting Counts'!G512="","",'6a - Lighting Counts'!G512)</f>
        <v/>
      </c>
      <c r="C486" s="42" t="str">
        <f t="shared" si="12"/>
        <v/>
      </c>
    </row>
    <row r="487" spans="1:3" x14ac:dyDescent="0.25">
      <c r="A487" s="42">
        <f>IF(COUNTIF($B$3:B487,B487)=1,A486+1,A486)</f>
        <v>1</v>
      </c>
      <c r="B487" s="42" t="str">
        <f>IF('6a - Lighting Counts'!G513="","",'6a - Lighting Counts'!G513)</f>
        <v/>
      </c>
      <c r="C487" s="42" t="str">
        <f t="shared" si="12"/>
        <v/>
      </c>
    </row>
    <row r="488" spans="1:3" x14ac:dyDescent="0.25">
      <c r="A488" s="42">
        <f>IF(COUNTIF($B$3:B488,B488)=1,A487+1,A487)</f>
        <v>1</v>
      </c>
      <c r="B488" s="42" t="str">
        <f>IF('6a - Lighting Counts'!G514="","",'6a - Lighting Counts'!G514)</f>
        <v/>
      </c>
      <c r="C488" s="42" t="str">
        <f t="shared" si="12"/>
        <v/>
      </c>
    </row>
    <row r="489" spans="1:3" x14ac:dyDescent="0.25">
      <c r="A489" s="42">
        <f>IF(COUNTIF($B$3:B489,B489)=1,A488+1,A488)</f>
        <v>1</v>
      </c>
      <c r="B489" s="42" t="str">
        <f>IF('6a - Lighting Counts'!G515="","",'6a - Lighting Counts'!G515)</f>
        <v/>
      </c>
      <c r="C489" s="42" t="str">
        <f t="shared" si="12"/>
        <v/>
      </c>
    </row>
    <row r="490" spans="1:3" x14ac:dyDescent="0.25">
      <c r="A490" s="42">
        <f>IF(COUNTIF($B$3:B490,B490)=1,A489+1,A489)</f>
        <v>1</v>
      </c>
      <c r="B490" s="42" t="str">
        <f>IF('6a - Lighting Counts'!G516="","",'6a - Lighting Counts'!G516)</f>
        <v/>
      </c>
      <c r="C490" s="42" t="str">
        <f t="shared" si="12"/>
        <v/>
      </c>
    </row>
    <row r="491" spans="1:3" x14ac:dyDescent="0.25">
      <c r="A491" s="42">
        <f>IF(COUNTIF($B$3:B491,B491)=1,A490+1,A490)</f>
        <v>1</v>
      </c>
      <c r="B491" s="42" t="str">
        <f>IF('6a - Lighting Counts'!G517="","",'6a - Lighting Counts'!G517)</f>
        <v/>
      </c>
      <c r="C491" s="42" t="str">
        <f t="shared" si="12"/>
        <v/>
      </c>
    </row>
    <row r="492" spans="1:3" x14ac:dyDescent="0.25">
      <c r="A492" s="42">
        <f>IF(COUNTIF($B$3:B492,B492)=1,A491+1,A491)</f>
        <v>1</v>
      </c>
      <c r="B492" s="42" t="str">
        <f>IF('6a - Lighting Counts'!G518="","",'6a - Lighting Counts'!G518)</f>
        <v/>
      </c>
      <c r="C492" s="42" t="str">
        <f t="shared" si="12"/>
        <v/>
      </c>
    </row>
    <row r="493" spans="1:3" x14ac:dyDescent="0.25">
      <c r="A493" s="42">
        <f>IF(COUNTIF($B$3:B493,B493)=1,A492+1,A492)</f>
        <v>1</v>
      </c>
      <c r="B493" s="42" t="str">
        <f>IF('6a - Lighting Counts'!G519="","",'6a - Lighting Counts'!G519)</f>
        <v/>
      </c>
      <c r="C493" s="42" t="str">
        <f t="shared" si="12"/>
        <v/>
      </c>
    </row>
    <row r="494" spans="1:3" x14ac:dyDescent="0.25">
      <c r="A494" s="42">
        <f>IF(COUNTIF($B$3:B494,B494)=1,A493+1,A493)</f>
        <v>1</v>
      </c>
      <c r="B494" s="42" t="str">
        <f>IF('6a - Lighting Counts'!G520="","",'6a - Lighting Counts'!G520)</f>
        <v/>
      </c>
      <c r="C494" s="42" t="str">
        <f t="shared" si="12"/>
        <v/>
      </c>
    </row>
    <row r="495" spans="1:3" x14ac:dyDescent="0.25">
      <c r="A495" s="42">
        <f>IF(COUNTIF($B$3:B495,B495)=1,A494+1,A494)</f>
        <v>1</v>
      </c>
      <c r="B495" s="42" t="str">
        <f>IF('6a - Lighting Counts'!G521="","",'6a - Lighting Counts'!G521)</f>
        <v/>
      </c>
      <c r="C495" s="42" t="str">
        <f t="shared" si="12"/>
        <v/>
      </c>
    </row>
    <row r="496" spans="1:3" x14ac:dyDescent="0.25">
      <c r="A496" s="42">
        <f>IF(COUNTIF($B$3:B496,B496)=1,A495+1,A495)</f>
        <v>1</v>
      </c>
      <c r="B496" s="42" t="str">
        <f>IF('6a - Lighting Counts'!G522="","",'6a - Lighting Counts'!G522)</f>
        <v/>
      </c>
      <c r="C496" s="42" t="str">
        <f t="shared" si="12"/>
        <v/>
      </c>
    </row>
    <row r="497" spans="1:3" x14ac:dyDescent="0.25">
      <c r="A497" s="42">
        <f>IF(COUNTIF($B$3:B497,B497)=1,A496+1,A496)</f>
        <v>1</v>
      </c>
      <c r="B497" s="42" t="str">
        <f>IF('6a - Lighting Counts'!G523="","",'6a - Lighting Counts'!G523)</f>
        <v/>
      </c>
      <c r="C497" s="42" t="str">
        <f t="shared" si="12"/>
        <v/>
      </c>
    </row>
    <row r="498" spans="1:3" x14ac:dyDescent="0.25">
      <c r="A498" s="42">
        <f>IF(COUNTIF($B$3:B498,B498)=1,A497+1,A497)</f>
        <v>1</v>
      </c>
      <c r="B498" s="42" t="str">
        <f>IF('6a - Lighting Counts'!G524="","",'6a - Lighting Counts'!G524)</f>
        <v/>
      </c>
      <c r="C498" s="42" t="str">
        <f t="shared" si="12"/>
        <v/>
      </c>
    </row>
    <row r="499" spans="1:3" x14ac:dyDescent="0.25">
      <c r="A499" s="42">
        <f>IF(COUNTIF($B$3:B499,B499)=1,A498+1,A498)</f>
        <v>1</v>
      </c>
      <c r="B499" s="42" t="str">
        <f>IF('6a - Lighting Counts'!G525="","",'6a - Lighting Counts'!G525)</f>
        <v/>
      </c>
      <c r="C499" s="42" t="str">
        <f t="shared" si="12"/>
        <v/>
      </c>
    </row>
    <row r="500" spans="1:3" x14ac:dyDescent="0.25">
      <c r="A500" s="42">
        <f>IF(COUNTIF($B$3:B500,B500)=1,A499+1,A499)</f>
        <v>1</v>
      </c>
      <c r="B500" s="42" t="str">
        <f>IF('6a - Lighting Counts'!G526="","",'6a - Lighting Counts'!G526)</f>
        <v/>
      </c>
      <c r="C500" s="42" t="str">
        <f t="shared" si="12"/>
        <v/>
      </c>
    </row>
    <row r="501" spans="1:3" x14ac:dyDescent="0.25">
      <c r="A501" s="42">
        <f>IF(COUNTIF($B$3:B501,B501)=1,A500+1,A500)</f>
        <v>1</v>
      </c>
      <c r="B501" s="42" t="str">
        <f>IF('6a - Lighting Counts'!G527="","",'6a - Lighting Counts'!G527)</f>
        <v/>
      </c>
      <c r="C501" s="42" t="str">
        <f t="shared" si="12"/>
        <v/>
      </c>
    </row>
    <row r="502" spans="1:3" x14ac:dyDescent="0.25">
      <c r="A502" s="42">
        <f>IF(COUNTIF($B$3:B502,B502)=1,A501+1,A501)</f>
        <v>1</v>
      </c>
      <c r="B502" s="42" t="str">
        <f>IF('6a - Lighting Counts'!G528="","",'6a - Lighting Counts'!G528)</f>
        <v/>
      </c>
      <c r="C502" s="42" t="str">
        <f t="shared" si="12"/>
        <v/>
      </c>
    </row>
    <row r="503" spans="1:3" x14ac:dyDescent="0.25">
      <c r="A503" s="42">
        <f>IF(COUNTIF($B$3:B503,B503)=1,A502+1,A502)</f>
        <v>1</v>
      </c>
      <c r="B503" s="42" t="str">
        <f>IF('6a - Lighting Counts'!G529="","",'6a - Lighting Counts'!G529)</f>
        <v/>
      </c>
      <c r="C503" s="42" t="str">
        <f t="shared" si="12"/>
        <v/>
      </c>
    </row>
    <row r="504" spans="1:3" x14ac:dyDescent="0.25">
      <c r="A504" s="42">
        <f>IF(COUNTIF($B$3:B504,B504)=1,A503+1,A503)</f>
        <v>1</v>
      </c>
      <c r="B504" s="42" t="str">
        <f>IF('6a - Lighting Counts'!G530="","",'6a - Lighting Counts'!G530)</f>
        <v/>
      </c>
      <c r="C504" s="42" t="str">
        <f t="shared" si="12"/>
        <v/>
      </c>
    </row>
    <row r="505" spans="1:3" x14ac:dyDescent="0.25">
      <c r="A505" s="42">
        <f>IF(COUNTIF($B$3:B505,B505)=1,A504+1,A504)</f>
        <v>1</v>
      </c>
      <c r="B505" s="42" t="str">
        <f>IF('6a - Lighting Counts'!G531="","",'6a - Lighting Counts'!G531)</f>
        <v/>
      </c>
      <c r="C505" s="42" t="str">
        <f t="shared" si="12"/>
        <v/>
      </c>
    </row>
    <row r="506" spans="1:3" x14ac:dyDescent="0.25">
      <c r="A506" s="42">
        <f>IF(COUNTIF($B$3:B506,B506)=1,A505+1,A505)</f>
        <v>1</v>
      </c>
      <c r="B506" s="42" t="str">
        <f>IF('6a - Lighting Counts'!G532="","",'6a - Lighting Counts'!G532)</f>
        <v/>
      </c>
      <c r="C506" s="42" t="str">
        <f t="shared" si="12"/>
        <v/>
      </c>
    </row>
    <row r="507" spans="1:3" x14ac:dyDescent="0.25">
      <c r="A507" s="42">
        <f>IF(COUNTIF($B$3:B507,B507)=1,A506+1,A506)</f>
        <v>1</v>
      </c>
      <c r="B507" s="42" t="str">
        <f>IF('6a - Lighting Counts'!G533="","",'6a - Lighting Counts'!G533)</f>
        <v/>
      </c>
      <c r="C507" s="42" t="str">
        <f t="shared" si="12"/>
        <v/>
      </c>
    </row>
    <row r="508" spans="1:3" x14ac:dyDescent="0.25">
      <c r="A508" s="42">
        <f>IF(COUNTIF($B$3:B508,B508)=1,A507+1,A507)</f>
        <v>1</v>
      </c>
      <c r="B508" s="42" t="str">
        <f>IF('6a - Lighting Counts'!G534="","",'6a - Lighting Counts'!G534)</f>
        <v/>
      </c>
      <c r="C508" s="42" t="str">
        <f t="shared" si="12"/>
        <v/>
      </c>
    </row>
    <row r="509" spans="1:3" x14ac:dyDescent="0.25">
      <c r="A509" s="42">
        <f>IF(COUNTIF($B$3:B509,B509)=1,A508+1,A508)</f>
        <v>1</v>
      </c>
      <c r="B509" s="42" t="str">
        <f>IF('6a - Lighting Counts'!G535="","",'6a - Lighting Counts'!G535)</f>
        <v/>
      </c>
      <c r="C509" s="42" t="str">
        <f t="shared" si="12"/>
        <v/>
      </c>
    </row>
    <row r="510" spans="1:3" x14ac:dyDescent="0.25">
      <c r="A510" s="42">
        <f>IF(COUNTIF($B$3:B510,B510)=1,A509+1,A509)</f>
        <v>1</v>
      </c>
      <c r="B510" s="42" t="str">
        <f>IF('6a - Lighting Counts'!G536="","",'6a - Lighting Counts'!G536)</f>
        <v/>
      </c>
      <c r="C510" s="42" t="str">
        <f t="shared" si="12"/>
        <v/>
      </c>
    </row>
    <row r="511" spans="1:3" x14ac:dyDescent="0.25">
      <c r="A511" s="42">
        <f>IF(COUNTIF($B$3:B511,B511)=1,A510+1,A510)</f>
        <v>1</v>
      </c>
      <c r="B511" s="42" t="str">
        <f>IF('6a - Lighting Counts'!G537="","",'6a - Lighting Counts'!G537)</f>
        <v/>
      </c>
      <c r="C511" s="42" t="str">
        <f t="shared" si="12"/>
        <v/>
      </c>
    </row>
    <row r="512" spans="1:3" x14ac:dyDescent="0.25">
      <c r="A512" s="42">
        <f>IF(COUNTIF($B$3:B512,B512)=1,A511+1,A511)</f>
        <v>1</v>
      </c>
      <c r="B512" s="42" t="str">
        <f>IF('6a - Lighting Counts'!G538="","",'6a - Lighting Counts'!G538)</f>
        <v/>
      </c>
      <c r="C512" s="42" t="str">
        <f t="shared" si="12"/>
        <v/>
      </c>
    </row>
    <row r="513" spans="1:3" x14ac:dyDescent="0.25">
      <c r="A513" s="42">
        <f>IF(COUNTIF($B$3:B513,B513)=1,A512+1,A512)</f>
        <v>1</v>
      </c>
      <c r="B513" s="42" t="str">
        <f>IF('6a - Lighting Counts'!G539="","",'6a - Lighting Counts'!G539)</f>
        <v/>
      </c>
      <c r="C513" s="42" t="str">
        <f t="shared" si="12"/>
        <v/>
      </c>
    </row>
    <row r="514" spans="1:3" x14ac:dyDescent="0.25">
      <c r="A514" s="42">
        <f>IF(COUNTIF($B$3:B514,B514)=1,A513+1,A513)</f>
        <v>1</v>
      </c>
      <c r="B514" s="42" t="str">
        <f>IF('6a - Lighting Counts'!G540="","",'6a - Lighting Counts'!G540)</f>
        <v/>
      </c>
      <c r="C514" s="42" t="str">
        <f t="shared" si="12"/>
        <v/>
      </c>
    </row>
    <row r="515" spans="1:3" x14ac:dyDescent="0.25">
      <c r="A515" s="42">
        <f>IF(COUNTIF($B$3:B515,B515)=1,A514+1,A514)</f>
        <v>1</v>
      </c>
      <c r="B515" s="42" t="str">
        <f>IF('6a - Lighting Counts'!G541="","",'6a - Lighting Counts'!G541)</f>
        <v/>
      </c>
      <c r="C515" s="42" t="str">
        <f t="shared" si="12"/>
        <v/>
      </c>
    </row>
    <row r="516" spans="1:3" x14ac:dyDescent="0.25">
      <c r="A516" s="42">
        <f>IF(COUNTIF($B$3:B516,B516)=1,A515+1,A515)</f>
        <v>1</v>
      </c>
      <c r="B516" s="42" t="str">
        <f>IF('6a - Lighting Counts'!G542="","",'6a - Lighting Counts'!G542)</f>
        <v/>
      </c>
      <c r="C516" s="42" t="str">
        <f t="shared" ref="C516:C550" si="13">IFERROR(VLOOKUP(ROW()-2,$A$3:$B$550,2,FALSE),"")</f>
        <v/>
      </c>
    </row>
    <row r="517" spans="1:3" x14ac:dyDescent="0.25">
      <c r="A517" s="42">
        <f>IF(COUNTIF($B$3:B517,B517)=1,A516+1,A516)</f>
        <v>1</v>
      </c>
      <c r="B517" s="42" t="str">
        <f>IF('6a - Lighting Counts'!G543="","",'6a - Lighting Counts'!G543)</f>
        <v/>
      </c>
      <c r="C517" s="42" t="str">
        <f t="shared" si="13"/>
        <v/>
      </c>
    </row>
    <row r="518" spans="1:3" x14ac:dyDescent="0.25">
      <c r="A518" s="42">
        <f>IF(COUNTIF($B$3:B518,B518)=1,A517+1,A517)</f>
        <v>1</v>
      </c>
      <c r="B518" s="42" t="str">
        <f>IF('6a - Lighting Counts'!G544="","",'6a - Lighting Counts'!G544)</f>
        <v/>
      </c>
      <c r="C518" s="42" t="str">
        <f t="shared" si="13"/>
        <v/>
      </c>
    </row>
    <row r="519" spans="1:3" x14ac:dyDescent="0.25">
      <c r="A519" s="42">
        <f>IF(COUNTIF($B$3:B519,B519)=1,A518+1,A518)</f>
        <v>1</v>
      </c>
      <c r="B519" s="42" t="str">
        <f>IF('6a - Lighting Counts'!G545="","",'6a - Lighting Counts'!G545)</f>
        <v/>
      </c>
      <c r="C519" s="42" t="str">
        <f t="shared" si="13"/>
        <v/>
      </c>
    </row>
    <row r="520" spans="1:3" x14ac:dyDescent="0.25">
      <c r="A520" s="42">
        <f>IF(COUNTIF($B$3:B520,B520)=1,A519+1,A519)</f>
        <v>1</v>
      </c>
      <c r="B520" s="42" t="str">
        <f>IF('6a - Lighting Counts'!G546="","",'6a - Lighting Counts'!G546)</f>
        <v/>
      </c>
      <c r="C520" s="42" t="str">
        <f t="shared" si="13"/>
        <v/>
      </c>
    </row>
    <row r="521" spans="1:3" x14ac:dyDescent="0.25">
      <c r="A521" s="42">
        <f>IF(COUNTIF($B$3:B521,B521)=1,A520+1,A520)</f>
        <v>1</v>
      </c>
      <c r="B521" s="42" t="str">
        <f>IF('6a - Lighting Counts'!G547="","",'6a - Lighting Counts'!G547)</f>
        <v/>
      </c>
      <c r="C521" s="42" t="str">
        <f t="shared" si="13"/>
        <v/>
      </c>
    </row>
    <row r="522" spans="1:3" x14ac:dyDescent="0.25">
      <c r="A522" s="42">
        <f>IF(COUNTIF($B$3:B522,B522)=1,A521+1,A521)</f>
        <v>1</v>
      </c>
      <c r="B522" s="42" t="str">
        <f>IF('6a - Lighting Counts'!G548="","",'6a - Lighting Counts'!G548)</f>
        <v/>
      </c>
      <c r="C522" s="42" t="str">
        <f t="shared" si="13"/>
        <v/>
      </c>
    </row>
    <row r="523" spans="1:3" x14ac:dyDescent="0.25">
      <c r="A523" s="42">
        <f>IF(COUNTIF($B$3:B523,B523)=1,A522+1,A522)</f>
        <v>1</v>
      </c>
      <c r="B523" s="42" t="str">
        <f>IF('6a - Lighting Counts'!G549="","",'6a - Lighting Counts'!G549)</f>
        <v/>
      </c>
      <c r="C523" s="42" t="str">
        <f t="shared" si="13"/>
        <v/>
      </c>
    </row>
    <row r="524" spans="1:3" x14ac:dyDescent="0.25">
      <c r="A524" s="42">
        <f>IF(COUNTIF($B$3:B524,B524)=1,A523+1,A523)</f>
        <v>1</v>
      </c>
      <c r="B524" s="42" t="str">
        <f>IF('6a - Lighting Counts'!G550="","",'6a - Lighting Counts'!G550)</f>
        <v/>
      </c>
      <c r="C524" s="42" t="str">
        <f t="shared" si="13"/>
        <v/>
      </c>
    </row>
    <row r="525" spans="1:3" x14ac:dyDescent="0.25">
      <c r="A525" s="42">
        <f>IF(COUNTIF($B$3:B525,B525)=1,A524+1,A524)</f>
        <v>1</v>
      </c>
      <c r="B525" s="42" t="str">
        <f>IF('6a - Lighting Counts'!G551="","",'6a - Lighting Counts'!G551)</f>
        <v/>
      </c>
      <c r="C525" s="42" t="str">
        <f t="shared" si="13"/>
        <v/>
      </c>
    </row>
    <row r="526" spans="1:3" x14ac:dyDescent="0.25">
      <c r="A526" s="42">
        <f>IF(COUNTIF($B$3:B526,B526)=1,A525+1,A525)</f>
        <v>1</v>
      </c>
      <c r="B526" s="42" t="str">
        <f>IF('6a - Lighting Counts'!G552="","",'6a - Lighting Counts'!G552)</f>
        <v/>
      </c>
      <c r="C526" s="42" t="str">
        <f t="shared" si="13"/>
        <v/>
      </c>
    </row>
    <row r="527" spans="1:3" x14ac:dyDescent="0.25">
      <c r="A527" s="42">
        <f>IF(COUNTIF($B$3:B527,B527)=1,A526+1,A526)</f>
        <v>1</v>
      </c>
      <c r="B527" s="42" t="str">
        <f>IF('6a - Lighting Counts'!G553="","",'6a - Lighting Counts'!G553)</f>
        <v/>
      </c>
      <c r="C527" s="42" t="str">
        <f t="shared" si="13"/>
        <v/>
      </c>
    </row>
    <row r="528" spans="1:3" x14ac:dyDescent="0.25">
      <c r="A528" s="42">
        <f>IF(COUNTIF($B$3:B528,B528)=1,A527+1,A527)</f>
        <v>1</v>
      </c>
      <c r="B528" s="42" t="str">
        <f>IF('6a - Lighting Counts'!G554="","",'6a - Lighting Counts'!G554)</f>
        <v/>
      </c>
      <c r="C528" s="42" t="str">
        <f t="shared" si="13"/>
        <v/>
      </c>
    </row>
    <row r="529" spans="1:3" x14ac:dyDescent="0.25">
      <c r="A529" s="42">
        <f>IF(COUNTIF($B$3:B529,B529)=1,A528+1,A528)</f>
        <v>1</v>
      </c>
      <c r="B529" s="42" t="str">
        <f>IF('6a - Lighting Counts'!G555="","",'6a - Lighting Counts'!G555)</f>
        <v/>
      </c>
      <c r="C529" s="42" t="str">
        <f t="shared" si="13"/>
        <v/>
      </c>
    </row>
    <row r="530" spans="1:3" x14ac:dyDescent="0.25">
      <c r="A530" s="42">
        <f>IF(COUNTIF($B$3:B530,B530)=1,A529+1,A529)</f>
        <v>1</v>
      </c>
      <c r="B530" s="42" t="str">
        <f>IF('6a - Lighting Counts'!G556="","",'6a - Lighting Counts'!G556)</f>
        <v/>
      </c>
      <c r="C530" s="42" t="str">
        <f t="shared" si="13"/>
        <v/>
      </c>
    </row>
    <row r="531" spans="1:3" x14ac:dyDescent="0.25">
      <c r="A531" s="42">
        <f>IF(COUNTIF($B$3:B531,B531)=1,A530+1,A530)</f>
        <v>1</v>
      </c>
      <c r="B531" s="42" t="str">
        <f>IF('6a - Lighting Counts'!G557="","",'6a - Lighting Counts'!G557)</f>
        <v/>
      </c>
      <c r="C531" s="42" t="str">
        <f t="shared" si="13"/>
        <v/>
      </c>
    </row>
    <row r="532" spans="1:3" x14ac:dyDescent="0.25">
      <c r="A532" s="42">
        <f>IF(COUNTIF($B$3:B532,B532)=1,A531+1,A531)</f>
        <v>1</v>
      </c>
      <c r="B532" s="42" t="str">
        <f>IF('6a - Lighting Counts'!G558="","",'6a - Lighting Counts'!G558)</f>
        <v/>
      </c>
      <c r="C532" s="42" t="str">
        <f t="shared" si="13"/>
        <v/>
      </c>
    </row>
    <row r="533" spans="1:3" x14ac:dyDescent="0.25">
      <c r="A533" s="42">
        <f>IF(COUNTIF($B$3:B533,B533)=1,A532+1,A532)</f>
        <v>1</v>
      </c>
      <c r="B533" s="42" t="str">
        <f>IF('6a - Lighting Counts'!G559="","",'6a - Lighting Counts'!G559)</f>
        <v/>
      </c>
      <c r="C533" s="42" t="str">
        <f t="shared" si="13"/>
        <v/>
      </c>
    </row>
    <row r="534" spans="1:3" x14ac:dyDescent="0.25">
      <c r="A534" s="42">
        <f>IF(COUNTIF($B$3:B534,B534)=1,A533+1,A533)</f>
        <v>1</v>
      </c>
      <c r="B534" s="42" t="str">
        <f>IF('6a - Lighting Counts'!G560="","",'6a - Lighting Counts'!G560)</f>
        <v/>
      </c>
      <c r="C534" s="42" t="str">
        <f t="shared" si="13"/>
        <v/>
      </c>
    </row>
    <row r="535" spans="1:3" x14ac:dyDescent="0.25">
      <c r="A535" s="42">
        <f>IF(COUNTIF($B$3:B535,B535)=1,A534+1,A534)</f>
        <v>1</v>
      </c>
      <c r="B535" s="42" t="str">
        <f>IF('6a - Lighting Counts'!G561="","",'6a - Lighting Counts'!G561)</f>
        <v/>
      </c>
      <c r="C535" s="42" t="str">
        <f t="shared" si="13"/>
        <v/>
      </c>
    </row>
    <row r="536" spans="1:3" x14ac:dyDescent="0.25">
      <c r="A536" s="42">
        <f>IF(COUNTIF($B$3:B536,B536)=1,A535+1,A535)</f>
        <v>1</v>
      </c>
      <c r="B536" s="42" t="str">
        <f>IF('6a - Lighting Counts'!G562="","",'6a - Lighting Counts'!G562)</f>
        <v/>
      </c>
      <c r="C536" s="42" t="str">
        <f t="shared" si="13"/>
        <v/>
      </c>
    </row>
    <row r="537" spans="1:3" x14ac:dyDescent="0.25">
      <c r="A537" s="42">
        <f>IF(COUNTIF($B$3:B537,B537)=1,A536+1,A536)</f>
        <v>1</v>
      </c>
      <c r="B537" s="42" t="str">
        <f>IF('6a - Lighting Counts'!G563="","",'6a - Lighting Counts'!G563)</f>
        <v/>
      </c>
      <c r="C537" s="42" t="str">
        <f t="shared" si="13"/>
        <v/>
      </c>
    </row>
    <row r="538" spans="1:3" x14ac:dyDescent="0.25">
      <c r="A538" s="42">
        <f>IF(COUNTIF($B$3:B538,B538)=1,A537+1,A537)</f>
        <v>1</v>
      </c>
      <c r="B538" s="42" t="str">
        <f>IF('6a - Lighting Counts'!G564="","",'6a - Lighting Counts'!G564)</f>
        <v/>
      </c>
      <c r="C538" s="42" t="str">
        <f t="shared" si="13"/>
        <v/>
      </c>
    </row>
    <row r="539" spans="1:3" x14ac:dyDescent="0.25">
      <c r="A539" s="42">
        <f>IF(COUNTIF($B$3:B539,B539)=1,A538+1,A538)</f>
        <v>1</v>
      </c>
      <c r="B539" s="42" t="str">
        <f>IF('6a - Lighting Counts'!G565="","",'6a - Lighting Counts'!G565)</f>
        <v/>
      </c>
      <c r="C539" s="42" t="str">
        <f t="shared" si="13"/>
        <v/>
      </c>
    </row>
    <row r="540" spans="1:3" x14ac:dyDescent="0.25">
      <c r="A540" s="42">
        <f>IF(COUNTIF($B$3:B540,B540)=1,A539+1,A539)</f>
        <v>1</v>
      </c>
      <c r="B540" s="42" t="str">
        <f>IF('6a - Lighting Counts'!G566="","",'6a - Lighting Counts'!G566)</f>
        <v/>
      </c>
      <c r="C540" s="42" t="str">
        <f t="shared" si="13"/>
        <v/>
      </c>
    </row>
    <row r="541" spans="1:3" x14ac:dyDescent="0.25">
      <c r="A541" s="42">
        <f>IF(COUNTIF($B$3:B541,B541)=1,A540+1,A540)</f>
        <v>1</v>
      </c>
      <c r="B541" s="42" t="str">
        <f>IF('6a - Lighting Counts'!G567="","",'6a - Lighting Counts'!G567)</f>
        <v/>
      </c>
      <c r="C541" s="42" t="str">
        <f t="shared" si="13"/>
        <v/>
      </c>
    </row>
    <row r="542" spans="1:3" x14ac:dyDescent="0.25">
      <c r="A542" s="42">
        <f>IF(COUNTIF($B$3:B542,B542)=1,A541+1,A541)</f>
        <v>1</v>
      </c>
      <c r="B542" s="42" t="str">
        <f>IF('6a - Lighting Counts'!G568="","",'6a - Lighting Counts'!G568)</f>
        <v/>
      </c>
      <c r="C542" s="42" t="str">
        <f t="shared" si="13"/>
        <v/>
      </c>
    </row>
    <row r="543" spans="1:3" x14ac:dyDescent="0.25">
      <c r="A543" s="42">
        <f>IF(COUNTIF($B$3:B543,B543)=1,A542+1,A542)</f>
        <v>1</v>
      </c>
      <c r="B543" s="42" t="str">
        <f>IF('6a - Lighting Counts'!G569="","",'6a - Lighting Counts'!G569)</f>
        <v/>
      </c>
      <c r="C543" s="42" t="str">
        <f t="shared" si="13"/>
        <v/>
      </c>
    </row>
    <row r="544" spans="1:3" x14ac:dyDescent="0.25">
      <c r="A544" s="42">
        <f>IF(COUNTIF($B$3:B544,B544)=1,A543+1,A543)</f>
        <v>1</v>
      </c>
      <c r="B544" s="42" t="str">
        <f>IF('6a - Lighting Counts'!G570="","",'6a - Lighting Counts'!G570)</f>
        <v/>
      </c>
      <c r="C544" s="42" t="str">
        <f t="shared" si="13"/>
        <v/>
      </c>
    </row>
    <row r="545" spans="1:3" x14ac:dyDescent="0.25">
      <c r="A545" s="42">
        <f>IF(COUNTIF($B$3:B545,B545)=1,A544+1,A544)</f>
        <v>1</v>
      </c>
      <c r="B545" s="42" t="str">
        <f>IF('6a - Lighting Counts'!G571="","",'6a - Lighting Counts'!G571)</f>
        <v/>
      </c>
      <c r="C545" s="42" t="str">
        <f t="shared" si="13"/>
        <v/>
      </c>
    </row>
    <row r="546" spans="1:3" x14ac:dyDescent="0.25">
      <c r="A546" s="42">
        <f>IF(COUNTIF($B$3:B546,B546)=1,A545+1,A545)</f>
        <v>1</v>
      </c>
      <c r="B546" s="42" t="str">
        <f>IF('6a - Lighting Counts'!G572="","",'6a - Lighting Counts'!G572)</f>
        <v/>
      </c>
      <c r="C546" s="42" t="str">
        <f t="shared" si="13"/>
        <v/>
      </c>
    </row>
    <row r="547" spans="1:3" x14ac:dyDescent="0.25">
      <c r="A547" s="42">
        <f>IF(COUNTIF($B$3:B547,B547)=1,A546+1,A546)</f>
        <v>1</v>
      </c>
      <c r="B547" s="42" t="str">
        <f>IF('6a - Lighting Counts'!G573="","",'6a - Lighting Counts'!G573)</f>
        <v/>
      </c>
      <c r="C547" s="42" t="str">
        <f t="shared" si="13"/>
        <v/>
      </c>
    </row>
    <row r="548" spans="1:3" x14ac:dyDescent="0.25">
      <c r="A548" s="42">
        <f>IF(COUNTIF($B$3:B548,B548)=1,A547+1,A547)</f>
        <v>1</v>
      </c>
      <c r="B548" s="42" t="str">
        <f>IF('6a - Lighting Counts'!G574="","",'6a - Lighting Counts'!G574)</f>
        <v/>
      </c>
      <c r="C548" s="42" t="str">
        <f t="shared" si="13"/>
        <v/>
      </c>
    </row>
    <row r="549" spans="1:3" x14ac:dyDescent="0.25">
      <c r="A549" s="42">
        <f>IF(COUNTIF($B$3:B549,B549)=1,A548+1,A548)</f>
        <v>1</v>
      </c>
      <c r="B549" s="42" t="str">
        <f>IF('6a - Lighting Counts'!G575="","",'6a - Lighting Counts'!G575)</f>
        <v/>
      </c>
      <c r="C549" s="42" t="str">
        <f t="shared" si="13"/>
        <v/>
      </c>
    </row>
    <row r="550" spans="1:3" x14ac:dyDescent="0.25">
      <c r="A550" s="42">
        <f>IF(COUNTIF($B$3:B550,B550)=1,A549+1,A549)</f>
        <v>1</v>
      </c>
      <c r="B550" s="42" t="str">
        <f>IF('6a - Lighting Counts'!G576="","",'6a - Lighting Counts'!G576)</f>
        <v/>
      </c>
      <c r="C550" s="42" t="str">
        <f t="shared" si="13"/>
        <v/>
      </c>
    </row>
  </sheetData>
  <sheetProtection algorithmName="SHA-512" hashValue="seJPEVW0B0Naj9DcR75uC4q2gH0nYyWP1hTHht/pAf8ik1znkunu+o51vmUqKLqu5ABm7bNZqmN6CSR2XRDLPg==" saltValue="TJfFf1yChWlc2zQnE1HKWQ==" spinCount="100000" sheet="1" objects="1" scenarios="1"/>
  <customSheetViews>
    <customSheetView guid="{75D6F8CE-A4F4-4FDD-BA92-7996F9E19FA9}" scale="85" showGridLines="0">
      <pane ySplit="2" topLeftCell="A3" activePane="bottomLeft" state="frozen"/>
      <selection pane="bottomLeft" activeCell="M43" sqref="M43"/>
      <pageMargins left="0.7" right="0.7" top="0.75" bottom="0.75" header="0.3" footer="0.3"/>
      <pageSetup orientation="portrait"/>
    </customSheetView>
  </customSheetViews>
  <mergeCells count="8">
    <mergeCell ref="L43:L44"/>
    <mergeCell ref="M43:M44"/>
    <mergeCell ref="D1:D2"/>
    <mergeCell ref="G1:G2"/>
    <mergeCell ref="H1:I1"/>
    <mergeCell ref="M1:M2"/>
    <mergeCell ref="L1:L2"/>
    <mergeCell ref="E1:F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8">
    <tabColor theme="5" tint="0.39997558519241921"/>
  </sheetPr>
  <dimension ref="A1:W550"/>
  <sheetViews>
    <sheetView workbookViewId="0"/>
  </sheetViews>
  <sheetFormatPr defaultColWidth="8.69921875" defaultRowHeight="13.2" x14ac:dyDescent="0.25"/>
  <cols>
    <col min="1" max="1" width="8.69921875" style="388" customWidth="1"/>
    <col min="2" max="2" width="29.796875" style="184" customWidth="1"/>
    <col min="3" max="3" width="32" style="388" customWidth="1"/>
    <col min="4" max="4" width="24.69921875" style="388" customWidth="1"/>
    <col min="5" max="6" width="10.69921875" style="388" customWidth="1"/>
    <col min="7" max="7" width="35.796875" style="388" customWidth="1"/>
    <col min="8" max="9" width="10.69921875" style="388" customWidth="1"/>
    <col min="10" max="10" width="17.5" style="388" customWidth="1"/>
    <col min="11" max="11" width="18.796875" style="388" customWidth="1"/>
    <col min="12" max="12" width="69.5" style="388" customWidth="1"/>
    <col min="13" max="13" width="8.69921875" style="388"/>
    <col min="14" max="14" width="11.69921875" style="388" customWidth="1"/>
    <col min="15" max="15" width="9.296875" style="388" customWidth="1"/>
    <col min="16" max="18" width="8.69921875" style="388"/>
    <col min="19" max="19" width="9.296875" style="388" customWidth="1"/>
    <col min="20" max="20" width="8.69921875" style="388"/>
    <col min="21" max="21" width="9.296875" style="388" customWidth="1"/>
    <col min="22" max="22" width="8.69921875" style="388"/>
    <col min="23" max="23" width="9.296875" style="388" customWidth="1"/>
    <col min="24" max="16384" width="8.69921875" style="388"/>
  </cols>
  <sheetData>
    <row r="1" spans="1:23" ht="93" customHeight="1" x14ac:dyDescent="0.25">
      <c r="A1" s="806"/>
      <c r="B1" s="42"/>
      <c r="C1" s="1834" t="s">
        <v>2560</v>
      </c>
      <c r="D1" s="3675" t="s">
        <v>77</v>
      </c>
      <c r="E1" s="3528" t="s">
        <v>2190</v>
      </c>
      <c r="F1" s="3531"/>
      <c r="G1" s="3527" t="s">
        <v>78</v>
      </c>
      <c r="H1" s="3528" t="s">
        <v>2191</v>
      </c>
      <c r="I1" s="3528"/>
      <c r="J1" s="987" t="s">
        <v>2191</v>
      </c>
      <c r="K1" s="987" t="s">
        <v>2191</v>
      </c>
      <c r="L1" s="3678" t="s">
        <v>94</v>
      </c>
      <c r="M1" s="3529" t="s">
        <v>96</v>
      </c>
      <c r="N1" s="987" t="s">
        <v>1808</v>
      </c>
      <c r="O1" s="987" t="s">
        <v>1809</v>
      </c>
      <c r="P1" s="987" t="s">
        <v>1808</v>
      </c>
      <c r="Q1" s="987" t="s">
        <v>1809</v>
      </c>
      <c r="R1" s="987" t="s">
        <v>1808</v>
      </c>
      <c r="S1" s="987" t="s">
        <v>1809</v>
      </c>
      <c r="T1" s="987" t="s">
        <v>1808</v>
      </c>
      <c r="U1" s="987" t="s">
        <v>1809</v>
      </c>
      <c r="V1" s="987" t="s">
        <v>1808</v>
      </c>
      <c r="W1" s="987" t="s">
        <v>1809</v>
      </c>
    </row>
    <row r="2" spans="1:23" ht="24" customHeight="1" x14ac:dyDescent="0.25">
      <c r="D2" s="3676"/>
      <c r="E2" s="1068" t="s">
        <v>808</v>
      </c>
      <c r="F2" s="1069" t="s">
        <v>809</v>
      </c>
      <c r="G2" s="3677"/>
      <c r="H2" s="1068" t="s">
        <v>808</v>
      </c>
      <c r="I2" s="1068" t="s">
        <v>809</v>
      </c>
      <c r="J2" s="1068" t="s">
        <v>2192</v>
      </c>
      <c r="K2" s="1068" t="s">
        <v>2193</v>
      </c>
      <c r="L2" s="3679"/>
      <c r="M2" s="3674"/>
      <c r="N2" s="834" t="s">
        <v>707</v>
      </c>
      <c r="O2" s="835" t="s">
        <v>708</v>
      </c>
      <c r="P2" s="834" t="s">
        <v>707</v>
      </c>
      <c r="Q2" s="835" t="s">
        <v>708</v>
      </c>
      <c r="R2" s="834" t="s">
        <v>707</v>
      </c>
      <c r="S2" s="835" t="s">
        <v>708</v>
      </c>
      <c r="T2" s="834" t="s">
        <v>707</v>
      </c>
      <c r="U2" s="835" t="s">
        <v>708</v>
      </c>
      <c r="V2" s="834" t="s">
        <v>707</v>
      </c>
      <c r="W2" s="835" t="s">
        <v>708</v>
      </c>
    </row>
    <row r="3" spans="1:23" s="839" customFormat="1" ht="47.25" customHeight="1" x14ac:dyDescent="0.25">
      <c r="A3" s="806"/>
      <c r="B3" s="42"/>
      <c r="C3" s="806"/>
      <c r="D3" s="1052" t="s">
        <v>47</v>
      </c>
      <c r="E3" s="827">
        <v>0.8</v>
      </c>
      <c r="F3" s="828">
        <f>E3*10.7639</f>
        <v>8.6111199999999997</v>
      </c>
      <c r="G3" s="1055" t="s">
        <v>1704</v>
      </c>
      <c r="H3" s="828">
        <v>0.63</v>
      </c>
      <c r="I3" s="828">
        <f>H3*10.7639</f>
        <v>6.7812570000000001</v>
      </c>
      <c r="J3" s="828" t="s">
        <v>1560</v>
      </c>
      <c r="K3" s="828" t="s">
        <v>22</v>
      </c>
      <c r="L3" s="836"/>
      <c r="M3" s="1071"/>
      <c r="N3" s="836" t="str">
        <f t="shared" ref="N3:W3" si="0">N1&amp;" "&amp;N2</f>
        <v>W/sf or W/linear foot IP</v>
      </c>
      <c r="O3" s="837" t="str">
        <f t="shared" si="0"/>
        <v>W/sm or W/linear meter SI</v>
      </c>
      <c r="P3" s="836" t="str">
        <f t="shared" si="0"/>
        <v>W/sf or W/linear foot IP</v>
      </c>
      <c r="Q3" s="837" t="str">
        <f t="shared" si="0"/>
        <v>W/sm or W/linear meter SI</v>
      </c>
      <c r="R3" s="836" t="str">
        <f t="shared" si="0"/>
        <v>W/sf or W/linear foot IP</v>
      </c>
      <c r="S3" s="837" t="str">
        <f t="shared" si="0"/>
        <v>W/sm or W/linear meter SI</v>
      </c>
      <c r="T3" s="836" t="str">
        <f t="shared" si="0"/>
        <v>W/sf or W/linear foot IP</v>
      </c>
      <c r="U3" s="837" t="str">
        <f t="shared" si="0"/>
        <v>W/sm or W/linear meter SI</v>
      </c>
      <c r="V3" s="836" t="str">
        <f t="shared" si="0"/>
        <v>W/sf or W/linear foot IP</v>
      </c>
      <c r="W3" s="837" t="str">
        <f t="shared" si="0"/>
        <v>W/sm or W/linear meter SI</v>
      </c>
    </row>
    <row r="4" spans="1:23" s="839" customFormat="1" ht="15" customHeight="1" x14ac:dyDescent="0.25">
      <c r="A4" s="806"/>
      <c r="B4" s="42"/>
      <c r="C4" s="806"/>
      <c r="D4" s="1059" t="s">
        <v>48</v>
      </c>
      <c r="E4" s="830">
        <v>1.01</v>
      </c>
      <c r="F4" s="828">
        <f t="shared" ref="F4:F34" si="1">E4*10.7639</f>
        <v>10.871539</v>
      </c>
      <c r="G4" s="1055" t="s">
        <v>1705</v>
      </c>
      <c r="H4" s="828">
        <v>0.82</v>
      </c>
      <c r="I4" s="828">
        <f t="shared" ref="I4:I67" si="2">H4*10.7639</f>
        <v>8.8263979999999993</v>
      </c>
      <c r="J4" s="828" t="s">
        <v>1560</v>
      </c>
      <c r="K4" s="828" t="s">
        <v>22</v>
      </c>
      <c r="L4" s="1061" t="s">
        <v>1810</v>
      </c>
      <c r="M4" s="1062" t="s">
        <v>91</v>
      </c>
      <c r="N4" s="1076" t="s">
        <v>2343</v>
      </c>
      <c r="O4" s="1076" t="s">
        <v>2343</v>
      </c>
      <c r="P4" s="1076">
        <v>0.04</v>
      </c>
      <c r="Q4" s="1078">
        <f>P4*10.7639</f>
        <v>0.43055599999999999</v>
      </c>
      <c r="R4" s="1076">
        <v>0.06</v>
      </c>
      <c r="S4" s="1078">
        <f>R4*10.7639</f>
        <v>0.64583399999999991</v>
      </c>
      <c r="T4" s="1076">
        <v>0.1</v>
      </c>
      <c r="U4" s="1078">
        <f>T4*10.7639</f>
        <v>1.07639</v>
      </c>
      <c r="V4" s="1076">
        <v>0.13</v>
      </c>
      <c r="W4" s="1078">
        <f>V4*10.7639</f>
        <v>1.3993070000000001</v>
      </c>
    </row>
    <row r="5" spans="1:23" s="839" customFormat="1" ht="15" customHeight="1" x14ac:dyDescent="0.25">
      <c r="A5" s="806"/>
      <c r="B5" s="42"/>
      <c r="C5" s="806"/>
      <c r="D5" s="1059" t="s">
        <v>49</v>
      </c>
      <c r="E5" s="830">
        <v>1.01</v>
      </c>
      <c r="F5" s="828">
        <f t="shared" si="1"/>
        <v>10.871539</v>
      </c>
      <c r="G5" s="1055" t="s">
        <v>1706</v>
      </c>
      <c r="H5" s="828">
        <v>0.65</v>
      </c>
      <c r="I5" s="828">
        <f t="shared" si="2"/>
        <v>6.9965349999999997</v>
      </c>
      <c r="J5" s="828" t="s">
        <v>1560</v>
      </c>
      <c r="K5" s="828" t="s">
        <v>22</v>
      </c>
      <c r="L5" s="1059" t="s">
        <v>79</v>
      </c>
      <c r="M5" s="1064" t="s">
        <v>92</v>
      </c>
      <c r="N5" s="1076" t="s">
        <v>2343</v>
      </c>
      <c r="O5" s="1076" t="s">
        <v>2343</v>
      </c>
      <c r="P5" s="1079">
        <v>0.7</v>
      </c>
      <c r="Q5" s="1078">
        <f>P5*3.28</f>
        <v>2.2959999999999998</v>
      </c>
      <c r="R5" s="1079">
        <v>0.7</v>
      </c>
      <c r="S5" s="1078">
        <f>R5*3.28</f>
        <v>2.2959999999999998</v>
      </c>
      <c r="T5" s="1079">
        <v>0.8</v>
      </c>
      <c r="U5" s="1078">
        <f>T5*3.28</f>
        <v>2.6240000000000001</v>
      </c>
      <c r="V5" s="1079">
        <v>1</v>
      </c>
      <c r="W5" s="1078">
        <f>V5*3.28</f>
        <v>3.28</v>
      </c>
    </row>
    <row r="6" spans="1:23" s="839" customFormat="1" ht="15" customHeight="1" x14ac:dyDescent="0.25">
      <c r="A6" s="806"/>
      <c r="B6" s="42"/>
      <c r="C6" s="806"/>
      <c r="D6" s="1059" t="s">
        <v>50</v>
      </c>
      <c r="E6" s="830">
        <v>1.01</v>
      </c>
      <c r="F6" s="828">
        <f t="shared" si="1"/>
        <v>10.871539</v>
      </c>
      <c r="G6" s="1055" t="s">
        <v>1707</v>
      </c>
      <c r="H6" s="828">
        <v>1.1399999999999999</v>
      </c>
      <c r="I6" s="828">
        <f t="shared" si="2"/>
        <v>12.270845999999999</v>
      </c>
      <c r="J6" s="828" t="s">
        <v>1560</v>
      </c>
      <c r="K6" s="828" t="s">
        <v>22</v>
      </c>
      <c r="L6" s="1059" t="s">
        <v>80</v>
      </c>
      <c r="M6" s="1064" t="s">
        <v>91</v>
      </c>
      <c r="N6" s="1076" t="s">
        <v>2343</v>
      </c>
      <c r="O6" s="1076" t="s">
        <v>2343</v>
      </c>
      <c r="P6" s="1079">
        <v>0.14000000000000001</v>
      </c>
      <c r="Q6" s="1078">
        <f t="shared" ref="Q6:Q13" si="3">P6*10.7639</f>
        <v>1.5069460000000001</v>
      </c>
      <c r="R6" s="1079">
        <v>0.14000000000000001</v>
      </c>
      <c r="S6" s="1078">
        <f t="shared" ref="S6:S13" si="4">R6*10.7639</f>
        <v>1.5069460000000001</v>
      </c>
      <c r="T6" s="1079">
        <v>0.16</v>
      </c>
      <c r="U6" s="1078">
        <f t="shared" ref="U6:U13" si="5">T6*10.7639</f>
        <v>1.722224</v>
      </c>
      <c r="V6" s="1079">
        <v>0.2</v>
      </c>
      <c r="W6" s="1078">
        <f t="shared" ref="W6:W13" si="6">V6*10.7639</f>
        <v>2.1527799999999999</v>
      </c>
    </row>
    <row r="7" spans="1:23" s="839" customFormat="1" ht="15" customHeight="1" x14ac:dyDescent="0.25">
      <c r="A7" s="806"/>
      <c r="B7" s="42"/>
      <c r="C7" s="806"/>
      <c r="D7" s="1059" t="s">
        <v>51</v>
      </c>
      <c r="E7" s="830">
        <v>0.9</v>
      </c>
      <c r="F7" s="828">
        <f t="shared" si="1"/>
        <v>9.6875099999999996</v>
      </c>
      <c r="G7" s="1055" t="s">
        <v>1708</v>
      </c>
      <c r="H7" s="828">
        <v>0.28000000000000003</v>
      </c>
      <c r="I7" s="828">
        <f t="shared" si="2"/>
        <v>3.0138920000000002</v>
      </c>
      <c r="J7" s="828" t="s">
        <v>1560</v>
      </c>
      <c r="K7" s="828" t="s">
        <v>22</v>
      </c>
      <c r="L7" s="1059" t="s">
        <v>81</v>
      </c>
      <c r="M7" s="1064" t="s">
        <v>91</v>
      </c>
      <c r="N7" s="1076" t="s">
        <v>2343</v>
      </c>
      <c r="O7" s="1076" t="s">
        <v>2343</v>
      </c>
      <c r="P7" s="1079">
        <v>0.14000000000000001</v>
      </c>
      <c r="Q7" s="1078">
        <f t="shared" si="3"/>
        <v>1.5069460000000001</v>
      </c>
      <c r="R7" s="1079">
        <v>0.14000000000000001</v>
      </c>
      <c r="S7" s="1078">
        <f t="shared" si="4"/>
        <v>1.5069460000000001</v>
      </c>
      <c r="T7" s="1079">
        <v>0.16</v>
      </c>
      <c r="U7" s="1078">
        <f t="shared" si="5"/>
        <v>1.722224</v>
      </c>
      <c r="V7" s="1079">
        <v>0.2</v>
      </c>
      <c r="W7" s="1078">
        <f t="shared" si="6"/>
        <v>2.1527799999999999</v>
      </c>
    </row>
    <row r="8" spans="1:23" s="839" customFormat="1" ht="15" customHeight="1" x14ac:dyDescent="0.25">
      <c r="A8" s="806"/>
      <c r="B8" s="42"/>
      <c r="C8" s="806"/>
      <c r="D8" s="1059" t="s">
        <v>52</v>
      </c>
      <c r="E8" s="830">
        <v>0.95</v>
      </c>
      <c r="F8" s="828">
        <f t="shared" si="1"/>
        <v>10.225705</v>
      </c>
      <c r="G8" s="1055" t="s">
        <v>1709</v>
      </c>
      <c r="H8" s="828">
        <v>2.4300000000000002</v>
      </c>
      <c r="I8" s="828">
        <f t="shared" si="2"/>
        <v>26.156276999999999</v>
      </c>
      <c r="J8" s="828" t="s">
        <v>1560</v>
      </c>
      <c r="K8" s="828" t="s">
        <v>22</v>
      </c>
      <c r="L8" s="1059" t="s">
        <v>82</v>
      </c>
      <c r="M8" s="1064" t="s">
        <v>91</v>
      </c>
      <c r="N8" s="1076" t="s">
        <v>2343</v>
      </c>
      <c r="O8" s="1076" t="s">
        <v>2343</v>
      </c>
      <c r="P8" s="1079">
        <v>0.14000000000000001</v>
      </c>
      <c r="Q8" s="1078">
        <f t="shared" si="3"/>
        <v>1.5069460000000001</v>
      </c>
      <c r="R8" s="1079">
        <v>0.14000000000000001</v>
      </c>
      <c r="S8" s="1078">
        <f t="shared" si="4"/>
        <v>1.5069460000000001</v>
      </c>
      <c r="T8" s="1079">
        <v>0.16</v>
      </c>
      <c r="U8" s="1078">
        <f t="shared" si="5"/>
        <v>1.722224</v>
      </c>
      <c r="V8" s="1079">
        <v>0.2</v>
      </c>
      <c r="W8" s="1078">
        <f t="shared" si="6"/>
        <v>2.1527799999999999</v>
      </c>
    </row>
    <row r="9" spans="1:23" s="839" customFormat="1" ht="15" customHeight="1" x14ac:dyDescent="0.25">
      <c r="A9" s="806"/>
      <c r="B9" s="42"/>
      <c r="C9" s="806"/>
      <c r="D9" s="1059" t="s">
        <v>53</v>
      </c>
      <c r="E9" s="830">
        <v>0.56999999999999995</v>
      </c>
      <c r="F9" s="828">
        <f t="shared" si="1"/>
        <v>6.1354229999999994</v>
      </c>
      <c r="G9" s="1055" t="s">
        <v>1710</v>
      </c>
      <c r="H9" s="828">
        <v>1.53</v>
      </c>
      <c r="I9" s="828">
        <f t="shared" si="2"/>
        <v>16.468767</v>
      </c>
      <c r="J9" s="828" t="s">
        <v>1560</v>
      </c>
      <c r="K9" s="828" t="s">
        <v>22</v>
      </c>
      <c r="L9" s="1059" t="s">
        <v>83</v>
      </c>
      <c r="M9" s="1064" t="s">
        <v>91</v>
      </c>
      <c r="N9" s="1076" t="s">
        <v>2343</v>
      </c>
      <c r="O9" s="1076" t="s">
        <v>2343</v>
      </c>
      <c r="P9" s="1079">
        <v>0.75</v>
      </c>
      <c r="Q9" s="1078">
        <f t="shared" si="3"/>
        <v>8.0729249999999997</v>
      </c>
      <c r="R9" s="1079">
        <v>1</v>
      </c>
      <c r="S9" s="1078">
        <f t="shared" si="4"/>
        <v>10.7639</v>
      </c>
      <c r="T9" s="1079">
        <v>1</v>
      </c>
      <c r="U9" s="1078">
        <f t="shared" si="5"/>
        <v>10.7639</v>
      </c>
      <c r="V9" s="1079">
        <v>1</v>
      </c>
      <c r="W9" s="1078">
        <f t="shared" si="6"/>
        <v>10.7639</v>
      </c>
    </row>
    <row r="10" spans="1:23" s="839" customFormat="1" ht="15" customHeight="1" x14ac:dyDescent="0.25">
      <c r="A10" s="806"/>
      <c r="B10" s="42"/>
      <c r="C10" s="806"/>
      <c r="D10" s="1059" t="s">
        <v>54</v>
      </c>
      <c r="E10" s="830">
        <v>0.84</v>
      </c>
      <c r="F10" s="828">
        <f t="shared" si="1"/>
        <v>9.0416759999999989</v>
      </c>
      <c r="G10" s="1055" t="s">
        <v>1711</v>
      </c>
      <c r="H10" s="828">
        <v>0.43</v>
      </c>
      <c r="I10" s="828">
        <f t="shared" si="2"/>
        <v>4.6284770000000002</v>
      </c>
      <c r="J10" s="828" t="s">
        <v>1560</v>
      </c>
      <c r="K10" s="828" t="s">
        <v>22</v>
      </c>
      <c r="L10" s="1059" t="s">
        <v>84</v>
      </c>
      <c r="M10" s="1064" t="s">
        <v>92</v>
      </c>
      <c r="N10" s="1076" t="s">
        <v>2343</v>
      </c>
      <c r="O10" s="1076" t="s">
        <v>2343</v>
      </c>
      <c r="P10" s="1079">
        <v>20</v>
      </c>
      <c r="Q10" s="1078">
        <f>P10*3.28</f>
        <v>65.599999999999994</v>
      </c>
      <c r="R10" s="1079">
        <v>20</v>
      </c>
      <c r="S10" s="1078">
        <f>R10*3.28</f>
        <v>65.599999999999994</v>
      </c>
      <c r="T10" s="1079">
        <v>30</v>
      </c>
      <c r="U10" s="1078">
        <f>T10*3.28</f>
        <v>98.399999999999991</v>
      </c>
      <c r="V10" s="1079">
        <v>30</v>
      </c>
      <c r="W10" s="1078">
        <f>V10*3.28</f>
        <v>98.399999999999991</v>
      </c>
    </row>
    <row r="11" spans="1:23" s="839" customFormat="1" ht="15" customHeight="1" x14ac:dyDescent="0.25">
      <c r="A11" s="806"/>
      <c r="B11" s="42"/>
      <c r="C11" s="806"/>
      <c r="D11" s="1059" t="s">
        <v>232</v>
      </c>
      <c r="E11" s="830">
        <v>0.67100000000000004</v>
      </c>
      <c r="F11" s="828">
        <f t="shared" si="1"/>
        <v>7.2225769</v>
      </c>
      <c r="G11" s="1055" t="s">
        <v>1712</v>
      </c>
      <c r="H11" s="828">
        <v>0.43</v>
      </c>
      <c r="I11" s="828">
        <f t="shared" si="2"/>
        <v>4.6284770000000002</v>
      </c>
      <c r="J11" s="828" t="s">
        <v>1560</v>
      </c>
      <c r="K11" s="828" t="s">
        <v>22</v>
      </c>
      <c r="L11" s="1059" t="s">
        <v>85</v>
      </c>
      <c r="M11" s="1064" t="s">
        <v>92</v>
      </c>
      <c r="N11" s="1076" t="s">
        <v>2343</v>
      </c>
      <c r="O11" s="1076" t="s">
        <v>2343</v>
      </c>
      <c r="P11" s="1079">
        <v>20</v>
      </c>
      <c r="Q11" s="1078">
        <f>P11*3.28</f>
        <v>65.599999999999994</v>
      </c>
      <c r="R11" s="1079">
        <v>20</v>
      </c>
      <c r="S11" s="1078">
        <f>R11*3.28</f>
        <v>65.599999999999994</v>
      </c>
      <c r="T11" s="1079">
        <v>20</v>
      </c>
      <c r="U11" s="1078">
        <f>T11*3.28</f>
        <v>65.599999999999994</v>
      </c>
      <c r="V11" s="1079">
        <v>20</v>
      </c>
      <c r="W11" s="1078">
        <f>V11*3.28</f>
        <v>65.599999999999994</v>
      </c>
    </row>
    <row r="12" spans="1:23" s="839" customFormat="1" ht="15" customHeight="1" x14ac:dyDescent="0.25">
      <c r="A12" s="806"/>
      <c r="B12" s="42"/>
      <c r="C12" s="806"/>
      <c r="D12" s="1059" t="s">
        <v>55</v>
      </c>
      <c r="E12" s="830">
        <v>0.94</v>
      </c>
      <c r="F12" s="828">
        <f t="shared" si="1"/>
        <v>10.118065999999999</v>
      </c>
      <c r="G12" s="1055" t="s">
        <v>1713</v>
      </c>
      <c r="H12" s="828">
        <v>0.43</v>
      </c>
      <c r="I12" s="828">
        <f t="shared" si="2"/>
        <v>4.6284770000000002</v>
      </c>
      <c r="J12" s="828" t="s">
        <v>1560</v>
      </c>
      <c r="K12" s="828" t="s">
        <v>22</v>
      </c>
      <c r="L12" s="1059" t="s">
        <v>1811</v>
      </c>
      <c r="M12" s="1064" t="s">
        <v>91</v>
      </c>
      <c r="N12" s="1076" t="s">
        <v>2343</v>
      </c>
      <c r="O12" s="1076" t="s">
        <v>2343</v>
      </c>
      <c r="P12" s="1079">
        <v>0.25</v>
      </c>
      <c r="Q12" s="1078">
        <f t="shared" si="3"/>
        <v>2.6909749999999999</v>
      </c>
      <c r="R12" s="1079">
        <v>0.25</v>
      </c>
      <c r="S12" s="1078">
        <f t="shared" si="4"/>
        <v>2.6909749999999999</v>
      </c>
      <c r="T12" s="1079">
        <v>0.4</v>
      </c>
      <c r="U12" s="1078">
        <f t="shared" si="5"/>
        <v>4.3055599999999998</v>
      </c>
      <c r="V12" s="1079">
        <v>0.4</v>
      </c>
      <c r="W12" s="1078">
        <f t="shared" si="6"/>
        <v>4.3055599999999998</v>
      </c>
    </row>
    <row r="13" spans="1:23" s="839" customFormat="1" ht="19.2" customHeight="1" x14ac:dyDescent="0.25">
      <c r="A13" s="806"/>
      <c r="B13" s="42"/>
      <c r="C13" s="806"/>
      <c r="D13" s="1059" t="s">
        <v>56</v>
      </c>
      <c r="E13" s="830">
        <v>0.9</v>
      </c>
      <c r="F13" s="828">
        <f t="shared" si="1"/>
        <v>9.6875099999999996</v>
      </c>
      <c r="G13" s="1055" t="s">
        <v>1714</v>
      </c>
      <c r="H13" s="1073" t="s">
        <v>2262</v>
      </c>
      <c r="I13" s="1073" t="s">
        <v>2262</v>
      </c>
      <c r="J13" s="1073" t="s">
        <v>22</v>
      </c>
      <c r="K13" s="1073" t="s">
        <v>22</v>
      </c>
      <c r="L13" s="1059" t="s">
        <v>1812</v>
      </c>
      <c r="M13" s="1064" t="s">
        <v>91</v>
      </c>
      <c r="N13" s="1076" t="s">
        <v>2343</v>
      </c>
      <c r="O13" s="1076" t="s">
        <v>2343</v>
      </c>
      <c r="P13" s="1079">
        <v>0.25</v>
      </c>
      <c r="Q13" s="1078">
        <f t="shared" si="3"/>
        <v>2.6909749999999999</v>
      </c>
      <c r="R13" s="1079">
        <v>0.25</v>
      </c>
      <c r="S13" s="1078">
        <f t="shared" si="4"/>
        <v>2.6909749999999999</v>
      </c>
      <c r="T13" s="1079">
        <v>0.5</v>
      </c>
      <c r="U13" s="1078">
        <f t="shared" si="5"/>
        <v>5.3819499999999998</v>
      </c>
      <c r="V13" s="1079">
        <v>0.75</v>
      </c>
      <c r="W13" s="1078">
        <f t="shared" si="6"/>
        <v>8.0729249999999997</v>
      </c>
    </row>
    <row r="14" spans="1:23" s="839" customFormat="1" ht="22.8" x14ac:dyDescent="0.25">
      <c r="A14" s="806"/>
      <c r="B14" s="42"/>
      <c r="C14" s="806"/>
      <c r="D14" s="1059" t="s">
        <v>57</v>
      </c>
      <c r="E14" s="830">
        <v>1.05</v>
      </c>
      <c r="F14" s="828">
        <f t="shared" si="1"/>
        <v>11.302095</v>
      </c>
      <c r="G14" s="1055" t="s">
        <v>1716</v>
      </c>
      <c r="H14" s="1195" t="s">
        <v>2263</v>
      </c>
      <c r="I14" s="1195" t="s">
        <v>2263</v>
      </c>
      <c r="J14" s="1073" t="s">
        <v>22</v>
      </c>
      <c r="K14" s="1073" t="s">
        <v>22</v>
      </c>
      <c r="L14" s="1059" t="s">
        <v>1813</v>
      </c>
      <c r="M14" s="1064" t="s">
        <v>92</v>
      </c>
      <c r="N14" s="1076" t="s">
        <v>2343</v>
      </c>
      <c r="O14" s="1076" t="s">
        <v>2343</v>
      </c>
      <c r="P14" s="1076" t="s">
        <v>2343</v>
      </c>
      <c r="Q14" s="1076" t="s">
        <v>2343</v>
      </c>
      <c r="R14" s="1079">
        <v>10</v>
      </c>
      <c r="S14" s="1078">
        <f>R14*3.28</f>
        <v>32.799999999999997</v>
      </c>
      <c r="T14" s="1079">
        <v>10</v>
      </c>
      <c r="U14" s="1078">
        <f>T14*3.28</f>
        <v>32.799999999999997</v>
      </c>
      <c r="V14" s="1079">
        <v>30</v>
      </c>
      <c r="W14" s="1078">
        <f>V14*3.28</f>
        <v>98.399999999999991</v>
      </c>
    </row>
    <row r="15" spans="1:23" s="839" customFormat="1" ht="15" customHeight="1" x14ac:dyDescent="0.25">
      <c r="A15" s="806"/>
      <c r="B15" s="42"/>
      <c r="C15" s="806"/>
      <c r="D15" s="1059" t="s">
        <v>1645</v>
      </c>
      <c r="E15" s="830">
        <v>0.87</v>
      </c>
      <c r="F15" s="828">
        <f t="shared" si="1"/>
        <v>9.3645929999999993</v>
      </c>
      <c r="G15" s="1055" t="s">
        <v>1717</v>
      </c>
      <c r="H15" s="828">
        <v>1.01</v>
      </c>
      <c r="I15" s="828">
        <f t="shared" si="2"/>
        <v>10.871539</v>
      </c>
      <c r="J15" s="828" t="s">
        <v>1560</v>
      </c>
      <c r="K15" s="828" t="s">
        <v>22</v>
      </c>
      <c r="L15" s="181"/>
      <c r="M15" s="181"/>
      <c r="N15" s="3680" t="s">
        <v>2194</v>
      </c>
      <c r="O15" s="3680"/>
      <c r="P15" s="3680" t="s">
        <v>2195</v>
      </c>
      <c r="Q15" s="3680"/>
      <c r="R15" s="3680" t="s">
        <v>2196</v>
      </c>
      <c r="S15" s="3680"/>
      <c r="T15" s="3680" t="s">
        <v>2197</v>
      </c>
      <c r="U15" s="3680"/>
      <c r="V15" s="3680" t="s">
        <v>2198</v>
      </c>
      <c r="W15" s="3680"/>
    </row>
    <row r="16" spans="1:23" s="839" customFormat="1" ht="15" customHeight="1" x14ac:dyDescent="0.25">
      <c r="A16" s="806"/>
      <c r="B16" s="42"/>
      <c r="C16" s="806"/>
      <c r="D16" s="1059" t="s">
        <v>58</v>
      </c>
      <c r="E16" s="830">
        <v>1.19</v>
      </c>
      <c r="F16" s="828">
        <f t="shared" si="1"/>
        <v>12.809040999999999</v>
      </c>
      <c r="G16" s="1055" t="s">
        <v>1718</v>
      </c>
      <c r="H16" s="828">
        <v>1.34</v>
      </c>
      <c r="I16" s="828">
        <f t="shared" si="2"/>
        <v>14.423626000000001</v>
      </c>
      <c r="J16" s="828" t="s">
        <v>22</v>
      </c>
      <c r="K16" s="828" t="s">
        <v>22</v>
      </c>
      <c r="L16" s="1059" t="s">
        <v>1814</v>
      </c>
      <c r="M16" s="181"/>
      <c r="N16" s="1084" t="str">
        <f>IF('6b - General Lighting'!$X$131=0,'Lighting Assumptions 90.1-2013'!N4,IF('6b - General Lighting'!$X$131=1,'Lighting Assumptions 90.1-2013'!P4,IF('6b - General Lighting'!$X$131=2,'Lighting Assumptions 90.1-2013'!R4,IF('6b - General Lighting'!$X$131=3,'Lighting Assumptions 90.1-2013'!T4,IF('6b - General Lighting'!$X$131=4,'Lighting Assumptions 90.1-2013'!V4,"")))))</f>
        <v/>
      </c>
    </row>
    <row r="17" spans="1:15" s="839" customFormat="1" ht="15" customHeight="1" x14ac:dyDescent="0.25">
      <c r="A17" s="806"/>
      <c r="B17" s="42"/>
      <c r="C17" s="806"/>
      <c r="D17" s="1059" t="s">
        <v>59</v>
      </c>
      <c r="E17" s="830">
        <v>1.17</v>
      </c>
      <c r="F17" s="828">
        <f t="shared" si="1"/>
        <v>12.593762999999999</v>
      </c>
      <c r="G17" s="1055" t="s">
        <v>1719</v>
      </c>
      <c r="H17" s="828">
        <v>1.24</v>
      </c>
      <c r="I17" s="828">
        <f t="shared" si="2"/>
        <v>13.347235999999999</v>
      </c>
      <c r="J17" s="828" t="s">
        <v>22</v>
      </c>
      <c r="K17" s="828" t="s">
        <v>22</v>
      </c>
      <c r="L17" s="1059" t="s">
        <v>1815</v>
      </c>
      <c r="M17" s="181"/>
      <c r="N17" s="1084" t="str">
        <f>IF('6b - General Lighting'!$X$131=0,'Lighting Assumptions 90.1-2013'!N5,IF('6b - General Lighting'!$X$131=1,'Lighting Assumptions 90.1-2013'!P5,IF('6b - General Lighting'!$X$131=2,'Lighting Assumptions 90.1-2013'!R5,IF('6b - General Lighting'!$X$131=3,'Lighting Assumptions 90.1-2013'!T5,IF('6b - General Lighting'!$X$131=4,'Lighting Assumptions 90.1-2013'!V5,"")))))</f>
        <v/>
      </c>
    </row>
    <row r="18" spans="1:15" s="839" customFormat="1" ht="15" customHeight="1" x14ac:dyDescent="0.25">
      <c r="A18" s="806"/>
      <c r="B18" s="42"/>
      <c r="C18" s="806"/>
      <c r="D18" s="1059" t="s">
        <v>60</v>
      </c>
      <c r="E18" s="830">
        <v>0.76</v>
      </c>
      <c r="F18" s="828">
        <f t="shared" si="1"/>
        <v>8.1805640000000004</v>
      </c>
      <c r="G18" s="1055" t="s">
        <v>1720</v>
      </c>
      <c r="H18" s="828">
        <v>1.23</v>
      </c>
      <c r="I18" s="828">
        <f t="shared" si="2"/>
        <v>13.239597</v>
      </c>
      <c r="J18" s="828" t="s">
        <v>22</v>
      </c>
      <c r="K18" s="828" t="s">
        <v>22</v>
      </c>
      <c r="L18" s="1059" t="s">
        <v>1816</v>
      </c>
      <c r="M18" s="181"/>
      <c r="N18" s="1084" t="str">
        <f>IF('6b - General Lighting'!$X$131=0,'Lighting Assumptions 90.1-2013'!N6,IF('6b - General Lighting'!$X$131=1,'Lighting Assumptions 90.1-2013'!P6,IF('6b - General Lighting'!$X$131=2,'Lighting Assumptions 90.1-2013'!R6,IF('6b - General Lighting'!$X$131=3,'Lighting Assumptions 90.1-2013'!T6,IF('6b - General Lighting'!$X$131=4,'Lighting Assumptions 90.1-2013'!V6,"")))))</f>
        <v/>
      </c>
      <c r="O18" s="1016"/>
    </row>
    <row r="19" spans="1:15" s="839" customFormat="1" ht="15" customHeight="1" x14ac:dyDescent="0.25">
      <c r="A19" s="806"/>
      <c r="B19" s="42"/>
      <c r="C19" s="806"/>
      <c r="D19" s="1059" t="s">
        <v>61</v>
      </c>
      <c r="E19" s="830">
        <v>0.51</v>
      </c>
      <c r="F19" s="828">
        <f t="shared" si="1"/>
        <v>5.4895889999999996</v>
      </c>
      <c r="G19" s="1055" t="s">
        <v>1721</v>
      </c>
      <c r="H19" s="828">
        <v>0.81</v>
      </c>
      <c r="I19" s="828">
        <f t="shared" si="2"/>
        <v>8.7187590000000004</v>
      </c>
      <c r="J19" s="828" t="s">
        <v>1560</v>
      </c>
      <c r="K19" s="828" t="s">
        <v>22</v>
      </c>
      <c r="L19" s="1059" t="s">
        <v>1817</v>
      </c>
      <c r="M19" s="181"/>
      <c r="N19" s="1084" t="str">
        <f>IF('6b - General Lighting'!$X$131=0,'Lighting Assumptions 90.1-2013'!N7,IF('6b - General Lighting'!$X$131=1,'Lighting Assumptions 90.1-2013'!P7,IF('6b - General Lighting'!$X$131=2,'Lighting Assumptions 90.1-2013'!R7,IF('6b - General Lighting'!$X$131=3,'Lighting Assumptions 90.1-2013'!T7,IF('6b - General Lighting'!$X$131=4,'Lighting Assumptions 90.1-2013'!V7,"")))))</f>
        <v/>
      </c>
      <c r="O19" s="1016"/>
    </row>
    <row r="20" spans="1:15" s="839" customFormat="1" ht="15" customHeight="1" x14ac:dyDescent="0.25">
      <c r="A20" s="806"/>
      <c r="B20" s="42"/>
      <c r="C20" s="806"/>
      <c r="D20" s="1059" t="s">
        <v>62</v>
      </c>
      <c r="E20" s="830">
        <v>1.02</v>
      </c>
      <c r="F20" s="828">
        <f t="shared" si="1"/>
        <v>10.979177999999999</v>
      </c>
      <c r="G20" s="1055" t="s">
        <v>1722</v>
      </c>
      <c r="H20" s="828">
        <v>0.72</v>
      </c>
      <c r="I20" s="828">
        <f t="shared" si="2"/>
        <v>7.7500079999999993</v>
      </c>
      <c r="J20" s="828" t="s">
        <v>22</v>
      </c>
      <c r="K20" s="828" t="s">
        <v>22</v>
      </c>
      <c r="L20" s="1059" t="s">
        <v>1818</v>
      </c>
      <c r="M20" s="181"/>
      <c r="N20" s="1084" t="str">
        <f>IF('6b - General Lighting'!$X$131=0,'Lighting Assumptions 90.1-2013'!N8,IF('6b - General Lighting'!$X$131=1,'Lighting Assumptions 90.1-2013'!P8,IF('6b - General Lighting'!$X$131=2,'Lighting Assumptions 90.1-2013'!R8,IF('6b - General Lighting'!$X$131=3,'Lighting Assumptions 90.1-2013'!T8,IF('6b - General Lighting'!$X$131=4,'Lighting Assumptions 90.1-2013'!V8,"")))))</f>
        <v/>
      </c>
    </row>
    <row r="21" spans="1:15" s="839" customFormat="1" ht="15" customHeight="1" x14ac:dyDescent="0.25">
      <c r="A21" s="806"/>
      <c r="B21" s="42"/>
      <c r="C21" s="806"/>
      <c r="D21" s="1059" t="s">
        <v>63</v>
      </c>
      <c r="E21" s="830">
        <v>0.82</v>
      </c>
      <c r="F21" s="828">
        <f t="shared" si="1"/>
        <v>8.8263979999999993</v>
      </c>
      <c r="G21" s="1055" t="s">
        <v>1723</v>
      </c>
      <c r="H21" s="828">
        <v>0.92</v>
      </c>
      <c r="I21" s="828">
        <f t="shared" si="2"/>
        <v>9.9027879999999993</v>
      </c>
      <c r="J21" s="828" t="s">
        <v>22</v>
      </c>
      <c r="K21" s="828" t="s">
        <v>22</v>
      </c>
      <c r="L21" s="1059" t="s">
        <v>1819</v>
      </c>
      <c r="M21" s="181"/>
      <c r="N21" s="1084" t="str">
        <f>IF('6b - General Lighting'!$X$131=0,'Lighting Assumptions 90.1-2013'!N9,IF('6b - General Lighting'!$X$131=1,'Lighting Assumptions 90.1-2013'!P9,IF('6b - General Lighting'!$X$131=2,'Lighting Assumptions 90.1-2013'!R9,IF('6b - General Lighting'!$X$131=3,'Lighting Assumptions 90.1-2013'!T9,IF('6b - General Lighting'!$X$131=4,'Lighting Assumptions 90.1-2013'!V9,"")))))</f>
        <v/>
      </c>
    </row>
    <row r="22" spans="1:15" s="839" customFormat="1" ht="15" customHeight="1" x14ac:dyDescent="0.25">
      <c r="A22" s="806"/>
      <c r="B22" s="42"/>
      <c r="C22" s="806"/>
      <c r="D22" s="1059" t="s">
        <v>64</v>
      </c>
      <c r="E22" s="830">
        <v>0.21</v>
      </c>
      <c r="F22" s="828">
        <f t="shared" si="1"/>
        <v>2.2604189999999997</v>
      </c>
      <c r="G22" s="1055" t="s">
        <v>1724</v>
      </c>
      <c r="H22" s="828">
        <v>0.99</v>
      </c>
      <c r="I22" s="828">
        <f t="shared" si="2"/>
        <v>10.656260999999999</v>
      </c>
      <c r="J22" s="828" t="s">
        <v>1560</v>
      </c>
      <c r="K22" s="828" t="s">
        <v>22</v>
      </c>
      <c r="L22" s="1059" t="s">
        <v>1820</v>
      </c>
      <c r="M22" s="181"/>
      <c r="N22" s="1084" t="str">
        <f>IF('6b - General Lighting'!$X$131=0,'Lighting Assumptions 90.1-2013'!N10,IF('6b - General Lighting'!$X$131=1,'Lighting Assumptions 90.1-2013'!P10,IF('6b - General Lighting'!$X$131=2,'Lighting Assumptions 90.1-2013'!R10,IF('6b - General Lighting'!$X$131=3,'Lighting Assumptions 90.1-2013'!T10,IF('6b - General Lighting'!$X$131=4,'Lighting Assumptions 90.1-2013'!V10,"")))))</f>
        <v/>
      </c>
    </row>
    <row r="23" spans="1:15" s="839" customFormat="1" ht="15" customHeight="1" x14ac:dyDescent="0.25">
      <c r="A23" s="806"/>
      <c r="B23" s="42"/>
      <c r="C23" s="806"/>
      <c r="D23" s="1059" t="s">
        <v>65</v>
      </c>
      <c r="E23" s="830">
        <v>0.81</v>
      </c>
      <c r="F23" s="828">
        <f t="shared" si="1"/>
        <v>8.7187590000000004</v>
      </c>
      <c r="G23" s="1055" t="s">
        <v>1725</v>
      </c>
      <c r="H23" s="828">
        <v>0.41</v>
      </c>
      <c r="I23" s="828">
        <f t="shared" si="2"/>
        <v>4.4131989999999996</v>
      </c>
      <c r="J23" s="828" t="s">
        <v>1560</v>
      </c>
      <c r="K23" s="828" t="s">
        <v>22</v>
      </c>
      <c r="L23" s="1059" t="s">
        <v>1821</v>
      </c>
      <c r="M23" s="181"/>
      <c r="N23" s="1084" t="str">
        <f>IF('6b - General Lighting'!$X$131=0,'Lighting Assumptions 90.1-2013'!N11,IF('6b - General Lighting'!$X$131=1,'Lighting Assumptions 90.1-2013'!P11,IF('6b - General Lighting'!$X$131=2,'Lighting Assumptions 90.1-2013'!R11,IF('6b - General Lighting'!$X$131=3,'Lighting Assumptions 90.1-2013'!T11,IF('6b - General Lighting'!$X$131=4,'Lighting Assumptions 90.1-2013'!V11,"")))))</f>
        <v/>
      </c>
    </row>
    <row r="24" spans="1:15" s="839" customFormat="1" ht="15" customHeight="1" x14ac:dyDescent="0.25">
      <c r="A24" s="806"/>
      <c r="B24" s="42"/>
      <c r="C24" s="806"/>
      <c r="D24" s="1059" t="s">
        <v>66</v>
      </c>
      <c r="E24" s="830">
        <v>1.39</v>
      </c>
      <c r="F24" s="828">
        <f t="shared" si="1"/>
        <v>14.961820999999999</v>
      </c>
      <c r="G24" s="1055" t="s">
        <v>1726</v>
      </c>
      <c r="H24" s="828">
        <v>0.66</v>
      </c>
      <c r="I24" s="828">
        <f t="shared" si="2"/>
        <v>7.1041740000000004</v>
      </c>
      <c r="J24" s="828" t="s">
        <v>22</v>
      </c>
      <c r="K24" s="828" t="s">
        <v>22</v>
      </c>
      <c r="L24" s="1059" t="s">
        <v>1822</v>
      </c>
      <c r="M24" s="181"/>
      <c r="N24" s="1084" t="str">
        <f>IF('6b - General Lighting'!$X$131=0,'Lighting Assumptions 90.1-2013'!N12,IF('6b - General Lighting'!$X$131=1,'Lighting Assumptions 90.1-2013'!P12,IF('6b - General Lighting'!$X$131=2,'Lighting Assumptions 90.1-2013'!R12,IF('6b - General Lighting'!$X$131=3,'Lighting Assumptions 90.1-2013'!T12,IF('6b - General Lighting'!$X$131=4,'Lighting Assumptions 90.1-2013'!V12,"")))))</f>
        <v/>
      </c>
    </row>
    <row r="25" spans="1:15" s="839" customFormat="1" ht="15" customHeight="1" x14ac:dyDescent="0.25">
      <c r="A25" s="806"/>
      <c r="B25" s="42"/>
      <c r="C25" s="806"/>
      <c r="D25" s="1059" t="s">
        <v>233</v>
      </c>
      <c r="E25" s="830">
        <v>0.87</v>
      </c>
      <c r="F25" s="828">
        <f t="shared" si="1"/>
        <v>9.3645929999999993</v>
      </c>
      <c r="G25" s="1055" t="s">
        <v>1727</v>
      </c>
      <c r="H25" s="828">
        <v>1.72</v>
      </c>
      <c r="I25" s="828">
        <f t="shared" si="2"/>
        <v>18.513908000000001</v>
      </c>
      <c r="J25" s="828" t="s">
        <v>1560</v>
      </c>
      <c r="K25" s="828" t="s">
        <v>22</v>
      </c>
      <c r="L25" s="1059" t="s">
        <v>1823</v>
      </c>
      <c r="M25" s="181"/>
      <c r="N25" s="1084" t="str">
        <f>IF('6b - General Lighting'!$X$131=0,'Lighting Assumptions 90.1-2013'!N13,IF('6b - General Lighting'!$X$131=1,'Lighting Assumptions 90.1-2013'!P13,IF('6b - General Lighting'!$X$131=2,'Lighting Assumptions 90.1-2013'!R13,IF('6b - General Lighting'!$X$131=3,'Lighting Assumptions 90.1-2013'!T13,IF('6b - General Lighting'!$X$131=4,'Lighting Assumptions 90.1-2013'!V13,"")))))</f>
        <v/>
      </c>
    </row>
    <row r="26" spans="1:15" s="839" customFormat="1" ht="15" customHeight="1" x14ac:dyDescent="0.25">
      <c r="A26" s="806"/>
      <c r="B26" s="42"/>
      <c r="C26" s="806"/>
      <c r="D26" s="1059" t="s">
        <v>67</v>
      </c>
      <c r="E26" s="830">
        <v>0.87</v>
      </c>
      <c r="F26" s="828">
        <f t="shared" si="1"/>
        <v>9.3645929999999993</v>
      </c>
      <c r="G26" s="1055" t="s">
        <v>1728</v>
      </c>
      <c r="H26" s="828">
        <v>1.71</v>
      </c>
      <c r="I26" s="828">
        <f t="shared" si="2"/>
        <v>18.406268999999998</v>
      </c>
      <c r="J26" s="828" t="s">
        <v>1560</v>
      </c>
      <c r="K26" s="828" t="s">
        <v>22</v>
      </c>
      <c r="L26" s="1059" t="s">
        <v>1824</v>
      </c>
      <c r="M26" s="181"/>
      <c r="N26" s="1084" t="str">
        <f>IF('6b - General Lighting'!$X$131=0,'Lighting Assumptions 90.1-2013'!N14,IF('6b - General Lighting'!$X$131=1,'Lighting Assumptions 90.1-2013'!P14,IF('6b - General Lighting'!$X$131=2,'Lighting Assumptions 90.1-2013'!R14,IF('6b - General Lighting'!$X$131=3,'Lighting Assumptions 90.1-2013'!T14,IF('6b - General Lighting'!$X$131=4,'Lighting Assumptions 90.1-2013'!V14,"")))))</f>
        <v/>
      </c>
    </row>
    <row r="27" spans="1:15" s="839" customFormat="1" ht="15" customHeight="1" x14ac:dyDescent="0.25">
      <c r="A27" s="806"/>
      <c r="B27" s="42"/>
      <c r="C27" s="806"/>
      <c r="D27" s="1059" t="s">
        <v>68</v>
      </c>
      <c r="E27" s="830">
        <v>1</v>
      </c>
      <c r="F27" s="828">
        <f t="shared" si="1"/>
        <v>10.7639</v>
      </c>
      <c r="G27" s="1055" t="s">
        <v>1729</v>
      </c>
      <c r="H27" s="828">
        <v>0.96</v>
      </c>
      <c r="I27" s="828">
        <f t="shared" si="2"/>
        <v>10.333343999999999</v>
      </c>
      <c r="J27" s="828" t="s">
        <v>1560</v>
      </c>
      <c r="K27" s="828" t="s">
        <v>22</v>
      </c>
      <c r="L27" s="1061" t="s">
        <v>1825</v>
      </c>
      <c r="M27" s="181"/>
      <c r="N27" s="1084" t="str">
        <f>IF('6b - General Lighting'!$X$131=0,'Lighting Assumptions 90.1-2013'!O4,IF('6b - General Lighting'!$X$131=1,'Lighting Assumptions 90.1-2013'!Q4,IF('6b - General Lighting'!$X$131=2,'Lighting Assumptions 90.1-2013'!S4,IF('6b - General Lighting'!$X$131=3,'Lighting Assumptions 90.1-2013'!U4,IF('6b - General Lighting'!$X$131=4,'Lighting Assumptions 90.1-2013'!W4,"")))))</f>
        <v/>
      </c>
    </row>
    <row r="28" spans="1:15" s="839" customFormat="1" ht="15" customHeight="1" x14ac:dyDescent="0.25">
      <c r="A28" s="806"/>
      <c r="B28" s="42"/>
      <c r="C28" s="806"/>
      <c r="D28" s="1059" t="s">
        <v>69</v>
      </c>
      <c r="E28" s="830">
        <v>1.26</v>
      </c>
      <c r="F28" s="828">
        <f t="shared" si="1"/>
        <v>13.562514</v>
      </c>
      <c r="G28" s="1055" t="s">
        <v>1730</v>
      </c>
      <c r="H28" s="828">
        <v>2.65</v>
      </c>
      <c r="I28" s="828">
        <f t="shared" si="2"/>
        <v>28.524334999999997</v>
      </c>
      <c r="J28" s="828" t="s">
        <v>1560</v>
      </c>
      <c r="K28" s="828" t="s">
        <v>22</v>
      </c>
      <c r="L28" s="1059" t="s">
        <v>1826</v>
      </c>
      <c r="M28" s="181"/>
      <c r="N28" s="1084" t="str">
        <f>IF('6b - General Lighting'!$X$131=0,'Lighting Assumptions 90.1-2013'!O5,IF('6b - General Lighting'!$X$131=1,'Lighting Assumptions 90.1-2013'!Q5,IF('6b - General Lighting'!$X$131=2,'Lighting Assumptions 90.1-2013'!S5,IF('6b - General Lighting'!$X$131=3,'Lighting Assumptions 90.1-2013'!U5,IF('6b - General Lighting'!$X$131=4,'Lighting Assumptions 90.1-2013'!W5,"")))))</f>
        <v/>
      </c>
    </row>
    <row r="29" spans="1:15" s="839" customFormat="1" ht="15" customHeight="1" x14ac:dyDescent="0.25">
      <c r="A29" s="806"/>
      <c r="B29" s="42"/>
      <c r="C29" s="806"/>
      <c r="D29" s="1059" t="s">
        <v>70</v>
      </c>
      <c r="E29" s="830">
        <v>0.87</v>
      </c>
      <c r="F29" s="828">
        <f t="shared" si="1"/>
        <v>9.3645929999999993</v>
      </c>
      <c r="G29" s="1055" t="s">
        <v>1731</v>
      </c>
      <c r="H29" s="828">
        <v>1.07</v>
      </c>
      <c r="I29" s="828">
        <f t="shared" si="2"/>
        <v>11.517373000000001</v>
      </c>
      <c r="J29" s="828" t="s">
        <v>1560</v>
      </c>
      <c r="K29" s="828" t="s">
        <v>22</v>
      </c>
      <c r="L29" s="1059" t="s">
        <v>1827</v>
      </c>
      <c r="M29" s="181"/>
      <c r="N29" s="1084" t="str">
        <f>IF('6b - General Lighting'!$X$131=0,'Lighting Assumptions 90.1-2013'!O6,IF('6b - General Lighting'!$X$131=1,'Lighting Assumptions 90.1-2013'!Q6,IF('6b - General Lighting'!$X$131=2,'Lighting Assumptions 90.1-2013'!S6,IF('6b - General Lighting'!$X$131=3,'Lighting Assumptions 90.1-2013'!U6,IF('6b - General Lighting'!$X$131=4,'Lighting Assumptions 90.1-2013'!W6,"")))))</f>
        <v/>
      </c>
    </row>
    <row r="30" spans="1:15" s="839" customFormat="1" ht="15" customHeight="1" x14ac:dyDescent="0.25">
      <c r="A30" s="806"/>
      <c r="B30" s="42"/>
      <c r="C30" s="806"/>
      <c r="D30" s="1059" t="s">
        <v>71</v>
      </c>
      <c r="E30" s="830">
        <v>0.91</v>
      </c>
      <c r="F30" s="828">
        <f t="shared" si="1"/>
        <v>9.7951490000000003</v>
      </c>
      <c r="G30" s="1055" t="s">
        <v>1732</v>
      </c>
      <c r="H30" s="828">
        <v>0.65</v>
      </c>
      <c r="I30" s="828">
        <f t="shared" si="2"/>
        <v>6.9965349999999997</v>
      </c>
      <c r="J30" s="828" t="s">
        <v>1560</v>
      </c>
      <c r="K30" s="828" t="s">
        <v>22</v>
      </c>
      <c r="L30" s="1059" t="s">
        <v>1828</v>
      </c>
      <c r="M30" s="181"/>
      <c r="N30" s="1084" t="str">
        <f>IF('6b - General Lighting'!$X$131=0,'Lighting Assumptions 90.1-2013'!O7,IF('6b - General Lighting'!$X$131=1,'Lighting Assumptions 90.1-2013'!Q7,IF('6b - General Lighting'!$X$131=2,'Lighting Assumptions 90.1-2013'!S7,IF('6b - General Lighting'!$X$131=3,'Lighting Assumptions 90.1-2013'!U7,IF('6b - General Lighting'!$X$131=4,'Lighting Assumptions 90.1-2013'!W7,"")))))</f>
        <v/>
      </c>
    </row>
    <row r="31" spans="1:15" s="839" customFormat="1" ht="15" customHeight="1" x14ac:dyDescent="0.25">
      <c r="A31" s="806"/>
      <c r="B31" s="42"/>
      <c r="C31" s="806"/>
      <c r="D31" s="1059" t="s">
        <v>72</v>
      </c>
      <c r="E31" s="830">
        <v>0.89</v>
      </c>
      <c r="F31" s="828">
        <f t="shared" si="1"/>
        <v>9.5798709999999989</v>
      </c>
      <c r="G31" s="1055" t="s">
        <v>1733</v>
      </c>
      <c r="H31" s="828">
        <v>0.89</v>
      </c>
      <c r="I31" s="828">
        <f t="shared" si="2"/>
        <v>9.5798709999999989</v>
      </c>
      <c r="J31" s="828" t="s">
        <v>1560</v>
      </c>
      <c r="K31" s="828" t="s">
        <v>22</v>
      </c>
      <c r="L31" s="1059" t="s">
        <v>1829</v>
      </c>
      <c r="M31" s="181"/>
      <c r="N31" s="1084" t="str">
        <f>IF('6b - General Lighting'!$X$131=0,'Lighting Assumptions 90.1-2013'!O8,IF('6b - General Lighting'!$X$131=1,'Lighting Assumptions 90.1-2013'!Q8,IF('6b - General Lighting'!$X$131=2,'Lighting Assumptions 90.1-2013'!S8,IF('6b - General Lighting'!$X$131=3,'Lighting Assumptions 90.1-2013'!U8,IF('6b - General Lighting'!$X$131=4,'Lighting Assumptions 90.1-2013'!W8,"")))))</f>
        <v/>
      </c>
    </row>
    <row r="32" spans="1:15" s="839" customFormat="1" ht="15" customHeight="1" x14ac:dyDescent="0.25">
      <c r="A32" s="806"/>
      <c r="B32" s="42"/>
      <c r="C32" s="806"/>
      <c r="D32" s="1059" t="s">
        <v>73</v>
      </c>
      <c r="E32" s="830">
        <v>0.7</v>
      </c>
      <c r="F32" s="828">
        <f t="shared" si="1"/>
        <v>7.5347299999999988</v>
      </c>
      <c r="G32" s="1055" t="s">
        <v>1734</v>
      </c>
      <c r="H32" s="828">
        <v>0.65</v>
      </c>
      <c r="I32" s="828">
        <f t="shared" si="2"/>
        <v>6.9965349999999997</v>
      </c>
      <c r="J32" s="828" t="s">
        <v>1560</v>
      </c>
      <c r="K32" s="828" t="s">
        <v>22</v>
      </c>
      <c r="L32" s="1059" t="s">
        <v>1830</v>
      </c>
      <c r="M32" s="181"/>
      <c r="N32" s="1084" t="str">
        <f>IF('6b - General Lighting'!$X$131=0,'Lighting Assumptions 90.1-2013'!O9,IF('6b - General Lighting'!$X$131=1,'Lighting Assumptions 90.1-2013'!Q9,IF('6b - General Lighting'!$X$131=2,'Lighting Assumptions 90.1-2013'!S9,IF('6b - General Lighting'!$X$131=3,'Lighting Assumptions 90.1-2013'!U9,IF('6b - General Lighting'!$X$131=4,'Lighting Assumptions 90.1-2013'!W9,"")))))</f>
        <v/>
      </c>
    </row>
    <row r="33" spans="1:23" s="839" customFormat="1" ht="15" customHeight="1" x14ac:dyDescent="0.25">
      <c r="A33" s="806"/>
      <c r="B33" s="42"/>
      <c r="C33" s="806"/>
      <c r="D33" s="1059" t="s">
        <v>74</v>
      </c>
      <c r="E33" s="830">
        <v>0.66</v>
      </c>
      <c r="F33" s="828">
        <f t="shared" si="1"/>
        <v>7.1041740000000004</v>
      </c>
      <c r="G33" s="1055" t="s">
        <v>1735</v>
      </c>
      <c r="H33" s="828">
        <v>0.42</v>
      </c>
      <c r="I33" s="828">
        <f t="shared" si="2"/>
        <v>4.5208379999999995</v>
      </c>
      <c r="J33" s="828" t="s">
        <v>1560</v>
      </c>
      <c r="K33" s="828" t="s">
        <v>22</v>
      </c>
      <c r="L33" s="1059" t="s">
        <v>1831</v>
      </c>
      <c r="M33" s="181"/>
      <c r="N33" s="1084" t="str">
        <f>IF('6b - General Lighting'!$X$131=0,'Lighting Assumptions 90.1-2013'!O10,IF('6b - General Lighting'!$X$131=1,'Lighting Assumptions 90.1-2013'!Q10,IF('6b - General Lighting'!$X$131=2,'Lighting Assumptions 90.1-2013'!S10,IF('6b - General Lighting'!$X$131=3,'Lighting Assumptions 90.1-2013'!U10,IF('6b - General Lighting'!$X$131=4,'Lighting Assumptions 90.1-2013'!W10,"")))))</f>
        <v/>
      </c>
    </row>
    <row r="34" spans="1:23" s="839" customFormat="1" ht="15" customHeight="1" x14ac:dyDescent="0.25">
      <c r="A34" s="806"/>
      <c r="B34" s="42"/>
      <c r="C34" s="806"/>
      <c r="D34" s="178" t="s">
        <v>75</v>
      </c>
      <c r="E34" s="833">
        <v>1.119</v>
      </c>
      <c r="F34" s="828">
        <f t="shared" si="1"/>
        <v>12.0448041</v>
      </c>
      <c r="G34" s="1055" t="s">
        <v>1736</v>
      </c>
      <c r="H34" s="828">
        <v>0.56000000000000005</v>
      </c>
      <c r="I34" s="828">
        <f t="shared" si="2"/>
        <v>6.0277840000000005</v>
      </c>
      <c r="J34" s="828" t="s">
        <v>1560</v>
      </c>
      <c r="K34" s="828" t="s">
        <v>22</v>
      </c>
      <c r="L34" s="1059" t="s">
        <v>1832</v>
      </c>
      <c r="M34" s="181"/>
      <c r="N34" s="1084" t="str">
        <f>IF('6b - General Lighting'!$X$131=0,'Lighting Assumptions 90.1-2013'!O11,IF('6b - General Lighting'!$X$131=1,'Lighting Assumptions 90.1-2013'!Q11,IF('6b - General Lighting'!$X$131=2,'Lighting Assumptions 90.1-2013'!S11,IF('6b - General Lighting'!$X$131=3,'Lighting Assumptions 90.1-2013'!U11,IF('6b - General Lighting'!$X$131=4,'Lighting Assumptions 90.1-2013'!W11,"")))))</f>
        <v/>
      </c>
    </row>
    <row r="35" spans="1:23" s="839" customFormat="1" ht="15" customHeight="1" x14ac:dyDescent="0.25">
      <c r="A35" s="806"/>
      <c r="B35" s="42"/>
      <c r="C35" s="806"/>
      <c r="D35" s="832"/>
      <c r="E35" s="833"/>
      <c r="F35" s="1072"/>
      <c r="G35" s="1055" t="s">
        <v>1737</v>
      </c>
      <c r="H35" s="828">
        <v>1.21</v>
      </c>
      <c r="I35" s="828">
        <f t="shared" si="2"/>
        <v>13.024318999999998</v>
      </c>
      <c r="J35" s="828" t="s">
        <v>1560</v>
      </c>
      <c r="K35" s="828" t="s">
        <v>22</v>
      </c>
      <c r="L35" s="1059" t="s">
        <v>1833</v>
      </c>
      <c r="M35" s="181"/>
      <c r="N35" s="1084" t="str">
        <f>IF('6b - General Lighting'!$X$131=0,'Lighting Assumptions 90.1-2013'!O12,IF('6b - General Lighting'!$X$131=1,'Lighting Assumptions 90.1-2013'!Q12,IF('6b - General Lighting'!$X$131=2,'Lighting Assumptions 90.1-2013'!S12,IF('6b - General Lighting'!$X$131=3,'Lighting Assumptions 90.1-2013'!U12,IF('6b - General Lighting'!$X$131=4,'Lighting Assumptions 90.1-2013'!W12,"")))))</f>
        <v/>
      </c>
    </row>
    <row r="36" spans="1:23" s="839" customFormat="1" ht="15" customHeight="1" x14ac:dyDescent="0.25">
      <c r="A36" s="806"/>
      <c r="B36" s="42"/>
      <c r="C36" s="806"/>
      <c r="E36" s="1070"/>
      <c r="F36" s="1070"/>
      <c r="G36" s="1055" t="s">
        <v>1738</v>
      </c>
      <c r="H36" s="828">
        <v>0.91</v>
      </c>
      <c r="I36" s="828">
        <f t="shared" si="2"/>
        <v>9.7951490000000003</v>
      </c>
      <c r="J36" s="828" t="s">
        <v>1560</v>
      </c>
      <c r="K36" s="828" t="s">
        <v>22</v>
      </c>
      <c r="L36" s="1059" t="s">
        <v>1834</v>
      </c>
      <c r="M36" s="181"/>
      <c r="N36" s="1084" t="str">
        <f>IF('6b - General Lighting'!$X$131=0,'Lighting Assumptions 90.1-2013'!O13,IF('6b - General Lighting'!$X$131=1,'Lighting Assumptions 90.1-2013'!Q13,IF('6b - General Lighting'!$X$131=2,'Lighting Assumptions 90.1-2013'!S13,IF('6b - General Lighting'!$X$131=3,'Lighting Assumptions 90.1-2013'!U13,IF('6b - General Lighting'!$X$131=4,'Lighting Assumptions 90.1-2013'!W13,"")))))</f>
        <v/>
      </c>
    </row>
    <row r="37" spans="1:23" s="839" customFormat="1" ht="15" customHeight="1" x14ac:dyDescent="0.25">
      <c r="A37" s="806"/>
      <c r="B37" s="42"/>
      <c r="C37" s="806"/>
      <c r="E37" s="1070"/>
      <c r="F37" s="1070"/>
      <c r="G37" s="1055" t="s">
        <v>1739</v>
      </c>
      <c r="H37" s="1073">
        <v>0.93</v>
      </c>
      <c r="I37" s="1073">
        <f t="shared" si="2"/>
        <v>10.010427</v>
      </c>
      <c r="J37" s="1073" t="s">
        <v>22</v>
      </c>
      <c r="K37" s="1073" t="s">
        <v>22</v>
      </c>
      <c r="L37" s="1059" t="s">
        <v>1835</v>
      </c>
      <c r="M37" s="181"/>
      <c r="N37" s="1084" t="str">
        <f>IF('6b - General Lighting'!$X$131=0,'Lighting Assumptions 90.1-2013'!O14,IF('6b - General Lighting'!$X$131=1,'Lighting Assumptions 90.1-2013'!Q14,IF('6b - General Lighting'!$X$131=2,'Lighting Assumptions 90.1-2013'!S14,IF('6b - General Lighting'!$X$131=3,'Lighting Assumptions 90.1-2013'!U14,IF('6b - General Lighting'!$X$131=4,'Lighting Assumptions 90.1-2013'!W14,"")))))</f>
        <v/>
      </c>
    </row>
    <row r="38" spans="1:23" s="839" customFormat="1" ht="15" customHeight="1" x14ac:dyDescent="0.25">
      <c r="A38" s="806"/>
      <c r="B38" s="42"/>
      <c r="C38" s="806"/>
      <c r="E38" s="1070"/>
      <c r="F38" s="1070"/>
      <c r="G38" s="1055" t="s">
        <v>1740</v>
      </c>
      <c r="H38" s="828">
        <v>1.43</v>
      </c>
      <c r="I38" s="828">
        <f t="shared" si="2"/>
        <v>15.392376999999998</v>
      </c>
      <c r="J38" s="828" t="s">
        <v>22</v>
      </c>
      <c r="K38" s="828" t="s">
        <v>22</v>
      </c>
    </row>
    <row r="39" spans="1:23" s="839" customFormat="1" ht="15" customHeight="1" x14ac:dyDescent="0.25">
      <c r="A39" s="806"/>
      <c r="B39" s="42"/>
      <c r="C39" s="806"/>
      <c r="E39" s="1070"/>
      <c r="F39" s="1070"/>
      <c r="G39" s="1055" t="s">
        <v>1741</v>
      </c>
      <c r="H39" s="828">
        <v>1.81</v>
      </c>
      <c r="I39" s="828">
        <f t="shared" si="2"/>
        <v>19.482658999999998</v>
      </c>
      <c r="J39" s="828" t="s">
        <v>1560</v>
      </c>
      <c r="K39" s="828" t="s">
        <v>22</v>
      </c>
    </row>
    <row r="40" spans="1:23" s="839" customFormat="1" ht="15" customHeight="1" x14ac:dyDescent="0.25">
      <c r="A40" s="806"/>
      <c r="B40" s="42"/>
      <c r="C40" s="806"/>
      <c r="G40" s="1055" t="s">
        <v>1742</v>
      </c>
      <c r="H40" s="828">
        <v>0.6</v>
      </c>
      <c r="I40" s="828">
        <f t="shared" si="2"/>
        <v>6.4583399999999997</v>
      </c>
      <c r="J40" s="828" t="s">
        <v>1560</v>
      </c>
      <c r="K40" s="828" t="s">
        <v>22</v>
      </c>
    </row>
    <row r="41" spans="1:23" s="839" customFormat="1" ht="15" customHeight="1" x14ac:dyDescent="0.25">
      <c r="A41" s="806"/>
      <c r="B41" s="42"/>
      <c r="C41" s="806"/>
      <c r="G41" s="1055" t="s">
        <v>1743</v>
      </c>
      <c r="H41" s="828">
        <v>0.47</v>
      </c>
      <c r="I41" s="828">
        <f t="shared" si="2"/>
        <v>5.0590329999999994</v>
      </c>
      <c r="J41" s="828" t="s">
        <v>1560</v>
      </c>
      <c r="K41" s="828" t="s">
        <v>22</v>
      </c>
    </row>
    <row r="42" spans="1:23" s="839" customFormat="1" ht="15" customHeight="1" x14ac:dyDescent="0.25">
      <c r="A42" s="806"/>
      <c r="B42" s="42"/>
      <c r="C42" s="806"/>
      <c r="G42" s="1055" t="s">
        <v>1744</v>
      </c>
      <c r="H42" s="828">
        <v>1.8</v>
      </c>
      <c r="I42" s="828">
        <f t="shared" si="2"/>
        <v>19.375019999999999</v>
      </c>
      <c r="J42" s="828" t="s">
        <v>22</v>
      </c>
      <c r="K42" s="828" t="s">
        <v>22</v>
      </c>
      <c r="N42" s="3680" t="s">
        <v>2194</v>
      </c>
      <c r="O42" s="3680"/>
      <c r="P42" s="3680" t="s">
        <v>2195</v>
      </c>
      <c r="Q42" s="3680"/>
      <c r="R42" s="3680" t="s">
        <v>2196</v>
      </c>
      <c r="S42" s="3680"/>
      <c r="T42" s="3680" t="s">
        <v>2197</v>
      </c>
      <c r="U42" s="3680"/>
      <c r="V42" s="3680" t="s">
        <v>2198</v>
      </c>
      <c r="W42" s="3680"/>
    </row>
    <row r="43" spans="1:23" s="839" customFormat="1" ht="42.75" customHeight="1" x14ac:dyDescent="0.25">
      <c r="A43" s="806"/>
      <c r="B43" s="42"/>
      <c r="C43" s="806"/>
      <c r="G43" s="1055" t="s">
        <v>1745</v>
      </c>
      <c r="H43" s="828">
        <v>0.64</v>
      </c>
      <c r="I43" s="828">
        <f t="shared" si="2"/>
        <v>6.8888959999999999</v>
      </c>
      <c r="J43" s="828" t="s">
        <v>1560</v>
      </c>
      <c r="K43" s="828" t="s">
        <v>22</v>
      </c>
      <c r="L43" s="3678" t="s">
        <v>95</v>
      </c>
      <c r="M43" s="3529" t="s">
        <v>96</v>
      </c>
      <c r="N43" s="987" t="s">
        <v>1808</v>
      </c>
      <c r="O43" s="987" t="s">
        <v>1809</v>
      </c>
      <c r="P43" s="987" t="s">
        <v>1808</v>
      </c>
      <c r="Q43" s="987" t="s">
        <v>1809</v>
      </c>
      <c r="R43" s="987" t="s">
        <v>1808</v>
      </c>
      <c r="S43" s="987" t="s">
        <v>1809</v>
      </c>
      <c r="T43" s="987" t="s">
        <v>1808</v>
      </c>
      <c r="U43" s="987" t="s">
        <v>1809</v>
      </c>
      <c r="V43" s="987" t="s">
        <v>1808</v>
      </c>
      <c r="W43" s="987" t="s">
        <v>1809</v>
      </c>
    </row>
    <row r="44" spans="1:23" s="839" customFormat="1" ht="15" customHeight="1" x14ac:dyDescent="0.25">
      <c r="A44" s="806"/>
      <c r="B44" s="42"/>
      <c r="C44" s="806"/>
      <c r="G44" s="1055" t="s">
        <v>1746</v>
      </c>
      <c r="H44" s="828">
        <v>1.06</v>
      </c>
      <c r="I44" s="828">
        <f t="shared" si="2"/>
        <v>11.409734</v>
      </c>
      <c r="J44" s="828" t="s">
        <v>1560</v>
      </c>
      <c r="K44" s="828" t="s">
        <v>22</v>
      </c>
      <c r="L44" s="3679"/>
      <c r="M44" s="3674"/>
      <c r="N44" s="834" t="s">
        <v>707</v>
      </c>
      <c r="O44" s="835" t="s">
        <v>708</v>
      </c>
      <c r="P44" s="834" t="s">
        <v>707</v>
      </c>
      <c r="Q44" s="835" t="s">
        <v>708</v>
      </c>
      <c r="R44" s="834" t="s">
        <v>707</v>
      </c>
      <c r="S44" s="835" t="s">
        <v>708</v>
      </c>
      <c r="T44" s="834" t="s">
        <v>707</v>
      </c>
      <c r="U44" s="835" t="s">
        <v>708</v>
      </c>
      <c r="V44" s="834" t="s">
        <v>707</v>
      </c>
      <c r="W44" s="835" t="s">
        <v>708</v>
      </c>
    </row>
    <row r="45" spans="1:23" s="839" customFormat="1" ht="15" customHeight="1" x14ac:dyDescent="0.25">
      <c r="A45" s="806"/>
      <c r="B45" s="42"/>
      <c r="C45" s="806"/>
      <c r="G45" s="1055" t="s">
        <v>1747</v>
      </c>
      <c r="H45" s="828">
        <v>0.59</v>
      </c>
      <c r="I45" s="828">
        <f t="shared" si="2"/>
        <v>6.350700999999999</v>
      </c>
      <c r="J45" s="828" t="s">
        <v>1560</v>
      </c>
      <c r="K45" s="828" t="s">
        <v>22</v>
      </c>
      <c r="L45" s="836"/>
      <c r="M45" s="1071"/>
      <c r="N45" s="836" t="str">
        <f t="shared" ref="N45:W45" si="7">N43&amp;" "&amp;N44</f>
        <v>W/sf or W/linear foot IP</v>
      </c>
      <c r="O45" s="837" t="str">
        <f t="shared" si="7"/>
        <v>W/sm or W/linear meter SI</v>
      </c>
      <c r="P45" s="836" t="str">
        <f t="shared" si="7"/>
        <v>W/sf or W/linear foot IP</v>
      </c>
      <c r="Q45" s="837" t="str">
        <f t="shared" si="7"/>
        <v>W/sm or W/linear meter SI</v>
      </c>
      <c r="R45" s="836" t="str">
        <f t="shared" si="7"/>
        <v>W/sf or W/linear foot IP</v>
      </c>
      <c r="S45" s="837" t="str">
        <f t="shared" si="7"/>
        <v>W/sm or W/linear meter SI</v>
      </c>
      <c r="T45" s="836" t="str">
        <f t="shared" si="7"/>
        <v>W/sf or W/linear foot IP</v>
      </c>
      <c r="U45" s="837" t="str">
        <f t="shared" si="7"/>
        <v>W/sm or W/linear meter SI</v>
      </c>
      <c r="V45" s="836" t="str">
        <f t="shared" si="7"/>
        <v>W/sf or W/linear foot IP</v>
      </c>
      <c r="W45" s="837" t="str">
        <f t="shared" si="7"/>
        <v>W/sm or W/linear meter SI</v>
      </c>
    </row>
    <row r="46" spans="1:23" s="839" customFormat="1" ht="15" customHeight="1" x14ac:dyDescent="0.25">
      <c r="A46" s="806"/>
      <c r="B46" s="42"/>
      <c r="C46" s="806"/>
      <c r="G46" s="1055" t="s">
        <v>1748</v>
      </c>
      <c r="H46" s="828">
        <v>2</v>
      </c>
      <c r="I46" s="828">
        <f t="shared" si="2"/>
        <v>21.527799999999999</v>
      </c>
      <c r="J46" s="828" t="s">
        <v>22</v>
      </c>
      <c r="K46" s="828" t="s">
        <v>22</v>
      </c>
      <c r="L46" s="1061" t="s">
        <v>86</v>
      </c>
      <c r="M46" s="1062" t="s">
        <v>91</v>
      </c>
      <c r="N46" s="1076" t="s">
        <v>2343</v>
      </c>
      <c r="O46" s="1076" t="s">
        <v>2343</v>
      </c>
      <c r="P46" s="1076" t="s">
        <v>2343</v>
      </c>
      <c r="Q46" s="1076" t="s">
        <v>2343</v>
      </c>
      <c r="R46" s="1076">
        <v>0.1</v>
      </c>
      <c r="S46" s="1078">
        <f>R46*10.7639</f>
        <v>1.07639</v>
      </c>
      <c r="T46" s="1076">
        <v>0.15</v>
      </c>
      <c r="U46" s="1078">
        <f>T46*10.7639</f>
        <v>1.6145849999999999</v>
      </c>
      <c r="V46" s="1076">
        <v>0.2</v>
      </c>
      <c r="W46" s="1078">
        <f>V46*10.7639</f>
        <v>2.1527799999999999</v>
      </c>
    </row>
    <row r="47" spans="1:23" s="839" customFormat="1" ht="15" customHeight="1" x14ac:dyDescent="0.25">
      <c r="A47" s="806"/>
      <c r="B47" s="42"/>
      <c r="C47" s="806"/>
      <c r="G47" s="1055" t="s">
        <v>1749</v>
      </c>
      <c r="H47" s="828">
        <v>0.9</v>
      </c>
      <c r="I47" s="828">
        <f t="shared" si="2"/>
        <v>9.6875099999999996</v>
      </c>
      <c r="J47" s="828" t="s">
        <v>22</v>
      </c>
      <c r="K47" s="828" t="s">
        <v>22</v>
      </c>
      <c r="L47" s="1059" t="s">
        <v>104</v>
      </c>
      <c r="M47" s="1064" t="s">
        <v>92</v>
      </c>
      <c r="N47" s="1076" t="s">
        <v>2343</v>
      </c>
      <c r="O47" s="1076" t="s">
        <v>2343</v>
      </c>
      <c r="P47" s="1079" t="s">
        <v>1838</v>
      </c>
      <c r="Q47" s="1079" t="s">
        <v>1838</v>
      </c>
      <c r="R47" s="1079" t="s">
        <v>1838</v>
      </c>
      <c r="S47" s="1079" t="s">
        <v>1838</v>
      </c>
      <c r="T47" s="1079" t="s">
        <v>1838</v>
      </c>
      <c r="U47" s="1079" t="s">
        <v>1838</v>
      </c>
      <c r="V47" s="1079" t="s">
        <v>1838</v>
      </c>
      <c r="W47" s="1079" t="s">
        <v>1838</v>
      </c>
    </row>
    <row r="48" spans="1:23" s="839" customFormat="1" ht="15" customHeight="1" x14ac:dyDescent="0.25">
      <c r="A48" s="806"/>
      <c r="B48" s="42"/>
      <c r="C48" s="806"/>
      <c r="G48" s="1055" t="s">
        <v>1750</v>
      </c>
      <c r="H48" s="828">
        <v>0.75</v>
      </c>
      <c r="I48" s="828">
        <f t="shared" si="2"/>
        <v>8.0729249999999997</v>
      </c>
      <c r="J48" s="828" t="s">
        <v>22</v>
      </c>
      <c r="K48" s="828" t="s">
        <v>22</v>
      </c>
      <c r="L48" s="1059" t="s">
        <v>87</v>
      </c>
      <c r="M48" s="1064" t="s">
        <v>91</v>
      </c>
      <c r="N48" s="1080" t="s">
        <v>2343</v>
      </c>
      <c r="O48" s="1080" t="s">
        <v>2343</v>
      </c>
      <c r="P48" s="1080">
        <v>0.75</v>
      </c>
      <c r="Q48" s="1080">
        <f>P48*10.7639</f>
        <v>8.0729249999999997</v>
      </c>
      <c r="R48" s="1080">
        <v>0.75</v>
      </c>
      <c r="S48" s="1080">
        <f>R48*10.7639</f>
        <v>8.0729249999999997</v>
      </c>
      <c r="T48" s="1080">
        <v>0.75</v>
      </c>
      <c r="U48" s="1080">
        <f>T48*10.7639</f>
        <v>8.0729249999999997</v>
      </c>
      <c r="V48" s="1080">
        <v>0.75</v>
      </c>
      <c r="W48" s="1080">
        <f>V48*10.7639</f>
        <v>8.0729249999999997</v>
      </c>
    </row>
    <row r="49" spans="1:23" s="839" customFormat="1" ht="15" customHeight="1" x14ac:dyDescent="0.25">
      <c r="A49" s="806"/>
      <c r="B49" s="42"/>
      <c r="C49" s="806"/>
      <c r="G49" s="1055" t="s">
        <v>1751</v>
      </c>
      <c r="H49" s="828">
        <v>0.92</v>
      </c>
      <c r="I49" s="828">
        <f t="shared" si="2"/>
        <v>9.9027879999999993</v>
      </c>
      <c r="J49" s="828" t="s">
        <v>22</v>
      </c>
      <c r="K49" s="828" t="s">
        <v>22</v>
      </c>
      <c r="L49" s="1059" t="s">
        <v>88</v>
      </c>
      <c r="M49" s="1064" t="s">
        <v>91</v>
      </c>
      <c r="N49" s="1080" t="s">
        <v>2343</v>
      </c>
      <c r="O49" s="1080" t="s">
        <v>2343</v>
      </c>
      <c r="P49" s="1080">
        <v>0.5</v>
      </c>
      <c r="Q49" s="1080">
        <f>P49*10.7639</f>
        <v>5.3819499999999998</v>
      </c>
      <c r="R49" s="1080">
        <v>0.5</v>
      </c>
      <c r="S49" s="1080">
        <f>R49*10.7639</f>
        <v>5.3819499999999998</v>
      </c>
      <c r="T49" s="1080">
        <v>0.5</v>
      </c>
      <c r="U49" s="1080">
        <f>T49*10.7639</f>
        <v>5.3819499999999998</v>
      </c>
      <c r="V49" s="1080">
        <v>0.5</v>
      </c>
      <c r="W49" s="1080">
        <f>V49*10.7639</f>
        <v>5.3819499999999998</v>
      </c>
    </row>
    <row r="50" spans="1:23" s="839" customFormat="1" ht="15" customHeight="1" x14ac:dyDescent="0.25">
      <c r="A50" s="806"/>
      <c r="B50" s="42"/>
      <c r="C50" s="806"/>
      <c r="G50" s="1055" t="s">
        <v>1752</v>
      </c>
      <c r="H50" s="828">
        <v>0.73</v>
      </c>
      <c r="I50" s="828">
        <f t="shared" si="2"/>
        <v>7.8576469999999992</v>
      </c>
      <c r="J50" s="828" t="s">
        <v>22</v>
      </c>
      <c r="K50" s="828" t="s">
        <v>22</v>
      </c>
      <c r="L50" s="1059" t="s">
        <v>89</v>
      </c>
      <c r="M50" s="1064" t="s">
        <v>92</v>
      </c>
      <c r="N50" s="1079" t="s">
        <v>2343</v>
      </c>
      <c r="O50" s="1081" t="s">
        <v>2343</v>
      </c>
      <c r="P50" s="1079">
        <v>400</v>
      </c>
      <c r="Q50" s="1079">
        <v>400</v>
      </c>
      <c r="R50" s="1079">
        <v>400</v>
      </c>
      <c r="S50" s="1079">
        <v>400</v>
      </c>
      <c r="T50" s="1079">
        <v>400</v>
      </c>
      <c r="U50" s="1079">
        <v>400</v>
      </c>
      <c r="V50" s="1079">
        <v>400</v>
      </c>
      <c r="W50" s="1079">
        <v>400</v>
      </c>
    </row>
    <row r="51" spans="1:23" s="839" customFormat="1" ht="15" customHeight="1" x14ac:dyDescent="0.25">
      <c r="A51" s="806"/>
      <c r="B51" s="42"/>
      <c r="C51" s="806"/>
      <c r="G51" s="1055" t="s">
        <v>1753</v>
      </c>
      <c r="H51" s="828">
        <v>1.1100000000000001</v>
      </c>
      <c r="I51" s="828">
        <f t="shared" si="2"/>
        <v>11.947929</v>
      </c>
      <c r="J51" s="828" t="s">
        <v>22</v>
      </c>
      <c r="K51" s="828" t="s">
        <v>22</v>
      </c>
      <c r="L51" s="1059" t="s">
        <v>90</v>
      </c>
      <c r="M51" s="1064" t="s">
        <v>92</v>
      </c>
      <c r="N51" s="1080" t="s">
        <v>2343</v>
      </c>
      <c r="O51" s="1080" t="s">
        <v>2343</v>
      </c>
      <c r="P51" s="1080">
        <v>800</v>
      </c>
      <c r="Q51" s="1080">
        <v>800</v>
      </c>
      <c r="R51" s="1080">
        <v>800</v>
      </c>
      <c r="S51" s="1080">
        <v>800</v>
      </c>
      <c r="T51" s="1080">
        <v>800</v>
      </c>
      <c r="U51" s="1080">
        <v>800</v>
      </c>
      <c r="V51" s="1080">
        <v>800</v>
      </c>
      <c r="W51" s="1080">
        <v>800</v>
      </c>
    </row>
    <row r="52" spans="1:23" s="839" customFormat="1" ht="15" customHeight="1" x14ac:dyDescent="0.25">
      <c r="A52" s="806"/>
      <c r="B52" s="42"/>
      <c r="C52" s="806"/>
      <c r="G52" s="1055" t="s">
        <v>1754</v>
      </c>
      <c r="H52" s="828">
        <v>0.8</v>
      </c>
      <c r="I52" s="828">
        <f t="shared" si="2"/>
        <v>8.6111199999999997</v>
      </c>
      <c r="J52" s="828" t="s">
        <v>1560</v>
      </c>
      <c r="K52" s="828" t="s">
        <v>22</v>
      </c>
      <c r="L52" s="1061" t="s">
        <v>86</v>
      </c>
      <c r="M52" s="1062" t="s">
        <v>92</v>
      </c>
      <c r="N52" s="1076" t="s">
        <v>2343</v>
      </c>
      <c r="O52" s="1077" t="s">
        <v>2343</v>
      </c>
      <c r="P52" s="1076" t="s">
        <v>2343</v>
      </c>
      <c r="Q52" s="1077" t="s">
        <v>2343</v>
      </c>
      <c r="R52" s="1076">
        <v>2.5</v>
      </c>
      <c r="S52" s="1078">
        <f>R52*3.28</f>
        <v>8.1999999999999993</v>
      </c>
      <c r="T52" s="1076">
        <v>3.75</v>
      </c>
      <c r="U52" s="1078">
        <f>T52*3.28</f>
        <v>12.299999999999999</v>
      </c>
      <c r="V52" s="1076">
        <v>5</v>
      </c>
      <c r="W52" s="1078">
        <f>V52*3.28</f>
        <v>16.399999999999999</v>
      </c>
    </row>
    <row r="53" spans="1:23" s="839" customFormat="1" ht="15" customHeight="1" x14ac:dyDescent="0.25">
      <c r="A53" s="806"/>
      <c r="B53" s="42"/>
      <c r="C53" s="806"/>
      <c r="G53" s="1055" t="s">
        <v>1755</v>
      </c>
      <c r="H53" s="828">
        <v>0.19</v>
      </c>
      <c r="I53" s="828">
        <f t="shared" si="2"/>
        <v>2.0451410000000001</v>
      </c>
      <c r="J53" s="828" t="s">
        <v>1560</v>
      </c>
      <c r="K53" s="828" t="s">
        <v>22</v>
      </c>
    </row>
    <row r="54" spans="1:23" s="839" customFormat="1" ht="15" customHeight="1" x14ac:dyDescent="0.25">
      <c r="A54" s="806"/>
      <c r="B54" s="42"/>
      <c r="C54" s="806"/>
      <c r="G54" s="1055" t="s">
        <v>1756</v>
      </c>
      <c r="H54" s="828">
        <v>0.19</v>
      </c>
      <c r="I54" s="828">
        <f t="shared" si="2"/>
        <v>2.0451410000000001</v>
      </c>
      <c r="J54" s="828" t="s">
        <v>1560</v>
      </c>
      <c r="K54" s="1085" t="s">
        <v>22</v>
      </c>
      <c r="L54" s="1086" t="str">
        <f>"IP"&amp;L46&amp;M46</f>
        <v>IPBuilding facadesArea</v>
      </c>
      <c r="N54" s="1086" t="str">
        <f>IF('6b - General Lighting'!$X$131=0,'Lighting Assumptions 90.1-2013'!N46,IF('6b - General Lighting'!$X$131=1,'Lighting Assumptions 90.1-2013'!P46,IF('6b - General Lighting'!$X$131=2,'Lighting Assumptions 90.1-2013'!R46,IF('6b - General Lighting'!$X$131=3,'Lighting Assumptions 90.1-2013'!T46,IF('6b - General Lighting'!$X$131=4,'Lighting Assumptions 90.1-2013'!V46,"")))))</f>
        <v/>
      </c>
    </row>
    <row r="55" spans="1:23" s="839" customFormat="1" ht="15" customHeight="1" x14ac:dyDescent="0.25">
      <c r="A55" s="806"/>
      <c r="B55" s="42"/>
      <c r="C55" s="806"/>
      <c r="G55" s="1055" t="s">
        <v>1757</v>
      </c>
      <c r="H55" s="828">
        <v>1.21</v>
      </c>
      <c r="I55" s="828">
        <f t="shared" si="2"/>
        <v>13.024318999999998</v>
      </c>
      <c r="J55" s="828" t="s">
        <v>22</v>
      </c>
      <c r="K55" s="1085" t="s">
        <v>22</v>
      </c>
      <c r="L55" s="1086" t="str">
        <f>"IP"&amp;L47</f>
        <v>IPATMs and night depositories</v>
      </c>
      <c r="N55" s="1086" t="str">
        <f>IF('6b - General Lighting'!$X$131=0,'Lighting Assumptions 90.1-2013'!N47,IF('6b - General Lighting'!$X$131=1,'Lighting Assumptions 90.1-2013'!P47,IF('6b - General Lighting'!$X$131=2,'Lighting Assumptions 90.1-2013'!R47,IF('6b - General Lighting'!$X$131=3,'Lighting Assumptions 90.1-2013'!T47,IF('6b - General Lighting'!$X$131=4,'Lighting Assumptions 90.1-2013'!V47,"")))))</f>
        <v/>
      </c>
    </row>
    <row r="56" spans="1:23" s="839" customFormat="1" ht="15" customHeight="1" x14ac:dyDescent="0.25">
      <c r="A56" s="806"/>
      <c r="B56" s="42"/>
      <c r="C56" s="806"/>
      <c r="G56" s="1055" t="s">
        <v>1758</v>
      </c>
      <c r="H56" s="828">
        <v>0.98</v>
      </c>
      <c r="I56" s="828">
        <f t="shared" si="2"/>
        <v>10.548622</v>
      </c>
      <c r="J56" s="828" t="s">
        <v>22</v>
      </c>
      <c r="K56" s="1085" t="s">
        <v>22</v>
      </c>
      <c r="L56" s="1086" t="str">
        <f>"IP"&amp;L48</f>
        <v>IPEntrances and gatehouse inspection stations at guarded facilities</v>
      </c>
      <c r="N56" s="1086" t="str">
        <f>IF('6b - General Lighting'!$X$131=0,'Lighting Assumptions 90.1-2013'!N48,IF('6b - General Lighting'!$X$131=1,'Lighting Assumptions 90.1-2013'!P48,IF('6b - General Lighting'!$X$131=2,'Lighting Assumptions 90.1-2013'!R48,IF('6b - General Lighting'!$X$131=3,'Lighting Assumptions 90.1-2013'!T48,IF('6b - General Lighting'!$X$131=4,'Lighting Assumptions 90.1-2013'!V48,"")))))</f>
        <v/>
      </c>
    </row>
    <row r="57" spans="1:23" s="839" customFormat="1" ht="15" customHeight="1" x14ac:dyDescent="0.25">
      <c r="A57" s="806"/>
      <c r="B57" s="42"/>
      <c r="C57" s="806"/>
      <c r="G57" s="1055" t="s">
        <v>1759</v>
      </c>
      <c r="H57" s="828">
        <v>1.44</v>
      </c>
      <c r="I57" s="828">
        <f t="shared" si="2"/>
        <v>15.500015999999999</v>
      </c>
      <c r="J57" s="828" t="s">
        <v>1560</v>
      </c>
      <c r="K57" s="1085" t="s">
        <v>22</v>
      </c>
      <c r="L57" s="1086" t="str">
        <f>"IP"&amp;L49</f>
        <v>IPLoading areas for law enforcement, fire, ambulance, and other emergency service vehicles</v>
      </c>
      <c r="N57" s="1086" t="str">
        <f>IF('6b - General Lighting'!$X$131=0,'Lighting Assumptions 90.1-2013'!N49,IF('6b - General Lighting'!$X$131=1,'Lighting Assumptions 90.1-2013'!P49,IF('6b - General Lighting'!$X$131=2,'Lighting Assumptions 90.1-2013'!R49,IF('6b - General Lighting'!$X$131=3,'Lighting Assumptions 90.1-2013'!T49,IF('6b - General Lighting'!$X$131=4,'Lighting Assumptions 90.1-2013'!V49,"")))))</f>
        <v/>
      </c>
    </row>
    <row r="58" spans="1:23" s="839" customFormat="1" ht="15" customHeight="1" x14ac:dyDescent="0.25">
      <c r="A58" s="806"/>
      <c r="B58" s="42"/>
      <c r="C58" s="806"/>
      <c r="G58" s="1055" t="s">
        <v>1760</v>
      </c>
      <c r="H58" s="828">
        <v>0.54</v>
      </c>
      <c r="I58" s="828">
        <f t="shared" si="2"/>
        <v>5.812506</v>
      </c>
      <c r="J58" s="828" t="s">
        <v>1560</v>
      </c>
      <c r="K58" s="1085" t="s">
        <v>22</v>
      </c>
      <c r="L58" s="1086" t="str">
        <f>"IP"&amp;L50</f>
        <v>IPDrive-through windows at fast food restaurants</v>
      </c>
      <c r="N58" s="1086" t="str">
        <f>IF('6b - General Lighting'!$X$131=0,'Lighting Assumptions 90.1-2013'!N50,IF('6b - General Lighting'!$X$131=1,'Lighting Assumptions 90.1-2013'!P50,IF('6b - General Lighting'!$X$131=2,'Lighting Assumptions 90.1-2013'!R50,IF('6b - General Lighting'!$X$131=3,'Lighting Assumptions 90.1-2013'!T50,IF('6b - General Lighting'!$X$131=4,'Lighting Assumptions 90.1-2013'!V50,"")))))</f>
        <v/>
      </c>
    </row>
    <row r="59" spans="1:23" s="839" customFormat="1" ht="15" customHeight="1" x14ac:dyDescent="0.25">
      <c r="A59" s="806"/>
      <c r="B59" s="42"/>
      <c r="C59" s="806"/>
      <c r="G59" s="1055" t="s">
        <v>1761</v>
      </c>
      <c r="H59" s="828">
        <v>0.69</v>
      </c>
      <c r="I59" s="828">
        <f t="shared" si="2"/>
        <v>7.427090999999999</v>
      </c>
      <c r="J59" s="828" t="s">
        <v>22</v>
      </c>
      <c r="K59" s="1085" t="s">
        <v>22</v>
      </c>
      <c r="L59" s="1086" t="str">
        <f>"IP"&amp;L51</f>
        <v>IPParking near 24-hour retail entrances</v>
      </c>
      <c r="N59" s="1086" t="str">
        <f>IF('6b - General Lighting'!$X$131=0,'Lighting Assumptions 90.1-2013'!N51,IF('6b - General Lighting'!$X$131=1,'Lighting Assumptions 90.1-2013'!P51,IF('6b - General Lighting'!$X$131=2,'Lighting Assumptions 90.1-2013'!R51,IF('6b - General Lighting'!$X$131=3,'Lighting Assumptions 90.1-2013'!T51,IF('6b - General Lighting'!$X$131=4,'Lighting Assumptions 90.1-2013'!V51,"")))))</f>
        <v/>
      </c>
    </row>
    <row r="60" spans="1:23" s="839" customFormat="1" ht="15" customHeight="1" x14ac:dyDescent="0.25">
      <c r="A60" s="806"/>
      <c r="B60" s="42"/>
      <c r="C60" s="806"/>
      <c r="G60" s="1055" t="s">
        <v>1762</v>
      </c>
      <c r="H60" s="828">
        <v>0.63</v>
      </c>
      <c r="I60" s="828">
        <f t="shared" si="2"/>
        <v>6.7812570000000001</v>
      </c>
      <c r="J60" s="828" t="s">
        <v>1560</v>
      </c>
      <c r="K60" s="1085" t="s">
        <v>22</v>
      </c>
      <c r="L60" s="1086" t="str">
        <f>"IP"&amp;L52&amp;M52</f>
        <v>IPBuilding facadesLength</v>
      </c>
      <c r="N60" s="1086" t="str">
        <f>IF('6b - General Lighting'!$X$131=0,'Lighting Assumptions 90.1-2013'!N52,IF('6b - General Lighting'!$X$131=1,'Lighting Assumptions 90.1-2013'!P52,IF('6b - General Lighting'!$X$131=2,'Lighting Assumptions 90.1-2013'!R52,IF('6b - General Lighting'!$X$131=3,'Lighting Assumptions 90.1-2013'!T52,IF('6b - General Lighting'!$X$131=4,'Lighting Assumptions 90.1-2013'!V52,"")))))</f>
        <v/>
      </c>
    </row>
    <row r="61" spans="1:23" s="839" customFormat="1" ht="15" customHeight="1" x14ac:dyDescent="0.25">
      <c r="A61" s="806"/>
      <c r="B61" s="42"/>
      <c r="C61" s="806"/>
      <c r="G61" s="1055" t="s">
        <v>1763</v>
      </c>
      <c r="H61" s="828">
        <v>0.63</v>
      </c>
      <c r="I61" s="828">
        <f t="shared" si="2"/>
        <v>6.7812570000000001</v>
      </c>
      <c r="J61" s="828" t="s">
        <v>22</v>
      </c>
      <c r="K61" s="1085" t="s">
        <v>22</v>
      </c>
      <c r="L61" s="1086" t="str">
        <f>"SI"&amp;L46&amp;M46</f>
        <v>SIBuilding facadesArea</v>
      </c>
      <c r="N61" s="1086" t="str">
        <f>IF('6b - General Lighting'!$X$131=0,'Lighting Assumptions 90.1-2013'!O46,IF('6b - General Lighting'!$X$131=1,'Lighting Assumptions 90.1-2013'!Q46,IF('6b - General Lighting'!$X$131=2,'Lighting Assumptions 90.1-2013'!S46,IF('6b - General Lighting'!$X$131=3,'Lighting Assumptions 90.1-2013'!U46,IF('6b - General Lighting'!$X$131=4,'Lighting Assumptions 90.1-2013'!W46,"")))))</f>
        <v/>
      </c>
    </row>
    <row r="62" spans="1:23" s="839" customFormat="1" ht="15" customHeight="1" x14ac:dyDescent="0.25">
      <c r="A62" s="806"/>
      <c r="B62" s="42"/>
      <c r="C62" s="806"/>
      <c r="G62" s="1055" t="s">
        <v>1764</v>
      </c>
      <c r="H62" s="828">
        <v>1.24</v>
      </c>
      <c r="I62" s="828">
        <f t="shared" si="2"/>
        <v>13.347235999999999</v>
      </c>
      <c r="J62" s="828" t="s">
        <v>1560</v>
      </c>
      <c r="K62" s="1085" t="s">
        <v>22</v>
      </c>
      <c r="L62" s="1086" t="str">
        <f>"SI"&amp;L47</f>
        <v>SIATMs and night depositories</v>
      </c>
      <c r="N62" s="1086" t="str">
        <f>IF('6b - General Lighting'!$X$131=0,'Lighting Assumptions 90.1-2013'!O47,IF('6b - General Lighting'!$X$131=1,'Lighting Assumptions 90.1-2013'!Q47,IF('6b - General Lighting'!$X$131=2,'Lighting Assumptions 90.1-2013'!S47,IF('6b - General Lighting'!$X$131=3,'Lighting Assumptions 90.1-2013'!U47,IF('6b - General Lighting'!$X$131=4,'Lighting Assumptions 90.1-2013'!W47,"")))))</f>
        <v/>
      </c>
    </row>
    <row r="63" spans="1:23" s="839" customFormat="1" ht="15" customHeight="1" x14ac:dyDescent="0.25">
      <c r="A63" s="806"/>
      <c r="B63" s="42"/>
      <c r="C63" s="806"/>
      <c r="G63" s="1055" t="s">
        <v>1765</v>
      </c>
      <c r="H63" s="828">
        <v>0.67</v>
      </c>
      <c r="I63" s="828">
        <f t="shared" si="2"/>
        <v>7.2118130000000003</v>
      </c>
      <c r="J63" s="828" t="s">
        <v>1560</v>
      </c>
      <c r="K63" s="1085" t="s">
        <v>22</v>
      </c>
      <c r="L63" s="1086" t="str">
        <f>"SI"&amp;L48</f>
        <v>SIEntrances and gatehouse inspection stations at guarded facilities</v>
      </c>
      <c r="N63" s="1086" t="str">
        <f>IF('6b - General Lighting'!$X$131=0,'Lighting Assumptions 90.1-2013'!O48,IF('6b - General Lighting'!$X$131=1,'Lighting Assumptions 90.1-2013'!Q48,IF('6b - General Lighting'!$X$131=2,'Lighting Assumptions 90.1-2013'!S48,IF('6b - General Lighting'!$X$131=3,'Lighting Assumptions 90.1-2013'!U48,IF('6b - General Lighting'!$X$131=4,'Lighting Assumptions 90.1-2013'!W48,"")))))</f>
        <v/>
      </c>
    </row>
    <row r="64" spans="1:23" s="839" customFormat="1" ht="15" customHeight="1" x14ac:dyDescent="0.25">
      <c r="A64" s="806"/>
      <c r="B64" s="42"/>
      <c r="C64" s="806"/>
      <c r="G64" s="1055" t="s">
        <v>75</v>
      </c>
      <c r="H64" s="828">
        <v>1.59</v>
      </c>
      <c r="I64" s="828">
        <f t="shared" si="2"/>
        <v>17.114601</v>
      </c>
      <c r="J64" s="828" t="s">
        <v>1560</v>
      </c>
      <c r="K64" s="1085" t="s">
        <v>22</v>
      </c>
      <c r="L64" s="1086" t="str">
        <f>"SI"&amp;L49</f>
        <v>SILoading areas for law enforcement, fire, ambulance, and other emergency service vehicles</v>
      </c>
      <c r="N64" s="1086" t="str">
        <f>IF('6b - General Lighting'!$X$131=0,'Lighting Assumptions 90.1-2013'!O49,IF('6b - General Lighting'!$X$131=1,'Lighting Assumptions 90.1-2013'!Q49,IF('6b - General Lighting'!$X$131=2,'Lighting Assumptions 90.1-2013'!S49,IF('6b - General Lighting'!$X$131=3,'Lighting Assumptions 90.1-2013'!U49,IF('6b - General Lighting'!$X$131=4,'Lighting Assumptions 90.1-2013'!W49,"")))))</f>
        <v/>
      </c>
    </row>
    <row r="65" spans="1:14" s="839" customFormat="1" ht="15" customHeight="1" x14ac:dyDescent="0.25">
      <c r="A65" s="806"/>
      <c r="B65" s="42"/>
      <c r="C65" s="806"/>
      <c r="G65" s="1055" t="s">
        <v>1766</v>
      </c>
      <c r="H65" s="828">
        <v>2.21</v>
      </c>
      <c r="I65" s="828">
        <f t="shared" si="2"/>
        <v>23.788218999999998</v>
      </c>
      <c r="J65" s="828" t="s">
        <v>1560</v>
      </c>
      <c r="K65" s="1085" t="s">
        <v>22</v>
      </c>
      <c r="L65" s="1086" t="str">
        <f>"SI"&amp;L50</f>
        <v>SIDrive-through windows at fast food restaurants</v>
      </c>
      <c r="N65" s="1086" t="str">
        <f>IF('6b - General Lighting'!$X$131=0,'Lighting Assumptions 90.1-2013'!O50,IF('6b - General Lighting'!$X$131=1,'Lighting Assumptions 90.1-2013'!Q50,IF('6b - General Lighting'!$X$131=2,'Lighting Assumptions 90.1-2013'!S50,IF('6b - General Lighting'!$X$131=3,'Lighting Assumptions 90.1-2013'!U50,IF('6b - General Lighting'!$X$131=4,'Lighting Assumptions 90.1-2013'!W50,"")))))</f>
        <v/>
      </c>
    </row>
    <row r="66" spans="1:14" s="839" customFormat="1" ht="15" customHeight="1" x14ac:dyDescent="0.25">
      <c r="A66" s="806"/>
      <c r="B66" s="42"/>
      <c r="C66" s="806"/>
      <c r="G66" s="1055" t="s">
        <v>1767</v>
      </c>
      <c r="H66" s="828">
        <v>2.41</v>
      </c>
      <c r="I66" s="828">
        <f t="shared" si="2"/>
        <v>25.940999000000001</v>
      </c>
      <c r="J66" s="828" t="s">
        <v>1560</v>
      </c>
      <c r="K66" s="1085" t="s">
        <v>1560</v>
      </c>
      <c r="L66" s="1086" t="str">
        <f>"SI"&amp;L51</f>
        <v>SIParking near 24-hour retail entrances</v>
      </c>
      <c r="N66" s="1086" t="str">
        <f>IF('6b - General Lighting'!$X$131=0,'Lighting Assumptions 90.1-2013'!O51,IF('6b - General Lighting'!$X$131=1,'Lighting Assumptions 90.1-2013'!Q51,IF('6b - General Lighting'!$X$131=2,'Lighting Assumptions 90.1-2013'!S51,IF('6b - General Lighting'!$X$131=3,'Lighting Assumptions 90.1-2013'!U51,IF('6b - General Lighting'!$X$131=4,'Lighting Assumptions 90.1-2013'!W51,"")))))</f>
        <v/>
      </c>
    </row>
    <row r="67" spans="1:14" s="839" customFormat="1" ht="15" customHeight="1" x14ac:dyDescent="0.25">
      <c r="A67" s="806"/>
      <c r="B67" s="42"/>
      <c r="C67" s="806"/>
      <c r="G67" s="1055" t="s">
        <v>1768</v>
      </c>
      <c r="H67" s="828">
        <v>1.45</v>
      </c>
      <c r="I67" s="828">
        <f t="shared" si="2"/>
        <v>15.607654999999999</v>
      </c>
      <c r="J67" s="828" t="s">
        <v>1560</v>
      </c>
      <c r="K67" s="1085" t="s">
        <v>22</v>
      </c>
      <c r="L67" s="1086" t="str">
        <f>"SI"&amp;L52&amp;M52</f>
        <v>SIBuilding facadesLength</v>
      </c>
      <c r="N67" s="1086" t="str">
        <f>IF('6b - General Lighting'!$X$131=0,'Lighting Assumptions 90.1-2013'!O52,IF('6b - General Lighting'!$X$131=1,'Lighting Assumptions 90.1-2013'!Q52,IF('6b - General Lighting'!$X$131=2,'Lighting Assumptions 90.1-2013'!S52,IF('6b - General Lighting'!$X$131=3,'Lighting Assumptions 90.1-2013'!U52,IF('6b - General Lighting'!$X$131=4,'Lighting Assumptions 90.1-2013'!W52,"")))))</f>
        <v/>
      </c>
    </row>
    <row r="68" spans="1:14" s="839" customFormat="1" ht="15" customHeight="1" x14ac:dyDescent="0.25">
      <c r="A68" s="806"/>
      <c r="B68" s="42"/>
      <c r="C68" s="806"/>
      <c r="G68" s="1055" t="s">
        <v>1769</v>
      </c>
      <c r="H68" s="828">
        <v>0.38</v>
      </c>
      <c r="I68" s="828">
        <f t="shared" ref="I68:I105" si="8">H68*10.7639</f>
        <v>4.0902820000000002</v>
      </c>
      <c r="J68" s="828" t="s">
        <v>1560</v>
      </c>
      <c r="K68" s="828" t="s">
        <v>1560</v>
      </c>
    </row>
    <row r="69" spans="1:14" s="839" customFormat="1" ht="15" customHeight="1" x14ac:dyDescent="0.25">
      <c r="A69" s="806"/>
      <c r="B69" s="42"/>
      <c r="C69" s="806"/>
      <c r="G69" s="1055" t="s">
        <v>1770</v>
      </c>
      <c r="H69" s="828">
        <v>0.22</v>
      </c>
      <c r="I69" s="828">
        <f t="shared" si="8"/>
        <v>2.368058</v>
      </c>
      <c r="J69" s="828" t="s">
        <v>1560</v>
      </c>
      <c r="K69" s="828" t="s">
        <v>1560</v>
      </c>
    </row>
    <row r="70" spans="1:14" s="839" customFormat="1" ht="15" customHeight="1" x14ac:dyDescent="0.25">
      <c r="A70" s="806"/>
      <c r="B70" s="42"/>
      <c r="C70" s="806"/>
      <c r="G70" s="1055" t="s">
        <v>1771</v>
      </c>
      <c r="H70" s="828">
        <v>0.72</v>
      </c>
      <c r="I70" s="828">
        <f t="shared" si="8"/>
        <v>7.7500079999999993</v>
      </c>
      <c r="J70" s="828" t="s">
        <v>1560</v>
      </c>
      <c r="K70" s="828" t="s">
        <v>22</v>
      </c>
    </row>
    <row r="71" spans="1:14" s="839" customFormat="1" ht="15" customHeight="1" x14ac:dyDescent="0.25">
      <c r="A71" s="806"/>
      <c r="B71" s="42"/>
      <c r="C71" s="806"/>
      <c r="G71" s="1055" t="s">
        <v>1772</v>
      </c>
      <c r="H71" s="828">
        <v>1.2</v>
      </c>
      <c r="I71" s="828">
        <f t="shared" si="8"/>
        <v>12.916679999999999</v>
      </c>
      <c r="J71" s="828" t="s">
        <v>1560</v>
      </c>
      <c r="K71" s="828" t="s">
        <v>22</v>
      </c>
    </row>
    <row r="72" spans="1:14" s="839" customFormat="1" ht="15" customHeight="1" x14ac:dyDescent="0.25">
      <c r="A72" s="806"/>
      <c r="B72" s="42"/>
      <c r="C72" s="806"/>
      <c r="G72" s="1055" t="s">
        <v>1773</v>
      </c>
      <c r="H72" s="1073">
        <v>1.68</v>
      </c>
      <c r="I72" s="1073">
        <f t="shared" si="8"/>
        <v>18.083351999999998</v>
      </c>
      <c r="J72" s="1073" t="s">
        <v>22</v>
      </c>
      <c r="K72" s="1073" t="s">
        <v>22</v>
      </c>
      <c r="L72" s="1194"/>
    </row>
    <row r="73" spans="1:14" s="839" customFormat="1" ht="15" customHeight="1" x14ac:dyDescent="0.25">
      <c r="A73" s="806"/>
      <c r="B73" s="42"/>
      <c r="C73" s="806"/>
      <c r="G73" s="1055" t="s">
        <v>1774</v>
      </c>
      <c r="H73" s="828">
        <v>1.66</v>
      </c>
      <c r="I73" s="828">
        <f t="shared" si="8"/>
        <v>17.868074</v>
      </c>
      <c r="J73" s="828" t="s">
        <v>1560</v>
      </c>
      <c r="K73" s="828" t="s">
        <v>22</v>
      </c>
    </row>
    <row r="74" spans="1:14" s="839" customFormat="1" ht="15" customHeight="1" x14ac:dyDescent="0.25">
      <c r="A74" s="806"/>
      <c r="B74" s="42"/>
      <c r="C74" s="806"/>
      <c r="G74" s="1055" t="s">
        <v>1775</v>
      </c>
      <c r="H74" s="828">
        <v>1.51</v>
      </c>
      <c r="I74" s="828">
        <f t="shared" si="8"/>
        <v>16.253488999999998</v>
      </c>
      <c r="J74" s="828" t="s">
        <v>1560</v>
      </c>
      <c r="K74" s="828" t="s">
        <v>1560</v>
      </c>
    </row>
    <row r="75" spans="1:14" s="839" customFormat="1" ht="15" customHeight="1" x14ac:dyDescent="0.25">
      <c r="A75" s="806"/>
      <c r="B75" s="42"/>
      <c r="C75" s="806"/>
      <c r="G75" s="1055" t="s">
        <v>1776</v>
      </c>
      <c r="H75" s="828">
        <v>0.74</v>
      </c>
      <c r="I75" s="828">
        <f t="shared" si="8"/>
        <v>7.9652859999999999</v>
      </c>
      <c r="J75" s="828" t="s">
        <v>1560</v>
      </c>
      <c r="K75" s="828" t="s">
        <v>22</v>
      </c>
    </row>
    <row r="76" spans="1:14" s="839" customFormat="1" ht="15" customHeight="1" x14ac:dyDescent="0.25">
      <c r="A76" s="806"/>
      <c r="B76" s="42"/>
      <c r="C76" s="806"/>
      <c r="G76" s="1055" t="s">
        <v>1777</v>
      </c>
      <c r="H76" s="828">
        <v>0.88</v>
      </c>
      <c r="I76" s="828">
        <f t="shared" si="8"/>
        <v>9.472232</v>
      </c>
      <c r="J76" s="828" t="s">
        <v>1560</v>
      </c>
      <c r="K76" s="828" t="s">
        <v>22</v>
      </c>
    </row>
    <row r="77" spans="1:14" s="839" customFormat="1" ht="15" customHeight="1" x14ac:dyDescent="0.25">
      <c r="A77" s="806"/>
      <c r="B77" s="42"/>
      <c r="C77" s="806"/>
      <c r="G77" s="1055" t="s">
        <v>1778</v>
      </c>
      <c r="H77" s="828">
        <v>0.71</v>
      </c>
      <c r="I77" s="828">
        <f t="shared" si="8"/>
        <v>7.6423689999999995</v>
      </c>
      <c r="J77" s="828" t="s">
        <v>1560</v>
      </c>
      <c r="K77" s="828" t="s">
        <v>22</v>
      </c>
    </row>
    <row r="78" spans="1:14" s="839" customFormat="1" ht="15" customHeight="1" x14ac:dyDescent="0.25">
      <c r="A78" s="806"/>
      <c r="B78" s="42"/>
      <c r="C78" s="806"/>
      <c r="G78" s="1055" t="s">
        <v>1779</v>
      </c>
      <c r="H78" s="828">
        <v>2.48</v>
      </c>
      <c r="I78" s="828">
        <f t="shared" si="8"/>
        <v>26.694471999999998</v>
      </c>
      <c r="J78" s="828" t="s">
        <v>1560</v>
      </c>
      <c r="K78" s="828" t="s">
        <v>1560</v>
      </c>
    </row>
    <row r="79" spans="1:14" s="839" customFormat="1" ht="15" customHeight="1" x14ac:dyDescent="0.25">
      <c r="A79" s="806"/>
      <c r="B79" s="42"/>
      <c r="C79" s="806"/>
      <c r="G79" s="1055" t="s">
        <v>1780</v>
      </c>
      <c r="H79" s="828">
        <v>0.62</v>
      </c>
      <c r="I79" s="828">
        <f t="shared" si="8"/>
        <v>6.6736179999999994</v>
      </c>
      <c r="J79" s="828" t="s">
        <v>1560</v>
      </c>
      <c r="K79" s="828" t="s">
        <v>22</v>
      </c>
    </row>
    <row r="80" spans="1:14" s="839" customFormat="1" ht="15" customHeight="1" x14ac:dyDescent="0.25">
      <c r="A80" s="806"/>
      <c r="B80" s="42"/>
      <c r="C80" s="806"/>
      <c r="G80" s="1055" t="s">
        <v>1781</v>
      </c>
      <c r="H80" s="828">
        <v>0.91</v>
      </c>
      <c r="I80" s="828">
        <f t="shared" si="8"/>
        <v>9.7951490000000003</v>
      </c>
      <c r="J80" s="828" t="s">
        <v>1560</v>
      </c>
      <c r="K80" s="828" t="s">
        <v>22</v>
      </c>
    </row>
    <row r="81" spans="1:15" s="839" customFormat="1" ht="15" customHeight="1" x14ac:dyDescent="0.25">
      <c r="A81" s="806"/>
      <c r="B81" s="42"/>
      <c r="C81" s="806"/>
      <c r="G81" s="1055" t="s">
        <v>1782</v>
      </c>
      <c r="H81" s="828">
        <v>1.1499999999999999</v>
      </c>
      <c r="I81" s="828">
        <f t="shared" si="8"/>
        <v>12.378484999999998</v>
      </c>
      <c r="J81" s="828" t="s">
        <v>1560</v>
      </c>
      <c r="K81" s="828" t="s">
        <v>22</v>
      </c>
    </row>
    <row r="82" spans="1:15" s="839" customFormat="1" ht="15" customHeight="1" x14ac:dyDescent="0.25">
      <c r="A82" s="806"/>
      <c r="B82" s="42"/>
      <c r="C82" s="806"/>
      <c r="G82" s="1055" t="s">
        <v>1783</v>
      </c>
      <c r="H82" s="828">
        <v>1.06</v>
      </c>
      <c r="I82" s="828">
        <f t="shared" si="8"/>
        <v>11.409734</v>
      </c>
      <c r="J82" s="828" t="s">
        <v>1560</v>
      </c>
      <c r="K82" s="828" t="s">
        <v>22</v>
      </c>
    </row>
    <row r="83" spans="1:15" s="839" customFormat="1" ht="15" customHeight="1" x14ac:dyDescent="0.25">
      <c r="A83" s="806"/>
      <c r="B83" s="42"/>
      <c r="C83" s="806"/>
      <c r="G83" s="1055" t="s">
        <v>1784</v>
      </c>
      <c r="H83" s="828">
        <v>1.71</v>
      </c>
      <c r="I83" s="828">
        <f t="shared" si="8"/>
        <v>18.406268999999998</v>
      </c>
      <c r="J83" s="828" t="s">
        <v>22</v>
      </c>
      <c r="K83" s="828" t="s">
        <v>22</v>
      </c>
    </row>
    <row r="84" spans="1:15" s="839" customFormat="1" ht="15" customHeight="1" x14ac:dyDescent="0.25">
      <c r="A84" s="806"/>
      <c r="B84" s="42"/>
      <c r="C84" s="806"/>
      <c r="G84" s="1055" t="s">
        <v>1785</v>
      </c>
      <c r="H84" s="828">
        <v>1.29</v>
      </c>
      <c r="I84" s="828">
        <f t="shared" si="8"/>
        <v>13.885431000000001</v>
      </c>
      <c r="J84" s="828" t="s">
        <v>1560</v>
      </c>
      <c r="K84" s="828" t="s">
        <v>22</v>
      </c>
    </row>
    <row r="85" spans="1:15" s="839" customFormat="1" ht="15" customHeight="1" x14ac:dyDescent="0.25">
      <c r="A85" s="806"/>
      <c r="B85" s="42"/>
      <c r="C85" s="806"/>
      <c r="G85" s="1055" t="s">
        <v>1786</v>
      </c>
      <c r="H85" s="828">
        <v>0.74</v>
      </c>
      <c r="I85" s="828">
        <f t="shared" si="8"/>
        <v>7.9652859999999999</v>
      </c>
      <c r="J85" s="828" t="s">
        <v>1560</v>
      </c>
      <c r="K85" s="828" t="s">
        <v>22</v>
      </c>
    </row>
    <row r="86" spans="1:15" s="839" customFormat="1" ht="15" customHeight="1" x14ac:dyDescent="0.25">
      <c r="A86" s="806"/>
      <c r="B86" s="42"/>
      <c r="C86" s="806"/>
      <c r="G86" s="1055" t="s">
        <v>1787</v>
      </c>
      <c r="H86" s="828">
        <v>1.05</v>
      </c>
      <c r="I86" s="828">
        <f t="shared" si="8"/>
        <v>11.302095</v>
      </c>
      <c r="J86" s="828" t="s">
        <v>1560</v>
      </c>
      <c r="K86" s="828" t="s">
        <v>22</v>
      </c>
    </row>
    <row r="87" spans="1:15" s="839" customFormat="1" ht="15" customHeight="1" x14ac:dyDescent="0.25">
      <c r="A87" s="806"/>
      <c r="B87" s="42"/>
      <c r="C87" s="806"/>
      <c r="G87" s="1055" t="s">
        <v>1788</v>
      </c>
      <c r="H87" s="828">
        <v>1.23</v>
      </c>
      <c r="I87" s="828">
        <f t="shared" si="8"/>
        <v>13.239597</v>
      </c>
      <c r="J87" s="828" t="s">
        <v>1560</v>
      </c>
      <c r="K87" s="828" t="s">
        <v>22</v>
      </c>
    </row>
    <row r="88" spans="1:15" s="839" customFormat="1" ht="15" customHeight="1" x14ac:dyDescent="0.25">
      <c r="A88" s="806"/>
      <c r="B88" s="42"/>
      <c r="C88" s="806"/>
      <c r="G88" s="1055" t="s">
        <v>1789</v>
      </c>
      <c r="H88" s="828">
        <v>1.19</v>
      </c>
      <c r="I88" s="828">
        <f t="shared" si="8"/>
        <v>12.809040999999999</v>
      </c>
      <c r="J88" s="828" t="s">
        <v>1560</v>
      </c>
      <c r="K88" s="828" t="s">
        <v>22</v>
      </c>
    </row>
    <row r="89" spans="1:15" s="839" customFormat="1" ht="15" customHeight="1" x14ac:dyDescent="0.25">
      <c r="A89" s="806"/>
      <c r="B89" s="42"/>
      <c r="C89" s="806"/>
      <c r="G89" s="1055" t="s">
        <v>1790</v>
      </c>
      <c r="H89" s="828">
        <v>1.05</v>
      </c>
      <c r="I89" s="828">
        <f t="shared" si="8"/>
        <v>11.302095</v>
      </c>
      <c r="J89" s="828" t="s">
        <v>1560</v>
      </c>
      <c r="K89" s="828" t="s">
        <v>22</v>
      </c>
    </row>
    <row r="90" spans="1:15" s="839" customFormat="1" ht="15" customHeight="1" x14ac:dyDescent="0.25">
      <c r="A90" s="806"/>
      <c r="B90" s="42"/>
      <c r="C90" s="806"/>
      <c r="G90" s="1055" t="s">
        <v>1791</v>
      </c>
      <c r="H90" s="828">
        <v>1.02</v>
      </c>
      <c r="I90" s="828">
        <f t="shared" si="8"/>
        <v>10.979177999999999</v>
      </c>
      <c r="J90" s="828" t="s">
        <v>1560</v>
      </c>
      <c r="K90" s="828" t="s">
        <v>22</v>
      </c>
    </row>
    <row r="91" spans="1:15" s="839" customFormat="1" ht="15" customHeight="1" x14ac:dyDescent="0.25">
      <c r="A91" s="806"/>
      <c r="B91" s="42"/>
      <c r="C91" s="806"/>
      <c r="G91" s="1055" t="s">
        <v>1792</v>
      </c>
      <c r="H91" s="828">
        <v>0.94</v>
      </c>
      <c r="I91" s="828">
        <f t="shared" si="8"/>
        <v>10.118065999999999</v>
      </c>
      <c r="J91" s="828" t="s">
        <v>22</v>
      </c>
      <c r="K91" s="828" t="s">
        <v>22</v>
      </c>
    </row>
    <row r="92" spans="1:15" s="839" customFormat="1" ht="15" customHeight="1" x14ac:dyDescent="0.25">
      <c r="A92" s="806"/>
      <c r="B92" s="42"/>
      <c r="C92" s="806"/>
      <c r="G92" s="1055" t="s">
        <v>1793</v>
      </c>
      <c r="H92" s="828">
        <v>0.64</v>
      </c>
      <c r="I92" s="828">
        <f t="shared" si="8"/>
        <v>6.8888959999999999</v>
      </c>
      <c r="J92" s="828" t="s">
        <v>1560</v>
      </c>
      <c r="K92" s="828" t="s">
        <v>22</v>
      </c>
    </row>
    <row r="93" spans="1:15" s="839" customFormat="1" ht="15" customHeight="1" x14ac:dyDescent="0.25">
      <c r="A93" s="806"/>
      <c r="B93" s="42"/>
      <c r="C93" s="806"/>
      <c r="G93" s="1055" t="s">
        <v>1794</v>
      </c>
      <c r="H93" s="828">
        <v>1.53</v>
      </c>
      <c r="I93" s="828">
        <f t="shared" si="8"/>
        <v>16.468767</v>
      </c>
      <c r="J93" s="828" t="s">
        <v>1560</v>
      </c>
      <c r="K93" s="828" t="s">
        <v>22</v>
      </c>
    </row>
    <row r="94" spans="1:15" s="839" customFormat="1" ht="15" customHeight="1" x14ac:dyDescent="0.25">
      <c r="A94" s="806"/>
      <c r="B94" s="42"/>
      <c r="C94" s="806"/>
      <c r="G94" s="1067" t="s">
        <v>1795</v>
      </c>
      <c r="H94" s="831">
        <v>0.71</v>
      </c>
      <c r="I94" s="828">
        <f t="shared" si="8"/>
        <v>7.6423689999999995</v>
      </c>
      <c r="J94" s="828" t="s">
        <v>22</v>
      </c>
      <c r="K94" s="828" t="s">
        <v>22</v>
      </c>
    </row>
    <row r="95" spans="1:15" s="839" customFormat="1" ht="15" customHeight="1" x14ac:dyDescent="0.25">
      <c r="A95" s="806"/>
      <c r="B95" s="42"/>
      <c r="C95" s="806"/>
      <c r="G95" s="1067" t="s">
        <v>1796</v>
      </c>
      <c r="H95" s="831">
        <v>1.1000000000000001</v>
      </c>
      <c r="I95" s="828">
        <f t="shared" si="8"/>
        <v>11.840290000000001</v>
      </c>
      <c r="J95" s="828" t="s">
        <v>1560</v>
      </c>
      <c r="K95" s="828" t="s">
        <v>22</v>
      </c>
      <c r="L95" s="388"/>
      <c r="M95" s="388"/>
      <c r="N95" s="388"/>
      <c r="O95" s="388"/>
    </row>
    <row r="96" spans="1:15" x14ac:dyDescent="0.25">
      <c r="A96" s="806"/>
      <c r="B96" s="42"/>
      <c r="C96" s="806"/>
      <c r="G96" s="1067" t="s">
        <v>1797</v>
      </c>
      <c r="H96" s="831">
        <v>3.68</v>
      </c>
      <c r="I96" s="828">
        <f t="shared" si="8"/>
        <v>39.611151999999997</v>
      </c>
      <c r="J96" s="828" t="s">
        <v>1560</v>
      </c>
      <c r="K96" s="828" t="s">
        <v>22</v>
      </c>
    </row>
    <row r="97" spans="1:12" x14ac:dyDescent="0.25">
      <c r="A97" s="806"/>
      <c r="B97" s="42"/>
      <c r="C97" s="806"/>
      <c r="G97" s="1067" t="s">
        <v>1798</v>
      </c>
      <c r="H97" s="831">
        <v>2.4</v>
      </c>
      <c r="I97" s="828">
        <f t="shared" si="8"/>
        <v>25.833359999999999</v>
      </c>
      <c r="J97" s="828" t="s">
        <v>1560</v>
      </c>
      <c r="K97" s="828" t="s">
        <v>22</v>
      </c>
    </row>
    <row r="98" spans="1:12" x14ac:dyDescent="0.25">
      <c r="A98" s="806"/>
      <c r="B98" s="42"/>
      <c r="C98" s="806"/>
      <c r="G98" s="1067" t="s">
        <v>1799</v>
      </c>
      <c r="H98" s="831">
        <v>1.8</v>
      </c>
      <c r="I98" s="828">
        <f t="shared" si="8"/>
        <v>19.375019999999999</v>
      </c>
      <c r="J98" s="828" t="s">
        <v>1560</v>
      </c>
      <c r="K98" s="828" t="s">
        <v>22</v>
      </c>
    </row>
    <row r="99" spans="1:12" x14ac:dyDescent="0.25">
      <c r="A99" s="806"/>
      <c r="B99" s="42"/>
      <c r="C99" s="806"/>
      <c r="G99" s="1067" t="s">
        <v>1800</v>
      </c>
      <c r="H99" s="831">
        <v>1.2</v>
      </c>
      <c r="I99" s="828">
        <f t="shared" si="8"/>
        <v>12.916679999999999</v>
      </c>
      <c r="J99" s="828" t="s">
        <v>1560</v>
      </c>
      <c r="K99" s="828" t="s">
        <v>22</v>
      </c>
    </row>
    <row r="100" spans="1:12" x14ac:dyDescent="0.25">
      <c r="A100" s="806"/>
      <c r="B100" s="42"/>
      <c r="C100" s="806"/>
      <c r="G100" s="1067" t="s">
        <v>1801</v>
      </c>
      <c r="H100" s="831">
        <v>0.53</v>
      </c>
      <c r="I100" s="828">
        <f t="shared" si="8"/>
        <v>5.7048670000000001</v>
      </c>
      <c r="J100" s="828" t="s">
        <v>1560</v>
      </c>
      <c r="K100" s="828" t="s">
        <v>22</v>
      </c>
    </row>
    <row r="101" spans="1:12" x14ac:dyDescent="0.25">
      <c r="A101" s="806"/>
      <c r="B101" s="42"/>
      <c r="C101" s="806"/>
      <c r="G101" s="1067" t="s">
        <v>1802</v>
      </c>
      <c r="H101" s="831">
        <v>0.36</v>
      </c>
      <c r="I101" s="828">
        <f t="shared" si="8"/>
        <v>3.8750039999999997</v>
      </c>
      <c r="J101" s="828" t="s">
        <v>1560</v>
      </c>
      <c r="K101" s="828" t="s">
        <v>22</v>
      </c>
    </row>
    <row r="102" spans="1:12" x14ac:dyDescent="0.25">
      <c r="A102" s="806"/>
      <c r="B102" s="42"/>
      <c r="C102" s="806"/>
      <c r="G102" s="1067" t="s">
        <v>1803</v>
      </c>
      <c r="H102" s="831">
        <v>0.8</v>
      </c>
      <c r="I102" s="828">
        <f t="shared" si="8"/>
        <v>8.6111199999999997</v>
      </c>
      <c r="J102" s="828" t="s">
        <v>1560</v>
      </c>
      <c r="K102" s="828" t="s">
        <v>22</v>
      </c>
    </row>
    <row r="103" spans="1:12" x14ac:dyDescent="0.25">
      <c r="A103" s="806"/>
      <c r="B103" s="42"/>
      <c r="C103" s="806"/>
      <c r="G103" s="1067" t="s">
        <v>1804</v>
      </c>
      <c r="H103" s="831">
        <v>0.57999999999999996</v>
      </c>
      <c r="I103" s="828">
        <f t="shared" si="8"/>
        <v>6.2430619999999992</v>
      </c>
      <c r="J103" s="828" t="s">
        <v>22</v>
      </c>
      <c r="K103" s="828" t="s">
        <v>22</v>
      </c>
    </row>
    <row r="104" spans="1:12" x14ac:dyDescent="0.25">
      <c r="A104" s="806"/>
      <c r="B104" s="42"/>
      <c r="C104" s="806"/>
      <c r="G104" s="1067" t="s">
        <v>1805</v>
      </c>
      <c r="H104" s="831">
        <v>0.95</v>
      </c>
      <c r="I104" s="828">
        <f t="shared" si="8"/>
        <v>10.225705</v>
      </c>
      <c r="J104" s="828" t="s">
        <v>22</v>
      </c>
      <c r="K104" s="828" t="s">
        <v>22</v>
      </c>
    </row>
    <row r="105" spans="1:12" x14ac:dyDescent="0.25">
      <c r="A105" s="806"/>
      <c r="B105" s="42"/>
      <c r="C105" s="806"/>
      <c r="G105" s="1067" t="s">
        <v>1806</v>
      </c>
      <c r="H105" s="1073">
        <v>0.7</v>
      </c>
      <c r="I105" s="1073">
        <f t="shared" si="8"/>
        <v>7.5347299999999988</v>
      </c>
      <c r="J105" s="1073" t="s">
        <v>1560</v>
      </c>
      <c r="K105" s="1073" t="s">
        <v>1560</v>
      </c>
      <c r="L105" s="1073"/>
    </row>
    <row r="106" spans="1:12" x14ac:dyDescent="0.25">
      <c r="A106" s="806"/>
      <c r="B106" s="42"/>
      <c r="C106" s="806"/>
      <c r="G106" s="1067" t="s">
        <v>1807</v>
      </c>
      <c r="H106" s="1073" t="s">
        <v>2272</v>
      </c>
      <c r="I106" s="1073" t="s">
        <v>2272</v>
      </c>
      <c r="J106" s="1073" t="s">
        <v>2272</v>
      </c>
      <c r="K106" s="1073" t="s">
        <v>2272</v>
      </c>
    </row>
    <row r="107" spans="1:12" x14ac:dyDescent="0.25">
      <c r="A107" s="806"/>
      <c r="B107" s="42"/>
      <c r="C107" s="806"/>
    </row>
    <row r="108" spans="1:12" x14ac:dyDescent="0.25">
      <c r="A108" s="806"/>
      <c r="B108" s="42"/>
      <c r="C108" s="806"/>
      <c r="G108" s="1197" t="s">
        <v>2266</v>
      </c>
    </row>
    <row r="109" spans="1:12" x14ac:dyDescent="0.25">
      <c r="A109" s="806"/>
      <c r="B109" s="42"/>
      <c r="C109" s="806"/>
      <c r="G109" s="1196" t="s">
        <v>2264</v>
      </c>
    </row>
    <row r="110" spans="1:12" x14ac:dyDescent="0.25">
      <c r="A110" s="806"/>
      <c r="B110" s="42"/>
      <c r="C110" s="806"/>
      <c r="G110" s="1196" t="s">
        <v>2265</v>
      </c>
    </row>
    <row r="111" spans="1:12" x14ac:dyDescent="0.25">
      <c r="A111" s="806"/>
      <c r="B111" s="42"/>
      <c r="C111" s="806"/>
      <c r="G111" s="1196" t="s">
        <v>2267</v>
      </c>
    </row>
    <row r="112" spans="1:12" x14ac:dyDescent="0.25">
      <c r="A112" s="806"/>
      <c r="B112" s="42"/>
      <c r="C112" s="806"/>
    </row>
    <row r="113" spans="1:3" x14ac:dyDescent="0.25">
      <c r="A113" s="806"/>
      <c r="B113" s="42"/>
      <c r="C113" s="806"/>
    </row>
    <row r="114" spans="1:3" x14ac:dyDescent="0.25">
      <c r="A114" s="806"/>
      <c r="B114" s="42"/>
      <c r="C114" s="806"/>
    </row>
    <row r="115" spans="1:3" x14ac:dyDescent="0.25">
      <c r="A115" s="806"/>
      <c r="B115" s="42"/>
      <c r="C115" s="806"/>
    </row>
    <row r="116" spans="1:3" x14ac:dyDescent="0.25">
      <c r="A116" s="806"/>
      <c r="B116" s="42"/>
      <c r="C116" s="806"/>
    </row>
    <row r="117" spans="1:3" x14ac:dyDescent="0.25">
      <c r="A117" s="806"/>
      <c r="B117" s="42"/>
      <c r="C117" s="806"/>
    </row>
    <row r="118" spans="1:3" x14ac:dyDescent="0.25">
      <c r="A118" s="806"/>
      <c r="B118" s="42"/>
      <c r="C118" s="806"/>
    </row>
    <row r="119" spans="1:3" x14ac:dyDescent="0.25">
      <c r="A119" s="806"/>
      <c r="B119" s="42"/>
      <c r="C119" s="806"/>
    </row>
    <row r="120" spans="1:3" x14ac:dyDescent="0.25">
      <c r="A120" s="806"/>
      <c r="B120" s="42"/>
      <c r="C120" s="806"/>
    </row>
    <row r="121" spans="1:3" x14ac:dyDescent="0.25">
      <c r="A121" s="806"/>
      <c r="B121" s="42"/>
      <c r="C121" s="806"/>
    </row>
    <row r="122" spans="1:3" x14ac:dyDescent="0.25">
      <c r="A122" s="806"/>
      <c r="B122" s="42"/>
      <c r="C122" s="806"/>
    </row>
    <row r="123" spans="1:3" x14ac:dyDescent="0.25">
      <c r="A123" s="806"/>
      <c r="B123" s="42"/>
      <c r="C123" s="806"/>
    </row>
    <row r="124" spans="1:3" x14ac:dyDescent="0.25">
      <c r="A124" s="806"/>
      <c r="B124" s="42"/>
      <c r="C124" s="806"/>
    </row>
    <row r="125" spans="1:3" x14ac:dyDescent="0.25">
      <c r="A125" s="806"/>
      <c r="B125" s="42"/>
      <c r="C125" s="806"/>
    </row>
    <row r="126" spans="1:3" x14ac:dyDescent="0.25">
      <c r="A126" s="806"/>
      <c r="B126" s="42"/>
      <c r="C126" s="806"/>
    </row>
    <row r="127" spans="1:3" x14ac:dyDescent="0.25">
      <c r="A127" s="806"/>
      <c r="B127" s="42"/>
      <c r="C127" s="806"/>
    </row>
    <row r="128" spans="1:3" x14ac:dyDescent="0.25">
      <c r="A128" s="806"/>
      <c r="B128" s="42"/>
      <c r="C128" s="806"/>
    </row>
    <row r="129" spans="1:3" x14ac:dyDescent="0.25">
      <c r="A129" s="806"/>
      <c r="B129" s="42"/>
      <c r="C129" s="806"/>
    </row>
    <row r="130" spans="1:3" x14ac:dyDescent="0.25">
      <c r="A130" s="806"/>
      <c r="B130" s="42"/>
      <c r="C130" s="806"/>
    </row>
    <row r="131" spans="1:3" x14ac:dyDescent="0.25">
      <c r="A131" s="806"/>
      <c r="B131" s="42"/>
      <c r="C131" s="806"/>
    </row>
    <row r="132" spans="1:3" x14ac:dyDescent="0.25">
      <c r="A132" s="806"/>
      <c r="B132" s="42"/>
      <c r="C132" s="806"/>
    </row>
    <row r="133" spans="1:3" x14ac:dyDescent="0.25">
      <c r="A133" s="806"/>
      <c r="B133" s="42"/>
      <c r="C133" s="806"/>
    </row>
    <row r="134" spans="1:3" x14ac:dyDescent="0.25">
      <c r="A134" s="806"/>
      <c r="B134" s="42"/>
      <c r="C134" s="806"/>
    </row>
    <row r="135" spans="1:3" x14ac:dyDescent="0.25">
      <c r="A135" s="806"/>
      <c r="B135" s="42"/>
      <c r="C135" s="806"/>
    </row>
    <row r="136" spans="1:3" x14ac:dyDescent="0.25">
      <c r="A136" s="806"/>
      <c r="B136" s="42"/>
      <c r="C136" s="806"/>
    </row>
    <row r="137" spans="1:3" x14ac:dyDescent="0.25">
      <c r="A137" s="806"/>
      <c r="B137" s="42"/>
      <c r="C137" s="806"/>
    </row>
    <row r="138" spans="1:3" x14ac:dyDescent="0.25">
      <c r="A138" s="806"/>
      <c r="B138" s="42"/>
      <c r="C138" s="806"/>
    </row>
    <row r="139" spans="1:3" x14ac:dyDescent="0.25">
      <c r="A139" s="806"/>
      <c r="B139" s="42"/>
      <c r="C139" s="806"/>
    </row>
    <row r="140" spans="1:3" x14ac:dyDescent="0.25">
      <c r="A140" s="806"/>
      <c r="B140" s="42"/>
      <c r="C140" s="806"/>
    </row>
    <row r="141" spans="1:3" x14ac:dyDescent="0.25">
      <c r="A141" s="806"/>
      <c r="B141" s="42"/>
      <c r="C141" s="806"/>
    </row>
    <row r="142" spans="1:3" x14ac:dyDescent="0.25">
      <c r="A142" s="806"/>
      <c r="B142" s="42"/>
      <c r="C142" s="806"/>
    </row>
    <row r="143" spans="1:3" x14ac:dyDescent="0.25">
      <c r="A143" s="806"/>
      <c r="B143" s="42"/>
      <c r="C143" s="806"/>
    </row>
    <row r="144" spans="1:3" x14ac:dyDescent="0.25">
      <c r="A144" s="806"/>
      <c r="B144" s="42"/>
      <c r="C144" s="806"/>
    </row>
    <row r="145" spans="1:3" x14ac:dyDescent="0.25">
      <c r="A145" s="806"/>
      <c r="B145" s="42"/>
      <c r="C145" s="806"/>
    </row>
    <row r="146" spans="1:3" x14ac:dyDescent="0.25">
      <c r="A146" s="806"/>
      <c r="B146" s="42"/>
      <c r="C146" s="806"/>
    </row>
    <row r="147" spans="1:3" x14ac:dyDescent="0.25">
      <c r="A147" s="806"/>
      <c r="B147" s="42"/>
      <c r="C147" s="806"/>
    </row>
    <row r="148" spans="1:3" x14ac:dyDescent="0.25">
      <c r="A148" s="806"/>
      <c r="B148" s="42"/>
      <c r="C148" s="806"/>
    </row>
    <row r="149" spans="1:3" x14ac:dyDescent="0.25">
      <c r="A149" s="806"/>
      <c r="B149" s="42"/>
      <c r="C149" s="806"/>
    </row>
    <row r="150" spans="1:3" x14ac:dyDescent="0.25">
      <c r="A150" s="806"/>
      <c r="B150" s="42"/>
      <c r="C150" s="806"/>
    </row>
    <row r="151" spans="1:3" x14ac:dyDescent="0.25">
      <c r="A151" s="806"/>
      <c r="B151" s="42"/>
      <c r="C151" s="806"/>
    </row>
    <row r="152" spans="1:3" x14ac:dyDescent="0.25">
      <c r="A152" s="806"/>
      <c r="B152" s="42"/>
      <c r="C152" s="806"/>
    </row>
    <row r="153" spans="1:3" x14ac:dyDescent="0.25">
      <c r="A153" s="806"/>
      <c r="B153" s="42"/>
      <c r="C153" s="806"/>
    </row>
    <row r="154" spans="1:3" x14ac:dyDescent="0.25">
      <c r="A154" s="806"/>
      <c r="B154" s="42"/>
      <c r="C154" s="806"/>
    </row>
    <row r="155" spans="1:3" x14ac:dyDescent="0.25">
      <c r="A155" s="806"/>
      <c r="B155" s="42"/>
      <c r="C155" s="806"/>
    </row>
    <row r="156" spans="1:3" x14ac:dyDescent="0.25">
      <c r="A156" s="806"/>
      <c r="B156" s="42"/>
      <c r="C156" s="806"/>
    </row>
    <row r="157" spans="1:3" x14ac:dyDescent="0.25">
      <c r="A157" s="806"/>
      <c r="B157" s="42"/>
      <c r="C157" s="806"/>
    </row>
    <row r="158" spans="1:3" x14ac:dyDescent="0.25">
      <c r="A158" s="806"/>
      <c r="B158" s="42"/>
      <c r="C158" s="806"/>
    </row>
    <row r="159" spans="1:3" x14ac:dyDescent="0.25">
      <c r="A159" s="806"/>
      <c r="B159" s="42"/>
      <c r="C159" s="806"/>
    </row>
    <row r="160" spans="1:3" x14ac:dyDescent="0.25">
      <c r="A160" s="806"/>
      <c r="B160" s="42"/>
      <c r="C160" s="806"/>
    </row>
    <row r="161" spans="1:3" x14ac:dyDescent="0.25">
      <c r="A161" s="806"/>
      <c r="B161" s="42"/>
      <c r="C161" s="806"/>
    </row>
    <row r="162" spans="1:3" x14ac:dyDescent="0.25">
      <c r="A162" s="806"/>
      <c r="B162" s="42"/>
      <c r="C162" s="806"/>
    </row>
    <row r="163" spans="1:3" x14ac:dyDescent="0.25">
      <c r="A163" s="806"/>
      <c r="B163" s="42"/>
      <c r="C163" s="806"/>
    </row>
    <row r="164" spans="1:3" x14ac:dyDescent="0.25">
      <c r="A164" s="806"/>
      <c r="B164" s="42"/>
      <c r="C164" s="806"/>
    </row>
    <row r="165" spans="1:3" x14ac:dyDescent="0.25">
      <c r="A165" s="806"/>
      <c r="B165" s="42"/>
      <c r="C165" s="806"/>
    </row>
    <row r="166" spans="1:3" x14ac:dyDescent="0.25">
      <c r="A166" s="806"/>
      <c r="B166" s="42"/>
      <c r="C166" s="806"/>
    </row>
    <row r="167" spans="1:3" x14ac:dyDescent="0.25">
      <c r="A167" s="806"/>
      <c r="B167" s="42"/>
      <c r="C167" s="806"/>
    </row>
    <row r="168" spans="1:3" x14ac:dyDescent="0.25">
      <c r="A168" s="806"/>
      <c r="B168" s="42"/>
      <c r="C168" s="806"/>
    </row>
    <row r="169" spans="1:3" x14ac:dyDescent="0.25">
      <c r="A169" s="806"/>
      <c r="B169" s="42"/>
      <c r="C169" s="806"/>
    </row>
    <row r="170" spans="1:3" x14ac:dyDescent="0.25">
      <c r="A170" s="806"/>
      <c r="B170" s="42"/>
      <c r="C170" s="806"/>
    </row>
    <row r="171" spans="1:3" x14ac:dyDescent="0.25">
      <c r="A171" s="806"/>
      <c r="B171" s="42"/>
      <c r="C171" s="806"/>
    </row>
    <row r="172" spans="1:3" x14ac:dyDescent="0.25">
      <c r="A172" s="806"/>
      <c r="B172" s="42"/>
      <c r="C172" s="806"/>
    </row>
    <row r="173" spans="1:3" x14ac:dyDescent="0.25">
      <c r="A173" s="806"/>
      <c r="B173" s="42"/>
      <c r="C173" s="806"/>
    </row>
    <row r="174" spans="1:3" x14ac:dyDescent="0.25">
      <c r="A174" s="806"/>
      <c r="B174" s="42"/>
      <c r="C174" s="806"/>
    </row>
    <row r="175" spans="1:3" x14ac:dyDescent="0.25">
      <c r="A175" s="806"/>
      <c r="B175" s="42"/>
      <c r="C175" s="806"/>
    </row>
    <row r="176" spans="1:3" x14ac:dyDescent="0.25">
      <c r="A176" s="806"/>
      <c r="B176" s="42"/>
      <c r="C176" s="806"/>
    </row>
    <row r="177" spans="1:3" x14ac:dyDescent="0.25">
      <c r="A177" s="806"/>
      <c r="B177" s="42"/>
      <c r="C177" s="806"/>
    </row>
    <row r="178" spans="1:3" x14ac:dyDescent="0.25">
      <c r="A178" s="806"/>
      <c r="B178" s="42"/>
      <c r="C178" s="806"/>
    </row>
    <row r="179" spans="1:3" x14ac:dyDescent="0.25">
      <c r="A179" s="806"/>
      <c r="B179" s="42"/>
      <c r="C179" s="806"/>
    </row>
    <row r="180" spans="1:3" x14ac:dyDescent="0.25">
      <c r="A180" s="806"/>
      <c r="B180" s="42"/>
      <c r="C180" s="806"/>
    </row>
    <row r="181" spans="1:3" x14ac:dyDescent="0.25">
      <c r="A181" s="806"/>
      <c r="B181" s="42"/>
      <c r="C181" s="806"/>
    </row>
    <row r="182" spans="1:3" x14ac:dyDescent="0.25">
      <c r="A182" s="806"/>
      <c r="B182" s="42"/>
      <c r="C182" s="806"/>
    </row>
    <row r="183" spans="1:3" x14ac:dyDescent="0.25">
      <c r="A183" s="806"/>
      <c r="B183" s="42"/>
      <c r="C183" s="806"/>
    </row>
    <row r="184" spans="1:3" x14ac:dyDescent="0.25">
      <c r="A184" s="806"/>
      <c r="B184" s="42"/>
      <c r="C184" s="806"/>
    </row>
    <row r="185" spans="1:3" x14ac:dyDescent="0.25">
      <c r="A185" s="806"/>
      <c r="B185" s="42"/>
      <c r="C185" s="806"/>
    </row>
    <row r="186" spans="1:3" x14ac:dyDescent="0.25">
      <c r="A186" s="806"/>
      <c r="B186" s="42"/>
      <c r="C186" s="806"/>
    </row>
    <row r="187" spans="1:3" x14ac:dyDescent="0.25">
      <c r="A187" s="806"/>
      <c r="B187" s="42"/>
      <c r="C187" s="806"/>
    </row>
    <row r="188" spans="1:3" x14ac:dyDescent="0.25">
      <c r="A188" s="806"/>
      <c r="B188" s="42"/>
      <c r="C188" s="806"/>
    </row>
    <row r="189" spans="1:3" x14ac:dyDescent="0.25">
      <c r="A189" s="806"/>
      <c r="B189" s="42"/>
      <c r="C189" s="806"/>
    </row>
    <row r="190" spans="1:3" x14ac:dyDescent="0.25">
      <c r="A190" s="806"/>
      <c r="B190" s="42"/>
      <c r="C190" s="806"/>
    </row>
    <row r="191" spans="1:3" x14ac:dyDescent="0.25">
      <c r="A191" s="806"/>
      <c r="B191" s="42"/>
      <c r="C191" s="806"/>
    </row>
    <row r="192" spans="1:3" x14ac:dyDescent="0.25">
      <c r="A192" s="806"/>
      <c r="B192" s="42"/>
      <c r="C192" s="806"/>
    </row>
    <row r="193" spans="1:3" x14ac:dyDescent="0.25">
      <c r="A193" s="806"/>
      <c r="B193" s="42"/>
      <c r="C193" s="806"/>
    </row>
    <row r="194" spans="1:3" x14ac:dyDescent="0.25">
      <c r="A194" s="806"/>
      <c r="B194" s="42"/>
      <c r="C194" s="806"/>
    </row>
    <row r="195" spans="1:3" x14ac:dyDescent="0.25">
      <c r="A195" s="806"/>
      <c r="B195" s="42"/>
      <c r="C195" s="806"/>
    </row>
    <row r="196" spans="1:3" x14ac:dyDescent="0.25">
      <c r="A196" s="806"/>
      <c r="B196" s="42"/>
      <c r="C196" s="806"/>
    </row>
    <row r="197" spans="1:3" x14ac:dyDescent="0.25">
      <c r="A197" s="806"/>
      <c r="B197" s="42"/>
      <c r="C197" s="806"/>
    </row>
    <row r="198" spans="1:3" x14ac:dyDescent="0.25">
      <c r="A198" s="806"/>
      <c r="B198" s="42"/>
      <c r="C198" s="806"/>
    </row>
    <row r="199" spans="1:3" x14ac:dyDescent="0.25">
      <c r="A199" s="806"/>
      <c r="B199" s="42"/>
      <c r="C199" s="806"/>
    </row>
    <row r="200" spans="1:3" x14ac:dyDescent="0.25">
      <c r="A200" s="806"/>
      <c r="B200" s="42"/>
      <c r="C200" s="806"/>
    </row>
    <row r="201" spans="1:3" x14ac:dyDescent="0.25">
      <c r="A201" s="806"/>
      <c r="B201" s="42"/>
      <c r="C201" s="806"/>
    </row>
    <row r="202" spans="1:3" x14ac:dyDescent="0.25">
      <c r="A202" s="806"/>
      <c r="B202" s="42"/>
      <c r="C202" s="806"/>
    </row>
    <row r="203" spans="1:3" x14ac:dyDescent="0.25">
      <c r="A203" s="806"/>
      <c r="B203" s="42"/>
      <c r="C203" s="806"/>
    </row>
    <row r="204" spans="1:3" x14ac:dyDescent="0.25">
      <c r="A204" s="806"/>
      <c r="B204" s="42"/>
      <c r="C204" s="806"/>
    </row>
    <row r="205" spans="1:3" x14ac:dyDescent="0.25">
      <c r="A205" s="806"/>
      <c r="B205" s="42"/>
      <c r="C205" s="806"/>
    </row>
    <row r="206" spans="1:3" x14ac:dyDescent="0.25">
      <c r="A206" s="806"/>
      <c r="B206" s="42"/>
      <c r="C206" s="806"/>
    </row>
    <row r="207" spans="1:3" x14ac:dyDescent="0.25">
      <c r="A207" s="806"/>
      <c r="B207" s="42"/>
      <c r="C207" s="806"/>
    </row>
    <row r="208" spans="1:3" x14ac:dyDescent="0.25">
      <c r="A208" s="806"/>
      <c r="B208" s="42"/>
      <c r="C208" s="806"/>
    </row>
    <row r="209" spans="1:3" x14ac:dyDescent="0.25">
      <c r="A209" s="806"/>
      <c r="B209" s="42"/>
      <c r="C209" s="806"/>
    </row>
    <row r="210" spans="1:3" x14ac:dyDescent="0.25">
      <c r="A210" s="806"/>
      <c r="B210" s="42"/>
      <c r="C210" s="806"/>
    </row>
    <row r="211" spans="1:3" x14ac:dyDescent="0.25">
      <c r="A211" s="806"/>
      <c r="B211" s="42"/>
      <c r="C211" s="806"/>
    </row>
    <row r="212" spans="1:3" x14ac:dyDescent="0.25">
      <c r="A212" s="806"/>
      <c r="B212" s="42"/>
      <c r="C212" s="806"/>
    </row>
    <row r="213" spans="1:3" x14ac:dyDescent="0.25">
      <c r="A213" s="806"/>
      <c r="B213" s="42"/>
      <c r="C213" s="806"/>
    </row>
    <row r="214" spans="1:3" x14ac:dyDescent="0.25">
      <c r="A214" s="806"/>
      <c r="B214" s="42"/>
      <c r="C214" s="806"/>
    </row>
    <row r="215" spans="1:3" x14ac:dyDescent="0.25">
      <c r="A215" s="806"/>
      <c r="B215" s="42"/>
      <c r="C215" s="806"/>
    </row>
    <row r="216" spans="1:3" x14ac:dyDescent="0.25">
      <c r="A216" s="806"/>
      <c r="B216" s="42"/>
      <c r="C216" s="806"/>
    </row>
    <row r="217" spans="1:3" x14ac:dyDescent="0.25">
      <c r="A217" s="806"/>
      <c r="B217" s="42"/>
      <c r="C217" s="806"/>
    </row>
    <row r="218" spans="1:3" x14ac:dyDescent="0.25">
      <c r="A218" s="806"/>
      <c r="B218" s="42"/>
      <c r="C218" s="806"/>
    </row>
    <row r="219" spans="1:3" x14ac:dyDescent="0.25">
      <c r="A219" s="806"/>
      <c r="B219" s="42"/>
      <c r="C219" s="806"/>
    </row>
    <row r="220" spans="1:3" x14ac:dyDescent="0.25">
      <c r="A220" s="806"/>
      <c r="B220" s="42"/>
      <c r="C220" s="806"/>
    </row>
    <row r="221" spans="1:3" x14ac:dyDescent="0.25">
      <c r="A221" s="806"/>
      <c r="B221" s="42"/>
      <c r="C221" s="806"/>
    </row>
    <row r="222" spans="1:3" x14ac:dyDescent="0.25">
      <c r="A222" s="806"/>
      <c r="B222" s="42"/>
      <c r="C222" s="806"/>
    </row>
    <row r="223" spans="1:3" x14ac:dyDescent="0.25">
      <c r="A223" s="806"/>
      <c r="B223" s="42"/>
      <c r="C223" s="806"/>
    </row>
    <row r="224" spans="1:3" x14ac:dyDescent="0.25">
      <c r="A224" s="806"/>
      <c r="B224" s="42"/>
      <c r="C224" s="806"/>
    </row>
    <row r="225" spans="1:3" x14ac:dyDescent="0.25">
      <c r="A225" s="806"/>
      <c r="B225" s="42"/>
      <c r="C225" s="806"/>
    </row>
    <row r="226" spans="1:3" x14ac:dyDescent="0.25">
      <c r="A226" s="806"/>
      <c r="B226" s="42"/>
      <c r="C226" s="806"/>
    </row>
    <row r="227" spans="1:3" x14ac:dyDescent="0.25">
      <c r="A227" s="806"/>
      <c r="B227" s="42"/>
      <c r="C227" s="806"/>
    </row>
    <row r="228" spans="1:3" x14ac:dyDescent="0.25">
      <c r="A228" s="806"/>
      <c r="B228" s="42"/>
      <c r="C228" s="806"/>
    </row>
    <row r="229" spans="1:3" x14ac:dyDescent="0.25">
      <c r="A229" s="806"/>
      <c r="B229" s="42"/>
      <c r="C229" s="806"/>
    </row>
    <row r="230" spans="1:3" x14ac:dyDescent="0.25">
      <c r="A230" s="806"/>
      <c r="B230" s="42"/>
      <c r="C230" s="806"/>
    </row>
    <row r="231" spans="1:3" x14ac:dyDescent="0.25">
      <c r="A231" s="806"/>
      <c r="B231" s="42"/>
      <c r="C231" s="806"/>
    </row>
    <row r="232" spans="1:3" x14ac:dyDescent="0.25">
      <c r="A232" s="806"/>
      <c r="B232" s="42"/>
      <c r="C232" s="806"/>
    </row>
    <row r="233" spans="1:3" x14ac:dyDescent="0.25">
      <c r="A233" s="806"/>
      <c r="B233" s="42"/>
      <c r="C233" s="806"/>
    </row>
    <row r="234" spans="1:3" x14ac:dyDescent="0.25">
      <c r="A234" s="806"/>
      <c r="B234" s="42"/>
      <c r="C234" s="806"/>
    </row>
    <row r="235" spans="1:3" x14ac:dyDescent="0.25">
      <c r="A235" s="806"/>
      <c r="B235" s="42"/>
      <c r="C235" s="806"/>
    </row>
    <row r="236" spans="1:3" x14ac:dyDescent="0.25">
      <c r="A236" s="806"/>
      <c r="B236" s="42"/>
      <c r="C236" s="806"/>
    </row>
    <row r="237" spans="1:3" x14ac:dyDescent="0.25">
      <c r="A237" s="806"/>
      <c r="B237" s="42"/>
      <c r="C237" s="806"/>
    </row>
    <row r="238" spans="1:3" x14ac:dyDescent="0.25">
      <c r="A238" s="806"/>
      <c r="B238" s="42"/>
      <c r="C238" s="806"/>
    </row>
    <row r="239" spans="1:3" x14ac:dyDescent="0.25">
      <c r="A239" s="806"/>
      <c r="B239" s="42"/>
      <c r="C239" s="806"/>
    </row>
    <row r="240" spans="1:3" x14ac:dyDescent="0.25">
      <c r="A240" s="806"/>
      <c r="B240" s="42"/>
      <c r="C240" s="806"/>
    </row>
    <row r="241" spans="1:3" x14ac:dyDescent="0.25">
      <c r="A241" s="806"/>
      <c r="B241" s="42"/>
      <c r="C241" s="806"/>
    </row>
    <row r="242" spans="1:3" x14ac:dyDescent="0.25">
      <c r="A242" s="806"/>
      <c r="B242" s="42"/>
      <c r="C242" s="806"/>
    </row>
    <row r="243" spans="1:3" x14ac:dyDescent="0.25">
      <c r="A243" s="806"/>
      <c r="B243" s="42"/>
      <c r="C243" s="806"/>
    </row>
    <row r="244" spans="1:3" x14ac:dyDescent="0.25">
      <c r="A244" s="806"/>
      <c r="B244" s="42"/>
      <c r="C244" s="806"/>
    </row>
    <row r="245" spans="1:3" x14ac:dyDescent="0.25">
      <c r="A245" s="806"/>
      <c r="B245" s="42"/>
      <c r="C245" s="806"/>
    </row>
    <row r="246" spans="1:3" x14ac:dyDescent="0.25">
      <c r="A246" s="806"/>
      <c r="B246" s="42"/>
      <c r="C246" s="806"/>
    </row>
    <row r="247" spans="1:3" x14ac:dyDescent="0.25">
      <c r="A247" s="806"/>
      <c r="B247" s="42"/>
      <c r="C247" s="806"/>
    </row>
    <row r="248" spans="1:3" x14ac:dyDescent="0.25">
      <c r="A248" s="806"/>
      <c r="B248" s="42"/>
      <c r="C248" s="806"/>
    </row>
    <row r="249" spans="1:3" x14ac:dyDescent="0.25">
      <c r="A249" s="806"/>
      <c r="B249" s="42"/>
      <c r="C249" s="806"/>
    </row>
    <row r="250" spans="1:3" x14ac:dyDescent="0.25">
      <c r="A250" s="806"/>
      <c r="B250" s="42"/>
      <c r="C250" s="806"/>
    </row>
    <row r="251" spans="1:3" x14ac:dyDescent="0.25">
      <c r="A251" s="806"/>
      <c r="B251" s="42"/>
      <c r="C251" s="806"/>
    </row>
    <row r="252" spans="1:3" x14ac:dyDescent="0.25">
      <c r="A252" s="806"/>
      <c r="B252" s="42"/>
      <c r="C252" s="806"/>
    </row>
    <row r="253" spans="1:3" x14ac:dyDescent="0.25">
      <c r="A253" s="806"/>
      <c r="B253" s="42"/>
      <c r="C253" s="806"/>
    </row>
    <row r="254" spans="1:3" x14ac:dyDescent="0.25">
      <c r="A254" s="806"/>
      <c r="B254" s="42"/>
      <c r="C254" s="806"/>
    </row>
    <row r="255" spans="1:3" x14ac:dyDescent="0.25">
      <c r="A255" s="806"/>
      <c r="B255" s="42"/>
      <c r="C255" s="806"/>
    </row>
    <row r="256" spans="1:3" x14ac:dyDescent="0.25">
      <c r="A256" s="806"/>
      <c r="B256" s="42"/>
      <c r="C256" s="806"/>
    </row>
    <row r="257" spans="1:3" x14ac:dyDescent="0.25">
      <c r="A257" s="806"/>
      <c r="B257" s="42"/>
      <c r="C257" s="806"/>
    </row>
    <row r="258" spans="1:3" x14ac:dyDescent="0.25">
      <c r="A258" s="806"/>
      <c r="B258" s="42"/>
      <c r="C258" s="806"/>
    </row>
    <row r="259" spans="1:3" x14ac:dyDescent="0.25">
      <c r="A259" s="806"/>
      <c r="B259" s="42"/>
      <c r="C259" s="806"/>
    </row>
    <row r="260" spans="1:3" x14ac:dyDescent="0.25">
      <c r="A260" s="806"/>
      <c r="B260" s="42"/>
      <c r="C260" s="806"/>
    </row>
    <row r="261" spans="1:3" x14ac:dyDescent="0.25">
      <c r="A261" s="806"/>
      <c r="B261" s="42"/>
      <c r="C261" s="806"/>
    </row>
    <row r="262" spans="1:3" x14ac:dyDescent="0.25">
      <c r="A262" s="806"/>
      <c r="B262" s="42"/>
      <c r="C262" s="806"/>
    </row>
    <row r="263" spans="1:3" x14ac:dyDescent="0.25">
      <c r="A263" s="806"/>
      <c r="B263" s="42"/>
      <c r="C263" s="806"/>
    </row>
    <row r="264" spans="1:3" x14ac:dyDescent="0.25">
      <c r="A264" s="806"/>
      <c r="B264" s="42"/>
      <c r="C264" s="806"/>
    </row>
    <row r="265" spans="1:3" x14ac:dyDescent="0.25">
      <c r="A265" s="806"/>
      <c r="B265" s="42"/>
      <c r="C265" s="806"/>
    </row>
    <row r="266" spans="1:3" x14ac:dyDescent="0.25">
      <c r="A266" s="806"/>
      <c r="B266" s="42"/>
      <c r="C266" s="806"/>
    </row>
    <row r="267" spans="1:3" x14ac:dyDescent="0.25">
      <c r="A267" s="806"/>
      <c r="B267" s="42"/>
      <c r="C267" s="806"/>
    </row>
    <row r="268" spans="1:3" x14ac:dyDescent="0.25">
      <c r="A268" s="806"/>
      <c r="B268" s="42"/>
      <c r="C268" s="806"/>
    </row>
    <row r="269" spans="1:3" x14ac:dyDescent="0.25">
      <c r="A269" s="806"/>
      <c r="B269" s="42"/>
      <c r="C269" s="806"/>
    </row>
    <row r="270" spans="1:3" x14ac:dyDescent="0.25">
      <c r="A270" s="806"/>
      <c r="B270" s="42"/>
      <c r="C270" s="806"/>
    </row>
    <row r="271" spans="1:3" x14ac:dyDescent="0.25">
      <c r="A271" s="806"/>
      <c r="B271" s="42"/>
      <c r="C271" s="806"/>
    </row>
    <row r="272" spans="1:3" x14ac:dyDescent="0.25">
      <c r="A272" s="806"/>
      <c r="B272" s="42"/>
      <c r="C272" s="806"/>
    </row>
    <row r="273" spans="1:3" x14ac:dyDescent="0.25">
      <c r="A273" s="806"/>
      <c r="B273" s="42"/>
      <c r="C273" s="806"/>
    </row>
    <row r="274" spans="1:3" x14ac:dyDescent="0.25">
      <c r="A274" s="806"/>
      <c r="B274" s="42"/>
      <c r="C274" s="806"/>
    </row>
    <row r="275" spans="1:3" x14ac:dyDescent="0.25">
      <c r="A275" s="806"/>
      <c r="B275" s="42"/>
      <c r="C275" s="806"/>
    </row>
    <row r="276" spans="1:3" x14ac:dyDescent="0.25">
      <c r="A276" s="806"/>
      <c r="B276" s="42"/>
      <c r="C276" s="806"/>
    </row>
    <row r="277" spans="1:3" x14ac:dyDescent="0.25">
      <c r="A277" s="806"/>
      <c r="B277" s="42"/>
      <c r="C277" s="806"/>
    </row>
    <row r="278" spans="1:3" x14ac:dyDescent="0.25">
      <c r="A278" s="806"/>
      <c r="B278" s="42"/>
      <c r="C278" s="806"/>
    </row>
    <row r="279" spans="1:3" x14ac:dyDescent="0.25">
      <c r="A279" s="806"/>
      <c r="B279" s="42"/>
      <c r="C279" s="806"/>
    </row>
    <row r="280" spans="1:3" x14ac:dyDescent="0.25">
      <c r="A280" s="806"/>
      <c r="B280" s="42"/>
      <c r="C280" s="806"/>
    </row>
    <row r="281" spans="1:3" x14ac:dyDescent="0.25">
      <c r="A281" s="806"/>
      <c r="B281" s="42"/>
      <c r="C281" s="806"/>
    </row>
    <row r="282" spans="1:3" x14ac:dyDescent="0.25">
      <c r="A282" s="806"/>
      <c r="B282" s="42"/>
      <c r="C282" s="806"/>
    </row>
    <row r="283" spans="1:3" x14ac:dyDescent="0.25">
      <c r="A283" s="806"/>
      <c r="B283" s="42"/>
      <c r="C283" s="806"/>
    </row>
    <row r="284" spans="1:3" x14ac:dyDescent="0.25">
      <c r="A284" s="806"/>
      <c r="B284" s="42"/>
      <c r="C284" s="806"/>
    </row>
    <row r="285" spans="1:3" x14ac:dyDescent="0.25">
      <c r="A285" s="806"/>
      <c r="B285" s="42"/>
      <c r="C285" s="806"/>
    </row>
    <row r="286" spans="1:3" x14ac:dyDescent="0.25">
      <c r="A286" s="806"/>
      <c r="B286" s="42"/>
      <c r="C286" s="806"/>
    </row>
    <row r="287" spans="1:3" x14ac:dyDescent="0.25">
      <c r="A287" s="806"/>
      <c r="B287" s="42"/>
      <c r="C287" s="806"/>
    </row>
    <row r="288" spans="1:3" x14ac:dyDescent="0.25">
      <c r="A288" s="806"/>
      <c r="B288" s="42"/>
      <c r="C288" s="806"/>
    </row>
    <row r="289" spans="1:3" x14ac:dyDescent="0.25">
      <c r="A289" s="806"/>
      <c r="B289" s="42"/>
      <c r="C289" s="806"/>
    </row>
    <row r="290" spans="1:3" x14ac:dyDescent="0.25">
      <c r="A290" s="806"/>
      <c r="B290" s="42"/>
      <c r="C290" s="806"/>
    </row>
    <row r="291" spans="1:3" x14ac:dyDescent="0.25">
      <c r="A291" s="806"/>
      <c r="B291" s="42"/>
      <c r="C291" s="806"/>
    </row>
    <row r="292" spans="1:3" x14ac:dyDescent="0.25">
      <c r="A292" s="806"/>
      <c r="B292" s="42"/>
      <c r="C292" s="806"/>
    </row>
    <row r="293" spans="1:3" x14ac:dyDescent="0.25">
      <c r="A293" s="806"/>
      <c r="B293" s="42"/>
      <c r="C293" s="806"/>
    </row>
    <row r="294" spans="1:3" x14ac:dyDescent="0.25">
      <c r="A294" s="806"/>
      <c r="B294" s="42"/>
      <c r="C294" s="806"/>
    </row>
    <row r="295" spans="1:3" x14ac:dyDescent="0.25">
      <c r="A295" s="806"/>
      <c r="B295" s="42"/>
      <c r="C295" s="806"/>
    </row>
    <row r="296" spans="1:3" x14ac:dyDescent="0.25">
      <c r="A296" s="806"/>
      <c r="B296" s="42"/>
      <c r="C296" s="806"/>
    </row>
    <row r="297" spans="1:3" x14ac:dyDescent="0.25">
      <c r="A297" s="806"/>
      <c r="B297" s="42"/>
      <c r="C297" s="806"/>
    </row>
    <row r="298" spans="1:3" x14ac:dyDescent="0.25">
      <c r="A298" s="806"/>
      <c r="B298" s="42"/>
      <c r="C298" s="806"/>
    </row>
    <row r="299" spans="1:3" x14ac:dyDescent="0.25">
      <c r="A299" s="806"/>
      <c r="B299" s="42"/>
      <c r="C299" s="806"/>
    </row>
    <row r="300" spans="1:3" x14ac:dyDescent="0.25">
      <c r="A300" s="806"/>
      <c r="B300" s="42"/>
      <c r="C300" s="806"/>
    </row>
    <row r="301" spans="1:3" x14ac:dyDescent="0.25">
      <c r="A301" s="806"/>
      <c r="B301" s="42"/>
      <c r="C301" s="806"/>
    </row>
    <row r="302" spans="1:3" x14ac:dyDescent="0.25">
      <c r="A302" s="806"/>
      <c r="B302" s="42"/>
      <c r="C302" s="806"/>
    </row>
    <row r="303" spans="1:3" x14ac:dyDescent="0.25">
      <c r="A303" s="806"/>
      <c r="B303" s="42"/>
      <c r="C303" s="806"/>
    </row>
    <row r="304" spans="1:3" x14ac:dyDescent="0.25">
      <c r="A304" s="806"/>
      <c r="B304" s="42"/>
      <c r="C304" s="806"/>
    </row>
    <row r="305" spans="1:3" x14ac:dyDescent="0.25">
      <c r="A305" s="806"/>
      <c r="B305" s="42"/>
      <c r="C305" s="806"/>
    </row>
    <row r="306" spans="1:3" x14ac:dyDescent="0.25">
      <c r="A306" s="806"/>
      <c r="B306" s="42"/>
      <c r="C306" s="806"/>
    </row>
    <row r="307" spans="1:3" x14ac:dyDescent="0.25">
      <c r="A307" s="806"/>
      <c r="B307" s="42"/>
      <c r="C307" s="806"/>
    </row>
    <row r="308" spans="1:3" x14ac:dyDescent="0.25">
      <c r="A308" s="806"/>
      <c r="B308" s="42"/>
      <c r="C308" s="806"/>
    </row>
    <row r="309" spans="1:3" x14ac:dyDescent="0.25">
      <c r="A309" s="806"/>
      <c r="B309" s="42"/>
      <c r="C309" s="806"/>
    </row>
    <row r="310" spans="1:3" x14ac:dyDescent="0.25">
      <c r="A310" s="806"/>
      <c r="B310" s="42"/>
      <c r="C310" s="806"/>
    </row>
    <row r="311" spans="1:3" x14ac:dyDescent="0.25">
      <c r="A311" s="806"/>
      <c r="B311" s="42"/>
      <c r="C311" s="806"/>
    </row>
    <row r="312" spans="1:3" x14ac:dyDescent="0.25">
      <c r="A312" s="806"/>
      <c r="B312" s="42"/>
      <c r="C312" s="806"/>
    </row>
    <row r="313" spans="1:3" x14ac:dyDescent="0.25">
      <c r="A313" s="806"/>
      <c r="B313" s="42"/>
      <c r="C313" s="806"/>
    </row>
    <row r="314" spans="1:3" x14ac:dyDescent="0.25">
      <c r="A314" s="806"/>
      <c r="B314" s="42"/>
      <c r="C314" s="806"/>
    </row>
    <row r="315" spans="1:3" x14ac:dyDescent="0.25">
      <c r="A315" s="806"/>
      <c r="B315" s="42"/>
      <c r="C315" s="806"/>
    </row>
    <row r="316" spans="1:3" x14ac:dyDescent="0.25">
      <c r="A316" s="806"/>
      <c r="B316" s="42"/>
      <c r="C316" s="806"/>
    </row>
    <row r="317" spans="1:3" x14ac:dyDescent="0.25">
      <c r="A317" s="806"/>
      <c r="B317" s="42"/>
      <c r="C317" s="806"/>
    </row>
    <row r="318" spans="1:3" x14ac:dyDescent="0.25">
      <c r="A318" s="806"/>
      <c r="B318" s="42"/>
      <c r="C318" s="806"/>
    </row>
    <row r="319" spans="1:3" x14ac:dyDescent="0.25">
      <c r="A319" s="806"/>
      <c r="B319" s="42"/>
      <c r="C319" s="806"/>
    </row>
    <row r="320" spans="1:3" x14ac:dyDescent="0.25">
      <c r="A320" s="806"/>
      <c r="B320" s="42"/>
      <c r="C320" s="806"/>
    </row>
    <row r="321" spans="1:3" x14ac:dyDescent="0.25">
      <c r="A321" s="806"/>
      <c r="B321" s="42"/>
      <c r="C321" s="806"/>
    </row>
    <row r="322" spans="1:3" x14ac:dyDescent="0.25">
      <c r="A322" s="806"/>
      <c r="B322" s="42"/>
      <c r="C322" s="806"/>
    </row>
    <row r="323" spans="1:3" x14ac:dyDescent="0.25">
      <c r="A323" s="806"/>
      <c r="B323" s="42"/>
      <c r="C323" s="806"/>
    </row>
    <row r="324" spans="1:3" x14ac:dyDescent="0.25">
      <c r="A324" s="806"/>
      <c r="B324" s="42"/>
      <c r="C324" s="806"/>
    </row>
    <row r="325" spans="1:3" x14ac:dyDescent="0.25">
      <c r="A325" s="806"/>
      <c r="B325" s="42"/>
      <c r="C325" s="806"/>
    </row>
    <row r="326" spans="1:3" x14ac:dyDescent="0.25">
      <c r="A326" s="806"/>
      <c r="B326" s="42"/>
      <c r="C326" s="806"/>
    </row>
    <row r="327" spans="1:3" x14ac:dyDescent="0.25">
      <c r="A327" s="806"/>
      <c r="B327" s="42"/>
      <c r="C327" s="806"/>
    </row>
    <row r="328" spans="1:3" x14ac:dyDescent="0.25">
      <c r="A328" s="806"/>
      <c r="B328" s="42"/>
      <c r="C328" s="806"/>
    </row>
    <row r="329" spans="1:3" x14ac:dyDescent="0.25">
      <c r="A329" s="806"/>
      <c r="B329" s="42"/>
      <c r="C329" s="806"/>
    </row>
    <row r="330" spans="1:3" x14ac:dyDescent="0.25">
      <c r="A330" s="806"/>
      <c r="B330" s="42"/>
      <c r="C330" s="806"/>
    </row>
    <row r="331" spans="1:3" x14ac:dyDescent="0.25">
      <c r="A331" s="806"/>
      <c r="B331" s="42"/>
      <c r="C331" s="806"/>
    </row>
    <row r="332" spans="1:3" x14ac:dyDescent="0.25">
      <c r="A332" s="806"/>
      <c r="B332" s="42"/>
      <c r="C332" s="806"/>
    </row>
    <row r="333" spans="1:3" x14ac:dyDescent="0.25">
      <c r="A333" s="806"/>
      <c r="B333" s="42"/>
      <c r="C333" s="806"/>
    </row>
    <row r="334" spans="1:3" x14ac:dyDescent="0.25">
      <c r="A334" s="806"/>
      <c r="B334" s="42"/>
      <c r="C334" s="806"/>
    </row>
    <row r="335" spans="1:3" x14ac:dyDescent="0.25">
      <c r="A335" s="806"/>
      <c r="B335" s="42"/>
      <c r="C335" s="806"/>
    </row>
    <row r="336" spans="1:3" x14ac:dyDescent="0.25">
      <c r="A336" s="806"/>
      <c r="B336" s="42"/>
      <c r="C336" s="806"/>
    </row>
    <row r="337" spans="1:3" x14ac:dyDescent="0.25">
      <c r="A337" s="806"/>
      <c r="B337" s="42"/>
      <c r="C337" s="806"/>
    </row>
    <row r="338" spans="1:3" x14ac:dyDescent="0.25">
      <c r="A338" s="806"/>
      <c r="B338" s="42"/>
      <c r="C338" s="806"/>
    </row>
    <row r="339" spans="1:3" x14ac:dyDescent="0.25">
      <c r="A339" s="806"/>
      <c r="B339" s="42"/>
      <c r="C339" s="806"/>
    </row>
    <row r="340" spans="1:3" x14ac:dyDescent="0.25">
      <c r="A340" s="806"/>
      <c r="B340" s="42"/>
      <c r="C340" s="806"/>
    </row>
    <row r="341" spans="1:3" x14ac:dyDescent="0.25">
      <c r="A341" s="806"/>
      <c r="B341" s="42"/>
      <c r="C341" s="806"/>
    </row>
    <row r="342" spans="1:3" x14ac:dyDescent="0.25">
      <c r="A342" s="806"/>
      <c r="B342" s="42"/>
      <c r="C342" s="806"/>
    </row>
    <row r="343" spans="1:3" x14ac:dyDescent="0.25">
      <c r="A343" s="806"/>
      <c r="B343" s="42"/>
      <c r="C343" s="806"/>
    </row>
    <row r="344" spans="1:3" x14ac:dyDescent="0.25">
      <c r="A344" s="806"/>
      <c r="B344" s="42"/>
      <c r="C344" s="806"/>
    </row>
    <row r="345" spans="1:3" x14ac:dyDescent="0.25">
      <c r="A345" s="806"/>
      <c r="B345" s="42"/>
      <c r="C345" s="806"/>
    </row>
    <row r="346" spans="1:3" x14ac:dyDescent="0.25">
      <c r="A346" s="806"/>
      <c r="B346" s="42"/>
      <c r="C346" s="806"/>
    </row>
    <row r="347" spans="1:3" x14ac:dyDescent="0.25">
      <c r="A347" s="806"/>
      <c r="B347" s="42"/>
      <c r="C347" s="806"/>
    </row>
    <row r="348" spans="1:3" x14ac:dyDescent="0.25">
      <c r="A348" s="806"/>
      <c r="B348" s="42"/>
      <c r="C348" s="806"/>
    </row>
    <row r="349" spans="1:3" x14ac:dyDescent="0.25">
      <c r="A349" s="806"/>
      <c r="B349" s="42"/>
      <c r="C349" s="806"/>
    </row>
    <row r="350" spans="1:3" x14ac:dyDescent="0.25">
      <c r="A350" s="806"/>
      <c r="B350" s="42"/>
      <c r="C350" s="806"/>
    </row>
    <row r="351" spans="1:3" x14ac:dyDescent="0.25">
      <c r="A351" s="806"/>
      <c r="B351" s="42"/>
      <c r="C351" s="806"/>
    </row>
    <row r="352" spans="1:3" x14ac:dyDescent="0.25">
      <c r="A352" s="806"/>
      <c r="B352" s="42"/>
      <c r="C352" s="806"/>
    </row>
    <row r="353" spans="1:3" x14ac:dyDescent="0.25">
      <c r="A353" s="806"/>
      <c r="B353" s="42"/>
      <c r="C353" s="806"/>
    </row>
    <row r="354" spans="1:3" x14ac:dyDescent="0.25">
      <c r="A354" s="806"/>
      <c r="B354" s="42"/>
      <c r="C354" s="806"/>
    </row>
    <row r="355" spans="1:3" x14ac:dyDescent="0.25">
      <c r="A355" s="806"/>
      <c r="B355" s="42"/>
      <c r="C355" s="806"/>
    </row>
    <row r="356" spans="1:3" x14ac:dyDescent="0.25">
      <c r="A356" s="806"/>
      <c r="B356" s="42"/>
      <c r="C356" s="806"/>
    </row>
    <row r="357" spans="1:3" x14ac:dyDescent="0.25">
      <c r="A357" s="806"/>
      <c r="B357" s="42"/>
      <c r="C357" s="806"/>
    </row>
    <row r="358" spans="1:3" x14ac:dyDescent="0.25">
      <c r="A358" s="806"/>
      <c r="B358" s="42"/>
      <c r="C358" s="806"/>
    </row>
    <row r="359" spans="1:3" x14ac:dyDescent="0.25">
      <c r="A359" s="806"/>
      <c r="B359" s="42"/>
      <c r="C359" s="806"/>
    </row>
    <row r="360" spans="1:3" x14ac:dyDescent="0.25">
      <c r="A360" s="806"/>
      <c r="B360" s="42"/>
      <c r="C360" s="806"/>
    </row>
    <row r="361" spans="1:3" x14ac:dyDescent="0.25">
      <c r="A361" s="806"/>
      <c r="B361" s="42"/>
      <c r="C361" s="806"/>
    </row>
    <row r="362" spans="1:3" x14ac:dyDescent="0.25">
      <c r="A362" s="806"/>
      <c r="B362" s="42"/>
      <c r="C362" s="806"/>
    </row>
    <row r="363" spans="1:3" x14ac:dyDescent="0.25">
      <c r="A363" s="806"/>
      <c r="B363" s="42"/>
      <c r="C363" s="806"/>
    </row>
    <row r="364" spans="1:3" x14ac:dyDescent="0.25">
      <c r="A364" s="806"/>
      <c r="B364" s="42"/>
      <c r="C364" s="806"/>
    </row>
    <row r="365" spans="1:3" x14ac:dyDescent="0.25">
      <c r="A365" s="806"/>
      <c r="B365" s="42"/>
      <c r="C365" s="806"/>
    </row>
    <row r="366" spans="1:3" x14ac:dyDescent="0.25">
      <c r="A366" s="806"/>
      <c r="B366" s="42"/>
      <c r="C366" s="806"/>
    </row>
    <row r="367" spans="1:3" x14ac:dyDescent="0.25">
      <c r="A367" s="806"/>
      <c r="B367" s="42"/>
      <c r="C367" s="806"/>
    </row>
    <row r="368" spans="1:3" x14ac:dyDescent="0.25">
      <c r="A368" s="806"/>
      <c r="B368" s="42"/>
      <c r="C368" s="806"/>
    </row>
    <row r="369" spans="1:3" x14ac:dyDescent="0.25">
      <c r="A369" s="806"/>
      <c r="B369" s="42"/>
      <c r="C369" s="806"/>
    </row>
    <row r="370" spans="1:3" x14ac:dyDescent="0.25">
      <c r="A370" s="806"/>
      <c r="B370" s="42"/>
      <c r="C370" s="806"/>
    </row>
    <row r="371" spans="1:3" x14ac:dyDescent="0.25">
      <c r="A371" s="806"/>
      <c r="B371" s="42"/>
      <c r="C371" s="806"/>
    </row>
    <row r="372" spans="1:3" x14ac:dyDescent="0.25">
      <c r="A372" s="806"/>
      <c r="B372" s="42"/>
      <c r="C372" s="806"/>
    </row>
    <row r="373" spans="1:3" x14ac:dyDescent="0.25">
      <c r="A373" s="806"/>
      <c r="B373" s="42"/>
      <c r="C373" s="806"/>
    </row>
    <row r="374" spans="1:3" x14ac:dyDescent="0.25">
      <c r="A374" s="806"/>
      <c r="B374" s="42"/>
      <c r="C374" s="806"/>
    </row>
    <row r="375" spans="1:3" x14ac:dyDescent="0.25">
      <c r="A375" s="806"/>
      <c r="B375" s="42"/>
      <c r="C375" s="806"/>
    </row>
    <row r="376" spans="1:3" x14ac:dyDescent="0.25">
      <c r="A376" s="806"/>
      <c r="B376" s="42"/>
      <c r="C376" s="806"/>
    </row>
    <row r="377" spans="1:3" x14ac:dyDescent="0.25">
      <c r="A377" s="806"/>
      <c r="B377" s="42"/>
      <c r="C377" s="806"/>
    </row>
    <row r="378" spans="1:3" x14ac:dyDescent="0.25">
      <c r="A378" s="806"/>
      <c r="B378" s="42"/>
      <c r="C378" s="806"/>
    </row>
    <row r="379" spans="1:3" x14ac:dyDescent="0.25">
      <c r="A379" s="806"/>
      <c r="B379" s="42"/>
      <c r="C379" s="806"/>
    </row>
    <row r="380" spans="1:3" x14ac:dyDescent="0.25">
      <c r="A380" s="806"/>
      <c r="B380" s="42"/>
      <c r="C380" s="806"/>
    </row>
    <row r="381" spans="1:3" x14ac:dyDescent="0.25">
      <c r="A381" s="806"/>
      <c r="B381" s="42"/>
      <c r="C381" s="806"/>
    </row>
    <row r="382" spans="1:3" x14ac:dyDescent="0.25">
      <c r="A382" s="806"/>
      <c r="B382" s="42"/>
      <c r="C382" s="806"/>
    </row>
    <row r="383" spans="1:3" x14ac:dyDescent="0.25">
      <c r="A383" s="806"/>
      <c r="B383" s="42"/>
      <c r="C383" s="806"/>
    </row>
    <row r="384" spans="1:3" x14ac:dyDescent="0.25">
      <c r="A384" s="806"/>
      <c r="B384" s="42"/>
      <c r="C384" s="806"/>
    </row>
    <row r="385" spans="1:3" x14ac:dyDescent="0.25">
      <c r="A385" s="806"/>
      <c r="B385" s="42"/>
      <c r="C385" s="806"/>
    </row>
    <row r="386" spans="1:3" x14ac:dyDescent="0.25">
      <c r="A386" s="806"/>
      <c r="B386" s="42"/>
      <c r="C386" s="806"/>
    </row>
    <row r="387" spans="1:3" x14ac:dyDescent="0.25">
      <c r="A387" s="806"/>
      <c r="B387" s="42"/>
      <c r="C387" s="806"/>
    </row>
    <row r="388" spans="1:3" x14ac:dyDescent="0.25">
      <c r="A388" s="806"/>
      <c r="B388" s="42"/>
      <c r="C388" s="806"/>
    </row>
    <row r="389" spans="1:3" x14ac:dyDescent="0.25">
      <c r="A389" s="806"/>
      <c r="B389" s="42"/>
      <c r="C389" s="806"/>
    </row>
    <row r="390" spans="1:3" x14ac:dyDescent="0.25">
      <c r="A390" s="806"/>
      <c r="B390" s="42"/>
      <c r="C390" s="806"/>
    </row>
    <row r="391" spans="1:3" x14ac:dyDescent="0.25">
      <c r="A391" s="806"/>
      <c r="B391" s="42"/>
      <c r="C391" s="806"/>
    </row>
    <row r="392" spans="1:3" x14ac:dyDescent="0.25">
      <c r="A392" s="806"/>
      <c r="B392" s="42"/>
      <c r="C392" s="806"/>
    </row>
    <row r="393" spans="1:3" x14ac:dyDescent="0.25">
      <c r="A393" s="806"/>
      <c r="B393" s="42"/>
      <c r="C393" s="806"/>
    </row>
    <row r="394" spans="1:3" x14ac:dyDescent="0.25">
      <c r="A394" s="806"/>
      <c r="B394" s="42"/>
      <c r="C394" s="806"/>
    </row>
    <row r="395" spans="1:3" x14ac:dyDescent="0.25">
      <c r="A395" s="806"/>
      <c r="B395" s="42"/>
      <c r="C395" s="806"/>
    </row>
    <row r="396" spans="1:3" x14ac:dyDescent="0.25">
      <c r="A396" s="806"/>
      <c r="B396" s="42"/>
      <c r="C396" s="806"/>
    </row>
    <row r="397" spans="1:3" x14ac:dyDescent="0.25">
      <c r="A397" s="806"/>
      <c r="B397" s="42"/>
      <c r="C397" s="806"/>
    </row>
    <row r="398" spans="1:3" x14ac:dyDescent="0.25">
      <c r="A398" s="806"/>
      <c r="B398" s="42"/>
      <c r="C398" s="806"/>
    </row>
    <row r="399" spans="1:3" x14ac:dyDescent="0.25">
      <c r="A399" s="806"/>
      <c r="B399" s="42"/>
      <c r="C399" s="806"/>
    </row>
    <row r="400" spans="1:3" x14ac:dyDescent="0.25">
      <c r="A400" s="806"/>
      <c r="B400" s="42"/>
      <c r="C400" s="806"/>
    </row>
    <row r="401" spans="1:3" x14ac:dyDescent="0.25">
      <c r="A401" s="806"/>
      <c r="B401" s="42"/>
      <c r="C401" s="806"/>
    </row>
    <row r="402" spans="1:3" x14ac:dyDescent="0.25">
      <c r="A402" s="806"/>
      <c r="B402" s="42"/>
      <c r="C402" s="806"/>
    </row>
    <row r="403" spans="1:3" x14ac:dyDescent="0.25">
      <c r="A403" s="806"/>
      <c r="B403" s="42"/>
      <c r="C403" s="806"/>
    </row>
    <row r="404" spans="1:3" x14ac:dyDescent="0.25">
      <c r="A404" s="806"/>
      <c r="B404" s="42"/>
      <c r="C404" s="806"/>
    </row>
    <row r="405" spans="1:3" x14ac:dyDescent="0.25">
      <c r="A405" s="806"/>
      <c r="B405" s="42"/>
      <c r="C405" s="806"/>
    </row>
    <row r="406" spans="1:3" x14ac:dyDescent="0.25">
      <c r="A406" s="806"/>
      <c r="B406" s="42"/>
      <c r="C406" s="806"/>
    </row>
    <row r="407" spans="1:3" x14ac:dyDescent="0.25">
      <c r="A407" s="806"/>
      <c r="B407" s="42"/>
      <c r="C407" s="806"/>
    </row>
    <row r="408" spans="1:3" x14ac:dyDescent="0.25">
      <c r="A408" s="806"/>
      <c r="B408" s="42"/>
      <c r="C408" s="806"/>
    </row>
    <row r="409" spans="1:3" x14ac:dyDescent="0.25">
      <c r="A409" s="806"/>
      <c r="B409" s="42"/>
      <c r="C409" s="806"/>
    </row>
    <row r="410" spans="1:3" x14ac:dyDescent="0.25">
      <c r="A410" s="806"/>
      <c r="B410" s="42"/>
      <c r="C410" s="806"/>
    </row>
    <row r="411" spans="1:3" x14ac:dyDescent="0.25">
      <c r="A411" s="806"/>
      <c r="B411" s="42"/>
      <c r="C411" s="806"/>
    </row>
    <row r="412" spans="1:3" x14ac:dyDescent="0.25">
      <c r="A412" s="806"/>
      <c r="B412" s="42"/>
      <c r="C412" s="806"/>
    </row>
    <row r="413" spans="1:3" x14ac:dyDescent="0.25">
      <c r="A413" s="806"/>
      <c r="B413" s="42"/>
      <c r="C413" s="806"/>
    </row>
    <row r="414" spans="1:3" x14ac:dyDescent="0.25">
      <c r="A414" s="806"/>
      <c r="B414" s="42"/>
      <c r="C414" s="806"/>
    </row>
    <row r="415" spans="1:3" x14ac:dyDescent="0.25">
      <c r="A415" s="806"/>
      <c r="B415" s="42"/>
      <c r="C415" s="806"/>
    </row>
    <row r="416" spans="1:3" x14ac:dyDescent="0.25">
      <c r="A416" s="806"/>
      <c r="B416" s="42"/>
      <c r="C416" s="806"/>
    </row>
    <row r="417" spans="1:3" x14ac:dyDescent="0.25">
      <c r="A417" s="806"/>
      <c r="B417" s="42"/>
      <c r="C417" s="806"/>
    </row>
    <row r="418" spans="1:3" x14ac:dyDescent="0.25">
      <c r="A418" s="806"/>
      <c r="B418" s="42"/>
      <c r="C418" s="806"/>
    </row>
    <row r="419" spans="1:3" x14ac:dyDescent="0.25">
      <c r="A419" s="806"/>
      <c r="B419" s="42"/>
      <c r="C419" s="806"/>
    </row>
    <row r="420" spans="1:3" x14ac:dyDescent="0.25">
      <c r="A420" s="806"/>
      <c r="B420" s="42"/>
      <c r="C420" s="806"/>
    </row>
    <row r="421" spans="1:3" x14ac:dyDescent="0.25">
      <c r="A421" s="806"/>
      <c r="B421" s="42"/>
      <c r="C421" s="806"/>
    </row>
    <row r="422" spans="1:3" x14ac:dyDescent="0.25">
      <c r="A422" s="806"/>
      <c r="B422" s="42"/>
      <c r="C422" s="806"/>
    </row>
    <row r="423" spans="1:3" x14ac:dyDescent="0.25">
      <c r="A423" s="806"/>
      <c r="B423" s="42"/>
      <c r="C423" s="806"/>
    </row>
    <row r="424" spans="1:3" x14ac:dyDescent="0.25">
      <c r="A424" s="806"/>
      <c r="B424" s="42"/>
      <c r="C424" s="806"/>
    </row>
    <row r="425" spans="1:3" x14ac:dyDescent="0.25">
      <c r="A425" s="806"/>
      <c r="B425" s="42"/>
      <c r="C425" s="806"/>
    </row>
    <row r="426" spans="1:3" x14ac:dyDescent="0.25">
      <c r="A426" s="806"/>
      <c r="B426" s="42"/>
      <c r="C426" s="806"/>
    </row>
    <row r="427" spans="1:3" x14ac:dyDescent="0.25">
      <c r="A427" s="806"/>
      <c r="B427" s="42"/>
      <c r="C427" s="806"/>
    </row>
    <row r="428" spans="1:3" x14ac:dyDescent="0.25">
      <c r="A428" s="806"/>
      <c r="B428" s="42"/>
      <c r="C428" s="806"/>
    </row>
    <row r="429" spans="1:3" x14ac:dyDescent="0.25">
      <c r="A429" s="806"/>
      <c r="B429" s="42"/>
      <c r="C429" s="806"/>
    </row>
    <row r="430" spans="1:3" x14ac:dyDescent="0.25">
      <c r="A430" s="806"/>
      <c r="B430" s="42"/>
      <c r="C430" s="806"/>
    </row>
    <row r="431" spans="1:3" x14ac:dyDescent="0.25">
      <c r="A431" s="806"/>
      <c r="B431" s="42"/>
      <c r="C431" s="806"/>
    </row>
    <row r="432" spans="1:3" x14ac:dyDescent="0.25">
      <c r="A432" s="806"/>
      <c r="B432" s="42"/>
      <c r="C432" s="806"/>
    </row>
    <row r="433" spans="1:3" x14ac:dyDescent="0.25">
      <c r="A433" s="806"/>
      <c r="B433" s="42"/>
      <c r="C433" s="806"/>
    </row>
    <row r="434" spans="1:3" x14ac:dyDescent="0.25">
      <c r="A434" s="806"/>
      <c r="B434" s="42"/>
      <c r="C434" s="806"/>
    </row>
    <row r="435" spans="1:3" x14ac:dyDescent="0.25">
      <c r="A435" s="806"/>
      <c r="B435" s="42"/>
      <c r="C435" s="806"/>
    </row>
    <row r="436" spans="1:3" x14ac:dyDescent="0.25">
      <c r="A436" s="806"/>
      <c r="B436" s="42"/>
      <c r="C436" s="806"/>
    </row>
    <row r="437" spans="1:3" x14ac:dyDescent="0.25">
      <c r="A437" s="806"/>
      <c r="B437" s="42"/>
      <c r="C437" s="806"/>
    </row>
    <row r="438" spans="1:3" x14ac:dyDescent="0.25">
      <c r="A438" s="806"/>
      <c r="B438" s="42"/>
      <c r="C438" s="806"/>
    </row>
    <row r="439" spans="1:3" x14ac:dyDescent="0.25">
      <c r="A439" s="806"/>
      <c r="B439" s="42"/>
      <c r="C439" s="806"/>
    </row>
    <row r="440" spans="1:3" x14ac:dyDescent="0.25">
      <c r="A440" s="806"/>
      <c r="B440" s="42"/>
      <c r="C440" s="806"/>
    </row>
    <row r="441" spans="1:3" x14ac:dyDescent="0.25">
      <c r="A441" s="806"/>
      <c r="B441" s="42"/>
      <c r="C441" s="806"/>
    </row>
    <row r="442" spans="1:3" x14ac:dyDescent="0.25">
      <c r="A442" s="806"/>
      <c r="B442" s="42"/>
      <c r="C442" s="806"/>
    </row>
    <row r="443" spans="1:3" x14ac:dyDescent="0.25">
      <c r="A443" s="806"/>
      <c r="B443" s="42"/>
      <c r="C443" s="806"/>
    </row>
    <row r="444" spans="1:3" x14ac:dyDescent="0.25">
      <c r="A444" s="806"/>
      <c r="B444" s="42"/>
      <c r="C444" s="806"/>
    </row>
    <row r="445" spans="1:3" x14ac:dyDescent="0.25">
      <c r="A445" s="806"/>
      <c r="B445" s="42"/>
      <c r="C445" s="806"/>
    </row>
    <row r="446" spans="1:3" x14ac:dyDescent="0.25">
      <c r="A446" s="806"/>
      <c r="B446" s="42"/>
      <c r="C446" s="806"/>
    </row>
    <row r="447" spans="1:3" x14ac:dyDescent="0.25">
      <c r="A447" s="806"/>
      <c r="B447" s="42"/>
      <c r="C447" s="806"/>
    </row>
    <row r="448" spans="1:3" x14ac:dyDescent="0.25">
      <c r="A448" s="806"/>
      <c r="B448" s="42"/>
      <c r="C448" s="806"/>
    </row>
    <row r="449" spans="1:3" x14ac:dyDescent="0.25">
      <c r="A449" s="806"/>
      <c r="B449" s="42"/>
      <c r="C449" s="806"/>
    </row>
    <row r="450" spans="1:3" x14ac:dyDescent="0.25">
      <c r="A450" s="806"/>
      <c r="B450" s="42"/>
      <c r="C450" s="806"/>
    </row>
    <row r="451" spans="1:3" x14ac:dyDescent="0.25">
      <c r="A451" s="806"/>
      <c r="B451" s="42"/>
      <c r="C451" s="806"/>
    </row>
    <row r="452" spans="1:3" x14ac:dyDescent="0.25">
      <c r="A452" s="806"/>
      <c r="B452" s="42"/>
      <c r="C452" s="806"/>
    </row>
    <row r="453" spans="1:3" x14ac:dyDescent="0.25">
      <c r="A453" s="806"/>
      <c r="B453" s="42"/>
      <c r="C453" s="806"/>
    </row>
    <row r="454" spans="1:3" x14ac:dyDescent="0.25">
      <c r="A454" s="806"/>
      <c r="B454" s="42"/>
      <c r="C454" s="806"/>
    </row>
    <row r="455" spans="1:3" x14ac:dyDescent="0.25">
      <c r="A455" s="806"/>
      <c r="B455" s="42"/>
      <c r="C455" s="806"/>
    </row>
    <row r="456" spans="1:3" x14ac:dyDescent="0.25">
      <c r="A456" s="806"/>
      <c r="B456" s="42"/>
      <c r="C456" s="806"/>
    </row>
    <row r="457" spans="1:3" x14ac:dyDescent="0.25">
      <c r="A457" s="806"/>
      <c r="B457" s="42"/>
      <c r="C457" s="806"/>
    </row>
    <row r="458" spans="1:3" x14ac:dyDescent="0.25">
      <c r="A458" s="806"/>
      <c r="B458" s="42"/>
      <c r="C458" s="806"/>
    </row>
    <row r="459" spans="1:3" x14ac:dyDescent="0.25">
      <c r="A459" s="806"/>
      <c r="B459" s="42"/>
      <c r="C459" s="806"/>
    </row>
    <row r="460" spans="1:3" x14ac:dyDescent="0.25">
      <c r="A460" s="806"/>
      <c r="B460" s="42"/>
      <c r="C460" s="806"/>
    </row>
    <row r="461" spans="1:3" x14ac:dyDescent="0.25">
      <c r="A461" s="806"/>
      <c r="B461" s="42"/>
      <c r="C461" s="806"/>
    </row>
    <row r="462" spans="1:3" x14ac:dyDescent="0.25">
      <c r="A462" s="806"/>
      <c r="B462" s="42"/>
      <c r="C462" s="806"/>
    </row>
    <row r="463" spans="1:3" x14ac:dyDescent="0.25">
      <c r="A463" s="806"/>
      <c r="B463" s="42"/>
      <c r="C463" s="806"/>
    </row>
    <row r="464" spans="1:3" x14ac:dyDescent="0.25">
      <c r="A464" s="806"/>
      <c r="B464" s="42"/>
      <c r="C464" s="806"/>
    </row>
    <row r="465" spans="1:3" x14ac:dyDescent="0.25">
      <c r="A465" s="806"/>
      <c r="B465" s="42"/>
      <c r="C465" s="806"/>
    </row>
    <row r="466" spans="1:3" x14ac:dyDescent="0.25">
      <c r="A466" s="806"/>
      <c r="B466" s="42"/>
      <c r="C466" s="806"/>
    </row>
    <row r="467" spans="1:3" x14ac:dyDescent="0.25">
      <c r="A467" s="806"/>
      <c r="B467" s="42"/>
      <c r="C467" s="806"/>
    </row>
    <row r="468" spans="1:3" x14ac:dyDescent="0.25">
      <c r="A468" s="806"/>
      <c r="B468" s="42"/>
      <c r="C468" s="806"/>
    </row>
    <row r="469" spans="1:3" x14ac:dyDescent="0.25">
      <c r="A469" s="806"/>
      <c r="B469" s="42"/>
      <c r="C469" s="806"/>
    </row>
    <row r="470" spans="1:3" x14ac:dyDescent="0.25">
      <c r="A470" s="806"/>
      <c r="B470" s="42"/>
      <c r="C470" s="806"/>
    </row>
    <row r="471" spans="1:3" x14ac:dyDescent="0.25">
      <c r="A471" s="806"/>
      <c r="B471" s="42"/>
      <c r="C471" s="806"/>
    </row>
    <row r="472" spans="1:3" x14ac:dyDescent="0.25">
      <c r="A472" s="806"/>
      <c r="B472" s="42"/>
      <c r="C472" s="806"/>
    </row>
    <row r="473" spans="1:3" x14ac:dyDescent="0.25">
      <c r="A473" s="806"/>
      <c r="B473" s="42"/>
      <c r="C473" s="806"/>
    </row>
    <row r="474" spans="1:3" x14ac:dyDescent="0.25">
      <c r="A474" s="806"/>
      <c r="B474" s="42"/>
      <c r="C474" s="806"/>
    </row>
    <row r="475" spans="1:3" x14ac:dyDescent="0.25">
      <c r="A475" s="806"/>
      <c r="B475" s="42"/>
      <c r="C475" s="806"/>
    </row>
    <row r="476" spans="1:3" x14ac:dyDescent="0.25">
      <c r="A476" s="806"/>
      <c r="B476" s="42"/>
      <c r="C476" s="806"/>
    </row>
    <row r="477" spans="1:3" x14ac:dyDescent="0.25">
      <c r="A477" s="806"/>
      <c r="B477" s="42"/>
      <c r="C477" s="806"/>
    </row>
    <row r="478" spans="1:3" x14ac:dyDescent="0.25">
      <c r="A478" s="806"/>
      <c r="B478" s="42"/>
      <c r="C478" s="806"/>
    </row>
    <row r="479" spans="1:3" x14ac:dyDescent="0.25">
      <c r="A479" s="806"/>
      <c r="B479" s="42"/>
      <c r="C479" s="806"/>
    </row>
    <row r="480" spans="1:3" x14ac:dyDescent="0.25">
      <c r="A480" s="806"/>
      <c r="B480" s="42"/>
      <c r="C480" s="806"/>
    </row>
    <row r="481" spans="1:3" x14ac:dyDescent="0.25">
      <c r="A481" s="806"/>
      <c r="B481" s="42"/>
      <c r="C481" s="806"/>
    </row>
    <row r="482" spans="1:3" x14ac:dyDescent="0.25">
      <c r="A482" s="806"/>
      <c r="B482" s="42"/>
      <c r="C482" s="806"/>
    </row>
    <row r="483" spans="1:3" x14ac:dyDescent="0.25">
      <c r="A483" s="806"/>
      <c r="B483" s="42"/>
      <c r="C483" s="806"/>
    </row>
    <row r="484" spans="1:3" x14ac:dyDescent="0.25">
      <c r="A484" s="806"/>
      <c r="B484" s="42"/>
      <c r="C484" s="806"/>
    </row>
    <row r="485" spans="1:3" x14ac:dyDescent="0.25">
      <c r="A485" s="806"/>
      <c r="B485" s="42"/>
      <c r="C485" s="806"/>
    </row>
    <row r="486" spans="1:3" x14ac:dyDescent="0.25">
      <c r="A486" s="806"/>
      <c r="B486" s="42"/>
      <c r="C486" s="806"/>
    </row>
    <row r="487" spans="1:3" x14ac:dyDescent="0.25">
      <c r="A487" s="806"/>
      <c r="B487" s="42"/>
      <c r="C487" s="806"/>
    </row>
    <row r="488" spans="1:3" x14ac:dyDescent="0.25">
      <c r="A488" s="806"/>
      <c r="B488" s="42"/>
      <c r="C488" s="806"/>
    </row>
    <row r="489" spans="1:3" x14ac:dyDescent="0.25">
      <c r="A489" s="806"/>
      <c r="B489" s="42"/>
      <c r="C489" s="806"/>
    </row>
    <row r="490" spans="1:3" x14ac:dyDescent="0.25">
      <c r="A490" s="806"/>
      <c r="B490" s="42"/>
      <c r="C490" s="806"/>
    </row>
    <row r="491" spans="1:3" x14ac:dyDescent="0.25">
      <c r="A491" s="806"/>
      <c r="B491" s="42"/>
      <c r="C491" s="806"/>
    </row>
    <row r="492" spans="1:3" x14ac:dyDescent="0.25">
      <c r="A492" s="806"/>
      <c r="B492" s="42"/>
      <c r="C492" s="806"/>
    </row>
    <row r="493" spans="1:3" x14ac:dyDescent="0.25">
      <c r="A493" s="806"/>
      <c r="B493" s="42"/>
      <c r="C493" s="806"/>
    </row>
    <row r="494" spans="1:3" x14ac:dyDescent="0.25">
      <c r="A494" s="806"/>
      <c r="B494" s="42"/>
      <c r="C494" s="806"/>
    </row>
    <row r="495" spans="1:3" x14ac:dyDescent="0.25">
      <c r="A495" s="806"/>
      <c r="B495" s="42"/>
      <c r="C495" s="806"/>
    </row>
    <row r="496" spans="1:3" x14ac:dyDescent="0.25">
      <c r="A496" s="806"/>
      <c r="B496" s="42"/>
      <c r="C496" s="806"/>
    </row>
    <row r="497" spans="1:3" x14ac:dyDescent="0.25">
      <c r="A497" s="806"/>
      <c r="B497" s="42"/>
      <c r="C497" s="806"/>
    </row>
    <row r="498" spans="1:3" x14ac:dyDescent="0.25">
      <c r="A498" s="806"/>
      <c r="B498" s="42"/>
      <c r="C498" s="806"/>
    </row>
    <row r="499" spans="1:3" x14ac:dyDescent="0.25">
      <c r="A499" s="806"/>
      <c r="B499" s="42"/>
      <c r="C499" s="806"/>
    </row>
    <row r="500" spans="1:3" x14ac:dyDescent="0.25">
      <c r="A500" s="806"/>
      <c r="B500" s="42"/>
      <c r="C500" s="806"/>
    </row>
    <row r="501" spans="1:3" x14ac:dyDescent="0.25">
      <c r="A501" s="806"/>
      <c r="B501" s="42"/>
      <c r="C501" s="806"/>
    </row>
    <row r="502" spans="1:3" x14ac:dyDescent="0.25">
      <c r="A502" s="806"/>
      <c r="B502" s="42"/>
      <c r="C502" s="806"/>
    </row>
    <row r="503" spans="1:3" x14ac:dyDescent="0.25">
      <c r="A503" s="806"/>
      <c r="B503" s="42"/>
      <c r="C503" s="806"/>
    </row>
    <row r="504" spans="1:3" x14ac:dyDescent="0.25">
      <c r="A504" s="806"/>
      <c r="B504" s="42"/>
      <c r="C504" s="806"/>
    </row>
    <row r="505" spans="1:3" x14ac:dyDescent="0.25">
      <c r="A505" s="806"/>
      <c r="B505" s="42"/>
      <c r="C505" s="806"/>
    </row>
    <row r="506" spans="1:3" x14ac:dyDescent="0.25">
      <c r="A506" s="806"/>
      <c r="B506" s="42"/>
      <c r="C506" s="806"/>
    </row>
    <row r="507" spans="1:3" x14ac:dyDescent="0.25">
      <c r="A507" s="806"/>
      <c r="B507" s="42"/>
      <c r="C507" s="806"/>
    </row>
    <row r="508" spans="1:3" x14ac:dyDescent="0.25">
      <c r="A508" s="806"/>
      <c r="B508" s="42"/>
      <c r="C508" s="806"/>
    </row>
    <row r="509" spans="1:3" x14ac:dyDescent="0.25">
      <c r="A509" s="806"/>
      <c r="B509" s="42"/>
      <c r="C509" s="806"/>
    </row>
    <row r="510" spans="1:3" x14ac:dyDescent="0.25">
      <c r="A510" s="806"/>
      <c r="B510" s="42"/>
      <c r="C510" s="806"/>
    </row>
    <row r="511" spans="1:3" x14ac:dyDescent="0.25">
      <c r="A511" s="806"/>
      <c r="B511" s="42"/>
      <c r="C511" s="806"/>
    </row>
    <row r="512" spans="1:3" x14ac:dyDescent="0.25">
      <c r="A512" s="806"/>
      <c r="B512" s="42"/>
      <c r="C512" s="806"/>
    </row>
    <row r="513" spans="1:3" x14ac:dyDescent="0.25">
      <c r="A513" s="806"/>
      <c r="B513" s="42"/>
      <c r="C513" s="806"/>
    </row>
    <row r="514" spans="1:3" x14ac:dyDescent="0.25">
      <c r="A514" s="806"/>
      <c r="B514" s="42"/>
      <c r="C514" s="806"/>
    </row>
    <row r="515" spans="1:3" x14ac:dyDescent="0.25">
      <c r="A515" s="806"/>
      <c r="B515" s="42"/>
      <c r="C515" s="806"/>
    </row>
    <row r="516" spans="1:3" x14ac:dyDescent="0.25">
      <c r="A516" s="806"/>
      <c r="B516" s="42"/>
      <c r="C516" s="806"/>
    </row>
    <row r="517" spans="1:3" x14ac:dyDescent="0.25">
      <c r="A517" s="806"/>
      <c r="B517" s="42"/>
      <c r="C517" s="806"/>
    </row>
    <row r="518" spans="1:3" x14ac:dyDescent="0.25">
      <c r="A518" s="806"/>
      <c r="B518" s="42"/>
      <c r="C518" s="806"/>
    </row>
    <row r="519" spans="1:3" x14ac:dyDescent="0.25">
      <c r="A519" s="806"/>
      <c r="B519" s="42"/>
      <c r="C519" s="806"/>
    </row>
    <row r="520" spans="1:3" x14ac:dyDescent="0.25">
      <c r="A520" s="806"/>
      <c r="B520" s="42"/>
      <c r="C520" s="806"/>
    </row>
    <row r="521" spans="1:3" x14ac:dyDescent="0.25">
      <c r="A521" s="806"/>
      <c r="B521" s="42"/>
      <c r="C521" s="806"/>
    </row>
    <row r="522" spans="1:3" x14ac:dyDescent="0.25">
      <c r="A522" s="806"/>
      <c r="B522" s="42"/>
      <c r="C522" s="806"/>
    </row>
    <row r="523" spans="1:3" x14ac:dyDescent="0.25">
      <c r="A523" s="806"/>
      <c r="B523" s="42"/>
      <c r="C523" s="806"/>
    </row>
    <row r="524" spans="1:3" x14ac:dyDescent="0.25">
      <c r="A524" s="806"/>
      <c r="B524" s="42"/>
      <c r="C524" s="806"/>
    </row>
    <row r="525" spans="1:3" x14ac:dyDescent="0.25">
      <c r="A525" s="806"/>
      <c r="B525" s="42"/>
      <c r="C525" s="806"/>
    </row>
    <row r="526" spans="1:3" x14ac:dyDescent="0.25">
      <c r="A526" s="806"/>
      <c r="B526" s="42"/>
      <c r="C526" s="806"/>
    </row>
    <row r="527" spans="1:3" x14ac:dyDescent="0.25">
      <c r="A527" s="806"/>
      <c r="B527" s="42"/>
      <c r="C527" s="806"/>
    </row>
    <row r="528" spans="1:3" x14ac:dyDescent="0.25">
      <c r="A528" s="806"/>
      <c r="B528" s="42"/>
      <c r="C528" s="806"/>
    </row>
    <row r="529" spans="1:3" x14ac:dyDescent="0.25">
      <c r="A529" s="806"/>
      <c r="B529" s="42"/>
      <c r="C529" s="806"/>
    </row>
    <row r="530" spans="1:3" x14ac:dyDescent="0.25">
      <c r="A530" s="806"/>
      <c r="B530" s="42"/>
      <c r="C530" s="806"/>
    </row>
    <row r="531" spans="1:3" x14ac:dyDescent="0.25">
      <c r="A531" s="806"/>
      <c r="B531" s="42"/>
      <c r="C531" s="806"/>
    </row>
    <row r="532" spans="1:3" x14ac:dyDescent="0.25">
      <c r="A532" s="806"/>
      <c r="B532" s="42"/>
      <c r="C532" s="806"/>
    </row>
    <row r="533" spans="1:3" x14ac:dyDescent="0.25">
      <c r="A533" s="806"/>
      <c r="B533" s="42"/>
      <c r="C533" s="806"/>
    </row>
    <row r="534" spans="1:3" x14ac:dyDescent="0.25">
      <c r="A534" s="806"/>
      <c r="B534" s="42"/>
      <c r="C534" s="806"/>
    </row>
    <row r="535" spans="1:3" x14ac:dyDescent="0.25">
      <c r="A535" s="806"/>
      <c r="B535" s="42"/>
      <c r="C535" s="806"/>
    </row>
    <row r="536" spans="1:3" x14ac:dyDescent="0.25">
      <c r="A536" s="806"/>
      <c r="B536" s="42"/>
      <c r="C536" s="806"/>
    </row>
    <row r="537" spans="1:3" x14ac:dyDescent="0.25">
      <c r="A537" s="806"/>
      <c r="B537" s="42"/>
      <c r="C537" s="806"/>
    </row>
    <row r="538" spans="1:3" x14ac:dyDescent="0.25">
      <c r="A538" s="806"/>
      <c r="B538" s="42"/>
      <c r="C538" s="806"/>
    </row>
    <row r="539" spans="1:3" x14ac:dyDescent="0.25">
      <c r="A539" s="806"/>
      <c r="B539" s="42"/>
      <c r="C539" s="806"/>
    </row>
    <row r="540" spans="1:3" x14ac:dyDescent="0.25">
      <c r="A540" s="806"/>
      <c r="B540" s="42"/>
      <c r="C540" s="806"/>
    </row>
    <row r="541" spans="1:3" x14ac:dyDescent="0.25">
      <c r="A541" s="806"/>
      <c r="B541" s="42"/>
      <c r="C541" s="806"/>
    </row>
    <row r="542" spans="1:3" x14ac:dyDescent="0.25">
      <c r="A542" s="806"/>
      <c r="B542" s="42"/>
      <c r="C542" s="806"/>
    </row>
    <row r="543" spans="1:3" x14ac:dyDescent="0.25">
      <c r="A543" s="806"/>
      <c r="B543" s="42"/>
      <c r="C543" s="806"/>
    </row>
    <row r="544" spans="1:3" x14ac:dyDescent="0.25">
      <c r="A544" s="806"/>
      <c r="B544" s="42"/>
      <c r="C544" s="806"/>
    </row>
    <row r="545" spans="1:3" x14ac:dyDescent="0.25">
      <c r="A545" s="806"/>
      <c r="B545" s="42"/>
      <c r="C545" s="806"/>
    </row>
    <row r="546" spans="1:3" x14ac:dyDescent="0.25">
      <c r="A546" s="806"/>
      <c r="B546" s="42"/>
      <c r="C546" s="806"/>
    </row>
    <row r="547" spans="1:3" x14ac:dyDescent="0.25">
      <c r="A547" s="806"/>
      <c r="B547" s="42"/>
      <c r="C547" s="806"/>
    </row>
    <row r="548" spans="1:3" x14ac:dyDescent="0.25">
      <c r="A548" s="806"/>
      <c r="B548" s="42"/>
      <c r="C548" s="806"/>
    </row>
    <row r="549" spans="1:3" x14ac:dyDescent="0.25">
      <c r="A549" s="806"/>
      <c r="B549" s="42"/>
      <c r="C549" s="806"/>
    </row>
    <row r="550" spans="1:3" x14ac:dyDescent="0.25">
      <c r="A550" s="806"/>
      <c r="B550" s="42"/>
      <c r="C550" s="806"/>
    </row>
  </sheetData>
  <sheetProtection algorithmName="SHA-512" hashValue="g1Boh1mfbA0k7NuIdAiToB6qRRt11eTWNc1OUcihqHBLzgA8keI99Vo+0/uR89gPkJGWIvK/5fJMHZiRnW0N7g==" saltValue="OaShARZOM24WjLfIly4MRw==" spinCount="100000" sheet="1" objects="1" scenarios="1"/>
  <mergeCells count="18">
    <mergeCell ref="L43:L44"/>
    <mergeCell ref="M43:M44"/>
    <mergeCell ref="N15:O15"/>
    <mergeCell ref="P15:Q15"/>
    <mergeCell ref="R15:S15"/>
    <mergeCell ref="T15:U15"/>
    <mergeCell ref="V15:W15"/>
    <mergeCell ref="N42:O42"/>
    <mergeCell ref="P42:Q42"/>
    <mergeCell ref="R42:S42"/>
    <mergeCell ref="T42:U42"/>
    <mergeCell ref="V42:W42"/>
    <mergeCell ref="M1:M2"/>
    <mergeCell ref="D1:D2"/>
    <mergeCell ref="E1:F1"/>
    <mergeCell ref="G1:G2"/>
    <mergeCell ref="H1:I1"/>
    <mergeCell ref="L1:L2"/>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theme="5" tint="0.39997558519241921"/>
  </sheetPr>
  <dimension ref="A1:W550"/>
  <sheetViews>
    <sheetView topLeftCell="C1" workbookViewId="0">
      <selection activeCell="N16" sqref="N16"/>
    </sheetView>
  </sheetViews>
  <sheetFormatPr defaultColWidth="8.69921875" defaultRowHeight="13.2" x14ac:dyDescent="0.25"/>
  <cols>
    <col min="1" max="1" width="8.69921875" style="388" customWidth="1"/>
    <col min="2" max="2" width="29.796875" style="184" customWidth="1"/>
    <col min="3" max="3" width="32" style="388" customWidth="1"/>
    <col min="4" max="4" width="24.69921875" style="388" customWidth="1"/>
    <col min="5" max="6" width="10.69921875" style="388" customWidth="1"/>
    <col min="7" max="7" width="35.796875" style="388" customWidth="1"/>
    <col min="8" max="9" width="10.69921875" style="388" customWidth="1"/>
    <col min="10" max="10" width="17.5" style="388" customWidth="1"/>
    <col min="11" max="11" width="18.796875" style="388" customWidth="1"/>
    <col min="12" max="12" width="69.5" style="388" customWidth="1"/>
    <col min="13" max="13" width="8.69921875" style="388"/>
    <col min="14" max="14" width="11.69921875" style="388" customWidth="1"/>
    <col min="15" max="15" width="9.296875" style="388" customWidth="1"/>
    <col min="16" max="18" width="8.69921875" style="388"/>
    <col min="19" max="19" width="9.296875" style="388" customWidth="1"/>
    <col min="20" max="20" width="8.69921875" style="388"/>
    <col min="21" max="21" width="9.296875" style="388" customWidth="1"/>
    <col min="22" max="22" width="8.69921875" style="388"/>
    <col min="23" max="23" width="9.296875" style="388" customWidth="1"/>
    <col min="24" max="16384" width="8.69921875" style="388"/>
  </cols>
  <sheetData>
    <row r="1" spans="1:23" ht="93" customHeight="1" x14ac:dyDescent="0.25">
      <c r="A1" s="806"/>
      <c r="B1" s="42"/>
      <c r="C1" s="806"/>
      <c r="D1" s="3675" t="s">
        <v>77</v>
      </c>
      <c r="E1" s="3528" t="s">
        <v>2190</v>
      </c>
      <c r="F1" s="3531"/>
      <c r="G1" s="3527" t="s">
        <v>78</v>
      </c>
      <c r="H1" s="3528" t="s">
        <v>2191</v>
      </c>
      <c r="I1" s="3528"/>
      <c r="J1" s="987" t="s">
        <v>2191</v>
      </c>
      <c r="K1" s="987" t="s">
        <v>2191</v>
      </c>
      <c r="L1" s="3678" t="s">
        <v>94</v>
      </c>
      <c r="M1" s="3529" t="s">
        <v>96</v>
      </c>
      <c r="N1" s="987" t="s">
        <v>1808</v>
      </c>
      <c r="O1" s="987" t="s">
        <v>1809</v>
      </c>
      <c r="P1" s="987" t="s">
        <v>1808</v>
      </c>
      <c r="Q1" s="987" t="s">
        <v>1809</v>
      </c>
      <c r="R1" s="987" t="s">
        <v>1808</v>
      </c>
      <c r="S1" s="987" t="s">
        <v>1809</v>
      </c>
      <c r="T1" s="987" t="s">
        <v>1808</v>
      </c>
      <c r="U1" s="987" t="s">
        <v>1809</v>
      </c>
      <c r="V1" s="987" t="s">
        <v>1808</v>
      </c>
      <c r="W1" s="987" t="s">
        <v>1809</v>
      </c>
    </row>
    <row r="2" spans="1:23" ht="24" customHeight="1" x14ac:dyDescent="0.25">
      <c r="D2" s="3676"/>
      <c r="E2" s="1068" t="s">
        <v>808</v>
      </c>
      <c r="F2" s="1069" t="s">
        <v>809</v>
      </c>
      <c r="G2" s="3677"/>
      <c r="H2" s="1068" t="s">
        <v>808</v>
      </c>
      <c r="I2" s="1068" t="s">
        <v>809</v>
      </c>
      <c r="J2" s="1068" t="s">
        <v>2192</v>
      </c>
      <c r="K2" s="1068" t="s">
        <v>2193</v>
      </c>
      <c r="L2" s="3679"/>
      <c r="M2" s="3674"/>
      <c r="N2" s="834" t="s">
        <v>707</v>
      </c>
      <c r="O2" s="835" t="s">
        <v>708</v>
      </c>
      <c r="P2" s="834" t="s">
        <v>707</v>
      </c>
      <c r="Q2" s="835" t="s">
        <v>708</v>
      </c>
      <c r="R2" s="834" t="s">
        <v>707</v>
      </c>
      <c r="S2" s="835" t="s">
        <v>708</v>
      </c>
      <c r="T2" s="834" t="s">
        <v>707</v>
      </c>
      <c r="U2" s="835" t="s">
        <v>708</v>
      </c>
      <c r="V2" s="834" t="s">
        <v>707</v>
      </c>
      <c r="W2" s="835" t="s">
        <v>708</v>
      </c>
    </row>
    <row r="3" spans="1:23" s="839" customFormat="1" ht="47.25" customHeight="1" x14ac:dyDescent="0.25">
      <c r="A3" s="806"/>
      <c r="B3" s="42"/>
      <c r="C3" s="806"/>
      <c r="D3" s="1052" t="s">
        <v>47</v>
      </c>
      <c r="E3" s="827">
        <v>0.8</v>
      </c>
      <c r="F3" s="828">
        <f>E3*10.7639</f>
        <v>8.6111199999999997</v>
      </c>
      <c r="G3" s="1055" t="s">
        <v>1704</v>
      </c>
      <c r="H3" s="828">
        <v>0.63</v>
      </c>
      <c r="I3" s="828">
        <f>H3*10.7639</f>
        <v>6.7812570000000001</v>
      </c>
      <c r="J3" s="828" t="s">
        <v>1560</v>
      </c>
      <c r="K3" s="828" t="s">
        <v>22</v>
      </c>
      <c r="L3" s="836"/>
      <c r="M3" s="1071"/>
      <c r="N3" s="836" t="str">
        <f t="shared" ref="N3:W3" si="0">N1&amp;" "&amp;N2</f>
        <v>W/sf or W/linear foot IP</v>
      </c>
      <c r="O3" s="837" t="str">
        <f t="shared" si="0"/>
        <v>W/sm or W/linear meter SI</v>
      </c>
      <c r="P3" s="836" t="str">
        <f t="shared" si="0"/>
        <v>W/sf or W/linear foot IP</v>
      </c>
      <c r="Q3" s="837" t="str">
        <f t="shared" si="0"/>
        <v>W/sm or W/linear meter SI</v>
      </c>
      <c r="R3" s="836" t="str">
        <f t="shared" si="0"/>
        <v>W/sf or W/linear foot IP</v>
      </c>
      <c r="S3" s="837" t="str">
        <f t="shared" si="0"/>
        <v>W/sm or W/linear meter SI</v>
      </c>
      <c r="T3" s="836" t="str">
        <f t="shared" si="0"/>
        <v>W/sf or W/linear foot IP</v>
      </c>
      <c r="U3" s="837" t="str">
        <f t="shared" si="0"/>
        <v>W/sm or W/linear meter SI</v>
      </c>
      <c r="V3" s="836" t="str">
        <f t="shared" si="0"/>
        <v>W/sf or W/linear foot IP</v>
      </c>
      <c r="W3" s="837" t="str">
        <f t="shared" si="0"/>
        <v>W/sm or W/linear meter SI</v>
      </c>
    </row>
    <row r="4" spans="1:23" s="839" customFormat="1" ht="15" customHeight="1" x14ac:dyDescent="0.25">
      <c r="A4" s="806"/>
      <c r="B4" s="42"/>
      <c r="C4" s="806"/>
      <c r="D4" s="1059" t="s">
        <v>48</v>
      </c>
      <c r="E4" s="830">
        <v>1.01</v>
      </c>
      <c r="F4" s="828">
        <f t="shared" ref="F4:F34" si="1">E4*10.7639</f>
        <v>10.871539</v>
      </c>
      <c r="G4" s="1055" t="s">
        <v>1705</v>
      </c>
      <c r="H4" s="828">
        <v>0.82</v>
      </c>
      <c r="I4" s="828">
        <f t="shared" ref="I4:I67" si="2">H4*10.7639</f>
        <v>8.8263979999999993</v>
      </c>
      <c r="J4" s="828" t="s">
        <v>1560</v>
      </c>
      <c r="K4" s="828" t="s">
        <v>22</v>
      </c>
      <c r="L4" s="1061" t="s">
        <v>1810</v>
      </c>
      <c r="M4" s="1062" t="s">
        <v>91</v>
      </c>
      <c r="N4" s="1076" t="s">
        <v>2343</v>
      </c>
      <c r="O4" s="1076" t="s">
        <v>2343</v>
      </c>
      <c r="P4" s="1076">
        <v>0.04</v>
      </c>
      <c r="Q4" s="1078">
        <f>P4*10.7639</f>
        <v>0.43055599999999999</v>
      </c>
      <c r="R4" s="1076">
        <v>0.06</v>
      </c>
      <c r="S4" s="1078">
        <f>R4*10.7639</f>
        <v>0.64583399999999991</v>
      </c>
      <c r="T4" s="1076">
        <v>0.1</v>
      </c>
      <c r="U4" s="1078">
        <f>T4*10.7639</f>
        <v>1.07639</v>
      </c>
      <c r="V4" s="1076">
        <v>0.13</v>
      </c>
      <c r="W4" s="1078">
        <f>V4*10.7639</f>
        <v>1.3993070000000001</v>
      </c>
    </row>
    <row r="5" spans="1:23" s="839" customFormat="1" ht="15" customHeight="1" x14ac:dyDescent="0.25">
      <c r="A5" s="806"/>
      <c r="B5" s="42"/>
      <c r="C5" s="806"/>
      <c r="D5" s="1059" t="s">
        <v>49</v>
      </c>
      <c r="E5" s="830">
        <v>1.01</v>
      </c>
      <c r="F5" s="828">
        <f t="shared" si="1"/>
        <v>10.871539</v>
      </c>
      <c r="G5" s="1055" t="s">
        <v>1706</v>
      </c>
      <c r="H5" s="828">
        <v>0.65</v>
      </c>
      <c r="I5" s="828">
        <f t="shared" si="2"/>
        <v>6.9965349999999997</v>
      </c>
      <c r="J5" s="828" t="s">
        <v>1560</v>
      </c>
      <c r="K5" s="828" t="s">
        <v>22</v>
      </c>
      <c r="L5" s="1059" t="s">
        <v>79</v>
      </c>
      <c r="M5" s="1064" t="s">
        <v>92</v>
      </c>
      <c r="N5" s="1076" t="s">
        <v>2343</v>
      </c>
      <c r="O5" s="1076" t="s">
        <v>2343</v>
      </c>
      <c r="P5" s="1079">
        <v>0.7</v>
      </c>
      <c r="Q5" s="1078">
        <f>P5*3.28</f>
        <v>2.2959999999999998</v>
      </c>
      <c r="R5" s="1079">
        <v>0.7</v>
      </c>
      <c r="S5" s="1078">
        <f>R5*3.28</f>
        <v>2.2959999999999998</v>
      </c>
      <c r="T5" s="1079">
        <v>0.8</v>
      </c>
      <c r="U5" s="1078">
        <f>T5*3.28</f>
        <v>2.6240000000000001</v>
      </c>
      <c r="V5" s="1079">
        <v>1</v>
      </c>
      <c r="W5" s="1078">
        <f>V5*3.28</f>
        <v>3.28</v>
      </c>
    </row>
    <row r="6" spans="1:23" s="839" customFormat="1" ht="15" customHeight="1" x14ac:dyDescent="0.25">
      <c r="A6" s="806"/>
      <c r="B6" s="42"/>
      <c r="C6" s="806"/>
      <c r="D6" s="1059" t="s">
        <v>50</v>
      </c>
      <c r="E6" s="830">
        <v>1.01</v>
      </c>
      <c r="F6" s="828">
        <f t="shared" si="1"/>
        <v>10.871539</v>
      </c>
      <c r="G6" s="1055" t="s">
        <v>1707</v>
      </c>
      <c r="H6" s="828">
        <v>1.1399999999999999</v>
      </c>
      <c r="I6" s="828">
        <f t="shared" si="2"/>
        <v>12.270845999999999</v>
      </c>
      <c r="J6" s="828" t="s">
        <v>1560</v>
      </c>
      <c r="K6" s="828" t="s">
        <v>22</v>
      </c>
      <c r="L6" s="1059" t="s">
        <v>80</v>
      </c>
      <c r="M6" s="1064" t="s">
        <v>91</v>
      </c>
      <c r="N6" s="1076" t="s">
        <v>2343</v>
      </c>
      <c r="O6" s="1076" t="s">
        <v>2343</v>
      </c>
      <c r="P6" s="1079">
        <v>0.14000000000000001</v>
      </c>
      <c r="Q6" s="1078">
        <f t="shared" ref="Q6:Q13" si="3">P6*10.7639</f>
        <v>1.5069460000000001</v>
      </c>
      <c r="R6" s="1079">
        <v>0.14000000000000001</v>
      </c>
      <c r="S6" s="1078">
        <f t="shared" ref="S6:S13" si="4">R6*10.7639</f>
        <v>1.5069460000000001</v>
      </c>
      <c r="T6" s="1079">
        <v>0.16</v>
      </c>
      <c r="U6" s="1078">
        <f t="shared" ref="U6:U13" si="5">T6*10.7639</f>
        <v>1.722224</v>
      </c>
      <c r="V6" s="1079">
        <v>0.2</v>
      </c>
      <c r="W6" s="1078">
        <f t="shared" ref="W6:W13" si="6">V6*10.7639</f>
        <v>2.1527799999999999</v>
      </c>
    </row>
    <row r="7" spans="1:23" s="839" customFormat="1" ht="15" customHeight="1" x14ac:dyDescent="0.25">
      <c r="A7" s="806"/>
      <c r="B7" s="42"/>
      <c r="C7" s="806"/>
      <c r="D7" s="1059" t="s">
        <v>51</v>
      </c>
      <c r="E7" s="830">
        <v>0.9</v>
      </c>
      <c r="F7" s="828">
        <f t="shared" si="1"/>
        <v>9.6875099999999996</v>
      </c>
      <c r="G7" s="1055" t="s">
        <v>1708</v>
      </c>
      <c r="H7" s="828">
        <v>0.28000000000000003</v>
      </c>
      <c r="I7" s="828">
        <f t="shared" si="2"/>
        <v>3.0138920000000002</v>
      </c>
      <c r="J7" s="828" t="s">
        <v>1560</v>
      </c>
      <c r="K7" s="828" t="s">
        <v>22</v>
      </c>
      <c r="L7" s="1059" t="s">
        <v>81</v>
      </c>
      <c r="M7" s="1064" t="s">
        <v>91</v>
      </c>
      <c r="N7" s="1076" t="s">
        <v>2343</v>
      </c>
      <c r="O7" s="1076" t="s">
        <v>2343</v>
      </c>
      <c r="P7" s="1079">
        <v>0.14000000000000001</v>
      </c>
      <c r="Q7" s="1078">
        <f t="shared" si="3"/>
        <v>1.5069460000000001</v>
      </c>
      <c r="R7" s="1079">
        <v>0.14000000000000001</v>
      </c>
      <c r="S7" s="1078">
        <f t="shared" si="4"/>
        <v>1.5069460000000001</v>
      </c>
      <c r="T7" s="1079">
        <v>0.16</v>
      </c>
      <c r="U7" s="1078">
        <f t="shared" si="5"/>
        <v>1.722224</v>
      </c>
      <c r="V7" s="1079">
        <v>0.2</v>
      </c>
      <c r="W7" s="1078">
        <f t="shared" si="6"/>
        <v>2.1527799999999999</v>
      </c>
    </row>
    <row r="8" spans="1:23" s="839" customFormat="1" ht="15" customHeight="1" x14ac:dyDescent="0.25">
      <c r="A8" s="806"/>
      <c r="B8" s="42"/>
      <c r="C8" s="806"/>
      <c r="D8" s="1059" t="s">
        <v>52</v>
      </c>
      <c r="E8" s="830">
        <v>0.95</v>
      </c>
      <c r="F8" s="828">
        <f t="shared" si="1"/>
        <v>10.225705</v>
      </c>
      <c r="G8" s="1055" t="s">
        <v>1709</v>
      </c>
      <c r="H8" s="828">
        <v>2.4300000000000002</v>
      </c>
      <c r="I8" s="828">
        <f t="shared" si="2"/>
        <v>26.156276999999999</v>
      </c>
      <c r="J8" s="828" t="s">
        <v>1560</v>
      </c>
      <c r="K8" s="828" t="s">
        <v>22</v>
      </c>
      <c r="L8" s="1059" t="s">
        <v>82</v>
      </c>
      <c r="M8" s="1064" t="s">
        <v>91</v>
      </c>
      <c r="N8" s="1076" t="s">
        <v>2343</v>
      </c>
      <c r="O8" s="1076" t="s">
        <v>2343</v>
      </c>
      <c r="P8" s="1079">
        <v>0.14000000000000001</v>
      </c>
      <c r="Q8" s="1078">
        <f t="shared" si="3"/>
        <v>1.5069460000000001</v>
      </c>
      <c r="R8" s="1079">
        <v>0.14000000000000001</v>
      </c>
      <c r="S8" s="1078">
        <f t="shared" si="4"/>
        <v>1.5069460000000001</v>
      </c>
      <c r="T8" s="1079">
        <v>0.16</v>
      </c>
      <c r="U8" s="1078">
        <f t="shared" si="5"/>
        <v>1.722224</v>
      </c>
      <c r="V8" s="1079">
        <v>0.2</v>
      </c>
      <c r="W8" s="1078">
        <f t="shared" si="6"/>
        <v>2.1527799999999999</v>
      </c>
    </row>
    <row r="9" spans="1:23" s="839" customFormat="1" ht="15" customHeight="1" x14ac:dyDescent="0.25">
      <c r="A9" s="806"/>
      <c r="B9" s="42"/>
      <c r="C9" s="806"/>
      <c r="D9" s="1059" t="s">
        <v>53</v>
      </c>
      <c r="E9" s="830">
        <v>0.56999999999999995</v>
      </c>
      <c r="F9" s="828">
        <f t="shared" si="1"/>
        <v>6.1354229999999994</v>
      </c>
      <c r="G9" s="1055" t="s">
        <v>1710</v>
      </c>
      <c r="H9" s="828">
        <v>1.53</v>
      </c>
      <c r="I9" s="828">
        <f t="shared" si="2"/>
        <v>16.468767</v>
      </c>
      <c r="J9" s="828" t="s">
        <v>1560</v>
      </c>
      <c r="K9" s="828" t="s">
        <v>22</v>
      </c>
      <c r="L9" s="1059" t="s">
        <v>83</v>
      </c>
      <c r="M9" s="1064" t="s">
        <v>91</v>
      </c>
      <c r="N9" s="1076" t="s">
        <v>2343</v>
      </c>
      <c r="O9" s="1076" t="s">
        <v>2343</v>
      </c>
      <c r="P9" s="1079">
        <v>0.75</v>
      </c>
      <c r="Q9" s="1078">
        <f t="shared" si="3"/>
        <v>8.0729249999999997</v>
      </c>
      <c r="R9" s="1079">
        <v>1</v>
      </c>
      <c r="S9" s="1078">
        <f t="shared" si="4"/>
        <v>10.7639</v>
      </c>
      <c r="T9" s="1079">
        <v>1</v>
      </c>
      <c r="U9" s="1078">
        <f t="shared" si="5"/>
        <v>10.7639</v>
      </c>
      <c r="V9" s="1079">
        <v>1</v>
      </c>
      <c r="W9" s="1078">
        <f t="shared" si="6"/>
        <v>10.7639</v>
      </c>
    </row>
    <row r="10" spans="1:23" s="839" customFormat="1" ht="15" customHeight="1" x14ac:dyDescent="0.25">
      <c r="A10" s="806"/>
      <c r="B10" s="42"/>
      <c r="C10" s="806"/>
      <c r="D10" s="1059" t="s">
        <v>54</v>
      </c>
      <c r="E10" s="830">
        <v>0.84</v>
      </c>
      <c r="F10" s="828">
        <f t="shared" si="1"/>
        <v>9.0416759999999989</v>
      </c>
      <c r="G10" s="1055" t="s">
        <v>1711</v>
      </c>
      <c r="H10" s="828">
        <v>0.43</v>
      </c>
      <c r="I10" s="828">
        <f t="shared" si="2"/>
        <v>4.6284770000000002</v>
      </c>
      <c r="J10" s="828" t="s">
        <v>1560</v>
      </c>
      <c r="K10" s="828" t="s">
        <v>22</v>
      </c>
      <c r="L10" s="1059" t="s">
        <v>84</v>
      </c>
      <c r="M10" s="1064" t="s">
        <v>92</v>
      </c>
      <c r="N10" s="1076" t="s">
        <v>2343</v>
      </c>
      <c r="O10" s="1076" t="s">
        <v>2343</v>
      </c>
      <c r="P10" s="1079">
        <v>20</v>
      </c>
      <c r="Q10" s="1078">
        <f>P10*3.28</f>
        <v>65.599999999999994</v>
      </c>
      <c r="R10" s="1079">
        <v>20</v>
      </c>
      <c r="S10" s="1078">
        <f>R10*3.28</f>
        <v>65.599999999999994</v>
      </c>
      <c r="T10" s="1079">
        <v>30</v>
      </c>
      <c r="U10" s="1078">
        <f>T10*3.28</f>
        <v>98.399999999999991</v>
      </c>
      <c r="V10" s="1079">
        <v>30</v>
      </c>
      <c r="W10" s="1078">
        <f>V10*3.28</f>
        <v>98.399999999999991</v>
      </c>
    </row>
    <row r="11" spans="1:23" s="839" customFormat="1" ht="15" customHeight="1" x14ac:dyDescent="0.25">
      <c r="A11" s="806"/>
      <c r="B11" s="42"/>
      <c r="C11" s="806"/>
      <c r="D11" s="1059" t="s">
        <v>232</v>
      </c>
      <c r="E11" s="830">
        <v>0.67100000000000004</v>
      </c>
      <c r="F11" s="828">
        <f t="shared" si="1"/>
        <v>7.2225769</v>
      </c>
      <c r="G11" s="1055" t="s">
        <v>1712</v>
      </c>
      <c r="H11" s="828">
        <v>0.43</v>
      </c>
      <c r="I11" s="828">
        <f t="shared" ref="I11" si="7">H11*10.7639</f>
        <v>4.6284770000000002</v>
      </c>
      <c r="J11" s="828" t="s">
        <v>1560</v>
      </c>
      <c r="K11" s="828" t="s">
        <v>22</v>
      </c>
      <c r="L11" s="1059" t="s">
        <v>85</v>
      </c>
      <c r="M11" s="1064" t="s">
        <v>92</v>
      </c>
      <c r="N11" s="1076" t="s">
        <v>2343</v>
      </c>
      <c r="O11" s="1076" t="s">
        <v>2343</v>
      </c>
      <c r="P11" s="1079">
        <v>20</v>
      </c>
      <c r="Q11" s="1078">
        <f>P11*3.28</f>
        <v>65.599999999999994</v>
      </c>
      <c r="R11" s="1079">
        <v>20</v>
      </c>
      <c r="S11" s="1078">
        <f>R11*3.28</f>
        <v>65.599999999999994</v>
      </c>
      <c r="T11" s="1079">
        <v>20</v>
      </c>
      <c r="U11" s="1078">
        <f>T11*3.28</f>
        <v>65.599999999999994</v>
      </c>
      <c r="V11" s="1079">
        <v>20</v>
      </c>
      <c r="W11" s="1078">
        <f>V11*3.28</f>
        <v>65.599999999999994</v>
      </c>
    </row>
    <row r="12" spans="1:23" s="839" customFormat="1" ht="15" customHeight="1" x14ac:dyDescent="0.25">
      <c r="A12" s="806"/>
      <c r="B12" s="42"/>
      <c r="C12" s="806"/>
      <c r="D12" s="1059" t="s">
        <v>55</v>
      </c>
      <c r="E12" s="830">
        <v>0.94</v>
      </c>
      <c r="F12" s="828">
        <f t="shared" si="1"/>
        <v>10.118065999999999</v>
      </c>
      <c r="G12" s="1055" t="s">
        <v>1713</v>
      </c>
      <c r="H12" s="828">
        <v>0.43</v>
      </c>
      <c r="I12" s="828">
        <f t="shared" si="2"/>
        <v>4.6284770000000002</v>
      </c>
      <c r="J12" s="828" t="s">
        <v>1560</v>
      </c>
      <c r="K12" s="828" t="s">
        <v>22</v>
      </c>
      <c r="L12" s="1059" t="s">
        <v>1811</v>
      </c>
      <c r="M12" s="1064" t="s">
        <v>91</v>
      </c>
      <c r="N12" s="1076" t="s">
        <v>2343</v>
      </c>
      <c r="O12" s="1076" t="s">
        <v>2343</v>
      </c>
      <c r="P12" s="1079">
        <v>0.25</v>
      </c>
      <c r="Q12" s="1078">
        <f t="shared" si="3"/>
        <v>2.6909749999999999</v>
      </c>
      <c r="R12" s="1079">
        <v>0.25</v>
      </c>
      <c r="S12" s="1078">
        <f t="shared" si="4"/>
        <v>2.6909749999999999</v>
      </c>
      <c r="T12" s="1079">
        <v>0.4</v>
      </c>
      <c r="U12" s="1078">
        <f t="shared" si="5"/>
        <v>4.3055599999999998</v>
      </c>
      <c r="V12" s="1079">
        <v>0.4</v>
      </c>
      <c r="W12" s="1078">
        <f t="shared" si="6"/>
        <v>4.3055599999999998</v>
      </c>
    </row>
    <row r="13" spans="1:23" s="839" customFormat="1" ht="19.2" customHeight="1" x14ac:dyDescent="0.25">
      <c r="A13" s="806"/>
      <c r="B13" s="42"/>
      <c r="C13" s="806"/>
      <c r="D13" s="1059" t="s">
        <v>56</v>
      </c>
      <c r="E13" s="830">
        <v>0.9</v>
      </c>
      <c r="F13" s="828">
        <f t="shared" si="1"/>
        <v>9.6875099999999996</v>
      </c>
      <c r="G13" s="1055" t="s">
        <v>1714</v>
      </c>
      <c r="H13" s="1073" t="s">
        <v>2262</v>
      </c>
      <c r="I13" s="1073" t="s">
        <v>2262</v>
      </c>
      <c r="J13" s="1073" t="s">
        <v>22</v>
      </c>
      <c r="K13" s="1073" t="s">
        <v>22</v>
      </c>
      <c r="L13" s="1059" t="s">
        <v>1812</v>
      </c>
      <c r="M13" s="1064" t="s">
        <v>91</v>
      </c>
      <c r="N13" s="1076" t="s">
        <v>2343</v>
      </c>
      <c r="O13" s="1076" t="s">
        <v>2343</v>
      </c>
      <c r="P13" s="1079">
        <v>0.25</v>
      </c>
      <c r="Q13" s="1078">
        <f t="shared" si="3"/>
        <v>2.6909749999999999</v>
      </c>
      <c r="R13" s="1079">
        <v>0.25</v>
      </c>
      <c r="S13" s="1078">
        <f t="shared" si="4"/>
        <v>2.6909749999999999</v>
      </c>
      <c r="T13" s="1079">
        <v>0.5</v>
      </c>
      <c r="U13" s="1078">
        <f t="shared" si="5"/>
        <v>5.3819499999999998</v>
      </c>
      <c r="V13" s="1079">
        <v>0.75</v>
      </c>
      <c r="W13" s="1078">
        <f t="shared" si="6"/>
        <v>8.0729249999999997</v>
      </c>
    </row>
    <row r="14" spans="1:23" s="839" customFormat="1" ht="22.8" x14ac:dyDescent="0.25">
      <c r="A14" s="806"/>
      <c r="B14" s="42"/>
      <c r="C14" s="806"/>
      <c r="D14" s="1059" t="s">
        <v>57</v>
      </c>
      <c r="E14" s="830">
        <v>1.05</v>
      </c>
      <c r="F14" s="828">
        <f t="shared" si="1"/>
        <v>11.302095</v>
      </c>
      <c r="G14" s="1055" t="s">
        <v>1716</v>
      </c>
      <c r="H14" s="1195" t="s">
        <v>2263</v>
      </c>
      <c r="I14" s="1195" t="s">
        <v>2263</v>
      </c>
      <c r="J14" s="1073" t="s">
        <v>22</v>
      </c>
      <c r="K14" s="1073" t="s">
        <v>22</v>
      </c>
      <c r="L14" s="1059" t="s">
        <v>1813</v>
      </c>
      <c r="M14" s="1064" t="s">
        <v>92</v>
      </c>
      <c r="N14" s="1076" t="s">
        <v>2343</v>
      </c>
      <c r="O14" s="1076" t="s">
        <v>2343</v>
      </c>
      <c r="P14" s="1076" t="s">
        <v>2343</v>
      </c>
      <c r="Q14" s="1076" t="s">
        <v>2343</v>
      </c>
      <c r="R14" s="1079">
        <v>10</v>
      </c>
      <c r="S14" s="1078">
        <f>R14*3.28</f>
        <v>32.799999999999997</v>
      </c>
      <c r="T14" s="1079">
        <v>10</v>
      </c>
      <c r="U14" s="1078">
        <f>T14*3.28</f>
        <v>32.799999999999997</v>
      </c>
      <c r="V14" s="1079">
        <v>30</v>
      </c>
      <c r="W14" s="1078">
        <f>V14*3.28</f>
        <v>98.399999999999991</v>
      </c>
    </row>
    <row r="15" spans="1:23" s="839" customFormat="1" ht="15" customHeight="1" x14ac:dyDescent="0.25">
      <c r="A15" s="806"/>
      <c r="B15" s="42"/>
      <c r="C15" s="806"/>
      <c r="D15" s="1059" t="s">
        <v>1645</v>
      </c>
      <c r="E15" s="830">
        <v>0.87</v>
      </c>
      <c r="F15" s="828">
        <f t="shared" si="1"/>
        <v>9.3645929999999993</v>
      </c>
      <c r="G15" s="1055" t="s">
        <v>1717</v>
      </c>
      <c r="H15" s="828">
        <v>1.01</v>
      </c>
      <c r="I15" s="828">
        <f t="shared" si="2"/>
        <v>10.871539</v>
      </c>
      <c r="J15" s="828" t="s">
        <v>1560</v>
      </c>
      <c r="K15" s="828" t="s">
        <v>22</v>
      </c>
      <c r="L15" s="181"/>
      <c r="M15" s="181"/>
      <c r="N15" s="3680" t="s">
        <v>2194</v>
      </c>
      <c r="O15" s="3680"/>
      <c r="P15" s="3680" t="s">
        <v>2195</v>
      </c>
      <c r="Q15" s="3680"/>
      <c r="R15" s="3680" t="s">
        <v>2196</v>
      </c>
      <c r="S15" s="3680"/>
      <c r="T15" s="3680" t="s">
        <v>2197</v>
      </c>
      <c r="U15" s="3680"/>
      <c r="V15" s="3680" t="s">
        <v>2198</v>
      </c>
      <c r="W15" s="3680"/>
    </row>
    <row r="16" spans="1:23" s="839" customFormat="1" ht="15" customHeight="1" x14ac:dyDescent="0.25">
      <c r="A16" s="806"/>
      <c r="B16" s="42"/>
      <c r="C16" s="806"/>
      <c r="D16" s="1059" t="s">
        <v>58</v>
      </c>
      <c r="E16" s="830">
        <v>1.19</v>
      </c>
      <c r="F16" s="828">
        <f t="shared" si="1"/>
        <v>12.809040999999999</v>
      </c>
      <c r="G16" s="1055" t="s">
        <v>1718</v>
      </c>
      <c r="H16" s="828">
        <v>1.34</v>
      </c>
      <c r="I16" s="828">
        <f t="shared" si="2"/>
        <v>14.423626000000001</v>
      </c>
      <c r="J16" s="828" t="s">
        <v>22</v>
      </c>
      <c r="K16" s="828" t="s">
        <v>22</v>
      </c>
      <c r="L16" s="1059" t="s">
        <v>1814</v>
      </c>
      <c r="M16" s="181"/>
      <c r="N16" s="1084" t="str">
        <f>IF('6b - General Lighting'!$X$131=0,'Lighting Assumptions 90.1-2013'!N4,IF('6b - General Lighting'!$X$131=1,'Lighting Assumptions 90.1-2013'!P4,IF('6b - General Lighting'!$X$131=2,'Lighting Assumptions 90.1-2013'!R4,IF('6b - General Lighting'!$X$131=3,'Lighting Assumptions 90.1-2013'!T4,IF('6b - General Lighting'!$X$131=4,'Lighting Assumptions 90.1-2013'!V4,"")))))</f>
        <v/>
      </c>
    </row>
    <row r="17" spans="1:15" s="839" customFormat="1" ht="15" customHeight="1" x14ac:dyDescent="0.25">
      <c r="A17" s="806"/>
      <c r="B17" s="42"/>
      <c r="C17" s="806"/>
      <c r="D17" s="1059" t="s">
        <v>59</v>
      </c>
      <c r="E17" s="830">
        <v>1.17</v>
      </c>
      <c r="F17" s="828">
        <f t="shared" si="1"/>
        <v>12.593762999999999</v>
      </c>
      <c r="G17" s="1055" t="s">
        <v>1719</v>
      </c>
      <c r="H17" s="828">
        <v>1.24</v>
      </c>
      <c r="I17" s="828">
        <f t="shared" si="2"/>
        <v>13.347235999999999</v>
      </c>
      <c r="J17" s="828" t="s">
        <v>22</v>
      </c>
      <c r="K17" s="828" t="s">
        <v>22</v>
      </c>
      <c r="L17" s="1059" t="s">
        <v>1815</v>
      </c>
      <c r="M17" s="181"/>
      <c r="N17" s="1084" t="str">
        <f>IF('6b - General Lighting'!$X$131=0,'Lighting Assumptions 90.1-2013'!N5,IF('6b - General Lighting'!$X$131=1,'Lighting Assumptions 90.1-2013'!P5,IF('6b - General Lighting'!$X$131=2,'Lighting Assumptions 90.1-2013'!R5,IF('6b - General Lighting'!$X$131=3,'Lighting Assumptions 90.1-2013'!T5,IF('6b - General Lighting'!$X$131=4,'Lighting Assumptions 90.1-2013'!V5,"")))))</f>
        <v/>
      </c>
    </row>
    <row r="18" spans="1:15" s="839" customFormat="1" ht="15" customHeight="1" x14ac:dyDescent="0.25">
      <c r="A18" s="806"/>
      <c r="B18" s="42"/>
      <c r="C18" s="806"/>
      <c r="D18" s="1059" t="s">
        <v>60</v>
      </c>
      <c r="E18" s="830">
        <v>0.76</v>
      </c>
      <c r="F18" s="828">
        <f t="shared" si="1"/>
        <v>8.1805640000000004</v>
      </c>
      <c r="G18" s="1055" t="s">
        <v>1720</v>
      </c>
      <c r="H18" s="828">
        <v>1.23</v>
      </c>
      <c r="I18" s="828">
        <f t="shared" si="2"/>
        <v>13.239597</v>
      </c>
      <c r="J18" s="828" t="s">
        <v>22</v>
      </c>
      <c r="K18" s="828" t="s">
        <v>22</v>
      </c>
      <c r="L18" s="1059" t="s">
        <v>1816</v>
      </c>
      <c r="M18" s="181"/>
      <c r="N18" s="1084" t="str">
        <f>IF('6b - General Lighting'!$X$131=0,'Lighting Assumptions 90.1-2013'!N6,IF('6b - General Lighting'!$X$131=1,'Lighting Assumptions 90.1-2013'!P6,IF('6b - General Lighting'!$X$131=2,'Lighting Assumptions 90.1-2013'!R6,IF('6b - General Lighting'!$X$131=3,'Lighting Assumptions 90.1-2013'!T6,IF('6b - General Lighting'!$X$131=4,'Lighting Assumptions 90.1-2013'!V6,"")))))</f>
        <v/>
      </c>
      <c r="O18" s="1016"/>
    </row>
    <row r="19" spans="1:15" s="839" customFormat="1" ht="15" customHeight="1" x14ac:dyDescent="0.25">
      <c r="A19" s="806"/>
      <c r="B19" s="42"/>
      <c r="C19" s="806"/>
      <c r="D19" s="1059" t="s">
        <v>61</v>
      </c>
      <c r="E19" s="830">
        <v>0.51</v>
      </c>
      <c r="F19" s="828">
        <f t="shared" si="1"/>
        <v>5.4895889999999996</v>
      </c>
      <c r="G19" s="1055" t="s">
        <v>1721</v>
      </c>
      <c r="H19" s="828">
        <v>0.81</v>
      </c>
      <c r="I19" s="828">
        <f t="shared" si="2"/>
        <v>8.7187590000000004</v>
      </c>
      <c r="J19" s="828" t="s">
        <v>1560</v>
      </c>
      <c r="K19" s="828" t="s">
        <v>22</v>
      </c>
      <c r="L19" s="1059" t="s">
        <v>1817</v>
      </c>
      <c r="M19" s="181"/>
      <c r="N19" s="1084" t="str">
        <f>IF('6b - General Lighting'!$X$131=0,'Lighting Assumptions 90.1-2013'!N7,IF('6b - General Lighting'!$X$131=1,'Lighting Assumptions 90.1-2013'!P7,IF('6b - General Lighting'!$X$131=2,'Lighting Assumptions 90.1-2013'!R7,IF('6b - General Lighting'!$X$131=3,'Lighting Assumptions 90.1-2013'!T7,IF('6b - General Lighting'!$X$131=4,'Lighting Assumptions 90.1-2013'!V7,"")))))</f>
        <v/>
      </c>
      <c r="O19" s="1016"/>
    </row>
    <row r="20" spans="1:15" s="839" customFormat="1" ht="15" customHeight="1" x14ac:dyDescent="0.25">
      <c r="A20" s="806"/>
      <c r="B20" s="42"/>
      <c r="C20" s="806"/>
      <c r="D20" s="1059" t="s">
        <v>62</v>
      </c>
      <c r="E20" s="830">
        <v>1.02</v>
      </c>
      <c r="F20" s="828">
        <f t="shared" si="1"/>
        <v>10.979177999999999</v>
      </c>
      <c r="G20" s="1055" t="s">
        <v>1722</v>
      </c>
      <c r="H20" s="828">
        <v>0.72</v>
      </c>
      <c r="I20" s="828">
        <f t="shared" si="2"/>
        <v>7.7500079999999993</v>
      </c>
      <c r="J20" s="828" t="s">
        <v>22</v>
      </c>
      <c r="K20" s="828" t="s">
        <v>22</v>
      </c>
      <c r="L20" s="1059" t="s">
        <v>1818</v>
      </c>
      <c r="M20" s="181"/>
      <c r="N20" s="1084" t="str">
        <f>IF('6b - General Lighting'!$X$131=0,'Lighting Assumptions 90.1-2013'!N8,IF('6b - General Lighting'!$X$131=1,'Lighting Assumptions 90.1-2013'!P8,IF('6b - General Lighting'!$X$131=2,'Lighting Assumptions 90.1-2013'!R8,IF('6b - General Lighting'!$X$131=3,'Lighting Assumptions 90.1-2013'!T8,IF('6b - General Lighting'!$X$131=4,'Lighting Assumptions 90.1-2013'!V8,"")))))</f>
        <v/>
      </c>
    </row>
    <row r="21" spans="1:15" s="839" customFormat="1" ht="15" customHeight="1" x14ac:dyDescent="0.25">
      <c r="A21" s="806"/>
      <c r="B21" s="42"/>
      <c r="C21" s="806"/>
      <c r="D21" s="1059" t="s">
        <v>63</v>
      </c>
      <c r="E21" s="830">
        <v>0.82</v>
      </c>
      <c r="F21" s="828">
        <f t="shared" si="1"/>
        <v>8.8263979999999993</v>
      </c>
      <c r="G21" s="1055" t="s">
        <v>1723</v>
      </c>
      <c r="H21" s="828">
        <v>0.92</v>
      </c>
      <c r="I21" s="828">
        <f t="shared" si="2"/>
        <v>9.9027879999999993</v>
      </c>
      <c r="J21" s="828" t="s">
        <v>22</v>
      </c>
      <c r="K21" s="828" t="s">
        <v>22</v>
      </c>
      <c r="L21" s="1059" t="s">
        <v>1819</v>
      </c>
      <c r="M21" s="181"/>
      <c r="N21" s="1084" t="str">
        <f>IF('6b - General Lighting'!$X$131=0,'Lighting Assumptions 90.1-2013'!N9,IF('6b - General Lighting'!$X$131=1,'Lighting Assumptions 90.1-2013'!P9,IF('6b - General Lighting'!$X$131=2,'Lighting Assumptions 90.1-2013'!R9,IF('6b - General Lighting'!$X$131=3,'Lighting Assumptions 90.1-2013'!T9,IF('6b - General Lighting'!$X$131=4,'Lighting Assumptions 90.1-2013'!V9,"")))))</f>
        <v/>
      </c>
    </row>
    <row r="22" spans="1:15" s="839" customFormat="1" ht="15" customHeight="1" x14ac:dyDescent="0.25">
      <c r="A22" s="806"/>
      <c r="B22" s="42"/>
      <c r="C22" s="806"/>
      <c r="D22" s="1059" t="s">
        <v>64</v>
      </c>
      <c r="E22" s="830">
        <v>0.21</v>
      </c>
      <c r="F22" s="828">
        <f t="shared" si="1"/>
        <v>2.2604189999999997</v>
      </c>
      <c r="G22" s="1055" t="s">
        <v>1724</v>
      </c>
      <c r="H22" s="828">
        <v>0.99</v>
      </c>
      <c r="I22" s="828">
        <f t="shared" si="2"/>
        <v>10.656260999999999</v>
      </c>
      <c r="J22" s="828" t="s">
        <v>1560</v>
      </c>
      <c r="K22" s="828" t="s">
        <v>22</v>
      </c>
      <c r="L22" s="1059" t="s">
        <v>1820</v>
      </c>
      <c r="M22" s="181"/>
      <c r="N22" s="1084" t="str">
        <f>IF('6b - General Lighting'!$X$131=0,'Lighting Assumptions 90.1-2013'!N10,IF('6b - General Lighting'!$X$131=1,'Lighting Assumptions 90.1-2013'!P10,IF('6b - General Lighting'!$X$131=2,'Lighting Assumptions 90.1-2013'!R10,IF('6b - General Lighting'!$X$131=3,'Lighting Assumptions 90.1-2013'!T10,IF('6b - General Lighting'!$X$131=4,'Lighting Assumptions 90.1-2013'!V10,"")))))</f>
        <v/>
      </c>
    </row>
    <row r="23" spans="1:15" s="839" customFormat="1" ht="15" customHeight="1" x14ac:dyDescent="0.25">
      <c r="A23" s="806"/>
      <c r="B23" s="42"/>
      <c r="C23" s="806"/>
      <c r="D23" s="1059" t="s">
        <v>65</v>
      </c>
      <c r="E23" s="830">
        <v>0.81</v>
      </c>
      <c r="F23" s="828">
        <f t="shared" si="1"/>
        <v>8.7187590000000004</v>
      </c>
      <c r="G23" s="1055" t="s">
        <v>1725</v>
      </c>
      <c r="H23" s="828">
        <v>0.41</v>
      </c>
      <c r="I23" s="828">
        <f t="shared" si="2"/>
        <v>4.4131989999999996</v>
      </c>
      <c r="J23" s="828" t="s">
        <v>1560</v>
      </c>
      <c r="K23" s="828" t="s">
        <v>22</v>
      </c>
      <c r="L23" s="1059" t="s">
        <v>1821</v>
      </c>
      <c r="M23" s="181"/>
      <c r="N23" s="1084" t="str">
        <f>IF('6b - General Lighting'!$X$131=0,'Lighting Assumptions 90.1-2013'!N11,IF('6b - General Lighting'!$X$131=1,'Lighting Assumptions 90.1-2013'!P11,IF('6b - General Lighting'!$X$131=2,'Lighting Assumptions 90.1-2013'!R11,IF('6b - General Lighting'!$X$131=3,'Lighting Assumptions 90.1-2013'!T11,IF('6b - General Lighting'!$X$131=4,'Lighting Assumptions 90.1-2013'!V11,"")))))</f>
        <v/>
      </c>
    </row>
    <row r="24" spans="1:15" s="839" customFormat="1" ht="15" customHeight="1" x14ac:dyDescent="0.25">
      <c r="A24" s="806"/>
      <c r="B24" s="42"/>
      <c r="C24" s="806"/>
      <c r="D24" s="1059" t="s">
        <v>66</v>
      </c>
      <c r="E24" s="830">
        <v>1.39</v>
      </c>
      <c r="F24" s="828">
        <f t="shared" si="1"/>
        <v>14.961820999999999</v>
      </c>
      <c r="G24" s="1055" t="s">
        <v>1726</v>
      </c>
      <c r="H24" s="828">
        <v>0.66</v>
      </c>
      <c r="I24" s="828">
        <f t="shared" si="2"/>
        <v>7.1041740000000004</v>
      </c>
      <c r="J24" s="828" t="s">
        <v>22</v>
      </c>
      <c r="K24" s="828" t="s">
        <v>22</v>
      </c>
      <c r="L24" s="1059" t="s">
        <v>1822</v>
      </c>
      <c r="M24" s="181"/>
      <c r="N24" s="1084" t="str">
        <f>IF('6b - General Lighting'!$X$131=0,'Lighting Assumptions 90.1-2013'!N12,IF('6b - General Lighting'!$X$131=1,'Lighting Assumptions 90.1-2013'!P12,IF('6b - General Lighting'!$X$131=2,'Lighting Assumptions 90.1-2013'!R12,IF('6b - General Lighting'!$X$131=3,'Lighting Assumptions 90.1-2013'!T12,IF('6b - General Lighting'!$X$131=4,'Lighting Assumptions 90.1-2013'!V12,"")))))</f>
        <v/>
      </c>
    </row>
    <row r="25" spans="1:15" s="839" customFormat="1" ht="15" customHeight="1" x14ac:dyDescent="0.25">
      <c r="A25" s="806"/>
      <c r="B25" s="42"/>
      <c r="C25" s="806"/>
      <c r="D25" s="1059" t="s">
        <v>233</v>
      </c>
      <c r="E25" s="830">
        <v>0.87</v>
      </c>
      <c r="F25" s="828">
        <f t="shared" si="1"/>
        <v>9.3645929999999993</v>
      </c>
      <c r="G25" s="1055" t="s">
        <v>1727</v>
      </c>
      <c r="H25" s="828">
        <v>1.72</v>
      </c>
      <c r="I25" s="828">
        <f t="shared" si="2"/>
        <v>18.513908000000001</v>
      </c>
      <c r="J25" s="828" t="s">
        <v>1560</v>
      </c>
      <c r="K25" s="828" t="s">
        <v>22</v>
      </c>
      <c r="L25" s="1059" t="s">
        <v>1823</v>
      </c>
      <c r="M25" s="181"/>
      <c r="N25" s="1084" t="str">
        <f>IF('6b - General Lighting'!$X$131=0,'Lighting Assumptions 90.1-2013'!N13,IF('6b - General Lighting'!$X$131=1,'Lighting Assumptions 90.1-2013'!P13,IF('6b - General Lighting'!$X$131=2,'Lighting Assumptions 90.1-2013'!R13,IF('6b - General Lighting'!$X$131=3,'Lighting Assumptions 90.1-2013'!T13,IF('6b - General Lighting'!$X$131=4,'Lighting Assumptions 90.1-2013'!V13,"")))))</f>
        <v/>
      </c>
    </row>
    <row r="26" spans="1:15" s="839" customFormat="1" ht="15" customHeight="1" x14ac:dyDescent="0.25">
      <c r="A26" s="806"/>
      <c r="B26" s="42"/>
      <c r="C26" s="806"/>
      <c r="D26" s="1059" t="s">
        <v>67</v>
      </c>
      <c r="E26" s="830">
        <v>0.87</v>
      </c>
      <c r="F26" s="828">
        <f t="shared" si="1"/>
        <v>9.3645929999999993</v>
      </c>
      <c r="G26" s="1055" t="s">
        <v>1728</v>
      </c>
      <c r="H26" s="828">
        <v>1.71</v>
      </c>
      <c r="I26" s="828">
        <f t="shared" si="2"/>
        <v>18.406268999999998</v>
      </c>
      <c r="J26" s="828" t="s">
        <v>1560</v>
      </c>
      <c r="K26" s="828" t="s">
        <v>22</v>
      </c>
      <c r="L26" s="1059" t="s">
        <v>1824</v>
      </c>
      <c r="M26" s="181"/>
      <c r="N26" s="1084" t="str">
        <f>IF('6b - General Lighting'!$X$131=0,'Lighting Assumptions 90.1-2013'!N14,IF('6b - General Lighting'!$X$131=1,'Lighting Assumptions 90.1-2013'!P14,IF('6b - General Lighting'!$X$131=2,'Lighting Assumptions 90.1-2013'!R14,IF('6b - General Lighting'!$X$131=3,'Lighting Assumptions 90.1-2013'!T14,IF('6b - General Lighting'!$X$131=4,'Lighting Assumptions 90.1-2013'!V14,"")))))</f>
        <v/>
      </c>
    </row>
    <row r="27" spans="1:15" s="839" customFormat="1" ht="15" customHeight="1" x14ac:dyDescent="0.25">
      <c r="A27" s="806"/>
      <c r="B27" s="42"/>
      <c r="C27" s="806"/>
      <c r="D27" s="1059" t="s">
        <v>68</v>
      </c>
      <c r="E27" s="830">
        <v>1</v>
      </c>
      <c r="F27" s="828">
        <f t="shared" si="1"/>
        <v>10.7639</v>
      </c>
      <c r="G27" s="1055" t="s">
        <v>1729</v>
      </c>
      <c r="H27" s="828">
        <v>0.96</v>
      </c>
      <c r="I27" s="828">
        <f t="shared" si="2"/>
        <v>10.333343999999999</v>
      </c>
      <c r="J27" s="828" t="s">
        <v>1560</v>
      </c>
      <c r="K27" s="828" t="s">
        <v>22</v>
      </c>
      <c r="L27" s="1061" t="s">
        <v>1825</v>
      </c>
      <c r="M27" s="181"/>
      <c r="N27" s="1084" t="str">
        <f>IF('6b - General Lighting'!$X$131=0,'Lighting Assumptions 90.1-2013'!O4,IF('6b - General Lighting'!$X$131=1,'Lighting Assumptions 90.1-2013'!Q4,IF('6b - General Lighting'!$X$131=2,'Lighting Assumptions 90.1-2013'!S4,IF('6b - General Lighting'!$X$131=3,'Lighting Assumptions 90.1-2013'!U4,IF('6b - General Lighting'!$X$131=4,'Lighting Assumptions 90.1-2013'!W4,"")))))</f>
        <v/>
      </c>
    </row>
    <row r="28" spans="1:15" s="839" customFormat="1" ht="15" customHeight="1" x14ac:dyDescent="0.25">
      <c r="A28" s="806"/>
      <c r="B28" s="42"/>
      <c r="C28" s="806"/>
      <c r="D28" s="1059" t="s">
        <v>69</v>
      </c>
      <c r="E28" s="830">
        <v>1.26</v>
      </c>
      <c r="F28" s="828">
        <f t="shared" si="1"/>
        <v>13.562514</v>
      </c>
      <c r="G28" s="1055" t="s">
        <v>1730</v>
      </c>
      <c r="H28" s="828">
        <v>2.65</v>
      </c>
      <c r="I28" s="828">
        <f t="shared" si="2"/>
        <v>28.524334999999997</v>
      </c>
      <c r="J28" s="828" t="s">
        <v>1560</v>
      </c>
      <c r="K28" s="828" t="s">
        <v>22</v>
      </c>
      <c r="L28" s="1059" t="s">
        <v>1826</v>
      </c>
      <c r="M28" s="181"/>
      <c r="N28" s="1084" t="str">
        <f>IF('6b - General Lighting'!$X$131=0,'Lighting Assumptions 90.1-2013'!O5,IF('6b - General Lighting'!$X$131=1,'Lighting Assumptions 90.1-2013'!Q5,IF('6b - General Lighting'!$X$131=2,'Lighting Assumptions 90.1-2013'!S5,IF('6b - General Lighting'!$X$131=3,'Lighting Assumptions 90.1-2013'!U5,IF('6b - General Lighting'!$X$131=4,'Lighting Assumptions 90.1-2013'!W5,"")))))</f>
        <v/>
      </c>
    </row>
    <row r="29" spans="1:15" s="839" customFormat="1" ht="15" customHeight="1" x14ac:dyDescent="0.25">
      <c r="A29" s="806"/>
      <c r="B29" s="42"/>
      <c r="C29" s="806"/>
      <c r="D29" s="1059" t="s">
        <v>70</v>
      </c>
      <c r="E29" s="830">
        <v>0.87</v>
      </c>
      <c r="F29" s="828">
        <f t="shared" si="1"/>
        <v>9.3645929999999993</v>
      </c>
      <c r="G29" s="1055" t="s">
        <v>1731</v>
      </c>
      <c r="H29" s="828">
        <v>1.07</v>
      </c>
      <c r="I29" s="828">
        <f t="shared" si="2"/>
        <v>11.517373000000001</v>
      </c>
      <c r="J29" s="828" t="s">
        <v>1560</v>
      </c>
      <c r="K29" s="828" t="s">
        <v>22</v>
      </c>
      <c r="L29" s="1059" t="s">
        <v>1827</v>
      </c>
      <c r="M29" s="181"/>
      <c r="N29" s="1084" t="str">
        <f>IF('6b - General Lighting'!$X$131=0,'Lighting Assumptions 90.1-2013'!O6,IF('6b - General Lighting'!$X$131=1,'Lighting Assumptions 90.1-2013'!Q6,IF('6b - General Lighting'!$X$131=2,'Lighting Assumptions 90.1-2013'!S6,IF('6b - General Lighting'!$X$131=3,'Lighting Assumptions 90.1-2013'!U6,IF('6b - General Lighting'!$X$131=4,'Lighting Assumptions 90.1-2013'!W6,"")))))</f>
        <v/>
      </c>
    </row>
    <row r="30" spans="1:15" s="839" customFormat="1" ht="15" customHeight="1" x14ac:dyDescent="0.25">
      <c r="A30" s="806"/>
      <c r="B30" s="42"/>
      <c r="C30" s="806"/>
      <c r="D30" s="1059" t="s">
        <v>71</v>
      </c>
      <c r="E30" s="830">
        <v>0.91</v>
      </c>
      <c r="F30" s="828">
        <f t="shared" si="1"/>
        <v>9.7951490000000003</v>
      </c>
      <c r="G30" s="1055" t="s">
        <v>1732</v>
      </c>
      <c r="H30" s="828">
        <v>0.65</v>
      </c>
      <c r="I30" s="828">
        <f t="shared" si="2"/>
        <v>6.9965349999999997</v>
      </c>
      <c r="J30" s="828" t="s">
        <v>1560</v>
      </c>
      <c r="K30" s="828" t="s">
        <v>22</v>
      </c>
      <c r="L30" s="1059" t="s">
        <v>1828</v>
      </c>
      <c r="M30" s="181"/>
      <c r="N30" s="1084" t="str">
        <f>IF('6b - General Lighting'!$X$131=0,'Lighting Assumptions 90.1-2013'!O7,IF('6b - General Lighting'!$X$131=1,'Lighting Assumptions 90.1-2013'!Q7,IF('6b - General Lighting'!$X$131=2,'Lighting Assumptions 90.1-2013'!S7,IF('6b - General Lighting'!$X$131=3,'Lighting Assumptions 90.1-2013'!U7,IF('6b - General Lighting'!$X$131=4,'Lighting Assumptions 90.1-2013'!W7,"")))))</f>
        <v/>
      </c>
    </row>
    <row r="31" spans="1:15" s="839" customFormat="1" ht="15" customHeight="1" x14ac:dyDescent="0.25">
      <c r="A31" s="806"/>
      <c r="B31" s="42"/>
      <c r="C31" s="806"/>
      <c r="D31" s="1059" t="s">
        <v>72</v>
      </c>
      <c r="E31" s="830">
        <v>0.89</v>
      </c>
      <c r="F31" s="828">
        <f t="shared" si="1"/>
        <v>9.5798709999999989</v>
      </c>
      <c r="G31" s="1055" t="s">
        <v>1733</v>
      </c>
      <c r="H31" s="828">
        <v>0.89</v>
      </c>
      <c r="I31" s="828">
        <f t="shared" si="2"/>
        <v>9.5798709999999989</v>
      </c>
      <c r="J31" s="828" t="s">
        <v>1560</v>
      </c>
      <c r="K31" s="828" t="s">
        <v>22</v>
      </c>
      <c r="L31" s="1059" t="s">
        <v>1829</v>
      </c>
      <c r="M31" s="181"/>
      <c r="N31" s="1084" t="str">
        <f>IF('6b - General Lighting'!$X$131=0,'Lighting Assumptions 90.1-2013'!O8,IF('6b - General Lighting'!$X$131=1,'Lighting Assumptions 90.1-2013'!Q8,IF('6b - General Lighting'!$X$131=2,'Lighting Assumptions 90.1-2013'!S8,IF('6b - General Lighting'!$X$131=3,'Lighting Assumptions 90.1-2013'!U8,IF('6b - General Lighting'!$X$131=4,'Lighting Assumptions 90.1-2013'!W8,"")))))</f>
        <v/>
      </c>
    </row>
    <row r="32" spans="1:15" s="839" customFormat="1" ht="15" customHeight="1" x14ac:dyDescent="0.25">
      <c r="A32" s="806"/>
      <c r="B32" s="42"/>
      <c r="C32" s="806"/>
      <c r="D32" s="1059" t="s">
        <v>73</v>
      </c>
      <c r="E32" s="830">
        <v>0.7</v>
      </c>
      <c r="F32" s="828">
        <f t="shared" si="1"/>
        <v>7.5347299999999988</v>
      </c>
      <c r="G32" s="1055" t="s">
        <v>1734</v>
      </c>
      <c r="H32" s="828">
        <v>0.65</v>
      </c>
      <c r="I32" s="828">
        <f t="shared" si="2"/>
        <v>6.9965349999999997</v>
      </c>
      <c r="J32" s="828" t="s">
        <v>1560</v>
      </c>
      <c r="K32" s="828" t="s">
        <v>22</v>
      </c>
      <c r="L32" s="1059" t="s">
        <v>1830</v>
      </c>
      <c r="M32" s="181"/>
      <c r="N32" s="1084" t="str">
        <f>IF('6b - General Lighting'!$X$131=0,'Lighting Assumptions 90.1-2013'!O9,IF('6b - General Lighting'!$X$131=1,'Lighting Assumptions 90.1-2013'!Q9,IF('6b - General Lighting'!$X$131=2,'Lighting Assumptions 90.1-2013'!S9,IF('6b - General Lighting'!$X$131=3,'Lighting Assumptions 90.1-2013'!U9,IF('6b - General Lighting'!$X$131=4,'Lighting Assumptions 90.1-2013'!W9,"")))))</f>
        <v/>
      </c>
    </row>
    <row r="33" spans="1:23" s="839" customFormat="1" ht="15" customHeight="1" x14ac:dyDescent="0.25">
      <c r="A33" s="806"/>
      <c r="B33" s="42"/>
      <c r="C33" s="806"/>
      <c r="D33" s="1059" t="s">
        <v>74</v>
      </c>
      <c r="E33" s="830">
        <v>0.66</v>
      </c>
      <c r="F33" s="828">
        <f t="shared" si="1"/>
        <v>7.1041740000000004</v>
      </c>
      <c r="G33" s="1055" t="s">
        <v>1735</v>
      </c>
      <c r="H33" s="828">
        <v>0.42</v>
      </c>
      <c r="I33" s="828">
        <f t="shared" si="2"/>
        <v>4.5208379999999995</v>
      </c>
      <c r="J33" s="828" t="s">
        <v>1560</v>
      </c>
      <c r="K33" s="828" t="s">
        <v>22</v>
      </c>
      <c r="L33" s="1059" t="s">
        <v>1831</v>
      </c>
      <c r="M33" s="181"/>
      <c r="N33" s="1084" t="str">
        <f>IF('6b - General Lighting'!$X$131=0,'Lighting Assumptions 90.1-2013'!O10,IF('6b - General Lighting'!$X$131=1,'Lighting Assumptions 90.1-2013'!Q10,IF('6b - General Lighting'!$X$131=2,'Lighting Assumptions 90.1-2013'!S10,IF('6b - General Lighting'!$X$131=3,'Lighting Assumptions 90.1-2013'!U10,IF('6b - General Lighting'!$X$131=4,'Lighting Assumptions 90.1-2013'!W10,"")))))</f>
        <v/>
      </c>
    </row>
    <row r="34" spans="1:23" s="839" customFormat="1" ht="15" customHeight="1" x14ac:dyDescent="0.25">
      <c r="A34" s="806"/>
      <c r="B34" s="42"/>
      <c r="C34" s="806"/>
      <c r="D34" s="178" t="s">
        <v>75</v>
      </c>
      <c r="E34" s="833">
        <v>1.119</v>
      </c>
      <c r="F34" s="828">
        <f t="shared" si="1"/>
        <v>12.0448041</v>
      </c>
      <c r="G34" s="1055" t="s">
        <v>1736</v>
      </c>
      <c r="H34" s="828">
        <v>0.56000000000000005</v>
      </c>
      <c r="I34" s="828">
        <f t="shared" si="2"/>
        <v>6.0277840000000005</v>
      </c>
      <c r="J34" s="828" t="s">
        <v>1560</v>
      </c>
      <c r="K34" s="828" t="s">
        <v>22</v>
      </c>
      <c r="L34" s="1059" t="s">
        <v>1832</v>
      </c>
      <c r="M34" s="181"/>
      <c r="N34" s="1084" t="str">
        <f>IF('6b - General Lighting'!$X$131=0,'Lighting Assumptions 90.1-2013'!O11,IF('6b - General Lighting'!$X$131=1,'Lighting Assumptions 90.1-2013'!Q11,IF('6b - General Lighting'!$X$131=2,'Lighting Assumptions 90.1-2013'!S11,IF('6b - General Lighting'!$X$131=3,'Lighting Assumptions 90.1-2013'!U11,IF('6b - General Lighting'!$X$131=4,'Lighting Assumptions 90.1-2013'!W11,"")))))</f>
        <v/>
      </c>
    </row>
    <row r="35" spans="1:23" s="839" customFormat="1" ht="15" customHeight="1" x14ac:dyDescent="0.25">
      <c r="A35" s="806"/>
      <c r="B35" s="42"/>
      <c r="C35" s="806"/>
      <c r="D35" s="832"/>
      <c r="E35" s="833"/>
      <c r="F35" s="1072"/>
      <c r="G35" s="1055" t="s">
        <v>1737</v>
      </c>
      <c r="H35" s="828">
        <v>1.21</v>
      </c>
      <c r="I35" s="828">
        <f t="shared" si="2"/>
        <v>13.024318999999998</v>
      </c>
      <c r="J35" s="828" t="s">
        <v>1560</v>
      </c>
      <c r="K35" s="828" t="s">
        <v>22</v>
      </c>
      <c r="L35" s="1059" t="s">
        <v>1833</v>
      </c>
      <c r="M35" s="181"/>
      <c r="N35" s="1084" t="str">
        <f>IF('6b - General Lighting'!$X$131=0,'Lighting Assumptions 90.1-2013'!O12,IF('6b - General Lighting'!$X$131=1,'Lighting Assumptions 90.1-2013'!Q12,IF('6b - General Lighting'!$X$131=2,'Lighting Assumptions 90.1-2013'!S12,IF('6b - General Lighting'!$X$131=3,'Lighting Assumptions 90.1-2013'!U12,IF('6b - General Lighting'!$X$131=4,'Lighting Assumptions 90.1-2013'!W12,"")))))</f>
        <v/>
      </c>
    </row>
    <row r="36" spans="1:23" s="839" customFormat="1" ht="15" customHeight="1" x14ac:dyDescent="0.25">
      <c r="A36" s="806"/>
      <c r="B36" s="42"/>
      <c r="C36" s="806"/>
      <c r="E36" s="1070"/>
      <c r="F36" s="1070"/>
      <c r="G36" s="1055" t="s">
        <v>1738</v>
      </c>
      <c r="H36" s="828">
        <v>0.91</v>
      </c>
      <c r="I36" s="828">
        <f t="shared" si="2"/>
        <v>9.7951490000000003</v>
      </c>
      <c r="J36" s="828" t="s">
        <v>1560</v>
      </c>
      <c r="K36" s="828" t="s">
        <v>22</v>
      </c>
      <c r="L36" s="1059" t="s">
        <v>1834</v>
      </c>
      <c r="M36" s="181"/>
      <c r="N36" s="1084" t="str">
        <f>IF('6b - General Lighting'!$X$131=0,'Lighting Assumptions 90.1-2013'!O13,IF('6b - General Lighting'!$X$131=1,'Lighting Assumptions 90.1-2013'!Q13,IF('6b - General Lighting'!$X$131=2,'Lighting Assumptions 90.1-2013'!S13,IF('6b - General Lighting'!$X$131=3,'Lighting Assumptions 90.1-2013'!U13,IF('6b - General Lighting'!$X$131=4,'Lighting Assumptions 90.1-2013'!W13,"")))))</f>
        <v/>
      </c>
    </row>
    <row r="37" spans="1:23" s="839" customFormat="1" ht="15" customHeight="1" x14ac:dyDescent="0.25">
      <c r="A37" s="806"/>
      <c r="B37" s="42"/>
      <c r="C37" s="806"/>
      <c r="E37" s="1070"/>
      <c r="F37" s="1070"/>
      <c r="G37" s="1055" t="s">
        <v>1739</v>
      </c>
      <c r="H37" s="1073">
        <v>0.93</v>
      </c>
      <c r="I37" s="1073">
        <f t="shared" si="2"/>
        <v>10.010427</v>
      </c>
      <c r="J37" s="1073" t="s">
        <v>22</v>
      </c>
      <c r="K37" s="1073" t="s">
        <v>22</v>
      </c>
      <c r="L37" s="1059" t="s">
        <v>1835</v>
      </c>
      <c r="M37" s="181"/>
      <c r="N37" s="1084" t="str">
        <f>IF('6b - General Lighting'!$X$131=0,'Lighting Assumptions 90.1-2013'!O14,IF('6b - General Lighting'!$X$131=1,'Lighting Assumptions 90.1-2013'!Q14,IF('6b - General Lighting'!$X$131=2,'Lighting Assumptions 90.1-2013'!S14,IF('6b - General Lighting'!$X$131=3,'Lighting Assumptions 90.1-2013'!U14,IF('6b - General Lighting'!$X$131=4,'Lighting Assumptions 90.1-2013'!W14,"")))))</f>
        <v/>
      </c>
    </row>
    <row r="38" spans="1:23" s="839" customFormat="1" ht="15" customHeight="1" x14ac:dyDescent="0.25">
      <c r="A38" s="806"/>
      <c r="B38" s="42"/>
      <c r="C38" s="806"/>
      <c r="E38" s="1070"/>
      <c r="F38" s="1070"/>
      <c r="G38" s="1055" t="s">
        <v>1740</v>
      </c>
      <c r="H38" s="828">
        <v>1.43</v>
      </c>
      <c r="I38" s="828">
        <f t="shared" si="2"/>
        <v>15.392376999999998</v>
      </c>
      <c r="J38" s="828" t="s">
        <v>22</v>
      </c>
      <c r="K38" s="828" t="s">
        <v>22</v>
      </c>
    </row>
    <row r="39" spans="1:23" s="839" customFormat="1" ht="15" customHeight="1" x14ac:dyDescent="0.25">
      <c r="A39" s="806"/>
      <c r="B39" s="42"/>
      <c r="C39" s="806"/>
      <c r="E39" s="1070"/>
      <c r="F39" s="1070"/>
      <c r="G39" s="1055" t="s">
        <v>1741</v>
      </c>
      <c r="H39" s="828">
        <v>1.81</v>
      </c>
      <c r="I39" s="828">
        <f t="shared" si="2"/>
        <v>19.482658999999998</v>
      </c>
      <c r="J39" s="828" t="s">
        <v>1560</v>
      </c>
      <c r="K39" s="828" t="s">
        <v>22</v>
      </c>
    </row>
    <row r="40" spans="1:23" s="839" customFormat="1" ht="15" customHeight="1" x14ac:dyDescent="0.25">
      <c r="A40" s="806"/>
      <c r="B40" s="42"/>
      <c r="C40" s="806"/>
      <c r="G40" s="1055" t="s">
        <v>1742</v>
      </c>
      <c r="H40" s="828">
        <v>0.6</v>
      </c>
      <c r="I40" s="828">
        <f t="shared" si="2"/>
        <v>6.4583399999999997</v>
      </c>
      <c r="J40" s="828" t="s">
        <v>1560</v>
      </c>
      <c r="K40" s="828" t="s">
        <v>22</v>
      </c>
    </row>
    <row r="41" spans="1:23" s="839" customFormat="1" ht="15" customHeight="1" x14ac:dyDescent="0.25">
      <c r="A41" s="806"/>
      <c r="B41" s="42"/>
      <c r="C41" s="806"/>
      <c r="G41" s="1055" t="s">
        <v>1743</v>
      </c>
      <c r="H41" s="828">
        <v>0.47</v>
      </c>
      <c r="I41" s="828">
        <f t="shared" si="2"/>
        <v>5.0590329999999994</v>
      </c>
      <c r="J41" s="828" t="s">
        <v>1560</v>
      </c>
      <c r="K41" s="828" t="s">
        <v>22</v>
      </c>
    </row>
    <row r="42" spans="1:23" s="839" customFormat="1" ht="15" customHeight="1" x14ac:dyDescent="0.25">
      <c r="A42" s="806"/>
      <c r="B42" s="42"/>
      <c r="C42" s="806"/>
      <c r="G42" s="1055" t="s">
        <v>1744</v>
      </c>
      <c r="H42" s="828">
        <v>1.8</v>
      </c>
      <c r="I42" s="828">
        <f t="shared" si="2"/>
        <v>19.375019999999999</v>
      </c>
      <c r="J42" s="828" t="s">
        <v>22</v>
      </c>
      <c r="K42" s="828" t="s">
        <v>22</v>
      </c>
      <c r="N42" s="3680" t="s">
        <v>2194</v>
      </c>
      <c r="O42" s="3680"/>
      <c r="P42" s="3680" t="s">
        <v>2195</v>
      </c>
      <c r="Q42" s="3680"/>
      <c r="R42" s="3680" t="s">
        <v>2196</v>
      </c>
      <c r="S42" s="3680"/>
      <c r="T42" s="3680" t="s">
        <v>2197</v>
      </c>
      <c r="U42" s="3680"/>
      <c r="V42" s="3680" t="s">
        <v>2198</v>
      </c>
      <c r="W42" s="3680"/>
    </row>
    <row r="43" spans="1:23" s="839" customFormat="1" ht="42.75" customHeight="1" x14ac:dyDescent="0.25">
      <c r="A43" s="806"/>
      <c r="B43" s="42"/>
      <c r="C43" s="806"/>
      <c r="G43" s="1055" t="s">
        <v>1745</v>
      </c>
      <c r="H43" s="828">
        <v>0.64</v>
      </c>
      <c r="I43" s="828">
        <f t="shared" si="2"/>
        <v>6.8888959999999999</v>
      </c>
      <c r="J43" s="828" t="s">
        <v>1560</v>
      </c>
      <c r="K43" s="828" t="s">
        <v>22</v>
      </c>
      <c r="L43" s="3678" t="s">
        <v>95</v>
      </c>
      <c r="M43" s="3529" t="s">
        <v>96</v>
      </c>
      <c r="N43" s="987" t="s">
        <v>1808</v>
      </c>
      <c r="O43" s="987" t="s">
        <v>1809</v>
      </c>
      <c r="P43" s="987" t="s">
        <v>1808</v>
      </c>
      <c r="Q43" s="987" t="s">
        <v>1809</v>
      </c>
      <c r="R43" s="987" t="s">
        <v>1808</v>
      </c>
      <c r="S43" s="987" t="s">
        <v>1809</v>
      </c>
      <c r="T43" s="987" t="s">
        <v>1808</v>
      </c>
      <c r="U43" s="987" t="s">
        <v>1809</v>
      </c>
      <c r="V43" s="987" t="s">
        <v>1808</v>
      </c>
      <c r="W43" s="987" t="s">
        <v>1809</v>
      </c>
    </row>
    <row r="44" spans="1:23" s="839" customFormat="1" ht="15" customHeight="1" x14ac:dyDescent="0.25">
      <c r="A44" s="806"/>
      <c r="B44" s="42"/>
      <c r="C44" s="806"/>
      <c r="G44" s="1055" t="s">
        <v>1746</v>
      </c>
      <c r="H44" s="828">
        <v>1.06</v>
      </c>
      <c r="I44" s="828">
        <f t="shared" si="2"/>
        <v>11.409734</v>
      </c>
      <c r="J44" s="828" t="s">
        <v>1560</v>
      </c>
      <c r="K44" s="828" t="s">
        <v>22</v>
      </c>
      <c r="L44" s="3679"/>
      <c r="M44" s="3674"/>
      <c r="N44" s="834" t="s">
        <v>707</v>
      </c>
      <c r="O44" s="835" t="s">
        <v>708</v>
      </c>
      <c r="P44" s="834" t="s">
        <v>707</v>
      </c>
      <c r="Q44" s="835" t="s">
        <v>708</v>
      </c>
      <c r="R44" s="834" t="s">
        <v>707</v>
      </c>
      <c r="S44" s="835" t="s">
        <v>708</v>
      </c>
      <c r="T44" s="834" t="s">
        <v>707</v>
      </c>
      <c r="U44" s="835" t="s">
        <v>708</v>
      </c>
      <c r="V44" s="834" t="s">
        <v>707</v>
      </c>
      <c r="W44" s="835" t="s">
        <v>708</v>
      </c>
    </row>
    <row r="45" spans="1:23" s="839" customFormat="1" ht="15" customHeight="1" x14ac:dyDescent="0.25">
      <c r="A45" s="806"/>
      <c r="B45" s="42"/>
      <c r="C45" s="806"/>
      <c r="G45" s="1055" t="s">
        <v>1747</v>
      </c>
      <c r="H45" s="828">
        <v>0.59</v>
      </c>
      <c r="I45" s="828">
        <f t="shared" si="2"/>
        <v>6.350700999999999</v>
      </c>
      <c r="J45" s="828" t="s">
        <v>1560</v>
      </c>
      <c r="K45" s="828" t="s">
        <v>22</v>
      </c>
      <c r="L45" s="836"/>
      <c r="M45" s="1071"/>
      <c r="N45" s="836" t="str">
        <f t="shared" ref="N45:W45" si="8">N43&amp;" "&amp;N44</f>
        <v>W/sf or W/linear foot IP</v>
      </c>
      <c r="O45" s="837" t="str">
        <f t="shared" si="8"/>
        <v>W/sm or W/linear meter SI</v>
      </c>
      <c r="P45" s="836" t="str">
        <f t="shared" si="8"/>
        <v>W/sf or W/linear foot IP</v>
      </c>
      <c r="Q45" s="837" t="str">
        <f t="shared" si="8"/>
        <v>W/sm or W/linear meter SI</v>
      </c>
      <c r="R45" s="836" t="str">
        <f t="shared" si="8"/>
        <v>W/sf or W/linear foot IP</v>
      </c>
      <c r="S45" s="837" t="str">
        <f t="shared" si="8"/>
        <v>W/sm or W/linear meter SI</v>
      </c>
      <c r="T45" s="836" t="str">
        <f t="shared" si="8"/>
        <v>W/sf or W/linear foot IP</v>
      </c>
      <c r="U45" s="837" t="str">
        <f t="shared" si="8"/>
        <v>W/sm or W/linear meter SI</v>
      </c>
      <c r="V45" s="836" t="str">
        <f t="shared" si="8"/>
        <v>W/sf or W/linear foot IP</v>
      </c>
      <c r="W45" s="837" t="str">
        <f t="shared" si="8"/>
        <v>W/sm or W/linear meter SI</v>
      </c>
    </row>
    <row r="46" spans="1:23" s="839" customFormat="1" ht="15" customHeight="1" x14ac:dyDescent="0.25">
      <c r="A46" s="806"/>
      <c r="B46" s="42"/>
      <c r="C46" s="806"/>
      <c r="G46" s="1055" t="s">
        <v>1748</v>
      </c>
      <c r="H46" s="828">
        <v>2</v>
      </c>
      <c r="I46" s="828">
        <f t="shared" si="2"/>
        <v>21.527799999999999</v>
      </c>
      <c r="J46" s="828" t="s">
        <v>22</v>
      </c>
      <c r="K46" s="828" t="s">
        <v>22</v>
      </c>
      <c r="L46" s="1061" t="s">
        <v>86</v>
      </c>
      <c r="M46" s="1062" t="s">
        <v>91</v>
      </c>
      <c r="N46" s="1076" t="s">
        <v>2343</v>
      </c>
      <c r="O46" s="1076" t="s">
        <v>2343</v>
      </c>
      <c r="P46" s="1076" t="s">
        <v>2343</v>
      </c>
      <c r="Q46" s="1076" t="s">
        <v>2343</v>
      </c>
      <c r="R46" s="1076">
        <v>0.1</v>
      </c>
      <c r="S46" s="1078">
        <f>R46*10.7639</f>
        <v>1.07639</v>
      </c>
      <c r="T46" s="1076">
        <v>0.15</v>
      </c>
      <c r="U46" s="1078">
        <f>T46*10.7639</f>
        <v>1.6145849999999999</v>
      </c>
      <c r="V46" s="1076">
        <v>0.2</v>
      </c>
      <c r="W46" s="1078">
        <f>V46*10.7639</f>
        <v>2.1527799999999999</v>
      </c>
    </row>
    <row r="47" spans="1:23" s="839" customFormat="1" ht="15" customHeight="1" x14ac:dyDescent="0.25">
      <c r="A47" s="806"/>
      <c r="B47" s="42"/>
      <c r="C47" s="806"/>
      <c r="G47" s="1055" t="s">
        <v>1749</v>
      </c>
      <c r="H47" s="828">
        <v>0.9</v>
      </c>
      <c r="I47" s="828">
        <f t="shared" si="2"/>
        <v>9.6875099999999996</v>
      </c>
      <c r="J47" s="828" t="s">
        <v>22</v>
      </c>
      <c r="K47" s="828" t="s">
        <v>22</v>
      </c>
      <c r="L47" s="1059" t="s">
        <v>104</v>
      </c>
      <c r="M47" s="1064" t="s">
        <v>92</v>
      </c>
      <c r="N47" s="1076" t="s">
        <v>2343</v>
      </c>
      <c r="O47" s="1076" t="s">
        <v>2343</v>
      </c>
      <c r="P47" s="1079" t="s">
        <v>1838</v>
      </c>
      <c r="Q47" s="1079" t="s">
        <v>1838</v>
      </c>
      <c r="R47" s="1079" t="s">
        <v>1838</v>
      </c>
      <c r="S47" s="1079" t="s">
        <v>1838</v>
      </c>
      <c r="T47" s="1079" t="s">
        <v>1838</v>
      </c>
      <c r="U47" s="1079" t="s">
        <v>1838</v>
      </c>
      <c r="V47" s="1079" t="s">
        <v>1838</v>
      </c>
      <c r="W47" s="1079" t="s">
        <v>1838</v>
      </c>
    </row>
    <row r="48" spans="1:23" s="839" customFormat="1" ht="15" customHeight="1" x14ac:dyDescent="0.25">
      <c r="A48" s="806"/>
      <c r="B48" s="42"/>
      <c r="C48" s="806"/>
      <c r="G48" s="1055" t="s">
        <v>1750</v>
      </c>
      <c r="H48" s="828">
        <v>0.75</v>
      </c>
      <c r="I48" s="828">
        <f t="shared" si="2"/>
        <v>8.0729249999999997</v>
      </c>
      <c r="J48" s="828" t="s">
        <v>22</v>
      </c>
      <c r="K48" s="828" t="s">
        <v>22</v>
      </c>
      <c r="L48" s="1059" t="s">
        <v>87</v>
      </c>
      <c r="M48" s="1064" t="s">
        <v>91</v>
      </c>
      <c r="N48" s="1080" t="s">
        <v>2343</v>
      </c>
      <c r="O48" s="1080" t="s">
        <v>2343</v>
      </c>
      <c r="P48" s="1080">
        <v>0.75</v>
      </c>
      <c r="Q48" s="1080">
        <f>P48*10.7639</f>
        <v>8.0729249999999997</v>
      </c>
      <c r="R48" s="1080">
        <v>0.75</v>
      </c>
      <c r="S48" s="1080">
        <f>R48*10.7639</f>
        <v>8.0729249999999997</v>
      </c>
      <c r="T48" s="1080">
        <v>0.75</v>
      </c>
      <c r="U48" s="1080">
        <f>T48*10.7639</f>
        <v>8.0729249999999997</v>
      </c>
      <c r="V48" s="1080">
        <v>0.75</v>
      </c>
      <c r="W48" s="1080">
        <f>V48*10.7639</f>
        <v>8.0729249999999997</v>
      </c>
    </row>
    <row r="49" spans="1:23" s="839" customFormat="1" ht="15" customHeight="1" x14ac:dyDescent="0.25">
      <c r="A49" s="806"/>
      <c r="B49" s="42"/>
      <c r="C49" s="806"/>
      <c r="G49" s="1055" t="s">
        <v>1751</v>
      </c>
      <c r="H49" s="828">
        <v>0.92</v>
      </c>
      <c r="I49" s="828">
        <f t="shared" si="2"/>
        <v>9.9027879999999993</v>
      </c>
      <c r="J49" s="828" t="s">
        <v>22</v>
      </c>
      <c r="K49" s="828" t="s">
        <v>22</v>
      </c>
      <c r="L49" s="1059" t="s">
        <v>88</v>
      </c>
      <c r="M49" s="1064" t="s">
        <v>91</v>
      </c>
      <c r="N49" s="1080" t="s">
        <v>2343</v>
      </c>
      <c r="O49" s="1080" t="s">
        <v>2343</v>
      </c>
      <c r="P49" s="1080">
        <v>0.5</v>
      </c>
      <c r="Q49" s="1080">
        <f>P49*10.7639</f>
        <v>5.3819499999999998</v>
      </c>
      <c r="R49" s="1080">
        <v>0.5</v>
      </c>
      <c r="S49" s="1080">
        <f>R49*10.7639</f>
        <v>5.3819499999999998</v>
      </c>
      <c r="T49" s="1080">
        <v>0.5</v>
      </c>
      <c r="U49" s="1080">
        <f>T49*10.7639</f>
        <v>5.3819499999999998</v>
      </c>
      <c r="V49" s="1080">
        <v>0.5</v>
      </c>
      <c r="W49" s="1080">
        <f>V49*10.7639</f>
        <v>5.3819499999999998</v>
      </c>
    </row>
    <row r="50" spans="1:23" s="839" customFormat="1" ht="15" customHeight="1" x14ac:dyDescent="0.25">
      <c r="A50" s="806"/>
      <c r="B50" s="42"/>
      <c r="C50" s="806"/>
      <c r="G50" s="1055" t="s">
        <v>1752</v>
      </c>
      <c r="H50" s="828">
        <v>0.73</v>
      </c>
      <c r="I50" s="828">
        <f t="shared" si="2"/>
        <v>7.8576469999999992</v>
      </c>
      <c r="J50" s="828" t="s">
        <v>22</v>
      </c>
      <c r="K50" s="828" t="s">
        <v>22</v>
      </c>
      <c r="L50" s="1059" t="s">
        <v>89</v>
      </c>
      <c r="M50" s="1064" t="s">
        <v>92</v>
      </c>
      <c r="N50" s="1079" t="s">
        <v>2343</v>
      </c>
      <c r="O50" s="1081" t="s">
        <v>2343</v>
      </c>
      <c r="P50" s="1079">
        <v>400</v>
      </c>
      <c r="Q50" s="1079">
        <v>400</v>
      </c>
      <c r="R50" s="1079">
        <v>400</v>
      </c>
      <c r="S50" s="1079">
        <v>400</v>
      </c>
      <c r="T50" s="1079">
        <v>400</v>
      </c>
      <c r="U50" s="1079">
        <v>400</v>
      </c>
      <c r="V50" s="1079">
        <v>400</v>
      </c>
      <c r="W50" s="1079">
        <v>400</v>
      </c>
    </row>
    <row r="51" spans="1:23" s="839" customFormat="1" ht="15" customHeight="1" x14ac:dyDescent="0.25">
      <c r="A51" s="806"/>
      <c r="B51" s="42"/>
      <c r="C51" s="806"/>
      <c r="G51" s="1055" t="s">
        <v>1753</v>
      </c>
      <c r="H51" s="828">
        <v>1.1100000000000001</v>
      </c>
      <c r="I51" s="828">
        <f t="shared" si="2"/>
        <v>11.947929</v>
      </c>
      <c r="J51" s="828" t="s">
        <v>22</v>
      </c>
      <c r="K51" s="828" t="s">
        <v>22</v>
      </c>
      <c r="L51" s="1059" t="s">
        <v>90</v>
      </c>
      <c r="M51" s="1064" t="s">
        <v>92</v>
      </c>
      <c r="N51" s="1080" t="s">
        <v>2343</v>
      </c>
      <c r="O51" s="1080" t="s">
        <v>2343</v>
      </c>
      <c r="P51" s="1080">
        <v>800</v>
      </c>
      <c r="Q51" s="1080">
        <v>800</v>
      </c>
      <c r="R51" s="1080">
        <v>800</v>
      </c>
      <c r="S51" s="1080">
        <v>800</v>
      </c>
      <c r="T51" s="1080">
        <v>800</v>
      </c>
      <c r="U51" s="1080">
        <v>800</v>
      </c>
      <c r="V51" s="1080">
        <v>800</v>
      </c>
      <c r="W51" s="1080">
        <v>800</v>
      </c>
    </row>
    <row r="52" spans="1:23" s="839" customFormat="1" ht="15" customHeight="1" x14ac:dyDescent="0.25">
      <c r="A52" s="806"/>
      <c r="B52" s="42"/>
      <c r="C52" s="806"/>
      <c r="G52" s="1055" t="s">
        <v>1754</v>
      </c>
      <c r="H52" s="828">
        <v>0.8</v>
      </c>
      <c r="I52" s="828">
        <f t="shared" si="2"/>
        <v>8.6111199999999997</v>
      </c>
      <c r="J52" s="828" t="s">
        <v>1560</v>
      </c>
      <c r="K52" s="828" t="s">
        <v>22</v>
      </c>
      <c r="L52" s="1061" t="s">
        <v>86</v>
      </c>
      <c r="M52" s="1062" t="s">
        <v>92</v>
      </c>
      <c r="N52" s="1076" t="s">
        <v>2343</v>
      </c>
      <c r="O52" s="1077" t="s">
        <v>2343</v>
      </c>
      <c r="P52" s="1076" t="s">
        <v>2343</v>
      </c>
      <c r="Q52" s="1077" t="s">
        <v>2343</v>
      </c>
      <c r="R52" s="1076">
        <v>2.5</v>
      </c>
      <c r="S52" s="1078">
        <f>R52*3.28</f>
        <v>8.1999999999999993</v>
      </c>
      <c r="T52" s="1076">
        <v>3.75</v>
      </c>
      <c r="U52" s="1078">
        <f>T52*3.28</f>
        <v>12.299999999999999</v>
      </c>
      <c r="V52" s="1076">
        <v>5</v>
      </c>
      <c r="W52" s="1078">
        <f>V52*3.28</f>
        <v>16.399999999999999</v>
      </c>
    </row>
    <row r="53" spans="1:23" s="839" customFormat="1" ht="15" customHeight="1" x14ac:dyDescent="0.25">
      <c r="A53" s="806"/>
      <c r="B53" s="42"/>
      <c r="C53" s="806"/>
      <c r="G53" s="1055" t="s">
        <v>1755</v>
      </c>
      <c r="H53" s="828">
        <v>0.19</v>
      </c>
      <c r="I53" s="828">
        <f t="shared" si="2"/>
        <v>2.0451410000000001</v>
      </c>
      <c r="J53" s="828" t="s">
        <v>1560</v>
      </c>
      <c r="K53" s="828" t="s">
        <v>22</v>
      </c>
    </row>
    <row r="54" spans="1:23" s="839" customFormat="1" ht="15" customHeight="1" x14ac:dyDescent="0.25">
      <c r="A54" s="806"/>
      <c r="B54" s="42"/>
      <c r="C54" s="806"/>
      <c r="G54" s="1055" t="s">
        <v>1756</v>
      </c>
      <c r="H54" s="828">
        <v>0.19</v>
      </c>
      <c r="I54" s="828">
        <f t="shared" si="2"/>
        <v>2.0451410000000001</v>
      </c>
      <c r="J54" s="828" t="s">
        <v>1560</v>
      </c>
      <c r="K54" s="1085" t="s">
        <v>22</v>
      </c>
      <c r="L54" s="1086" t="str">
        <f>"IP"&amp;L46&amp;M46</f>
        <v>IPBuilding facadesArea</v>
      </c>
      <c r="N54" s="1086" t="str">
        <f>IF('6b - General Lighting'!$X$131=0,'Lighting Assumptions 90.1-2013'!N46,IF('6b - General Lighting'!$X$131=1,'Lighting Assumptions 90.1-2013'!P46,IF('6b - General Lighting'!$X$131=2,'Lighting Assumptions 90.1-2013'!R46,IF('6b - General Lighting'!$X$131=3,'Lighting Assumptions 90.1-2013'!T46,IF('6b - General Lighting'!$X$131=4,'Lighting Assumptions 90.1-2013'!V46,"")))))</f>
        <v/>
      </c>
    </row>
    <row r="55" spans="1:23" s="839" customFormat="1" ht="15" customHeight="1" x14ac:dyDescent="0.25">
      <c r="A55" s="806"/>
      <c r="B55" s="42"/>
      <c r="C55" s="806"/>
      <c r="G55" s="1055" t="s">
        <v>1757</v>
      </c>
      <c r="H55" s="828">
        <v>1.21</v>
      </c>
      <c r="I55" s="828">
        <f t="shared" si="2"/>
        <v>13.024318999999998</v>
      </c>
      <c r="J55" s="828" t="s">
        <v>22</v>
      </c>
      <c r="K55" s="1085" t="s">
        <v>22</v>
      </c>
      <c r="L55" s="1086" t="str">
        <f>"IP"&amp;L47</f>
        <v>IPATMs and night depositories</v>
      </c>
      <c r="N55" s="1086" t="str">
        <f>IF('6b - General Lighting'!$X$131=0,'Lighting Assumptions 90.1-2013'!N47,IF('6b - General Lighting'!$X$131=1,'Lighting Assumptions 90.1-2013'!P47,IF('6b - General Lighting'!$X$131=2,'Lighting Assumptions 90.1-2013'!R47,IF('6b - General Lighting'!$X$131=3,'Lighting Assumptions 90.1-2013'!T47,IF('6b - General Lighting'!$X$131=4,'Lighting Assumptions 90.1-2013'!V47,"")))))</f>
        <v/>
      </c>
    </row>
    <row r="56" spans="1:23" s="839" customFormat="1" ht="15" customHeight="1" x14ac:dyDescent="0.25">
      <c r="A56" s="806"/>
      <c r="B56" s="42"/>
      <c r="C56" s="806"/>
      <c r="G56" s="1055" t="s">
        <v>1758</v>
      </c>
      <c r="H56" s="828">
        <v>0.98</v>
      </c>
      <c r="I56" s="828">
        <f t="shared" si="2"/>
        <v>10.548622</v>
      </c>
      <c r="J56" s="828" t="s">
        <v>22</v>
      </c>
      <c r="K56" s="1085" t="s">
        <v>22</v>
      </c>
      <c r="L56" s="1086" t="str">
        <f>"IP"&amp;L48</f>
        <v>IPEntrances and gatehouse inspection stations at guarded facilities</v>
      </c>
      <c r="N56" s="1086" t="str">
        <f>IF('6b - General Lighting'!$X$131=0,'Lighting Assumptions 90.1-2013'!N48,IF('6b - General Lighting'!$X$131=1,'Lighting Assumptions 90.1-2013'!P48,IF('6b - General Lighting'!$X$131=2,'Lighting Assumptions 90.1-2013'!R48,IF('6b - General Lighting'!$X$131=3,'Lighting Assumptions 90.1-2013'!T48,IF('6b - General Lighting'!$X$131=4,'Lighting Assumptions 90.1-2013'!V48,"")))))</f>
        <v/>
      </c>
    </row>
    <row r="57" spans="1:23" s="839" customFormat="1" ht="15" customHeight="1" x14ac:dyDescent="0.25">
      <c r="A57" s="806"/>
      <c r="B57" s="42"/>
      <c r="C57" s="806"/>
      <c r="G57" s="1055" t="s">
        <v>1759</v>
      </c>
      <c r="H57" s="828">
        <v>1.44</v>
      </c>
      <c r="I57" s="828">
        <f t="shared" si="2"/>
        <v>15.500015999999999</v>
      </c>
      <c r="J57" s="828" t="s">
        <v>1560</v>
      </c>
      <c r="K57" s="1085" t="s">
        <v>22</v>
      </c>
      <c r="L57" s="1086" t="str">
        <f>"IP"&amp;L49</f>
        <v>IPLoading areas for law enforcement, fire, ambulance, and other emergency service vehicles</v>
      </c>
      <c r="N57" s="1086" t="str">
        <f>IF('6b - General Lighting'!$X$131=0,'Lighting Assumptions 90.1-2013'!N49,IF('6b - General Lighting'!$X$131=1,'Lighting Assumptions 90.1-2013'!P49,IF('6b - General Lighting'!$X$131=2,'Lighting Assumptions 90.1-2013'!R49,IF('6b - General Lighting'!$X$131=3,'Lighting Assumptions 90.1-2013'!T49,IF('6b - General Lighting'!$X$131=4,'Lighting Assumptions 90.1-2013'!V49,"")))))</f>
        <v/>
      </c>
    </row>
    <row r="58" spans="1:23" s="839" customFormat="1" ht="15" customHeight="1" x14ac:dyDescent="0.25">
      <c r="A58" s="806"/>
      <c r="B58" s="42"/>
      <c r="C58" s="806"/>
      <c r="G58" s="1055" t="s">
        <v>1760</v>
      </c>
      <c r="H58" s="828">
        <v>0.54</v>
      </c>
      <c r="I58" s="828">
        <f t="shared" si="2"/>
        <v>5.812506</v>
      </c>
      <c r="J58" s="828" t="s">
        <v>1560</v>
      </c>
      <c r="K58" s="1085" t="s">
        <v>22</v>
      </c>
      <c r="L58" s="1086" t="str">
        <f>"IP"&amp;L50</f>
        <v>IPDrive-through windows at fast food restaurants</v>
      </c>
      <c r="N58" s="1086" t="str">
        <f>IF('6b - General Lighting'!$X$131=0,'Lighting Assumptions 90.1-2013'!N50,IF('6b - General Lighting'!$X$131=1,'Lighting Assumptions 90.1-2013'!P50,IF('6b - General Lighting'!$X$131=2,'Lighting Assumptions 90.1-2013'!R50,IF('6b - General Lighting'!$X$131=3,'Lighting Assumptions 90.1-2013'!T50,IF('6b - General Lighting'!$X$131=4,'Lighting Assumptions 90.1-2013'!V50,"")))))</f>
        <v/>
      </c>
    </row>
    <row r="59" spans="1:23" s="839" customFormat="1" ht="15" customHeight="1" x14ac:dyDescent="0.25">
      <c r="A59" s="806"/>
      <c r="B59" s="42"/>
      <c r="C59" s="806"/>
      <c r="G59" s="1055" t="s">
        <v>1761</v>
      </c>
      <c r="H59" s="828">
        <v>0.69</v>
      </c>
      <c r="I59" s="828">
        <f t="shared" si="2"/>
        <v>7.427090999999999</v>
      </c>
      <c r="J59" s="828" t="s">
        <v>22</v>
      </c>
      <c r="K59" s="1085" t="s">
        <v>22</v>
      </c>
      <c r="L59" s="1086" t="str">
        <f>"IP"&amp;L51</f>
        <v>IPParking near 24-hour retail entrances</v>
      </c>
      <c r="N59" s="1086" t="str">
        <f>IF('6b - General Lighting'!$X$131=0,'Lighting Assumptions 90.1-2013'!N51,IF('6b - General Lighting'!$X$131=1,'Lighting Assumptions 90.1-2013'!P51,IF('6b - General Lighting'!$X$131=2,'Lighting Assumptions 90.1-2013'!R51,IF('6b - General Lighting'!$X$131=3,'Lighting Assumptions 90.1-2013'!T51,IF('6b - General Lighting'!$X$131=4,'Lighting Assumptions 90.1-2013'!V51,"")))))</f>
        <v/>
      </c>
    </row>
    <row r="60" spans="1:23" s="839" customFormat="1" ht="15" customHeight="1" x14ac:dyDescent="0.25">
      <c r="A60" s="806"/>
      <c r="B60" s="42"/>
      <c r="C60" s="806"/>
      <c r="G60" s="1055" t="s">
        <v>1762</v>
      </c>
      <c r="H60" s="828">
        <v>0.63</v>
      </c>
      <c r="I60" s="828">
        <f t="shared" si="2"/>
        <v>6.7812570000000001</v>
      </c>
      <c r="J60" s="828" t="s">
        <v>1560</v>
      </c>
      <c r="K60" s="1085" t="s">
        <v>22</v>
      </c>
      <c r="L60" s="1086" t="str">
        <f>"IP"&amp;L52&amp;M52</f>
        <v>IPBuilding facadesLength</v>
      </c>
      <c r="N60" s="1086" t="str">
        <f>IF('6b - General Lighting'!$X$131=0,'Lighting Assumptions 90.1-2013'!N52,IF('6b - General Lighting'!$X$131=1,'Lighting Assumptions 90.1-2013'!P52,IF('6b - General Lighting'!$X$131=2,'Lighting Assumptions 90.1-2013'!R52,IF('6b - General Lighting'!$X$131=3,'Lighting Assumptions 90.1-2013'!T52,IF('6b - General Lighting'!$X$131=4,'Lighting Assumptions 90.1-2013'!V52,"")))))</f>
        <v/>
      </c>
    </row>
    <row r="61" spans="1:23" s="839" customFormat="1" ht="15" customHeight="1" x14ac:dyDescent="0.25">
      <c r="A61" s="806"/>
      <c r="B61" s="42"/>
      <c r="C61" s="806"/>
      <c r="G61" s="1055" t="s">
        <v>1763</v>
      </c>
      <c r="H61" s="828">
        <v>0.63</v>
      </c>
      <c r="I61" s="828">
        <f t="shared" si="2"/>
        <v>6.7812570000000001</v>
      </c>
      <c r="J61" s="828" t="s">
        <v>22</v>
      </c>
      <c r="K61" s="1085" t="s">
        <v>22</v>
      </c>
      <c r="L61" s="1086" t="str">
        <f>"SI"&amp;L46&amp;M46</f>
        <v>SIBuilding facadesArea</v>
      </c>
      <c r="N61" s="1086" t="str">
        <f>IF('6b - General Lighting'!$X$131=0,'Lighting Assumptions 90.1-2013'!O46,IF('6b - General Lighting'!$X$131=1,'Lighting Assumptions 90.1-2013'!Q46,IF('6b - General Lighting'!$X$131=2,'Lighting Assumptions 90.1-2013'!S46,IF('6b - General Lighting'!$X$131=3,'Lighting Assumptions 90.1-2013'!U46,IF('6b - General Lighting'!$X$131=4,'Lighting Assumptions 90.1-2013'!W46,"")))))</f>
        <v/>
      </c>
    </row>
    <row r="62" spans="1:23" s="839" customFormat="1" ht="15" customHeight="1" x14ac:dyDescent="0.25">
      <c r="A62" s="806"/>
      <c r="B62" s="42"/>
      <c r="C62" s="806"/>
      <c r="G62" s="1055" t="s">
        <v>1764</v>
      </c>
      <c r="H62" s="828">
        <v>1.24</v>
      </c>
      <c r="I62" s="828">
        <f t="shared" si="2"/>
        <v>13.347235999999999</v>
      </c>
      <c r="J62" s="828" t="s">
        <v>1560</v>
      </c>
      <c r="K62" s="1085" t="s">
        <v>22</v>
      </c>
      <c r="L62" s="1086" t="str">
        <f>"SI"&amp;L47</f>
        <v>SIATMs and night depositories</v>
      </c>
      <c r="N62" s="1086" t="str">
        <f>IF('6b - General Lighting'!$X$131=0,'Lighting Assumptions 90.1-2013'!O47,IF('6b - General Lighting'!$X$131=1,'Lighting Assumptions 90.1-2013'!Q47,IF('6b - General Lighting'!$X$131=2,'Lighting Assumptions 90.1-2013'!S47,IF('6b - General Lighting'!$X$131=3,'Lighting Assumptions 90.1-2013'!U47,IF('6b - General Lighting'!$X$131=4,'Lighting Assumptions 90.1-2013'!W47,"")))))</f>
        <v/>
      </c>
    </row>
    <row r="63" spans="1:23" s="839" customFormat="1" ht="15" customHeight="1" x14ac:dyDescent="0.25">
      <c r="A63" s="806"/>
      <c r="B63" s="42"/>
      <c r="C63" s="806"/>
      <c r="G63" s="1055" t="s">
        <v>1765</v>
      </c>
      <c r="H63" s="828">
        <v>0.67</v>
      </c>
      <c r="I63" s="828">
        <f t="shared" si="2"/>
        <v>7.2118130000000003</v>
      </c>
      <c r="J63" s="828" t="s">
        <v>1560</v>
      </c>
      <c r="K63" s="1085" t="s">
        <v>22</v>
      </c>
      <c r="L63" s="1086" t="str">
        <f>"SI"&amp;L48</f>
        <v>SIEntrances and gatehouse inspection stations at guarded facilities</v>
      </c>
      <c r="N63" s="1086" t="str">
        <f>IF('6b - General Lighting'!$X$131=0,'Lighting Assumptions 90.1-2013'!O48,IF('6b - General Lighting'!$X$131=1,'Lighting Assumptions 90.1-2013'!Q48,IF('6b - General Lighting'!$X$131=2,'Lighting Assumptions 90.1-2013'!S48,IF('6b - General Lighting'!$X$131=3,'Lighting Assumptions 90.1-2013'!U48,IF('6b - General Lighting'!$X$131=4,'Lighting Assumptions 90.1-2013'!W48,"")))))</f>
        <v/>
      </c>
    </row>
    <row r="64" spans="1:23" s="839" customFormat="1" ht="15" customHeight="1" x14ac:dyDescent="0.25">
      <c r="A64" s="806"/>
      <c r="B64" s="42"/>
      <c r="C64" s="806"/>
      <c r="G64" s="1055" t="s">
        <v>75</v>
      </c>
      <c r="H64" s="828">
        <v>1.59</v>
      </c>
      <c r="I64" s="828">
        <f t="shared" si="2"/>
        <v>17.114601</v>
      </c>
      <c r="J64" s="828" t="s">
        <v>1560</v>
      </c>
      <c r="K64" s="1085" t="s">
        <v>22</v>
      </c>
      <c r="L64" s="1086" t="str">
        <f>"SI"&amp;L49</f>
        <v>SILoading areas for law enforcement, fire, ambulance, and other emergency service vehicles</v>
      </c>
      <c r="N64" s="1086" t="str">
        <f>IF('6b - General Lighting'!$X$131=0,'Lighting Assumptions 90.1-2013'!O49,IF('6b - General Lighting'!$X$131=1,'Lighting Assumptions 90.1-2013'!Q49,IF('6b - General Lighting'!$X$131=2,'Lighting Assumptions 90.1-2013'!S49,IF('6b - General Lighting'!$X$131=3,'Lighting Assumptions 90.1-2013'!U49,IF('6b - General Lighting'!$X$131=4,'Lighting Assumptions 90.1-2013'!W49,"")))))</f>
        <v/>
      </c>
    </row>
    <row r="65" spans="1:14" s="839" customFormat="1" ht="15" customHeight="1" x14ac:dyDescent="0.25">
      <c r="A65" s="806"/>
      <c r="B65" s="42"/>
      <c r="C65" s="806"/>
      <c r="G65" s="1055" t="s">
        <v>1766</v>
      </c>
      <c r="H65" s="828">
        <v>2.21</v>
      </c>
      <c r="I65" s="828">
        <f t="shared" si="2"/>
        <v>23.788218999999998</v>
      </c>
      <c r="J65" s="828" t="s">
        <v>1560</v>
      </c>
      <c r="K65" s="1085" t="s">
        <v>22</v>
      </c>
      <c r="L65" s="1086" t="str">
        <f>"SI"&amp;L50</f>
        <v>SIDrive-through windows at fast food restaurants</v>
      </c>
      <c r="N65" s="1086" t="str">
        <f>IF('6b - General Lighting'!$X$131=0,'Lighting Assumptions 90.1-2013'!O50,IF('6b - General Lighting'!$X$131=1,'Lighting Assumptions 90.1-2013'!Q50,IF('6b - General Lighting'!$X$131=2,'Lighting Assumptions 90.1-2013'!S50,IF('6b - General Lighting'!$X$131=3,'Lighting Assumptions 90.1-2013'!U50,IF('6b - General Lighting'!$X$131=4,'Lighting Assumptions 90.1-2013'!W50,"")))))</f>
        <v/>
      </c>
    </row>
    <row r="66" spans="1:14" s="839" customFormat="1" ht="15" customHeight="1" x14ac:dyDescent="0.25">
      <c r="A66" s="806"/>
      <c r="B66" s="42"/>
      <c r="C66" s="806"/>
      <c r="G66" s="1055" t="s">
        <v>1767</v>
      </c>
      <c r="H66" s="828">
        <v>2.41</v>
      </c>
      <c r="I66" s="828">
        <f t="shared" si="2"/>
        <v>25.940999000000001</v>
      </c>
      <c r="J66" s="828" t="s">
        <v>1560</v>
      </c>
      <c r="K66" s="1085" t="s">
        <v>1560</v>
      </c>
      <c r="L66" s="1086" t="str">
        <f>"SI"&amp;L51</f>
        <v>SIParking near 24-hour retail entrances</v>
      </c>
      <c r="N66" s="1086" t="str">
        <f>IF('6b - General Lighting'!$X$131=0,'Lighting Assumptions 90.1-2013'!O51,IF('6b - General Lighting'!$X$131=1,'Lighting Assumptions 90.1-2013'!Q51,IF('6b - General Lighting'!$X$131=2,'Lighting Assumptions 90.1-2013'!S51,IF('6b - General Lighting'!$X$131=3,'Lighting Assumptions 90.1-2013'!U51,IF('6b - General Lighting'!$X$131=4,'Lighting Assumptions 90.1-2013'!W51,"")))))</f>
        <v/>
      </c>
    </row>
    <row r="67" spans="1:14" s="839" customFormat="1" ht="15" customHeight="1" x14ac:dyDescent="0.25">
      <c r="A67" s="806"/>
      <c r="B67" s="42"/>
      <c r="C67" s="806"/>
      <c r="G67" s="1055" t="s">
        <v>1768</v>
      </c>
      <c r="H67" s="828">
        <v>1.45</v>
      </c>
      <c r="I67" s="828">
        <f t="shared" si="2"/>
        <v>15.607654999999999</v>
      </c>
      <c r="J67" s="828" t="s">
        <v>1560</v>
      </c>
      <c r="K67" s="1085" t="s">
        <v>22</v>
      </c>
      <c r="L67" s="1086" t="str">
        <f>"SI"&amp;L52&amp;M52</f>
        <v>SIBuilding facadesLength</v>
      </c>
      <c r="N67" s="1086" t="str">
        <f>IF('6b - General Lighting'!$X$131=0,'Lighting Assumptions 90.1-2013'!O52,IF('6b - General Lighting'!$X$131=1,'Lighting Assumptions 90.1-2013'!Q52,IF('6b - General Lighting'!$X$131=2,'Lighting Assumptions 90.1-2013'!S52,IF('6b - General Lighting'!$X$131=3,'Lighting Assumptions 90.1-2013'!U52,IF('6b - General Lighting'!$X$131=4,'Lighting Assumptions 90.1-2013'!W52,"")))))</f>
        <v/>
      </c>
    </row>
    <row r="68" spans="1:14" s="839" customFormat="1" ht="15" customHeight="1" x14ac:dyDescent="0.25">
      <c r="A68" s="806"/>
      <c r="B68" s="42"/>
      <c r="C68" s="806"/>
      <c r="G68" s="1055" t="s">
        <v>1769</v>
      </c>
      <c r="H68" s="828">
        <v>0.38</v>
      </c>
      <c r="I68" s="828">
        <f t="shared" ref="I68:I105" si="9">H68*10.7639</f>
        <v>4.0902820000000002</v>
      </c>
      <c r="J68" s="828" t="s">
        <v>1560</v>
      </c>
      <c r="K68" s="828" t="s">
        <v>1560</v>
      </c>
    </row>
    <row r="69" spans="1:14" s="839" customFormat="1" ht="15" customHeight="1" x14ac:dyDescent="0.25">
      <c r="A69" s="806"/>
      <c r="B69" s="42"/>
      <c r="C69" s="806"/>
      <c r="G69" s="1055" t="s">
        <v>1770</v>
      </c>
      <c r="H69" s="828">
        <v>0.22</v>
      </c>
      <c r="I69" s="828">
        <f t="shared" si="9"/>
        <v>2.368058</v>
      </c>
      <c r="J69" s="828" t="s">
        <v>1560</v>
      </c>
      <c r="K69" s="828" t="s">
        <v>1560</v>
      </c>
    </row>
    <row r="70" spans="1:14" s="839" customFormat="1" ht="15" customHeight="1" x14ac:dyDescent="0.25">
      <c r="A70" s="806"/>
      <c r="B70" s="42"/>
      <c r="C70" s="806"/>
      <c r="G70" s="1055" t="s">
        <v>1771</v>
      </c>
      <c r="H70" s="828">
        <v>0.72</v>
      </c>
      <c r="I70" s="828">
        <f t="shared" si="9"/>
        <v>7.7500079999999993</v>
      </c>
      <c r="J70" s="828" t="s">
        <v>1560</v>
      </c>
      <c r="K70" s="828" t="s">
        <v>22</v>
      </c>
    </row>
    <row r="71" spans="1:14" s="839" customFormat="1" ht="15" customHeight="1" x14ac:dyDescent="0.25">
      <c r="A71" s="806"/>
      <c r="B71" s="42"/>
      <c r="C71" s="806"/>
      <c r="G71" s="1055" t="s">
        <v>1772</v>
      </c>
      <c r="H71" s="828">
        <v>1.2</v>
      </c>
      <c r="I71" s="828">
        <f t="shared" si="9"/>
        <v>12.916679999999999</v>
      </c>
      <c r="J71" s="828" t="s">
        <v>1560</v>
      </c>
      <c r="K71" s="828" t="s">
        <v>22</v>
      </c>
    </row>
    <row r="72" spans="1:14" s="839" customFormat="1" ht="15" customHeight="1" x14ac:dyDescent="0.25">
      <c r="A72" s="806"/>
      <c r="B72" s="42"/>
      <c r="C72" s="806"/>
      <c r="G72" s="1055" t="s">
        <v>1773</v>
      </c>
      <c r="H72" s="1073">
        <v>1.68</v>
      </c>
      <c r="I72" s="1073">
        <f t="shared" si="9"/>
        <v>18.083351999999998</v>
      </c>
      <c r="J72" s="1073" t="s">
        <v>22</v>
      </c>
      <c r="K72" s="1073" t="s">
        <v>22</v>
      </c>
      <c r="L72" s="1194"/>
    </row>
    <row r="73" spans="1:14" s="839" customFormat="1" ht="15" customHeight="1" x14ac:dyDescent="0.25">
      <c r="A73" s="806"/>
      <c r="B73" s="42"/>
      <c r="C73" s="806"/>
      <c r="G73" s="1055" t="s">
        <v>1774</v>
      </c>
      <c r="H73" s="828">
        <v>1.66</v>
      </c>
      <c r="I73" s="828">
        <f t="shared" si="9"/>
        <v>17.868074</v>
      </c>
      <c r="J73" s="828" t="s">
        <v>1560</v>
      </c>
      <c r="K73" s="828" t="s">
        <v>22</v>
      </c>
    </row>
    <row r="74" spans="1:14" s="839" customFormat="1" ht="15" customHeight="1" x14ac:dyDescent="0.25">
      <c r="A74" s="806"/>
      <c r="B74" s="42"/>
      <c r="C74" s="806"/>
      <c r="G74" s="1055" t="s">
        <v>1775</v>
      </c>
      <c r="H74" s="828">
        <v>1.51</v>
      </c>
      <c r="I74" s="828">
        <f t="shared" si="9"/>
        <v>16.253488999999998</v>
      </c>
      <c r="J74" s="828" t="s">
        <v>1560</v>
      </c>
      <c r="K74" s="828" t="s">
        <v>1560</v>
      </c>
    </row>
    <row r="75" spans="1:14" s="839" customFormat="1" ht="15" customHeight="1" x14ac:dyDescent="0.25">
      <c r="A75" s="806"/>
      <c r="B75" s="42"/>
      <c r="C75" s="806"/>
      <c r="G75" s="1055" t="s">
        <v>1776</v>
      </c>
      <c r="H75" s="828">
        <v>0.74</v>
      </c>
      <c r="I75" s="828">
        <f t="shared" si="9"/>
        <v>7.9652859999999999</v>
      </c>
      <c r="J75" s="828" t="s">
        <v>1560</v>
      </c>
      <c r="K75" s="828" t="s">
        <v>22</v>
      </c>
    </row>
    <row r="76" spans="1:14" s="839" customFormat="1" ht="15" customHeight="1" x14ac:dyDescent="0.25">
      <c r="A76" s="806"/>
      <c r="B76" s="42"/>
      <c r="C76" s="806"/>
      <c r="G76" s="1055" t="s">
        <v>1777</v>
      </c>
      <c r="H76" s="828">
        <v>0.88</v>
      </c>
      <c r="I76" s="828">
        <f t="shared" si="9"/>
        <v>9.472232</v>
      </c>
      <c r="J76" s="828" t="s">
        <v>1560</v>
      </c>
      <c r="K76" s="828" t="s">
        <v>22</v>
      </c>
    </row>
    <row r="77" spans="1:14" s="839" customFormat="1" ht="15" customHeight="1" x14ac:dyDescent="0.25">
      <c r="A77" s="806"/>
      <c r="B77" s="42"/>
      <c r="C77" s="806"/>
      <c r="G77" s="1055" t="s">
        <v>1778</v>
      </c>
      <c r="H77" s="828">
        <v>0.71</v>
      </c>
      <c r="I77" s="828">
        <f t="shared" si="9"/>
        <v>7.6423689999999995</v>
      </c>
      <c r="J77" s="828" t="s">
        <v>1560</v>
      </c>
      <c r="K77" s="828" t="s">
        <v>22</v>
      </c>
    </row>
    <row r="78" spans="1:14" s="839" customFormat="1" ht="15" customHeight="1" x14ac:dyDescent="0.25">
      <c r="A78" s="806"/>
      <c r="B78" s="42"/>
      <c r="C78" s="806"/>
      <c r="G78" s="1055" t="s">
        <v>1779</v>
      </c>
      <c r="H78" s="828">
        <v>2.48</v>
      </c>
      <c r="I78" s="828">
        <f t="shared" si="9"/>
        <v>26.694471999999998</v>
      </c>
      <c r="J78" s="828" t="s">
        <v>1560</v>
      </c>
      <c r="K78" s="828" t="s">
        <v>1560</v>
      </c>
    </row>
    <row r="79" spans="1:14" s="839" customFormat="1" ht="15" customHeight="1" x14ac:dyDescent="0.25">
      <c r="A79" s="806"/>
      <c r="B79" s="42"/>
      <c r="C79" s="806"/>
      <c r="G79" s="1055" t="s">
        <v>1780</v>
      </c>
      <c r="H79" s="828">
        <v>0.62</v>
      </c>
      <c r="I79" s="828">
        <f t="shared" si="9"/>
        <v>6.6736179999999994</v>
      </c>
      <c r="J79" s="828" t="s">
        <v>1560</v>
      </c>
      <c r="K79" s="828" t="s">
        <v>22</v>
      </c>
    </row>
    <row r="80" spans="1:14" s="839" customFormat="1" ht="15" customHeight="1" x14ac:dyDescent="0.25">
      <c r="A80" s="806"/>
      <c r="B80" s="42"/>
      <c r="C80" s="806"/>
      <c r="G80" s="1055" t="s">
        <v>1781</v>
      </c>
      <c r="H80" s="828">
        <v>0.91</v>
      </c>
      <c r="I80" s="828">
        <f t="shared" si="9"/>
        <v>9.7951490000000003</v>
      </c>
      <c r="J80" s="828" t="s">
        <v>1560</v>
      </c>
      <c r="K80" s="828" t="s">
        <v>22</v>
      </c>
    </row>
    <row r="81" spans="1:15" s="839" customFormat="1" ht="15" customHeight="1" x14ac:dyDescent="0.25">
      <c r="A81" s="806"/>
      <c r="B81" s="42"/>
      <c r="C81" s="806"/>
      <c r="G81" s="1055" t="s">
        <v>1782</v>
      </c>
      <c r="H81" s="828">
        <v>1.1499999999999999</v>
      </c>
      <c r="I81" s="828">
        <f t="shared" si="9"/>
        <v>12.378484999999998</v>
      </c>
      <c r="J81" s="828" t="s">
        <v>1560</v>
      </c>
      <c r="K81" s="828" t="s">
        <v>22</v>
      </c>
    </row>
    <row r="82" spans="1:15" s="839" customFormat="1" ht="15" customHeight="1" x14ac:dyDescent="0.25">
      <c r="A82" s="806"/>
      <c r="B82" s="42"/>
      <c r="C82" s="806"/>
      <c r="G82" s="1055" t="s">
        <v>1783</v>
      </c>
      <c r="H82" s="828">
        <v>1.06</v>
      </c>
      <c r="I82" s="828">
        <f t="shared" si="9"/>
        <v>11.409734</v>
      </c>
      <c r="J82" s="828" t="s">
        <v>1560</v>
      </c>
      <c r="K82" s="828" t="s">
        <v>22</v>
      </c>
    </row>
    <row r="83" spans="1:15" s="839" customFormat="1" ht="15" customHeight="1" x14ac:dyDescent="0.25">
      <c r="A83" s="806"/>
      <c r="B83" s="42"/>
      <c r="C83" s="806"/>
      <c r="G83" s="1055" t="s">
        <v>1784</v>
      </c>
      <c r="H83" s="828">
        <v>1.71</v>
      </c>
      <c r="I83" s="828">
        <f t="shared" si="9"/>
        <v>18.406268999999998</v>
      </c>
      <c r="J83" s="828" t="s">
        <v>22</v>
      </c>
      <c r="K83" s="828" t="s">
        <v>22</v>
      </c>
    </row>
    <row r="84" spans="1:15" s="839" customFormat="1" ht="15" customHeight="1" x14ac:dyDescent="0.25">
      <c r="A84" s="806"/>
      <c r="B84" s="42"/>
      <c r="C84" s="806"/>
      <c r="G84" s="1055" t="s">
        <v>1785</v>
      </c>
      <c r="H84" s="828">
        <v>1.29</v>
      </c>
      <c r="I84" s="828">
        <f t="shared" si="9"/>
        <v>13.885431000000001</v>
      </c>
      <c r="J84" s="828" t="s">
        <v>1560</v>
      </c>
      <c r="K84" s="828" t="s">
        <v>22</v>
      </c>
    </row>
    <row r="85" spans="1:15" s="839" customFormat="1" ht="15" customHeight="1" x14ac:dyDescent="0.25">
      <c r="A85" s="806"/>
      <c r="B85" s="42"/>
      <c r="C85" s="806"/>
      <c r="G85" s="1055" t="s">
        <v>1786</v>
      </c>
      <c r="H85" s="828">
        <v>0.74</v>
      </c>
      <c r="I85" s="828">
        <f t="shared" si="9"/>
        <v>7.9652859999999999</v>
      </c>
      <c r="J85" s="828" t="s">
        <v>1560</v>
      </c>
      <c r="K85" s="828" t="s">
        <v>22</v>
      </c>
    </row>
    <row r="86" spans="1:15" s="839" customFormat="1" ht="15" customHeight="1" x14ac:dyDescent="0.25">
      <c r="A86" s="806"/>
      <c r="B86" s="42"/>
      <c r="C86" s="806"/>
      <c r="G86" s="1055" t="s">
        <v>1787</v>
      </c>
      <c r="H86" s="828">
        <v>1.05</v>
      </c>
      <c r="I86" s="828">
        <f t="shared" si="9"/>
        <v>11.302095</v>
      </c>
      <c r="J86" s="828" t="s">
        <v>1560</v>
      </c>
      <c r="K86" s="828" t="s">
        <v>22</v>
      </c>
    </row>
    <row r="87" spans="1:15" s="839" customFormat="1" ht="15" customHeight="1" x14ac:dyDescent="0.25">
      <c r="A87" s="806"/>
      <c r="B87" s="42"/>
      <c r="C87" s="806"/>
      <c r="G87" s="1055" t="s">
        <v>1788</v>
      </c>
      <c r="H87" s="828">
        <v>1.23</v>
      </c>
      <c r="I87" s="828">
        <f t="shared" si="9"/>
        <v>13.239597</v>
      </c>
      <c r="J87" s="828" t="s">
        <v>1560</v>
      </c>
      <c r="K87" s="828" t="s">
        <v>22</v>
      </c>
    </row>
    <row r="88" spans="1:15" s="839" customFormat="1" ht="15" customHeight="1" x14ac:dyDescent="0.25">
      <c r="A88" s="806"/>
      <c r="B88" s="42"/>
      <c r="C88" s="806"/>
      <c r="G88" s="1055" t="s">
        <v>1789</v>
      </c>
      <c r="H88" s="828">
        <v>1.19</v>
      </c>
      <c r="I88" s="828">
        <f t="shared" si="9"/>
        <v>12.809040999999999</v>
      </c>
      <c r="J88" s="828" t="s">
        <v>1560</v>
      </c>
      <c r="K88" s="828" t="s">
        <v>22</v>
      </c>
    </row>
    <row r="89" spans="1:15" s="839" customFormat="1" ht="15" customHeight="1" x14ac:dyDescent="0.25">
      <c r="A89" s="806"/>
      <c r="B89" s="42"/>
      <c r="C89" s="806"/>
      <c r="G89" s="1055" t="s">
        <v>1790</v>
      </c>
      <c r="H89" s="828">
        <v>1.05</v>
      </c>
      <c r="I89" s="828">
        <f t="shared" si="9"/>
        <v>11.302095</v>
      </c>
      <c r="J89" s="828" t="s">
        <v>1560</v>
      </c>
      <c r="K89" s="828" t="s">
        <v>22</v>
      </c>
    </row>
    <row r="90" spans="1:15" s="839" customFormat="1" ht="15" customHeight="1" x14ac:dyDescent="0.25">
      <c r="A90" s="806"/>
      <c r="B90" s="42"/>
      <c r="C90" s="806"/>
      <c r="G90" s="1055" t="s">
        <v>1791</v>
      </c>
      <c r="H90" s="828">
        <v>1.02</v>
      </c>
      <c r="I90" s="828">
        <f t="shared" si="9"/>
        <v>10.979177999999999</v>
      </c>
      <c r="J90" s="828" t="s">
        <v>1560</v>
      </c>
      <c r="K90" s="828" t="s">
        <v>22</v>
      </c>
    </row>
    <row r="91" spans="1:15" s="839" customFormat="1" ht="15" customHeight="1" x14ac:dyDescent="0.25">
      <c r="A91" s="806"/>
      <c r="B91" s="42"/>
      <c r="C91" s="806"/>
      <c r="G91" s="1055" t="s">
        <v>1792</v>
      </c>
      <c r="H91" s="828">
        <v>0.94</v>
      </c>
      <c r="I91" s="828">
        <f t="shared" si="9"/>
        <v>10.118065999999999</v>
      </c>
      <c r="J91" s="828" t="s">
        <v>22</v>
      </c>
      <c r="K91" s="828" t="s">
        <v>22</v>
      </c>
    </row>
    <row r="92" spans="1:15" s="839" customFormat="1" ht="15" customHeight="1" x14ac:dyDescent="0.25">
      <c r="A92" s="806"/>
      <c r="B92" s="42"/>
      <c r="C92" s="806"/>
      <c r="G92" s="1055" t="s">
        <v>1793</v>
      </c>
      <c r="H92" s="828">
        <v>0.64</v>
      </c>
      <c r="I92" s="828">
        <f t="shared" si="9"/>
        <v>6.8888959999999999</v>
      </c>
      <c r="J92" s="828" t="s">
        <v>1560</v>
      </c>
      <c r="K92" s="828" t="s">
        <v>22</v>
      </c>
    </row>
    <row r="93" spans="1:15" s="839" customFormat="1" ht="15" customHeight="1" x14ac:dyDescent="0.25">
      <c r="A93" s="806"/>
      <c r="B93" s="42"/>
      <c r="C93" s="806"/>
      <c r="G93" s="1055" t="s">
        <v>1794</v>
      </c>
      <c r="H93" s="828">
        <v>1.53</v>
      </c>
      <c r="I93" s="828">
        <f t="shared" si="9"/>
        <v>16.468767</v>
      </c>
      <c r="J93" s="828" t="s">
        <v>1560</v>
      </c>
      <c r="K93" s="828" t="s">
        <v>22</v>
      </c>
    </row>
    <row r="94" spans="1:15" s="839" customFormat="1" ht="15" customHeight="1" x14ac:dyDescent="0.25">
      <c r="A94" s="806"/>
      <c r="B94" s="42"/>
      <c r="C94" s="806"/>
      <c r="G94" s="1067" t="s">
        <v>1795</v>
      </c>
      <c r="H94" s="831">
        <v>0.71</v>
      </c>
      <c r="I94" s="828">
        <f t="shared" si="9"/>
        <v>7.6423689999999995</v>
      </c>
      <c r="J94" s="828" t="s">
        <v>22</v>
      </c>
      <c r="K94" s="828" t="s">
        <v>22</v>
      </c>
    </row>
    <row r="95" spans="1:15" s="839" customFormat="1" ht="15" customHeight="1" x14ac:dyDescent="0.25">
      <c r="A95" s="806"/>
      <c r="B95" s="42"/>
      <c r="C95" s="806"/>
      <c r="G95" s="1067" t="s">
        <v>1796</v>
      </c>
      <c r="H95" s="831">
        <v>1.1000000000000001</v>
      </c>
      <c r="I95" s="828">
        <f t="shared" si="9"/>
        <v>11.840290000000001</v>
      </c>
      <c r="J95" s="828" t="s">
        <v>1560</v>
      </c>
      <c r="K95" s="828" t="s">
        <v>22</v>
      </c>
      <c r="L95" s="388"/>
      <c r="M95" s="388"/>
      <c r="N95" s="388"/>
      <c r="O95" s="388"/>
    </row>
    <row r="96" spans="1:15" x14ac:dyDescent="0.25">
      <c r="A96" s="806"/>
      <c r="B96" s="42"/>
      <c r="C96" s="806"/>
      <c r="G96" s="1067" t="s">
        <v>1797</v>
      </c>
      <c r="H96" s="831">
        <v>3.68</v>
      </c>
      <c r="I96" s="828">
        <f t="shared" si="9"/>
        <v>39.611151999999997</v>
      </c>
      <c r="J96" s="828" t="s">
        <v>1560</v>
      </c>
      <c r="K96" s="828" t="s">
        <v>22</v>
      </c>
    </row>
    <row r="97" spans="1:12" x14ac:dyDescent="0.25">
      <c r="A97" s="806"/>
      <c r="B97" s="42"/>
      <c r="C97" s="806"/>
      <c r="G97" s="1067" t="s">
        <v>1798</v>
      </c>
      <c r="H97" s="831">
        <v>2.4</v>
      </c>
      <c r="I97" s="828">
        <f t="shared" si="9"/>
        <v>25.833359999999999</v>
      </c>
      <c r="J97" s="828" t="s">
        <v>1560</v>
      </c>
      <c r="K97" s="828" t="s">
        <v>22</v>
      </c>
    </row>
    <row r="98" spans="1:12" x14ac:dyDescent="0.25">
      <c r="A98" s="806"/>
      <c r="B98" s="42"/>
      <c r="C98" s="806"/>
      <c r="G98" s="1067" t="s">
        <v>1799</v>
      </c>
      <c r="H98" s="831">
        <v>1.8</v>
      </c>
      <c r="I98" s="828">
        <f t="shared" si="9"/>
        <v>19.375019999999999</v>
      </c>
      <c r="J98" s="828" t="s">
        <v>1560</v>
      </c>
      <c r="K98" s="828" t="s">
        <v>22</v>
      </c>
    </row>
    <row r="99" spans="1:12" x14ac:dyDescent="0.25">
      <c r="A99" s="806"/>
      <c r="B99" s="42"/>
      <c r="C99" s="806"/>
      <c r="G99" s="1067" t="s">
        <v>1800</v>
      </c>
      <c r="H99" s="831">
        <v>1.2</v>
      </c>
      <c r="I99" s="828">
        <f t="shared" si="9"/>
        <v>12.916679999999999</v>
      </c>
      <c r="J99" s="828" t="s">
        <v>1560</v>
      </c>
      <c r="K99" s="828" t="s">
        <v>22</v>
      </c>
    </row>
    <row r="100" spans="1:12" x14ac:dyDescent="0.25">
      <c r="A100" s="806"/>
      <c r="B100" s="42"/>
      <c r="C100" s="806"/>
      <c r="G100" s="1067" t="s">
        <v>1801</v>
      </c>
      <c r="H100" s="831">
        <v>0.53</v>
      </c>
      <c r="I100" s="828">
        <f t="shared" si="9"/>
        <v>5.7048670000000001</v>
      </c>
      <c r="J100" s="828" t="s">
        <v>1560</v>
      </c>
      <c r="K100" s="828" t="s">
        <v>22</v>
      </c>
    </row>
    <row r="101" spans="1:12" x14ac:dyDescent="0.25">
      <c r="A101" s="806"/>
      <c r="B101" s="42"/>
      <c r="C101" s="806"/>
      <c r="G101" s="1067" t="s">
        <v>1802</v>
      </c>
      <c r="H101" s="831">
        <v>0.36</v>
      </c>
      <c r="I101" s="828">
        <f t="shared" si="9"/>
        <v>3.8750039999999997</v>
      </c>
      <c r="J101" s="828" t="s">
        <v>1560</v>
      </c>
      <c r="K101" s="828" t="s">
        <v>22</v>
      </c>
    </row>
    <row r="102" spans="1:12" x14ac:dyDescent="0.25">
      <c r="A102" s="806"/>
      <c r="B102" s="42"/>
      <c r="C102" s="806"/>
      <c r="G102" s="1067" t="s">
        <v>1803</v>
      </c>
      <c r="H102" s="831">
        <v>0.8</v>
      </c>
      <c r="I102" s="828">
        <f t="shared" si="9"/>
        <v>8.6111199999999997</v>
      </c>
      <c r="J102" s="828" t="s">
        <v>1560</v>
      </c>
      <c r="K102" s="828" t="s">
        <v>22</v>
      </c>
    </row>
    <row r="103" spans="1:12" x14ac:dyDescent="0.25">
      <c r="A103" s="806"/>
      <c r="B103" s="42"/>
      <c r="C103" s="806"/>
      <c r="G103" s="1067" t="s">
        <v>1804</v>
      </c>
      <c r="H103" s="831">
        <v>0.57999999999999996</v>
      </c>
      <c r="I103" s="828">
        <f t="shared" si="9"/>
        <v>6.2430619999999992</v>
      </c>
      <c r="J103" s="828" t="s">
        <v>22</v>
      </c>
      <c r="K103" s="828" t="s">
        <v>22</v>
      </c>
    </row>
    <row r="104" spans="1:12" x14ac:dyDescent="0.25">
      <c r="A104" s="806"/>
      <c r="B104" s="42"/>
      <c r="C104" s="806"/>
      <c r="G104" s="1067" t="s">
        <v>1805</v>
      </c>
      <c r="H104" s="831">
        <v>0.95</v>
      </c>
      <c r="I104" s="828">
        <f t="shared" si="9"/>
        <v>10.225705</v>
      </c>
      <c r="J104" s="828" t="s">
        <v>22</v>
      </c>
      <c r="K104" s="828" t="s">
        <v>22</v>
      </c>
    </row>
    <row r="105" spans="1:12" x14ac:dyDescent="0.25">
      <c r="A105" s="806"/>
      <c r="B105" s="42"/>
      <c r="C105" s="806"/>
      <c r="G105" s="1067" t="s">
        <v>1806</v>
      </c>
      <c r="H105" s="1073">
        <v>0.7</v>
      </c>
      <c r="I105" s="1073">
        <f t="shared" si="9"/>
        <v>7.5347299999999988</v>
      </c>
      <c r="J105" s="1073" t="s">
        <v>1560</v>
      </c>
      <c r="K105" s="1073" t="s">
        <v>1560</v>
      </c>
      <c r="L105" s="1073"/>
    </row>
    <row r="106" spans="1:12" x14ac:dyDescent="0.25">
      <c r="A106" s="806"/>
      <c r="B106" s="42"/>
      <c r="C106" s="806"/>
      <c r="G106" s="1067" t="s">
        <v>1807</v>
      </c>
      <c r="H106" s="1073" t="s">
        <v>2272</v>
      </c>
      <c r="I106" s="1073" t="s">
        <v>2272</v>
      </c>
      <c r="J106" s="1073" t="s">
        <v>2272</v>
      </c>
      <c r="K106" s="1073" t="s">
        <v>2272</v>
      </c>
    </row>
    <row r="107" spans="1:12" x14ac:dyDescent="0.25">
      <c r="A107" s="806"/>
      <c r="B107" s="42"/>
      <c r="C107" s="806"/>
    </row>
    <row r="108" spans="1:12" x14ac:dyDescent="0.25">
      <c r="A108" s="806"/>
      <c r="B108" s="42"/>
      <c r="C108" s="806"/>
      <c r="G108" s="1197" t="s">
        <v>2266</v>
      </c>
    </row>
    <row r="109" spans="1:12" x14ac:dyDescent="0.25">
      <c r="A109" s="806"/>
      <c r="B109" s="42"/>
      <c r="C109" s="806"/>
      <c r="G109" s="1196" t="s">
        <v>2264</v>
      </c>
    </row>
    <row r="110" spans="1:12" x14ac:dyDescent="0.25">
      <c r="A110" s="806"/>
      <c r="B110" s="42"/>
      <c r="C110" s="806"/>
      <c r="G110" s="1196" t="s">
        <v>2265</v>
      </c>
    </row>
    <row r="111" spans="1:12" x14ac:dyDescent="0.25">
      <c r="A111" s="806"/>
      <c r="B111" s="42"/>
      <c r="C111" s="806"/>
      <c r="G111" s="1196" t="s">
        <v>2267</v>
      </c>
    </row>
    <row r="112" spans="1:12" x14ac:dyDescent="0.25">
      <c r="A112" s="806"/>
      <c r="B112" s="42"/>
      <c r="C112" s="806"/>
    </row>
    <row r="113" spans="1:3" x14ac:dyDescent="0.25">
      <c r="A113" s="806"/>
      <c r="B113" s="42"/>
      <c r="C113" s="806"/>
    </row>
    <row r="114" spans="1:3" x14ac:dyDescent="0.25">
      <c r="A114" s="806"/>
      <c r="B114" s="42"/>
      <c r="C114" s="806"/>
    </row>
    <row r="115" spans="1:3" x14ac:dyDescent="0.25">
      <c r="A115" s="806"/>
      <c r="B115" s="42"/>
      <c r="C115" s="806"/>
    </row>
    <row r="116" spans="1:3" x14ac:dyDescent="0.25">
      <c r="A116" s="806"/>
      <c r="B116" s="42"/>
      <c r="C116" s="806"/>
    </row>
    <row r="117" spans="1:3" x14ac:dyDescent="0.25">
      <c r="A117" s="806"/>
      <c r="B117" s="42"/>
      <c r="C117" s="806"/>
    </row>
    <row r="118" spans="1:3" x14ac:dyDescent="0.25">
      <c r="A118" s="806"/>
      <c r="B118" s="42"/>
      <c r="C118" s="806"/>
    </row>
    <row r="119" spans="1:3" x14ac:dyDescent="0.25">
      <c r="A119" s="806"/>
      <c r="B119" s="42"/>
      <c r="C119" s="806"/>
    </row>
    <row r="120" spans="1:3" x14ac:dyDescent="0.25">
      <c r="A120" s="806"/>
      <c r="B120" s="42"/>
      <c r="C120" s="806"/>
    </row>
    <row r="121" spans="1:3" x14ac:dyDescent="0.25">
      <c r="A121" s="806"/>
      <c r="B121" s="42"/>
      <c r="C121" s="806"/>
    </row>
    <row r="122" spans="1:3" x14ac:dyDescent="0.25">
      <c r="A122" s="806"/>
      <c r="B122" s="42"/>
      <c r="C122" s="806"/>
    </row>
    <row r="123" spans="1:3" x14ac:dyDescent="0.25">
      <c r="A123" s="806"/>
      <c r="B123" s="42"/>
      <c r="C123" s="806"/>
    </row>
    <row r="124" spans="1:3" x14ac:dyDescent="0.25">
      <c r="A124" s="806"/>
      <c r="B124" s="42"/>
      <c r="C124" s="806"/>
    </row>
    <row r="125" spans="1:3" x14ac:dyDescent="0.25">
      <c r="A125" s="806"/>
      <c r="B125" s="42"/>
      <c r="C125" s="806"/>
    </row>
    <row r="126" spans="1:3" x14ac:dyDescent="0.25">
      <c r="A126" s="806"/>
      <c r="B126" s="42"/>
      <c r="C126" s="806"/>
    </row>
    <row r="127" spans="1:3" x14ac:dyDescent="0.25">
      <c r="A127" s="806"/>
      <c r="B127" s="42"/>
      <c r="C127" s="806"/>
    </row>
    <row r="128" spans="1:3" x14ac:dyDescent="0.25">
      <c r="A128" s="806"/>
      <c r="B128" s="42"/>
      <c r="C128" s="806"/>
    </row>
    <row r="129" spans="1:3" x14ac:dyDescent="0.25">
      <c r="A129" s="806"/>
      <c r="B129" s="42"/>
      <c r="C129" s="806"/>
    </row>
    <row r="130" spans="1:3" x14ac:dyDescent="0.25">
      <c r="A130" s="806"/>
      <c r="B130" s="42"/>
      <c r="C130" s="806"/>
    </row>
    <row r="131" spans="1:3" x14ac:dyDescent="0.25">
      <c r="A131" s="806"/>
      <c r="B131" s="42"/>
      <c r="C131" s="806"/>
    </row>
    <row r="132" spans="1:3" x14ac:dyDescent="0.25">
      <c r="A132" s="806"/>
      <c r="B132" s="42"/>
      <c r="C132" s="806"/>
    </row>
    <row r="133" spans="1:3" x14ac:dyDescent="0.25">
      <c r="A133" s="806"/>
      <c r="B133" s="42"/>
      <c r="C133" s="806"/>
    </row>
    <row r="134" spans="1:3" x14ac:dyDescent="0.25">
      <c r="A134" s="806"/>
      <c r="B134" s="42"/>
      <c r="C134" s="806"/>
    </row>
    <row r="135" spans="1:3" x14ac:dyDescent="0.25">
      <c r="A135" s="806"/>
      <c r="B135" s="42"/>
      <c r="C135" s="806"/>
    </row>
    <row r="136" spans="1:3" x14ac:dyDescent="0.25">
      <c r="A136" s="806"/>
      <c r="B136" s="42"/>
      <c r="C136" s="806"/>
    </row>
    <row r="137" spans="1:3" x14ac:dyDescent="0.25">
      <c r="A137" s="806"/>
      <c r="B137" s="42"/>
      <c r="C137" s="806"/>
    </row>
    <row r="138" spans="1:3" x14ac:dyDescent="0.25">
      <c r="A138" s="806"/>
      <c r="B138" s="42"/>
      <c r="C138" s="806"/>
    </row>
    <row r="139" spans="1:3" x14ac:dyDescent="0.25">
      <c r="A139" s="806"/>
      <c r="B139" s="42"/>
      <c r="C139" s="806"/>
    </row>
    <row r="140" spans="1:3" x14ac:dyDescent="0.25">
      <c r="A140" s="806"/>
      <c r="B140" s="42"/>
      <c r="C140" s="806"/>
    </row>
    <row r="141" spans="1:3" x14ac:dyDescent="0.25">
      <c r="A141" s="806"/>
      <c r="B141" s="42"/>
      <c r="C141" s="806"/>
    </row>
    <row r="142" spans="1:3" x14ac:dyDescent="0.25">
      <c r="A142" s="806"/>
      <c r="B142" s="42"/>
      <c r="C142" s="806"/>
    </row>
    <row r="143" spans="1:3" x14ac:dyDescent="0.25">
      <c r="A143" s="806"/>
      <c r="B143" s="42"/>
      <c r="C143" s="806"/>
    </row>
    <row r="144" spans="1:3" x14ac:dyDescent="0.25">
      <c r="A144" s="806"/>
      <c r="B144" s="42"/>
      <c r="C144" s="806"/>
    </row>
    <row r="145" spans="1:3" x14ac:dyDescent="0.25">
      <c r="A145" s="806"/>
      <c r="B145" s="42"/>
      <c r="C145" s="806"/>
    </row>
    <row r="146" spans="1:3" x14ac:dyDescent="0.25">
      <c r="A146" s="806"/>
      <c r="B146" s="42"/>
      <c r="C146" s="806"/>
    </row>
    <row r="147" spans="1:3" x14ac:dyDescent="0.25">
      <c r="A147" s="806"/>
      <c r="B147" s="42"/>
      <c r="C147" s="806"/>
    </row>
    <row r="148" spans="1:3" x14ac:dyDescent="0.25">
      <c r="A148" s="806"/>
      <c r="B148" s="42"/>
      <c r="C148" s="806"/>
    </row>
    <row r="149" spans="1:3" x14ac:dyDescent="0.25">
      <c r="A149" s="806"/>
      <c r="B149" s="42"/>
      <c r="C149" s="806"/>
    </row>
    <row r="150" spans="1:3" x14ac:dyDescent="0.25">
      <c r="A150" s="806"/>
      <c r="B150" s="42"/>
      <c r="C150" s="806"/>
    </row>
    <row r="151" spans="1:3" x14ac:dyDescent="0.25">
      <c r="A151" s="806"/>
      <c r="B151" s="42"/>
      <c r="C151" s="806"/>
    </row>
    <row r="152" spans="1:3" x14ac:dyDescent="0.25">
      <c r="A152" s="806"/>
      <c r="B152" s="42"/>
      <c r="C152" s="806"/>
    </row>
    <row r="153" spans="1:3" x14ac:dyDescent="0.25">
      <c r="A153" s="806"/>
      <c r="B153" s="42"/>
      <c r="C153" s="806"/>
    </row>
    <row r="154" spans="1:3" x14ac:dyDescent="0.25">
      <c r="A154" s="806"/>
      <c r="B154" s="42"/>
      <c r="C154" s="806"/>
    </row>
    <row r="155" spans="1:3" x14ac:dyDescent="0.25">
      <c r="A155" s="806"/>
      <c r="B155" s="42"/>
      <c r="C155" s="806"/>
    </row>
    <row r="156" spans="1:3" x14ac:dyDescent="0.25">
      <c r="A156" s="806"/>
      <c r="B156" s="42"/>
      <c r="C156" s="806"/>
    </row>
    <row r="157" spans="1:3" x14ac:dyDescent="0.25">
      <c r="A157" s="806"/>
      <c r="B157" s="42"/>
      <c r="C157" s="806"/>
    </row>
    <row r="158" spans="1:3" x14ac:dyDescent="0.25">
      <c r="A158" s="806"/>
      <c r="B158" s="42"/>
      <c r="C158" s="806"/>
    </row>
    <row r="159" spans="1:3" x14ac:dyDescent="0.25">
      <c r="A159" s="806"/>
      <c r="B159" s="42"/>
      <c r="C159" s="806"/>
    </row>
    <row r="160" spans="1:3" x14ac:dyDescent="0.25">
      <c r="A160" s="806"/>
      <c r="B160" s="42"/>
      <c r="C160" s="806"/>
    </row>
    <row r="161" spans="1:3" x14ac:dyDescent="0.25">
      <c r="A161" s="806"/>
      <c r="B161" s="42"/>
      <c r="C161" s="806"/>
    </row>
    <row r="162" spans="1:3" x14ac:dyDescent="0.25">
      <c r="A162" s="806"/>
      <c r="B162" s="42"/>
      <c r="C162" s="806"/>
    </row>
    <row r="163" spans="1:3" x14ac:dyDescent="0.25">
      <c r="A163" s="806"/>
      <c r="B163" s="42"/>
      <c r="C163" s="806"/>
    </row>
    <row r="164" spans="1:3" x14ac:dyDescent="0.25">
      <c r="A164" s="806"/>
      <c r="B164" s="42"/>
      <c r="C164" s="806"/>
    </row>
    <row r="165" spans="1:3" x14ac:dyDescent="0.25">
      <c r="A165" s="806"/>
      <c r="B165" s="42"/>
      <c r="C165" s="806"/>
    </row>
    <row r="166" spans="1:3" x14ac:dyDescent="0.25">
      <c r="A166" s="806"/>
      <c r="B166" s="42"/>
      <c r="C166" s="806"/>
    </row>
    <row r="167" spans="1:3" x14ac:dyDescent="0.25">
      <c r="A167" s="806"/>
      <c r="B167" s="42"/>
      <c r="C167" s="806"/>
    </row>
    <row r="168" spans="1:3" x14ac:dyDescent="0.25">
      <c r="A168" s="806"/>
      <c r="B168" s="42"/>
      <c r="C168" s="806"/>
    </row>
    <row r="169" spans="1:3" x14ac:dyDescent="0.25">
      <c r="A169" s="806"/>
      <c r="B169" s="42"/>
      <c r="C169" s="806"/>
    </row>
    <row r="170" spans="1:3" x14ac:dyDescent="0.25">
      <c r="A170" s="806"/>
      <c r="B170" s="42"/>
      <c r="C170" s="806"/>
    </row>
    <row r="171" spans="1:3" x14ac:dyDescent="0.25">
      <c r="A171" s="806"/>
      <c r="B171" s="42"/>
      <c r="C171" s="806"/>
    </row>
    <row r="172" spans="1:3" x14ac:dyDescent="0.25">
      <c r="A172" s="806"/>
      <c r="B172" s="42"/>
      <c r="C172" s="806"/>
    </row>
    <row r="173" spans="1:3" x14ac:dyDescent="0.25">
      <c r="A173" s="806"/>
      <c r="B173" s="42"/>
      <c r="C173" s="806"/>
    </row>
    <row r="174" spans="1:3" x14ac:dyDescent="0.25">
      <c r="A174" s="806"/>
      <c r="B174" s="42"/>
      <c r="C174" s="806"/>
    </row>
    <row r="175" spans="1:3" x14ac:dyDescent="0.25">
      <c r="A175" s="806"/>
      <c r="B175" s="42"/>
      <c r="C175" s="806"/>
    </row>
    <row r="176" spans="1:3" x14ac:dyDescent="0.25">
      <c r="A176" s="806"/>
      <c r="B176" s="42"/>
      <c r="C176" s="806"/>
    </row>
    <row r="177" spans="1:3" x14ac:dyDescent="0.25">
      <c r="A177" s="806"/>
      <c r="B177" s="42"/>
      <c r="C177" s="806"/>
    </row>
    <row r="178" spans="1:3" x14ac:dyDescent="0.25">
      <c r="A178" s="806"/>
      <c r="B178" s="42"/>
      <c r="C178" s="806"/>
    </row>
    <row r="179" spans="1:3" x14ac:dyDescent="0.25">
      <c r="A179" s="806"/>
      <c r="B179" s="42"/>
      <c r="C179" s="806"/>
    </row>
    <row r="180" spans="1:3" x14ac:dyDescent="0.25">
      <c r="A180" s="806"/>
      <c r="B180" s="42"/>
      <c r="C180" s="806"/>
    </row>
    <row r="181" spans="1:3" x14ac:dyDescent="0.25">
      <c r="A181" s="806"/>
      <c r="B181" s="42"/>
      <c r="C181" s="806"/>
    </row>
    <row r="182" spans="1:3" x14ac:dyDescent="0.25">
      <c r="A182" s="806"/>
      <c r="B182" s="42"/>
      <c r="C182" s="806"/>
    </row>
    <row r="183" spans="1:3" x14ac:dyDescent="0.25">
      <c r="A183" s="806"/>
      <c r="B183" s="42"/>
      <c r="C183" s="806"/>
    </row>
    <row r="184" spans="1:3" x14ac:dyDescent="0.25">
      <c r="A184" s="806"/>
      <c r="B184" s="42"/>
      <c r="C184" s="806"/>
    </row>
    <row r="185" spans="1:3" x14ac:dyDescent="0.25">
      <c r="A185" s="806"/>
      <c r="B185" s="42"/>
      <c r="C185" s="806"/>
    </row>
    <row r="186" spans="1:3" x14ac:dyDescent="0.25">
      <c r="A186" s="806"/>
      <c r="B186" s="42"/>
      <c r="C186" s="806"/>
    </row>
    <row r="187" spans="1:3" x14ac:dyDescent="0.25">
      <c r="A187" s="806"/>
      <c r="B187" s="42"/>
      <c r="C187" s="806"/>
    </row>
    <row r="188" spans="1:3" x14ac:dyDescent="0.25">
      <c r="A188" s="806"/>
      <c r="B188" s="42"/>
      <c r="C188" s="806"/>
    </row>
    <row r="189" spans="1:3" x14ac:dyDescent="0.25">
      <c r="A189" s="806"/>
      <c r="B189" s="42"/>
      <c r="C189" s="806"/>
    </row>
    <row r="190" spans="1:3" x14ac:dyDescent="0.25">
      <c r="A190" s="806"/>
      <c r="B190" s="42"/>
      <c r="C190" s="806"/>
    </row>
    <row r="191" spans="1:3" x14ac:dyDescent="0.25">
      <c r="A191" s="806"/>
      <c r="B191" s="42"/>
      <c r="C191" s="806"/>
    </row>
    <row r="192" spans="1:3" x14ac:dyDescent="0.25">
      <c r="A192" s="806"/>
      <c r="B192" s="42"/>
      <c r="C192" s="806"/>
    </row>
    <row r="193" spans="1:3" x14ac:dyDescent="0.25">
      <c r="A193" s="806"/>
      <c r="B193" s="42"/>
      <c r="C193" s="806"/>
    </row>
    <row r="194" spans="1:3" x14ac:dyDescent="0.25">
      <c r="A194" s="806"/>
      <c r="B194" s="42"/>
      <c r="C194" s="806"/>
    </row>
    <row r="195" spans="1:3" x14ac:dyDescent="0.25">
      <c r="A195" s="806"/>
      <c r="B195" s="42"/>
      <c r="C195" s="806"/>
    </row>
    <row r="196" spans="1:3" x14ac:dyDescent="0.25">
      <c r="A196" s="806"/>
      <c r="B196" s="42"/>
      <c r="C196" s="806"/>
    </row>
    <row r="197" spans="1:3" x14ac:dyDescent="0.25">
      <c r="A197" s="806"/>
      <c r="B197" s="42"/>
      <c r="C197" s="806"/>
    </row>
    <row r="198" spans="1:3" x14ac:dyDescent="0.25">
      <c r="A198" s="806"/>
      <c r="B198" s="42"/>
      <c r="C198" s="806"/>
    </row>
    <row r="199" spans="1:3" x14ac:dyDescent="0.25">
      <c r="A199" s="806"/>
      <c r="B199" s="42"/>
      <c r="C199" s="806"/>
    </row>
    <row r="200" spans="1:3" x14ac:dyDescent="0.25">
      <c r="A200" s="806"/>
      <c r="B200" s="42"/>
      <c r="C200" s="806"/>
    </row>
    <row r="201" spans="1:3" x14ac:dyDescent="0.25">
      <c r="A201" s="806"/>
      <c r="B201" s="42"/>
      <c r="C201" s="806"/>
    </row>
    <row r="202" spans="1:3" x14ac:dyDescent="0.25">
      <c r="A202" s="806"/>
      <c r="B202" s="42"/>
      <c r="C202" s="806"/>
    </row>
    <row r="203" spans="1:3" x14ac:dyDescent="0.25">
      <c r="A203" s="806"/>
      <c r="B203" s="42"/>
      <c r="C203" s="806"/>
    </row>
    <row r="204" spans="1:3" x14ac:dyDescent="0.25">
      <c r="A204" s="806"/>
      <c r="B204" s="42"/>
      <c r="C204" s="806"/>
    </row>
    <row r="205" spans="1:3" x14ac:dyDescent="0.25">
      <c r="A205" s="806"/>
      <c r="B205" s="42"/>
      <c r="C205" s="806"/>
    </row>
    <row r="206" spans="1:3" x14ac:dyDescent="0.25">
      <c r="A206" s="806"/>
      <c r="B206" s="42"/>
      <c r="C206" s="806"/>
    </row>
    <row r="207" spans="1:3" x14ac:dyDescent="0.25">
      <c r="A207" s="806"/>
      <c r="B207" s="42"/>
      <c r="C207" s="806"/>
    </row>
    <row r="208" spans="1:3" x14ac:dyDescent="0.25">
      <c r="A208" s="806"/>
      <c r="B208" s="42"/>
      <c r="C208" s="806"/>
    </row>
    <row r="209" spans="1:3" x14ac:dyDescent="0.25">
      <c r="A209" s="806"/>
      <c r="B209" s="42"/>
      <c r="C209" s="806"/>
    </row>
    <row r="210" spans="1:3" x14ac:dyDescent="0.25">
      <c r="A210" s="806"/>
      <c r="B210" s="42"/>
      <c r="C210" s="806"/>
    </row>
    <row r="211" spans="1:3" x14ac:dyDescent="0.25">
      <c r="A211" s="806"/>
      <c r="B211" s="42"/>
      <c r="C211" s="806"/>
    </row>
    <row r="212" spans="1:3" x14ac:dyDescent="0.25">
      <c r="A212" s="806"/>
      <c r="B212" s="42"/>
      <c r="C212" s="806"/>
    </row>
    <row r="213" spans="1:3" x14ac:dyDescent="0.25">
      <c r="A213" s="806"/>
      <c r="B213" s="42"/>
      <c r="C213" s="806"/>
    </row>
    <row r="214" spans="1:3" x14ac:dyDescent="0.25">
      <c r="A214" s="806"/>
      <c r="B214" s="42"/>
      <c r="C214" s="806"/>
    </row>
    <row r="215" spans="1:3" x14ac:dyDescent="0.25">
      <c r="A215" s="806"/>
      <c r="B215" s="42"/>
      <c r="C215" s="806"/>
    </row>
    <row r="216" spans="1:3" x14ac:dyDescent="0.25">
      <c r="A216" s="806"/>
      <c r="B216" s="42"/>
      <c r="C216" s="806"/>
    </row>
    <row r="217" spans="1:3" x14ac:dyDescent="0.25">
      <c r="A217" s="806"/>
      <c r="B217" s="42"/>
      <c r="C217" s="806"/>
    </row>
    <row r="218" spans="1:3" x14ac:dyDescent="0.25">
      <c r="A218" s="806"/>
      <c r="B218" s="42"/>
      <c r="C218" s="806"/>
    </row>
    <row r="219" spans="1:3" x14ac:dyDescent="0.25">
      <c r="A219" s="806"/>
      <c r="B219" s="42"/>
      <c r="C219" s="806"/>
    </row>
    <row r="220" spans="1:3" x14ac:dyDescent="0.25">
      <c r="A220" s="806"/>
      <c r="B220" s="42"/>
      <c r="C220" s="806"/>
    </row>
    <row r="221" spans="1:3" x14ac:dyDescent="0.25">
      <c r="A221" s="806"/>
      <c r="B221" s="42"/>
      <c r="C221" s="806"/>
    </row>
    <row r="222" spans="1:3" x14ac:dyDescent="0.25">
      <c r="A222" s="806"/>
      <c r="B222" s="42"/>
      <c r="C222" s="806"/>
    </row>
    <row r="223" spans="1:3" x14ac:dyDescent="0.25">
      <c r="A223" s="806"/>
      <c r="B223" s="42"/>
      <c r="C223" s="806"/>
    </row>
    <row r="224" spans="1:3" x14ac:dyDescent="0.25">
      <c r="A224" s="806"/>
      <c r="B224" s="42"/>
      <c r="C224" s="806"/>
    </row>
    <row r="225" spans="1:3" x14ac:dyDescent="0.25">
      <c r="A225" s="806"/>
      <c r="B225" s="42"/>
      <c r="C225" s="806"/>
    </row>
    <row r="226" spans="1:3" x14ac:dyDescent="0.25">
      <c r="A226" s="806"/>
      <c r="B226" s="42"/>
      <c r="C226" s="806"/>
    </row>
    <row r="227" spans="1:3" x14ac:dyDescent="0.25">
      <c r="A227" s="806"/>
      <c r="B227" s="42"/>
      <c r="C227" s="806"/>
    </row>
    <row r="228" spans="1:3" x14ac:dyDescent="0.25">
      <c r="A228" s="806"/>
      <c r="B228" s="42"/>
      <c r="C228" s="806"/>
    </row>
    <row r="229" spans="1:3" x14ac:dyDescent="0.25">
      <c r="A229" s="806"/>
      <c r="B229" s="42"/>
      <c r="C229" s="806"/>
    </row>
    <row r="230" spans="1:3" x14ac:dyDescent="0.25">
      <c r="A230" s="806"/>
      <c r="B230" s="42"/>
      <c r="C230" s="806"/>
    </row>
    <row r="231" spans="1:3" x14ac:dyDescent="0.25">
      <c r="A231" s="806"/>
      <c r="B231" s="42"/>
      <c r="C231" s="806"/>
    </row>
    <row r="232" spans="1:3" x14ac:dyDescent="0.25">
      <c r="A232" s="806"/>
      <c r="B232" s="42"/>
      <c r="C232" s="806"/>
    </row>
    <row r="233" spans="1:3" x14ac:dyDescent="0.25">
      <c r="A233" s="806"/>
      <c r="B233" s="42"/>
      <c r="C233" s="806"/>
    </row>
    <row r="234" spans="1:3" x14ac:dyDescent="0.25">
      <c r="A234" s="806"/>
      <c r="B234" s="42"/>
      <c r="C234" s="806"/>
    </row>
    <row r="235" spans="1:3" x14ac:dyDescent="0.25">
      <c r="A235" s="806"/>
      <c r="B235" s="42"/>
      <c r="C235" s="806"/>
    </row>
    <row r="236" spans="1:3" x14ac:dyDescent="0.25">
      <c r="A236" s="806"/>
      <c r="B236" s="42"/>
      <c r="C236" s="806"/>
    </row>
    <row r="237" spans="1:3" x14ac:dyDescent="0.25">
      <c r="A237" s="806"/>
      <c r="B237" s="42"/>
      <c r="C237" s="806"/>
    </row>
    <row r="238" spans="1:3" x14ac:dyDescent="0.25">
      <c r="A238" s="806"/>
      <c r="B238" s="42"/>
      <c r="C238" s="806"/>
    </row>
    <row r="239" spans="1:3" x14ac:dyDescent="0.25">
      <c r="A239" s="806"/>
      <c r="B239" s="42"/>
      <c r="C239" s="806"/>
    </row>
    <row r="240" spans="1:3" x14ac:dyDescent="0.25">
      <c r="A240" s="806"/>
      <c r="B240" s="42"/>
      <c r="C240" s="806"/>
    </row>
    <row r="241" spans="1:3" x14ac:dyDescent="0.25">
      <c r="A241" s="806"/>
      <c r="B241" s="42"/>
      <c r="C241" s="806"/>
    </row>
    <row r="242" spans="1:3" x14ac:dyDescent="0.25">
      <c r="A242" s="806"/>
      <c r="B242" s="42"/>
      <c r="C242" s="806"/>
    </row>
    <row r="243" spans="1:3" x14ac:dyDescent="0.25">
      <c r="A243" s="806"/>
      <c r="B243" s="42"/>
      <c r="C243" s="806"/>
    </row>
    <row r="244" spans="1:3" x14ac:dyDescent="0.25">
      <c r="A244" s="806"/>
      <c r="B244" s="42"/>
      <c r="C244" s="806"/>
    </row>
    <row r="245" spans="1:3" x14ac:dyDescent="0.25">
      <c r="A245" s="806"/>
      <c r="B245" s="42"/>
      <c r="C245" s="806"/>
    </row>
    <row r="246" spans="1:3" x14ac:dyDescent="0.25">
      <c r="A246" s="806"/>
      <c r="B246" s="42"/>
      <c r="C246" s="806"/>
    </row>
    <row r="247" spans="1:3" x14ac:dyDescent="0.25">
      <c r="A247" s="806"/>
      <c r="B247" s="42"/>
      <c r="C247" s="806"/>
    </row>
    <row r="248" spans="1:3" x14ac:dyDescent="0.25">
      <c r="A248" s="806"/>
      <c r="B248" s="42"/>
      <c r="C248" s="806"/>
    </row>
    <row r="249" spans="1:3" x14ac:dyDescent="0.25">
      <c r="A249" s="806"/>
      <c r="B249" s="42"/>
      <c r="C249" s="806"/>
    </row>
    <row r="250" spans="1:3" x14ac:dyDescent="0.25">
      <c r="A250" s="806"/>
      <c r="B250" s="42"/>
      <c r="C250" s="806"/>
    </row>
    <row r="251" spans="1:3" x14ac:dyDescent="0.25">
      <c r="A251" s="806"/>
      <c r="B251" s="42"/>
      <c r="C251" s="806"/>
    </row>
    <row r="252" spans="1:3" x14ac:dyDescent="0.25">
      <c r="A252" s="806"/>
      <c r="B252" s="42"/>
      <c r="C252" s="806"/>
    </row>
    <row r="253" spans="1:3" x14ac:dyDescent="0.25">
      <c r="A253" s="806"/>
      <c r="B253" s="42"/>
      <c r="C253" s="806"/>
    </row>
    <row r="254" spans="1:3" x14ac:dyDescent="0.25">
      <c r="A254" s="806"/>
      <c r="B254" s="42"/>
      <c r="C254" s="806"/>
    </row>
    <row r="255" spans="1:3" x14ac:dyDescent="0.25">
      <c r="A255" s="806"/>
      <c r="B255" s="42"/>
      <c r="C255" s="806"/>
    </row>
    <row r="256" spans="1:3" x14ac:dyDescent="0.25">
      <c r="A256" s="806"/>
      <c r="B256" s="42"/>
      <c r="C256" s="806"/>
    </row>
    <row r="257" spans="1:3" x14ac:dyDescent="0.25">
      <c r="A257" s="806"/>
      <c r="B257" s="42"/>
      <c r="C257" s="806"/>
    </row>
    <row r="258" spans="1:3" x14ac:dyDescent="0.25">
      <c r="A258" s="806"/>
      <c r="B258" s="42"/>
      <c r="C258" s="806"/>
    </row>
    <row r="259" spans="1:3" x14ac:dyDescent="0.25">
      <c r="A259" s="806"/>
      <c r="B259" s="42"/>
      <c r="C259" s="806"/>
    </row>
    <row r="260" spans="1:3" x14ac:dyDescent="0.25">
      <c r="A260" s="806"/>
      <c r="B260" s="42"/>
      <c r="C260" s="806"/>
    </row>
    <row r="261" spans="1:3" x14ac:dyDescent="0.25">
      <c r="A261" s="806"/>
      <c r="B261" s="42"/>
      <c r="C261" s="806"/>
    </row>
    <row r="262" spans="1:3" x14ac:dyDescent="0.25">
      <c r="A262" s="806"/>
      <c r="B262" s="42"/>
      <c r="C262" s="806"/>
    </row>
    <row r="263" spans="1:3" x14ac:dyDescent="0.25">
      <c r="A263" s="806"/>
      <c r="B263" s="42"/>
      <c r="C263" s="806"/>
    </row>
    <row r="264" spans="1:3" x14ac:dyDescent="0.25">
      <c r="A264" s="806"/>
      <c r="B264" s="42"/>
      <c r="C264" s="806"/>
    </row>
    <row r="265" spans="1:3" x14ac:dyDescent="0.25">
      <c r="A265" s="806"/>
      <c r="B265" s="42"/>
      <c r="C265" s="806"/>
    </row>
    <row r="266" spans="1:3" x14ac:dyDescent="0.25">
      <c r="A266" s="806"/>
      <c r="B266" s="42"/>
      <c r="C266" s="806"/>
    </row>
    <row r="267" spans="1:3" x14ac:dyDescent="0.25">
      <c r="A267" s="806"/>
      <c r="B267" s="42"/>
      <c r="C267" s="806"/>
    </row>
    <row r="268" spans="1:3" x14ac:dyDescent="0.25">
      <c r="A268" s="806"/>
      <c r="B268" s="42"/>
      <c r="C268" s="806"/>
    </row>
    <row r="269" spans="1:3" x14ac:dyDescent="0.25">
      <c r="A269" s="806"/>
      <c r="B269" s="42"/>
      <c r="C269" s="806"/>
    </row>
    <row r="270" spans="1:3" x14ac:dyDescent="0.25">
      <c r="A270" s="806"/>
      <c r="B270" s="42"/>
      <c r="C270" s="806"/>
    </row>
    <row r="271" spans="1:3" x14ac:dyDescent="0.25">
      <c r="A271" s="806"/>
      <c r="B271" s="42"/>
      <c r="C271" s="806"/>
    </row>
    <row r="272" spans="1:3" x14ac:dyDescent="0.25">
      <c r="A272" s="806"/>
      <c r="B272" s="42"/>
      <c r="C272" s="806"/>
    </row>
    <row r="273" spans="1:3" x14ac:dyDescent="0.25">
      <c r="A273" s="806"/>
      <c r="B273" s="42"/>
      <c r="C273" s="806"/>
    </row>
    <row r="274" spans="1:3" x14ac:dyDescent="0.25">
      <c r="A274" s="806"/>
      <c r="B274" s="42"/>
      <c r="C274" s="806"/>
    </row>
    <row r="275" spans="1:3" x14ac:dyDescent="0.25">
      <c r="A275" s="806"/>
      <c r="B275" s="42"/>
      <c r="C275" s="806"/>
    </row>
    <row r="276" spans="1:3" x14ac:dyDescent="0.25">
      <c r="A276" s="806"/>
      <c r="B276" s="42"/>
      <c r="C276" s="806"/>
    </row>
    <row r="277" spans="1:3" x14ac:dyDescent="0.25">
      <c r="A277" s="806"/>
      <c r="B277" s="42"/>
      <c r="C277" s="806"/>
    </row>
    <row r="278" spans="1:3" x14ac:dyDescent="0.25">
      <c r="A278" s="806"/>
      <c r="B278" s="42"/>
      <c r="C278" s="806"/>
    </row>
    <row r="279" spans="1:3" x14ac:dyDescent="0.25">
      <c r="A279" s="806"/>
      <c r="B279" s="42"/>
      <c r="C279" s="806"/>
    </row>
    <row r="280" spans="1:3" x14ac:dyDescent="0.25">
      <c r="A280" s="806"/>
      <c r="B280" s="42"/>
      <c r="C280" s="806"/>
    </row>
    <row r="281" spans="1:3" x14ac:dyDescent="0.25">
      <c r="A281" s="806"/>
      <c r="B281" s="42"/>
      <c r="C281" s="806"/>
    </row>
    <row r="282" spans="1:3" x14ac:dyDescent="0.25">
      <c r="A282" s="806"/>
      <c r="B282" s="42"/>
      <c r="C282" s="806"/>
    </row>
    <row r="283" spans="1:3" x14ac:dyDescent="0.25">
      <c r="A283" s="806"/>
      <c r="B283" s="42"/>
      <c r="C283" s="806"/>
    </row>
    <row r="284" spans="1:3" x14ac:dyDescent="0.25">
      <c r="A284" s="806"/>
      <c r="B284" s="42"/>
      <c r="C284" s="806"/>
    </row>
    <row r="285" spans="1:3" x14ac:dyDescent="0.25">
      <c r="A285" s="806"/>
      <c r="B285" s="42"/>
      <c r="C285" s="806"/>
    </row>
    <row r="286" spans="1:3" x14ac:dyDescent="0.25">
      <c r="A286" s="806"/>
      <c r="B286" s="42"/>
      <c r="C286" s="806"/>
    </row>
    <row r="287" spans="1:3" x14ac:dyDescent="0.25">
      <c r="A287" s="806"/>
      <c r="B287" s="42"/>
      <c r="C287" s="806"/>
    </row>
    <row r="288" spans="1:3" x14ac:dyDescent="0.25">
      <c r="A288" s="806"/>
      <c r="B288" s="42"/>
      <c r="C288" s="806"/>
    </row>
    <row r="289" spans="1:3" x14ac:dyDescent="0.25">
      <c r="A289" s="806"/>
      <c r="B289" s="42"/>
      <c r="C289" s="806"/>
    </row>
    <row r="290" spans="1:3" x14ac:dyDescent="0.25">
      <c r="A290" s="806"/>
      <c r="B290" s="42"/>
      <c r="C290" s="806"/>
    </row>
    <row r="291" spans="1:3" x14ac:dyDescent="0.25">
      <c r="A291" s="806"/>
      <c r="B291" s="42"/>
      <c r="C291" s="806"/>
    </row>
    <row r="292" spans="1:3" x14ac:dyDescent="0.25">
      <c r="A292" s="806"/>
      <c r="B292" s="42"/>
      <c r="C292" s="806"/>
    </row>
    <row r="293" spans="1:3" x14ac:dyDescent="0.25">
      <c r="A293" s="806"/>
      <c r="B293" s="42"/>
      <c r="C293" s="806"/>
    </row>
    <row r="294" spans="1:3" x14ac:dyDescent="0.25">
      <c r="A294" s="806"/>
      <c r="B294" s="42"/>
      <c r="C294" s="806"/>
    </row>
    <row r="295" spans="1:3" x14ac:dyDescent="0.25">
      <c r="A295" s="806"/>
      <c r="B295" s="42"/>
      <c r="C295" s="806"/>
    </row>
    <row r="296" spans="1:3" x14ac:dyDescent="0.25">
      <c r="A296" s="806"/>
      <c r="B296" s="42"/>
      <c r="C296" s="806"/>
    </row>
    <row r="297" spans="1:3" x14ac:dyDescent="0.25">
      <c r="A297" s="806"/>
      <c r="B297" s="42"/>
      <c r="C297" s="806"/>
    </row>
    <row r="298" spans="1:3" x14ac:dyDescent="0.25">
      <c r="A298" s="806"/>
      <c r="B298" s="42"/>
      <c r="C298" s="806"/>
    </row>
    <row r="299" spans="1:3" x14ac:dyDescent="0.25">
      <c r="A299" s="806"/>
      <c r="B299" s="42"/>
      <c r="C299" s="806"/>
    </row>
    <row r="300" spans="1:3" x14ac:dyDescent="0.25">
      <c r="A300" s="806"/>
      <c r="B300" s="42"/>
      <c r="C300" s="806"/>
    </row>
    <row r="301" spans="1:3" x14ac:dyDescent="0.25">
      <c r="A301" s="806"/>
      <c r="B301" s="42"/>
      <c r="C301" s="806"/>
    </row>
    <row r="302" spans="1:3" x14ac:dyDescent="0.25">
      <c r="A302" s="806"/>
      <c r="B302" s="42"/>
      <c r="C302" s="806"/>
    </row>
    <row r="303" spans="1:3" x14ac:dyDescent="0.25">
      <c r="A303" s="806"/>
      <c r="B303" s="42"/>
      <c r="C303" s="806"/>
    </row>
    <row r="304" spans="1:3" x14ac:dyDescent="0.25">
      <c r="A304" s="806"/>
      <c r="B304" s="42"/>
      <c r="C304" s="806"/>
    </row>
    <row r="305" spans="1:3" x14ac:dyDescent="0.25">
      <c r="A305" s="806"/>
      <c r="B305" s="42"/>
      <c r="C305" s="806"/>
    </row>
    <row r="306" spans="1:3" x14ac:dyDescent="0.25">
      <c r="A306" s="806"/>
      <c r="B306" s="42"/>
      <c r="C306" s="806"/>
    </row>
    <row r="307" spans="1:3" x14ac:dyDescent="0.25">
      <c r="A307" s="806"/>
      <c r="B307" s="42"/>
      <c r="C307" s="806"/>
    </row>
    <row r="308" spans="1:3" x14ac:dyDescent="0.25">
      <c r="A308" s="806"/>
      <c r="B308" s="42"/>
      <c r="C308" s="806"/>
    </row>
    <row r="309" spans="1:3" x14ac:dyDescent="0.25">
      <c r="A309" s="806"/>
      <c r="B309" s="42"/>
      <c r="C309" s="806"/>
    </row>
    <row r="310" spans="1:3" x14ac:dyDescent="0.25">
      <c r="A310" s="806"/>
      <c r="B310" s="42"/>
      <c r="C310" s="806"/>
    </row>
    <row r="311" spans="1:3" x14ac:dyDescent="0.25">
      <c r="A311" s="806"/>
      <c r="B311" s="42"/>
      <c r="C311" s="806"/>
    </row>
    <row r="312" spans="1:3" x14ac:dyDescent="0.25">
      <c r="A312" s="806"/>
      <c r="B312" s="42"/>
      <c r="C312" s="806"/>
    </row>
    <row r="313" spans="1:3" x14ac:dyDescent="0.25">
      <c r="A313" s="806"/>
      <c r="B313" s="42"/>
      <c r="C313" s="806"/>
    </row>
    <row r="314" spans="1:3" x14ac:dyDescent="0.25">
      <c r="A314" s="806"/>
      <c r="B314" s="42"/>
      <c r="C314" s="806"/>
    </row>
    <row r="315" spans="1:3" x14ac:dyDescent="0.25">
      <c r="A315" s="806"/>
      <c r="B315" s="42"/>
      <c r="C315" s="806"/>
    </row>
    <row r="316" spans="1:3" x14ac:dyDescent="0.25">
      <c r="A316" s="806"/>
      <c r="B316" s="42"/>
      <c r="C316" s="806"/>
    </row>
    <row r="317" spans="1:3" x14ac:dyDescent="0.25">
      <c r="A317" s="806"/>
      <c r="B317" s="42"/>
      <c r="C317" s="806"/>
    </row>
    <row r="318" spans="1:3" x14ac:dyDescent="0.25">
      <c r="A318" s="806"/>
      <c r="B318" s="42"/>
      <c r="C318" s="806"/>
    </row>
    <row r="319" spans="1:3" x14ac:dyDescent="0.25">
      <c r="A319" s="806"/>
      <c r="B319" s="42"/>
      <c r="C319" s="806"/>
    </row>
    <row r="320" spans="1:3" x14ac:dyDescent="0.25">
      <c r="A320" s="806"/>
      <c r="B320" s="42"/>
      <c r="C320" s="806"/>
    </row>
    <row r="321" spans="1:3" x14ac:dyDescent="0.25">
      <c r="A321" s="806"/>
      <c r="B321" s="42"/>
      <c r="C321" s="806"/>
    </row>
    <row r="322" spans="1:3" x14ac:dyDescent="0.25">
      <c r="A322" s="806"/>
      <c r="B322" s="42"/>
      <c r="C322" s="806"/>
    </row>
    <row r="323" spans="1:3" x14ac:dyDescent="0.25">
      <c r="A323" s="806"/>
      <c r="B323" s="42"/>
      <c r="C323" s="806"/>
    </row>
    <row r="324" spans="1:3" x14ac:dyDescent="0.25">
      <c r="A324" s="806"/>
      <c r="B324" s="42"/>
      <c r="C324" s="806"/>
    </row>
    <row r="325" spans="1:3" x14ac:dyDescent="0.25">
      <c r="A325" s="806"/>
      <c r="B325" s="42"/>
      <c r="C325" s="806"/>
    </row>
    <row r="326" spans="1:3" x14ac:dyDescent="0.25">
      <c r="A326" s="806"/>
      <c r="B326" s="42"/>
      <c r="C326" s="806"/>
    </row>
    <row r="327" spans="1:3" x14ac:dyDescent="0.25">
      <c r="A327" s="806"/>
      <c r="B327" s="42"/>
      <c r="C327" s="806"/>
    </row>
    <row r="328" spans="1:3" x14ac:dyDescent="0.25">
      <c r="A328" s="806"/>
      <c r="B328" s="42"/>
      <c r="C328" s="806"/>
    </row>
    <row r="329" spans="1:3" x14ac:dyDescent="0.25">
      <c r="A329" s="806"/>
      <c r="B329" s="42"/>
      <c r="C329" s="806"/>
    </row>
    <row r="330" spans="1:3" x14ac:dyDescent="0.25">
      <c r="A330" s="806"/>
      <c r="B330" s="42"/>
      <c r="C330" s="806"/>
    </row>
    <row r="331" spans="1:3" x14ac:dyDescent="0.25">
      <c r="A331" s="806"/>
      <c r="B331" s="42"/>
      <c r="C331" s="806"/>
    </row>
    <row r="332" spans="1:3" x14ac:dyDescent="0.25">
      <c r="A332" s="806"/>
      <c r="B332" s="42"/>
      <c r="C332" s="806"/>
    </row>
    <row r="333" spans="1:3" x14ac:dyDescent="0.25">
      <c r="A333" s="806"/>
      <c r="B333" s="42"/>
      <c r="C333" s="806"/>
    </row>
    <row r="334" spans="1:3" x14ac:dyDescent="0.25">
      <c r="A334" s="806"/>
      <c r="B334" s="42"/>
      <c r="C334" s="806"/>
    </row>
    <row r="335" spans="1:3" x14ac:dyDescent="0.25">
      <c r="A335" s="806"/>
      <c r="B335" s="42"/>
      <c r="C335" s="806"/>
    </row>
    <row r="336" spans="1:3" x14ac:dyDescent="0.25">
      <c r="A336" s="806"/>
      <c r="B336" s="42"/>
      <c r="C336" s="806"/>
    </row>
    <row r="337" spans="1:3" x14ac:dyDescent="0.25">
      <c r="A337" s="806"/>
      <c r="B337" s="42"/>
      <c r="C337" s="806"/>
    </row>
    <row r="338" spans="1:3" x14ac:dyDescent="0.25">
      <c r="A338" s="806"/>
      <c r="B338" s="42"/>
      <c r="C338" s="806"/>
    </row>
    <row r="339" spans="1:3" x14ac:dyDescent="0.25">
      <c r="A339" s="806"/>
      <c r="B339" s="42"/>
      <c r="C339" s="806"/>
    </row>
    <row r="340" spans="1:3" x14ac:dyDescent="0.25">
      <c r="A340" s="806"/>
      <c r="B340" s="42"/>
      <c r="C340" s="806"/>
    </row>
    <row r="341" spans="1:3" x14ac:dyDescent="0.25">
      <c r="A341" s="806"/>
      <c r="B341" s="42"/>
      <c r="C341" s="806"/>
    </row>
    <row r="342" spans="1:3" x14ac:dyDescent="0.25">
      <c r="A342" s="806"/>
      <c r="B342" s="42"/>
      <c r="C342" s="806"/>
    </row>
    <row r="343" spans="1:3" x14ac:dyDescent="0.25">
      <c r="A343" s="806"/>
      <c r="B343" s="42"/>
      <c r="C343" s="806"/>
    </row>
    <row r="344" spans="1:3" x14ac:dyDescent="0.25">
      <c r="A344" s="806"/>
      <c r="B344" s="42"/>
      <c r="C344" s="806"/>
    </row>
    <row r="345" spans="1:3" x14ac:dyDescent="0.25">
      <c r="A345" s="806"/>
      <c r="B345" s="42"/>
      <c r="C345" s="806"/>
    </row>
    <row r="346" spans="1:3" x14ac:dyDescent="0.25">
      <c r="A346" s="806"/>
      <c r="B346" s="42"/>
      <c r="C346" s="806"/>
    </row>
    <row r="347" spans="1:3" x14ac:dyDescent="0.25">
      <c r="A347" s="806"/>
      <c r="B347" s="42"/>
      <c r="C347" s="806"/>
    </row>
    <row r="348" spans="1:3" x14ac:dyDescent="0.25">
      <c r="A348" s="806"/>
      <c r="B348" s="42"/>
      <c r="C348" s="806"/>
    </row>
    <row r="349" spans="1:3" x14ac:dyDescent="0.25">
      <c r="A349" s="806"/>
      <c r="B349" s="42"/>
      <c r="C349" s="806"/>
    </row>
    <row r="350" spans="1:3" x14ac:dyDescent="0.25">
      <c r="A350" s="806"/>
      <c r="B350" s="42"/>
      <c r="C350" s="806"/>
    </row>
    <row r="351" spans="1:3" x14ac:dyDescent="0.25">
      <c r="A351" s="806"/>
      <c r="B351" s="42"/>
      <c r="C351" s="806"/>
    </row>
    <row r="352" spans="1:3" x14ac:dyDescent="0.25">
      <c r="A352" s="806"/>
      <c r="B352" s="42"/>
      <c r="C352" s="806"/>
    </row>
    <row r="353" spans="1:3" x14ac:dyDescent="0.25">
      <c r="A353" s="806"/>
      <c r="B353" s="42"/>
      <c r="C353" s="806"/>
    </row>
    <row r="354" spans="1:3" x14ac:dyDescent="0.25">
      <c r="A354" s="806"/>
      <c r="B354" s="42"/>
      <c r="C354" s="806"/>
    </row>
    <row r="355" spans="1:3" x14ac:dyDescent="0.25">
      <c r="A355" s="806"/>
      <c r="B355" s="42"/>
      <c r="C355" s="806"/>
    </row>
    <row r="356" spans="1:3" x14ac:dyDescent="0.25">
      <c r="A356" s="806"/>
      <c r="B356" s="42"/>
      <c r="C356" s="806"/>
    </row>
    <row r="357" spans="1:3" x14ac:dyDescent="0.25">
      <c r="A357" s="806"/>
      <c r="B357" s="42"/>
      <c r="C357" s="806"/>
    </row>
    <row r="358" spans="1:3" x14ac:dyDescent="0.25">
      <c r="A358" s="806"/>
      <c r="B358" s="42"/>
      <c r="C358" s="806"/>
    </row>
    <row r="359" spans="1:3" x14ac:dyDescent="0.25">
      <c r="A359" s="806"/>
      <c r="B359" s="42"/>
      <c r="C359" s="806"/>
    </row>
    <row r="360" spans="1:3" x14ac:dyDescent="0.25">
      <c r="A360" s="806"/>
      <c r="B360" s="42"/>
      <c r="C360" s="806"/>
    </row>
    <row r="361" spans="1:3" x14ac:dyDescent="0.25">
      <c r="A361" s="806"/>
      <c r="B361" s="42"/>
      <c r="C361" s="806"/>
    </row>
    <row r="362" spans="1:3" x14ac:dyDescent="0.25">
      <c r="A362" s="806"/>
      <c r="B362" s="42"/>
      <c r="C362" s="806"/>
    </row>
    <row r="363" spans="1:3" x14ac:dyDescent="0.25">
      <c r="A363" s="806"/>
      <c r="B363" s="42"/>
      <c r="C363" s="806"/>
    </row>
    <row r="364" spans="1:3" x14ac:dyDescent="0.25">
      <c r="A364" s="806"/>
      <c r="B364" s="42"/>
      <c r="C364" s="806"/>
    </row>
    <row r="365" spans="1:3" x14ac:dyDescent="0.25">
      <c r="A365" s="806"/>
      <c r="B365" s="42"/>
      <c r="C365" s="806"/>
    </row>
    <row r="366" spans="1:3" x14ac:dyDescent="0.25">
      <c r="A366" s="806"/>
      <c r="B366" s="42"/>
      <c r="C366" s="806"/>
    </row>
    <row r="367" spans="1:3" x14ac:dyDescent="0.25">
      <c r="A367" s="806"/>
      <c r="B367" s="42"/>
      <c r="C367" s="806"/>
    </row>
    <row r="368" spans="1:3" x14ac:dyDescent="0.25">
      <c r="A368" s="806"/>
      <c r="B368" s="42"/>
      <c r="C368" s="806"/>
    </row>
    <row r="369" spans="1:3" x14ac:dyDescent="0.25">
      <c r="A369" s="806"/>
      <c r="B369" s="42"/>
      <c r="C369" s="806"/>
    </row>
    <row r="370" spans="1:3" x14ac:dyDescent="0.25">
      <c r="A370" s="806"/>
      <c r="B370" s="42"/>
      <c r="C370" s="806"/>
    </row>
    <row r="371" spans="1:3" x14ac:dyDescent="0.25">
      <c r="A371" s="806"/>
      <c r="B371" s="42"/>
      <c r="C371" s="806"/>
    </row>
    <row r="372" spans="1:3" x14ac:dyDescent="0.25">
      <c r="A372" s="806"/>
      <c r="B372" s="42"/>
      <c r="C372" s="806"/>
    </row>
    <row r="373" spans="1:3" x14ac:dyDescent="0.25">
      <c r="A373" s="806"/>
      <c r="B373" s="42"/>
      <c r="C373" s="806"/>
    </row>
    <row r="374" spans="1:3" x14ac:dyDescent="0.25">
      <c r="A374" s="806"/>
      <c r="B374" s="42"/>
      <c r="C374" s="806"/>
    </row>
    <row r="375" spans="1:3" x14ac:dyDescent="0.25">
      <c r="A375" s="806"/>
      <c r="B375" s="42"/>
      <c r="C375" s="806"/>
    </row>
    <row r="376" spans="1:3" x14ac:dyDescent="0.25">
      <c r="A376" s="806"/>
      <c r="B376" s="42"/>
      <c r="C376" s="806"/>
    </row>
    <row r="377" spans="1:3" x14ac:dyDescent="0.25">
      <c r="A377" s="806"/>
      <c r="B377" s="42"/>
      <c r="C377" s="806"/>
    </row>
    <row r="378" spans="1:3" x14ac:dyDescent="0.25">
      <c r="A378" s="806"/>
      <c r="B378" s="42"/>
      <c r="C378" s="806"/>
    </row>
    <row r="379" spans="1:3" x14ac:dyDescent="0.25">
      <c r="A379" s="806"/>
      <c r="B379" s="42"/>
      <c r="C379" s="806"/>
    </row>
    <row r="380" spans="1:3" x14ac:dyDescent="0.25">
      <c r="A380" s="806"/>
      <c r="B380" s="42"/>
      <c r="C380" s="806"/>
    </row>
    <row r="381" spans="1:3" x14ac:dyDescent="0.25">
      <c r="A381" s="806"/>
      <c r="B381" s="42"/>
      <c r="C381" s="806"/>
    </row>
    <row r="382" spans="1:3" x14ac:dyDescent="0.25">
      <c r="A382" s="806"/>
      <c r="B382" s="42"/>
      <c r="C382" s="806"/>
    </row>
    <row r="383" spans="1:3" x14ac:dyDescent="0.25">
      <c r="A383" s="806"/>
      <c r="B383" s="42"/>
      <c r="C383" s="806"/>
    </row>
    <row r="384" spans="1:3" x14ac:dyDescent="0.25">
      <c r="A384" s="806"/>
      <c r="B384" s="42"/>
      <c r="C384" s="806"/>
    </row>
    <row r="385" spans="1:3" x14ac:dyDescent="0.25">
      <c r="A385" s="806"/>
      <c r="B385" s="42"/>
      <c r="C385" s="806"/>
    </row>
    <row r="386" spans="1:3" x14ac:dyDescent="0.25">
      <c r="A386" s="806"/>
      <c r="B386" s="42"/>
      <c r="C386" s="806"/>
    </row>
    <row r="387" spans="1:3" x14ac:dyDescent="0.25">
      <c r="A387" s="806"/>
      <c r="B387" s="42"/>
      <c r="C387" s="806"/>
    </row>
    <row r="388" spans="1:3" x14ac:dyDescent="0.25">
      <c r="A388" s="806"/>
      <c r="B388" s="42"/>
      <c r="C388" s="806"/>
    </row>
    <row r="389" spans="1:3" x14ac:dyDescent="0.25">
      <c r="A389" s="806"/>
      <c r="B389" s="42"/>
      <c r="C389" s="806"/>
    </row>
    <row r="390" spans="1:3" x14ac:dyDescent="0.25">
      <c r="A390" s="806"/>
      <c r="B390" s="42"/>
      <c r="C390" s="806"/>
    </row>
    <row r="391" spans="1:3" x14ac:dyDescent="0.25">
      <c r="A391" s="806"/>
      <c r="B391" s="42"/>
      <c r="C391" s="806"/>
    </row>
    <row r="392" spans="1:3" x14ac:dyDescent="0.25">
      <c r="A392" s="806"/>
      <c r="B392" s="42"/>
      <c r="C392" s="806"/>
    </row>
    <row r="393" spans="1:3" x14ac:dyDescent="0.25">
      <c r="A393" s="806"/>
      <c r="B393" s="42"/>
      <c r="C393" s="806"/>
    </row>
    <row r="394" spans="1:3" x14ac:dyDescent="0.25">
      <c r="A394" s="806"/>
      <c r="B394" s="42"/>
      <c r="C394" s="806"/>
    </row>
    <row r="395" spans="1:3" x14ac:dyDescent="0.25">
      <c r="A395" s="806"/>
      <c r="B395" s="42"/>
      <c r="C395" s="806"/>
    </row>
    <row r="396" spans="1:3" x14ac:dyDescent="0.25">
      <c r="A396" s="806"/>
      <c r="B396" s="42"/>
      <c r="C396" s="806"/>
    </row>
    <row r="397" spans="1:3" x14ac:dyDescent="0.25">
      <c r="A397" s="806"/>
      <c r="B397" s="42"/>
      <c r="C397" s="806"/>
    </row>
    <row r="398" spans="1:3" x14ac:dyDescent="0.25">
      <c r="A398" s="806"/>
      <c r="B398" s="42"/>
      <c r="C398" s="806"/>
    </row>
    <row r="399" spans="1:3" x14ac:dyDescent="0.25">
      <c r="A399" s="806"/>
      <c r="B399" s="42"/>
      <c r="C399" s="806"/>
    </row>
    <row r="400" spans="1:3" x14ac:dyDescent="0.25">
      <c r="A400" s="806"/>
      <c r="B400" s="42"/>
      <c r="C400" s="806"/>
    </row>
    <row r="401" spans="1:3" x14ac:dyDescent="0.25">
      <c r="A401" s="806"/>
      <c r="B401" s="42"/>
      <c r="C401" s="806"/>
    </row>
    <row r="402" spans="1:3" x14ac:dyDescent="0.25">
      <c r="A402" s="806"/>
      <c r="B402" s="42"/>
      <c r="C402" s="806"/>
    </row>
    <row r="403" spans="1:3" x14ac:dyDescent="0.25">
      <c r="A403" s="806"/>
      <c r="B403" s="42"/>
      <c r="C403" s="806"/>
    </row>
    <row r="404" spans="1:3" x14ac:dyDescent="0.25">
      <c r="A404" s="806"/>
      <c r="B404" s="42"/>
      <c r="C404" s="806"/>
    </row>
    <row r="405" spans="1:3" x14ac:dyDescent="0.25">
      <c r="A405" s="806"/>
      <c r="B405" s="42"/>
      <c r="C405" s="806"/>
    </row>
    <row r="406" spans="1:3" x14ac:dyDescent="0.25">
      <c r="A406" s="806"/>
      <c r="B406" s="42"/>
      <c r="C406" s="806"/>
    </row>
    <row r="407" spans="1:3" x14ac:dyDescent="0.25">
      <c r="A407" s="806"/>
      <c r="B407" s="42"/>
      <c r="C407" s="806"/>
    </row>
    <row r="408" spans="1:3" x14ac:dyDescent="0.25">
      <c r="A408" s="806"/>
      <c r="B408" s="42"/>
      <c r="C408" s="806"/>
    </row>
    <row r="409" spans="1:3" x14ac:dyDescent="0.25">
      <c r="A409" s="806"/>
      <c r="B409" s="42"/>
      <c r="C409" s="806"/>
    </row>
    <row r="410" spans="1:3" x14ac:dyDescent="0.25">
      <c r="A410" s="806"/>
      <c r="B410" s="42"/>
      <c r="C410" s="806"/>
    </row>
    <row r="411" spans="1:3" x14ac:dyDescent="0.25">
      <c r="A411" s="806"/>
      <c r="B411" s="42"/>
      <c r="C411" s="806"/>
    </row>
    <row r="412" spans="1:3" x14ac:dyDescent="0.25">
      <c r="A412" s="806"/>
      <c r="B412" s="42"/>
      <c r="C412" s="806"/>
    </row>
    <row r="413" spans="1:3" x14ac:dyDescent="0.25">
      <c r="A413" s="806"/>
      <c r="B413" s="42"/>
      <c r="C413" s="806"/>
    </row>
    <row r="414" spans="1:3" x14ac:dyDescent="0.25">
      <c r="A414" s="806"/>
      <c r="B414" s="42"/>
      <c r="C414" s="806"/>
    </row>
    <row r="415" spans="1:3" x14ac:dyDescent="0.25">
      <c r="A415" s="806"/>
      <c r="B415" s="42"/>
      <c r="C415" s="806"/>
    </row>
    <row r="416" spans="1:3" x14ac:dyDescent="0.25">
      <c r="A416" s="806"/>
      <c r="B416" s="42"/>
      <c r="C416" s="806"/>
    </row>
    <row r="417" spans="1:3" x14ac:dyDescent="0.25">
      <c r="A417" s="806"/>
      <c r="B417" s="42"/>
      <c r="C417" s="806"/>
    </row>
    <row r="418" spans="1:3" x14ac:dyDescent="0.25">
      <c r="A418" s="806"/>
      <c r="B418" s="42"/>
      <c r="C418" s="806"/>
    </row>
    <row r="419" spans="1:3" x14ac:dyDescent="0.25">
      <c r="A419" s="806"/>
      <c r="B419" s="42"/>
      <c r="C419" s="806"/>
    </row>
    <row r="420" spans="1:3" x14ac:dyDescent="0.25">
      <c r="A420" s="806"/>
      <c r="B420" s="42"/>
      <c r="C420" s="806"/>
    </row>
    <row r="421" spans="1:3" x14ac:dyDescent="0.25">
      <c r="A421" s="806"/>
      <c r="B421" s="42"/>
      <c r="C421" s="806"/>
    </row>
    <row r="422" spans="1:3" x14ac:dyDescent="0.25">
      <c r="A422" s="806"/>
      <c r="B422" s="42"/>
      <c r="C422" s="806"/>
    </row>
    <row r="423" spans="1:3" x14ac:dyDescent="0.25">
      <c r="A423" s="806"/>
      <c r="B423" s="42"/>
      <c r="C423" s="806"/>
    </row>
    <row r="424" spans="1:3" x14ac:dyDescent="0.25">
      <c r="A424" s="806"/>
      <c r="B424" s="42"/>
      <c r="C424" s="806"/>
    </row>
    <row r="425" spans="1:3" x14ac:dyDescent="0.25">
      <c r="A425" s="806"/>
      <c r="B425" s="42"/>
      <c r="C425" s="806"/>
    </row>
    <row r="426" spans="1:3" x14ac:dyDescent="0.25">
      <c r="A426" s="806"/>
      <c r="B426" s="42"/>
      <c r="C426" s="806"/>
    </row>
    <row r="427" spans="1:3" x14ac:dyDescent="0.25">
      <c r="A427" s="806"/>
      <c r="B427" s="42"/>
      <c r="C427" s="806"/>
    </row>
    <row r="428" spans="1:3" x14ac:dyDescent="0.25">
      <c r="A428" s="806"/>
      <c r="B428" s="42"/>
      <c r="C428" s="806"/>
    </row>
    <row r="429" spans="1:3" x14ac:dyDescent="0.25">
      <c r="A429" s="806"/>
      <c r="B429" s="42"/>
      <c r="C429" s="806"/>
    </row>
    <row r="430" spans="1:3" x14ac:dyDescent="0.25">
      <c r="A430" s="806"/>
      <c r="B430" s="42"/>
      <c r="C430" s="806"/>
    </row>
    <row r="431" spans="1:3" x14ac:dyDescent="0.25">
      <c r="A431" s="806"/>
      <c r="B431" s="42"/>
      <c r="C431" s="806"/>
    </row>
    <row r="432" spans="1:3" x14ac:dyDescent="0.25">
      <c r="A432" s="806"/>
      <c r="B432" s="42"/>
      <c r="C432" s="806"/>
    </row>
    <row r="433" spans="1:3" x14ac:dyDescent="0.25">
      <c r="A433" s="806"/>
      <c r="B433" s="42"/>
      <c r="C433" s="806"/>
    </row>
    <row r="434" spans="1:3" x14ac:dyDescent="0.25">
      <c r="A434" s="806"/>
      <c r="B434" s="42"/>
      <c r="C434" s="806"/>
    </row>
    <row r="435" spans="1:3" x14ac:dyDescent="0.25">
      <c r="A435" s="806"/>
      <c r="B435" s="42"/>
      <c r="C435" s="806"/>
    </row>
    <row r="436" spans="1:3" x14ac:dyDescent="0.25">
      <c r="A436" s="806"/>
      <c r="B436" s="42"/>
      <c r="C436" s="806"/>
    </row>
    <row r="437" spans="1:3" x14ac:dyDescent="0.25">
      <c r="A437" s="806"/>
      <c r="B437" s="42"/>
      <c r="C437" s="806"/>
    </row>
    <row r="438" spans="1:3" x14ac:dyDescent="0.25">
      <c r="A438" s="806"/>
      <c r="B438" s="42"/>
      <c r="C438" s="806"/>
    </row>
    <row r="439" spans="1:3" x14ac:dyDescent="0.25">
      <c r="A439" s="806"/>
      <c r="B439" s="42"/>
      <c r="C439" s="806"/>
    </row>
    <row r="440" spans="1:3" x14ac:dyDescent="0.25">
      <c r="A440" s="806"/>
      <c r="B440" s="42"/>
      <c r="C440" s="806"/>
    </row>
    <row r="441" spans="1:3" x14ac:dyDescent="0.25">
      <c r="A441" s="806"/>
      <c r="B441" s="42"/>
      <c r="C441" s="806"/>
    </row>
    <row r="442" spans="1:3" x14ac:dyDescent="0.25">
      <c r="A442" s="806"/>
      <c r="B442" s="42"/>
      <c r="C442" s="806"/>
    </row>
    <row r="443" spans="1:3" x14ac:dyDescent="0.25">
      <c r="A443" s="806"/>
      <c r="B443" s="42"/>
      <c r="C443" s="806"/>
    </row>
    <row r="444" spans="1:3" x14ac:dyDescent="0.25">
      <c r="A444" s="806"/>
      <c r="B444" s="42"/>
      <c r="C444" s="806"/>
    </row>
    <row r="445" spans="1:3" x14ac:dyDescent="0.25">
      <c r="A445" s="806"/>
      <c r="B445" s="42"/>
      <c r="C445" s="806"/>
    </row>
    <row r="446" spans="1:3" x14ac:dyDescent="0.25">
      <c r="A446" s="806"/>
      <c r="B446" s="42"/>
      <c r="C446" s="806"/>
    </row>
    <row r="447" spans="1:3" x14ac:dyDescent="0.25">
      <c r="A447" s="806"/>
      <c r="B447" s="42"/>
      <c r="C447" s="806"/>
    </row>
    <row r="448" spans="1:3" x14ac:dyDescent="0.25">
      <c r="A448" s="806"/>
      <c r="B448" s="42"/>
      <c r="C448" s="806"/>
    </row>
    <row r="449" spans="1:3" x14ac:dyDescent="0.25">
      <c r="A449" s="806"/>
      <c r="B449" s="42"/>
      <c r="C449" s="806"/>
    </row>
    <row r="450" spans="1:3" x14ac:dyDescent="0.25">
      <c r="A450" s="806"/>
      <c r="B450" s="42"/>
      <c r="C450" s="806"/>
    </row>
    <row r="451" spans="1:3" x14ac:dyDescent="0.25">
      <c r="A451" s="806"/>
      <c r="B451" s="42"/>
      <c r="C451" s="806"/>
    </row>
    <row r="452" spans="1:3" x14ac:dyDescent="0.25">
      <c r="A452" s="806"/>
      <c r="B452" s="42"/>
      <c r="C452" s="806"/>
    </row>
    <row r="453" spans="1:3" x14ac:dyDescent="0.25">
      <c r="A453" s="806"/>
      <c r="B453" s="42"/>
      <c r="C453" s="806"/>
    </row>
    <row r="454" spans="1:3" x14ac:dyDescent="0.25">
      <c r="A454" s="806"/>
      <c r="B454" s="42"/>
      <c r="C454" s="806"/>
    </row>
    <row r="455" spans="1:3" x14ac:dyDescent="0.25">
      <c r="A455" s="806"/>
      <c r="B455" s="42"/>
      <c r="C455" s="806"/>
    </row>
    <row r="456" spans="1:3" x14ac:dyDescent="0.25">
      <c r="A456" s="806"/>
      <c r="B456" s="42"/>
      <c r="C456" s="806"/>
    </row>
    <row r="457" spans="1:3" x14ac:dyDescent="0.25">
      <c r="A457" s="806"/>
      <c r="B457" s="42"/>
      <c r="C457" s="806"/>
    </row>
    <row r="458" spans="1:3" x14ac:dyDescent="0.25">
      <c r="A458" s="806"/>
      <c r="B458" s="42"/>
      <c r="C458" s="806"/>
    </row>
    <row r="459" spans="1:3" x14ac:dyDescent="0.25">
      <c r="A459" s="806"/>
      <c r="B459" s="42"/>
      <c r="C459" s="806"/>
    </row>
    <row r="460" spans="1:3" x14ac:dyDescent="0.25">
      <c r="A460" s="806"/>
      <c r="B460" s="42"/>
      <c r="C460" s="806"/>
    </row>
    <row r="461" spans="1:3" x14ac:dyDescent="0.25">
      <c r="A461" s="806"/>
      <c r="B461" s="42"/>
      <c r="C461" s="806"/>
    </row>
    <row r="462" spans="1:3" x14ac:dyDescent="0.25">
      <c r="A462" s="806"/>
      <c r="B462" s="42"/>
      <c r="C462" s="806"/>
    </row>
    <row r="463" spans="1:3" x14ac:dyDescent="0.25">
      <c r="A463" s="806"/>
      <c r="B463" s="42"/>
      <c r="C463" s="806"/>
    </row>
    <row r="464" spans="1:3" x14ac:dyDescent="0.25">
      <c r="A464" s="806"/>
      <c r="B464" s="42"/>
      <c r="C464" s="806"/>
    </row>
    <row r="465" spans="1:3" x14ac:dyDescent="0.25">
      <c r="A465" s="806"/>
      <c r="B465" s="42"/>
      <c r="C465" s="806"/>
    </row>
    <row r="466" spans="1:3" x14ac:dyDescent="0.25">
      <c r="A466" s="806"/>
      <c r="B466" s="42"/>
      <c r="C466" s="806"/>
    </row>
    <row r="467" spans="1:3" x14ac:dyDescent="0.25">
      <c r="A467" s="806"/>
      <c r="B467" s="42"/>
      <c r="C467" s="806"/>
    </row>
    <row r="468" spans="1:3" x14ac:dyDescent="0.25">
      <c r="A468" s="806"/>
      <c r="B468" s="42"/>
      <c r="C468" s="806"/>
    </row>
    <row r="469" spans="1:3" x14ac:dyDescent="0.25">
      <c r="A469" s="806"/>
      <c r="B469" s="42"/>
      <c r="C469" s="806"/>
    </row>
    <row r="470" spans="1:3" x14ac:dyDescent="0.25">
      <c r="A470" s="806"/>
      <c r="B470" s="42"/>
      <c r="C470" s="806"/>
    </row>
    <row r="471" spans="1:3" x14ac:dyDescent="0.25">
      <c r="A471" s="806"/>
      <c r="B471" s="42"/>
      <c r="C471" s="806"/>
    </row>
    <row r="472" spans="1:3" x14ac:dyDescent="0.25">
      <c r="A472" s="806"/>
      <c r="B472" s="42"/>
      <c r="C472" s="806"/>
    </row>
    <row r="473" spans="1:3" x14ac:dyDescent="0.25">
      <c r="A473" s="806"/>
      <c r="B473" s="42"/>
      <c r="C473" s="806"/>
    </row>
    <row r="474" spans="1:3" x14ac:dyDescent="0.25">
      <c r="A474" s="806"/>
      <c r="B474" s="42"/>
      <c r="C474" s="806"/>
    </row>
    <row r="475" spans="1:3" x14ac:dyDescent="0.25">
      <c r="A475" s="806"/>
      <c r="B475" s="42"/>
      <c r="C475" s="806"/>
    </row>
    <row r="476" spans="1:3" x14ac:dyDescent="0.25">
      <c r="A476" s="806"/>
      <c r="B476" s="42"/>
      <c r="C476" s="806"/>
    </row>
    <row r="477" spans="1:3" x14ac:dyDescent="0.25">
      <c r="A477" s="806"/>
      <c r="B477" s="42"/>
      <c r="C477" s="806"/>
    </row>
    <row r="478" spans="1:3" x14ac:dyDescent="0.25">
      <c r="A478" s="806"/>
      <c r="B478" s="42"/>
      <c r="C478" s="806"/>
    </row>
    <row r="479" spans="1:3" x14ac:dyDescent="0.25">
      <c r="A479" s="806"/>
      <c r="B479" s="42"/>
      <c r="C479" s="806"/>
    </row>
    <row r="480" spans="1:3" x14ac:dyDescent="0.25">
      <c r="A480" s="806"/>
      <c r="B480" s="42"/>
      <c r="C480" s="806"/>
    </row>
    <row r="481" spans="1:3" x14ac:dyDescent="0.25">
      <c r="A481" s="806"/>
      <c r="B481" s="42"/>
      <c r="C481" s="806"/>
    </row>
    <row r="482" spans="1:3" x14ac:dyDescent="0.25">
      <c r="A482" s="806"/>
      <c r="B482" s="42"/>
      <c r="C482" s="806"/>
    </row>
    <row r="483" spans="1:3" x14ac:dyDescent="0.25">
      <c r="A483" s="806"/>
      <c r="B483" s="42"/>
      <c r="C483" s="806"/>
    </row>
    <row r="484" spans="1:3" x14ac:dyDescent="0.25">
      <c r="A484" s="806"/>
      <c r="B484" s="42"/>
      <c r="C484" s="806"/>
    </row>
    <row r="485" spans="1:3" x14ac:dyDescent="0.25">
      <c r="A485" s="806"/>
      <c r="B485" s="42"/>
      <c r="C485" s="806"/>
    </row>
    <row r="486" spans="1:3" x14ac:dyDescent="0.25">
      <c r="A486" s="806"/>
      <c r="B486" s="42"/>
      <c r="C486" s="806"/>
    </row>
    <row r="487" spans="1:3" x14ac:dyDescent="0.25">
      <c r="A487" s="806"/>
      <c r="B487" s="42"/>
      <c r="C487" s="806"/>
    </row>
    <row r="488" spans="1:3" x14ac:dyDescent="0.25">
      <c r="A488" s="806"/>
      <c r="B488" s="42"/>
      <c r="C488" s="806"/>
    </row>
    <row r="489" spans="1:3" x14ac:dyDescent="0.25">
      <c r="A489" s="806"/>
      <c r="B489" s="42"/>
      <c r="C489" s="806"/>
    </row>
    <row r="490" spans="1:3" x14ac:dyDescent="0.25">
      <c r="A490" s="806"/>
      <c r="B490" s="42"/>
      <c r="C490" s="806"/>
    </row>
    <row r="491" spans="1:3" x14ac:dyDescent="0.25">
      <c r="A491" s="806"/>
      <c r="B491" s="42"/>
      <c r="C491" s="806"/>
    </row>
    <row r="492" spans="1:3" x14ac:dyDescent="0.25">
      <c r="A492" s="806"/>
      <c r="B492" s="42"/>
      <c r="C492" s="806"/>
    </row>
    <row r="493" spans="1:3" x14ac:dyDescent="0.25">
      <c r="A493" s="806"/>
      <c r="B493" s="42"/>
      <c r="C493" s="806"/>
    </row>
    <row r="494" spans="1:3" x14ac:dyDescent="0.25">
      <c r="A494" s="806"/>
      <c r="B494" s="42"/>
      <c r="C494" s="806"/>
    </row>
    <row r="495" spans="1:3" x14ac:dyDescent="0.25">
      <c r="A495" s="806"/>
      <c r="B495" s="42"/>
      <c r="C495" s="806"/>
    </row>
    <row r="496" spans="1:3" x14ac:dyDescent="0.25">
      <c r="A496" s="806"/>
      <c r="B496" s="42"/>
      <c r="C496" s="806"/>
    </row>
    <row r="497" spans="1:3" x14ac:dyDescent="0.25">
      <c r="A497" s="806"/>
      <c r="B497" s="42"/>
      <c r="C497" s="806"/>
    </row>
    <row r="498" spans="1:3" x14ac:dyDescent="0.25">
      <c r="A498" s="806"/>
      <c r="B498" s="42"/>
      <c r="C498" s="806"/>
    </row>
    <row r="499" spans="1:3" x14ac:dyDescent="0.25">
      <c r="A499" s="806"/>
      <c r="B499" s="42"/>
      <c r="C499" s="806"/>
    </row>
    <row r="500" spans="1:3" x14ac:dyDescent="0.25">
      <c r="A500" s="806"/>
      <c r="B500" s="42"/>
      <c r="C500" s="806"/>
    </row>
    <row r="501" spans="1:3" x14ac:dyDescent="0.25">
      <c r="A501" s="806"/>
      <c r="B501" s="42"/>
      <c r="C501" s="806"/>
    </row>
    <row r="502" spans="1:3" x14ac:dyDescent="0.25">
      <c r="A502" s="806"/>
      <c r="B502" s="42"/>
      <c r="C502" s="806"/>
    </row>
    <row r="503" spans="1:3" x14ac:dyDescent="0.25">
      <c r="A503" s="806"/>
      <c r="B503" s="42"/>
      <c r="C503" s="806"/>
    </row>
    <row r="504" spans="1:3" x14ac:dyDescent="0.25">
      <c r="A504" s="806"/>
      <c r="B504" s="42"/>
      <c r="C504" s="806"/>
    </row>
    <row r="505" spans="1:3" x14ac:dyDescent="0.25">
      <c r="A505" s="806"/>
      <c r="B505" s="42"/>
      <c r="C505" s="806"/>
    </row>
    <row r="506" spans="1:3" x14ac:dyDescent="0.25">
      <c r="A506" s="806"/>
      <c r="B506" s="42"/>
      <c r="C506" s="806"/>
    </row>
    <row r="507" spans="1:3" x14ac:dyDescent="0.25">
      <c r="A507" s="806"/>
      <c r="B507" s="42"/>
      <c r="C507" s="806"/>
    </row>
    <row r="508" spans="1:3" x14ac:dyDescent="0.25">
      <c r="A508" s="806"/>
      <c r="B508" s="42"/>
      <c r="C508" s="806"/>
    </row>
    <row r="509" spans="1:3" x14ac:dyDescent="0.25">
      <c r="A509" s="806"/>
      <c r="B509" s="42"/>
      <c r="C509" s="806"/>
    </row>
    <row r="510" spans="1:3" x14ac:dyDescent="0.25">
      <c r="A510" s="806"/>
      <c r="B510" s="42"/>
      <c r="C510" s="806"/>
    </row>
    <row r="511" spans="1:3" x14ac:dyDescent="0.25">
      <c r="A511" s="806"/>
      <c r="B511" s="42"/>
      <c r="C511" s="806"/>
    </row>
    <row r="512" spans="1:3" x14ac:dyDescent="0.25">
      <c r="A512" s="806"/>
      <c r="B512" s="42"/>
      <c r="C512" s="806"/>
    </row>
    <row r="513" spans="1:3" x14ac:dyDescent="0.25">
      <c r="A513" s="806"/>
      <c r="B513" s="42"/>
      <c r="C513" s="806"/>
    </row>
    <row r="514" spans="1:3" x14ac:dyDescent="0.25">
      <c r="A514" s="806"/>
      <c r="B514" s="42"/>
      <c r="C514" s="806"/>
    </row>
    <row r="515" spans="1:3" x14ac:dyDescent="0.25">
      <c r="A515" s="806"/>
      <c r="B515" s="42"/>
      <c r="C515" s="806"/>
    </row>
    <row r="516" spans="1:3" x14ac:dyDescent="0.25">
      <c r="A516" s="806"/>
      <c r="B516" s="42"/>
      <c r="C516" s="806"/>
    </row>
    <row r="517" spans="1:3" x14ac:dyDescent="0.25">
      <c r="A517" s="806"/>
      <c r="B517" s="42"/>
      <c r="C517" s="806"/>
    </row>
    <row r="518" spans="1:3" x14ac:dyDescent="0.25">
      <c r="A518" s="806"/>
      <c r="B518" s="42"/>
      <c r="C518" s="806"/>
    </row>
    <row r="519" spans="1:3" x14ac:dyDescent="0.25">
      <c r="A519" s="806"/>
      <c r="B519" s="42"/>
      <c r="C519" s="806"/>
    </row>
    <row r="520" spans="1:3" x14ac:dyDescent="0.25">
      <c r="A520" s="806"/>
      <c r="B520" s="42"/>
      <c r="C520" s="806"/>
    </row>
    <row r="521" spans="1:3" x14ac:dyDescent="0.25">
      <c r="A521" s="806"/>
      <c r="B521" s="42"/>
      <c r="C521" s="806"/>
    </row>
    <row r="522" spans="1:3" x14ac:dyDescent="0.25">
      <c r="A522" s="806"/>
      <c r="B522" s="42"/>
      <c r="C522" s="806"/>
    </row>
    <row r="523" spans="1:3" x14ac:dyDescent="0.25">
      <c r="A523" s="806"/>
      <c r="B523" s="42"/>
      <c r="C523" s="806"/>
    </row>
    <row r="524" spans="1:3" x14ac:dyDescent="0.25">
      <c r="A524" s="806"/>
      <c r="B524" s="42"/>
      <c r="C524" s="806"/>
    </row>
    <row r="525" spans="1:3" x14ac:dyDescent="0.25">
      <c r="A525" s="806"/>
      <c r="B525" s="42"/>
      <c r="C525" s="806"/>
    </row>
    <row r="526" spans="1:3" x14ac:dyDescent="0.25">
      <c r="A526" s="806"/>
      <c r="B526" s="42"/>
      <c r="C526" s="806"/>
    </row>
    <row r="527" spans="1:3" x14ac:dyDescent="0.25">
      <c r="A527" s="806"/>
      <c r="B527" s="42"/>
      <c r="C527" s="806"/>
    </row>
    <row r="528" spans="1:3" x14ac:dyDescent="0.25">
      <c r="A528" s="806"/>
      <c r="B528" s="42"/>
      <c r="C528" s="806"/>
    </row>
    <row r="529" spans="1:3" x14ac:dyDescent="0.25">
      <c r="A529" s="806"/>
      <c r="B529" s="42"/>
      <c r="C529" s="806"/>
    </row>
    <row r="530" spans="1:3" x14ac:dyDescent="0.25">
      <c r="A530" s="806"/>
      <c r="B530" s="42"/>
      <c r="C530" s="806"/>
    </row>
    <row r="531" spans="1:3" x14ac:dyDescent="0.25">
      <c r="A531" s="806"/>
      <c r="B531" s="42"/>
      <c r="C531" s="806"/>
    </row>
    <row r="532" spans="1:3" x14ac:dyDescent="0.25">
      <c r="A532" s="806"/>
      <c r="B532" s="42"/>
      <c r="C532" s="806"/>
    </row>
    <row r="533" spans="1:3" x14ac:dyDescent="0.25">
      <c r="A533" s="806"/>
      <c r="B533" s="42"/>
      <c r="C533" s="806"/>
    </row>
    <row r="534" spans="1:3" x14ac:dyDescent="0.25">
      <c r="A534" s="806"/>
      <c r="B534" s="42"/>
      <c r="C534" s="806"/>
    </row>
    <row r="535" spans="1:3" x14ac:dyDescent="0.25">
      <c r="A535" s="806"/>
      <c r="B535" s="42"/>
      <c r="C535" s="806"/>
    </row>
    <row r="536" spans="1:3" x14ac:dyDescent="0.25">
      <c r="A536" s="806"/>
      <c r="B536" s="42"/>
      <c r="C536" s="806"/>
    </row>
    <row r="537" spans="1:3" x14ac:dyDescent="0.25">
      <c r="A537" s="806"/>
      <c r="B537" s="42"/>
      <c r="C537" s="806"/>
    </row>
    <row r="538" spans="1:3" x14ac:dyDescent="0.25">
      <c r="A538" s="806"/>
      <c r="B538" s="42"/>
      <c r="C538" s="806"/>
    </row>
    <row r="539" spans="1:3" x14ac:dyDescent="0.25">
      <c r="A539" s="806"/>
      <c r="B539" s="42"/>
      <c r="C539" s="806"/>
    </row>
    <row r="540" spans="1:3" x14ac:dyDescent="0.25">
      <c r="A540" s="806"/>
      <c r="B540" s="42"/>
      <c r="C540" s="806"/>
    </row>
    <row r="541" spans="1:3" x14ac:dyDescent="0.25">
      <c r="A541" s="806"/>
      <c r="B541" s="42"/>
      <c r="C541" s="806"/>
    </row>
    <row r="542" spans="1:3" x14ac:dyDescent="0.25">
      <c r="A542" s="806"/>
      <c r="B542" s="42"/>
      <c r="C542" s="806"/>
    </row>
    <row r="543" spans="1:3" x14ac:dyDescent="0.25">
      <c r="A543" s="806"/>
      <c r="B543" s="42"/>
      <c r="C543" s="806"/>
    </row>
    <row r="544" spans="1:3" x14ac:dyDescent="0.25">
      <c r="A544" s="806"/>
      <c r="B544" s="42"/>
      <c r="C544" s="806"/>
    </row>
    <row r="545" spans="1:3" x14ac:dyDescent="0.25">
      <c r="A545" s="806"/>
      <c r="B545" s="42"/>
      <c r="C545" s="806"/>
    </row>
    <row r="546" spans="1:3" x14ac:dyDescent="0.25">
      <c r="A546" s="806"/>
      <c r="B546" s="42"/>
      <c r="C546" s="806"/>
    </row>
    <row r="547" spans="1:3" x14ac:dyDescent="0.25">
      <c r="A547" s="806"/>
      <c r="B547" s="42"/>
      <c r="C547" s="806"/>
    </row>
    <row r="548" spans="1:3" x14ac:dyDescent="0.25">
      <c r="A548" s="806"/>
      <c r="B548" s="42"/>
      <c r="C548" s="806"/>
    </row>
    <row r="549" spans="1:3" x14ac:dyDescent="0.25">
      <c r="A549" s="806"/>
      <c r="B549" s="42"/>
      <c r="C549" s="806"/>
    </row>
    <row r="550" spans="1:3" x14ac:dyDescent="0.25">
      <c r="A550" s="806"/>
      <c r="B550" s="42"/>
      <c r="C550" s="806"/>
    </row>
  </sheetData>
  <sheetProtection algorithmName="SHA-512" hashValue="KZnz1tIvPm0PGDdabsR5WqqAba6BoodBpIUIEIjVmcENZv5ytFvzY6kTobMJ9JlAu51BQcEu8jS12pVmFOAE4Q==" saltValue="yxwPEe8GYGrnfDCZ8FhNyw==" spinCount="100000" sheet="1" objects="1" scenarios="1"/>
  <mergeCells count="18">
    <mergeCell ref="M1:M2"/>
    <mergeCell ref="D1:D2"/>
    <mergeCell ref="E1:F1"/>
    <mergeCell ref="G1:G2"/>
    <mergeCell ref="H1:I1"/>
    <mergeCell ref="L1:L2"/>
    <mergeCell ref="L43:L44"/>
    <mergeCell ref="M43:M44"/>
    <mergeCell ref="N15:O15"/>
    <mergeCell ref="P15:Q15"/>
    <mergeCell ref="R15:S15"/>
    <mergeCell ref="V15:W15"/>
    <mergeCell ref="N42:O42"/>
    <mergeCell ref="P42:Q42"/>
    <mergeCell ref="R42:S42"/>
    <mergeCell ref="T42:U42"/>
    <mergeCell ref="V42:W42"/>
    <mergeCell ref="T15:U15"/>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3">
    <tabColor theme="5" tint="0.39997558519241921"/>
  </sheetPr>
  <dimension ref="A1:W550"/>
  <sheetViews>
    <sheetView topLeftCell="A82" workbookViewId="0">
      <selection activeCell="H105" sqref="H105"/>
    </sheetView>
  </sheetViews>
  <sheetFormatPr defaultColWidth="8.69921875" defaultRowHeight="13.2" x14ac:dyDescent="0.25"/>
  <cols>
    <col min="1" max="1" width="8.69921875" style="388" customWidth="1"/>
    <col min="2" max="2" width="29.796875" style="184" customWidth="1"/>
    <col min="3" max="3" width="32" style="388" customWidth="1"/>
    <col min="4" max="4" width="24.69921875" style="388" customWidth="1"/>
    <col min="5" max="6" width="10.69921875" style="388" customWidth="1"/>
    <col min="7" max="7" width="35.796875" style="388" customWidth="1"/>
    <col min="8" max="9" width="10.69921875" style="388" customWidth="1"/>
    <col min="10" max="10" width="17.5" style="388" customWidth="1"/>
    <col min="11" max="11" width="18.796875" style="388" customWidth="1"/>
    <col min="12" max="12" width="69.5" style="388" customWidth="1"/>
    <col min="13" max="13" width="8.69921875" style="388"/>
    <col min="14" max="14" width="11.69921875" style="388" customWidth="1"/>
    <col min="15" max="15" width="9.296875" style="388" customWidth="1"/>
    <col min="16" max="18" width="8.69921875" style="388"/>
    <col min="19" max="19" width="9.296875" style="388" customWidth="1"/>
    <col min="20" max="20" width="8.69921875" style="388"/>
    <col min="21" max="21" width="9.296875" style="388" customWidth="1"/>
    <col min="22" max="22" width="8.69921875" style="388"/>
    <col min="23" max="23" width="9.296875" style="388" customWidth="1"/>
    <col min="24" max="16384" width="8.69921875" style="388"/>
  </cols>
  <sheetData>
    <row r="1" spans="1:23" ht="93" customHeight="1" x14ac:dyDescent="0.25">
      <c r="A1" s="806"/>
      <c r="B1" s="42"/>
      <c r="C1" s="806"/>
      <c r="D1" s="3675" t="s">
        <v>77</v>
      </c>
      <c r="E1" s="3528" t="s">
        <v>2190</v>
      </c>
      <c r="F1" s="3531"/>
      <c r="G1" s="3527" t="s">
        <v>78</v>
      </c>
      <c r="H1" s="3528" t="s">
        <v>2191</v>
      </c>
      <c r="I1" s="3528"/>
      <c r="J1" s="987" t="s">
        <v>2191</v>
      </c>
      <c r="K1" s="987" t="s">
        <v>2191</v>
      </c>
      <c r="L1" s="3678" t="s">
        <v>94</v>
      </c>
      <c r="M1" s="3529" t="s">
        <v>96</v>
      </c>
      <c r="N1" s="987" t="s">
        <v>1808</v>
      </c>
      <c r="O1" s="987" t="s">
        <v>1809</v>
      </c>
      <c r="P1" s="987" t="s">
        <v>1808</v>
      </c>
      <c r="Q1" s="987" t="s">
        <v>1809</v>
      </c>
      <c r="R1" s="987" t="s">
        <v>1808</v>
      </c>
      <c r="S1" s="987" t="s">
        <v>1809</v>
      </c>
      <c r="T1" s="987" t="s">
        <v>1808</v>
      </c>
      <c r="U1" s="987" t="s">
        <v>1809</v>
      </c>
      <c r="V1" s="987" t="s">
        <v>1808</v>
      </c>
      <c r="W1" s="987" t="s">
        <v>1809</v>
      </c>
    </row>
    <row r="2" spans="1:23" ht="24" customHeight="1" x14ac:dyDescent="0.25">
      <c r="D2" s="3676"/>
      <c r="E2" s="1068" t="s">
        <v>808</v>
      </c>
      <c r="F2" s="1069" t="s">
        <v>809</v>
      </c>
      <c r="G2" s="3677"/>
      <c r="H2" s="1068" t="s">
        <v>808</v>
      </c>
      <c r="I2" s="1068" t="s">
        <v>809</v>
      </c>
      <c r="J2" s="1068" t="s">
        <v>2192</v>
      </c>
      <c r="K2" s="1068" t="s">
        <v>2193</v>
      </c>
      <c r="L2" s="3679"/>
      <c r="M2" s="3674"/>
      <c r="N2" s="834" t="s">
        <v>707</v>
      </c>
      <c r="O2" s="835" t="s">
        <v>708</v>
      </c>
      <c r="P2" s="834" t="s">
        <v>707</v>
      </c>
      <c r="Q2" s="835" t="s">
        <v>708</v>
      </c>
      <c r="R2" s="834" t="s">
        <v>707</v>
      </c>
      <c r="S2" s="835" t="s">
        <v>708</v>
      </c>
      <c r="T2" s="834" t="s">
        <v>707</v>
      </c>
      <c r="U2" s="835" t="s">
        <v>708</v>
      </c>
      <c r="V2" s="834" t="s">
        <v>707</v>
      </c>
      <c r="W2" s="835" t="s">
        <v>708</v>
      </c>
    </row>
    <row r="3" spans="1:23" s="839" customFormat="1" ht="47.25" customHeight="1" x14ac:dyDescent="0.25">
      <c r="A3" s="806"/>
      <c r="B3" s="42"/>
      <c r="C3" s="806"/>
      <c r="D3" s="1052" t="s">
        <v>47</v>
      </c>
      <c r="E3" s="827">
        <v>0.8</v>
      </c>
      <c r="F3" s="828">
        <f>E3*10.7639</f>
        <v>8.6111199999999997</v>
      </c>
      <c r="G3" s="1055" t="s">
        <v>1704</v>
      </c>
      <c r="H3" s="828">
        <v>0.63</v>
      </c>
      <c r="I3" s="828">
        <f>H3*10.7639</f>
        <v>6.7812570000000001</v>
      </c>
      <c r="J3" s="828" t="s">
        <v>1560</v>
      </c>
      <c r="K3" s="828" t="s">
        <v>22</v>
      </c>
      <c r="L3" s="836"/>
      <c r="M3" s="1071"/>
      <c r="N3" s="836" t="str">
        <f t="shared" ref="N3:W3" si="0">N1&amp;" "&amp;N2</f>
        <v>W/sf or W/linear foot IP</v>
      </c>
      <c r="O3" s="837" t="str">
        <f t="shared" si="0"/>
        <v>W/sm or W/linear meter SI</v>
      </c>
      <c r="P3" s="836" t="str">
        <f t="shared" si="0"/>
        <v>W/sf or W/linear foot IP</v>
      </c>
      <c r="Q3" s="837" t="str">
        <f t="shared" si="0"/>
        <v>W/sm or W/linear meter SI</v>
      </c>
      <c r="R3" s="836" t="str">
        <f t="shared" si="0"/>
        <v>W/sf or W/linear foot IP</v>
      </c>
      <c r="S3" s="837" t="str">
        <f t="shared" si="0"/>
        <v>W/sm or W/linear meter SI</v>
      </c>
      <c r="T3" s="836" t="str">
        <f t="shared" si="0"/>
        <v>W/sf or W/linear foot IP</v>
      </c>
      <c r="U3" s="837" t="str">
        <f t="shared" si="0"/>
        <v>W/sm or W/linear meter SI</v>
      </c>
      <c r="V3" s="836" t="str">
        <f t="shared" si="0"/>
        <v>W/sf or W/linear foot IP</v>
      </c>
      <c r="W3" s="837" t="str">
        <f t="shared" si="0"/>
        <v>W/sm or W/linear meter SI</v>
      </c>
    </row>
    <row r="4" spans="1:23" s="839" customFormat="1" ht="15" customHeight="1" x14ac:dyDescent="0.25">
      <c r="A4" s="806"/>
      <c r="B4" s="42"/>
      <c r="C4" s="806"/>
      <c r="D4" s="1059" t="s">
        <v>48</v>
      </c>
      <c r="E4" s="830">
        <v>1.01</v>
      </c>
      <c r="F4" s="828">
        <f t="shared" ref="F4:F35" si="1">E4*10.7639</f>
        <v>10.871539</v>
      </c>
      <c r="G4" s="1055" t="s">
        <v>1705</v>
      </c>
      <c r="H4" s="828">
        <v>0.82</v>
      </c>
      <c r="I4" s="828">
        <f t="shared" ref="I4:I67" si="2">H4*10.7639</f>
        <v>8.8263979999999993</v>
      </c>
      <c r="J4" s="828" t="s">
        <v>1560</v>
      </c>
      <c r="K4" s="828" t="s">
        <v>22</v>
      </c>
      <c r="L4" s="1061" t="s">
        <v>1810</v>
      </c>
      <c r="M4" s="1062" t="s">
        <v>91</v>
      </c>
      <c r="N4" s="1076">
        <v>0</v>
      </c>
      <c r="O4" s="1081">
        <v>0</v>
      </c>
      <c r="P4" s="1076">
        <v>0.04</v>
      </c>
      <c r="Q4" s="1078">
        <f>P4*10.7639</f>
        <v>0.43055599999999999</v>
      </c>
      <c r="R4" s="1076">
        <v>0.06</v>
      </c>
      <c r="S4" s="1078">
        <f>R4*10.7639</f>
        <v>0.64583399999999991</v>
      </c>
      <c r="T4" s="1076">
        <v>0.1</v>
      </c>
      <c r="U4" s="1078">
        <f>T4*10.7639</f>
        <v>1.07639</v>
      </c>
      <c r="V4" s="1076">
        <v>0.13</v>
      </c>
      <c r="W4" s="1078">
        <f>V4*10.7639</f>
        <v>1.3993070000000001</v>
      </c>
    </row>
    <row r="5" spans="1:23" s="839" customFormat="1" ht="15" customHeight="1" x14ac:dyDescent="0.25">
      <c r="A5" s="806"/>
      <c r="B5" s="42"/>
      <c r="C5" s="806"/>
      <c r="D5" s="1059" t="s">
        <v>49</v>
      </c>
      <c r="E5" s="830">
        <v>1.01</v>
      </c>
      <c r="F5" s="828">
        <f t="shared" si="1"/>
        <v>10.871539</v>
      </c>
      <c r="G5" s="1055" t="s">
        <v>1706</v>
      </c>
      <c r="H5" s="828">
        <v>0.65</v>
      </c>
      <c r="I5" s="828">
        <f t="shared" si="2"/>
        <v>6.9965349999999997</v>
      </c>
      <c r="J5" s="828" t="s">
        <v>1560</v>
      </c>
      <c r="K5" s="828" t="s">
        <v>22</v>
      </c>
      <c r="L5" s="1059" t="s">
        <v>79</v>
      </c>
      <c r="M5" s="1064" t="s">
        <v>92</v>
      </c>
      <c r="N5" s="1079">
        <v>0</v>
      </c>
      <c r="O5" s="1081">
        <v>0</v>
      </c>
      <c r="P5" s="1079">
        <v>0.7</v>
      </c>
      <c r="Q5" s="1078">
        <f>P5*3.28</f>
        <v>2.2959999999999998</v>
      </c>
      <c r="R5" s="1079">
        <v>0.7</v>
      </c>
      <c r="S5" s="1078">
        <f>R5*3.28</f>
        <v>2.2959999999999998</v>
      </c>
      <c r="T5" s="1079">
        <v>0.8</v>
      </c>
      <c r="U5" s="1078">
        <f>T5*3.28</f>
        <v>2.6240000000000001</v>
      </c>
      <c r="V5" s="1079">
        <v>1</v>
      </c>
      <c r="W5" s="1078">
        <f>V5*3.28</f>
        <v>3.28</v>
      </c>
    </row>
    <row r="6" spans="1:23" s="839" customFormat="1" ht="15" customHeight="1" x14ac:dyDescent="0.25">
      <c r="A6" s="806"/>
      <c r="B6" s="42"/>
      <c r="C6" s="806"/>
      <c r="D6" s="1059" t="s">
        <v>50</v>
      </c>
      <c r="E6" s="830">
        <v>1.01</v>
      </c>
      <c r="F6" s="828">
        <f t="shared" si="1"/>
        <v>10.871539</v>
      </c>
      <c r="G6" s="1055" t="s">
        <v>1707</v>
      </c>
      <c r="H6" s="828">
        <v>1.1399999999999999</v>
      </c>
      <c r="I6" s="828">
        <f t="shared" si="2"/>
        <v>12.270845999999999</v>
      </c>
      <c r="J6" s="828" t="s">
        <v>1560</v>
      </c>
      <c r="K6" s="828" t="s">
        <v>22</v>
      </c>
      <c r="L6" s="1059" t="s">
        <v>80</v>
      </c>
      <c r="M6" s="1064" t="s">
        <v>91</v>
      </c>
      <c r="N6" s="1079">
        <v>0</v>
      </c>
      <c r="O6" s="1081">
        <v>0</v>
      </c>
      <c r="P6" s="1079">
        <v>0.14000000000000001</v>
      </c>
      <c r="Q6" s="1078">
        <f t="shared" ref="Q6:Q13" si="3">P6*10.7639</f>
        <v>1.5069460000000001</v>
      </c>
      <c r="R6" s="1079">
        <v>0.14000000000000001</v>
      </c>
      <c r="S6" s="1078">
        <f t="shared" ref="S6:S13" si="4">R6*10.7639</f>
        <v>1.5069460000000001</v>
      </c>
      <c r="T6" s="1079">
        <v>0.16</v>
      </c>
      <c r="U6" s="1078">
        <f t="shared" ref="U6:U13" si="5">T6*10.7639</f>
        <v>1.722224</v>
      </c>
      <c r="V6" s="1079">
        <v>0.2</v>
      </c>
      <c r="W6" s="1078">
        <f t="shared" ref="W6:W13" si="6">V6*10.7639</f>
        <v>2.1527799999999999</v>
      </c>
    </row>
    <row r="7" spans="1:23" s="839" customFormat="1" ht="15" customHeight="1" x14ac:dyDescent="0.25">
      <c r="A7" s="806"/>
      <c r="B7" s="42"/>
      <c r="C7" s="806"/>
      <c r="D7" s="1059" t="s">
        <v>51</v>
      </c>
      <c r="E7" s="830">
        <v>0.9</v>
      </c>
      <c r="F7" s="828">
        <f t="shared" si="1"/>
        <v>9.6875099999999996</v>
      </c>
      <c r="G7" s="1055" t="s">
        <v>1708</v>
      </c>
      <c r="H7" s="828">
        <v>0.28000000000000003</v>
      </c>
      <c r="I7" s="828">
        <f t="shared" si="2"/>
        <v>3.0138920000000002</v>
      </c>
      <c r="J7" s="828" t="s">
        <v>1560</v>
      </c>
      <c r="K7" s="828" t="s">
        <v>22</v>
      </c>
      <c r="L7" s="1059" t="s">
        <v>81</v>
      </c>
      <c r="M7" s="1064" t="s">
        <v>91</v>
      </c>
      <c r="N7" s="1079">
        <v>0</v>
      </c>
      <c r="O7" s="1081">
        <v>0</v>
      </c>
      <c r="P7" s="1079">
        <v>0.14000000000000001</v>
      </c>
      <c r="Q7" s="1078">
        <f t="shared" si="3"/>
        <v>1.5069460000000001</v>
      </c>
      <c r="R7" s="1079">
        <v>0.14000000000000001</v>
      </c>
      <c r="S7" s="1078">
        <f t="shared" si="4"/>
        <v>1.5069460000000001</v>
      </c>
      <c r="T7" s="1079">
        <v>0.16</v>
      </c>
      <c r="U7" s="1078">
        <f t="shared" si="5"/>
        <v>1.722224</v>
      </c>
      <c r="V7" s="1079">
        <v>0.2</v>
      </c>
      <c r="W7" s="1078">
        <f t="shared" si="6"/>
        <v>2.1527799999999999</v>
      </c>
    </row>
    <row r="8" spans="1:23" s="839" customFormat="1" ht="15" customHeight="1" x14ac:dyDescent="0.25">
      <c r="A8" s="806"/>
      <c r="B8" s="42"/>
      <c r="C8" s="806"/>
      <c r="D8" s="1059" t="s">
        <v>52</v>
      </c>
      <c r="E8" s="830">
        <v>0.95</v>
      </c>
      <c r="F8" s="828">
        <f t="shared" si="1"/>
        <v>10.225705</v>
      </c>
      <c r="G8" s="1055" t="s">
        <v>1709</v>
      </c>
      <c r="H8" s="828">
        <v>2.4300000000000002</v>
      </c>
      <c r="I8" s="828">
        <f t="shared" si="2"/>
        <v>26.156276999999999</v>
      </c>
      <c r="J8" s="828" t="s">
        <v>1560</v>
      </c>
      <c r="K8" s="828" t="s">
        <v>22</v>
      </c>
      <c r="L8" s="1059" t="s">
        <v>82</v>
      </c>
      <c r="M8" s="1064" t="s">
        <v>91</v>
      </c>
      <c r="N8" s="1079">
        <v>0</v>
      </c>
      <c r="O8" s="1081">
        <v>0</v>
      </c>
      <c r="P8" s="1079">
        <v>0.14000000000000001</v>
      </c>
      <c r="Q8" s="1078">
        <f t="shared" si="3"/>
        <v>1.5069460000000001</v>
      </c>
      <c r="R8" s="1079">
        <v>0.14000000000000001</v>
      </c>
      <c r="S8" s="1078">
        <f t="shared" si="4"/>
        <v>1.5069460000000001</v>
      </c>
      <c r="T8" s="1079">
        <v>0.16</v>
      </c>
      <c r="U8" s="1078">
        <f t="shared" si="5"/>
        <v>1.722224</v>
      </c>
      <c r="V8" s="1079">
        <v>0.2</v>
      </c>
      <c r="W8" s="1078">
        <f t="shared" si="6"/>
        <v>2.1527799999999999</v>
      </c>
    </row>
    <row r="9" spans="1:23" s="839" customFormat="1" ht="15" customHeight="1" x14ac:dyDescent="0.25">
      <c r="A9" s="806"/>
      <c r="B9" s="42"/>
      <c r="C9" s="806"/>
      <c r="D9" s="1059" t="s">
        <v>53</v>
      </c>
      <c r="E9" s="830">
        <v>0.56999999999999995</v>
      </c>
      <c r="F9" s="828">
        <f t="shared" si="1"/>
        <v>6.1354229999999994</v>
      </c>
      <c r="G9" s="1055" t="s">
        <v>1710</v>
      </c>
      <c r="H9" s="828">
        <v>1.53</v>
      </c>
      <c r="I9" s="828">
        <f t="shared" si="2"/>
        <v>16.468767</v>
      </c>
      <c r="J9" s="828" t="s">
        <v>1560</v>
      </c>
      <c r="K9" s="828" t="s">
        <v>22</v>
      </c>
      <c r="L9" s="1059" t="s">
        <v>83</v>
      </c>
      <c r="M9" s="1064" t="s">
        <v>91</v>
      </c>
      <c r="N9" s="1079">
        <v>0</v>
      </c>
      <c r="O9" s="1081">
        <v>0</v>
      </c>
      <c r="P9" s="1079">
        <v>0.75</v>
      </c>
      <c r="Q9" s="1078">
        <f t="shared" si="3"/>
        <v>8.0729249999999997</v>
      </c>
      <c r="R9" s="1079">
        <v>1</v>
      </c>
      <c r="S9" s="1078">
        <f t="shared" si="4"/>
        <v>10.7639</v>
      </c>
      <c r="T9" s="1079">
        <v>1</v>
      </c>
      <c r="U9" s="1078">
        <f t="shared" si="5"/>
        <v>10.7639</v>
      </c>
      <c r="V9" s="1079">
        <v>1</v>
      </c>
      <c r="W9" s="1078">
        <f t="shared" si="6"/>
        <v>10.7639</v>
      </c>
    </row>
    <row r="10" spans="1:23" s="839" customFormat="1" ht="15" customHeight="1" x14ac:dyDescent="0.25">
      <c r="A10" s="806"/>
      <c r="B10" s="42"/>
      <c r="C10" s="806"/>
      <c r="D10" s="1059" t="s">
        <v>54</v>
      </c>
      <c r="E10" s="830">
        <v>0.84</v>
      </c>
      <c r="F10" s="828">
        <f t="shared" si="1"/>
        <v>9.0416759999999989</v>
      </c>
      <c r="G10" s="1055" t="s">
        <v>1711</v>
      </c>
      <c r="H10" s="828">
        <v>0.43</v>
      </c>
      <c r="I10" s="828">
        <f t="shared" si="2"/>
        <v>4.6284770000000002</v>
      </c>
      <c r="J10" s="828" t="s">
        <v>1560</v>
      </c>
      <c r="K10" s="828" t="s">
        <v>22</v>
      </c>
      <c r="L10" s="1059" t="s">
        <v>84</v>
      </c>
      <c r="M10" s="1064" t="s">
        <v>92</v>
      </c>
      <c r="N10" s="1079">
        <v>0</v>
      </c>
      <c r="O10" s="1081">
        <v>0</v>
      </c>
      <c r="P10" s="1079">
        <v>20</v>
      </c>
      <c r="Q10" s="1078">
        <f>P10*3.28</f>
        <v>65.599999999999994</v>
      </c>
      <c r="R10" s="1079">
        <v>20</v>
      </c>
      <c r="S10" s="1078">
        <f>R10*3.28</f>
        <v>65.599999999999994</v>
      </c>
      <c r="T10" s="1079">
        <v>30</v>
      </c>
      <c r="U10" s="1078">
        <f>T10*3.28</f>
        <v>98.399999999999991</v>
      </c>
      <c r="V10" s="1079">
        <v>30</v>
      </c>
      <c r="W10" s="1078">
        <f>V10*3.28</f>
        <v>98.399999999999991</v>
      </c>
    </row>
    <row r="11" spans="1:23" s="839" customFormat="1" ht="15" customHeight="1" x14ac:dyDescent="0.25">
      <c r="A11" s="806"/>
      <c r="B11" s="42"/>
      <c r="C11" s="806"/>
      <c r="D11" s="1059" t="s">
        <v>232</v>
      </c>
      <c r="E11" s="830">
        <v>0.67100000000000004</v>
      </c>
      <c r="F11" s="828">
        <f t="shared" si="1"/>
        <v>7.2225769</v>
      </c>
      <c r="G11" s="1055" t="s">
        <v>1712</v>
      </c>
      <c r="H11" s="1073" t="s">
        <v>764</v>
      </c>
      <c r="I11" s="1073" t="s">
        <v>764</v>
      </c>
      <c r="J11" s="1073" t="s">
        <v>764</v>
      </c>
      <c r="K11" s="1073" t="s">
        <v>764</v>
      </c>
      <c r="L11" s="1059" t="s">
        <v>85</v>
      </c>
      <c r="M11" s="1064" t="s">
        <v>92</v>
      </c>
      <c r="N11" s="1079">
        <v>0</v>
      </c>
      <c r="O11" s="1081">
        <v>0</v>
      </c>
      <c r="P11" s="1079">
        <v>20</v>
      </c>
      <c r="Q11" s="1078">
        <f>P11*3.28</f>
        <v>65.599999999999994</v>
      </c>
      <c r="R11" s="1079">
        <v>20</v>
      </c>
      <c r="S11" s="1078">
        <f>R11*3.28</f>
        <v>65.599999999999994</v>
      </c>
      <c r="T11" s="1079">
        <v>20</v>
      </c>
      <c r="U11" s="1078">
        <f>T11*3.28</f>
        <v>65.599999999999994</v>
      </c>
      <c r="V11" s="1079">
        <v>20</v>
      </c>
      <c r="W11" s="1078">
        <f>V11*3.28</f>
        <v>65.599999999999994</v>
      </c>
    </row>
    <row r="12" spans="1:23" s="839" customFormat="1" ht="15" customHeight="1" x14ac:dyDescent="0.25">
      <c r="A12" s="806"/>
      <c r="B12" s="42"/>
      <c r="C12" s="806"/>
      <c r="D12" s="1059" t="s">
        <v>55</v>
      </c>
      <c r="E12" s="830">
        <v>0.94</v>
      </c>
      <c r="F12" s="828">
        <f t="shared" si="1"/>
        <v>10.118065999999999</v>
      </c>
      <c r="G12" s="1055" t="s">
        <v>1713</v>
      </c>
      <c r="H12" s="828">
        <v>0.43</v>
      </c>
      <c r="I12" s="828">
        <f t="shared" si="2"/>
        <v>4.6284770000000002</v>
      </c>
      <c r="J12" s="828" t="s">
        <v>1560</v>
      </c>
      <c r="K12" s="828" t="s">
        <v>22</v>
      </c>
      <c r="L12" s="1059" t="s">
        <v>1811</v>
      </c>
      <c r="M12" s="1064" t="s">
        <v>91</v>
      </c>
      <c r="N12" s="1079">
        <v>0</v>
      </c>
      <c r="O12" s="1081">
        <v>0</v>
      </c>
      <c r="P12" s="1079">
        <v>0.25</v>
      </c>
      <c r="Q12" s="1078">
        <f t="shared" si="3"/>
        <v>2.6909749999999999</v>
      </c>
      <c r="R12" s="1079">
        <v>0.25</v>
      </c>
      <c r="S12" s="1078">
        <f t="shared" si="4"/>
        <v>2.6909749999999999</v>
      </c>
      <c r="T12" s="1079">
        <v>0.4</v>
      </c>
      <c r="U12" s="1078">
        <f t="shared" si="5"/>
        <v>4.3055599999999998</v>
      </c>
      <c r="V12" s="1079">
        <v>0.4</v>
      </c>
      <c r="W12" s="1078">
        <f t="shared" si="6"/>
        <v>4.3055599999999998</v>
      </c>
    </row>
    <row r="13" spans="1:23" s="839" customFormat="1" ht="15" customHeight="1" x14ac:dyDescent="0.25">
      <c r="A13" s="806"/>
      <c r="B13" s="42"/>
      <c r="C13" s="806"/>
      <c r="D13" s="1059" t="s">
        <v>56</v>
      </c>
      <c r="E13" s="830">
        <v>0.9</v>
      </c>
      <c r="F13" s="828">
        <f t="shared" si="1"/>
        <v>9.6875099999999996</v>
      </c>
      <c r="G13" s="1055" t="s">
        <v>1714</v>
      </c>
      <c r="H13" s="1073" t="s">
        <v>764</v>
      </c>
      <c r="I13" s="1073" t="s">
        <v>764</v>
      </c>
      <c r="J13" s="1073" t="s">
        <v>764</v>
      </c>
      <c r="K13" s="1073" t="s">
        <v>764</v>
      </c>
      <c r="L13" s="1059" t="s">
        <v>1812</v>
      </c>
      <c r="M13" s="1064" t="s">
        <v>91</v>
      </c>
      <c r="N13" s="1079">
        <v>0</v>
      </c>
      <c r="O13" s="1081">
        <v>0</v>
      </c>
      <c r="P13" s="1079">
        <v>0.25</v>
      </c>
      <c r="Q13" s="1078">
        <f t="shared" si="3"/>
        <v>2.6909749999999999</v>
      </c>
      <c r="R13" s="1079">
        <v>0.25</v>
      </c>
      <c r="S13" s="1078">
        <f t="shared" si="4"/>
        <v>2.6909749999999999</v>
      </c>
      <c r="T13" s="1079">
        <v>0.5</v>
      </c>
      <c r="U13" s="1078">
        <f t="shared" si="5"/>
        <v>5.3819499999999998</v>
      </c>
      <c r="V13" s="1079">
        <v>0.75</v>
      </c>
      <c r="W13" s="1078">
        <f t="shared" si="6"/>
        <v>8.0729249999999997</v>
      </c>
    </row>
    <row r="14" spans="1:23" s="839" customFormat="1" ht="15" customHeight="1" x14ac:dyDescent="0.25">
      <c r="A14" s="806"/>
      <c r="B14" s="42"/>
      <c r="C14" s="806"/>
      <c r="D14" s="1059" t="s">
        <v>57</v>
      </c>
      <c r="E14" s="830">
        <v>1.05</v>
      </c>
      <c r="F14" s="828">
        <f t="shared" si="1"/>
        <v>11.302095</v>
      </c>
      <c r="G14" s="1055" t="s">
        <v>1716</v>
      </c>
      <c r="H14" s="1073" t="s">
        <v>764</v>
      </c>
      <c r="I14" s="1073" t="s">
        <v>764</v>
      </c>
      <c r="J14" s="1073" t="s">
        <v>764</v>
      </c>
      <c r="K14" s="1073" t="s">
        <v>764</v>
      </c>
      <c r="L14" s="1059" t="s">
        <v>1813</v>
      </c>
      <c r="M14" s="1064" t="s">
        <v>92</v>
      </c>
      <c r="N14" s="1082">
        <v>0</v>
      </c>
      <c r="O14" s="1083">
        <v>0</v>
      </c>
      <c r="P14" s="1079">
        <v>0</v>
      </c>
      <c r="Q14" s="1078">
        <f>P14*3.28</f>
        <v>0</v>
      </c>
      <c r="R14" s="1079">
        <v>10</v>
      </c>
      <c r="S14" s="1078">
        <f>R14*3.28</f>
        <v>32.799999999999997</v>
      </c>
      <c r="T14" s="1079">
        <v>10</v>
      </c>
      <c r="U14" s="1078">
        <f>T14*3.28</f>
        <v>32.799999999999997</v>
      </c>
      <c r="V14" s="1079">
        <v>30</v>
      </c>
      <c r="W14" s="1078">
        <f>V14*3.28</f>
        <v>98.399999999999991</v>
      </c>
    </row>
    <row r="15" spans="1:23" s="839" customFormat="1" ht="15" customHeight="1" x14ac:dyDescent="0.25">
      <c r="A15" s="806"/>
      <c r="B15" s="42"/>
      <c r="C15" s="806"/>
      <c r="D15" s="1059" t="s">
        <v>1645</v>
      </c>
      <c r="E15" s="830">
        <v>0.87</v>
      </c>
      <c r="F15" s="828">
        <f t="shared" si="1"/>
        <v>9.3645929999999993</v>
      </c>
      <c r="G15" s="1055" t="s">
        <v>1717</v>
      </c>
      <c r="H15" s="828">
        <v>1.01</v>
      </c>
      <c r="I15" s="828">
        <f t="shared" si="2"/>
        <v>10.871539</v>
      </c>
      <c r="J15" s="828" t="s">
        <v>1560</v>
      </c>
      <c r="K15" s="828" t="s">
        <v>22</v>
      </c>
      <c r="L15" s="181"/>
      <c r="M15" s="181"/>
      <c r="N15" s="3680" t="s">
        <v>2194</v>
      </c>
      <c r="O15" s="3680"/>
      <c r="P15" s="3680" t="s">
        <v>2195</v>
      </c>
      <c r="Q15" s="3680"/>
      <c r="R15" s="3680" t="s">
        <v>2196</v>
      </c>
      <c r="S15" s="3680"/>
      <c r="T15" s="3680" t="s">
        <v>2197</v>
      </c>
      <c r="U15" s="3680"/>
      <c r="V15" s="3680" t="s">
        <v>2198</v>
      </c>
      <c r="W15" s="3680"/>
    </row>
    <row r="16" spans="1:23" s="839" customFormat="1" ht="15" customHeight="1" x14ac:dyDescent="0.25">
      <c r="A16" s="806"/>
      <c r="B16" s="42"/>
      <c r="C16" s="806"/>
      <c r="D16" s="1059" t="s">
        <v>58</v>
      </c>
      <c r="E16" s="830">
        <v>1.19</v>
      </c>
      <c r="F16" s="828">
        <f t="shared" si="1"/>
        <v>12.809040999999999</v>
      </c>
      <c r="G16" s="1055" t="s">
        <v>1718</v>
      </c>
      <c r="H16" s="828">
        <v>1.34</v>
      </c>
      <c r="I16" s="828">
        <f t="shared" si="2"/>
        <v>14.423626000000001</v>
      </c>
      <c r="J16" s="828" t="s">
        <v>22</v>
      </c>
      <c r="K16" s="828" t="s">
        <v>22</v>
      </c>
      <c r="L16" s="1059" t="s">
        <v>1814</v>
      </c>
      <c r="M16" s="181"/>
      <c r="N16" s="1084" t="str">
        <f>IF('6b - General Lighting'!$X$131=0,'Lighting Assumptions 90.1-2010'!N4,IF('6b - General Lighting'!$X$131=1,'Lighting Assumptions 90.1-2010'!P4,IF('6b - General Lighting'!$X$131=2,'Lighting Assumptions 90.1-2010'!R4,IF('6b - General Lighting'!$X$131=3,'Lighting Assumptions 90.1-2010'!T4,IF('6b - General Lighting'!$X$131=4,'Lighting Assumptions 90.1-2010'!V4,"")))))</f>
        <v/>
      </c>
    </row>
    <row r="17" spans="1:15" s="839" customFormat="1" ht="15" customHeight="1" x14ac:dyDescent="0.25">
      <c r="A17" s="806"/>
      <c r="B17" s="42"/>
      <c r="C17" s="806"/>
      <c r="D17" s="1059" t="s">
        <v>59</v>
      </c>
      <c r="E17" s="830">
        <v>1.17</v>
      </c>
      <c r="F17" s="828">
        <f t="shared" si="1"/>
        <v>12.593762999999999</v>
      </c>
      <c r="G17" s="1055" t="s">
        <v>1719</v>
      </c>
      <c r="H17" s="828">
        <v>1.24</v>
      </c>
      <c r="I17" s="828">
        <f t="shared" si="2"/>
        <v>13.347235999999999</v>
      </c>
      <c r="J17" s="828" t="s">
        <v>22</v>
      </c>
      <c r="K17" s="828" t="s">
        <v>22</v>
      </c>
      <c r="L17" s="1059" t="s">
        <v>1815</v>
      </c>
      <c r="M17" s="181"/>
      <c r="N17" s="1084" t="str">
        <f>IF('6b - General Lighting'!$X$131=0,'Lighting Assumptions 90.1-2010'!N5,IF('6b - General Lighting'!$X$131=1,'Lighting Assumptions 90.1-2010'!P5,IF('6b - General Lighting'!$X$131=2,'Lighting Assumptions 90.1-2010'!R5,IF('6b - General Lighting'!$X$131=3,'Lighting Assumptions 90.1-2010'!T5,IF('6b - General Lighting'!$X$131=4,'Lighting Assumptions 90.1-2010'!V5,"")))))</f>
        <v/>
      </c>
    </row>
    <row r="18" spans="1:15" s="839" customFormat="1" ht="15" customHeight="1" x14ac:dyDescent="0.25">
      <c r="A18" s="806"/>
      <c r="B18" s="42"/>
      <c r="C18" s="806"/>
      <c r="D18" s="1059" t="s">
        <v>60</v>
      </c>
      <c r="E18" s="830">
        <v>0.76</v>
      </c>
      <c r="F18" s="828">
        <f t="shared" si="1"/>
        <v>8.1805640000000004</v>
      </c>
      <c r="G18" s="1055" t="s">
        <v>1720</v>
      </c>
      <c r="H18" s="828">
        <v>1.23</v>
      </c>
      <c r="I18" s="828">
        <f t="shared" si="2"/>
        <v>13.239597</v>
      </c>
      <c r="J18" s="828" t="s">
        <v>22</v>
      </c>
      <c r="K18" s="828" t="s">
        <v>22</v>
      </c>
      <c r="L18" s="1059" t="s">
        <v>1816</v>
      </c>
      <c r="M18" s="181"/>
      <c r="N18" s="1084" t="str">
        <f>IF('6b - General Lighting'!$X$131=0,'Lighting Assumptions 90.1-2010'!N6,IF('6b - General Lighting'!$X$131=1,'Lighting Assumptions 90.1-2010'!P6,IF('6b - General Lighting'!$X$131=2,'Lighting Assumptions 90.1-2010'!R6,IF('6b - General Lighting'!$X$131=3,'Lighting Assumptions 90.1-2010'!T6,IF('6b - General Lighting'!$X$131=4,'Lighting Assumptions 90.1-2010'!V6,"")))))</f>
        <v/>
      </c>
      <c r="O18" s="1016"/>
    </row>
    <row r="19" spans="1:15" s="839" customFormat="1" ht="15" customHeight="1" x14ac:dyDescent="0.25">
      <c r="A19" s="806"/>
      <c r="B19" s="42"/>
      <c r="C19" s="806"/>
      <c r="D19" s="1059" t="s">
        <v>61</v>
      </c>
      <c r="E19" s="830">
        <v>0.51</v>
      </c>
      <c r="F19" s="828">
        <f t="shared" si="1"/>
        <v>5.4895889999999996</v>
      </c>
      <c r="G19" s="1055" t="s">
        <v>1721</v>
      </c>
      <c r="H19" s="828">
        <v>0.81</v>
      </c>
      <c r="I19" s="828">
        <f t="shared" si="2"/>
        <v>8.7187590000000004</v>
      </c>
      <c r="J19" s="828" t="s">
        <v>1560</v>
      </c>
      <c r="K19" s="828" t="s">
        <v>22</v>
      </c>
      <c r="L19" s="1059" t="s">
        <v>1817</v>
      </c>
      <c r="M19" s="181"/>
      <c r="N19" s="1084" t="str">
        <f>IF('6b - General Lighting'!$X$131=0,'Lighting Assumptions 90.1-2010'!N7,IF('6b - General Lighting'!$X$131=1,'Lighting Assumptions 90.1-2010'!P7,IF('6b - General Lighting'!$X$131=2,'Lighting Assumptions 90.1-2010'!R7,IF('6b - General Lighting'!$X$131=3,'Lighting Assumptions 90.1-2010'!T7,IF('6b - General Lighting'!$X$131=4,'Lighting Assumptions 90.1-2010'!V7,"")))))</f>
        <v/>
      </c>
      <c r="O19" s="1016"/>
    </row>
    <row r="20" spans="1:15" s="839" customFormat="1" ht="15" customHeight="1" x14ac:dyDescent="0.25">
      <c r="A20" s="806"/>
      <c r="B20" s="42"/>
      <c r="C20" s="806"/>
      <c r="D20" s="1059" t="s">
        <v>62</v>
      </c>
      <c r="E20" s="830">
        <v>1.02</v>
      </c>
      <c r="F20" s="828">
        <f t="shared" si="1"/>
        <v>10.979177999999999</v>
      </c>
      <c r="G20" s="1055" t="s">
        <v>1722</v>
      </c>
      <c r="H20" s="828">
        <v>0.72</v>
      </c>
      <c r="I20" s="828">
        <f t="shared" si="2"/>
        <v>7.7500079999999993</v>
      </c>
      <c r="J20" s="828" t="s">
        <v>22</v>
      </c>
      <c r="K20" s="828" t="s">
        <v>22</v>
      </c>
      <c r="L20" s="1059" t="s">
        <v>1818</v>
      </c>
      <c r="M20" s="181"/>
      <c r="N20" s="1084" t="str">
        <f>IF('6b - General Lighting'!$X$131=0,'Lighting Assumptions 90.1-2010'!N8,IF('6b - General Lighting'!$X$131=1,'Lighting Assumptions 90.1-2010'!P8,IF('6b - General Lighting'!$X$131=2,'Lighting Assumptions 90.1-2010'!R8,IF('6b - General Lighting'!$X$131=3,'Lighting Assumptions 90.1-2010'!T8,IF('6b - General Lighting'!$X$131=4,'Lighting Assumptions 90.1-2010'!V8,"")))))</f>
        <v/>
      </c>
    </row>
    <row r="21" spans="1:15" s="839" customFormat="1" ht="15" customHeight="1" x14ac:dyDescent="0.25">
      <c r="A21" s="806"/>
      <c r="B21" s="42"/>
      <c r="C21" s="806"/>
      <c r="D21" s="1059" t="s">
        <v>63</v>
      </c>
      <c r="E21" s="830">
        <v>0.82</v>
      </c>
      <c r="F21" s="828">
        <f t="shared" si="1"/>
        <v>8.8263979999999993</v>
      </c>
      <c r="G21" s="1055" t="s">
        <v>1723</v>
      </c>
      <c r="H21" s="828">
        <v>0.92</v>
      </c>
      <c r="I21" s="828">
        <f t="shared" si="2"/>
        <v>9.9027879999999993</v>
      </c>
      <c r="J21" s="828" t="s">
        <v>22</v>
      </c>
      <c r="K21" s="828" t="s">
        <v>22</v>
      </c>
      <c r="L21" s="1059" t="s">
        <v>1819</v>
      </c>
      <c r="M21" s="181"/>
      <c r="N21" s="1084" t="str">
        <f>IF('6b - General Lighting'!$X$131=0,'Lighting Assumptions 90.1-2010'!N9,IF('6b - General Lighting'!$X$131=1,'Lighting Assumptions 90.1-2010'!P9,IF('6b - General Lighting'!$X$131=2,'Lighting Assumptions 90.1-2010'!R9,IF('6b - General Lighting'!$X$131=3,'Lighting Assumptions 90.1-2010'!T9,IF('6b - General Lighting'!$X$131=4,'Lighting Assumptions 90.1-2010'!V9,"")))))</f>
        <v/>
      </c>
    </row>
    <row r="22" spans="1:15" s="839" customFormat="1" ht="15" customHeight="1" x14ac:dyDescent="0.25">
      <c r="A22" s="806"/>
      <c r="B22" s="42"/>
      <c r="C22" s="806"/>
      <c r="D22" s="1059" t="s">
        <v>64</v>
      </c>
      <c r="E22" s="830">
        <v>0.21</v>
      </c>
      <c r="F22" s="828">
        <f t="shared" si="1"/>
        <v>2.2604189999999997</v>
      </c>
      <c r="G22" s="1055" t="s">
        <v>1724</v>
      </c>
      <c r="H22" s="828">
        <v>0.99</v>
      </c>
      <c r="I22" s="828">
        <f t="shared" si="2"/>
        <v>10.656260999999999</v>
      </c>
      <c r="J22" s="828" t="s">
        <v>1560</v>
      </c>
      <c r="K22" s="828" t="s">
        <v>22</v>
      </c>
      <c r="L22" s="1059" t="s">
        <v>1820</v>
      </c>
      <c r="M22" s="181"/>
      <c r="N22" s="1084" t="str">
        <f>IF('6b - General Lighting'!$X$131=0,'Lighting Assumptions 90.1-2010'!N10,IF('6b - General Lighting'!$X$131=1,'Lighting Assumptions 90.1-2010'!P10,IF('6b - General Lighting'!$X$131=2,'Lighting Assumptions 90.1-2010'!R10,IF('6b - General Lighting'!$X$131=3,'Lighting Assumptions 90.1-2010'!T10,IF('6b - General Lighting'!$X$131=4,'Lighting Assumptions 90.1-2010'!V10,"")))))</f>
        <v/>
      </c>
    </row>
    <row r="23" spans="1:15" s="839" customFormat="1" ht="15" customHeight="1" x14ac:dyDescent="0.25">
      <c r="A23" s="806"/>
      <c r="B23" s="42"/>
      <c r="C23" s="806"/>
      <c r="D23" s="1059" t="s">
        <v>65</v>
      </c>
      <c r="E23" s="830">
        <v>0.81</v>
      </c>
      <c r="F23" s="828">
        <f t="shared" si="1"/>
        <v>8.7187590000000004</v>
      </c>
      <c r="G23" s="1055" t="s">
        <v>1725</v>
      </c>
      <c r="H23" s="828">
        <v>0.41</v>
      </c>
      <c r="I23" s="828">
        <f t="shared" si="2"/>
        <v>4.4131989999999996</v>
      </c>
      <c r="J23" s="828" t="s">
        <v>1560</v>
      </c>
      <c r="K23" s="828" t="s">
        <v>22</v>
      </c>
      <c r="L23" s="1059" t="s">
        <v>1821</v>
      </c>
      <c r="M23" s="181"/>
      <c r="N23" s="1084" t="str">
        <f>IF('6b - General Lighting'!$X$131=0,'Lighting Assumptions 90.1-2010'!N11,IF('6b - General Lighting'!$X$131=1,'Lighting Assumptions 90.1-2010'!P11,IF('6b - General Lighting'!$X$131=2,'Lighting Assumptions 90.1-2010'!R11,IF('6b - General Lighting'!$X$131=3,'Lighting Assumptions 90.1-2010'!T11,IF('6b - General Lighting'!$X$131=4,'Lighting Assumptions 90.1-2010'!V11,"")))))</f>
        <v/>
      </c>
    </row>
    <row r="24" spans="1:15" s="839" customFormat="1" ht="15" customHeight="1" x14ac:dyDescent="0.25">
      <c r="A24" s="806"/>
      <c r="B24" s="42"/>
      <c r="C24" s="806"/>
      <c r="D24" s="1059" t="s">
        <v>66</v>
      </c>
      <c r="E24" s="830">
        <v>1.39</v>
      </c>
      <c r="F24" s="828">
        <f t="shared" si="1"/>
        <v>14.961820999999999</v>
      </c>
      <c r="G24" s="1055" t="s">
        <v>1726</v>
      </c>
      <c r="H24" s="828">
        <v>0.66</v>
      </c>
      <c r="I24" s="828">
        <f t="shared" si="2"/>
        <v>7.1041740000000004</v>
      </c>
      <c r="J24" s="828" t="s">
        <v>22</v>
      </c>
      <c r="K24" s="828" t="s">
        <v>22</v>
      </c>
      <c r="L24" s="1059" t="s">
        <v>1822</v>
      </c>
      <c r="M24" s="181"/>
      <c r="N24" s="1084" t="str">
        <f>IF('6b - General Lighting'!$X$131=0,'Lighting Assumptions 90.1-2010'!N12,IF('6b - General Lighting'!$X$131=1,'Lighting Assumptions 90.1-2010'!P12,IF('6b - General Lighting'!$X$131=2,'Lighting Assumptions 90.1-2010'!R12,IF('6b - General Lighting'!$X$131=3,'Lighting Assumptions 90.1-2010'!T12,IF('6b - General Lighting'!$X$131=4,'Lighting Assumptions 90.1-2010'!V12,"")))))</f>
        <v/>
      </c>
    </row>
    <row r="25" spans="1:15" s="839" customFormat="1" ht="15" customHeight="1" x14ac:dyDescent="0.25">
      <c r="A25" s="806"/>
      <c r="B25" s="42"/>
      <c r="C25" s="806"/>
      <c r="D25" s="1059" t="s">
        <v>233</v>
      </c>
      <c r="E25" s="830">
        <v>0.87</v>
      </c>
      <c r="F25" s="828">
        <f t="shared" si="1"/>
        <v>9.3645929999999993</v>
      </c>
      <c r="G25" s="1055" t="s">
        <v>1727</v>
      </c>
      <c r="H25" s="828">
        <v>1.72</v>
      </c>
      <c r="I25" s="828">
        <f t="shared" si="2"/>
        <v>18.513908000000001</v>
      </c>
      <c r="J25" s="828" t="s">
        <v>1560</v>
      </c>
      <c r="K25" s="828" t="s">
        <v>22</v>
      </c>
      <c r="L25" s="1059" t="s">
        <v>1823</v>
      </c>
      <c r="M25" s="181"/>
      <c r="N25" s="1084" t="str">
        <f>IF('6b - General Lighting'!$X$131=0,'Lighting Assumptions 90.1-2010'!N13,IF('6b - General Lighting'!$X$131=1,'Lighting Assumptions 90.1-2010'!P13,IF('6b - General Lighting'!$X$131=2,'Lighting Assumptions 90.1-2010'!R13,IF('6b - General Lighting'!$X$131=3,'Lighting Assumptions 90.1-2010'!T13,IF('6b - General Lighting'!$X$131=4,'Lighting Assumptions 90.1-2010'!V13,"")))))</f>
        <v/>
      </c>
    </row>
    <row r="26" spans="1:15" s="839" customFormat="1" ht="15" customHeight="1" x14ac:dyDescent="0.25">
      <c r="A26" s="806"/>
      <c r="B26" s="42"/>
      <c r="C26" s="806"/>
      <c r="D26" s="1059" t="s">
        <v>67</v>
      </c>
      <c r="E26" s="830">
        <v>0.87</v>
      </c>
      <c r="F26" s="828">
        <f t="shared" si="1"/>
        <v>9.3645929999999993</v>
      </c>
      <c r="G26" s="1055" t="s">
        <v>1728</v>
      </c>
      <c r="H26" s="828">
        <v>1.71</v>
      </c>
      <c r="I26" s="828">
        <f t="shared" si="2"/>
        <v>18.406268999999998</v>
      </c>
      <c r="J26" s="828" t="s">
        <v>1560</v>
      </c>
      <c r="K26" s="828" t="s">
        <v>22</v>
      </c>
      <c r="L26" s="1059" t="s">
        <v>1824</v>
      </c>
      <c r="M26" s="181"/>
      <c r="N26" s="1084" t="str">
        <f>IF('6b - General Lighting'!$X$131=0,'Lighting Assumptions 90.1-2010'!N14,IF('6b - General Lighting'!$X$131=1,'Lighting Assumptions 90.1-2010'!P14,IF('6b - General Lighting'!$X$131=2,'Lighting Assumptions 90.1-2010'!R14,IF('6b - General Lighting'!$X$131=3,'Lighting Assumptions 90.1-2010'!T14,IF('6b - General Lighting'!$X$131=4,'Lighting Assumptions 90.1-2010'!V14,"")))))</f>
        <v/>
      </c>
    </row>
    <row r="27" spans="1:15" s="839" customFormat="1" ht="15" customHeight="1" x14ac:dyDescent="0.25">
      <c r="A27" s="806"/>
      <c r="B27" s="42"/>
      <c r="C27" s="806"/>
      <c r="D27" s="1059" t="s">
        <v>68</v>
      </c>
      <c r="E27" s="830">
        <v>1</v>
      </c>
      <c r="F27" s="828">
        <f t="shared" si="1"/>
        <v>10.7639</v>
      </c>
      <c r="G27" s="1055" t="s">
        <v>1729</v>
      </c>
      <c r="H27" s="828">
        <v>0.96</v>
      </c>
      <c r="I27" s="828">
        <f t="shared" si="2"/>
        <v>10.333343999999999</v>
      </c>
      <c r="J27" s="828" t="s">
        <v>1560</v>
      </c>
      <c r="K27" s="828" t="s">
        <v>22</v>
      </c>
      <c r="L27" s="1061" t="s">
        <v>1825</v>
      </c>
      <c r="M27" s="181"/>
      <c r="N27" s="1084" t="str">
        <f>IF('6b - General Lighting'!$X$131=0,'Lighting Assumptions 90.1-2010'!O4,IF('6b - General Lighting'!$X$131=1,'Lighting Assumptions 90.1-2010'!Q4,IF('6b - General Lighting'!$X$131=2,'Lighting Assumptions 90.1-2010'!S4,IF('6b - General Lighting'!$X$131=3,'Lighting Assumptions 90.1-2010'!U4,IF('6b - General Lighting'!$X$131=4,'Lighting Assumptions 90.1-2010'!W4,"")))))</f>
        <v/>
      </c>
    </row>
    <row r="28" spans="1:15" s="839" customFormat="1" ht="15" customHeight="1" x14ac:dyDescent="0.25">
      <c r="A28" s="806"/>
      <c r="B28" s="42"/>
      <c r="C28" s="806"/>
      <c r="D28" s="1059" t="s">
        <v>69</v>
      </c>
      <c r="E28" s="830">
        <v>1.26</v>
      </c>
      <c r="F28" s="828">
        <f t="shared" si="1"/>
        <v>13.562514</v>
      </c>
      <c r="G28" s="1055" t="s">
        <v>1730</v>
      </c>
      <c r="H28" s="828">
        <v>2.65</v>
      </c>
      <c r="I28" s="828">
        <f t="shared" si="2"/>
        <v>28.524334999999997</v>
      </c>
      <c r="J28" s="828" t="s">
        <v>1560</v>
      </c>
      <c r="K28" s="828" t="s">
        <v>22</v>
      </c>
      <c r="L28" s="1059" t="s">
        <v>1826</v>
      </c>
      <c r="M28" s="181"/>
      <c r="N28" s="1084" t="str">
        <f>IF('6b - General Lighting'!$X$131=0,'Lighting Assumptions 90.1-2010'!O5,IF('6b - General Lighting'!$X$131=1,'Lighting Assumptions 90.1-2010'!Q5,IF('6b - General Lighting'!$X$131=2,'Lighting Assumptions 90.1-2010'!S5,IF('6b - General Lighting'!$X$131=3,'Lighting Assumptions 90.1-2010'!U5,IF('6b - General Lighting'!$X$131=4,'Lighting Assumptions 90.1-2010'!W5,"")))))</f>
        <v/>
      </c>
    </row>
    <row r="29" spans="1:15" s="839" customFormat="1" ht="15" customHeight="1" x14ac:dyDescent="0.25">
      <c r="A29" s="806"/>
      <c r="B29" s="42"/>
      <c r="C29" s="806"/>
      <c r="D29" s="1059" t="s">
        <v>70</v>
      </c>
      <c r="E29" s="830">
        <v>0.87</v>
      </c>
      <c r="F29" s="828">
        <f t="shared" si="1"/>
        <v>9.3645929999999993</v>
      </c>
      <c r="G29" s="1055" t="s">
        <v>1731</v>
      </c>
      <c r="H29" s="828">
        <v>1.07</v>
      </c>
      <c r="I29" s="828">
        <f t="shared" si="2"/>
        <v>11.517373000000001</v>
      </c>
      <c r="J29" s="828" t="s">
        <v>1560</v>
      </c>
      <c r="K29" s="828" t="s">
        <v>22</v>
      </c>
      <c r="L29" s="1059" t="s">
        <v>1827</v>
      </c>
      <c r="M29" s="181"/>
      <c r="N29" s="1084" t="str">
        <f>IF('6b - General Lighting'!$X$131=0,'Lighting Assumptions 90.1-2010'!O6,IF('6b - General Lighting'!$X$131=1,'Lighting Assumptions 90.1-2010'!Q6,IF('6b - General Lighting'!$X$131=2,'Lighting Assumptions 90.1-2010'!S6,IF('6b - General Lighting'!$X$131=3,'Lighting Assumptions 90.1-2010'!U6,IF('6b - General Lighting'!$X$131=4,'Lighting Assumptions 90.1-2010'!W6,"")))))</f>
        <v/>
      </c>
    </row>
    <row r="30" spans="1:15" s="839" customFormat="1" ht="15" customHeight="1" x14ac:dyDescent="0.25">
      <c r="A30" s="806"/>
      <c r="B30" s="42"/>
      <c r="C30" s="806"/>
      <c r="D30" s="1059" t="s">
        <v>71</v>
      </c>
      <c r="E30" s="830">
        <v>0.91</v>
      </c>
      <c r="F30" s="828">
        <f t="shared" si="1"/>
        <v>9.7951490000000003</v>
      </c>
      <c r="G30" s="1055" t="s">
        <v>1732</v>
      </c>
      <c r="H30" s="828">
        <v>0.65</v>
      </c>
      <c r="I30" s="828">
        <f t="shared" si="2"/>
        <v>6.9965349999999997</v>
      </c>
      <c r="J30" s="828" t="s">
        <v>1560</v>
      </c>
      <c r="K30" s="828" t="s">
        <v>22</v>
      </c>
      <c r="L30" s="1059" t="s">
        <v>1828</v>
      </c>
      <c r="M30" s="181"/>
      <c r="N30" s="1084" t="str">
        <f>IF('6b - General Lighting'!$X$131=0,'Lighting Assumptions 90.1-2010'!O7,IF('6b - General Lighting'!$X$131=1,'Lighting Assumptions 90.1-2010'!Q7,IF('6b - General Lighting'!$X$131=2,'Lighting Assumptions 90.1-2010'!S7,IF('6b - General Lighting'!$X$131=3,'Lighting Assumptions 90.1-2010'!U7,IF('6b - General Lighting'!$X$131=4,'Lighting Assumptions 90.1-2010'!W7,"")))))</f>
        <v/>
      </c>
    </row>
    <row r="31" spans="1:15" s="839" customFormat="1" ht="15" customHeight="1" x14ac:dyDescent="0.25">
      <c r="A31" s="806"/>
      <c r="B31" s="42"/>
      <c r="C31" s="806"/>
      <c r="D31" s="1059" t="s">
        <v>72</v>
      </c>
      <c r="E31" s="830">
        <v>0.89</v>
      </c>
      <c r="F31" s="828">
        <f t="shared" si="1"/>
        <v>9.5798709999999989</v>
      </c>
      <c r="G31" s="1055" t="s">
        <v>1733</v>
      </c>
      <c r="H31" s="828">
        <v>0.89</v>
      </c>
      <c r="I31" s="828">
        <f t="shared" si="2"/>
        <v>9.5798709999999989</v>
      </c>
      <c r="J31" s="828" t="s">
        <v>1560</v>
      </c>
      <c r="K31" s="828" t="s">
        <v>22</v>
      </c>
      <c r="L31" s="1059" t="s">
        <v>1829</v>
      </c>
      <c r="M31" s="181"/>
      <c r="N31" s="1084" t="str">
        <f>IF('6b - General Lighting'!$X$131=0,'Lighting Assumptions 90.1-2010'!O8,IF('6b - General Lighting'!$X$131=1,'Lighting Assumptions 90.1-2010'!Q8,IF('6b - General Lighting'!$X$131=2,'Lighting Assumptions 90.1-2010'!S8,IF('6b - General Lighting'!$X$131=3,'Lighting Assumptions 90.1-2010'!U8,IF('6b - General Lighting'!$X$131=4,'Lighting Assumptions 90.1-2010'!W8,"")))))</f>
        <v/>
      </c>
    </row>
    <row r="32" spans="1:15" s="839" customFormat="1" ht="15" customHeight="1" x14ac:dyDescent="0.25">
      <c r="A32" s="806"/>
      <c r="B32" s="42"/>
      <c r="C32" s="806"/>
      <c r="D32" s="1059" t="s">
        <v>73</v>
      </c>
      <c r="E32" s="830">
        <v>0.7</v>
      </c>
      <c r="F32" s="828">
        <f t="shared" si="1"/>
        <v>7.5347299999999988</v>
      </c>
      <c r="G32" s="1055" t="s">
        <v>1734</v>
      </c>
      <c r="H32" s="828">
        <v>0.65</v>
      </c>
      <c r="I32" s="828">
        <f t="shared" si="2"/>
        <v>6.9965349999999997</v>
      </c>
      <c r="J32" s="828" t="s">
        <v>1560</v>
      </c>
      <c r="K32" s="828" t="s">
        <v>22</v>
      </c>
      <c r="L32" s="1059" t="s">
        <v>1830</v>
      </c>
      <c r="M32" s="181"/>
      <c r="N32" s="1084" t="str">
        <f>IF('6b - General Lighting'!$X$131=0,'Lighting Assumptions 90.1-2010'!O9,IF('6b - General Lighting'!$X$131=1,'Lighting Assumptions 90.1-2010'!Q9,IF('6b - General Lighting'!$X$131=2,'Lighting Assumptions 90.1-2010'!S9,IF('6b - General Lighting'!$X$131=3,'Lighting Assumptions 90.1-2010'!U9,IF('6b - General Lighting'!$X$131=4,'Lighting Assumptions 90.1-2010'!W9,"")))))</f>
        <v/>
      </c>
    </row>
    <row r="33" spans="1:23" s="839" customFormat="1" ht="15" customHeight="1" x14ac:dyDescent="0.25">
      <c r="A33" s="806"/>
      <c r="B33" s="42"/>
      <c r="C33" s="806"/>
      <c r="D33" s="1059" t="s">
        <v>74</v>
      </c>
      <c r="E33" s="830">
        <v>0.66</v>
      </c>
      <c r="F33" s="828">
        <f t="shared" si="1"/>
        <v>7.1041740000000004</v>
      </c>
      <c r="G33" s="1055" t="s">
        <v>1735</v>
      </c>
      <c r="H33" s="828">
        <v>0.42</v>
      </c>
      <c r="I33" s="828">
        <f t="shared" si="2"/>
        <v>4.5208379999999995</v>
      </c>
      <c r="J33" s="828" t="s">
        <v>1560</v>
      </c>
      <c r="K33" s="828" t="s">
        <v>22</v>
      </c>
      <c r="L33" s="1059" t="s">
        <v>1831</v>
      </c>
      <c r="M33" s="181"/>
      <c r="N33" s="1084" t="str">
        <f>IF('6b - General Lighting'!$X$131=0,'Lighting Assumptions 90.1-2010'!O10,IF('6b - General Lighting'!$X$131=1,'Lighting Assumptions 90.1-2010'!Q10,IF('6b - General Lighting'!$X$131=2,'Lighting Assumptions 90.1-2010'!S10,IF('6b - General Lighting'!$X$131=3,'Lighting Assumptions 90.1-2010'!U10,IF('6b - General Lighting'!$X$131=4,'Lighting Assumptions 90.1-2010'!W10,"")))))</f>
        <v/>
      </c>
    </row>
    <row r="34" spans="1:23" s="839" customFormat="1" ht="15" customHeight="1" x14ac:dyDescent="0.25">
      <c r="A34" s="806"/>
      <c r="B34" s="42"/>
      <c r="C34" s="806"/>
      <c r="D34" s="178" t="s">
        <v>75</v>
      </c>
      <c r="E34" s="833">
        <v>1.119</v>
      </c>
      <c r="F34" s="828">
        <f t="shared" si="1"/>
        <v>12.0448041</v>
      </c>
      <c r="G34" s="1055" t="s">
        <v>1736</v>
      </c>
      <c r="H34" s="828">
        <v>0.56000000000000005</v>
      </c>
      <c r="I34" s="828">
        <f t="shared" si="2"/>
        <v>6.0277840000000005</v>
      </c>
      <c r="J34" s="828" t="s">
        <v>1560</v>
      </c>
      <c r="K34" s="828" t="s">
        <v>22</v>
      </c>
      <c r="L34" s="1059" t="s">
        <v>1832</v>
      </c>
      <c r="M34" s="181"/>
      <c r="N34" s="1084" t="str">
        <f>IF('6b - General Lighting'!$X$131=0,'Lighting Assumptions 90.1-2010'!O11,IF('6b - General Lighting'!$X$131=1,'Lighting Assumptions 90.1-2010'!Q11,IF('6b - General Lighting'!$X$131=2,'Lighting Assumptions 90.1-2010'!S11,IF('6b - General Lighting'!$X$131=3,'Lighting Assumptions 90.1-2010'!U11,IF('6b - General Lighting'!$X$131=4,'Lighting Assumptions 90.1-2010'!W11,"")))))</f>
        <v/>
      </c>
    </row>
    <row r="35" spans="1:23" s="839" customFormat="1" ht="15" customHeight="1" x14ac:dyDescent="0.25">
      <c r="A35" s="806"/>
      <c r="B35" s="42"/>
      <c r="C35" s="806"/>
      <c r="D35" s="832" t="s">
        <v>1806</v>
      </c>
      <c r="E35" s="833">
        <f>IF(bpf_reference="ACP",0.9,1.1)</f>
        <v>1.1000000000000001</v>
      </c>
      <c r="F35" s="1072">
        <f t="shared" si="1"/>
        <v>11.840290000000001</v>
      </c>
      <c r="G35" s="1055" t="s">
        <v>1737</v>
      </c>
      <c r="H35" s="828">
        <v>1.21</v>
      </c>
      <c r="I35" s="828">
        <f t="shared" si="2"/>
        <v>13.024318999999998</v>
      </c>
      <c r="J35" s="828" t="s">
        <v>1560</v>
      </c>
      <c r="K35" s="828" t="s">
        <v>22</v>
      </c>
      <c r="L35" s="1059" t="s">
        <v>1833</v>
      </c>
      <c r="M35" s="181"/>
      <c r="N35" s="1084" t="str">
        <f>IF('6b - General Lighting'!$X$131=0,'Lighting Assumptions 90.1-2010'!O12,IF('6b - General Lighting'!$X$131=1,'Lighting Assumptions 90.1-2010'!Q12,IF('6b - General Lighting'!$X$131=2,'Lighting Assumptions 90.1-2010'!S12,IF('6b - General Lighting'!$X$131=3,'Lighting Assumptions 90.1-2010'!U12,IF('6b - General Lighting'!$X$131=4,'Lighting Assumptions 90.1-2010'!W12,"")))))</f>
        <v/>
      </c>
    </row>
    <row r="36" spans="1:23" s="839" customFormat="1" ht="15" customHeight="1" x14ac:dyDescent="0.25">
      <c r="A36" s="806"/>
      <c r="B36" s="42"/>
      <c r="C36" s="806"/>
      <c r="E36" s="1070"/>
      <c r="F36" s="1070"/>
      <c r="G36" s="1055" t="s">
        <v>1738</v>
      </c>
      <c r="H36" s="828">
        <v>0.91</v>
      </c>
      <c r="I36" s="828">
        <f t="shared" si="2"/>
        <v>9.7951490000000003</v>
      </c>
      <c r="J36" s="828" t="s">
        <v>1560</v>
      </c>
      <c r="K36" s="828" t="s">
        <v>22</v>
      </c>
      <c r="L36" s="1059" t="s">
        <v>1834</v>
      </c>
      <c r="M36" s="181"/>
      <c r="N36" s="1084" t="str">
        <f>IF('6b - General Lighting'!$X$131=0,'Lighting Assumptions 90.1-2010'!O13,IF('6b - General Lighting'!$X$131=1,'Lighting Assumptions 90.1-2010'!Q13,IF('6b - General Lighting'!$X$131=2,'Lighting Assumptions 90.1-2010'!S13,IF('6b - General Lighting'!$X$131=3,'Lighting Assumptions 90.1-2010'!U13,IF('6b - General Lighting'!$X$131=4,'Lighting Assumptions 90.1-2010'!W13,"")))))</f>
        <v/>
      </c>
    </row>
    <row r="37" spans="1:23" s="839" customFormat="1" ht="15" customHeight="1" x14ac:dyDescent="0.25">
      <c r="A37" s="806"/>
      <c r="B37" s="42"/>
      <c r="C37" s="806"/>
      <c r="E37" s="1070"/>
      <c r="F37" s="1070"/>
      <c r="G37" s="1055" t="s">
        <v>1739</v>
      </c>
      <c r="H37" s="1073" t="s">
        <v>764</v>
      </c>
      <c r="I37" s="1073" t="s">
        <v>764</v>
      </c>
      <c r="J37" s="1073" t="s">
        <v>764</v>
      </c>
      <c r="K37" s="1073" t="s">
        <v>764</v>
      </c>
      <c r="L37" s="1059" t="s">
        <v>1835</v>
      </c>
      <c r="M37" s="181"/>
      <c r="N37" s="1084" t="str">
        <f>IF('6b - General Lighting'!$X$131=0,'Lighting Assumptions 90.1-2010'!O14,IF('6b - General Lighting'!$X$131=1,'Lighting Assumptions 90.1-2010'!Q14,IF('6b - General Lighting'!$X$131=2,'Lighting Assumptions 90.1-2010'!S14,IF('6b - General Lighting'!$X$131=3,'Lighting Assumptions 90.1-2010'!U14,IF('6b - General Lighting'!$X$131=4,'Lighting Assumptions 90.1-2010'!W14,"")))))</f>
        <v/>
      </c>
    </row>
    <row r="38" spans="1:23" s="839" customFormat="1" ht="15" customHeight="1" x14ac:dyDescent="0.25">
      <c r="A38" s="806"/>
      <c r="B38" s="42"/>
      <c r="C38" s="806"/>
      <c r="E38" s="1070"/>
      <c r="F38" s="1070"/>
      <c r="G38" s="1055" t="s">
        <v>1740</v>
      </c>
      <c r="H38" s="828">
        <v>1.43</v>
      </c>
      <c r="I38" s="828">
        <f t="shared" si="2"/>
        <v>15.392376999999998</v>
      </c>
      <c r="J38" s="828" t="s">
        <v>22</v>
      </c>
      <c r="K38" s="828" t="s">
        <v>22</v>
      </c>
    </row>
    <row r="39" spans="1:23" s="839" customFormat="1" ht="15" customHeight="1" x14ac:dyDescent="0.25">
      <c r="A39" s="806"/>
      <c r="B39" s="42"/>
      <c r="C39" s="806"/>
      <c r="E39" s="1070"/>
      <c r="F39" s="1070"/>
      <c r="G39" s="1055" t="s">
        <v>1741</v>
      </c>
      <c r="H39" s="828">
        <v>1.81</v>
      </c>
      <c r="I39" s="828">
        <f t="shared" si="2"/>
        <v>19.482658999999998</v>
      </c>
      <c r="J39" s="828" t="s">
        <v>1560</v>
      </c>
      <c r="K39" s="828" t="s">
        <v>22</v>
      </c>
    </row>
    <row r="40" spans="1:23" s="839" customFormat="1" ht="15" customHeight="1" x14ac:dyDescent="0.25">
      <c r="A40" s="806"/>
      <c r="B40" s="42"/>
      <c r="C40" s="806"/>
      <c r="G40" s="1055" t="s">
        <v>1742</v>
      </c>
      <c r="H40" s="828">
        <v>0.6</v>
      </c>
      <c r="I40" s="828">
        <f t="shared" si="2"/>
        <v>6.4583399999999997</v>
      </c>
      <c r="J40" s="828" t="s">
        <v>1560</v>
      </c>
      <c r="K40" s="828" t="s">
        <v>22</v>
      </c>
    </row>
    <row r="41" spans="1:23" s="839" customFormat="1" ht="15" customHeight="1" x14ac:dyDescent="0.25">
      <c r="A41" s="806"/>
      <c r="B41" s="42"/>
      <c r="C41" s="806"/>
      <c r="G41" s="1055" t="s">
        <v>1743</v>
      </c>
      <c r="H41" s="828">
        <v>0.47</v>
      </c>
      <c r="I41" s="828">
        <f t="shared" si="2"/>
        <v>5.0590329999999994</v>
      </c>
      <c r="J41" s="828" t="s">
        <v>1560</v>
      </c>
      <c r="K41" s="828" t="s">
        <v>22</v>
      </c>
    </row>
    <row r="42" spans="1:23" s="839" customFormat="1" ht="15" customHeight="1" x14ac:dyDescent="0.25">
      <c r="A42" s="806"/>
      <c r="B42" s="42"/>
      <c r="C42" s="806"/>
      <c r="G42" s="1055" t="s">
        <v>1744</v>
      </c>
      <c r="H42" s="828">
        <v>1.8</v>
      </c>
      <c r="I42" s="828">
        <f t="shared" si="2"/>
        <v>19.375019999999999</v>
      </c>
      <c r="J42" s="828" t="s">
        <v>22</v>
      </c>
      <c r="K42" s="828" t="s">
        <v>22</v>
      </c>
      <c r="N42" s="3680" t="s">
        <v>2194</v>
      </c>
      <c r="O42" s="3680"/>
      <c r="P42" s="3680" t="s">
        <v>2195</v>
      </c>
      <c r="Q42" s="3680"/>
      <c r="R42" s="3680" t="s">
        <v>2196</v>
      </c>
      <c r="S42" s="3680"/>
      <c r="T42" s="3680" t="s">
        <v>2197</v>
      </c>
      <c r="U42" s="3680"/>
      <c r="V42" s="3680" t="s">
        <v>2198</v>
      </c>
      <c r="W42" s="3680"/>
    </row>
    <row r="43" spans="1:23" s="839" customFormat="1" ht="42.75" customHeight="1" x14ac:dyDescent="0.25">
      <c r="A43" s="806"/>
      <c r="B43" s="42"/>
      <c r="C43" s="806"/>
      <c r="G43" s="1055" t="s">
        <v>1745</v>
      </c>
      <c r="H43" s="828">
        <v>0.64</v>
      </c>
      <c r="I43" s="828">
        <f t="shared" si="2"/>
        <v>6.8888959999999999</v>
      </c>
      <c r="J43" s="828" t="s">
        <v>1560</v>
      </c>
      <c r="K43" s="828" t="s">
        <v>22</v>
      </c>
      <c r="L43" s="3678" t="s">
        <v>95</v>
      </c>
      <c r="M43" s="3529" t="s">
        <v>96</v>
      </c>
      <c r="N43" s="987" t="s">
        <v>1808</v>
      </c>
      <c r="O43" s="987" t="s">
        <v>1809</v>
      </c>
      <c r="P43" s="987" t="s">
        <v>1808</v>
      </c>
      <c r="Q43" s="987" t="s">
        <v>1809</v>
      </c>
      <c r="R43" s="987" t="s">
        <v>1808</v>
      </c>
      <c r="S43" s="987" t="s">
        <v>1809</v>
      </c>
      <c r="T43" s="987" t="s">
        <v>1808</v>
      </c>
      <c r="U43" s="987" t="s">
        <v>1809</v>
      </c>
      <c r="V43" s="987" t="s">
        <v>1808</v>
      </c>
      <c r="W43" s="987" t="s">
        <v>1809</v>
      </c>
    </row>
    <row r="44" spans="1:23" s="839" customFormat="1" ht="15" customHeight="1" x14ac:dyDescent="0.25">
      <c r="A44" s="806"/>
      <c r="B44" s="42"/>
      <c r="C44" s="806"/>
      <c r="G44" s="1055" t="s">
        <v>1746</v>
      </c>
      <c r="H44" s="828">
        <v>1.06</v>
      </c>
      <c r="I44" s="828">
        <f t="shared" si="2"/>
        <v>11.409734</v>
      </c>
      <c r="J44" s="828" t="s">
        <v>1560</v>
      </c>
      <c r="K44" s="828" t="s">
        <v>22</v>
      </c>
      <c r="L44" s="3679"/>
      <c r="M44" s="3674"/>
      <c r="N44" s="834" t="s">
        <v>707</v>
      </c>
      <c r="O44" s="835" t="s">
        <v>708</v>
      </c>
      <c r="P44" s="834" t="s">
        <v>707</v>
      </c>
      <c r="Q44" s="835" t="s">
        <v>708</v>
      </c>
      <c r="R44" s="834" t="s">
        <v>707</v>
      </c>
      <c r="S44" s="835" t="s">
        <v>708</v>
      </c>
      <c r="T44" s="834" t="s">
        <v>707</v>
      </c>
      <c r="U44" s="835" t="s">
        <v>708</v>
      </c>
      <c r="V44" s="834" t="s">
        <v>707</v>
      </c>
      <c r="W44" s="835" t="s">
        <v>708</v>
      </c>
    </row>
    <row r="45" spans="1:23" s="839" customFormat="1" ht="15" customHeight="1" x14ac:dyDescent="0.25">
      <c r="A45" s="806"/>
      <c r="B45" s="42"/>
      <c r="C45" s="806"/>
      <c r="G45" s="1055" t="s">
        <v>1747</v>
      </c>
      <c r="H45" s="828">
        <v>0.59</v>
      </c>
      <c r="I45" s="828">
        <f t="shared" si="2"/>
        <v>6.350700999999999</v>
      </c>
      <c r="J45" s="828" t="s">
        <v>1560</v>
      </c>
      <c r="K45" s="828" t="s">
        <v>22</v>
      </c>
      <c r="L45" s="836"/>
      <c r="M45" s="1071"/>
      <c r="N45" s="836" t="str">
        <f t="shared" ref="N45:W45" si="7">N43&amp;" "&amp;N44</f>
        <v>W/sf or W/linear foot IP</v>
      </c>
      <c r="O45" s="837" t="str">
        <f t="shared" si="7"/>
        <v>W/sm or W/linear meter SI</v>
      </c>
      <c r="P45" s="836" t="str">
        <f t="shared" si="7"/>
        <v>W/sf or W/linear foot IP</v>
      </c>
      <c r="Q45" s="837" t="str">
        <f t="shared" si="7"/>
        <v>W/sm or W/linear meter SI</v>
      </c>
      <c r="R45" s="836" t="str">
        <f t="shared" si="7"/>
        <v>W/sf or W/linear foot IP</v>
      </c>
      <c r="S45" s="837" t="str">
        <f t="shared" si="7"/>
        <v>W/sm or W/linear meter SI</v>
      </c>
      <c r="T45" s="836" t="str">
        <f t="shared" si="7"/>
        <v>W/sf or W/linear foot IP</v>
      </c>
      <c r="U45" s="837" t="str">
        <f t="shared" si="7"/>
        <v>W/sm or W/linear meter SI</v>
      </c>
      <c r="V45" s="836" t="str">
        <f t="shared" si="7"/>
        <v>W/sf or W/linear foot IP</v>
      </c>
      <c r="W45" s="837" t="str">
        <f t="shared" si="7"/>
        <v>W/sm or W/linear meter SI</v>
      </c>
    </row>
    <row r="46" spans="1:23" s="839" customFormat="1" ht="15" customHeight="1" x14ac:dyDescent="0.25">
      <c r="A46" s="806"/>
      <c r="B46" s="42"/>
      <c r="C46" s="806"/>
      <c r="G46" s="1055" t="s">
        <v>1748</v>
      </c>
      <c r="H46" s="828">
        <v>2</v>
      </c>
      <c r="I46" s="828">
        <f t="shared" si="2"/>
        <v>21.527799999999999</v>
      </c>
      <c r="J46" s="828" t="s">
        <v>22</v>
      </c>
      <c r="K46" s="828" t="s">
        <v>22</v>
      </c>
      <c r="L46" s="1061" t="s">
        <v>86</v>
      </c>
      <c r="M46" s="1062" t="s">
        <v>91</v>
      </c>
      <c r="N46" s="1076">
        <v>0</v>
      </c>
      <c r="O46" s="1077">
        <v>0</v>
      </c>
      <c r="P46" s="1076">
        <v>0</v>
      </c>
      <c r="Q46" s="1078">
        <f>P46*10.7639</f>
        <v>0</v>
      </c>
      <c r="R46" s="1076">
        <v>0.1</v>
      </c>
      <c r="S46" s="1078">
        <f>R46*10.7639</f>
        <v>1.07639</v>
      </c>
      <c r="T46" s="1076">
        <v>0.15</v>
      </c>
      <c r="U46" s="1078">
        <f>T46*10.7639</f>
        <v>1.6145849999999999</v>
      </c>
      <c r="V46" s="1076">
        <v>0.2</v>
      </c>
      <c r="W46" s="1078">
        <f>V46*10.7639</f>
        <v>2.1527799999999999</v>
      </c>
    </row>
    <row r="47" spans="1:23" s="839" customFormat="1" ht="15" customHeight="1" x14ac:dyDescent="0.25">
      <c r="A47" s="806"/>
      <c r="B47" s="42"/>
      <c r="C47" s="806"/>
      <c r="G47" s="1055" t="s">
        <v>1749</v>
      </c>
      <c r="H47" s="828">
        <v>0.9</v>
      </c>
      <c r="I47" s="828">
        <f t="shared" si="2"/>
        <v>9.6875099999999996</v>
      </c>
      <c r="J47" s="828" t="s">
        <v>22</v>
      </c>
      <c r="K47" s="828" t="s">
        <v>22</v>
      </c>
      <c r="L47" s="1059" t="s">
        <v>104</v>
      </c>
      <c r="M47" s="1064" t="s">
        <v>92</v>
      </c>
      <c r="N47" s="1079">
        <v>0</v>
      </c>
      <c r="O47" s="1079">
        <v>0</v>
      </c>
      <c r="P47" s="1079" t="s">
        <v>1838</v>
      </c>
      <c r="Q47" s="1079" t="s">
        <v>1838</v>
      </c>
      <c r="R47" s="1079" t="s">
        <v>1838</v>
      </c>
      <c r="S47" s="1079" t="s">
        <v>1838</v>
      </c>
      <c r="T47" s="1079" t="s">
        <v>1838</v>
      </c>
      <c r="U47" s="1079" t="s">
        <v>1838</v>
      </c>
      <c r="V47" s="1079" t="s">
        <v>1838</v>
      </c>
      <c r="W47" s="1079" t="s">
        <v>1838</v>
      </c>
    </row>
    <row r="48" spans="1:23" s="839" customFormat="1" ht="15" customHeight="1" x14ac:dyDescent="0.25">
      <c r="A48" s="806"/>
      <c r="B48" s="42"/>
      <c r="C48" s="806"/>
      <c r="G48" s="1055" t="s">
        <v>1750</v>
      </c>
      <c r="H48" s="828">
        <v>0.75</v>
      </c>
      <c r="I48" s="828">
        <f t="shared" si="2"/>
        <v>8.0729249999999997</v>
      </c>
      <c r="J48" s="828" t="s">
        <v>22</v>
      </c>
      <c r="K48" s="828" t="s">
        <v>22</v>
      </c>
      <c r="L48" s="1059" t="s">
        <v>87</v>
      </c>
      <c r="M48" s="1064" t="s">
        <v>91</v>
      </c>
      <c r="N48" s="1080" t="s">
        <v>764</v>
      </c>
      <c r="O48" s="1080" t="s">
        <v>764</v>
      </c>
      <c r="P48" s="1080" t="s">
        <v>764</v>
      </c>
      <c r="Q48" s="1080" t="s">
        <v>764</v>
      </c>
      <c r="R48" s="1080" t="s">
        <v>764</v>
      </c>
      <c r="S48" s="1080" t="s">
        <v>764</v>
      </c>
      <c r="T48" s="1080" t="s">
        <v>764</v>
      </c>
      <c r="U48" s="1080" t="s">
        <v>764</v>
      </c>
      <c r="V48" s="1080" t="s">
        <v>764</v>
      </c>
      <c r="W48" s="1080" t="s">
        <v>764</v>
      </c>
    </row>
    <row r="49" spans="1:23" s="839" customFormat="1" ht="15" customHeight="1" x14ac:dyDescent="0.25">
      <c r="A49" s="806"/>
      <c r="B49" s="42"/>
      <c r="C49" s="806"/>
      <c r="G49" s="1055" t="s">
        <v>1751</v>
      </c>
      <c r="H49" s="828">
        <v>0.92</v>
      </c>
      <c r="I49" s="828">
        <f t="shared" si="2"/>
        <v>9.9027879999999993</v>
      </c>
      <c r="J49" s="828" t="s">
        <v>22</v>
      </c>
      <c r="K49" s="828" t="s">
        <v>22</v>
      </c>
      <c r="L49" s="1059" t="s">
        <v>88</v>
      </c>
      <c r="M49" s="1064" t="s">
        <v>91</v>
      </c>
      <c r="N49" s="1080" t="s">
        <v>764</v>
      </c>
      <c r="O49" s="1080" t="s">
        <v>764</v>
      </c>
      <c r="P49" s="1080" t="s">
        <v>764</v>
      </c>
      <c r="Q49" s="1080" t="s">
        <v>764</v>
      </c>
      <c r="R49" s="1080" t="s">
        <v>764</v>
      </c>
      <c r="S49" s="1080" t="s">
        <v>764</v>
      </c>
      <c r="T49" s="1080" t="s">
        <v>764</v>
      </c>
      <c r="U49" s="1080" t="s">
        <v>764</v>
      </c>
      <c r="V49" s="1080" t="s">
        <v>764</v>
      </c>
      <c r="W49" s="1080" t="s">
        <v>764</v>
      </c>
    </row>
    <row r="50" spans="1:23" s="839" customFormat="1" ht="15" customHeight="1" x14ac:dyDescent="0.25">
      <c r="A50" s="806"/>
      <c r="B50" s="42"/>
      <c r="C50" s="806"/>
      <c r="G50" s="1055" t="s">
        <v>1752</v>
      </c>
      <c r="H50" s="828">
        <v>0.73</v>
      </c>
      <c r="I50" s="828">
        <f t="shared" si="2"/>
        <v>7.8576469999999992</v>
      </c>
      <c r="J50" s="828" t="s">
        <v>22</v>
      </c>
      <c r="K50" s="828" t="s">
        <v>22</v>
      </c>
      <c r="L50" s="1059" t="s">
        <v>89</v>
      </c>
      <c r="M50" s="1064" t="s">
        <v>92</v>
      </c>
      <c r="N50" s="1079">
        <v>0</v>
      </c>
      <c r="O50" s="1081">
        <v>0</v>
      </c>
      <c r="P50" s="1079">
        <v>400</v>
      </c>
      <c r="Q50" s="1079">
        <v>400</v>
      </c>
      <c r="R50" s="1079">
        <v>400</v>
      </c>
      <c r="S50" s="1079">
        <v>400</v>
      </c>
      <c r="T50" s="1079">
        <v>400</v>
      </c>
      <c r="U50" s="1079">
        <v>400</v>
      </c>
      <c r="V50" s="1079">
        <v>400</v>
      </c>
      <c r="W50" s="1079">
        <v>400</v>
      </c>
    </row>
    <row r="51" spans="1:23" s="839" customFormat="1" ht="15" customHeight="1" x14ac:dyDescent="0.25">
      <c r="A51" s="806"/>
      <c r="B51" s="42"/>
      <c r="C51" s="806"/>
      <c r="G51" s="1055" t="s">
        <v>1753</v>
      </c>
      <c r="H51" s="828">
        <v>1.1100000000000001</v>
      </c>
      <c r="I51" s="828">
        <f t="shared" si="2"/>
        <v>11.947929</v>
      </c>
      <c r="J51" s="828" t="s">
        <v>22</v>
      </c>
      <c r="K51" s="828" t="s">
        <v>22</v>
      </c>
      <c r="L51" s="1059" t="s">
        <v>90</v>
      </c>
      <c r="M51" s="1064" t="s">
        <v>92</v>
      </c>
      <c r="N51" s="1080" t="s">
        <v>764</v>
      </c>
      <c r="O51" s="1080" t="s">
        <v>764</v>
      </c>
      <c r="P51" s="1080" t="s">
        <v>764</v>
      </c>
      <c r="Q51" s="1080" t="s">
        <v>764</v>
      </c>
      <c r="R51" s="1080" t="s">
        <v>764</v>
      </c>
      <c r="S51" s="1080" t="s">
        <v>764</v>
      </c>
      <c r="T51" s="1080" t="s">
        <v>764</v>
      </c>
      <c r="U51" s="1080" t="s">
        <v>764</v>
      </c>
      <c r="V51" s="1080" t="s">
        <v>764</v>
      </c>
      <c r="W51" s="1080" t="s">
        <v>764</v>
      </c>
    </row>
    <row r="52" spans="1:23" s="839" customFormat="1" ht="15" customHeight="1" x14ac:dyDescent="0.25">
      <c r="A52" s="806"/>
      <c r="B52" s="42"/>
      <c r="C52" s="806"/>
      <c r="G52" s="1055" t="s">
        <v>1754</v>
      </c>
      <c r="H52" s="828">
        <v>0.8</v>
      </c>
      <c r="I52" s="828">
        <f t="shared" si="2"/>
        <v>8.6111199999999997</v>
      </c>
      <c r="J52" s="828" t="s">
        <v>1560</v>
      </c>
      <c r="K52" s="828" t="s">
        <v>22</v>
      </c>
      <c r="L52" s="1061" t="s">
        <v>86</v>
      </c>
      <c r="M52" s="1062" t="s">
        <v>92</v>
      </c>
      <c r="N52" s="1076">
        <v>0</v>
      </c>
      <c r="O52" s="1077">
        <v>0</v>
      </c>
      <c r="P52" s="1076">
        <v>0</v>
      </c>
      <c r="Q52" s="1077">
        <v>0</v>
      </c>
      <c r="R52" s="1076">
        <v>2.5</v>
      </c>
      <c r="S52" s="1078">
        <f>R52*3.28</f>
        <v>8.1999999999999993</v>
      </c>
      <c r="T52" s="1076">
        <v>3.75</v>
      </c>
      <c r="U52" s="1078">
        <f>T52*3.28</f>
        <v>12.299999999999999</v>
      </c>
      <c r="V52" s="1076">
        <v>5</v>
      </c>
      <c r="W52" s="1078">
        <f>V52*3.28</f>
        <v>16.399999999999999</v>
      </c>
    </row>
    <row r="53" spans="1:23" s="839" customFormat="1" ht="15" customHeight="1" x14ac:dyDescent="0.25">
      <c r="A53" s="806"/>
      <c r="B53" s="42"/>
      <c r="C53" s="806"/>
      <c r="G53" s="1055" t="s">
        <v>1755</v>
      </c>
      <c r="H53" s="828">
        <v>0.19</v>
      </c>
      <c r="I53" s="828">
        <f t="shared" si="2"/>
        <v>2.0451410000000001</v>
      </c>
      <c r="J53" s="828" t="s">
        <v>1560</v>
      </c>
      <c r="K53" s="828" t="s">
        <v>22</v>
      </c>
    </row>
    <row r="54" spans="1:23" s="839" customFormat="1" ht="15" customHeight="1" x14ac:dyDescent="0.25">
      <c r="A54" s="806"/>
      <c r="B54" s="42"/>
      <c r="C54" s="806"/>
      <c r="G54" s="1055" t="s">
        <v>1756</v>
      </c>
      <c r="H54" s="828">
        <v>0.19</v>
      </c>
      <c r="I54" s="828">
        <f t="shared" si="2"/>
        <v>2.0451410000000001</v>
      </c>
      <c r="J54" s="828" t="s">
        <v>1560</v>
      </c>
      <c r="K54" s="1085" t="s">
        <v>22</v>
      </c>
      <c r="L54" s="1086" t="str">
        <f>"IP"&amp;L46&amp;M46</f>
        <v>IPBuilding facadesArea</v>
      </c>
      <c r="N54" s="1086" t="str">
        <f>IF('6b - General Lighting'!$X$131=0,'Lighting Assumptions 90.1-2010'!N46,IF('6b - General Lighting'!$X$131=1,'Lighting Assumptions 90.1-2010'!P46,IF('6b - General Lighting'!$X$131=2,'Lighting Assumptions 90.1-2010'!R46,IF('6b - General Lighting'!$X$131=3,'Lighting Assumptions 90.1-2010'!T46,IF('6b - General Lighting'!$X$131=4,'Lighting Assumptions 90.1-2010'!V46,"")))))</f>
        <v/>
      </c>
    </row>
    <row r="55" spans="1:23" s="839" customFormat="1" ht="15" customHeight="1" x14ac:dyDescent="0.25">
      <c r="A55" s="806"/>
      <c r="B55" s="42"/>
      <c r="C55" s="806"/>
      <c r="G55" s="1055" t="s">
        <v>1757</v>
      </c>
      <c r="H55" s="828">
        <v>1.21</v>
      </c>
      <c r="I55" s="828">
        <f t="shared" si="2"/>
        <v>13.024318999999998</v>
      </c>
      <c r="J55" s="828" t="s">
        <v>22</v>
      </c>
      <c r="K55" s="1085" t="s">
        <v>22</v>
      </c>
      <c r="L55" s="1086" t="str">
        <f>"IP"&amp;L47</f>
        <v>IPATMs and night depositories</v>
      </c>
      <c r="N55" s="1086" t="str">
        <f>IF('6b - General Lighting'!$X$131=0,'Lighting Assumptions 90.1-2010'!N47,IF('6b - General Lighting'!$X$131=1,'Lighting Assumptions 90.1-2010'!P47,IF('6b - General Lighting'!$X$131=2,'Lighting Assumptions 90.1-2010'!R47,IF('6b - General Lighting'!$X$131=3,'Lighting Assumptions 90.1-2010'!T47,IF('6b - General Lighting'!$X$131=4,'Lighting Assumptions 90.1-2010'!V47,"")))))</f>
        <v/>
      </c>
    </row>
    <row r="56" spans="1:23" s="839" customFormat="1" ht="15" customHeight="1" x14ac:dyDescent="0.25">
      <c r="A56" s="806"/>
      <c r="B56" s="42"/>
      <c r="C56" s="806"/>
      <c r="G56" s="1055" t="s">
        <v>1758</v>
      </c>
      <c r="H56" s="828">
        <v>0.98</v>
      </c>
      <c r="I56" s="828">
        <f t="shared" si="2"/>
        <v>10.548622</v>
      </c>
      <c r="J56" s="828" t="s">
        <v>22</v>
      </c>
      <c r="K56" s="1085" t="s">
        <v>22</v>
      </c>
      <c r="L56" s="1086" t="str">
        <f>"IP"&amp;L48</f>
        <v>IPEntrances and gatehouse inspection stations at guarded facilities</v>
      </c>
      <c r="N56" s="1086" t="str">
        <f>IF('6b - General Lighting'!$X$131=0,'Lighting Assumptions 90.1-2010'!N48,IF('6b - General Lighting'!$X$131=1,'Lighting Assumptions 90.1-2010'!P48,IF('6b - General Lighting'!$X$131=2,'Lighting Assumptions 90.1-2010'!R48,IF('6b - General Lighting'!$X$131=3,'Lighting Assumptions 90.1-2010'!T48,IF('6b - General Lighting'!$X$131=4,'Lighting Assumptions 90.1-2010'!V48,"")))))</f>
        <v/>
      </c>
    </row>
    <row r="57" spans="1:23" s="839" customFormat="1" ht="15" customHeight="1" x14ac:dyDescent="0.25">
      <c r="A57" s="806"/>
      <c r="B57" s="42"/>
      <c r="C57" s="806"/>
      <c r="G57" s="1055" t="s">
        <v>1759</v>
      </c>
      <c r="H57" s="828">
        <v>1.44</v>
      </c>
      <c r="I57" s="828">
        <f t="shared" si="2"/>
        <v>15.500015999999999</v>
      </c>
      <c r="J57" s="828" t="s">
        <v>1560</v>
      </c>
      <c r="K57" s="1085" t="s">
        <v>22</v>
      </c>
      <c r="L57" s="1086" t="str">
        <f>"IP"&amp;L49</f>
        <v>IPLoading areas for law enforcement, fire, ambulance, and other emergency service vehicles</v>
      </c>
      <c r="N57" s="1086" t="str">
        <f>IF('6b - General Lighting'!$X$131=0,'Lighting Assumptions 90.1-2010'!N49,IF('6b - General Lighting'!$X$131=1,'Lighting Assumptions 90.1-2010'!P49,IF('6b - General Lighting'!$X$131=2,'Lighting Assumptions 90.1-2010'!R49,IF('6b - General Lighting'!$X$131=3,'Lighting Assumptions 90.1-2010'!T49,IF('6b - General Lighting'!$X$131=4,'Lighting Assumptions 90.1-2010'!V49,"")))))</f>
        <v/>
      </c>
    </row>
    <row r="58" spans="1:23" s="839" customFormat="1" ht="15" customHeight="1" x14ac:dyDescent="0.25">
      <c r="A58" s="806"/>
      <c r="B58" s="42"/>
      <c r="C58" s="806"/>
      <c r="G58" s="1055" t="s">
        <v>1760</v>
      </c>
      <c r="H58" s="828">
        <v>0.54</v>
      </c>
      <c r="I58" s="828">
        <f t="shared" si="2"/>
        <v>5.812506</v>
      </c>
      <c r="J58" s="828" t="s">
        <v>1560</v>
      </c>
      <c r="K58" s="1085" t="s">
        <v>22</v>
      </c>
      <c r="L58" s="1086" t="str">
        <f>"IP"&amp;L50</f>
        <v>IPDrive-through windows at fast food restaurants</v>
      </c>
      <c r="N58" s="1086" t="str">
        <f>IF('6b - General Lighting'!$X$131=0,'Lighting Assumptions 90.1-2010'!N50,IF('6b - General Lighting'!$X$131=1,'Lighting Assumptions 90.1-2010'!P50,IF('6b - General Lighting'!$X$131=2,'Lighting Assumptions 90.1-2010'!R50,IF('6b - General Lighting'!$X$131=3,'Lighting Assumptions 90.1-2010'!T50,IF('6b - General Lighting'!$X$131=4,'Lighting Assumptions 90.1-2010'!V50,"")))))</f>
        <v/>
      </c>
    </row>
    <row r="59" spans="1:23" s="839" customFormat="1" ht="15" customHeight="1" x14ac:dyDescent="0.25">
      <c r="A59" s="806"/>
      <c r="B59" s="42"/>
      <c r="C59" s="806"/>
      <c r="G59" s="1055" t="s">
        <v>1761</v>
      </c>
      <c r="H59" s="828">
        <v>0.69</v>
      </c>
      <c r="I59" s="828">
        <f t="shared" si="2"/>
        <v>7.427090999999999</v>
      </c>
      <c r="J59" s="828" t="s">
        <v>22</v>
      </c>
      <c r="K59" s="1085" t="s">
        <v>22</v>
      </c>
      <c r="L59" s="1086" t="str">
        <f>"IP"&amp;L51</f>
        <v>IPParking near 24-hour retail entrances</v>
      </c>
      <c r="N59" s="1086" t="str">
        <f>IF('6b - General Lighting'!$X$131=0,'Lighting Assumptions 90.1-2010'!N51,IF('6b - General Lighting'!$X$131=1,'Lighting Assumptions 90.1-2010'!P51,IF('6b - General Lighting'!$X$131=2,'Lighting Assumptions 90.1-2010'!R51,IF('6b - General Lighting'!$X$131=3,'Lighting Assumptions 90.1-2010'!T51,IF('6b - General Lighting'!$X$131=4,'Lighting Assumptions 90.1-2010'!V51,"")))))</f>
        <v/>
      </c>
    </row>
    <row r="60" spans="1:23" s="839" customFormat="1" ht="15" customHeight="1" x14ac:dyDescent="0.25">
      <c r="A60" s="806"/>
      <c r="B60" s="42"/>
      <c r="C60" s="806"/>
      <c r="G60" s="1055" t="s">
        <v>1762</v>
      </c>
      <c r="H60" s="828">
        <v>0.63</v>
      </c>
      <c r="I60" s="828">
        <f t="shared" si="2"/>
        <v>6.7812570000000001</v>
      </c>
      <c r="J60" s="828" t="s">
        <v>1560</v>
      </c>
      <c r="K60" s="1085" t="s">
        <v>22</v>
      </c>
      <c r="L60" s="1086" t="str">
        <f>"IP"&amp;L52&amp;M52</f>
        <v>IPBuilding facadesLength</v>
      </c>
      <c r="N60" s="1086" t="str">
        <f>IF('6b - General Lighting'!$X$131=0,'Lighting Assumptions 90.1-2010'!N52,IF('6b - General Lighting'!$X$131=1,'Lighting Assumptions 90.1-2010'!P52,IF('6b - General Lighting'!$X$131=2,'Lighting Assumptions 90.1-2010'!R52,IF('6b - General Lighting'!$X$131=3,'Lighting Assumptions 90.1-2010'!T52,IF('6b - General Lighting'!$X$131=4,'Lighting Assumptions 90.1-2010'!V52,"")))))</f>
        <v/>
      </c>
    </row>
    <row r="61" spans="1:23" s="839" customFormat="1" ht="15" customHeight="1" x14ac:dyDescent="0.25">
      <c r="A61" s="806"/>
      <c r="B61" s="42"/>
      <c r="C61" s="806"/>
      <c r="G61" s="1055" t="s">
        <v>1763</v>
      </c>
      <c r="H61" s="828">
        <v>0.63</v>
      </c>
      <c r="I61" s="828">
        <f t="shared" si="2"/>
        <v>6.7812570000000001</v>
      </c>
      <c r="J61" s="828" t="s">
        <v>22</v>
      </c>
      <c r="K61" s="1085" t="s">
        <v>22</v>
      </c>
      <c r="L61" s="1086" t="str">
        <f>"SI"&amp;L46&amp;M46</f>
        <v>SIBuilding facadesArea</v>
      </c>
      <c r="N61" s="1086" t="str">
        <f>IF('6b - General Lighting'!$X$131=0,'Lighting Assumptions 90.1-2010'!O46,IF('6b - General Lighting'!$X$131=1,'Lighting Assumptions 90.1-2010'!Q46,IF('6b - General Lighting'!$X$131=2,'Lighting Assumptions 90.1-2010'!S46,IF('6b - General Lighting'!$X$131=3,'Lighting Assumptions 90.1-2010'!U46,IF('6b - General Lighting'!$X$131=4,'Lighting Assumptions 90.1-2010'!W46,"")))))</f>
        <v/>
      </c>
    </row>
    <row r="62" spans="1:23" s="839" customFormat="1" ht="15" customHeight="1" x14ac:dyDescent="0.25">
      <c r="A62" s="806"/>
      <c r="B62" s="42"/>
      <c r="C62" s="806"/>
      <c r="G62" s="1055" t="s">
        <v>1764</v>
      </c>
      <c r="H62" s="828">
        <v>1.24</v>
      </c>
      <c r="I62" s="828">
        <f t="shared" si="2"/>
        <v>13.347235999999999</v>
      </c>
      <c r="J62" s="828" t="s">
        <v>1560</v>
      </c>
      <c r="K62" s="1085" t="s">
        <v>22</v>
      </c>
      <c r="L62" s="1086" t="str">
        <f>"SI"&amp;L47</f>
        <v>SIATMs and night depositories</v>
      </c>
      <c r="N62" s="1086" t="str">
        <f>IF('6b - General Lighting'!$X$131=0,'Lighting Assumptions 90.1-2010'!O47,IF('6b - General Lighting'!$X$131=1,'Lighting Assumptions 90.1-2010'!Q47,IF('6b - General Lighting'!$X$131=2,'Lighting Assumptions 90.1-2010'!S47,IF('6b - General Lighting'!$X$131=3,'Lighting Assumptions 90.1-2010'!U47,IF('6b - General Lighting'!$X$131=4,'Lighting Assumptions 90.1-2010'!W47,"")))))</f>
        <v/>
      </c>
    </row>
    <row r="63" spans="1:23" s="839" customFormat="1" ht="15" customHeight="1" x14ac:dyDescent="0.25">
      <c r="A63" s="806"/>
      <c r="B63" s="42"/>
      <c r="C63" s="806"/>
      <c r="G63" s="1055" t="s">
        <v>1765</v>
      </c>
      <c r="H63" s="828">
        <v>0.67</v>
      </c>
      <c r="I63" s="828">
        <f t="shared" si="2"/>
        <v>7.2118130000000003</v>
      </c>
      <c r="J63" s="828" t="s">
        <v>1560</v>
      </c>
      <c r="K63" s="1085" t="s">
        <v>22</v>
      </c>
      <c r="L63" s="1086" t="str">
        <f>"SI"&amp;L48</f>
        <v>SIEntrances and gatehouse inspection stations at guarded facilities</v>
      </c>
      <c r="N63" s="1086" t="str">
        <f>IF('6b - General Lighting'!$X$131=0,'Lighting Assumptions 90.1-2010'!O48,IF('6b - General Lighting'!$X$131=1,'Lighting Assumptions 90.1-2010'!Q48,IF('6b - General Lighting'!$X$131=2,'Lighting Assumptions 90.1-2010'!S48,IF('6b - General Lighting'!$X$131=3,'Lighting Assumptions 90.1-2010'!U48,IF('6b - General Lighting'!$X$131=4,'Lighting Assumptions 90.1-2010'!W48,"")))))</f>
        <v/>
      </c>
    </row>
    <row r="64" spans="1:23" s="839" customFormat="1" ht="15" customHeight="1" x14ac:dyDescent="0.25">
      <c r="A64" s="806"/>
      <c r="B64" s="42"/>
      <c r="C64" s="806"/>
      <c r="G64" s="1055" t="s">
        <v>75</v>
      </c>
      <c r="H64" s="828">
        <v>1.59</v>
      </c>
      <c r="I64" s="828">
        <f t="shared" si="2"/>
        <v>17.114601</v>
      </c>
      <c r="J64" s="828" t="s">
        <v>1560</v>
      </c>
      <c r="K64" s="1085" t="s">
        <v>22</v>
      </c>
      <c r="L64" s="1086" t="str">
        <f>"SI"&amp;L49</f>
        <v>SILoading areas for law enforcement, fire, ambulance, and other emergency service vehicles</v>
      </c>
      <c r="N64" s="1086" t="str">
        <f>IF('6b - General Lighting'!$X$131=0,'Lighting Assumptions 90.1-2010'!O49,IF('6b - General Lighting'!$X$131=1,'Lighting Assumptions 90.1-2010'!Q49,IF('6b - General Lighting'!$X$131=2,'Lighting Assumptions 90.1-2010'!S49,IF('6b - General Lighting'!$X$131=3,'Lighting Assumptions 90.1-2010'!U49,IF('6b - General Lighting'!$X$131=4,'Lighting Assumptions 90.1-2010'!W49,"")))))</f>
        <v/>
      </c>
    </row>
    <row r="65" spans="1:14" s="839" customFormat="1" ht="15" customHeight="1" x14ac:dyDescent="0.25">
      <c r="A65" s="806"/>
      <c r="B65" s="42"/>
      <c r="C65" s="806"/>
      <c r="G65" s="1055" t="s">
        <v>1766</v>
      </c>
      <c r="H65" s="828">
        <v>2.21</v>
      </c>
      <c r="I65" s="828">
        <f t="shared" si="2"/>
        <v>23.788218999999998</v>
      </c>
      <c r="J65" s="828" t="s">
        <v>1560</v>
      </c>
      <c r="K65" s="1085" t="s">
        <v>22</v>
      </c>
      <c r="L65" s="1086" t="str">
        <f>"SI"&amp;L50</f>
        <v>SIDrive-through windows at fast food restaurants</v>
      </c>
      <c r="N65" s="1086" t="str">
        <f>IF('6b - General Lighting'!$X$131=0,'Lighting Assumptions 90.1-2010'!O50,IF('6b - General Lighting'!$X$131=1,'Lighting Assumptions 90.1-2010'!Q50,IF('6b - General Lighting'!$X$131=2,'Lighting Assumptions 90.1-2010'!S50,IF('6b - General Lighting'!$X$131=3,'Lighting Assumptions 90.1-2010'!U50,IF('6b - General Lighting'!$X$131=4,'Lighting Assumptions 90.1-2010'!W50,"")))))</f>
        <v/>
      </c>
    </row>
    <row r="66" spans="1:14" s="839" customFormat="1" ht="15" customHeight="1" x14ac:dyDescent="0.25">
      <c r="A66" s="806"/>
      <c r="B66" s="42"/>
      <c r="C66" s="806"/>
      <c r="G66" s="1055" t="s">
        <v>1767</v>
      </c>
      <c r="H66" s="828">
        <v>2.41</v>
      </c>
      <c r="I66" s="828">
        <f t="shared" si="2"/>
        <v>25.940999000000001</v>
      </c>
      <c r="J66" s="828" t="s">
        <v>1560</v>
      </c>
      <c r="K66" s="1085" t="s">
        <v>1560</v>
      </c>
      <c r="L66" s="1086" t="str">
        <f>"SI"&amp;L51</f>
        <v>SIParking near 24-hour retail entrances</v>
      </c>
      <c r="N66" s="1086" t="str">
        <f>IF('6b - General Lighting'!$X$131=0,'Lighting Assumptions 90.1-2010'!O51,IF('6b - General Lighting'!$X$131=1,'Lighting Assumptions 90.1-2010'!Q51,IF('6b - General Lighting'!$X$131=2,'Lighting Assumptions 90.1-2010'!S51,IF('6b - General Lighting'!$X$131=3,'Lighting Assumptions 90.1-2010'!U51,IF('6b - General Lighting'!$X$131=4,'Lighting Assumptions 90.1-2010'!W51,"")))))</f>
        <v/>
      </c>
    </row>
    <row r="67" spans="1:14" s="839" customFormat="1" ht="15" customHeight="1" x14ac:dyDescent="0.25">
      <c r="A67" s="806"/>
      <c r="B67" s="42"/>
      <c r="C67" s="806"/>
      <c r="G67" s="1055" t="s">
        <v>1768</v>
      </c>
      <c r="H67" s="828">
        <v>1.45</v>
      </c>
      <c r="I67" s="828">
        <f t="shared" si="2"/>
        <v>15.607654999999999</v>
      </c>
      <c r="J67" s="828" t="s">
        <v>1560</v>
      </c>
      <c r="K67" s="1085" t="s">
        <v>22</v>
      </c>
      <c r="L67" s="1086" t="str">
        <f>"SI"&amp;L52&amp;M52</f>
        <v>SIBuilding facadesLength</v>
      </c>
      <c r="N67" s="1086" t="str">
        <f>IF('6b - General Lighting'!$X$131=0,'Lighting Assumptions 90.1-2010'!O52,IF('6b - General Lighting'!$X$131=1,'Lighting Assumptions 90.1-2010'!Q52,IF('6b - General Lighting'!$X$131=2,'Lighting Assumptions 90.1-2010'!S52,IF('6b - General Lighting'!$X$131=3,'Lighting Assumptions 90.1-2010'!U52,IF('6b - General Lighting'!$X$131=4,'Lighting Assumptions 90.1-2010'!W52,"")))))</f>
        <v/>
      </c>
    </row>
    <row r="68" spans="1:14" s="839" customFormat="1" ht="15" customHeight="1" x14ac:dyDescent="0.25">
      <c r="A68" s="806"/>
      <c r="B68" s="42"/>
      <c r="C68" s="806"/>
      <c r="G68" s="1055" t="s">
        <v>1769</v>
      </c>
      <c r="H68" s="828">
        <v>0.38</v>
      </c>
      <c r="I68" s="828">
        <f t="shared" ref="I68:I105" si="8">H68*10.7639</f>
        <v>4.0902820000000002</v>
      </c>
      <c r="J68" s="828" t="s">
        <v>1560</v>
      </c>
      <c r="K68" s="828" t="s">
        <v>1560</v>
      </c>
    </row>
    <row r="69" spans="1:14" s="839" customFormat="1" ht="15" customHeight="1" x14ac:dyDescent="0.25">
      <c r="A69" s="806"/>
      <c r="B69" s="42"/>
      <c r="C69" s="806"/>
      <c r="G69" s="1055" t="s">
        <v>1770</v>
      </c>
      <c r="H69" s="828">
        <v>0.22</v>
      </c>
      <c r="I69" s="828">
        <f t="shared" si="8"/>
        <v>2.368058</v>
      </c>
      <c r="J69" s="828" t="s">
        <v>1560</v>
      </c>
      <c r="K69" s="828" t="s">
        <v>1560</v>
      </c>
    </row>
    <row r="70" spans="1:14" s="839" customFormat="1" ht="15" customHeight="1" x14ac:dyDescent="0.25">
      <c r="A70" s="806"/>
      <c r="B70" s="42"/>
      <c r="C70" s="806"/>
      <c r="G70" s="1055" t="s">
        <v>1771</v>
      </c>
      <c r="H70" s="828">
        <v>0.72</v>
      </c>
      <c r="I70" s="828">
        <f t="shared" si="8"/>
        <v>7.7500079999999993</v>
      </c>
      <c r="J70" s="828" t="s">
        <v>1560</v>
      </c>
      <c r="K70" s="828" t="s">
        <v>22</v>
      </c>
    </row>
    <row r="71" spans="1:14" s="839" customFormat="1" ht="15" customHeight="1" x14ac:dyDescent="0.25">
      <c r="A71" s="806"/>
      <c r="B71" s="42"/>
      <c r="C71" s="806"/>
      <c r="G71" s="1055" t="s">
        <v>1772</v>
      </c>
      <c r="H71" s="828">
        <v>1.2</v>
      </c>
      <c r="I71" s="828">
        <f t="shared" si="8"/>
        <v>12.916679999999999</v>
      </c>
      <c r="J71" s="828" t="s">
        <v>1560</v>
      </c>
      <c r="K71" s="828" t="s">
        <v>22</v>
      </c>
    </row>
    <row r="72" spans="1:14" s="839" customFormat="1" ht="15" customHeight="1" x14ac:dyDescent="0.25">
      <c r="A72" s="806"/>
      <c r="B72" s="42"/>
      <c r="C72" s="806"/>
      <c r="G72" s="1055" t="s">
        <v>1773</v>
      </c>
      <c r="H72" s="1073" t="s">
        <v>764</v>
      </c>
      <c r="I72" s="1073" t="s">
        <v>764</v>
      </c>
      <c r="J72" s="1073" t="s">
        <v>764</v>
      </c>
      <c r="K72" s="1073" t="s">
        <v>764</v>
      </c>
    </row>
    <row r="73" spans="1:14" s="839" customFormat="1" ht="15" customHeight="1" x14ac:dyDescent="0.25">
      <c r="A73" s="806"/>
      <c r="B73" s="42"/>
      <c r="C73" s="806"/>
      <c r="G73" s="1055" t="s">
        <v>1774</v>
      </c>
      <c r="H73" s="828">
        <v>1.66</v>
      </c>
      <c r="I73" s="828">
        <f t="shared" si="8"/>
        <v>17.868074</v>
      </c>
      <c r="J73" s="828" t="s">
        <v>1560</v>
      </c>
      <c r="K73" s="828" t="s">
        <v>22</v>
      </c>
    </row>
    <row r="74" spans="1:14" s="839" customFormat="1" ht="15" customHeight="1" x14ac:dyDescent="0.25">
      <c r="A74" s="806"/>
      <c r="B74" s="42"/>
      <c r="C74" s="806"/>
      <c r="G74" s="1055" t="s">
        <v>1775</v>
      </c>
      <c r="H74" s="828">
        <v>1.51</v>
      </c>
      <c r="I74" s="828">
        <f t="shared" si="8"/>
        <v>16.253488999999998</v>
      </c>
      <c r="J74" s="828" t="s">
        <v>1560</v>
      </c>
      <c r="K74" s="828" t="s">
        <v>1560</v>
      </c>
    </row>
    <row r="75" spans="1:14" s="839" customFormat="1" ht="15" customHeight="1" x14ac:dyDescent="0.25">
      <c r="A75" s="806"/>
      <c r="B75" s="42"/>
      <c r="C75" s="806"/>
      <c r="G75" s="1055" t="s">
        <v>1776</v>
      </c>
      <c r="H75" s="828">
        <v>0.74</v>
      </c>
      <c r="I75" s="828">
        <f t="shared" si="8"/>
        <v>7.9652859999999999</v>
      </c>
      <c r="J75" s="828" t="s">
        <v>1560</v>
      </c>
      <c r="K75" s="828" t="s">
        <v>22</v>
      </c>
    </row>
    <row r="76" spans="1:14" s="839" customFormat="1" ht="15" customHeight="1" x14ac:dyDescent="0.25">
      <c r="A76" s="806"/>
      <c r="B76" s="42"/>
      <c r="C76" s="806"/>
      <c r="G76" s="1055" t="s">
        <v>1777</v>
      </c>
      <c r="H76" s="828">
        <v>0.88</v>
      </c>
      <c r="I76" s="828">
        <f t="shared" si="8"/>
        <v>9.472232</v>
      </c>
      <c r="J76" s="828" t="s">
        <v>1560</v>
      </c>
      <c r="K76" s="828" t="s">
        <v>22</v>
      </c>
    </row>
    <row r="77" spans="1:14" s="839" customFormat="1" ht="15" customHeight="1" x14ac:dyDescent="0.25">
      <c r="A77" s="806"/>
      <c r="B77" s="42"/>
      <c r="C77" s="806"/>
      <c r="G77" s="1055" t="s">
        <v>1778</v>
      </c>
      <c r="H77" s="828">
        <v>0.71</v>
      </c>
      <c r="I77" s="828">
        <f t="shared" si="8"/>
        <v>7.6423689999999995</v>
      </c>
      <c r="J77" s="828" t="s">
        <v>1560</v>
      </c>
      <c r="K77" s="828" t="s">
        <v>22</v>
      </c>
    </row>
    <row r="78" spans="1:14" s="839" customFormat="1" ht="15" customHeight="1" x14ac:dyDescent="0.25">
      <c r="A78" s="806"/>
      <c r="B78" s="42"/>
      <c r="C78" s="806"/>
      <c r="G78" s="1055" t="s">
        <v>1779</v>
      </c>
      <c r="H78" s="828">
        <v>2.48</v>
      </c>
      <c r="I78" s="828">
        <f t="shared" si="8"/>
        <v>26.694471999999998</v>
      </c>
      <c r="J78" s="828" t="s">
        <v>1560</v>
      </c>
      <c r="K78" s="828" t="s">
        <v>1560</v>
      </c>
    </row>
    <row r="79" spans="1:14" s="839" customFormat="1" ht="15" customHeight="1" x14ac:dyDescent="0.25">
      <c r="A79" s="806"/>
      <c r="B79" s="42"/>
      <c r="C79" s="806"/>
      <c r="G79" s="1055" t="s">
        <v>1780</v>
      </c>
      <c r="H79" s="828">
        <v>0.62</v>
      </c>
      <c r="I79" s="828">
        <f t="shared" si="8"/>
        <v>6.6736179999999994</v>
      </c>
      <c r="J79" s="828" t="s">
        <v>1560</v>
      </c>
      <c r="K79" s="828" t="s">
        <v>22</v>
      </c>
    </row>
    <row r="80" spans="1:14" s="839" customFormat="1" ht="15" customHeight="1" x14ac:dyDescent="0.25">
      <c r="A80" s="806"/>
      <c r="B80" s="42"/>
      <c r="C80" s="806"/>
      <c r="G80" s="1055" t="s">
        <v>1781</v>
      </c>
      <c r="H80" s="828">
        <v>0.91</v>
      </c>
      <c r="I80" s="828">
        <f t="shared" si="8"/>
        <v>9.7951490000000003</v>
      </c>
      <c r="J80" s="828" t="s">
        <v>1560</v>
      </c>
      <c r="K80" s="828" t="s">
        <v>22</v>
      </c>
    </row>
    <row r="81" spans="1:15" s="839" customFormat="1" ht="15" customHeight="1" x14ac:dyDescent="0.25">
      <c r="A81" s="806"/>
      <c r="B81" s="42"/>
      <c r="C81" s="806"/>
      <c r="G81" s="1055" t="s">
        <v>1782</v>
      </c>
      <c r="H81" s="828">
        <v>1.1499999999999999</v>
      </c>
      <c r="I81" s="828">
        <f t="shared" si="8"/>
        <v>12.378484999999998</v>
      </c>
      <c r="J81" s="828" t="s">
        <v>1560</v>
      </c>
      <c r="K81" s="828" t="s">
        <v>22</v>
      </c>
    </row>
    <row r="82" spans="1:15" s="839" customFormat="1" ht="15" customHeight="1" x14ac:dyDescent="0.25">
      <c r="A82" s="806"/>
      <c r="B82" s="42"/>
      <c r="C82" s="806"/>
      <c r="G82" s="1055" t="s">
        <v>1783</v>
      </c>
      <c r="H82" s="828">
        <v>1.06</v>
      </c>
      <c r="I82" s="828">
        <f t="shared" si="8"/>
        <v>11.409734</v>
      </c>
      <c r="J82" s="828" t="s">
        <v>1560</v>
      </c>
      <c r="K82" s="828" t="s">
        <v>22</v>
      </c>
    </row>
    <row r="83" spans="1:15" s="839" customFormat="1" ht="15" customHeight="1" x14ac:dyDescent="0.25">
      <c r="A83" s="806"/>
      <c r="B83" s="42"/>
      <c r="C83" s="806"/>
      <c r="G83" s="1055" t="s">
        <v>1784</v>
      </c>
      <c r="H83" s="828">
        <v>1.71</v>
      </c>
      <c r="I83" s="828">
        <f t="shared" si="8"/>
        <v>18.406268999999998</v>
      </c>
      <c r="J83" s="828" t="s">
        <v>22</v>
      </c>
      <c r="K83" s="828" t="s">
        <v>22</v>
      </c>
    </row>
    <row r="84" spans="1:15" s="839" customFormat="1" ht="15" customHeight="1" x14ac:dyDescent="0.25">
      <c r="A84" s="806"/>
      <c r="B84" s="42"/>
      <c r="C84" s="806"/>
      <c r="G84" s="1055" t="s">
        <v>1785</v>
      </c>
      <c r="H84" s="828">
        <v>1.29</v>
      </c>
      <c r="I84" s="828">
        <f t="shared" si="8"/>
        <v>13.885431000000001</v>
      </c>
      <c r="J84" s="828" t="s">
        <v>1560</v>
      </c>
      <c r="K84" s="828" t="s">
        <v>22</v>
      </c>
    </row>
    <row r="85" spans="1:15" s="839" customFormat="1" ht="15" customHeight="1" x14ac:dyDescent="0.25">
      <c r="A85" s="806"/>
      <c r="B85" s="42"/>
      <c r="C85" s="806"/>
      <c r="G85" s="1055" t="s">
        <v>1786</v>
      </c>
      <c r="H85" s="828">
        <v>0.74</v>
      </c>
      <c r="I85" s="828">
        <f t="shared" si="8"/>
        <v>7.9652859999999999</v>
      </c>
      <c r="J85" s="828" t="s">
        <v>1560</v>
      </c>
      <c r="K85" s="828" t="s">
        <v>22</v>
      </c>
    </row>
    <row r="86" spans="1:15" s="839" customFormat="1" ht="15" customHeight="1" x14ac:dyDescent="0.25">
      <c r="A86" s="806"/>
      <c r="B86" s="42"/>
      <c r="C86" s="806"/>
      <c r="G86" s="1055" t="s">
        <v>1787</v>
      </c>
      <c r="H86" s="828">
        <v>1.05</v>
      </c>
      <c r="I86" s="828">
        <f t="shared" si="8"/>
        <v>11.302095</v>
      </c>
      <c r="J86" s="828" t="s">
        <v>1560</v>
      </c>
      <c r="K86" s="828" t="s">
        <v>22</v>
      </c>
    </row>
    <row r="87" spans="1:15" s="839" customFormat="1" ht="15" customHeight="1" x14ac:dyDescent="0.25">
      <c r="A87" s="806"/>
      <c r="B87" s="42"/>
      <c r="C87" s="806"/>
      <c r="G87" s="1055" t="s">
        <v>1788</v>
      </c>
      <c r="H87" s="828">
        <v>1.23</v>
      </c>
      <c r="I87" s="828">
        <f t="shared" si="8"/>
        <v>13.239597</v>
      </c>
      <c r="J87" s="828" t="s">
        <v>1560</v>
      </c>
      <c r="K87" s="828" t="s">
        <v>22</v>
      </c>
    </row>
    <row r="88" spans="1:15" s="839" customFormat="1" ht="15" customHeight="1" x14ac:dyDescent="0.25">
      <c r="A88" s="806"/>
      <c r="B88" s="42"/>
      <c r="C88" s="806"/>
      <c r="G88" s="1055" t="s">
        <v>1789</v>
      </c>
      <c r="H88" s="828">
        <v>1.19</v>
      </c>
      <c r="I88" s="828">
        <f t="shared" si="8"/>
        <v>12.809040999999999</v>
      </c>
      <c r="J88" s="828" t="s">
        <v>1560</v>
      </c>
      <c r="K88" s="828" t="s">
        <v>22</v>
      </c>
    </row>
    <row r="89" spans="1:15" s="839" customFormat="1" ht="15" customHeight="1" x14ac:dyDescent="0.25">
      <c r="A89" s="806"/>
      <c r="B89" s="42"/>
      <c r="C89" s="806"/>
      <c r="G89" s="1055" t="s">
        <v>1790</v>
      </c>
      <c r="H89" s="828">
        <v>1.05</v>
      </c>
      <c r="I89" s="828">
        <f t="shared" si="8"/>
        <v>11.302095</v>
      </c>
      <c r="J89" s="828" t="s">
        <v>1560</v>
      </c>
      <c r="K89" s="828" t="s">
        <v>22</v>
      </c>
    </row>
    <row r="90" spans="1:15" s="839" customFormat="1" ht="15" customHeight="1" x14ac:dyDescent="0.25">
      <c r="A90" s="806"/>
      <c r="B90" s="42"/>
      <c r="C90" s="806"/>
      <c r="G90" s="1055" t="s">
        <v>1791</v>
      </c>
      <c r="H90" s="828">
        <v>1.02</v>
      </c>
      <c r="I90" s="828">
        <f t="shared" si="8"/>
        <v>10.979177999999999</v>
      </c>
      <c r="J90" s="828" t="s">
        <v>1560</v>
      </c>
      <c r="K90" s="828" t="s">
        <v>22</v>
      </c>
    </row>
    <row r="91" spans="1:15" s="839" customFormat="1" ht="15" customHeight="1" x14ac:dyDescent="0.25">
      <c r="A91" s="806"/>
      <c r="B91" s="42"/>
      <c r="C91" s="806"/>
      <c r="G91" s="1055" t="s">
        <v>1792</v>
      </c>
      <c r="H91" s="828">
        <v>0.94</v>
      </c>
      <c r="I91" s="828">
        <f t="shared" si="8"/>
        <v>10.118065999999999</v>
      </c>
      <c r="J91" s="828" t="s">
        <v>22</v>
      </c>
      <c r="K91" s="828" t="s">
        <v>22</v>
      </c>
    </row>
    <row r="92" spans="1:15" s="839" customFormat="1" ht="15" customHeight="1" x14ac:dyDescent="0.25">
      <c r="A92" s="806"/>
      <c r="B92" s="42"/>
      <c r="C92" s="806"/>
      <c r="G92" s="1055" t="s">
        <v>1793</v>
      </c>
      <c r="H92" s="828">
        <v>0.64</v>
      </c>
      <c r="I92" s="828">
        <f t="shared" si="8"/>
        <v>6.8888959999999999</v>
      </c>
      <c r="J92" s="828" t="s">
        <v>1560</v>
      </c>
      <c r="K92" s="828" t="s">
        <v>22</v>
      </c>
    </row>
    <row r="93" spans="1:15" s="839" customFormat="1" ht="15" customHeight="1" x14ac:dyDescent="0.25">
      <c r="A93" s="806"/>
      <c r="B93" s="42"/>
      <c r="C93" s="806"/>
      <c r="G93" s="1055" t="s">
        <v>1794</v>
      </c>
      <c r="H93" s="828">
        <v>1.53</v>
      </c>
      <c r="I93" s="828">
        <f t="shared" si="8"/>
        <v>16.468767</v>
      </c>
      <c r="J93" s="828" t="s">
        <v>1560</v>
      </c>
      <c r="K93" s="828" t="s">
        <v>22</v>
      </c>
    </row>
    <row r="94" spans="1:15" s="839" customFormat="1" ht="15" customHeight="1" x14ac:dyDescent="0.25">
      <c r="A94" s="806"/>
      <c r="B94" s="42"/>
      <c r="C94" s="806"/>
      <c r="G94" s="1067" t="s">
        <v>1795</v>
      </c>
      <c r="H94" s="831">
        <v>0.71</v>
      </c>
      <c r="I94" s="828">
        <f t="shared" si="8"/>
        <v>7.6423689999999995</v>
      </c>
      <c r="J94" s="828" t="s">
        <v>22</v>
      </c>
      <c r="K94" s="828" t="s">
        <v>22</v>
      </c>
    </row>
    <row r="95" spans="1:15" s="839" customFormat="1" ht="15" customHeight="1" x14ac:dyDescent="0.25">
      <c r="A95" s="806"/>
      <c r="B95" s="42"/>
      <c r="C95" s="806"/>
      <c r="G95" s="1067" t="s">
        <v>1796</v>
      </c>
      <c r="H95" s="831">
        <v>1.1000000000000001</v>
      </c>
      <c r="I95" s="828">
        <f t="shared" si="8"/>
        <v>11.840290000000001</v>
      </c>
      <c r="J95" s="828" t="s">
        <v>1560</v>
      </c>
      <c r="K95" s="828" t="s">
        <v>22</v>
      </c>
      <c r="L95" s="388"/>
      <c r="M95" s="388"/>
      <c r="N95" s="388"/>
      <c r="O95" s="388"/>
    </row>
    <row r="96" spans="1:15" x14ac:dyDescent="0.25">
      <c r="A96" s="806"/>
      <c r="B96" s="42"/>
      <c r="C96" s="806"/>
      <c r="G96" s="1067" t="s">
        <v>1797</v>
      </c>
      <c r="H96" s="831">
        <v>3.68</v>
      </c>
      <c r="I96" s="828">
        <f t="shared" si="8"/>
        <v>39.611151999999997</v>
      </c>
      <c r="J96" s="828" t="s">
        <v>1560</v>
      </c>
      <c r="K96" s="828" t="s">
        <v>22</v>
      </c>
    </row>
    <row r="97" spans="1:11" x14ac:dyDescent="0.25">
      <c r="A97" s="806"/>
      <c r="B97" s="42"/>
      <c r="C97" s="806"/>
      <c r="G97" s="1067" t="s">
        <v>1798</v>
      </c>
      <c r="H97" s="831">
        <v>2.4</v>
      </c>
      <c r="I97" s="828">
        <f t="shared" si="8"/>
        <v>25.833359999999999</v>
      </c>
      <c r="J97" s="828" t="s">
        <v>1560</v>
      </c>
      <c r="K97" s="828" t="s">
        <v>22</v>
      </c>
    </row>
    <row r="98" spans="1:11" x14ac:dyDescent="0.25">
      <c r="A98" s="806"/>
      <c r="B98" s="42"/>
      <c r="C98" s="806"/>
      <c r="G98" s="1067" t="s">
        <v>1799</v>
      </c>
      <c r="H98" s="831">
        <v>1.8</v>
      </c>
      <c r="I98" s="828">
        <f t="shared" si="8"/>
        <v>19.375019999999999</v>
      </c>
      <c r="J98" s="828" t="s">
        <v>1560</v>
      </c>
      <c r="K98" s="828" t="s">
        <v>22</v>
      </c>
    </row>
    <row r="99" spans="1:11" x14ac:dyDescent="0.25">
      <c r="A99" s="806"/>
      <c r="B99" s="42"/>
      <c r="C99" s="806"/>
      <c r="G99" s="1067" t="s">
        <v>1800</v>
      </c>
      <c r="H99" s="831">
        <v>1.2</v>
      </c>
      <c r="I99" s="828">
        <f t="shared" si="8"/>
        <v>12.916679999999999</v>
      </c>
      <c r="J99" s="828" t="s">
        <v>1560</v>
      </c>
      <c r="K99" s="828" t="s">
        <v>22</v>
      </c>
    </row>
    <row r="100" spans="1:11" x14ac:dyDescent="0.25">
      <c r="A100" s="806"/>
      <c r="B100" s="42"/>
      <c r="C100" s="806"/>
      <c r="G100" s="1067" t="s">
        <v>1801</v>
      </c>
      <c r="H100" s="831">
        <v>0.53</v>
      </c>
      <c r="I100" s="828">
        <f t="shared" si="8"/>
        <v>5.7048670000000001</v>
      </c>
      <c r="J100" s="828" t="s">
        <v>1560</v>
      </c>
      <c r="K100" s="828" t="s">
        <v>22</v>
      </c>
    </row>
    <row r="101" spans="1:11" x14ac:dyDescent="0.25">
      <c r="A101" s="806"/>
      <c r="B101" s="42"/>
      <c r="C101" s="806"/>
      <c r="G101" s="1067" t="s">
        <v>1802</v>
      </c>
      <c r="H101" s="831">
        <v>0.36</v>
      </c>
      <c r="I101" s="828">
        <f t="shared" si="8"/>
        <v>3.8750039999999997</v>
      </c>
      <c r="J101" s="828" t="s">
        <v>1560</v>
      </c>
      <c r="K101" s="828" t="s">
        <v>22</v>
      </c>
    </row>
    <row r="102" spans="1:11" x14ac:dyDescent="0.25">
      <c r="A102" s="806"/>
      <c r="B102" s="42"/>
      <c r="C102" s="806"/>
      <c r="G102" s="1067" t="s">
        <v>1803</v>
      </c>
      <c r="H102" s="831">
        <v>0.8</v>
      </c>
      <c r="I102" s="828">
        <f t="shared" si="8"/>
        <v>8.6111199999999997</v>
      </c>
      <c r="J102" s="828" t="s">
        <v>1560</v>
      </c>
      <c r="K102" s="828" t="s">
        <v>22</v>
      </c>
    </row>
    <row r="103" spans="1:11" x14ac:dyDescent="0.25">
      <c r="A103" s="806"/>
      <c r="B103" s="42"/>
      <c r="C103" s="806"/>
      <c r="G103" s="1067" t="s">
        <v>1804</v>
      </c>
      <c r="H103" s="831">
        <v>0.57999999999999996</v>
      </c>
      <c r="I103" s="828">
        <f t="shared" si="8"/>
        <v>6.2430619999999992</v>
      </c>
      <c r="J103" s="828" t="s">
        <v>22</v>
      </c>
      <c r="K103" s="828" t="s">
        <v>22</v>
      </c>
    </row>
    <row r="104" spans="1:11" x14ac:dyDescent="0.25">
      <c r="A104" s="806"/>
      <c r="B104" s="42"/>
      <c r="C104" s="806"/>
      <c r="G104" s="1067" t="s">
        <v>1805</v>
      </c>
      <c r="H104" s="831">
        <v>0.95</v>
      </c>
      <c r="I104" s="828">
        <f t="shared" si="8"/>
        <v>10.225705</v>
      </c>
      <c r="J104" s="828" t="s">
        <v>22</v>
      </c>
      <c r="K104" s="828" t="s">
        <v>22</v>
      </c>
    </row>
    <row r="105" spans="1:11" x14ac:dyDescent="0.25">
      <c r="A105" s="806"/>
      <c r="B105" s="42"/>
      <c r="C105" s="806"/>
      <c r="G105" s="1067" t="s">
        <v>1806</v>
      </c>
      <c r="H105" s="830">
        <f>IF(bpf_reference="ACP",0.9,1.1)</f>
        <v>1.1000000000000001</v>
      </c>
      <c r="I105" s="828">
        <f t="shared" si="8"/>
        <v>11.840290000000001</v>
      </c>
      <c r="J105" s="1073" t="s">
        <v>764</v>
      </c>
      <c r="K105" s="1073" t="s">
        <v>764</v>
      </c>
    </row>
    <row r="106" spans="1:11" x14ac:dyDescent="0.25">
      <c r="A106" s="806"/>
      <c r="B106" s="42"/>
      <c r="C106" s="806"/>
      <c r="G106" s="1067" t="s">
        <v>1807</v>
      </c>
      <c r="H106" s="1073" t="s">
        <v>764</v>
      </c>
      <c r="I106" s="1073" t="s">
        <v>764</v>
      </c>
      <c r="J106" s="1073" t="s">
        <v>764</v>
      </c>
      <c r="K106" s="1073" t="s">
        <v>764</v>
      </c>
    </row>
    <row r="107" spans="1:11" x14ac:dyDescent="0.25">
      <c r="A107" s="806"/>
      <c r="B107" s="42"/>
      <c r="C107" s="806"/>
    </row>
    <row r="108" spans="1:11" x14ac:dyDescent="0.25">
      <c r="A108" s="806"/>
      <c r="B108" s="42"/>
      <c r="C108" s="806"/>
    </row>
    <row r="109" spans="1:11" x14ac:dyDescent="0.25">
      <c r="A109" s="806"/>
      <c r="B109" s="42"/>
      <c r="C109" s="806"/>
    </row>
    <row r="110" spans="1:11" x14ac:dyDescent="0.25">
      <c r="A110" s="806"/>
      <c r="B110" s="42"/>
      <c r="C110" s="806"/>
    </row>
    <row r="111" spans="1:11" x14ac:dyDescent="0.25">
      <c r="A111" s="806"/>
      <c r="B111" s="42"/>
      <c r="C111" s="806"/>
    </row>
    <row r="112" spans="1:11" x14ac:dyDescent="0.25">
      <c r="A112" s="806"/>
      <c r="B112" s="42"/>
      <c r="C112" s="806"/>
    </row>
    <row r="113" spans="1:3" x14ac:dyDescent="0.25">
      <c r="A113" s="806"/>
      <c r="B113" s="42"/>
      <c r="C113" s="806"/>
    </row>
    <row r="114" spans="1:3" x14ac:dyDescent="0.25">
      <c r="A114" s="806"/>
      <c r="B114" s="42"/>
      <c r="C114" s="806"/>
    </row>
    <row r="115" spans="1:3" x14ac:dyDescent="0.25">
      <c r="A115" s="806"/>
      <c r="B115" s="42"/>
      <c r="C115" s="806"/>
    </row>
    <row r="116" spans="1:3" x14ac:dyDescent="0.25">
      <c r="A116" s="806"/>
      <c r="B116" s="42"/>
      <c r="C116" s="806"/>
    </row>
    <row r="117" spans="1:3" x14ac:dyDescent="0.25">
      <c r="A117" s="806"/>
      <c r="B117" s="42"/>
      <c r="C117" s="806"/>
    </row>
    <row r="118" spans="1:3" x14ac:dyDescent="0.25">
      <c r="A118" s="806"/>
      <c r="B118" s="42"/>
      <c r="C118" s="806"/>
    </row>
    <row r="119" spans="1:3" x14ac:dyDescent="0.25">
      <c r="A119" s="806"/>
      <c r="B119" s="42"/>
      <c r="C119" s="806"/>
    </row>
    <row r="120" spans="1:3" x14ac:dyDescent="0.25">
      <c r="A120" s="806"/>
      <c r="B120" s="42"/>
      <c r="C120" s="806"/>
    </row>
    <row r="121" spans="1:3" x14ac:dyDescent="0.25">
      <c r="A121" s="806"/>
      <c r="B121" s="42"/>
      <c r="C121" s="806"/>
    </row>
    <row r="122" spans="1:3" x14ac:dyDescent="0.25">
      <c r="A122" s="806"/>
      <c r="B122" s="42"/>
      <c r="C122" s="806"/>
    </row>
    <row r="123" spans="1:3" x14ac:dyDescent="0.25">
      <c r="A123" s="806"/>
      <c r="B123" s="42"/>
      <c r="C123" s="806"/>
    </row>
    <row r="124" spans="1:3" x14ac:dyDescent="0.25">
      <c r="A124" s="806"/>
      <c r="B124" s="42"/>
      <c r="C124" s="806"/>
    </row>
    <row r="125" spans="1:3" x14ac:dyDescent="0.25">
      <c r="A125" s="806"/>
      <c r="B125" s="42"/>
      <c r="C125" s="806"/>
    </row>
    <row r="126" spans="1:3" x14ac:dyDescent="0.25">
      <c r="A126" s="806"/>
      <c r="B126" s="42"/>
      <c r="C126" s="806"/>
    </row>
    <row r="127" spans="1:3" x14ac:dyDescent="0.25">
      <c r="A127" s="806"/>
      <c r="B127" s="42"/>
      <c r="C127" s="806"/>
    </row>
    <row r="128" spans="1:3" x14ac:dyDescent="0.25">
      <c r="A128" s="806"/>
      <c r="B128" s="42"/>
      <c r="C128" s="806"/>
    </row>
    <row r="129" spans="1:3" x14ac:dyDescent="0.25">
      <c r="A129" s="806"/>
      <c r="B129" s="42"/>
      <c r="C129" s="806"/>
    </row>
    <row r="130" spans="1:3" x14ac:dyDescent="0.25">
      <c r="A130" s="806"/>
      <c r="B130" s="42"/>
      <c r="C130" s="806"/>
    </row>
    <row r="131" spans="1:3" x14ac:dyDescent="0.25">
      <c r="A131" s="806"/>
      <c r="B131" s="42"/>
      <c r="C131" s="806"/>
    </row>
    <row r="132" spans="1:3" x14ac:dyDescent="0.25">
      <c r="A132" s="806"/>
      <c r="B132" s="42"/>
      <c r="C132" s="806"/>
    </row>
    <row r="133" spans="1:3" x14ac:dyDescent="0.25">
      <c r="A133" s="806"/>
      <c r="B133" s="42"/>
      <c r="C133" s="806"/>
    </row>
    <row r="134" spans="1:3" x14ac:dyDescent="0.25">
      <c r="A134" s="806"/>
      <c r="B134" s="42"/>
      <c r="C134" s="806"/>
    </row>
    <row r="135" spans="1:3" x14ac:dyDescent="0.25">
      <c r="A135" s="806"/>
      <c r="B135" s="42"/>
      <c r="C135" s="806"/>
    </row>
    <row r="136" spans="1:3" x14ac:dyDescent="0.25">
      <c r="A136" s="806"/>
      <c r="B136" s="42"/>
      <c r="C136" s="806"/>
    </row>
    <row r="137" spans="1:3" x14ac:dyDescent="0.25">
      <c r="A137" s="806"/>
      <c r="B137" s="42"/>
      <c r="C137" s="806"/>
    </row>
    <row r="138" spans="1:3" x14ac:dyDescent="0.25">
      <c r="A138" s="806"/>
      <c r="B138" s="42"/>
      <c r="C138" s="806"/>
    </row>
    <row r="139" spans="1:3" x14ac:dyDescent="0.25">
      <c r="A139" s="806"/>
      <c r="B139" s="42"/>
      <c r="C139" s="806"/>
    </row>
    <row r="140" spans="1:3" x14ac:dyDescent="0.25">
      <c r="A140" s="806"/>
      <c r="B140" s="42"/>
      <c r="C140" s="806"/>
    </row>
    <row r="141" spans="1:3" x14ac:dyDescent="0.25">
      <c r="A141" s="806"/>
      <c r="B141" s="42"/>
      <c r="C141" s="806"/>
    </row>
    <row r="142" spans="1:3" x14ac:dyDescent="0.25">
      <c r="A142" s="806"/>
      <c r="B142" s="42"/>
      <c r="C142" s="806"/>
    </row>
    <row r="143" spans="1:3" x14ac:dyDescent="0.25">
      <c r="A143" s="806"/>
      <c r="B143" s="42"/>
      <c r="C143" s="806"/>
    </row>
    <row r="144" spans="1:3" x14ac:dyDescent="0.25">
      <c r="A144" s="806"/>
      <c r="B144" s="42"/>
      <c r="C144" s="806"/>
    </row>
    <row r="145" spans="1:3" x14ac:dyDescent="0.25">
      <c r="A145" s="806"/>
      <c r="B145" s="42"/>
      <c r="C145" s="806"/>
    </row>
    <row r="146" spans="1:3" x14ac:dyDescent="0.25">
      <c r="A146" s="806"/>
      <c r="B146" s="42"/>
      <c r="C146" s="806"/>
    </row>
    <row r="147" spans="1:3" x14ac:dyDescent="0.25">
      <c r="A147" s="806"/>
      <c r="B147" s="42"/>
      <c r="C147" s="806"/>
    </row>
    <row r="148" spans="1:3" x14ac:dyDescent="0.25">
      <c r="A148" s="806"/>
      <c r="B148" s="42"/>
      <c r="C148" s="806"/>
    </row>
    <row r="149" spans="1:3" x14ac:dyDescent="0.25">
      <c r="A149" s="806"/>
      <c r="B149" s="42"/>
      <c r="C149" s="806"/>
    </row>
    <row r="150" spans="1:3" x14ac:dyDescent="0.25">
      <c r="A150" s="806"/>
      <c r="B150" s="42"/>
      <c r="C150" s="806"/>
    </row>
    <row r="151" spans="1:3" x14ac:dyDescent="0.25">
      <c r="A151" s="806"/>
      <c r="B151" s="42"/>
      <c r="C151" s="806"/>
    </row>
    <row r="152" spans="1:3" x14ac:dyDescent="0.25">
      <c r="A152" s="806"/>
      <c r="B152" s="42"/>
      <c r="C152" s="806"/>
    </row>
    <row r="153" spans="1:3" x14ac:dyDescent="0.25">
      <c r="A153" s="806"/>
      <c r="B153" s="42"/>
      <c r="C153" s="806"/>
    </row>
    <row r="154" spans="1:3" x14ac:dyDescent="0.25">
      <c r="A154" s="806"/>
      <c r="B154" s="42"/>
      <c r="C154" s="806"/>
    </row>
    <row r="155" spans="1:3" x14ac:dyDescent="0.25">
      <c r="A155" s="806"/>
      <c r="B155" s="42"/>
      <c r="C155" s="806"/>
    </row>
    <row r="156" spans="1:3" x14ac:dyDescent="0.25">
      <c r="A156" s="806"/>
      <c r="B156" s="42"/>
      <c r="C156" s="806"/>
    </row>
    <row r="157" spans="1:3" x14ac:dyDescent="0.25">
      <c r="A157" s="806"/>
      <c r="B157" s="42"/>
      <c r="C157" s="806"/>
    </row>
    <row r="158" spans="1:3" x14ac:dyDescent="0.25">
      <c r="A158" s="806"/>
      <c r="B158" s="42"/>
      <c r="C158" s="806"/>
    </row>
    <row r="159" spans="1:3" x14ac:dyDescent="0.25">
      <c r="A159" s="806"/>
      <c r="B159" s="42"/>
      <c r="C159" s="806"/>
    </row>
    <row r="160" spans="1:3" x14ac:dyDescent="0.25">
      <c r="A160" s="806"/>
      <c r="B160" s="42"/>
      <c r="C160" s="806"/>
    </row>
    <row r="161" spans="1:3" x14ac:dyDescent="0.25">
      <c r="A161" s="806"/>
      <c r="B161" s="42"/>
      <c r="C161" s="806"/>
    </row>
    <row r="162" spans="1:3" x14ac:dyDescent="0.25">
      <c r="A162" s="806"/>
      <c r="B162" s="42"/>
      <c r="C162" s="806"/>
    </row>
    <row r="163" spans="1:3" x14ac:dyDescent="0.25">
      <c r="A163" s="806"/>
      <c r="B163" s="42"/>
      <c r="C163" s="806"/>
    </row>
    <row r="164" spans="1:3" x14ac:dyDescent="0.25">
      <c r="A164" s="806"/>
      <c r="B164" s="42"/>
      <c r="C164" s="806"/>
    </row>
    <row r="165" spans="1:3" x14ac:dyDescent="0.25">
      <c r="A165" s="806"/>
      <c r="B165" s="42"/>
      <c r="C165" s="806"/>
    </row>
    <row r="166" spans="1:3" x14ac:dyDescent="0.25">
      <c r="A166" s="806"/>
      <c r="B166" s="42"/>
      <c r="C166" s="806"/>
    </row>
    <row r="167" spans="1:3" x14ac:dyDescent="0.25">
      <c r="A167" s="806"/>
      <c r="B167" s="42"/>
      <c r="C167" s="806"/>
    </row>
    <row r="168" spans="1:3" x14ac:dyDescent="0.25">
      <c r="A168" s="806"/>
      <c r="B168" s="42"/>
      <c r="C168" s="806"/>
    </row>
    <row r="169" spans="1:3" x14ac:dyDescent="0.25">
      <c r="A169" s="806"/>
      <c r="B169" s="42"/>
      <c r="C169" s="806"/>
    </row>
    <row r="170" spans="1:3" x14ac:dyDescent="0.25">
      <c r="A170" s="806"/>
      <c r="B170" s="42"/>
      <c r="C170" s="806"/>
    </row>
    <row r="171" spans="1:3" x14ac:dyDescent="0.25">
      <c r="A171" s="806"/>
      <c r="B171" s="42"/>
      <c r="C171" s="806"/>
    </row>
    <row r="172" spans="1:3" x14ac:dyDescent="0.25">
      <c r="A172" s="806"/>
      <c r="B172" s="42"/>
      <c r="C172" s="806"/>
    </row>
    <row r="173" spans="1:3" x14ac:dyDescent="0.25">
      <c r="A173" s="806"/>
      <c r="B173" s="42"/>
      <c r="C173" s="806"/>
    </row>
    <row r="174" spans="1:3" x14ac:dyDescent="0.25">
      <c r="A174" s="806"/>
      <c r="B174" s="42"/>
      <c r="C174" s="806"/>
    </row>
    <row r="175" spans="1:3" x14ac:dyDescent="0.25">
      <c r="A175" s="806"/>
      <c r="B175" s="42"/>
      <c r="C175" s="806"/>
    </row>
    <row r="176" spans="1:3" x14ac:dyDescent="0.25">
      <c r="A176" s="806"/>
      <c r="B176" s="42"/>
      <c r="C176" s="806"/>
    </row>
    <row r="177" spans="1:3" x14ac:dyDescent="0.25">
      <c r="A177" s="806"/>
      <c r="B177" s="42"/>
      <c r="C177" s="806"/>
    </row>
    <row r="178" spans="1:3" x14ac:dyDescent="0.25">
      <c r="A178" s="806"/>
      <c r="B178" s="42"/>
      <c r="C178" s="806"/>
    </row>
    <row r="179" spans="1:3" x14ac:dyDescent="0.25">
      <c r="A179" s="806"/>
      <c r="B179" s="42"/>
      <c r="C179" s="806"/>
    </row>
    <row r="180" spans="1:3" x14ac:dyDescent="0.25">
      <c r="A180" s="806"/>
      <c r="B180" s="42"/>
      <c r="C180" s="806"/>
    </row>
    <row r="181" spans="1:3" x14ac:dyDescent="0.25">
      <c r="A181" s="806"/>
      <c r="B181" s="42"/>
      <c r="C181" s="806"/>
    </row>
    <row r="182" spans="1:3" x14ac:dyDescent="0.25">
      <c r="A182" s="806"/>
      <c r="B182" s="42"/>
      <c r="C182" s="806"/>
    </row>
    <row r="183" spans="1:3" x14ac:dyDescent="0.25">
      <c r="A183" s="806"/>
      <c r="B183" s="42"/>
      <c r="C183" s="806"/>
    </row>
    <row r="184" spans="1:3" x14ac:dyDescent="0.25">
      <c r="A184" s="806"/>
      <c r="B184" s="42"/>
      <c r="C184" s="806"/>
    </row>
    <row r="185" spans="1:3" x14ac:dyDescent="0.25">
      <c r="A185" s="806"/>
      <c r="B185" s="42"/>
      <c r="C185" s="806"/>
    </row>
    <row r="186" spans="1:3" x14ac:dyDescent="0.25">
      <c r="A186" s="806"/>
      <c r="B186" s="42"/>
      <c r="C186" s="806"/>
    </row>
    <row r="187" spans="1:3" x14ac:dyDescent="0.25">
      <c r="A187" s="806"/>
      <c r="B187" s="42"/>
      <c r="C187" s="806"/>
    </row>
    <row r="188" spans="1:3" x14ac:dyDescent="0.25">
      <c r="A188" s="806"/>
      <c r="B188" s="42"/>
      <c r="C188" s="806"/>
    </row>
    <row r="189" spans="1:3" x14ac:dyDescent="0.25">
      <c r="A189" s="806"/>
      <c r="B189" s="42"/>
      <c r="C189" s="806"/>
    </row>
    <row r="190" spans="1:3" x14ac:dyDescent="0.25">
      <c r="A190" s="806"/>
      <c r="B190" s="42"/>
      <c r="C190" s="806"/>
    </row>
    <row r="191" spans="1:3" x14ac:dyDescent="0.25">
      <c r="A191" s="806"/>
      <c r="B191" s="42"/>
      <c r="C191" s="806"/>
    </row>
    <row r="192" spans="1:3" x14ac:dyDescent="0.25">
      <c r="A192" s="806"/>
      <c r="B192" s="42"/>
      <c r="C192" s="806"/>
    </row>
    <row r="193" spans="1:3" x14ac:dyDescent="0.25">
      <c r="A193" s="806"/>
      <c r="B193" s="42"/>
      <c r="C193" s="806"/>
    </row>
    <row r="194" spans="1:3" x14ac:dyDescent="0.25">
      <c r="A194" s="806"/>
      <c r="B194" s="42"/>
      <c r="C194" s="806"/>
    </row>
    <row r="195" spans="1:3" x14ac:dyDescent="0.25">
      <c r="A195" s="806"/>
      <c r="B195" s="42"/>
      <c r="C195" s="806"/>
    </row>
    <row r="196" spans="1:3" x14ac:dyDescent="0.25">
      <c r="A196" s="806"/>
      <c r="B196" s="42"/>
      <c r="C196" s="806"/>
    </row>
    <row r="197" spans="1:3" x14ac:dyDescent="0.25">
      <c r="A197" s="806"/>
      <c r="B197" s="42"/>
      <c r="C197" s="806"/>
    </row>
    <row r="198" spans="1:3" x14ac:dyDescent="0.25">
      <c r="A198" s="806"/>
      <c r="B198" s="42"/>
      <c r="C198" s="806"/>
    </row>
    <row r="199" spans="1:3" x14ac:dyDescent="0.25">
      <c r="A199" s="806"/>
      <c r="B199" s="42"/>
      <c r="C199" s="806"/>
    </row>
    <row r="200" spans="1:3" x14ac:dyDescent="0.25">
      <c r="A200" s="806"/>
      <c r="B200" s="42"/>
      <c r="C200" s="806"/>
    </row>
    <row r="201" spans="1:3" x14ac:dyDescent="0.25">
      <c r="A201" s="806"/>
      <c r="B201" s="42"/>
      <c r="C201" s="806"/>
    </row>
    <row r="202" spans="1:3" x14ac:dyDescent="0.25">
      <c r="A202" s="806"/>
      <c r="B202" s="42"/>
      <c r="C202" s="806"/>
    </row>
    <row r="203" spans="1:3" x14ac:dyDescent="0.25">
      <c r="A203" s="806"/>
      <c r="B203" s="42"/>
      <c r="C203" s="806"/>
    </row>
    <row r="204" spans="1:3" x14ac:dyDescent="0.25">
      <c r="A204" s="806"/>
      <c r="B204" s="42"/>
      <c r="C204" s="806"/>
    </row>
    <row r="205" spans="1:3" x14ac:dyDescent="0.25">
      <c r="A205" s="806"/>
      <c r="B205" s="42"/>
      <c r="C205" s="806"/>
    </row>
    <row r="206" spans="1:3" x14ac:dyDescent="0.25">
      <c r="A206" s="806"/>
      <c r="B206" s="42"/>
      <c r="C206" s="806"/>
    </row>
    <row r="207" spans="1:3" x14ac:dyDescent="0.25">
      <c r="A207" s="806"/>
      <c r="B207" s="42"/>
      <c r="C207" s="806"/>
    </row>
    <row r="208" spans="1:3" x14ac:dyDescent="0.25">
      <c r="A208" s="806"/>
      <c r="B208" s="42"/>
      <c r="C208" s="806"/>
    </row>
    <row r="209" spans="1:3" x14ac:dyDescent="0.25">
      <c r="A209" s="806"/>
      <c r="B209" s="42"/>
      <c r="C209" s="806"/>
    </row>
    <row r="210" spans="1:3" x14ac:dyDescent="0.25">
      <c r="A210" s="806"/>
      <c r="B210" s="42"/>
      <c r="C210" s="806"/>
    </row>
    <row r="211" spans="1:3" x14ac:dyDescent="0.25">
      <c r="A211" s="806"/>
      <c r="B211" s="42"/>
      <c r="C211" s="806"/>
    </row>
    <row r="212" spans="1:3" x14ac:dyDescent="0.25">
      <c r="A212" s="806"/>
      <c r="B212" s="42"/>
      <c r="C212" s="806"/>
    </row>
    <row r="213" spans="1:3" x14ac:dyDescent="0.25">
      <c r="A213" s="806"/>
      <c r="B213" s="42"/>
      <c r="C213" s="806"/>
    </row>
    <row r="214" spans="1:3" x14ac:dyDescent="0.25">
      <c r="A214" s="806"/>
      <c r="B214" s="42"/>
      <c r="C214" s="806"/>
    </row>
    <row r="215" spans="1:3" x14ac:dyDescent="0.25">
      <c r="A215" s="806"/>
      <c r="B215" s="42"/>
      <c r="C215" s="806"/>
    </row>
    <row r="216" spans="1:3" x14ac:dyDescent="0.25">
      <c r="A216" s="806"/>
      <c r="B216" s="42"/>
      <c r="C216" s="806"/>
    </row>
    <row r="217" spans="1:3" x14ac:dyDescent="0.25">
      <c r="A217" s="806"/>
      <c r="B217" s="42"/>
      <c r="C217" s="806"/>
    </row>
    <row r="218" spans="1:3" x14ac:dyDescent="0.25">
      <c r="A218" s="806"/>
      <c r="B218" s="42"/>
      <c r="C218" s="806"/>
    </row>
    <row r="219" spans="1:3" x14ac:dyDescent="0.25">
      <c r="A219" s="806"/>
      <c r="B219" s="42"/>
      <c r="C219" s="806"/>
    </row>
    <row r="220" spans="1:3" x14ac:dyDescent="0.25">
      <c r="A220" s="806"/>
      <c r="B220" s="42"/>
      <c r="C220" s="806"/>
    </row>
    <row r="221" spans="1:3" x14ac:dyDescent="0.25">
      <c r="A221" s="806"/>
      <c r="B221" s="42"/>
      <c r="C221" s="806"/>
    </row>
    <row r="222" spans="1:3" x14ac:dyDescent="0.25">
      <c r="A222" s="806"/>
      <c r="B222" s="42"/>
      <c r="C222" s="806"/>
    </row>
    <row r="223" spans="1:3" x14ac:dyDescent="0.25">
      <c r="A223" s="806"/>
      <c r="B223" s="42"/>
      <c r="C223" s="806"/>
    </row>
    <row r="224" spans="1:3" x14ac:dyDescent="0.25">
      <c r="A224" s="806"/>
      <c r="B224" s="42"/>
      <c r="C224" s="806"/>
    </row>
    <row r="225" spans="1:3" x14ac:dyDescent="0.25">
      <c r="A225" s="806"/>
      <c r="B225" s="42"/>
      <c r="C225" s="806"/>
    </row>
    <row r="226" spans="1:3" x14ac:dyDescent="0.25">
      <c r="A226" s="806"/>
      <c r="B226" s="42"/>
      <c r="C226" s="806"/>
    </row>
    <row r="227" spans="1:3" x14ac:dyDescent="0.25">
      <c r="A227" s="806"/>
      <c r="B227" s="42"/>
      <c r="C227" s="806"/>
    </row>
    <row r="228" spans="1:3" x14ac:dyDescent="0.25">
      <c r="A228" s="806"/>
      <c r="B228" s="42"/>
      <c r="C228" s="806"/>
    </row>
    <row r="229" spans="1:3" x14ac:dyDescent="0.25">
      <c r="A229" s="806"/>
      <c r="B229" s="42"/>
      <c r="C229" s="806"/>
    </row>
    <row r="230" spans="1:3" x14ac:dyDescent="0.25">
      <c r="A230" s="806"/>
      <c r="B230" s="42"/>
      <c r="C230" s="806"/>
    </row>
    <row r="231" spans="1:3" x14ac:dyDescent="0.25">
      <c r="A231" s="806"/>
      <c r="B231" s="42"/>
      <c r="C231" s="806"/>
    </row>
    <row r="232" spans="1:3" x14ac:dyDescent="0.25">
      <c r="A232" s="806"/>
      <c r="B232" s="42"/>
      <c r="C232" s="806"/>
    </row>
    <row r="233" spans="1:3" x14ac:dyDescent="0.25">
      <c r="A233" s="806"/>
      <c r="B233" s="42"/>
      <c r="C233" s="806"/>
    </row>
    <row r="234" spans="1:3" x14ac:dyDescent="0.25">
      <c r="A234" s="806"/>
      <c r="B234" s="42"/>
      <c r="C234" s="806"/>
    </row>
    <row r="235" spans="1:3" x14ac:dyDescent="0.25">
      <c r="A235" s="806"/>
      <c r="B235" s="42"/>
      <c r="C235" s="806"/>
    </row>
    <row r="236" spans="1:3" x14ac:dyDescent="0.25">
      <c r="A236" s="806"/>
      <c r="B236" s="42"/>
      <c r="C236" s="806"/>
    </row>
    <row r="237" spans="1:3" x14ac:dyDescent="0.25">
      <c r="A237" s="806"/>
      <c r="B237" s="42"/>
      <c r="C237" s="806"/>
    </row>
    <row r="238" spans="1:3" x14ac:dyDescent="0.25">
      <c r="A238" s="806"/>
      <c r="B238" s="42"/>
      <c r="C238" s="806"/>
    </row>
    <row r="239" spans="1:3" x14ac:dyDescent="0.25">
      <c r="A239" s="806"/>
      <c r="B239" s="42"/>
      <c r="C239" s="806"/>
    </row>
    <row r="240" spans="1:3" x14ac:dyDescent="0.25">
      <c r="A240" s="806"/>
      <c r="B240" s="42"/>
      <c r="C240" s="806"/>
    </row>
    <row r="241" spans="1:3" x14ac:dyDescent="0.25">
      <c r="A241" s="806"/>
      <c r="B241" s="42"/>
      <c r="C241" s="806"/>
    </row>
    <row r="242" spans="1:3" x14ac:dyDescent="0.25">
      <c r="A242" s="806"/>
      <c r="B242" s="42"/>
      <c r="C242" s="806"/>
    </row>
    <row r="243" spans="1:3" x14ac:dyDescent="0.25">
      <c r="A243" s="806"/>
      <c r="B243" s="42"/>
      <c r="C243" s="806"/>
    </row>
    <row r="244" spans="1:3" x14ac:dyDescent="0.25">
      <c r="A244" s="806"/>
      <c r="B244" s="42"/>
      <c r="C244" s="806"/>
    </row>
    <row r="245" spans="1:3" x14ac:dyDescent="0.25">
      <c r="A245" s="806"/>
      <c r="B245" s="42"/>
      <c r="C245" s="806"/>
    </row>
    <row r="246" spans="1:3" x14ac:dyDescent="0.25">
      <c r="A246" s="806"/>
      <c r="B246" s="42"/>
      <c r="C246" s="806"/>
    </row>
    <row r="247" spans="1:3" x14ac:dyDescent="0.25">
      <c r="A247" s="806"/>
      <c r="B247" s="42"/>
      <c r="C247" s="806"/>
    </row>
    <row r="248" spans="1:3" x14ac:dyDescent="0.25">
      <c r="A248" s="806"/>
      <c r="B248" s="42"/>
      <c r="C248" s="806"/>
    </row>
    <row r="249" spans="1:3" x14ac:dyDescent="0.25">
      <c r="A249" s="806"/>
      <c r="B249" s="42"/>
      <c r="C249" s="806"/>
    </row>
    <row r="250" spans="1:3" x14ac:dyDescent="0.25">
      <c r="A250" s="806"/>
      <c r="B250" s="42"/>
      <c r="C250" s="806"/>
    </row>
    <row r="251" spans="1:3" x14ac:dyDescent="0.25">
      <c r="A251" s="806"/>
      <c r="B251" s="42"/>
      <c r="C251" s="806"/>
    </row>
    <row r="252" spans="1:3" x14ac:dyDescent="0.25">
      <c r="A252" s="806"/>
      <c r="B252" s="42"/>
      <c r="C252" s="806"/>
    </row>
    <row r="253" spans="1:3" x14ac:dyDescent="0.25">
      <c r="A253" s="806"/>
      <c r="B253" s="42"/>
      <c r="C253" s="806"/>
    </row>
    <row r="254" spans="1:3" x14ac:dyDescent="0.25">
      <c r="A254" s="806"/>
      <c r="B254" s="42"/>
      <c r="C254" s="806"/>
    </row>
    <row r="255" spans="1:3" x14ac:dyDescent="0.25">
      <c r="A255" s="806"/>
      <c r="B255" s="42"/>
      <c r="C255" s="806"/>
    </row>
    <row r="256" spans="1:3" x14ac:dyDescent="0.25">
      <c r="A256" s="806"/>
      <c r="B256" s="42"/>
      <c r="C256" s="806"/>
    </row>
    <row r="257" spans="1:3" x14ac:dyDescent="0.25">
      <c r="A257" s="806"/>
      <c r="B257" s="42"/>
      <c r="C257" s="806"/>
    </row>
    <row r="258" spans="1:3" x14ac:dyDescent="0.25">
      <c r="A258" s="806"/>
      <c r="B258" s="42"/>
      <c r="C258" s="806"/>
    </row>
    <row r="259" spans="1:3" x14ac:dyDescent="0.25">
      <c r="A259" s="806"/>
      <c r="B259" s="42"/>
      <c r="C259" s="806"/>
    </row>
    <row r="260" spans="1:3" x14ac:dyDescent="0.25">
      <c r="A260" s="806"/>
      <c r="B260" s="42"/>
      <c r="C260" s="806"/>
    </row>
    <row r="261" spans="1:3" x14ac:dyDescent="0.25">
      <c r="A261" s="806"/>
      <c r="B261" s="42"/>
      <c r="C261" s="806"/>
    </row>
    <row r="262" spans="1:3" x14ac:dyDescent="0.25">
      <c r="A262" s="806"/>
      <c r="B262" s="42"/>
      <c r="C262" s="806"/>
    </row>
    <row r="263" spans="1:3" x14ac:dyDescent="0.25">
      <c r="A263" s="806"/>
      <c r="B263" s="42"/>
      <c r="C263" s="806"/>
    </row>
    <row r="264" spans="1:3" x14ac:dyDescent="0.25">
      <c r="A264" s="806"/>
      <c r="B264" s="42"/>
      <c r="C264" s="806"/>
    </row>
    <row r="265" spans="1:3" x14ac:dyDescent="0.25">
      <c r="A265" s="806"/>
      <c r="B265" s="42"/>
      <c r="C265" s="806"/>
    </row>
    <row r="266" spans="1:3" x14ac:dyDescent="0.25">
      <c r="A266" s="806"/>
      <c r="B266" s="42"/>
      <c r="C266" s="806"/>
    </row>
    <row r="267" spans="1:3" x14ac:dyDescent="0.25">
      <c r="A267" s="806"/>
      <c r="B267" s="42"/>
      <c r="C267" s="806"/>
    </row>
    <row r="268" spans="1:3" x14ac:dyDescent="0.25">
      <c r="A268" s="806"/>
      <c r="B268" s="42"/>
      <c r="C268" s="806"/>
    </row>
    <row r="269" spans="1:3" x14ac:dyDescent="0.25">
      <c r="A269" s="806"/>
      <c r="B269" s="42"/>
      <c r="C269" s="806"/>
    </row>
    <row r="270" spans="1:3" x14ac:dyDescent="0.25">
      <c r="A270" s="806"/>
      <c r="B270" s="42"/>
      <c r="C270" s="806"/>
    </row>
    <row r="271" spans="1:3" x14ac:dyDescent="0.25">
      <c r="A271" s="806"/>
      <c r="B271" s="42"/>
      <c r="C271" s="806"/>
    </row>
    <row r="272" spans="1:3" x14ac:dyDescent="0.25">
      <c r="A272" s="806"/>
      <c r="B272" s="42"/>
      <c r="C272" s="806"/>
    </row>
    <row r="273" spans="1:3" x14ac:dyDescent="0.25">
      <c r="A273" s="806"/>
      <c r="B273" s="42"/>
      <c r="C273" s="806"/>
    </row>
    <row r="274" spans="1:3" x14ac:dyDescent="0.25">
      <c r="A274" s="806"/>
      <c r="B274" s="42"/>
      <c r="C274" s="806"/>
    </row>
    <row r="275" spans="1:3" x14ac:dyDescent="0.25">
      <c r="A275" s="806"/>
      <c r="B275" s="42"/>
      <c r="C275" s="806"/>
    </row>
    <row r="276" spans="1:3" x14ac:dyDescent="0.25">
      <c r="A276" s="806"/>
      <c r="B276" s="42"/>
      <c r="C276" s="806"/>
    </row>
    <row r="277" spans="1:3" x14ac:dyDescent="0.25">
      <c r="A277" s="806"/>
      <c r="B277" s="42"/>
      <c r="C277" s="806"/>
    </row>
    <row r="278" spans="1:3" x14ac:dyDescent="0.25">
      <c r="A278" s="806"/>
      <c r="B278" s="42"/>
      <c r="C278" s="806"/>
    </row>
    <row r="279" spans="1:3" x14ac:dyDescent="0.25">
      <c r="A279" s="806"/>
      <c r="B279" s="42"/>
      <c r="C279" s="806"/>
    </row>
    <row r="280" spans="1:3" x14ac:dyDescent="0.25">
      <c r="A280" s="806"/>
      <c r="B280" s="42"/>
      <c r="C280" s="806"/>
    </row>
    <row r="281" spans="1:3" x14ac:dyDescent="0.25">
      <c r="A281" s="806"/>
      <c r="B281" s="42"/>
      <c r="C281" s="806"/>
    </row>
    <row r="282" spans="1:3" x14ac:dyDescent="0.25">
      <c r="A282" s="806"/>
      <c r="B282" s="42"/>
      <c r="C282" s="806"/>
    </row>
    <row r="283" spans="1:3" x14ac:dyDescent="0.25">
      <c r="A283" s="806"/>
      <c r="B283" s="42"/>
      <c r="C283" s="806"/>
    </row>
    <row r="284" spans="1:3" x14ac:dyDescent="0.25">
      <c r="A284" s="806"/>
      <c r="B284" s="42"/>
      <c r="C284" s="806"/>
    </row>
    <row r="285" spans="1:3" x14ac:dyDescent="0.25">
      <c r="A285" s="806"/>
      <c r="B285" s="42"/>
      <c r="C285" s="806"/>
    </row>
    <row r="286" spans="1:3" x14ac:dyDescent="0.25">
      <c r="A286" s="806"/>
      <c r="B286" s="42"/>
      <c r="C286" s="806"/>
    </row>
    <row r="287" spans="1:3" x14ac:dyDescent="0.25">
      <c r="A287" s="806"/>
      <c r="B287" s="42"/>
      <c r="C287" s="806"/>
    </row>
    <row r="288" spans="1:3" x14ac:dyDescent="0.25">
      <c r="A288" s="806"/>
      <c r="B288" s="42"/>
      <c r="C288" s="806"/>
    </row>
    <row r="289" spans="1:3" x14ac:dyDescent="0.25">
      <c r="A289" s="806"/>
      <c r="B289" s="42"/>
      <c r="C289" s="806"/>
    </row>
    <row r="290" spans="1:3" x14ac:dyDescent="0.25">
      <c r="A290" s="806"/>
      <c r="B290" s="42"/>
      <c r="C290" s="806"/>
    </row>
    <row r="291" spans="1:3" x14ac:dyDescent="0.25">
      <c r="A291" s="806"/>
      <c r="B291" s="42"/>
      <c r="C291" s="806"/>
    </row>
    <row r="292" spans="1:3" x14ac:dyDescent="0.25">
      <c r="A292" s="806"/>
      <c r="B292" s="42"/>
      <c r="C292" s="806"/>
    </row>
    <row r="293" spans="1:3" x14ac:dyDescent="0.25">
      <c r="A293" s="806"/>
      <c r="B293" s="42"/>
      <c r="C293" s="806"/>
    </row>
    <row r="294" spans="1:3" x14ac:dyDescent="0.25">
      <c r="A294" s="806"/>
      <c r="B294" s="42"/>
      <c r="C294" s="806"/>
    </row>
    <row r="295" spans="1:3" x14ac:dyDescent="0.25">
      <c r="A295" s="806"/>
      <c r="B295" s="42"/>
      <c r="C295" s="806"/>
    </row>
    <row r="296" spans="1:3" x14ac:dyDescent="0.25">
      <c r="A296" s="806"/>
      <c r="B296" s="42"/>
      <c r="C296" s="806"/>
    </row>
    <row r="297" spans="1:3" x14ac:dyDescent="0.25">
      <c r="A297" s="806"/>
      <c r="B297" s="42"/>
      <c r="C297" s="806"/>
    </row>
    <row r="298" spans="1:3" x14ac:dyDescent="0.25">
      <c r="A298" s="806"/>
      <c r="B298" s="42"/>
      <c r="C298" s="806"/>
    </row>
    <row r="299" spans="1:3" x14ac:dyDescent="0.25">
      <c r="A299" s="806"/>
      <c r="B299" s="42"/>
      <c r="C299" s="806"/>
    </row>
    <row r="300" spans="1:3" x14ac:dyDescent="0.25">
      <c r="A300" s="806"/>
      <c r="B300" s="42"/>
      <c r="C300" s="806"/>
    </row>
    <row r="301" spans="1:3" x14ac:dyDescent="0.25">
      <c r="A301" s="806"/>
      <c r="B301" s="42"/>
      <c r="C301" s="806"/>
    </row>
    <row r="302" spans="1:3" x14ac:dyDescent="0.25">
      <c r="A302" s="806"/>
      <c r="B302" s="42"/>
      <c r="C302" s="806"/>
    </row>
    <row r="303" spans="1:3" x14ac:dyDescent="0.25">
      <c r="A303" s="806"/>
      <c r="B303" s="42"/>
      <c r="C303" s="806"/>
    </row>
    <row r="304" spans="1:3" x14ac:dyDescent="0.25">
      <c r="A304" s="806"/>
      <c r="B304" s="42"/>
      <c r="C304" s="806"/>
    </row>
    <row r="305" spans="1:3" x14ac:dyDescent="0.25">
      <c r="A305" s="806"/>
      <c r="B305" s="42"/>
      <c r="C305" s="806"/>
    </row>
    <row r="306" spans="1:3" x14ac:dyDescent="0.25">
      <c r="A306" s="806"/>
      <c r="B306" s="42"/>
      <c r="C306" s="806"/>
    </row>
    <row r="307" spans="1:3" x14ac:dyDescent="0.25">
      <c r="A307" s="806"/>
      <c r="B307" s="42"/>
      <c r="C307" s="806"/>
    </row>
    <row r="308" spans="1:3" x14ac:dyDescent="0.25">
      <c r="A308" s="806"/>
      <c r="B308" s="42"/>
      <c r="C308" s="806"/>
    </row>
    <row r="309" spans="1:3" x14ac:dyDescent="0.25">
      <c r="A309" s="806"/>
      <c r="B309" s="42"/>
      <c r="C309" s="806"/>
    </row>
    <row r="310" spans="1:3" x14ac:dyDescent="0.25">
      <c r="A310" s="806"/>
      <c r="B310" s="42"/>
      <c r="C310" s="806"/>
    </row>
    <row r="311" spans="1:3" x14ac:dyDescent="0.25">
      <c r="A311" s="806"/>
      <c r="B311" s="42"/>
      <c r="C311" s="806"/>
    </row>
    <row r="312" spans="1:3" x14ac:dyDescent="0.25">
      <c r="A312" s="806"/>
      <c r="B312" s="42"/>
      <c r="C312" s="806"/>
    </row>
    <row r="313" spans="1:3" x14ac:dyDescent="0.25">
      <c r="A313" s="806"/>
      <c r="B313" s="42"/>
      <c r="C313" s="806"/>
    </row>
    <row r="314" spans="1:3" x14ac:dyDescent="0.25">
      <c r="A314" s="806"/>
      <c r="B314" s="42"/>
      <c r="C314" s="806"/>
    </row>
    <row r="315" spans="1:3" x14ac:dyDescent="0.25">
      <c r="A315" s="806"/>
      <c r="B315" s="42"/>
      <c r="C315" s="806"/>
    </row>
    <row r="316" spans="1:3" x14ac:dyDescent="0.25">
      <c r="A316" s="806"/>
      <c r="B316" s="42"/>
      <c r="C316" s="806"/>
    </row>
    <row r="317" spans="1:3" x14ac:dyDescent="0.25">
      <c r="A317" s="806"/>
      <c r="B317" s="42"/>
      <c r="C317" s="806"/>
    </row>
    <row r="318" spans="1:3" x14ac:dyDescent="0.25">
      <c r="A318" s="806"/>
      <c r="B318" s="42"/>
      <c r="C318" s="806"/>
    </row>
    <row r="319" spans="1:3" x14ac:dyDescent="0.25">
      <c r="A319" s="806"/>
      <c r="B319" s="42"/>
      <c r="C319" s="806"/>
    </row>
    <row r="320" spans="1:3" x14ac:dyDescent="0.25">
      <c r="A320" s="806"/>
      <c r="B320" s="42"/>
      <c r="C320" s="806"/>
    </row>
    <row r="321" spans="1:3" x14ac:dyDescent="0.25">
      <c r="A321" s="806"/>
      <c r="B321" s="42"/>
      <c r="C321" s="806"/>
    </row>
    <row r="322" spans="1:3" x14ac:dyDescent="0.25">
      <c r="A322" s="806"/>
      <c r="B322" s="42"/>
      <c r="C322" s="806"/>
    </row>
    <row r="323" spans="1:3" x14ac:dyDescent="0.25">
      <c r="A323" s="806"/>
      <c r="B323" s="42"/>
      <c r="C323" s="806"/>
    </row>
    <row r="324" spans="1:3" x14ac:dyDescent="0.25">
      <c r="A324" s="806"/>
      <c r="B324" s="42"/>
      <c r="C324" s="806"/>
    </row>
    <row r="325" spans="1:3" x14ac:dyDescent="0.25">
      <c r="A325" s="806"/>
      <c r="B325" s="42"/>
      <c r="C325" s="806"/>
    </row>
    <row r="326" spans="1:3" x14ac:dyDescent="0.25">
      <c r="A326" s="806"/>
      <c r="B326" s="42"/>
      <c r="C326" s="806"/>
    </row>
    <row r="327" spans="1:3" x14ac:dyDescent="0.25">
      <c r="A327" s="806"/>
      <c r="B327" s="42"/>
      <c r="C327" s="806"/>
    </row>
    <row r="328" spans="1:3" x14ac:dyDescent="0.25">
      <c r="A328" s="806"/>
      <c r="B328" s="42"/>
      <c r="C328" s="806"/>
    </row>
    <row r="329" spans="1:3" x14ac:dyDescent="0.25">
      <c r="A329" s="806"/>
      <c r="B329" s="42"/>
      <c r="C329" s="806"/>
    </row>
    <row r="330" spans="1:3" x14ac:dyDescent="0.25">
      <c r="A330" s="806"/>
      <c r="B330" s="42"/>
      <c r="C330" s="806"/>
    </row>
    <row r="331" spans="1:3" x14ac:dyDescent="0.25">
      <c r="A331" s="806"/>
      <c r="B331" s="42"/>
      <c r="C331" s="806"/>
    </row>
    <row r="332" spans="1:3" x14ac:dyDescent="0.25">
      <c r="A332" s="806"/>
      <c r="B332" s="42"/>
      <c r="C332" s="806"/>
    </row>
    <row r="333" spans="1:3" x14ac:dyDescent="0.25">
      <c r="A333" s="806"/>
      <c r="B333" s="42"/>
      <c r="C333" s="806"/>
    </row>
    <row r="334" spans="1:3" x14ac:dyDescent="0.25">
      <c r="A334" s="806"/>
      <c r="B334" s="42"/>
      <c r="C334" s="806"/>
    </row>
    <row r="335" spans="1:3" x14ac:dyDescent="0.25">
      <c r="A335" s="806"/>
      <c r="B335" s="42"/>
      <c r="C335" s="806"/>
    </row>
    <row r="336" spans="1:3" x14ac:dyDescent="0.25">
      <c r="A336" s="806"/>
      <c r="B336" s="42"/>
      <c r="C336" s="806"/>
    </row>
    <row r="337" spans="1:3" x14ac:dyDescent="0.25">
      <c r="A337" s="806"/>
      <c r="B337" s="42"/>
      <c r="C337" s="806"/>
    </row>
    <row r="338" spans="1:3" x14ac:dyDescent="0.25">
      <c r="A338" s="806"/>
      <c r="B338" s="42"/>
      <c r="C338" s="806"/>
    </row>
    <row r="339" spans="1:3" x14ac:dyDescent="0.25">
      <c r="A339" s="806"/>
      <c r="B339" s="42"/>
      <c r="C339" s="806"/>
    </row>
    <row r="340" spans="1:3" x14ac:dyDescent="0.25">
      <c r="A340" s="806"/>
      <c r="B340" s="42"/>
      <c r="C340" s="806"/>
    </row>
    <row r="341" spans="1:3" x14ac:dyDescent="0.25">
      <c r="A341" s="806"/>
      <c r="B341" s="42"/>
      <c r="C341" s="806"/>
    </row>
    <row r="342" spans="1:3" x14ac:dyDescent="0.25">
      <c r="A342" s="806"/>
      <c r="B342" s="42"/>
      <c r="C342" s="806"/>
    </row>
    <row r="343" spans="1:3" x14ac:dyDescent="0.25">
      <c r="A343" s="806"/>
      <c r="B343" s="42"/>
      <c r="C343" s="806"/>
    </row>
    <row r="344" spans="1:3" x14ac:dyDescent="0.25">
      <c r="A344" s="806"/>
      <c r="B344" s="42"/>
      <c r="C344" s="806"/>
    </row>
    <row r="345" spans="1:3" x14ac:dyDescent="0.25">
      <c r="A345" s="806"/>
      <c r="B345" s="42"/>
      <c r="C345" s="806"/>
    </row>
    <row r="346" spans="1:3" x14ac:dyDescent="0.25">
      <c r="A346" s="806"/>
      <c r="B346" s="42"/>
      <c r="C346" s="806"/>
    </row>
    <row r="347" spans="1:3" x14ac:dyDescent="0.25">
      <c r="A347" s="806"/>
      <c r="B347" s="42"/>
      <c r="C347" s="806"/>
    </row>
    <row r="348" spans="1:3" x14ac:dyDescent="0.25">
      <c r="A348" s="806"/>
      <c r="B348" s="42"/>
      <c r="C348" s="806"/>
    </row>
    <row r="349" spans="1:3" x14ac:dyDescent="0.25">
      <c r="A349" s="806"/>
      <c r="B349" s="42"/>
      <c r="C349" s="806"/>
    </row>
    <row r="350" spans="1:3" x14ac:dyDescent="0.25">
      <c r="A350" s="806"/>
      <c r="B350" s="42"/>
      <c r="C350" s="806"/>
    </row>
    <row r="351" spans="1:3" x14ac:dyDescent="0.25">
      <c r="A351" s="806"/>
      <c r="B351" s="42"/>
      <c r="C351" s="806"/>
    </row>
    <row r="352" spans="1:3" x14ac:dyDescent="0.25">
      <c r="A352" s="806"/>
      <c r="B352" s="42"/>
      <c r="C352" s="806"/>
    </row>
    <row r="353" spans="1:3" x14ac:dyDescent="0.25">
      <c r="A353" s="806"/>
      <c r="B353" s="42"/>
      <c r="C353" s="806"/>
    </row>
    <row r="354" spans="1:3" x14ac:dyDescent="0.25">
      <c r="A354" s="806"/>
      <c r="B354" s="42"/>
      <c r="C354" s="806"/>
    </row>
    <row r="355" spans="1:3" x14ac:dyDescent="0.25">
      <c r="A355" s="806"/>
      <c r="B355" s="42"/>
      <c r="C355" s="806"/>
    </row>
    <row r="356" spans="1:3" x14ac:dyDescent="0.25">
      <c r="A356" s="806"/>
      <c r="B356" s="42"/>
      <c r="C356" s="806"/>
    </row>
    <row r="357" spans="1:3" x14ac:dyDescent="0.25">
      <c r="A357" s="806"/>
      <c r="B357" s="42"/>
      <c r="C357" s="806"/>
    </row>
    <row r="358" spans="1:3" x14ac:dyDescent="0.25">
      <c r="A358" s="806"/>
      <c r="B358" s="42"/>
      <c r="C358" s="806"/>
    </row>
    <row r="359" spans="1:3" x14ac:dyDescent="0.25">
      <c r="A359" s="806"/>
      <c r="B359" s="42"/>
      <c r="C359" s="806"/>
    </row>
    <row r="360" spans="1:3" x14ac:dyDescent="0.25">
      <c r="A360" s="806"/>
      <c r="B360" s="42"/>
      <c r="C360" s="806"/>
    </row>
    <row r="361" spans="1:3" x14ac:dyDescent="0.25">
      <c r="A361" s="806"/>
      <c r="B361" s="42"/>
      <c r="C361" s="806"/>
    </row>
    <row r="362" spans="1:3" x14ac:dyDescent="0.25">
      <c r="A362" s="806"/>
      <c r="B362" s="42"/>
      <c r="C362" s="806"/>
    </row>
    <row r="363" spans="1:3" x14ac:dyDescent="0.25">
      <c r="A363" s="806"/>
      <c r="B363" s="42"/>
      <c r="C363" s="806"/>
    </row>
    <row r="364" spans="1:3" x14ac:dyDescent="0.25">
      <c r="A364" s="806"/>
      <c r="B364" s="42"/>
      <c r="C364" s="806"/>
    </row>
    <row r="365" spans="1:3" x14ac:dyDescent="0.25">
      <c r="A365" s="806"/>
      <c r="B365" s="42"/>
      <c r="C365" s="806"/>
    </row>
    <row r="366" spans="1:3" x14ac:dyDescent="0.25">
      <c r="A366" s="806"/>
      <c r="B366" s="42"/>
      <c r="C366" s="806"/>
    </row>
    <row r="367" spans="1:3" x14ac:dyDescent="0.25">
      <c r="A367" s="806"/>
      <c r="B367" s="42"/>
      <c r="C367" s="806"/>
    </row>
    <row r="368" spans="1:3" x14ac:dyDescent="0.25">
      <c r="A368" s="806"/>
      <c r="B368" s="42"/>
      <c r="C368" s="806"/>
    </row>
    <row r="369" spans="1:3" x14ac:dyDescent="0.25">
      <c r="A369" s="806"/>
      <c r="B369" s="42"/>
      <c r="C369" s="806"/>
    </row>
    <row r="370" spans="1:3" x14ac:dyDescent="0.25">
      <c r="A370" s="806"/>
      <c r="B370" s="42"/>
      <c r="C370" s="806"/>
    </row>
    <row r="371" spans="1:3" x14ac:dyDescent="0.25">
      <c r="A371" s="806"/>
      <c r="B371" s="42"/>
      <c r="C371" s="806"/>
    </row>
    <row r="372" spans="1:3" x14ac:dyDescent="0.25">
      <c r="A372" s="806"/>
      <c r="B372" s="42"/>
      <c r="C372" s="806"/>
    </row>
    <row r="373" spans="1:3" x14ac:dyDescent="0.25">
      <c r="A373" s="806"/>
      <c r="B373" s="42"/>
      <c r="C373" s="806"/>
    </row>
    <row r="374" spans="1:3" x14ac:dyDescent="0.25">
      <c r="A374" s="806"/>
      <c r="B374" s="42"/>
      <c r="C374" s="806"/>
    </row>
    <row r="375" spans="1:3" x14ac:dyDescent="0.25">
      <c r="A375" s="806"/>
      <c r="B375" s="42"/>
      <c r="C375" s="806"/>
    </row>
    <row r="376" spans="1:3" x14ac:dyDescent="0.25">
      <c r="A376" s="806"/>
      <c r="B376" s="42"/>
      <c r="C376" s="806"/>
    </row>
    <row r="377" spans="1:3" x14ac:dyDescent="0.25">
      <c r="A377" s="806"/>
      <c r="B377" s="42"/>
      <c r="C377" s="806"/>
    </row>
    <row r="378" spans="1:3" x14ac:dyDescent="0.25">
      <c r="A378" s="806"/>
      <c r="B378" s="42"/>
      <c r="C378" s="806"/>
    </row>
    <row r="379" spans="1:3" x14ac:dyDescent="0.25">
      <c r="A379" s="806"/>
      <c r="B379" s="42"/>
      <c r="C379" s="806"/>
    </row>
    <row r="380" spans="1:3" x14ac:dyDescent="0.25">
      <c r="A380" s="806"/>
      <c r="B380" s="42"/>
      <c r="C380" s="806"/>
    </row>
    <row r="381" spans="1:3" x14ac:dyDescent="0.25">
      <c r="A381" s="806"/>
      <c r="B381" s="42"/>
      <c r="C381" s="806"/>
    </row>
    <row r="382" spans="1:3" x14ac:dyDescent="0.25">
      <c r="A382" s="806"/>
      <c r="B382" s="42"/>
      <c r="C382" s="806"/>
    </row>
    <row r="383" spans="1:3" x14ac:dyDescent="0.25">
      <c r="A383" s="806"/>
      <c r="B383" s="42"/>
      <c r="C383" s="806"/>
    </row>
    <row r="384" spans="1:3" x14ac:dyDescent="0.25">
      <c r="A384" s="806"/>
      <c r="B384" s="42"/>
      <c r="C384" s="806"/>
    </row>
    <row r="385" spans="1:3" x14ac:dyDescent="0.25">
      <c r="A385" s="806"/>
      <c r="B385" s="42"/>
      <c r="C385" s="806"/>
    </row>
    <row r="386" spans="1:3" x14ac:dyDescent="0.25">
      <c r="A386" s="806"/>
      <c r="B386" s="42"/>
      <c r="C386" s="806"/>
    </row>
    <row r="387" spans="1:3" x14ac:dyDescent="0.25">
      <c r="A387" s="806"/>
      <c r="B387" s="42"/>
      <c r="C387" s="806"/>
    </row>
    <row r="388" spans="1:3" x14ac:dyDescent="0.25">
      <c r="A388" s="806"/>
      <c r="B388" s="42"/>
      <c r="C388" s="806"/>
    </row>
    <row r="389" spans="1:3" x14ac:dyDescent="0.25">
      <c r="A389" s="806"/>
      <c r="B389" s="42"/>
      <c r="C389" s="806"/>
    </row>
    <row r="390" spans="1:3" x14ac:dyDescent="0.25">
      <c r="A390" s="806"/>
      <c r="B390" s="42"/>
      <c r="C390" s="806"/>
    </row>
    <row r="391" spans="1:3" x14ac:dyDescent="0.25">
      <c r="A391" s="806"/>
      <c r="B391" s="42"/>
      <c r="C391" s="806"/>
    </row>
    <row r="392" spans="1:3" x14ac:dyDescent="0.25">
      <c r="A392" s="806"/>
      <c r="B392" s="42"/>
      <c r="C392" s="806"/>
    </row>
    <row r="393" spans="1:3" x14ac:dyDescent="0.25">
      <c r="A393" s="806"/>
      <c r="B393" s="42"/>
      <c r="C393" s="806"/>
    </row>
    <row r="394" spans="1:3" x14ac:dyDescent="0.25">
      <c r="A394" s="806"/>
      <c r="B394" s="42"/>
      <c r="C394" s="806"/>
    </row>
    <row r="395" spans="1:3" x14ac:dyDescent="0.25">
      <c r="A395" s="806"/>
      <c r="B395" s="42"/>
      <c r="C395" s="806"/>
    </row>
    <row r="396" spans="1:3" x14ac:dyDescent="0.25">
      <c r="A396" s="806"/>
      <c r="B396" s="42"/>
      <c r="C396" s="806"/>
    </row>
    <row r="397" spans="1:3" x14ac:dyDescent="0.25">
      <c r="A397" s="806"/>
      <c r="B397" s="42"/>
      <c r="C397" s="806"/>
    </row>
    <row r="398" spans="1:3" x14ac:dyDescent="0.25">
      <c r="A398" s="806"/>
      <c r="B398" s="42"/>
      <c r="C398" s="806"/>
    </row>
    <row r="399" spans="1:3" x14ac:dyDescent="0.25">
      <c r="A399" s="806"/>
      <c r="B399" s="42"/>
      <c r="C399" s="806"/>
    </row>
    <row r="400" spans="1:3" x14ac:dyDescent="0.25">
      <c r="A400" s="806"/>
      <c r="B400" s="42"/>
      <c r="C400" s="806"/>
    </row>
    <row r="401" spans="1:3" x14ac:dyDescent="0.25">
      <c r="A401" s="806"/>
      <c r="B401" s="42"/>
      <c r="C401" s="806"/>
    </row>
    <row r="402" spans="1:3" x14ac:dyDescent="0.25">
      <c r="A402" s="806"/>
      <c r="B402" s="42"/>
      <c r="C402" s="806"/>
    </row>
    <row r="403" spans="1:3" x14ac:dyDescent="0.25">
      <c r="A403" s="806"/>
      <c r="B403" s="42"/>
      <c r="C403" s="806"/>
    </row>
    <row r="404" spans="1:3" x14ac:dyDescent="0.25">
      <c r="A404" s="806"/>
      <c r="B404" s="42"/>
      <c r="C404" s="806"/>
    </row>
    <row r="405" spans="1:3" x14ac:dyDescent="0.25">
      <c r="A405" s="806"/>
      <c r="B405" s="42"/>
      <c r="C405" s="806"/>
    </row>
    <row r="406" spans="1:3" x14ac:dyDescent="0.25">
      <c r="A406" s="806"/>
      <c r="B406" s="42"/>
      <c r="C406" s="806"/>
    </row>
    <row r="407" spans="1:3" x14ac:dyDescent="0.25">
      <c r="A407" s="806"/>
      <c r="B407" s="42"/>
      <c r="C407" s="806"/>
    </row>
    <row r="408" spans="1:3" x14ac:dyDescent="0.25">
      <c r="A408" s="806"/>
      <c r="B408" s="42"/>
      <c r="C408" s="806"/>
    </row>
    <row r="409" spans="1:3" x14ac:dyDescent="0.25">
      <c r="A409" s="806"/>
      <c r="B409" s="42"/>
      <c r="C409" s="806"/>
    </row>
    <row r="410" spans="1:3" x14ac:dyDescent="0.25">
      <c r="A410" s="806"/>
      <c r="B410" s="42"/>
      <c r="C410" s="806"/>
    </row>
    <row r="411" spans="1:3" x14ac:dyDescent="0.25">
      <c r="A411" s="806"/>
      <c r="B411" s="42"/>
      <c r="C411" s="806"/>
    </row>
    <row r="412" spans="1:3" x14ac:dyDescent="0.25">
      <c r="A412" s="806"/>
      <c r="B412" s="42"/>
      <c r="C412" s="806"/>
    </row>
    <row r="413" spans="1:3" x14ac:dyDescent="0.25">
      <c r="A413" s="806"/>
      <c r="B413" s="42"/>
      <c r="C413" s="806"/>
    </row>
    <row r="414" spans="1:3" x14ac:dyDescent="0.25">
      <c r="A414" s="806"/>
      <c r="B414" s="42"/>
      <c r="C414" s="806"/>
    </row>
    <row r="415" spans="1:3" x14ac:dyDescent="0.25">
      <c r="A415" s="806"/>
      <c r="B415" s="42"/>
      <c r="C415" s="806"/>
    </row>
    <row r="416" spans="1:3" x14ac:dyDescent="0.25">
      <c r="A416" s="806"/>
      <c r="B416" s="42"/>
      <c r="C416" s="806"/>
    </row>
    <row r="417" spans="1:3" x14ac:dyDescent="0.25">
      <c r="A417" s="806"/>
      <c r="B417" s="42"/>
      <c r="C417" s="806"/>
    </row>
    <row r="418" spans="1:3" x14ac:dyDescent="0.25">
      <c r="A418" s="806"/>
      <c r="B418" s="42"/>
      <c r="C418" s="806"/>
    </row>
    <row r="419" spans="1:3" x14ac:dyDescent="0.25">
      <c r="A419" s="806"/>
      <c r="B419" s="42"/>
      <c r="C419" s="806"/>
    </row>
    <row r="420" spans="1:3" x14ac:dyDescent="0.25">
      <c r="A420" s="806"/>
      <c r="B420" s="42"/>
      <c r="C420" s="806"/>
    </row>
    <row r="421" spans="1:3" x14ac:dyDescent="0.25">
      <c r="A421" s="806"/>
      <c r="B421" s="42"/>
      <c r="C421" s="806"/>
    </row>
    <row r="422" spans="1:3" x14ac:dyDescent="0.25">
      <c r="A422" s="806"/>
      <c r="B422" s="42"/>
      <c r="C422" s="806"/>
    </row>
    <row r="423" spans="1:3" x14ac:dyDescent="0.25">
      <c r="A423" s="806"/>
      <c r="B423" s="42"/>
      <c r="C423" s="806"/>
    </row>
    <row r="424" spans="1:3" x14ac:dyDescent="0.25">
      <c r="A424" s="806"/>
      <c r="B424" s="42"/>
      <c r="C424" s="806"/>
    </row>
    <row r="425" spans="1:3" x14ac:dyDescent="0.25">
      <c r="A425" s="806"/>
      <c r="B425" s="42"/>
      <c r="C425" s="806"/>
    </row>
    <row r="426" spans="1:3" x14ac:dyDescent="0.25">
      <c r="A426" s="806"/>
      <c r="B426" s="42"/>
      <c r="C426" s="806"/>
    </row>
    <row r="427" spans="1:3" x14ac:dyDescent="0.25">
      <c r="A427" s="806"/>
      <c r="B427" s="42"/>
      <c r="C427" s="806"/>
    </row>
    <row r="428" spans="1:3" x14ac:dyDescent="0.25">
      <c r="A428" s="806"/>
      <c r="B428" s="42"/>
      <c r="C428" s="806"/>
    </row>
    <row r="429" spans="1:3" x14ac:dyDescent="0.25">
      <c r="A429" s="806"/>
      <c r="B429" s="42"/>
      <c r="C429" s="806"/>
    </row>
    <row r="430" spans="1:3" x14ac:dyDescent="0.25">
      <c r="A430" s="806"/>
      <c r="B430" s="42"/>
      <c r="C430" s="806"/>
    </row>
    <row r="431" spans="1:3" x14ac:dyDescent="0.25">
      <c r="A431" s="806"/>
      <c r="B431" s="42"/>
      <c r="C431" s="806"/>
    </row>
    <row r="432" spans="1:3" x14ac:dyDescent="0.25">
      <c r="A432" s="806"/>
      <c r="B432" s="42"/>
      <c r="C432" s="806"/>
    </row>
    <row r="433" spans="1:3" x14ac:dyDescent="0.25">
      <c r="A433" s="806"/>
      <c r="B433" s="42"/>
      <c r="C433" s="806"/>
    </row>
    <row r="434" spans="1:3" x14ac:dyDescent="0.25">
      <c r="A434" s="806"/>
      <c r="B434" s="42"/>
      <c r="C434" s="806"/>
    </row>
    <row r="435" spans="1:3" x14ac:dyDescent="0.25">
      <c r="A435" s="806"/>
      <c r="B435" s="42"/>
      <c r="C435" s="806"/>
    </row>
    <row r="436" spans="1:3" x14ac:dyDescent="0.25">
      <c r="A436" s="806"/>
      <c r="B436" s="42"/>
      <c r="C436" s="806"/>
    </row>
    <row r="437" spans="1:3" x14ac:dyDescent="0.25">
      <c r="A437" s="806"/>
      <c r="B437" s="42"/>
      <c r="C437" s="806"/>
    </row>
    <row r="438" spans="1:3" x14ac:dyDescent="0.25">
      <c r="A438" s="806"/>
      <c r="B438" s="42"/>
      <c r="C438" s="806"/>
    </row>
    <row r="439" spans="1:3" x14ac:dyDescent="0.25">
      <c r="A439" s="806"/>
      <c r="B439" s="42"/>
      <c r="C439" s="806"/>
    </row>
    <row r="440" spans="1:3" x14ac:dyDescent="0.25">
      <c r="A440" s="806"/>
      <c r="B440" s="42"/>
      <c r="C440" s="806"/>
    </row>
    <row r="441" spans="1:3" x14ac:dyDescent="0.25">
      <c r="A441" s="806"/>
      <c r="B441" s="42"/>
      <c r="C441" s="806"/>
    </row>
    <row r="442" spans="1:3" x14ac:dyDescent="0.25">
      <c r="A442" s="806"/>
      <c r="B442" s="42"/>
      <c r="C442" s="806"/>
    </row>
    <row r="443" spans="1:3" x14ac:dyDescent="0.25">
      <c r="A443" s="806"/>
      <c r="B443" s="42"/>
      <c r="C443" s="806"/>
    </row>
    <row r="444" spans="1:3" x14ac:dyDescent="0.25">
      <c r="A444" s="806"/>
      <c r="B444" s="42"/>
      <c r="C444" s="806"/>
    </row>
    <row r="445" spans="1:3" x14ac:dyDescent="0.25">
      <c r="A445" s="806"/>
      <c r="B445" s="42"/>
      <c r="C445" s="806"/>
    </row>
    <row r="446" spans="1:3" x14ac:dyDescent="0.25">
      <c r="A446" s="806"/>
      <c r="B446" s="42"/>
      <c r="C446" s="806"/>
    </row>
    <row r="447" spans="1:3" x14ac:dyDescent="0.25">
      <c r="A447" s="806"/>
      <c r="B447" s="42"/>
      <c r="C447" s="806"/>
    </row>
    <row r="448" spans="1:3" x14ac:dyDescent="0.25">
      <c r="A448" s="806"/>
      <c r="B448" s="42"/>
      <c r="C448" s="806"/>
    </row>
    <row r="449" spans="1:3" x14ac:dyDescent="0.25">
      <c r="A449" s="806"/>
      <c r="B449" s="42"/>
      <c r="C449" s="806"/>
    </row>
    <row r="450" spans="1:3" x14ac:dyDescent="0.25">
      <c r="A450" s="806"/>
      <c r="B450" s="42"/>
      <c r="C450" s="806"/>
    </row>
    <row r="451" spans="1:3" x14ac:dyDescent="0.25">
      <c r="A451" s="806"/>
      <c r="B451" s="42"/>
      <c r="C451" s="806"/>
    </row>
    <row r="452" spans="1:3" x14ac:dyDescent="0.25">
      <c r="A452" s="806"/>
      <c r="B452" s="42"/>
      <c r="C452" s="806"/>
    </row>
    <row r="453" spans="1:3" x14ac:dyDescent="0.25">
      <c r="A453" s="806"/>
      <c r="B453" s="42"/>
      <c r="C453" s="806"/>
    </row>
    <row r="454" spans="1:3" x14ac:dyDescent="0.25">
      <c r="A454" s="806"/>
      <c r="B454" s="42"/>
      <c r="C454" s="806"/>
    </row>
    <row r="455" spans="1:3" x14ac:dyDescent="0.25">
      <c r="A455" s="806"/>
      <c r="B455" s="42"/>
      <c r="C455" s="806"/>
    </row>
    <row r="456" spans="1:3" x14ac:dyDescent="0.25">
      <c r="A456" s="806"/>
      <c r="B456" s="42"/>
      <c r="C456" s="806"/>
    </row>
    <row r="457" spans="1:3" x14ac:dyDescent="0.25">
      <c r="A457" s="806"/>
      <c r="B457" s="42"/>
      <c r="C457" s="806"/>
    </row>
    <row r="458" spans="1:3" x14ac:dyDescent="0.25">
      <c r="A458" s="806"/>
      <c r="B458" s="42"/>
      <c r="C458" s="806"/>
    </row>
    <row r="459" spans="1:3" x14ac:dyDescent="0.25">
      <c r="A459" s="806"/>
      <c r="B459" s="42"/>
      <c r="C459" s="806"/>
    </row>
    <row r="460" spans="1:3" x14ac:dyDescent="0.25">
      <c r="A460" s="806"/>
      <c r="B460" s="42"/>
      <c r="C460" s="806"/>
    </row>
    <row r="461" spans="1:3" x14ac:dyDescent="0.25">
      <c r="A461" s="806"/>
      <c r="B461" s="42"/>
      <c r="C461" s="806"/>
    </row>
    <row r="462" spans="1:3" x14ac:dyDescent="0.25">
      <c r="A462" s="806"/>
      <c r="B462" s="42"/>
      <c r="C462" s="806"/>
    </row>
    <row r="463" spans="1:3" x14ac:dyDescent="0.25">
      <c r="A463" s="806"/>
      <c r="B463" s="42"/>
      <c r="C463" s="806"/>
    </row>
    <row r="464" spans="1:3" x14ac:dyDescent="0.25">
      <c r="A464" s="806"/>
      <c r="B464" s="42"/>
      <c r="C464" s="806"/>
    </row>
    <row r="465" spans="1:3" x14ac:dyDescent="0.25">
      <c r="A465" s="806"/>
      <c r="B465" s="42"/>
      <c r="C465" s="806"/>
    </row>
    <row r="466" spans="1:3" x14ac:dyDescent="0.25">
      <c r="A466" s="806"/>
      <c r="B466" s="42"/>
      <c r="C466" s="806"/>
    </row>
    <row r="467" spans="1:3" x14ac:dyDescent="0.25">
      <c r="A467" s="806"/>
      <c r="B467" s="42"/>
      <c r="C467" s="806"/>
    </row>
    <row r="468" spans="1:3" x14ac:dyDescent="0.25">
      <c r="A468" s="806"/>
      <c r="B468" s="42"/>
      <c r="C468" s="806"/>
    </row>
    <row r="469" spans="1:3" x14ac:dyDescent="0.25">
      <c r="A469" s="806"/>
      <c r="B469" s="42"/>
      <c r="C469" s="806"/>
    </row>
    <row r="470" spans="1:3" x14ac:dyDescent="0.25">
      <c r="A470" s="806"/>
      <c r="B470" s="42"/>
      <c r="C470" s="806"/>
    </row>
    <row r="471" spans="1:3" x14ac:dyDescent="0.25">
      <c r="A471" s="806"/>
      <c r="B471" s="42"/>
      <c r="C471" s="806"/>
    </row>
    <row r="472" spans="1:3" x14ac:dyDescent="0.25">
      <c r="A472" s="806"/>
      <c r="B472" s="42"/>
      <c r="C472" s="806"/>
    </row>
    <row r="473" spans="1:3" x14ac:dyDescent="0.25">
      <c r="A473" s="806"/>
      <c r="B473" s="42"/>
      <c r="C473" s="806"/>
    </row>
    <row r="474" spans="1:3" x14ac:dyDescent="0.25">
      <c r="A474" s="806"/>
      <c r="B474" s="42"/>
      <c r="C474" s="806"/>
    </row>
    <row r="475" spans="1:3" x14ac:dyDescent="0.25">
      <c r="A475" s="806"/>
      <c r="B475" s="42"/>
      <c r="C475" s="806"/>
    </row>
    <row r="476" spans="1:3" x14ac:dyDescent="0.25">
      <c r="A476" s="806"/>
      <c r="B476" s="42"/>
      <c r="C476" s="806"/>
    </row>
    <row r="477" spans="1:3" x14ac:dyDescent="0.25">
      <c r="A477" s="806"/>
      <c r="B477" s="42"/>
      <c r="C477" s="806"/>
    </row>
    <row r="478" spans="1:3" x14ac:dyDescent="0.25">
      <c r="A478" s="806"/>
      <c r="B478" s="42"/>
      <c r="C478" s="806"/>
    </row>
    <row r="479" spans="1:3" x14ac:dyDescent="0.25">
      <c r="A479" s="806"/>
      <c r="B479" s="42"/>
      <c r="C479" s="806"/>
    </row>
    <row r="480" spans="1:3" x14ac:dyDescent="0.25">
      <c r="A480" s="806"/>
      <c r="B480" s="42"/>
      <c r="C480" s="806"/>
    </row>
    <row r="481" spans="1:3" x14ac:dyDescent="0.25">
      <c r="A481" s="806"/>
      <c r="B481" s="42"/>
      <c r="C481" s="806"/>
    </row>
    <row r="482" spans="1:3" x14ac:dyDescent="0.25">
      <c r="A482" s="806"/>
      <c r="B482" s="42"/>
      <c r="C482" s="806"/>
    </row>
    <row r="483" spans="1:3" x14ac:dyDescent="0.25">
      <c r="A483" s="806"/>
      <c r="B483" s="42"/>
      <c r="C483" s="806"/>
    </row>
    <row r="484" spans="1:3" x14ac:dyDescent="0.25">
      <c r="A484" s="806"/>
      <c r="B484" s="42"/>
      <c r="C484" s="806"/>
    </row>
    <row r="485" spans="1:3" x14ac:dyDescent="0.25">
      <c r="A485" s="806"/>
      <c r="B485" s="42"/>
      <c r="C485" s="806"/>
    </row>
    <row r="486" spans="1:3" x14ac:dyDescent="0.25">
      <c r="A486" s="806"/>
      <c r="B486" s="42"/>
      <c r="C486" s="806"/>
    </row>
    <row r="487" spans="1:3" x14ac:dyDescent="0.25">
      <c r="A487" s="806"/>
      <c r="B487" s="42"/>
      <c r="C487" s="806"/>
    </row>
    <row r="488" spans="1:3" x14ac:dyDescent="0.25">
      <c r="A488" s="806"/>
      <c r="B488" s="42"/>
      <c r="C488" s="806"/>
    </row>
    <row r="489" spans="1:3" x14ac:dyDescent="0.25">
      <c r="A489" s="806"/>
      <c r="B489" s="42"/>
      <c r="C489" s="806"/>
    </row>
    <row r="490" spans="1:3" x14ac:dyDescent="0.25">
      <c r="A490" s="806"/>
      <c r="B490" s="42"/>
      <c r="C490" s="806"/>
    </row>
    <row r="491" spans="1:3" x14ac:dyDescent="0.25">
      <c r="A491" s="806"/>
      <c r="B491" s="42"/>
      <c r="C491" s="806"/>
    </row>
    <row r="492" spans="1:3" x14ac:dyDescent="0.25">
      <c r="A492" s="806"/>
      <c r="B492" s="42"/>
      <c r="C492" s="806"/>
    </row>
    <row r="493" spans="1:3" x14ac:dyDescent="0.25">
      <c r="A493" s="806"/>
      <c r="B493" s="42"/>
      <c r="C493" s="806"/>
    </row>
    <row r="494" spans="1:3" x14ac:dyDescent="0.25">
      <c r="A494" s="806"/>
      <c r="B494" s="42"/>
      <c r="C494" s="806"/>
    </row>
    <row r="495" spans="1:3" x14ac:dyDescent="0.25">
      <c r="A495" s="806"/>
      <c r="B495" s="42"/>
      <c r="C495" s="806"/>
    </row>
    <row r="496" spans="1:3" x14ac:dyDescent="0.25">
      <c r="A496" s="806"/>
      <c r="B496" s="42"/>
      <c r="C496" s="806"/>
    </row>
    <row r="497" spans="1:3" x14ac:dyDescent="0.25">
      <c r="A497" s="806"/>
      <c r="B497" s="42"/>
      <c r="C497" s="806"/>
    </row>
    <row r="498" spans="1:3" x14ac:dyDescent="0.25">
      <c r="A498" s="806"/>
      <c r="B498" s="42"/>
      <c r="C498" s="806"/>
    </row>
    <row r="499" spans="1:3" x14ac:dyDescent="0.25">
      <c r="A499" s="806"/>
      <c r="B499" s="42"/>
      <c r="C499" s="806"/>
    </row>
    <row r="500" spans="1:3" x14ac:dyDescent="0.25">
      <c r="A500" s="806"/>
      <c r="B500" s="42"/>
      <c r="C500" s="806"/>
    </row>
    <row r="501" spans="1:3" x14ac:dyDescent="0.25">
      <c r="A501" s="806"/>
      <c r="B501" s="42"/>
      <c r="C501" s="806"/>
    </row>
    <row r="502" spans="1:3" x14ac:dyDescent="0.25">
      <c r="A502" s="806"/>
      <c r="B502" s="42"/>
      <c r="C502" s="806"/>
    </row>
    <row r="503" spans="1:3" x14ac:dyDescent="0.25">
      <c r="A503" s="806"/>
      <c r="B503" s="42"/>
      <c r="C503" s="806"/>
    </row>
    <row r="504" spans="1:3" x14ac:dyDescent="0.25">
      <c r="A504" s="806"/>
      <c r="B504" s="42"/>
      <c r="C504" s="806"/>
    </row>
    <row r="505" spans="1:3" x14ac:dyDescent="0.25">
      <c r="A505" s="806"/>
      <c r="B505" s="42"/>
      <c r="C505" s="806"/>
    </row>
    <row r="506" spans="1:3" x14ac:dyDescent="0.25">
      <c r="A506" s="806"/>
      <c r="B506" s="42"/>
      <c r="C506" s="806"/>
    </row>
    <row r="507" spans="1:3" x14ac:dyDescent="0.25">
      <c r="A507" s="806"/>
      <c r="B507" s="42"/>
      <c r="C507" s="806"/>
    </row>
    <row r="508" spans="1:3" x14ac:dyDescent="0.25">
      <c r="A508" s="806"/>
      <c r="B508" s="42"/>
      <c r="C508" s="806"/>
    </row>
    <row r="509" spans="1:3" x14ac:dyDescent="0.25">
      <c r="A509" s="806"/>
      <c r="B509" s="42"/>
      <c r="C509" s="806"/>
    </row>
    <row r="510" spans="1:3" x14ac:dyDescent="0.25">
      <c r="A510" s="806"/>
      <c r="B510" s="42"/>
      <c r="C510" s="806"/>
    </row>
    <row r="511" spans="1:3" x14ac:dyDescent="0.25">
      <c r="A511" s="806"/>
      <c r="B511" s="42"/>
      <c r="C511" s="806"/>
    </row>
    <row r="512" spans="1:3" x14ac:dyDescent="0.25">
      <c r="A512" s="806"/>
      <c r="B512" s="42"/>
      <c r="C512" s="806"/>
    </row>
    <row r="513" spans="1:3" x14ac:dyDescent="0.25">
      <c r="A513" s="806"/>
      <c r="B513" s="42"/>
      <c r="C513" s="806"/>
    </row>
    <row r="514" spans="1:3" x14ac:dyDescent="0.25">
      <c r="A514" s="806"/>
      <c r="B514" s="42"/>
      <c r="C514" s="806"/>
    </row>
    <row r="515" spans="1:3" x14ac:dyDescent="0.25">
      <c r="A515" s="806"/>
      <c r="B515" s="42"/>
      <c r="C515" s="806"/>
    </row>
    <row r="516" spans="1:3" x14ac:dyDescent="0.25">
      <c r="A516" s="806"/>
      <c r="B516" s="42"/>
      <c r="C516" s="806"/>
    </row>
    <row r="517" spans="1:3" x14ac:dyDescent="0.25">
      <c r="A517" s="806"/>
      <c r="B517" s="42"/>
      <c r="C517" s="806"/>
    </row>
    <row r="518" spans="1:3" x14ac:dyDescent="0.25">
      <c r="A518" s="806"/>
      <c r="B518" s="42"/>
      <c r="C518" s="806"/>
    </row>
    <row r="519" spans="1:3" x14ac:dyDescent="0.25">
      <c r="A519" s="806"/>
      <c r="B519" s="42"/>
      <c r="C519" s="806"/>
    </row>
    <row r="520" spans="1:3" x14ac:dyDescent="0.25">
      <c r="A520" s="806"/>
      <c r="B520" s="42"/>
      <c r="C520" s="806"/>
    </row>
    <row r="521" spans="1:3" x14ac:dyDescent="0.25">
      <c r="A521" s="806"/>
      <c r="B521" s="42"/>
      <c r="C521" s="806"/>
    </row>
    <row r="522" spans="1:3" x14ac:dyDescent="0.25">
      <c r="A522" s="806"/>
      <c r="B522" s="42"/>
      <c r="C522" s="806"/>
    </row>
    <row r="523" spans="1:3" x14ac:dyDescent="0.25">
      <c r="A523" s="806"/>
      <c r="B523" s="42"/>
      <c r="C523" s="806"/>
    </row>
    <row r="524" spans="1:3" x14ac:dyDescent="0.25">
      <c r="A524" s="806"/>
      <c r="B524" s="42"/>
      <c r="C524" s="806"/>
    </row>
    <row r="525" spans="1:3" x14ac:dyDescent="0.25">
      <c r="A525" s="806"/>
      <c r="B525" s="42"/>
      <c r="C525" s="806"/>
    </row>
    <row r="526" spans="1:3" x14ac:dyDescent="0.25">
      <c r="A526" s="806"/>
      <c r="B526" s="42"/>
      <c r="C526" s="806"/>
    </row>
    <row r="527" spans="1:3" x14ac:dyDescent="0.25">
      <c r="A527" s="806"/>
      <c r="B527" s="42"/>
      <c r="C527" s="806"/>
    </row>
    <row r="528" spans="1:3" x14ac:dyDescent="0.25">
      <c r="A528" s="806"/>
      <c r="B528" s="42"/>
      <c r="C528" s="806"/>
    </row>
    <row r="529" spans="1:3" x14ac:dyDescent="0.25">
      <c r="A529" s="806"/>
      <c r="B529" s="42"/>
      <c r="C529" s="806"/>
    </row>
    <row r="530" spans="1:3" x14ac:dyDescent="0.25">
      <c r="A530" s="806"/>
      <c r="B530" s="42"/>
      <c r="C530" s="806"/>
    </row>
    <row r="531" spans="1:3" x14ac:dyDescent="0.25">
      <c r="A531" s="806"/>
      <c r="B531" s="42"/>
      <c r="C531" s="806"/>
    </row>
    <row r="532" spans="1:3" x14ac:dyDescent="0.25">
      <c r="A532" s="806"/>
      <c r="B532" s="42"/>
      <c r="C532" s="806"/>
    </row>
    <row r="533" spans="1:3" x14ac:dyDescent="0.25">
      <c r="A533" s="806"/>
      <c r="B533" s="42"/>
      <c r="C533" s="806"/>
    </row>
    <row r="534" spans="1:3" x14ac:dyDescent="0.25">
      <c r="A534" s="806"/>
      <c r="B534" s="42"/>
      <c r="C534" s="806"/>
    </row>
    <row r="535" spans="1:3" x14ac:dyDescent="0.25">
      <c r="A535" s="806"/>
      <c r="B535" s="42"/>
      <c r="C535" s="806"/>
    </row>
    <row r="536" spans="1:3" x14ac:dyDescent="0.25">
      <c r="A536" s="806"/>
      <c r="B536" s="42"/>
      <c r="C536" s="806"/>
    </row>
    <row r="537" spans="1:3" x14ac:dyDescent="0.25">
      <c r="A537" s="806"/>
      <c r="B537" s="42"/>
      <c r="C537" s="806"/>
    </row>
    <row r="538" spans="1:3" x14ac:dyDescent="0.25">
      <c r="A538" s="806"/>
      <c r="B538" s="42"/>
      <c r="C538" s="806"/>
    </row>
    <row r="539" spans="1:3" x14ac:dyDescent="0.25">
      <c r="A539" s="806"/>
      <c r="B539" s="42"/>
      <c r="C539" s="806"/>
    </row>
    <row r="540" spans="1:3" x14ac:dyDescent="0.25">
      <c r="A540" s="806"/>
      <c r="B540" s="42"/>
      <c r="C540" s="806"/>
    </row>
    <row r="541" spans="1:3" x14ac:dyDescent="0.25">
      <c r="A541" s="806"/>
      <c r="B541" s="42"/>
      <c r="C541" s="806"/>
    </row>
    <row r="542" spans="1:3" x14ac:dyDescent="0.25">
      <c r="A542" s="806"/>
      <c r="B542" s="42"/>
      <c r="C542" s="806"/>
    </row>
    <row r="543" spans="1:3" x14ac:dyDescent="0.25">
      <c r="A543" s="806"/>
      <c r="B543" s="42"/>
      <c r="C543" s="806"/>
    </row>
    <row r="544" spans="1:3" x14ac:dyDescent="0.25">
      <c r="A544" s="806"/>
      <c r="B544" s="42"/>
      <c r="C544" s="806"/>
    </row>
    <row r="545" spans="1:3" x14ac:dyDescent="0.25">
      <c r="A545" s="806"/>
      <c r="B545" s="42"/>
      <c r="C545" s="806"/>
    </row>
    <row r="546" spans="1:3" x14ac:dyDescent="0.25">
      <c r="A546" s="806"/>
      <c r="B546" s="42"/>
      <c r="C546" s="806"/>
    </row>
    <row r="547" spans="1:3" x14ac:dyDescent="0.25">
      <c r="A547" s="806"/>
      <c r="B547" s="42"/>
      <c r="C547" s="806"/>
    </row>
    <row r="548" spans="1:3" x14ac:dyDescent="0.25">
      <c r="A548" s="806"/>
      <c r="B548" s="42"/>
      <c r="C548" s="806"/>
    </row>
    <row r="549" spans="1:3" x14ac:dyDescent="0.25">
      <c r="A549" s="806"/>
      <c r="B549" s="42"/>
      <c r="C549" s="806"/>
    </row>
    <row r="550" spans="1:3" x14ac:dyDescent="0.25">
      <c r="A550" s="806"/>
      <c r="B550" s="42"/>
      <c r="C550" s="806"/>
    </row>
  </sheetData>
  <sheetProtection algorithmName="SHA-512" hashValue="p6ME6C/xYfo4aTOUDXaxcrW7CuphXaF2fAJRIXySTSI0b9I3BtrOvVnzDyNC9CC9z8sBSMxdo7v8EodMzZeiMA==" saltValue="5q4Szii0cEeLFGYLpZMavA==" spinCount="100000" sheet="1" objects="1" scenarios="1"/>
  <mergeCells count="18">
    <mergeCell ref="M1:M2"/>
    <mergeCell ref="D1:D2"/>
    <mergeCell ref="E1:F1"/>
    <mergeCell ref="G1:G2"/>
    <mergeCell ref="H1:I1"/>
    <mergeCell ref="L1:L2"/>
    <mergeCell ref="T15:U15"/>
    <mergeCell ref="V15:W15"/>
    <mergeCell ref="N42:O42"/>
    <mergeCell ref="P42:Q42"/>
    <mergeCell ref="R42:S42"/>
    <mergeCell ref="T42:U42"/>
    <mergeCell ref="V42:W42"/>
    <mergeCell ref="L43:L44"/>
    <mergeCell ref="M43:M44"/>
    <mergeCell ref="N15:O15"/>
    <mergeCell ref="P15:Q15"/>
    <mergeCell ref="R15:S15"/>
  </mergeCell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5">
    <tabColor theme="5" tint="0.39997558519241921"/>
  </sheetPr>
  <dimension ref="A1:W550"/>
  <sheetViews>
    <sheetView topLeftCell="A81" workbookViewId="0">
      <selection activeCell="H105" sqref="H105"/>
    </sheetView>
  </sheetViews>
  <sheetFormatPr defaultColWidth="8.69921875" defaultRowHeight="13.2" x14ac:dyDescent="0.25"/>
  <cols>
    <col min="1" max="1" width="8.69921875" style="388" customWidth="1"/>
    <col min="2" max="2" width="29.796875" style="184" customWidth="1"/>
    <col min="3" max="3" width="32" style="388" customWidth="1"/>
    <col min="4" max="4" width="24.69921875" style="388" customWidth="1"/>
    <col min="5" max="6" width="10.69921875" style="388" customWidth="1"/>
    <col min="7" max="7" width="35.796875" style="388" customWidth="1"/>
    <col min="8" max="9" width="10.69921875" style="388" customWidth="1"/>
    <col min="10" max="10" width="17.5" style="388" customWidth="1"/>
    <col min="11" max="11" width="18.796875" style="388" customWidth="1"/>
    <col min="12" max="12" width="69.5" style="388" customWidth="1"/>
    <col min="13" max="13" width="8.69921875" style="388"/>
    <col min="14" max="14" width="11.69921875" style="388" customWidth="1"/>
    <col min="15" max="15" width="9.296875" style="388" customWidth="1"/>
    <col min="16" max="18" width="8.69921875" style="388"/>
    <col min="19" max="19" width="9.296875" style="388" customWidth="1"/>
    <col min="20" max="20" width="8.69921875" style="388"/>
    <col min="21" max="21" width="9.296875" style="388" customWidth="1"/>
    <col min="22" max="22" width="8.69921875" style="388"/>
    <col min="23" max="23" width="9.296875" style="388" customWidth="1"/>
    <col min="24" max="16384" width="8.69921875" style="388"/>
  </cols>
  <sheetData>
    <row r="1" spans="1:23" ht="93" customHeight="1" x14ac:dyDescent="0.25">
      <c r="A1" s="806"/>
      <c r="B1" s="42"/>
      <c r="C1" s="806"/>
      <c r="D1" s="3675" t="s">
        <v>77</v>
      </c>
      <c r="E1" s="3528" t="s">
        <v>2190</v>
      </c>
      <c r="F1" s="3531"/>
      <c r="G1" s="3527" t="s">
        <v>78</v>
      </c>
      <c r="H1" s="3528" t="s">
        <v>2191</v>
      </c>
      <c r="I1" s="3528"/>
      <c r="J1" s="987" t="s">
        <v>2191</v>
      </c>
      <c r="K1" s="987" t="s">
        <v>2191</v>
      </c>
      <c r="L1" s="3678" t="s">
        <v>94</v>
      </c>
      <c r="M1" s="3529" t="s">
        <v>96</v>
      </c>
      <c r="N1" s="987" t="s">
        <v>1808</v>
      </c>
      <c r="O1" s="987" t="s">
        <v>1809</v>
      </c>
      <c r="P1" s="987" t="s">
        <v>1808</v>
      </c>
      <c r="Q1" s="987" t="s">
        <v>1809</v>
      </c>
      <c r="R1" s="987" t="s">
        <v>1808</v>
      </c>
      <c r="S1" s="987" t="s">
        <v>1809</v>
      </c>
      <c r="T1" s="987" t="s">
        <v>1808</v>
      </c>
      <c r="U1" s="987" t="s">
        <v>1809</v>
      </c>
      <c r="V1" s="987" t="s">
        <v>1808</v>
      </c>
      <c r="W1" s="987" t="s">
        <v>1809</v>
      </c>
    </row>
    <row r="2" spans="1:23" ht="24" customHeight="1" thickBot="1" x14ac:dyDescent="0.3">
      <c r="D2" s="3676"/>
      <c r="E2" s="834" t="s">
        <v>808</v>
      </c>
      <c r="F2" s="1069" t="s">
        <v>809</v>
      </c>
      <c r="G2" s="3677"/>
      <c r="H2" s="1068" t="s">
        <v>808</v>
      </c>
      <c r="I2" s="1068" t="s">
        <v>809</v>
      </c>
      <c r="J2" s="1068" t="s">
        <v>2192</v>
      </c>
      <c r="K2" s="1068" t="s">
        <v>2193</v>
      </c>
      <c r="L2" s="3679"/>
      <c r="M2" s="3674"/>
      <c r="N2" s="834" t="s">
        <v>707</v>
      </c>
      <c r="O2" s="835" t="s">
        <v>708</v>
      </c>
      <c r="P2" s="834" t="s">
        <v>707</v>
      </c>
      <c r="Q2" s="835" t="s">
        <v>708</v>
      </c>
      <c r="R2" s="834" t="s">
        <v>707</v>
      </c>
      <c r="S2" s="835" t="s">
        <v>708</v>
      </c>
      <c r="T2" s="834" t="s">
        <v>707</v>
      </c>
      <c r="U2" s="835" t="s">
        <v>708</v>
      </c>
      <c r="V2" s="834" t="s">
        <v>707</v>
      </c>
      <c r="W2" s="835" t="s">
        <v>708</v>
      </c>
    </row>
    <row r="3" spans="1:23" s="839" customFormat="1" ht="47.25" customHeight="1" x14ac:dyDescent="0.25">
      <c r="A3" s="806"/>
      <c r="B3" s="2512"/>
      <c r="C3" s="806"/>
      <c r="D3" s="2513" t="s">
        <v>47</v>
      </c>
      <c r="E3" s="2517">
        <v>0.71</v>
      </c>
      <c r="F3" s="2516">
        <f>E3*10.7639</f>
        <v>7.6423689999999995</v>
      </c>
      <c r="G3" s="1055" t="s">
        <v>1704</v>
      </c>
      <c r="H3" s="828">
        <v>0.63</v>
      </c>
      <c r="I3" s="828">
        <f>H3*10.7639</f>
        <v>6.7812570000000001</v>
      </c>
      <c r="J3" s="828" t="s">
        <v>1560</v>
      </c>
      <c r="K3" s="828" t="s">
        <v>22</v>
      </c>
      <c r="L3" s="836"/>
      <c r="M3" s="1071"/>
      <c r="N3" s="836" t="str">
        <f t="shared" ref="N3:W3" si="0">N1&amp;" "&amp;N2</f>
        <v>W/sf or W/linear foot IP</v>
      </c>
      <c r="O3" s="837" t="str">
        <f t="shared" si="0"/>
        <v>W/sm or W/linear meter SI</v>
      </c>
      <c r="P3" s="836" t="str">
        <f t="shared" si="0"/>
        <v>W/sf or W/linear foot IP</v>
      </c>
      <c r="Q3" s="837" t="str">
        <f t="shared" si="0"/>
        <v>W/sm or W/linear meter SI</v>
      </c>
      <c r="R3" s="836" t="str">
        <f t="shared" si="0"/>
        <v>W/sf or W/linear foot IP</v>
      </c>
      <c r="S3" s="837" t="str">
        <f t="shared" si="0"/>
        <v>W/sm or W/linear meter SI</v>
      </c>
      <c r="T3" s="836" t="str">
        <f t="shared" si="0"/>
        <v>W/sf or W/linear foot IP</v>
      </c>
      <c r="U3" s="837" t="str">
        <f t="shared" si="0"/>
        <v>W/sm or W/linear meter SI</v>
      </c>
      <c r="V3" s="836" t="str">
        <f t="shared" si="0"/>
        <v>W/sf or W/linear foot IP</v>
      </c>
      <c r="W3" s="837" t="str">
        <f t="shared" si="0"/>
        <v>W/sm or W/linear meter SI</v>
      </c>
    </row>
    <row r="4" spans="1:23" s="839" customFormat="1" ht="15" customHeight="1" x14ac:dyDescent="0.25">
      <c r="A4" s="806"/>
      <c r="B4" s="2512"/>
      <c r="C4" s="806"/>
      <c r="D4" s="2514" t="s">
        <v>48</v>
      </c>
      <c r="E4" s="2518">
        <v>0.76</v>
      </c>
      <c r="F4" s="2516">
        <f t="shared" ref="F4:F35" si="1">E4*10.7639</f>
        <v>8.1805640000000004</v>
      </c>
      <c r="G4" s="1055" t="s">
        <v>1705</v>
      </c>
      <c r="H4" s="828">
        <v>0.82</v>
      </c>
      <c r="I4" s="828">
        <f t="shared" ref="I4:I67" si="2">H4*10.7639</f>
        <v>8.8263979999999993</v>
      </c>
      <c r="J4" s="828" t="s">
        <v>1560</v>
      </c>
      <c r="K4" s="828" t="s">
        <v>22</v>
      </c>
      <c r="L4" s="1061" t="s">
        <v>1810</v>
      </c>
      <c r="M4" s="1062" t="s">
        <v>91</v>
      </c>
      <c r="N4" s="1076" t="s">
        <v>2343</v>
      </c>
      <c r="O4" s="1076" t="s">
        <v>2343</v>
      </c>
      <c r="P4" s="1076">
        <v>0.04</v>
      </c>
      <c r="Q4" s="1078">
        <f>P4*10.7639</f>
        <v>0.43055599999999999</v>
      </c>
      <c r="R4" s="1076">
        <v>0.06</v>
      </c>
      <c r="S4" s="1078">
        <f>R4*10.7639</f>
        <v>0.64583399999999991</v>
      </c>
      <c r="T4" s="1076">
        <v>0.1</v>
      </c>
      <c r="U4" s="1078">
        <f>T4*10.7639</f>
        <v>1.07639</v>
      </c>
      <c r="V4" s="1076">
        <v>0.13</v>
      </c>
      <c r="W4" s="1078">
        <f>V4*10.7639</f>
        <v>1.3993070000000001</v>
      </c>
    </row>
    <row r="5" spans="1:23" s="839" customFormat="1" ht="15" customHeight="1" x14ac:dyDescent="0.25">
      <c r="A5" s="806"/>
      <c r="B5" s="2512"/>
      <c r="C5" s="806"/>
      <c r="D5" s="2514" t="s">
        <v>49</v>
      </c>
      <c r="E5" s="2518">
        <v>0.9</v>
      </c>
      <c r="F5" s="2516">
        <f t="shared" si="1"/>
        <v>9.6875099999999996</v>
      </c>
      <c r="G5" s="1055" t="s">
        <v>1706</v>
      </c>
      <c r="H5" s="828">
        <v>0.65</v>
      </c>
      <c r="I5" s="828">
        <f t="shared" si="2"/>
        <v>6.9965349999999997</v>
      </c>
      <c r="J5" s="828" t="s">
        <v>1560</v>
      </c>
      <c r="K5" s="828" t="s">
        <v>22</v>
      </c>
      <c r="L5" s="1059" t="s">
        <v>79</v>
      </c>
      <c r="M5" s="1064" t="s">
        <v>92</v>
      </c>
      <c r="N5" s="1076" t="s">
        <v>2343</v>
      </c>
      <c r="O5" s="1076" t="s">
        <v>2343</v>
      </c>
      <c r="P5" s="1079">
        <v>0.7</v>
      </c>
      <c r="Q5" s="1078">
        <f>P5*3.28</f>
        <v>2.2959999999999998</v>
      </c>
      <c r="R5" s="1079">
        <v>0.7</v>
      </c>
      <c r="S5" s="1078">
        <f>R5*3.28</f>
        <v>2.2959999999999998</v>
      </c>
      <c r="T5" s="1079">
        <v>0.8</v>
      </c>
      <c r="U5" s="1078">
        <f>T5*3.28</f>
        <v>2.6240000000000001</v>
      </c>
      <c r="V5" s="1079">
        <v>1</v>
      </c>
      <c r="W5" s="1078">
        <f>V5*3.28</f>
        <v>3.28</v>
      </c>
    </row>
    <row r="6" spans="1:23" s="839" customFormat="1" ht="15" customHeight="1" x14ac:dyDescent="0.25">
      <c r="A6" s="806"/>
      <c r="B6" s="2512"/>
      <c r="C6" s="806"/>
      <c r="D6" s="2514" t="s">
        <v>50</v>
      </c>
      <c r="E6" s="2518">
        <v>0.9</v>
      </c>
      <c r="F6" s="2516">
        <f t="shared" si="1"/>
        <v>9.6875099999999996</v>
      </c>
      <c r="G6" s="1055" t="s">
        <v>1707</v>
      </c>
      <c r="H6" s="828">
        <v>1.1399999999999999</v>
      </c>
      <c r="I6" s="828">
        <f t="shared" si="2"/>
        <v>12.270845999999999</v>
      </c>
      <c r="J6" s="828" t="s">
        <v>1560</v>
      </c>
      <c r="K6" s="828" t="s">
        <v>22</v>
      </c>
      <c r="L6" s="1059" t="s">
        <v>80</v>
      </c>
      <c r="M6" s="1064" t="s">
        <v>91</v>
      </c>
      <c r="N6" s="1076" t="s">
        <v>2343</v>
      </c>
      <c r="O6" s="1076" t="s">
        <v>2343</v>
      </c>
      <c r="P6" s="1079">
        <v>0.14000000000000001</v>
      </c>
      <c r="Q6" s="1078">
        <f t="shared" ref="Q6:Q13" si="3">P6*10.7639</f>
        <v>1.5069460000000001</v>
      </c>
      <c r="R6" s="1079">
        <v>0.14000000000000001</v>
      </c>
      <c r="S6" s="1078">
        <f t="shared" ref="S6:S13" si="4">R6*10.7639</f>
        <v>1.5069460000000001</v>
      </c>
      <c r="T6" s="1079">
        <v>0.16</v>
      </c>
      <c r="U6" s="1078">
        <f t="shared" ref="U6:U13" si="5">T6*10.7639</f>
        <v>1.722224</v>
      </c>
      <c r="V6" s="1079">
        <v>0.2</v>
      </c>
      <c r="W6" s="1078">
        <f t="shared" ref="W6:W13" si="6">V6*10.7639</f>
        <v>2.1527799999999999</v>
      </c>
    </row>
    <row r="7" spans="1:23" s="839" customFormat="1" ht="15" customHeight="1" x14ac:dyDescent="0.25">
      <c r="A7" s="806"/>
      <c r="B7" s="2512"/>
      <c r="C7" s="806"/>
      <c r="D7" s="2514" t="s">
        <v>51</v>
      </c>
      <c r="E7" s="2518">
        <v>0.79</v>
      </c>
      <c r="F7" s="2516">
        <f t="shared" si="1"/>
        <v>8.5034810000000007</v>
      </c>
      <c r="G7" s="1055" t="s">
        <v>1708</v>
      </c>
      <c r="H7" s="828">
        <v>0.28000000000000003</v>
      </c>
      <c r="I7" s="828">
        <f t="shared" si="2"/>
        <v>3.0138920000000002</v>
      </c>
      <c r="J7" s="828" t="s">
        <v>1560</v>
      </c>
      <c r="K7" s="828" t="s">
        <v>22</v>
      </c>
      <c r="L7" s="1059" t="s">
        <v>81</v>
      </c>
      <c r="M7" s="1064" t="s">
        <v>91</v>
      </c>
      <c r="N7" s="1076" t="s">
        <v>2343</v>
      </c>
      <c r="O7" s="1076" t="s">
        <v>2343</v>
      </c>
      <c r="P7" s="1079">
        <v>0.14000000000000001</v>
      </c>
      <c r="Q7" s="1078">
        <f t="shared" si="3"/>
        <v>1.5069460000000001</v>
      </c>
      <c r="R7" s="1079">
        <v>0.14000000000000001</v>
      </c>
      <c r="S7" s="1078">
        <f t="shared" si="4"/>
        <v>1.5069460000000001</v>
      </c>
      <c r="T7" s="1079">
        <v>0.16</v>
      </c>
      <c r="U7" s="1078">
        <f t="shared" si="5"/>
        <v>1.722224</v>
      </c>
      <c r="V7" s="1079">
        <v>0.2</v>
      </c>
      <c r="W7" s="1078">
        <f t="shared" si="6"/>
        <v>2.1527799999999999</v>
      </c>
    </row>
    <row r="8" spans="1:23" s="839" customFormat="1" ht="15" customHeight="1" x14ac:dyDescent="0.25">
      <c r="A8" s="806"/>
      <c r="B8" s="2512"/>
      <c r="C8" s="806"/>
      <c r="D8" s="2514" t="s">
        <v>52</v>
      </c>
      <c r="E8" s="2518">
        <v>0.78</v>
      </c>
      <c r="F8" s="2516">
        <f t="shared" si="1"/>
        <v>8.395842</v>
      </c>
      <c r="G8" s="1055" t="s">
        <v>1709</v>
      </c>
      <c r="H8" s="2520">
        <v>2.0299999999999998</v>
      </c>
      <c r="I8" s="828">
        <f t="shared" si="2"/>
        <v>21.850716999999996</v>
      </c>
      <c r="J8" s="828" t="s">
        <v>1560</v>
      </c>
      <c r="K8" s="828" t="s">
        <v>22</v>
      </c>
      <c r="L8" s="1059" t="s">
        <v>82</v>
      </c>
      <c r="M8" s="1064" t="s">
        <v>91</v>
      </c>
      <c r="N8" s="1076" t="s">
        <v>2343</v>
      </c>
      <c r="O8" s="1076" t="s">
        <v>2343</v>
      </c>
      <c r="P8" s="1079">
        <v>0.14000000000000001</v>
      </c>
      <c r="Q8" s="1078">
        <f t="shared" si="3"/>
        <v>1.5069460000000001</v>
      </c>
      <c r="R8" s="1079">
        <v>0.14000000000000001</v>
      </c>
      <c r="S8" s="1078">
        <f t="shared" si="4"/>
        <v>1.5069460000000001</v>
      </c>
      <c r="T8" s="1079">
        <v>0.16</v>
      </c>
      <c r="U8" s="1078">
        <f t="shared" si="5"/>
        <v>1.722224</v>
      </c>
      <c r="V8" s="1079">
        <v>0.2</v>
      </c>
      <c r="W8" s="1078">
        <f t="shared" si="6"/>
        <v>2.1527799999999999</v>
      </c>
    </row>
    <row r="9" spans="1:23" s="839" customFormat="1" ht="15" customHeight="1" x14ac:dyDescent="0.25">
      <c r="A9" s="806"/>
      <c r="B9" s="2512"/>
      <c r="C9" s="806"/>
      <c r="D9" s="2514" t="s">
        <v>53</v>
      </c>
      <c r="E9" s="2518">
        <v>0.61</v>
      </c>
      <c r="F9" s="2516">
        <f t="shared" si="1"/>
        <v>6.5659789999999996</v>
      </c>
      <c r="G9" s="1055" t="s">
        <v>1710</v>
      </c>
      <c r="H9" s="828">
        <v>1.53</v>
      </c>
      <c r="I9" s="828">
        <f t="shared" si="2"/>
        <v>16.468767</v>
      </c>
      <c r="J9" s="828" t="s">
        <v>1560</v>
      </c>
      <c r="K9" s="828" t="s">
        <v>22</v>
      </c>
      <c r="L9" s="1059" t="s">
        <v>83</v>
      </c>
      <c r="M9" s="1064" t="s">
        <v>91</v>
      </c>
      <c r="N9" s="1076" t="s">
        <v>2343</v>
      </c>
      <c r="O9" s="1076" t="s">
        <v>2343</v>
      </c>
      <c r="P9" s="1079">
        <v>0.75</v>
      </c>
      <c r="Q9" s="1078">
        <f t="shared" si="3"/>
        <v>8.0729249999999997</v>
      </c>
      <c r="R9" s="1079">
        <v>1</v>
      </c>
      <c r="S9" s="1078">
        <f t="shared" si="4"/>
        <v>10.7639</v>
      </c>
      <c r="T9" s="1079">
        <v>1</v>
      </c>
      <c r="U9" s="1078">
        <f t="shared" si="5"/>
        <v>10.7639</v>
      </c>
      <c r="V9" s="1079">
        <v>1</v>
      </c>
      <c r="W9" s="1078">
        <f t="shared" si="6"/>
        <v>10.7639</v>
      </c>
    </row>
    <row r="10" spans="1:23" s="839" customFormat="1" ht="15" customHeight="1" x14ac:dyDescent="0.25">
      <c r="A10" s="806"/>
      <c r="B10" s="2512"/>
      <c r="C10" s="806"/>
      <c r="D10" s="2514" t="s">
        <v>54</v>
      </c>
      <c r="E10" s="2518">
        <v>0.65</v>
      </c>
      <c r="F10" s="2516">
        <f t="shared" si="1"/>
        <v>6.9965349999999997</v>
      </c>
      <c r="G10" s="1055" t="s">
        <v>1711</v>
      </c>
      <c r="H10" s="828">
        <v>0.43</v>
      </c>
      <c r="I10" s="828">
        <f t="shared" si="2"/>
        <v>4.6284770000000002</v>
      </c>
      <c r="J10" s="828" t="s">
        <v>1560</v>
      </c>
      <c r="K10" s="828" t="s">
        <v>22</v>
      </c>
      <c r="L10" s="1059" t="s">
        <v>84</v>
      </c>
      <c r="M10" s="1064" t="s">
        <v>92</v>
      </c>
      <c r="N10" s="1076" t="s">
        <v>2343</v>
      </c>
      <c r="O10" s="1076" t="s">
        <v>2343</v>
      </c>
      <c r="P10" s="1079">
        <v>20</v>
      </c>
      <c r="Q10" s="1078">
        <f>P10*3.28</f>
        <v>65.599999999999994</v>
      </c>
      <c r="R10" s="1079">
        <v>20</v>
      </c>
      <c r="S10" s="1078">
        <f>R10*3.28</f>
        <v>65.599999999999994</v>
      </c>
      <c r="T10" s="1079">
        <v>30</v>
      </c>
      <c r="U10" s="1078">
        <f>T10*3.28</f>
        <v>98.399999999999991</v>
      </c>
      <c r="V10" s="1079">
        <v>30</v>
      </c>
      <c r="W10" s="1078">
        <f>V10*3.28</f>
        <v>98.399999999999991</v>
      </c>
    </row>
    <row r="11" spans="1:23" s="839" customFormat="1" ht="15" customHeight="1" x14ac:dyDescent="0.25">
      <c r="A11" s="806"/>
      <c r="B11" s="2512"/>
      <c r="C11" s="806"/>
      <c r="D11" s="2514" t="s">
        <v>232</v>
      </c>
      <c r="E11" s="2518">
        <v>0.53</v>
      </c>
      <c r="F11" s="2516">
        <f t="shared" si="1"/>
        <v>5.7048670000000001</v>
      </c>
      <c r="G11" s="1055" t="s">
        <v>1712</v>
      </c>
      <c r="H11" s="828">
        <v>0.43</v>
      </c>
      <c r="I11" s="828">
        <f t="shared" si="2"/>
        <v>4.6284770000000002</v>
      </c>
      <c r="J11" s="828" t="s">
        <v>1560</v>
      </c>
      <c r="K11" s="828" t="s">
        <v>22</v>
      </c>
      <c r="L11" s="1059" t="s">
        <v>85</v>
      </c>
      <c r="M11" s="1064" t="s">
        <v>92</v>
      </c>
      <c r="N11" s="1076" t="s">
        <v>2343</v>
      </c>
      <c r="O11" s="1076" t="s">
        <v>2343</v>
      </c>
      <c r="P11" s="1079">
        <v>20</v>
      </c>
      <c r="Q11" s="1078">
        <f>P11*3.28</f>
        <v>65.599999999999994</v>
      </c>
      <c r="R11" s="1079">
        <v>20</v>
      </c>
      <c r="S11" s="1078">
        <f>R11*3.28</f>
        <v>65.599999999999994</v>
      </c>
      <c r="T11" s="1079">
        <v>20</v>
      </c>
      <c r="U11" s="1078">
        <f>T11*3.28</f>
        <v>65.599999999999994</v>
      </c>
      <c r="V11" s="1079">
        <v>20</v>
      </c>
      <c r="W11" s="1078">
        <f>V11*3.28</f>
        <v>65.599999999999994</v>
      </c>
    </row>
    <row r="12" spans="1:23" s="839" customFormat="1" ht="15" customHeight="1" x14ac:dyDescent="0.25">
      <c r="A12" s="806"/>
      <c r="B12" s="2512"/>
      <c r="C12" s="806"/>
      <c r="D12" s="2514" t="s">
        <v>55</v>
      </c>
      <c r="E12" s="2518">
        <v>0.68</v>
      </c>
      <c r="F12" s="2516">
        <f t="shared" si="1"/>
        <v>7.3194520000000001</v>
      </c>
      <c r="G12" s="1055" t="s">
        <v>1713</v>
      </c>
      <c r="H12" s="828">
        <v>0.43</v>
      </c>
      <c r="I12" s="828">
        <f t="shared" si="2"/>
        <v>4.6284770000000002</v>
      </c>
      <c r="J12" s="828" t="s">
        <v>1560</v>
      </c>
      <c r="K12" s="828" t="s">
        <v>22</v>
      </c>
      <c r="L12" s="1059" t="s">
        <v>1811</v>
      </c>
      <c r="M12" s="1064" t="s">
        <v>91</v>
      </c>
      <c r="N12" s="1076" t="s">
        <v>2343</v>
      </c>
      <c r="O12" s="1076" t="s">
        <v>2343</v>
      </c>
      <c r="P12" s="1079">
        <v>0.25</v>
      </c>
      <c r="Q12" s="1078">
        <f t="shared" si="3"/>
        <v>2.6909749999999999</v>
      </c>
      <c r="R12" s="1079">
        <v>0.25</v>
      </c>
      <c r="S12" s="1078">
        <f t="shared" si="4"/>
        <v>2.6909749999999999</v>
      </c>
      <c r="T12" s="1079">
        <v>0.4</v>
      </c>
      <c r="U12" s="1078">
        <f t="shared" si="5"/>
        <v>4.3055599999999998</v>
      </c>
      <c r="V12" s="1079">
        <v>0.4</v>
      </c>
      <c r="W12" s="1078">
        <f t="shared" si="6"/>
        <v>4.3055599999999998</v>
      </c>
    </row>
    <row r="13" spans="1:23" s="839" customFormat="1" ht="19.2" customHeight="1" x14ac:dyDescent="0.25">
      <c r="A13" s="806"/>
      <c r="B13" s="2512"/>
      <c r="C13" s="806"/>
      <c r="D13" s="2514" t="s">
        <v>56</v>
      </c>
      <c r="E13" s="2518">
        <v>0.82</v>
      </c>
      <c r="F13" s="2516">
        <f t="shared" si="1"/>
        <v>8.8263979999999993</v>
      </c>
      <c r="G13" s="1055" t="s">
        <v>1714</v>
      </c>
      <c r="H13" s="1073" t="s">
        <v>2262</v>
      </c>
      <c r="I13" s="1073" t="s">
        <v>2262</v>
      </c>
      <c r="J13" s="1073" t="s">
        <v>22</v>
      </c>
      <c r="K13" s="1073" t="s">
        <v>22</v>
      </c>
      <c r="L13" s="1059" t="s">
        <v>1812</v>
      </c>
      <c r="M13" s="1064" t="s">
        <v>91</v>
      </c>
      <c r="N13" s="1076" t="s">
        <v>2343</v>
      </c>
      <c r="O13" s="1076" t="s">
        <v>2343</v>
      </c>
      <c r="P13" s="1079">
        <v>0.25</v>
      </c>
      <c r="Q13" s="1078">
        <f t="shared" si="3"/>
        <v>2.6909749999999999</v>
      </c>
      <c r="R13" s="1079">
        <v>0.25</v>
      </c>
      <c r="S13" s="1078">
        <f t="shared" si="4"/>
        <v>2.6909749999999999</v>
      </c>
      <c r="T13" s="1079">
        <v>0.5</v>
      </c>
      <c r="U13" s="1078">
        <f t="shared" si="5"/>
        <v>5.3819499999999998</v>
      </c>
      <c r="V13" s="1079">
        <v>0.75</v>
      </c>
      <c r="W13" s="1078">
        <f t="shared" si="6"/>
        <v>8.0729249999999997</v>
      </c>
    </row>
    <row r="14" spans="1:23" s="839" customFormat="1" ht="22.8" x14ac:dyDescent="0.25">
      <c r="A14" s="806"/>
      <c r="B14" s="2512"/>
      <c r="C14" s="806"/>
      <c r="D14" s="2514" t="s">
        <v>57</v>
      </c>
      <c r="E14" s="2518">
        <v>1.05</v>
      </c>
      <c r="F14" s="2516">
        <f t="shared" si="1"/>
        <v>11.302095</v>
      </c>
      <c r="G14" s="1055" t="s">
        <v>1716</v>
      </c>
      <c r="H14" s="1195" t="s">
        <v>2263</v>
      </c>
      <c r="I14" s="1195" t="s">
        <v>2263</v>
      </c>
      <c r="J14" s="1073" t="s">
        <v>22</v>
      </c>
      <c r="K14" s="1073" t="s">
        <v>22</v>
      </c>
      <c r="L14" s="1059" t="s">
        <v>1813</v>
      </c>
      <c r="M14" s="1064" t="s">
        <v>92</v>
      </c>
      <c r="N14" s="1076" t="s">
        <v>2343</v>
      </c>
      <c r="O14" s="1076" t="s">
        <v>2343</v>
      </c>
      <c r="P14" s="1076" t="s">
        <v>2343</v>
      </c>
      <c r="Q14" s="1076" t="s">
        <v>2343</v>
      </c>
      <c r="R14" s="1079">
        <v>10</v>
      </c>
      <c r="S14" s="1078">
        <f>R14*3.28</f>
        <v>32.799999999999997</v>
      </c>
      <c r="T14" s="1079">
        <v>10</v>
      </c>
      <c r="U14" s="1078">
        <f>T14*3.28</f>
        <v>32.799999999999997</v>
      </c>
      <c r="V14" s="1079">
        <v>30</v>
      </c>
      <c r="W14" s="1078">
        <f>V14*3.28</f>
        <v>98.399999999999991</v>
      </c>
    </row>
    <row r="15" spans="1:23" s="839" customFormat="1" ht="15" customHeight="1" x14ac:dyDescent="0.25">
      <c r="A15" s="806"/>
      <c r="B15" s="2512"/>
      <c r="C15" s="806"/>
      <c r="D15" s="2514" t="s">
        <v>1645</v>
      </c>
      <c r="E15" s="2518">
        <v>0.75</v>
      </c>
      <c r="F15" s="2516">
        <f t="shared" si="1"/>
        <v>8.0729249999999997</v>
      </c>
      <c r="G15" s="1055" t="s">
        <v>1717</v>
      </c>
      <c r="H15" s="2520">
        <v>0.86</v>
      </c>
      <c r="I15" s="828">
        <f t="shared" si="2"/>
        <v>9.2569540000000003</v>
      </c>
      <c r="J15" s="828" t="s">
        <v>1560</v>
      </c>
      <c r="K15" s="828" t="s">
        <v>22</v>
      </c>
      <c r="L15" s="181"/>
      <c r="M15" s="181"/>
      <c r="N15" s="3680" t="s">
        <v>2194</v>
      </c>
      <c r="O15" s="3680"/>
      <c r="P15" s="3680" t="s">
        <v>2195</v>
      </c>
      <c r="Q15" s="3680"/>
      <c r="R15" s="3680" t="s">
        <v>2196</v>
      </c>
      <c r="S15" s="3680"/>
      <c r="T15" s="3680" t="s">
        <v>2197</v>
      </c>
      <c r="U15" s="3680"/>
      <c r="V15" s="3680" t="s">
        <v>2198</v>
      </c>
      <c r="W15" s="3680"/>
    </row>
    <row r="16" spans="1:23" s="839" customFormat="1" ht="15" customHeight="1" x14ac:dyDescent="0.25">
      <c r="A16" s="806"/>
      <c r="B16" s="2512"/>
      <c r="C16" s="806"/>
      <c r="D16" s="2514" t="s">
        <v>58</v>
      </c>
      <c r="E16" s="2518">
        <v>0.78</v>
      </c>
      <c r="F16" s="2516">
        <f t="shared" si="1"/>
        <v>8.395842</v>
      </c>
      <c r="G16" s="1055" t="s">
        <v>1718</v>
      </c>
      <c r="H16" s="828">
        <v>1.34</v>
      </c>
      <c r="I16" s="828">
        <f t="shared" si="2"/>
        <v>14.423626000000001</v>
      </c>
      <c r="J16" s="828" t="s">
        <v>22</v>
      </c>
      <c r="K16" s="828" t="s">
        <v>22</v>
      </c>
      <c r="L16" s="1059" t="s">
        <v>1814</v>
      </c>
      <c r="M16" s="181"/>
      <c r="N16" s="1084" t="str">
        <f>IF('6b - General Lighting'!$X$131=0,'Lighting Assumptions 90.1-2016'!N4,IF('6b - General Lighting'!$X$131=1,'Lighting Assumptions 90.1-2016'!P4,IF('6b - General Lighting'!$X$131=2,'Lighting Assumptions 90.1-2016'!R4,IF('6b - General Lighting'!$X$131=3,'Lighting Assumptions 90.1-2016'!T4,IF('6b - General Lighting'!$X$131=4,'Lighting Assumptions 90.1-2016'!V4,"")))))</f>
        <v/>
      </c>
    </row>
    <row r="17" spans="1:15" s="839" customFormat="1" ht="15" customHeight="1" x14ac:dyDescent="0.25">
      <c r="A17" s="806"/>
      <c r="B17" s="2512"/>
      <c r="C17" s="806"/>
      <c r="D17" s="2514" t="s">
        <v>59</v>
      </c>
      <c r="E17" s="2518">
        <v>0.9</v>
      </c>
      <c r="F17" s="2516">
        <f t="shared" si="1"/>
        <v>9.6875099999999996</v>
      </c>
      <c r="G17" s="1055" t="s">
        <v>1719</v>
      </c>
      <c r="H17" s="828">
        <v>0.92</v>
      </c>
      <c r="I17" s="828">
        <f t="shared" si="2"/>
        <v>9.9027879999999993</v>
      </c>
      <c r="J17" s="828" t="s">
        <v>22</v>
      </c>
      <c r="K17" s="828" t="s">
        <v>22</v>
      </c>
      <c r="L17" s="1059" t="s">
        <v>1815</v>
      </c>
      <c r="M17" s="181"/>
      <c r="N17" s="1084" t="str">
        <f>IF('6b - General Lighting'!$X$131=0,'Lighting Assumptions 90.1-2016'!N5,IF('6b - General Lighting'!$X$131=1,'Lighting Assumptions 90.1-2016'!P5,IF('6b - General Lighting'!$X$131=2,'Lighting Assumptions 90.1-2016'!R5,IF('6b - General Lighting'!$X$131=3,'Lighting Assumptions 90.1-2016'!T5,IF('6b - General Lighting'!$X$131=4,'Lighting Assumptions 90.1-2016'!V5,"")))))</f>
        <v/>
      </c>
    </row>
    <row r="18" spans="1:15" s="839" customFormat="1" ht="15" customHeight="1" x14ac:dyDescent="0.25">
      <c r="A18" s="806"/>
      <c r="B18" s="2512"/>
      <c r="C18" s="806"/>
      <c r="D18" s="2514" t="s">
        <v>60</v>
      </c>
      <c r="E18" s="2518">
        <v>0.83</v>
      </c>
      <c r="F18" s="2516">
        <f t="shared" si="1"/>
        <v>8.934037</v>
      </c>
      <c r="G18" s="1055" t="s">
        <v>1720</v>
      </c>
      <c r="H18" s="2520">
        <v>1.07</v>
      </c>
      <c r="I18" s="828">
        <f t="shared" si="2"/>
        <v>11.517373000000001</v>
      </c>
      <c r="J18" s="828" t="s">
        <v>22</v>
      </c>
      <c r="K18" s="828" t="s">
        <v>22</v>
      </c>
      <c r="L18" s="1059" t="s">
        <v>1816</v>
      </c>
      <c r="M18" s="181"/>
      <c r="N18" s="1084" t="str">
        <f>IF('6b - General Lighting'!$X$131=0,'Lighting Assumptions 90.1-2016'!N6,IF('6b - General Lighting'!$X$131=1,'Lighting Assumptions 90.1-2016'!P6,IF('6b - General Lighting'!$X$131=2,'Lighting Assumptions 90.1-2016'!R6,IF('6b - General Lighting'!$X$131=3,'Lighting Assumptions 90.1-2016'!T6,IF('6b - General Lighting'!$X$131=4,'Lighting Assumptions 90.1-2016'!V6,"")))))</f>
        <v/>
      </c>
      <c r="O18" s="1016"/>
    </row>
    <row r="19" spans="1:15" s="839" customFormat="1" ht="15" customHeight="1" x14ac:dyDescent="0.25">
      <c r="A19" s="806"/>
      <c r="B19" s="2512"/>
      <c r="C19" s="806"/>
      <c r="D19" s="2514" t="s">
        <v>61</v>
      </c>
      <c r="E19" s="2518">
        <v>0.68</v>
      </c>
      <c r="F19" s="2516">
        <f t="shared" si="1"/>
        <v>7.3194520000000001</v>
      </c>
      <c r="G19" s="1055" t="s">
        <v>1721</v>
      </c>
      <c r="H19" s="828">
        <v>0.81</v>
      </c>
      <c r="I19" s="828">
        <f t="shared" si="2"/>
        <v>8.7187590000000004</v>
      </c>
      <c r="J19" s="828" t="s">
        <v>1560</v>
      </c>
      <c r="K19" s="828" t="s">
        <v>22</v>
      </c>
      <c r="L19" s="1059" t="s">
        <v>1817</v>
      </c>
      <c r="M19" s="181"/>
      <c r="N19" s="1084" t="str">
        <f>IF('6b - General Lighting'!$X$131=0,'Lighting Assumptions 90.1-2016'!N7,IF('6b - General Lighting'!$X$131=1,'Lighting Assumptions 90.1-2016'!P7,IF('6b - General Lighting'!$X$131=2,'Lighting Assumptions 90.1-2016'!R7,IF('6b - General Lighting'!$X$131=3,'Lighting Assumptions 90.1-2016'!T7,IF('6b - General Lighting'!$X$131=4,'Lighting Assumptions 90.1-2016'!V7,"")))))</f>
        <v/>
      </c>
      <c r="O19" s="1016"/>
    </row>
    <row r="20" spans="1:15" s="839" customFormat="1" ht="15" customHeight="1" x14ac:dyDescent="0.25">
      <c r="A20" s="806"/>
      <c r="B20" s="2512"/>
      <c r="C20" s="806"/>
      <c r="D20" s="2514" t="s">
        <v>62</v>
      </c>
      <c r="E20" s="2518">
        <v>1.06</v>
      </c>
      <c r="F20" s="2516">
        <f t="shared" si="1"/>
        <v>11.409734</v>
      </c>
      <c r="G20" s="1055" t="s">
        <v>1722</v>
      </c>
      <c r="H20" s="2520">
        <v>0.56000000000000005</v>
      </c>
      <c r="I20" s="828">
        <f t="shared" si="2"/>
        <v>6.0277840000000005</v>
      </c>
      <c r="J20" s="828" t="s">
        <v>22</v>
      </c>
      <c r="K20" s="828" t="s">
        <v>22</v>
      </c>
      <c r="L20" s="1059" t="s">
        <v>1818</v>
      </c>
      <c r="M20" s="181"/>
      <c r="N20" s="1084" t="str">
        <f>IF('6b - General Lighting'!$X$131=0,'Lighting Assumptions 90.1-2016'!N8,IF('6b - General Lighting'!$X$131=1,'Lighting Assumptions 90.1-2016'!P8,IF('6b - General Lighting'!$X$131=2,'Lighting Assumptions 90.1-2016'!R8,IF('6b - General Lighting'!$X$131=3,'Lighting Assumptions 90.1-2016'!T8,IF('6b - General Lighting'!$X$131=4,'Lighting Assumptions 90.1-2016'!V8,"")))))</f>
        <v/>
      </c>
    </row>
    <row r="21" spans="1:15" s="839" customFormat="1" ht="15" customHeight="1" x14ac:dyDescent="0.25">
      <c r="A21" s="806"/>
      <c r="B21" s="2512"/>
      <c r="C21" s="806"/>
      <c r="D21" s="2514" t="s">
        <v>63</v>
      </c>
      <c r="E21" s="2518">
        <v>0.79</v>
      </c>
      <c r="F21" s="2516">
        <f t="shared" si="1"/>
        <v>8.5034810000000007</v>
      </c>
      <c r="G21" s="1055" t="s">
        <v>1723</v>
      </c>
      <c r="H21" s="828">
        <v>0.92</v>
      </c>
      <c r="I21" s="828">
        <f t="shared" si="2"/>
        <v>9.9027879999999993</v>
      </c>
      <c r="J21" s="828" t="s">
        <v>22</v>
      </c>
      <c r="K21" s="828" t="s">
        <v>22</v>
      </c>
      <c r="L21" s="1059" t="s">
        <v>1819</v>
      </c>
      <c r="M21" s="181"/>
      <c r="N21" s="1084" t="str">
        <f>IF('6b - General Lighting'!$X$131=0,'Lighting Assumptions 90.1-2016'!N9,IF('6b - General Lighting'!$X$131=1,'Lighting Assumptions 90.1-2016'!P9,IF('6b - General Lighting'!$X$131=2,'Lighting Assumptions 90.1-2016'!R9,IF('6b - General Lighting'!$X$131=3,'Lighting Assumptions 90.1-2016'!T9,IF('6b - General Lighting'!$X$131=4,'Lighting Assumptions 90.1-2016'!V9,"")))))</f>
        <v/>
      </c>
    </row>
    <row r="22" spans="1:15" s="839" customFormat="1" ht="15" customHeight="1" x14ac:dyDescent="0.25">
      <c r="A22" s="806"/>
      <c r="B22" s="2512"/>
      <c r="C22" s="806"/>
      <c r="D22" s="2514" t="s">
        <v>64</v>
      </c>
      <c r="E22" s="2518">
        <v>0.15</v>
      </c>
      <c r="F22" s="2516">
        <f t="shared" si="1"/>
        <v>1.6145849999999999</v>
      </c>
      <c r="G22" s="1055" t="s">
        <v>1724</v>
      </c>
      <c r="H22" s="828">
        <v>0.92</v>
      </c>
      <c r="I22" s="828">
        <f t="shared" si="2"/>
        <v>9.9027879999999993</v>
      </c>
      <c r="J22" s="828" t="s">
        <v>1560</v>
      </c>
      <c r="K22" s="828" t="s">
        <v>22</v>
      </c>
      <c r="L22" s="1059" t="s">
        <v>1820</v>
      </c>
      <c r="M22" s="181"/>
      <c r="N22" s="1084" t="str">
        <f>IF('6b - General Lighting'!$X$131=0,'Lighting Assumptions 90.1-2016'!N10,IF('6b - General Lighting'!$X$131=1,'Lighting Assumptions 90.1-2016'!P10,IF('6b - General Lighting'!$X$131=2,'Lighting Assumptions 90.1-2016'!R10,IF('6b - General Lighting'!$X$131=3,'Lighting Assumptions 90.1-2016'!T10,IF('6b - General Lighting'!$X$131=4,'Lighting Assumptions 90.1-2016'!V10,"")))))</f>
        <v/>
      </c>
    </row>
    <row r="23" spans="1:15" s="839" customFormat="1" ht="15" customHeight="1" x14ac:dyDescent="0.25">
      <c r="A23" s="806"/>
      <c r="B23" s="2512"/>
      <c r="C23" s="806"/>
      <c r="D23" s="2514" t="s">
        <v>65</v>
      </c>
      <c r="E23" s="2518">
        <v>0.75</v>
      </c>
      <c r="F23" s="2516">
        <f t="shared" si="1"/>
        <v>8.0729249999999997</v>
      </c>
      <c r="G23" s="1055" t="s">
        <v>1725</v>
      </c>
      <c r="H23" s="2520">
        <v>0.28999999999999998</v>
      </c>
      <c r="I23" s="828">
        <f t="shared" si="2"/>
        <v>3.1215309999999996</v>
      </c>
      <c r="J23" s="828" t="s">
        <v>1560</v>
      </c>
      <c r="K23" s="828" t="s">
        <v>22</v>
      </c>
      <c r="L23" s="1059" t="s">
        <v>1821</v>
      </c>
      <c r="M23" s="181"/>
      <c r="N23" s="1084" t="str">
        <f>IF('6b - General Lighting'!$X$131=0,'Lighting Assumptions 90.1-2016'!N11,IF('6b - General Lighting'!$X$131=1,'Lighting Assumptions 90.1-2016'!P11,IF('6b - General Lighting'!$X$131=2,'Lighting Assumptions 90.1-2016'!R11,IF('6b - General Lighting'!$X$131=3,'Lighting Assumptions 90.1-2016'!T11,IF('6b - General Lighting'!$X$131=4,'Lighting Assumptions 90.1-2016'!V11,"")))))</f>
        <v/>
      </c>
    </row>
    <row r="24" spans="1:15" s="839" customFormat="1" ht="15" customHeight="1" x14ac:dyDescent="0.25">
      <c r="A24" s="806"/>
      <c r="B24" s="2512"/>
      <c r="C24" s="806"/>
      <c r="D24" s="2514" t="s">
        <v>66</v>
      </c>
      <c r="E24" s="2518">
        <v>1.18</v>
      </c>
      <c r="F24" s="2516">
        <f t="shared" si="1"/>
        <v>12.701401999999998</v>
      </c>
      <c r="G24" s="1055" t="s">
        <v>1726</v>
      </c>
      <c r="H24" s="828">
        <v>0.66</v>
      </c>
      <c r="I24" s="828">
        <f t="shared" si="2"/>
        <v>7.1041740000000004</v>
      </c>
      <c r="J24" s="828" t="s">
        <v>22</v>
      </c>
      <c r="K24" s="828" t="s">
        <v>22</v>
      </c>
      <c r="L24" s="1059" t="s">
        <v>1822</v>
      </c>
      <c r="M24" s="181"/>
      <c r="N24" s="1084" t="str">
        <f>IF('6b - General Lighting'!$X$131=0,'Lighting Assumptions 90.1-2016'!N12,IF('6b - General Lighting'!$X$131=1,'Lighting Assumptions 90.1-2016'!P12,IF('6b - General Lighting'!$X$131=2,'Lighting Assumptions 90.1-2016'!R12,IF('6b - General Lighting'!$X$131=3,'Lighting Assumptions 90.1-2016'!T12,IF('6b - General Lighting'!$X$131=4,'Lighting Assumptions 90.1-2016'!V12,"")))))</f>
        <v/>
      </c>
    </row>
    <row r="25" spans="1:15" s="839" customFormat="1" ht="15" customHeight="1" x14ac:dyDescent="0.25">
      <c r="A25" s="806"/>
      <c r="B25" s="2512"/>
      <c r="C25" s="806"/>
      <c r="D25" s="2514" t="s">
        <v>233</v>
      </c>
      <c r="E25" s="2518">
        <v>0.8</v>
      </c>
      <c r="F25" s="2516">
        <f t="shared" si="1"/>
        <v>8.6111199999999997</v>
      </c>
      <c r="G25" s="1055" t="s">
        <v>1727</v>
      </c>
      <c r="H25" s="2520">
        <v>1.39</v>
      </c>
      <c r="I25" s="828">
        <f t="shared" si="2"/>
        <v>14.961820999999999</v>
      </c>
      <c r="J25" s="828" t="s">
        <v>1560</v>
      </c>
      <c r="K25" s="828" t="s">
        <v>22</v>
      </c>
      <c r="L25" s="1059" t="s">
        <v>1823</v>
      </c>
      <c r="M25" s="181"/>
      <c r="N25" s="1084" t="str">
        <f>IF('6b - General Lighting'!$X$131=0,'Lighting Assumptions 90.1-2016'!N13,IF('6b - General Lighting'!$X$131=1,'Lighting Assumptions 90.1-2016'!P13,IF('6b - General Lighting'!$X$131=2,'Lighting Assumptions 90.1-2016'!R13,IF('6b - General Lighting'!$X$131=3,'Lighting Assumptions 90.1-2016'!T13,IF('6b - General Lighting'!$X$131=4,'Lighting Assumptions 90.1-2016'!V13,"")))))</f>
        <v/>
      </c>
    </row>
    <row r="26" spans="1:15" s="839" customFormat="1" ht="15" customHeight="1" x14ac:dyDescent="0.25">
      <c r="A26" s="806"/>
      <c r="B26" s="2512"/>
      <c r="C26" s="806"/>
      <c r="D26" s="2514" t="s">
        <v>67</v>
      </c>
      <c r="E26" s="2518">
        <v>0.67</v>
      </c>
      <c r="F26" s="2516">
        <f t="shared" si="1"/>
        <v>7.2118130000000003</v>
      </c>
      <c r="G26" s="1055" t="s">
        <v>1728</v>
      </c>
      <c r="H26" s="2520">
        <v>1.33</v>
      </c>
      <c r="I26" s="828">
        <f t="shared" si="2"/>
        <v>14.315987</v>
      </c>
      <c r="J26" s="828" t="s">
        <v>1560</v>
      </c>
      <c r="K26" s="828" t="s">
        <v>22</v>
      </c>
      <c r="L26" s="1059" t="s">
        <v>1824</v>
      </c>
      <c r="M26" s="181"/>
      <c r="N26" s="1084" t="str">
        <f>IF('6b - General Lighting'!$X$131=0,'Lighting Assumptions 90.1-2016'!N14,IF('6b - General Lighting'!$X$131=1,'Lighting Assumptions 90.1-2016'!P14,IF('6b - General Lighting'!$X$131=2,'Lighting Assumptions 90.1-2016'!R14,IF('6b - General Lighting'!$X$131=3,'Lighting Assumptions 90.1-2016'!T14,IF('6b - General Lighting'!$X$131=4,'Lighting Assumptions 90.1-2016'!V14,"")))))</f>
        <v/>
      </c>
    </row>
    <row r="27" spans="1:15" s="839" customFormat="1" ht="15" customHeight="1" x14ac:dyDescent="0.25">
      <c r="A27" s="806"/>
      <c r="B27" s="2512"/>
      <c r="C27" s="806"/>
      <c r="D27" s="2514" t="s">
        <v>68</v>
      </c>
      <c r="E27" s="2518">
        <v>0.94</v>
      </c>
      <c r="F27" s="2516">
        <f t="shared" si="1"/>
        <v>10.118065999999999</v>
      </c>
      <c r="G27" s="1055" t="s">
        <v>1729</v>
      </c>
      <c r="H27" s="828">
        <v>0.96</v>
      </c>
      <c r="I27" s="828">
        <f t="shared" si="2"/>
        <v>10.333343999999999</v>
      </c>
      <c r="J27" s="828" t="s">
        <v>1560</v>
      </c>
      <c r="K27" s="828" t="s">
        <v>22</v>
      </c>
      <c r="L27" s="1061" t="s">
        <v>1825</v>
      </c>
      <c r="M27" s="181"/>
      <c r="N27" s="1084" t="str">
        <f>IF('6b - General Lighting'!$X$131=0,'Lighting Assumptions 90.1-2016'!O4,IF('6b - General Lighting'!$X$131=1,'Lighting Assumptions 90.1-2016'!Q4,IF('6b - General Lighting'!$X$131=2,'Lighting Assumptions 90.1-2016'!S4,IF('6b - General Lighting'!$X$131=3,'Lighting Assumptions 90.1-2016'!U4,IF('6b - General Lighting'!$X$131=4,'Lighting Assumptions 90.1-2016'!W4,"")))))</f>
        <v/>
      </c>
    </row>
    <row r="28" spans="1:15" s="839" customFormat="1" ht="15" customHeight="1" x14ac:dyDescent="0.25">
      <c r="A28" s="806"/>
      <c r="B28" s="2512"/>
      <c r="C28" s="806"/>
      <c r="D28" s="2514" t="s">
        <v>69</v>
      </c>
      <c r="E28" s="2518">
        <v>1.06</v>
      </c>
      <c r="F28" s="2516">
        <f t="shared" si="1"/>
        <v>11.409734</v>
      </c>
      <c r="G28" s="1055" t="s">
        <v>1730</v>
      </c>
      <c r="H28" s="2520">
        <v>2</v>
      </c>
      <c r="I28" s="828">
        <f t="shared" si="2"/>
        <v>21.527799999999999</v>
      </c>
      <c r="J28" s="828" t="s">
        <v>1560</v>
      </c>
      <c r="K28" s="828" t="s">
        <v>22</v>
      </c>
      <c r="L28" s="1059" t="s">
        <v>1826</v>
      </c>
      <c r="M28" s="181"/>
      <c r="N28" s="1084" t="str">
        <f>IF('6b - General Lighting'!$X$131=0,'Lighting Assumptions 90.1-2016'!O5,IF('6b - General Lighting'!$X$131=1,'Lighting Assumptions 90.1-2016'!Q5,IF('6b - General Lighting'!$X$131=2,'Lighting Assumptions 90.1-2016'!S5,IF('6b - General Lighting'!$X$131=3,'Lighting Assumptions 90.1-2016'!U5,IF('6b - General Lighting'!$X$131=4,'Lighting Assumptions 90.1-2016'!W5,"")))))</f>
        <v/>
      </c>
    </row>
    <row r="29" spans="1:15" s="839" customFormat="1" ht="15" customHeight="1" x14ac:dyDescent="0.25">
      <c r="A29" s="806"/>
      <c r="B29" s="2512"/>
      <c r="C29" s="806"/>
      <c r="D29" s="2514" t="s">
        <v>70</v>
      </c>
      <c r="E29" s="2518">
        <v>0.81</v>
      </c>
      <c r="F29" s="2516">
        <f t="shared" si="1"/>
        <v>8.7187590000000004</v>
      </c>
      <c r="G29" s="1055" t="s">
        <v>1731</v>
      </c>
      <c r="H29" s="2520">
        <v>0.93</v>
      </c>
      <c r="I29" s="828">
        <f t="shared" si="2"/>
        <v>10.010427</v>
      </c>
      <c r="J29" s="828" t="s">
        <v>1560</v>
      </c>
      <c r="K29" s="828" t="s">
        <v>22</v>
      </c>
      <c r="L29" s="1059" t="s">
        <v>1827</v>
      </c>
      <c r="M29" s="181"/>
      <c r="N29" s="1084" t="str">
        <f>IF('6b - General Lighting'!$X$131=0,'Lighting Assumptions 90.1-2016'!O6,IF('6b - General Lighting'!$X$131=1,'Lighting Assumptions 90.1-2016'!Q6,IF('6b - General Lighting'!$X$131=2,'Lighting Assumptions 90.1-2016'!S6,IF('6b - General Lighting'!$X$131=3,'Lighting Assumptions 90.1-2016'!U6,IF('6b - General Lighting'!$X$131=4,'Lighting Assumptions 90.1-2016'!W6,"")))))</f>
        <v/>
      </c>
    </row>
    <row r="30" spans="1:15" s="839" customFormat="1" ht="15" customHeight="1" x14ac:dyDescent="0.25">
      <c r="A30" s="806"/>
      <c r="B30" s="2512"/>
      <c r="C30" s="806"/>
      <c r="D30" s="2514" t="s">
        <v>71</v>
      </c>
      <c r="E30" s="2518">
        <v>0.87</v>
      </c>
      <c r="F30" s="2516">
        <f t="shared" si="1"/>
        <v>9.3645929999999993</v>
      </c>
      <c r="G30" s="1055" t="s">
        <v>1732</v>
      </c>
      <c r="H30" s="2520">
        <v>0.63</v>
      </c>
      <c r="I30" s="828">
        <f t="shared" si="2"/>
        <v>6.7812570000000001</v>
      </c>
      <c r="J30" s="828" t="s">
        <v>1560</v>
      </c>
      <c r="K30" s="828" t="s">
        <v>22</v>
      </c>
      <c r="L30" s="1059" t="s">
        <v>1828</v>
      </c>
      <c r="M30" s="181"/>
      <c r="N30" s="1084" t="str">
        <f>IF('6b - General Lighting'!$X$131=0,'Lighting Assumptions 90.1-2016'!O7,IF('6b - General Lighting'!$X$131=1,'Lighting Assumptions 90.1-2016'!Q7,IF('6b - General Lighting'!$X$131=2,'Lighting Assumptions 90.1-2016'!S7,IF('6b - General Lighting'!$X$131=3,'Lighting Assumptions 90.1-2016'!U7,IF('6b - General Lighting'!$X$131=4,'Lighting Assumptions 90.1-2016'!W7,"")))))</f>
        <v/>
      </c>
    </row>
    <row r="31" spans="1:15" s="839" customFormat="1" ht="15" customHeight="1" x14ac:dyDescent="0.25">
      <c r="A31" s="806"/>
      <c r="B31" s="2512"/>
      <c r="C31" s="806"/>
      <c r="D31" s="2514" t="s">
        <v>72</v>
      </c>
      <c r="E31" s="2518">
        <v>0.8</v>
      </c>
      <c r="F31" s="2516">
        <f t="shared" si="1"/>
        <v>8.6111199999999997</v>
      </c>
      <c r="G31" s="1055" t="s">
        <v>1733</v>
      </c>
      <c r="H31" s="2520">
        <v>0.71</v>
      </c>
      <c r="I31" s="828">
        <f t="shared" si="2"/>
        <v>7.6423689999999995</v>
      </c>
      <c r="J31" s="828" t="s">
        <v>1560</v>
      </c>
      <c r="K31" s="828" t="s">
        <v>22</v>
      </c>
      <c r="L31" s="1059" t="s">
        <v>1829</v>
      </c>
      <c r="M31" s="181"/>
      <c r="N31" s="1084" t="str">
        <f>IF('6b - General Lighting'!$X$131=0,'Lighting Assumptions 90.1-2016'!O8,IF('6b - General Lighting'!$X$131=1,'Lighting Assumptions 90.1-2016'!Q8,IF('6b - General Lighting'!$X$131=2,'Lighting Assumptions 90.1-2016'!S8,IF('6b - General Lighting'!$X$131=3,'Lighting Assumptions 90.1-2016'!U8,IF('6b - General Lighting'!$X$131=4,'Lighting Assumptions 90.1-2016'!W8,"")))))</f>
        <v/>
      </c>
    </row>
    <row r="32" spans="1:15" s="839" customFormat="1" ht="15" customHeight="1" x14ac:dyDescent="0.25">
      <c r="A32" s="806"/>
      <c r="B32" s="2512"/>
      <c r="C32" s="806"/>
      <c r="D32" s="2514" t="s">
        <v>73</v>
      </c>
      <c r="E32" s="2518">
        <v>0.61</v>
      </c>
      <c r="F32" s="2516">
        <f t="shared" si="1"/>
        <v>6.5659789999999996</v>
      </c>
      <c r="G32" s="1055" t="s">
        <v>1734</v>
      </c>
      <c r="H32" s="2520">
        <v>0.63</v>
      </c>
      <c r="I32" s="828">
        <f t="shared" si="2"/>
        <v>6.7812570000000001</v>
      </c>
      <c r="J32" s="828" t="s">
        <v>1560</v>
      </c>
      <c r="K32" s="828" t="s">
        <v>22</v>
      </c>
      <c r="L32" s="1059" t="s">
        <v>1830</v>
      </c>
      <c r="M32" s="181"/>
      <c r="N32" s="1084" t="str">
        <f>IF('6b - General Lighting'!$X$131=0,'Lighting Assumptions 90.1-2016'!O9,IF('6b - General Lighting'!$X$131=1,'Lighting Assumptions 90.1-2016'!Q9,IF('6b - General Lighting'!$X$131=2,'Lighting Assumptions 90.1-2016'!S9,IF('6b - General Lighting'!$X$131=3,'Lighting Assumptions 90.1-2016'!U9,IF('6b - General Lighting'!$X$131=4,'Lighting Assumptions 90.1-2016'!W9,"")))))</f>
        <v/>
      </c>
    </row>
    <row r="33" spans="1:23" s="839" customFormat="1" ht="15" customHeight="1" x14ac:dyDescent="0.25">
      <c r="A33" s="806"/>
      <c r="B33" s="2512"/>
      <c r="C33" s="806"/>
      <c r="D33" s="2514" t="s">
        <v>74</v>
      </c>
      <c r="E33" s="2518">
        <v>0.48</v>
      </c>
      <c r="F33" s="2516">
        <f t="shared" si="1"/>
        <v>5.1666719999999993</v>
      </c>
      <c r="G33" s="1055" t="s">
        <v>1735</v>
      </c>
      <c r="H33" s="2520">
        <v>0.43</v>
      </c>
      <c r="I33" s="828">
        <f t="shared" si="2"/>
        <v>4.6284770000000002</v>
      </c>
      <c r="J33" s="828" t="s">
        <v>1560</v>
      </c>
      <c r="K33" s="828" t="s">
        <v>22</v>
      </c>
      <c r="L33" s="1059" t="s">
        <v>1831</v>
      </c>
      <c r="M33" s="181"/>
      <c r="N33" s="1084" t="str">
        <f>IF('6b - General Lighting'!$X$131=0,'Lighting Assumptions 90.1-2016'!O10,IF('6b - General Lighting'!$X$131=1,'Lighting Assumptions 90.1-2016'!Q10,IF('6b - General Lighting'!$X$131=2,'Lighting Assumptions 90.1-2016'!S10,IF('6b - General Lighting'!$X$131=3,'Lighting Assumptions 90.1-2016'!U10,IF('6b - General Lighting'!$X$131=4,'Lighting Assumptions 90.1-2016'!W10,"")))))</f>
        <v/>
      </c>
    </row>
    <row r="34" spans="1:23" s="839" customFormat="1" ht="15" customHeight="1" thickBot="1" x14ac:dyDescent="0.3">
      <c r="A34" s="806"/>
      <c r="B34" s="2512"/>
      <c r="C34" s="806"/>
      <c r="D34" s="2515" t="s">
        <v>75</v>
      </c>
      <c r="E34" s="2519">
        <v>0.9</v>
      </c>
      <c r="F34" s="2516">
        <f t="shared" si="1"/>
        <v>9.6875099999999996</v>
      </c>
      <c r="G34" s="1055" t="s">
        <v>1736</v>
      </c>
      <c r="H34" s="2520">
        <v>0.41</v>
      </c>
      <c r="I34" s="828">
        <f t="shared" si="2"/>
        <v>4.4131989999999996</v>
      </c>
      <c r="J34" s="828" t="s">
        <v>1560</v>
      </c>
      <c r="K34" s="828" t="s">
        <v>22</v>
      </c>
      <c r="L34" s="1059" t="s">
        <v>1832</v>
      </c>
      <c r="M34" s="181"/>
      <c r="N34" s="1084" t="str">
        <f>IF('6b - General Lighting'!$X$131=0,'Lighting Assumptions 90.1-2016'!O11,IF('6b - General Lighting'!$X$131=1,'Lighting Assumptions 90.1-2016'!Q11,IF('6b - General Lighting'!$X$131=2,'Lighting Assumptions 90.1-2016'!S11,IF('6b - General Lighting'!$X$131=3,'Lighting Assumptions 90.1-2016'!U11,IF('6b - General Lighting'!$X$131=4,'Lighting Assumptions 90.1-2016'!W11,"")))))</f>
        <v/>
      </c>
    </row>
    <row r="35" spans="1:23" s="839" customFormat="1" ht="15" customHeight="1" thickBot="1" x14ac:dyDescent="0.3">
      <c r="A35" s="806"/>
      <c r="B35" s="42"/>
      <c r="C35" s="806"/>
      <c r="D35" s="832" t="s">
        <v>1806</v>
      </c>
      <c r="E35" s="2519">
        <f>IF(bpf_reference="ACP",0.9,1.1)</f>
        <v>1.1000000000000001</v>
      </c>
      <c r="F35" s="2516">
        <f t="shared" si="1"/>
        <v>11.840290000000001</v>
      </c>
      <c r="G35" s="1055" t="s">
        <v>1737</v>
      </c>
      <c r="H35" s="2520">
        <v>1.06</v>
      </c>
      <c r="I35" s="828">
        <f t="shared" si="2"/>
        <v>11.409734</v>
      </c>
      <c r="J35" s="828" t="s">
        <v>1560</v>
      </c>
      <c r="K35" s="828" t="s">
        <v>22</v>
      </c>
      <c r="L35" s="1059" t="s">
        <v>1833</v>
      </c>
      <c r="M35" s="181"/>
      <c r="N35" s="1084" t="str">
        <f>IF('6b - General Lighting'!$X$131=0,'Lighting Assumptions 90.1-2016'!O12,IF('6b - General Lighting'!$X$131=1,'Lighting Assumptions 90.1-2016'!Q12,IF('6b - General Lighting'!$X$131=2,'Lighting Assumptions 90.1-2016'!S12,IF('6b - General Lighting'!$X$131=3,'Lighting Assumptions 90.1-2016'!U12,IF('6b - General Lighting'!$X$131=4,'Lighting Assumptions 90.1-2016'!W12,"")))))</f>
        <v/>
      </c>
    </row>
    <row r="36" spans="1:23" s="839" customFormat="1" ht="15" customHeight="1" x14ac:dyDescent="0.25">
      <c r="A36" s="806"/>
      <c r="B36" s="42"/>
      <c r="C36" s="806"/>
      <c r="E36" s="1070"/>
      <c r="F36" s="1070"/>
      <c r="G36" s="1055" t="s">
        <v>1738</v>
      </c>
      <c r="H36" s="2520">
        <v>0.77</v>
      </c>
      <c r="I36" s="828">
        <f t="shared" si="2"/>
        <v>8.2882029999999993</v>
      </c>
      <c r="J36" s="828" t="s">
        <v>1560</v>
      </c>
      <c r="K36" s="828" t="s">
        <v>22</v>
      </c>
      <c r="L36" s="1059" t="s">
        <v>1834</v>
      </c>
      <c r="M36" s="181"/>
      <c r="N36" s="1084" t="str">
        <f>IF('6b - General Lighting'!$X$131=0,'Lighting Assumptions 90.1-2016'!O13,IF('6b - General Lighting'!$X$131=1,'Lighting Assumptions 90.1-2016'!Q13,IF('6b - General Lighting'!$X$131=2,'Lighting Assumptions 90.1-2016'!S13,IF('6b - General Lighting'!$X$131=3,'Lighting Assumptions 90.1-2016'!U13,IF('6b - General Lighting'!$X$131=4,'Lighting Assumptions 90.1-2016'!W13,"")))))</f>
        <v/>
      </c>
    </row>
    <row r="37" spans="1:23" s="839" customFormat="1" ht="15" customHeight="1" x14ac:dyDescent="0.25">
      <c r="A37" s="806"/>
      <c r="B37" s="42"/>
      <c r="C37" s="806"/>
      <c r="E37" s="1070"/>
      <c r="F37" s="1070"/>
      <c r="G37" s="2521"/>
      <c r="H37" s="2522"/>
      <c r="I37" s="2522"/>
      <c r="J37" s="2522"/>
      <c r="K37" s="2522"/>
      <c r="L37" s="1059" t="s">
        <v>1835</v>
      </c>
      <c r="M37" s="181"/>
      <c r="N37" s="1084" t="str">
        <f>IF('6b - General Lighting'!$X$131=0,'Lighting Assumptions 90.1-2016'!O14,IF('6b - General Lighting'!$X$131=1,'Lighting Assumptions 90.1-2016'!Q14,IF('6b - General Lighting'!$X$131=2,'Lighting Assumptions 90.1-2016'!S14,IF('6b - General Lighting'!$X$131=3,'Lighting Assumptions 90.1-2016'!U14,IF('6b - General Lighting'!$X$131=4,'Lighting Assumptions 90.1-2016'!W14,"")))))</f>
        <v/>
      </c>
    </row>
    <row r="38" spans="1:23" s="839" customFormat="1" ht="15" customHeight="1" x14ac:dyDescent="0.25">
      <c r="A38" s="806"/>
      <c r="B38" s="42"/>
      <c r="C38" s="806"/>
      <c r="E38" s="1070"/>
      <c r="F38" s="1070"/>
      <c r="G38" s="1055" t="s">
        <v>1740</v>
      </c>
      <c r="H38" s="2520">
        <v>1.2</v>
      </c>
      <c r="I38" s="828">
        <f t="shared" si="2"/>
        <v>12.916679999999999</v>
      </c>
      <c r="J38" s="828" t="s">
        <v>22</v>
      </c>
      <c r="K38" s="828" t="s">
        <v>22</v>
      </c>
    </row>
    <row r="39" spans="1:23" s="839" customFormat="1" ht="15" customHeight="1" x14ac:dyDescent="0.25">
      <c r="A39" s="806"/>
      <c r="B39" s="42"/>
      <c r="C39" s="806"/>
      <c r="E39" s="1070"/>
      <c r="F39" s="1070"/>
      <c r="G39" s="1055" t="s">
        <v>1741</v>
      </c>
      <c r="H39" s="2520">
        <v>1.45</v>
      </c>
      <c r="I39" s="828">
        <f t="shared" si="2"/>
        <v>15.607654999999999</v>
      </c>
      <c r="J39" s="828" t="s">
        <v>1560</v>
      </c>
      <c r="K39" s="828" t="s">
        <v>22</v>
      </c>
    </row>
    <row r="40" spans="1:23" s="839" customFormat="1" ht="15" customHeight="1" x14ac:dyDescent="0.25">
      <c r="A40" s="806"/>
      <c r="B40" s="42"/>
      <c r="C40" s="806"/>
      <c r="G40" s="1055" t="s">
        <v>1742</v>
      </c>
      <c r="H40" s="2520">
        <v>0.43</v>
      </c>
      <c r="I40" s="828">
        <f t="shared" si="2"/>
        <v>4.6284770000000002</v>
      </c>
      <c r="J40" s="828" t="s">
        <v>1560</v>
      </c>
      <c r="K40" s="828" t="s">
        <v>22</v>
      </c>
    </row>
    <row r="41" spans="1:23" s="839" customFormat="1" ht="15" customHeight="1" x14ac:dyDescent="0.25">
      <c r="A41" s="806"/>
      <c r="B41" s="42"/>
      <c r="C41" s="806"/>
      <c r="G41" s="1055" t="s">
        <v>1743</v>
      </c>
      <c r="H41" s="2520">
        <v>0.57999999999999996</v>
      </c>
      <c r="I41" s="828">
        <f t="shared" si="2"/>
        <v>6.2430619999999992</v>
      </c>
      <c r="J41" s="828" t="s">
        <v>1560</v>
      </c>
      <c r="K41" s="828" t="s">
        <v>22</v>
      </c>
    </row>
    <row r="42" spans="1:23" s="839" customFormat="1" ht="15" customHeight="1" x14ac:dyDescent="0.25">
      <c r="A42" s="806"/>
      <c r="B42" s="42"/>
      <c r="C42" s="806"/>
      <c r="G42" s="1055" t="s">
        <v>1744</v>
      </c>
      <c r="H42" s="2520">
        <v>2.0299999999999998</v>
      </c>
      <c r="I42" s="828">
        <f t="shared" si="2"/>
        <v>21.850716999999996</v>
      </c>
      <c r="J42" s="828" t="s">
        <v>22</v>
      </c>
      <c r="K42" s="828" t="s">
        <v>22</v>
      </c>
      <c r="N42" s="3680" t="s">
        <v>2194</v>
      </c>
      <c r="O42" s="3680"/>
      <c r="P42" s="3680" t="s">
        <v>2195</v>
      </c>
      <c r="Q42" s="3680"/>
      <c r="R42" s="3680" t="s">
        <v>2196</v>
      </c>
      <c r="S42" s="3680"/>
      <c r="T42" s="3680" t="s">
        <v>2197</v>
      </c>
      <c r="U42" s="3680"/>
      <c r="V42" s="3680" t="s">
        <v>2198</v>
      </c>
      <c r="W42" s="3680"/>
    </row>
    <row r="43" spans="1:23" s="839" customFormat="1" ht="42.75" customHeight="1" x14ac:dyDescent="0.25">
      <c r="A43" s="806"/>
      <c r="B43" s="42"/>
      <c r="C43" s="806"/>
      <c r="G43" s="1055" t="s">
        <v>1745</v>
      </c>
      <c r="H43" s="2520">
        <v>0.69</v>
      </c>
      <c r="I43" s="828">
        <f t="shared" si="2"/>
        <v>7.427090999999999</v>
      </c>
      <c r="J43" s="828" t="s">
        <v>1560</v>
      </c>
      <c r="K43" s="828" t="s">
        <v>22</v>
      </c>
      <c r="L43" s="3678" t="s">
        <v>95</v>
      </c>
      <c r="M43" s="3529" t="s">
        <v>96</v>
      </c>
      <c r="N43" s="987" t="s">
        <v>1808</v>
      </c>
      <c r="O43" s="987" t="s">
        <v>1809</v>
      </c>
      <c r="P43" s="987" t="s">
        <v>1808</v>
      </c>
      <c r="Q43" s="987" t="s">
        <v>1809</v>
      </c>
      <c r="R43" s="987" t="s">
        <v>1808</v>
      </c>
      <c r="S43" s="987" t="s">
        <v>1809</v>
      </c>
      <c r="T43" s="987" t="s">
        <v>1808</v>
      </c>
      <c r="U43" s="987" t="s">
        <v>1809</v>
      </c>
      <c r="V43" s="987" t="s">
        <v>1808</v>
      </c>
      <c r="W43" s="987" t="s">
        <v>1809</v>
      </c>
    </row>
    <row r="44" spans="1:23" s="839" customFormat="1" ht="15" customHeight="1" x14ac:dyDescent="0.25">
      <c r="A44" s="806"/>
      <c r="B44" s="42"/>
      <c r="C44" s="806"/>
      <c r="G44" s="1055" t="s">
        <v>1746</v>
      </c>
      <c r="H44" s="828">
        <v>1.06</v>
      </c>
      <c r="I44" s="828">
        <f t="shared" si="2"/>
        <v>11.409734</v>
      </c>
      <c r="J44" s="828" t="s">
        <v>1560</v>
      </c>
      <c r="K44" s="828" t="s">
        <v>22</v>
      </c>
      <c r="L44" s="3679"/>
      <c r="M44" s="3674"/>
      <c r="N44" s="834" t="s">
        <v>707</v>
      </c>
      <c r="O44" s="835" t="s">
        <v>708</v>
      </c>
      <c r="P44" s="834" t="s">
        <v>707</v>
      </c>
      <c r="Q44" s="835" t="s">
        <v>708</v>
      </c>
      <c r="R44" s="834" t="s">
        <v>707</v>
      </c>
      <c r="S44" s="835" t="s">
        <v>708</v>
      </c>
      <c r="T44" s="834" t="s">
        <v>707</v>
      </c>
      <c r="U44" s="835" t="s">
        <v>708</v>
      </c>
      <c r="V44" s="834" t="s">
        <v>707</v>
      </c>
      <c r="W44" s="835" t="s">
        <v>708</v>
      </c>
    </row>
    <row r="45" spans="1:23" s="839" customFormat="1" ht="15" customHeight="1" x14ac:dyDescent="0.25">
      <c r="A45" s="806"/>
      <c r="B45" s="42"/>
      <c r="C45" s="806"/>
      <c r="G45" s="1055" t="s">
        <v>1747</v>
      </c>
      <c r="H45" s="2520">
        <v>0.45</v>
      </c>
      <c r="I45" s="828">
        <f t="shared" si="2"/>
        <v>4.8437549999999998</v>
      </c>
      <c r="J45" s="828" t="s">
        <v>1560</v>
      </c>
      <c r="K45" s="828" t="s">
        <v>22</v>
      </c>
      <c r="L45" s="836"/>
      <c r="M45" s="1071"/>
      <c r="N45" s="836" t="str">
        <f t="shared" ref="N45:W45" si="7">N43&amp;" "&amp;N44</f>
        <v>W/sf or W/linear foot IP</v>
      </c>
      <c r="O45" s="837" t="str">
        <f t="shared" si="7"/>
        <v>W/sm or W/linear meter SI</v>
      </c>
      <c r="P45" s="836" t="str">
        <f t="shared" si="7"/>
        <v>W/sf or W/linear foot IP</v>
      </c>
      <c r="Q45" s="837" t="str">
        <f t="shared" si="7"/>
        <v>W/sm or W/linear meter SI</v>
      </c>
      <c r="R45" s="836" t="str">
        <f t="shared" si="7"/>
        <v>W/sf or W/linear foot IP</v>
      </c>
      <c r="S45" s="837" t="str">
        <f t="shared" si="7"/>
        <v>W/sm or W/linear meter SI</v>
      </c>
      <c r="T45" s="836" t="str">
        <f t="shared" si="7"/>
        <v>W/sf or W/linear foot IP</v>
      </c>
      <c r="U45" s="837" t="str">
        <f t="shared" si="7"/>
        <v>W/sm or W/linear meter SI</v>
      </c>
      <c r="V45" s="836" t="str">
        <f t="shared" si="7"/>
        <v>W/sf or W/linear foot IP</v>
      </c>
      <c r="W45" s="837" t="str">
        <f t="shared" si="7"/>
        <v>W/sm or W/linear meter SI</v>
      </c>
    </row>
    <row r="46" spans="1:23" s="839" customFormat="1" ht="15" customHeight="1" x14ac:dyDescent="0.25">
      <c r="A46" s="806"/>
      <c r="B46" s="42"/>
      <c r="C46" s="806"/>
      <c r="G46" s="1055" t="s">
        <v>1748</v>
      </c>
      <c r="H46" s="2520">
        <v>1.7</v>
      </c>
      <c r="I46" s="828">
        <f t="shared" si="2"/>
        <v>18.298629999999999</v>
      </c>
      <c r="J46" s="828" t="s">
        <v>22</v>
      </c>
      <c r="K46" s="828" t="s">
        <v>22</v>
      </c>
      <c r="L46" s="1061" t="s">
        <v>86</v>
      </c>
      <c r="M46" s="1062" t="s">
        <v>91</v>
      </c>
      <c r="N46" s="1076" t="s">
        <v>2343</v>
      </c>
      <c r="O46" s="1076" t="s">
        <v>2343</v>
      </c>
      <c r="P46" s="1076" t="s">
        <v>2343</v>
      </c>
      <c r="Q46" s="1076" t="s">
        <v>2343</v>
      </c>
      <c r="R46" s="1076">
        <v>0.1</v>
      </c>
      <c r="S46" s="1078">
        <f>R46*10.7639</f>
        <v>1.07639</v>
      </c>
      <c r="T46" s="1076">
        <v>0.15</v>
      </c>
      <c r="U46" s="1078">
        <f>T46*10.7639</f>
        <v>1.6145849999999999</v>
      </c>
      <c r="V46" s="1076">
        <v>0.2</v>
      </c>
      <c r="W46" s="1078">
        <f>V46*10.7639</f>
        <v>2.1527799999999999</v>
      </c>
    </row>
    <row r="47" spans="1:23" s="839" customFormat="1" ht="15" customHeight="1" x14ac:dyDescent="0.25">
      <c r="A47" s="806"/>
      <c r="B47" s="42"/>
      <c r="C47" s="806"/>
      <c r="G47" s="1055" t="s">
        <v>1749</v>
      </c>
      <c r="H47" s="2520">
        <v>1</v>
      </c>
      <c r="I47" s="828">
        <f t="shared" si="2"/>
        <v>10.7639</v>
      </c>
      <c r="J47" s="828" t="s">
        <v>22</v>
      </c>
      <c r="K47" s="828" t="s">
        <v>22</v>
      </c>
      <c r="L47" s="1059" t="s">
        <v>104</v>
      </c>
      <c r="M47" s="1064" t="s">
        <v>92</v>
      </c>
      <c r="N47" s="1076" t="s">
        <v>2343</v>
      </c>
      <c r="O47" s="1076" t="s">
        <v>2343</v>
      </c>
      <c r="P47" s="1079" t="s">
        <v>1838</v>
      </c>
      <c r="Q47" s="1079" t="s">
        <v>1838</v>
      </c>
      <c r="R47" s="1079" t="s">
        <v>1838</v>
      </c>
      <c r="S47" s="1079" t="s">
        <v>1838</v>
      </c>
      <c r="T47" s="1079" t="s">
        <v>1838</v>
      </c>
      <c r="U47" s="1079" t="s">
        <v>1838</v>
      </c>
      <c r="V47" s="1079" t="s">
        <v>1838</v>
      </c>
      <c r="W47" s="1079" t="s">
        <v>1838</v>
      </c>
    </row>
    <row r="48" spans="1:23" s="839" customFormat="1" ht="15" customHeight="1" x14ac:dyDescent="0.25">
      <c r="A48" s="806"/>
      <c r="B48" s="42"/>
      <c r="C48" s="806"/>
      <c r="G48" s="1055" t="s">
        <v>1750</v>
      </c>
      <c r="H48" s="2520">
        <v>0.48</v>
      </c>
      <c r="I48" s="828">
        <f t="shared" si="2"/>
        <v>5.1666719999999993</v>
      </c>
      <c r="J48" s="828" t="s">
        <v>22</v>
      </c>
      <c r="K48" s="828" t="s">
        <v>22</v>
      </c>
      <c r="L48" s="1059" t="s">
        <v>87</v>
      </c>
      <c r="M48" s="1064" t="s">
        <v>91</v>
      </c>
      <c r="N48" s="1080" t="s">
        <v>2343</v>
      </c>
      <c r="O48" s="1080" t="s">
        <v>2343</v>
      </c>
      <c r="P48" s="1080">
        <v>0.75</v>
      </c>
      <c r="Q48" s="1080">
        <f>P48*10.7639</f>
        <v>8.0729249999999997</v>
      </c>
      <c r="R48" s="1080">
        <v>0.75</v>
      </c>
      <c r="S48" s="1080">
        <f>R48*10.7639</f>
        <v>8.0729249999999997</v>
      </c>
      <c r="T48" s="1080">
        <v>0.75</v>
      </c>
      <c r="U48" s="1080">
        <f>T48*10.7639</f>
        <v>8.0729249999999997</v>
      </c>
      <c r="V48" s="1080">
        <v>0.75</v>
      </c>
      <c r="W48" s="1080">
        <f>V48*10.7639</f>
        <v>8.0729249999999997</v>
      </c>
    </row>
    <row r="49" spans="1:23" s="839" customFormat="1" ht="15" customHeight="1" x14ac:dyDescent="0.25">
      <c r="A49" s="806"/>
      <c r="B49" s="42"/>
      <c r="C49" s="806"/>
      <c r="G49" s="1055" t="s">
        <v>1751</v>
      </c>
      <c r="H49" s="2520">
        <v>0.78</v>
      </c>
      <c r="I49" s="828">
        <f t="shared" si="2"/>
        <v>8.395842</v>
      </c>
      <c r="J49" s="828" t="s">
        <v>22</v>
      </c>
      <c r="K49" s="828" t="s">
        <v>22</v>
      </c>
      <c r="L49" s="1059" t="s">
        <v>88</v>
      </c>
      <c r="M49" s="1064" t="s">
        <v>91</v>
      </c>
      <c r="N49" s="1080" t="s">
        <v>2343</v>
      </c>
      <c r="O49" s="1080" t="s">
        <v>2343</v>
      </c>
      <c r="P49" s="1080">
        <v>0.5</v>
      </c>
      <c r="Q49" s="1080">
        <f>P49*10.7639</f>
        <v>5.3819499999999998</v>
      </c>
      <c r="R49" s="1080">
        <v>0.5</v>
      </c>
      <c r="S49" s="1080">
        <f>R49*10.7639</f>
        <v>5.3819499999999998</v>
      </c>
      <c r="T49" s="1080">
        <v>0.5</v>
      </c>
      <c r="U49" s="1080">
        <f>T49*10.7639</f>
        <v>5.3819499999999998</v>
      </c>
      <c r="V49" s="1080">
        <v>0.5</v>
      </c>
      <c r="W49" s="1080">
        <f>V49*10.7639</f>
        <v>5.3819499999999998</v>
      </c>
    </row>
    <row r="50" spans="1:23" s="839" customFormat="1" ht="15" customHeight="1" x14ac:dyDescent="0.25">
      <c r="A50" s="806"/>
      <c r="B50" s="42"/>
      <c r="C50" s="806"/>
      <c r="G50" s="1055" t="s">
        <v>1752</v>
      </c>
      <c r="H50" s="2520">
        <v>0.62</v>
      </c>
      <c r="I50" s="828">
        <f t="shared" si="2"/>
        <v>6.6736179999999994</v>
      </c>
      <c r="J50" s="828" t="s">
        <v>22</v>
      </c>
      <c r="K50" s="828" t="s">
        <v>22</v>
      </c>
      <c r="L50" s="1059" t="s">
        <v>89</v>
      </c>
      <c r="M50" s="1064" t="s">
        <v>92</v>
      </c>
      <c r="N50" s="1079" t="s">
        <v>2343</v>
      </c>
      <c r="O50" s="1081" t="s">
        <v>2343</v>
      </c>
      <c r="P50" s="1079">
        <v>400</v>
      </c>
      <c r="Q50" s="1079">
        <v>400</v>
      </c>
      <c r="R50" s="1079">
        <v>400</v>
      </c>
      <c r="S50" s="1079">
        <v>400</v>
      </c>
      <c r="T50" s="1079">
        <v>400</v>
      </c>
      <c r="U50" s="1079">
        <v>400</v>
      </c>
      <c r="V50" s="1079">
        <v>400</v>
      </c>
      <c r="W50" s="1079">
        <v>400</v>
      </c>
    </row>
    <row r="51" spans="1:23" s="839" customFormat="1" ht="15" customHeight="1" x14ac:dyDescent="0.25">
      <c r="A51" s="806"/>
      <c r="B51" s="42"/>
      <c r="C51" s="806"/>
      <c r="G51" s="1055" t="s">
        <v>1753</v>
      </c>
      <c r="H51" s="2520">
        <v>0.93</v>
      </c>
      <c r="I51" s="828">
        <f t="shared" si="2"/>
        <v>10.010427</v>
      </c>
      <c r="J51" s="828" t="s">
        <v>22</v>
      </c>
      <c r="K51" s="828" t="s">
        <v>22</v>
      </c>
      <c r="L51" s="1059" t="s">
        <v>90</v>
      </c>
      <c r="M51" s="1064" t="s">
        <v>92</v>
      </c>
      <c r="N51" s="1080" t="s">
        <v>2343</v>
      </c>
      <c r="O51" s="1080" t="s">
        <v>2343</v>
      </c>
      <c r="P51" s="1080">
        <v>800</v>
      </c>
      <c r="Q51" s="1080">
        <v>800</v>
      </c>
      <c r="R51" s="1080">
        <v>800</v>
      </c>
      <c r="S51" s="1080">
        <v>800</v>
      </c>
      <c r="T51" s="1080">
        <v>800</v>
      </c>
      <c r="U51" s="1080">
        <v>800</v>
      </c>
      <c r="V51" s="1080">
        <v>800</v>
      </c>
      <c r="W51" s="1080">
        <v>800</v>
      </c>
    </row>
    <row r="52" spans="1:23" s="839" customFormat="1" ht="15" customHeight="1" x14ac:dyDescent="0.25">
      <c r="A52" s="806"/>
      <c r="B52" s="42"/>
      <c r="C52" s="806"/>
      <c r="G52" s="1055" t="s">
        <v>1754</v>
      </c>
      <c r="H52" s="2520">
        <v>0.81</v>
      </c>
      <c r="I52" s="828">
        <f t="shared" si="2"/>
        <v>8.7187590000000004</v>
      </c>
      <c r="J52" s="828" t="s">
        <v>1560</v>
      </c>
      <c r="K52" s="828" t="s">
        <v>22</v>
      </c>
      <c r="L52" s="1061" t="s">
        <v>86</v>
      </c>
      <c r="M52" s="1062" t="s">
        <v>92</v>
      </c>
      <c r="N52" s="1076" t="s">
        <v>2343</v>
      </c>
      <c r="O52" s="1077" t="s">
        <v>2343</v>
      </c>
      <c r="P52" s="1076" t="s">
        <v>2343</v>
      </c>
      <c r="Q52" s="1077" t="s">
        <v>2343</v>
      </c>
      <c r="R52" s="1076">
        <v>2.5</v>
      </c>
      <c r="S52" s="1078">
        <f>R52*3.28</f>
        <v>8.1999999999999993</v>
      </c>
      <c r="T52" s="1076">
        <v>3.75</v>
      </c>
      <c r="U52" s="1078">
        <f>T52*3.28</f>
        <v>12.299999999999999</v>
      </c>
      <c r="V52" s="1076">
        <v>5</v>
      </c>
      <c r="W52" s="1078">
        <f>V52*3.28</f>
        <v>16.399999999999999</v>
      </c>
    </row>
    <row r="53" spans="1:23" s="839" customFormat="1" ht="15" customHeight="1" x14ac:dyDescent="0.25">
      <c r="A53" s="806"/>
      <c r="B53" s="42"/>
      <c r="C53" s="806"/>
      <c r="G53" s="1055" t="s">
        <v>1755</v>
      </c>
      <c r="H53" s="2520">
        <v>0.14000000000000001</v>
      </c>
      <c r="I53" s="828">
        <f t="shared" si="2"/>
        <v>1.5069460000000001</v>
      </c>
      <c r="J53" s="828" t="s">
        <v>1560</v>
      </c>
      <c r="K53" s="828" t="s">
        <v>22</v>
      </c>
    </row>
    <row r="54" spans="1:23" s="839" customFormat="1" ht="15" customHeight="1" x14ac:dyDescent="0.25">
      <c r="A54" s="806"/>
      <c r="B54" s="42"/>
      <c r="C54" s="806"/>
      <c r="G54" s="1055" t="s">
        <v>1756</v>
      </c>
      <c r="H54" s="2520">
        <v>1.34</v>
      </c>
      <c r="I54" s="828">
        <f t="shared" si="2"/>
        <v>14.423626000000001</v>
      </c>
      <c r="J54" s="828" t="s">
        <v>1560</v>
      </c>
      <c r="K54" s="1085" t="s">
        <v>22</v>
      </c>
      <c r="L54" s="1086" t="str">
        <f>"IP"&amp;L46&amp;M46</f>
        <v>IPBuilding facadesArea</v>
      </c>
      <c r="N54" s="1086" t="str">
        <f>IF('6b - General Lighting'!$X$131=0,'Lighting Assumptions 90.1-2016'!N46,IF('6b - General Lighting'!$X$131=1,'Lighting Assumptions 90.1-2016'!P46,IF('6b - General Lighting'!$X$131=2,'Lighting Assumptions 90.1-2016'!R46,IF('6b - General Lighting'!$X$131=3,'Lighting Assumptions 90.1-2016'!T46,IF('6b - General Lighting'!$X$131=4,'Lighting Assumptions 90.1-2016'!V46,"")))))</f>
        <v/>
      </c>
    </row>
    <row r="55" spans="1:23" s="839" customFormat="1" ht="15" customHeight="1" x14ac:dyDescent="0.25">
      <c r="A55" s="806"/>
      <c r="B55" s="42"/>
      <c r="C55" s="806"/>
      <c r="G55" s="1055" t="s">
        <v>1757</v>
      </c>
      <c r="H55" s="2520">
        <v>0.96</v>
      </c>
      <c r="I55" s="828">
        <f t="shared" si="2"/>
        <v>10.333343999999999</v>
      </c>
      <c r="J55" s="828" t="s">
        <v>22</v>
      </c>
      <c r="K55" s="1085" t="s">
        <v>22</v>
      </c>
      <c r="L55" s="1086" t="str">
        <f>"IP"&amp;L47</f>
        <v>IPATMs and night depositories</v>
      </c>
      <c r="N55" s="1086" t="str">
        <f>IF('6b - General Lighting'!$X$131=0,'Lighting Assumptions 90.1-2016'!N47,IF('6b - General Lighting'!$X$131=1,'Lighting Assumptions 90.1-2016'!P47,IF('6b - General Lighting'!$X$131=2,'Lighting Assumptions 90.1-2016'!R47,IF('6b - General Lighting'!$X$131=3,'Lighting Assumptions 90.1-2016'!T47,IF('6b - General Lighting'!$X$131=4,'Lighting Assumptions 90.1-2016'!V47,"")))))</f>
        <v/>
      </c>
    </row>
    <row r="56" spans="1:23" s="839" customFormat="1" ht="15" customHeight="1" x14ac:dyDescent="0.25">
      <c r="A56" s="806"/>
      <c r="B56" s="42"/>
      <c r="C56" s="806"/>
      <c r="G56" s="1055" t="s">
        <v>1758</v>
      </c>
      <c r="H56" s="2520">
        <v>0.85</v>
      </c>
      <c r="I56" s="828">
        <f t="shared" si="2"/>
        <v>9.1493149999999996</v>
      </c>
      <c r="J56" s="828" t="s">
        <v>22</v>
      </c>
      <c r="K56" s="1085" t="s">
        <v>22</v>
      </c>
      <c r="L56" s="1086" t="str">
        <f>"IP"&amp;L48</f>
        <v>IPEntrances and gatehouse inspection stations at guarded facilities</v>
      </c>
      <c r="N56" s="1086" t="str">
        <f>IF('6b - General Lighting'!$X$131=0,'Lighting Assumptions 90.1-2016'!N48,IF('6b - General Lighting'!$X$131=1,'Lighting Assumptions 90.1-2016'!P48,IF('6b - General Lighting'!$X$131=2,'Lighting Assumptions 90.1-2016'!R48,IF('6b - General Lighting'!$X$131=3,'Lighting Assumptions 90.1-2016'!T48,IF('6b - General Lighting'!$X$131=4,'Lighting Assumptions 90.1-2016'!V48,"")))))</f>
        <v/>
      </c>
    </row>
    <row r="57" spans="1:23" s="839" customFormat="1" ht="15" customHeight="1" x14ac:dyDescent="0.25">
      <c r="A57" s="806"/>
      <c r="B57" s="42"/>
      <c r="C57" s="806"/>
      <c r="G57" s="1055" t="s">
        <v>1759</v>
      </c>
      <c r="H57" s="2520">
        <v>1.22</v>
      </c>
      <c r="I57" s="828">
        <f t="shared" si="2"/>
        <v>13.131957999999999</v>
      </c>
      <c r="J57" s="828" t="s">
        <v>1560</v>
      </c>
      <c r="K57" s="1085" t="s">
        <v>22</v>
      </c>
      <c r="L57" s="1086" t="str">
        <f>"IP"&amp;L49</f>
        <v>IPLoading areas for law enforcement, fire, ambulance, and other emergency service vehicles</v>
      </c>
      <c r="N57" s="1086" t="str">
        <f>IF('6b - General Lighting'!$X$131=0,'Lighting Assumptions 90.1-2016'!N49,IF('6b - General Lighting'!$X$131=1,'Lighting Assumptions 90.1-2016'!P49,IF('6b - General Lighting'!$X$131=2,'Lighting Assumptions 90.1-2016'!R49,IF('6b - General Lighting'!$X$131=3,'Lighting Assumptions 90.1-2016'!T49,IF('6b - General Lighting'!$X$131=4,'Lighting Assumptions 90.1-2016'!V49,"")))))</f>
        <v/>
      </c>
    </row>
    <row r="58" spans="1:23" s="839" customFormat="1" ht="15" customHeight="1" x14ac:dyDescent="0.25">
      <c r="A58" s="806"/>
      <c r="B58" s="42"/>
      <c r="C58" s="806"/>
      <c r="G58" s="1055" t="s">
        <v>1760</v>
      </c>
      <c r="H58" s="2520">
        <v>0.42</v>
      </c>
      <c r="I58" s="828">
        <f t="shared" si="2"/>
        <v>4.5208379999999995</v>
      </c>
      <c r="J58" s="828" t="s">
        <v>1560</v>
      </c>
      <c r="K58" s="1085" t="s">
        <v>22</v>
      </c>
      <c r="L58" s="1086" t="str">
        <f>"IP"&amp;L50</f>
        <v>IPDrive-through windows at fast food restaurants</v>
      </c>
      <c r="N58" s="1086" t="str">
        <f>IF('6b - General Lighting'!$X$131=0,'Lighting Assumptions 90.1-2016'!N50,IF('6b - General Lighting'!$X$131=1,'Lighting Assumptions 90.1-2016'!P50,IF('6b - General Lighting'!$X$131=2,'Lighting Assumptions 90.1-2016'!R50,IF('6b - General Lighting'!$X$131=3,'Lighting Assumptions 90.1-2016'!T50,IF('6b - General Lighting'!$X$131=4,'Lighting Assumptions 90.1-2016'!V50,"")))))</f>
        <v/>
      </c>
    </row>
    <row r="59" spans="1:23" s="839" customFormat="1" ht="15" customHeight="1" x14ac:dyDescent="0.25">
      <c r="A59" s="806"/>
      <c r="B59" s="42"/>
      <c r="C59" s="806"/>
      <c r="G59" s="1055" t="s">
        <v>1761</v>
      </c>
      <c r="H59" s="2520">
        <v>0.57999999999999996</v>
      </c>
      <c r="I59" s="828">
        <f t="shared" si="2"/>
        <v>6.2430619999999992</v>
      </c>
      <c r="J59" s="828" t="s">
        <v>22</v>
      </c>
      <c r="K59" s="1085" t="s">
        <v>22</v>
      </c>
      <c r="L59" s="1086" t="str">
        <f>"IP"&amp;L51</f>
        <v>IPParking near 24-hour retail entrances</v>
      </c>
      <c r="N59" s="1086" t="str">
        <f>IF('6b - General Lighting'!$X$131=0,'Lighting Assumptions 90.1-2016'!N51,IF('6b - General Lighting'!$X$131=1,'Lighting Assumptions 90.1-2016'!P51,IF('6b - General Lighting'!$X$131=2,'Lighting Assumptions 90.1-2016'!R51,IF('6b - General Lighting'!$X$131=3,'Lighting Assumptions 90.1-2016'!T51,IF('6b - General Lighting'!$X$131=4,'Lighting Assumptions 90.1-2016'!V51,"")))))</f>
        <v/>
      </c>
    </row>
    <row r="60" spans="1:23" s="839" customFormat="1" ht="15" customHeight="1" x14ac:dyDescent="0.25">
      <c r="A60" s="806"/>
      <c r="B60" s="42"/>
      <c r="C60" s="806"/>
      <c r="G60" s="2521"/>
      <c r="H60" s="2520"/>
      <c r="I60" s="2520"/>
      <c r="J60" s="2520"/>
      <c r="K60" s="2523"/>
      <c r="L60" s="1086" t="str">
        <f>"IP"&amp;L52&amp;M52</f>
        <v>IPBuilding facadesLength</v>
      </c>
      <c r="N60" s="1086" t="str">
        <f>IF('6b - General Lighting'!$X$131=0,'Lighting Assumptions 90.1-2016'!N52,IF('6b - General Lighting'!$X$131=1,'Lighting Assumptions 90.1-2016'!P52,IF('6b - General Lighting'!$X$131=2,'Lighting Assumptions 90.1-2016'!R52,IF('6b - General Lighting'!$X$131=3,'Lighting Assumptions 90.1-2016'!T52,IF('6b - General Lighting'!$X$131=4,'Lighting Assumptions 90.1-2016'!V52,"")))))</f>
        <v/>
      </c>
    </row>
    <row r="61" spans="1:23" s="839" customFormat="1" ht="15" customHeight="1" x14ac:dyDescent="0.25">
      <c r="A61" s="806"/>
      <c r="B61" s="42"/>
      <c r="C61" s="806"/>
      <c r="G61" s="1055" t="s">
        <v>1763</v>
      </c>
      <c r="H61" s="2520">
        <v>0.46</v>
      </c>
      <c r="I61" s="828">
        <f t="shared" si="2"/>
        <v>4.9513939999999996</v>
      </c>
      <c r="J61" s="828" t="s">
        <v>22</v>
      </c>
      <c r="K61" s="1085" t="s">
        <v>22</v>
      </c>
      <c r="L61" s="1086" t="str">
        <f>"SI"&amp;L46&amp;M46</f>
        <v>SIBuilding facadesArea</v>
      </c>
      <c r="N61" s="1086" t="str">
        <f>IF('6b - General Lighting'!$X$131=0,'Lighting Assumptions 90.1-2016'!O46,IF('6b - General Lighting'!$X$131=1,'Lighting Assumptions 90.1-2016'!Q46,IF('6b - General Lighting'!$X$131=2,'Lighting Assumptions 90.1-2016'!S46,IF('6b - General Lighting'!$X$131=3,'Lighting Assumptions 90.1-2016'!U46,IF('6b - General Lighting'!$X$131=4,'Lighting Assumptions 90.1-2016'!W46,"")))))</f>
        <v/>
      </c>
    </row>
    <row r="62" spans="1:23" s="839" customFormat="1" ht="15" customHeight="1" x14ac:dyDescent="0.25">
      <c r="A62" s="806"/>
      <c r="B62" s="42"/>
      <c r="C62" s="806"/>
      <c r="G62" s="1055" t="s">
        <v>3254</v>
      </c>
      <c r="H62" s="2520">
        <v>0.97</v>
      </c>
      <c r="I62" s="828">
        <f t="shared" si="2"/>
        <v>10.440982999999999</v>
      </c>
      <c r="J62" s="828" t="s">
        <v>1560</v>
      </c>
      <c r="K62" s="1085" t="s">
        <v>22</v>
      </c>
      <c r="L62" s="1086" t="str">
        <f>"SI"&amp;L47</f>
        <v>SIATMs and night depositories</v>
      </c>
      <c r="N62" s="1086" t="str">
        <f>IF('6b - General Lighting'!$X$131=0,'Lighting Assumptions 90.1-2016'!O47,IF('6b - General Lighting'!$X$131=1,'Lighting Assumptions 90.1-2016'!Q47,IF('6b - General Lighting'!$X$131=2,'Lighting Assumptions 90.1-2016'!S47,IF('6b - General Lighting'!$X$131=3,'Lighting Assumptions 90.1-2016'!U47,IF('6b - General Lighting'!$X$131=4,'Lighting Assumptions 90.1-2016'!W47,"")))))</f>
        <v/>
      </c>
    </row>
    <row r="63" spans="1:23" s="839" customFormat="1" ht="15" customHeight="1" x14ac:dyDescent="0.25">
      <c r="A63" s="806"/>
      <c r="B63" s="42"/>
      <c r="C63" s="806"/>
      <c r="G63" s="1055" t="s">
        <v>1765</v>
      </c>
      <c r="H63" s="2520">
        <v>0.56000000000000005</v>
      </c>
      <c r="I63" s="828">
        <f t="shared" si="2"/>
        <v>6.0277840000000005</v>
      </c>
      <c r="J63" s="828" t="s">
        <v>1560</v>
      </c>
      <c r="K63" s="1085" t="s">
        <v>22</v>
      </c>
      <c r="L63" s="1086" t="str">
        <f>"SI"&amp;L48</f>
        <v>SIEntrances and gatehouse inspection stations at guarded facilities</v>
      </c>
      <c r="N63" s="1086" t="str">
        <f>IF('6b - General Lighting'!$X$131=0,'Lighting Assumptions 90.1-2016'!O48,IF('6b - General Lighting'!$X$131=1,'Lighting Assumptions 90.1-2016'!Q48,IF('6b - General Lighting'!$X$131=2,'Lighting Assumptions 90.1-2016'!S48,IF('6b - General Lighting'!$X$131=3,'Lighting Assumptions 90.1-2016'!U48,IF('6b - General Lighting'!$X$131=4,'Lighting Assumptions 90.1-2016'!W48,"")))))</f>
        <v/>
      </c>
    </row>
    <row r="64" spans="1:23" s="839" customFormat="1" ht="15" customHeight="1" x14ac:dyDescent="0.25">
      <c r="A64" s="806"/>
      <c r="B64" s="42"/>
      <c r="C64" s="806"/>
      <c r="G64" s="1055" t="s">
        <v>75</v>
      </c>
      <c r="H64" s="2520">
        <v>1.1399999999999999</v>
      </c>
      <c r="I64" s="828">
        <f t="shared" si="2"/>
        <v>12.270845999999999</v>
      </c>
      <c r="J64" s="828" t="s">
        <v>1560</v>
      </c>
      <c r="K64" s="1085" t="s">
        <v>22</v>
      </c>
      <c r="L64" s="1086" t="str">
        <f>"SI"&amp;L49</f>
        <v>SILoading areas for law enforcement, fire, ambulance, and other emergency service vehicles</v>
      </c>
      <c r="N64" s="1086" t="str">
        <f>IF('6b - General Lighting'!$X$131=0,'Lighting Assumptions 90.1-2016'!O49,IF('6b - General Lighting'!$X$131=1,'Lighting Assumptions 90.1-2016'!Q49,IF('6b - General Lighting'!$X$131=2,'Lighting Assumptions 90.1-2016'!S49,IF('6b - General Lighting'!$X$131=3,'Lighting Assumptions 90.1-2016'!U49,IF('6b - General Lighting'!$X$131=4,'Lighting Assumptions 90.1-2016'!W49,"")))))</f>
        <v/>
      </c>
    </row>
    <row r="65" spans="1:14" s="839" customFormat="1" ht="15" customHeight="1" x14ac:dyDescent="0.25">
      <c r="A65" s="806"/>
      <c r="B65" s="42"/>
      <c r="C65" s="806"/>
      <c r="G65" s="1055" t="s">
        <v>1766</v>
      </c>
      <c r="H65" s="2520">
        <v>1.06</v>
      </c>
      <c r="I65" s="828">
        <f t="shared" si="2"/>
        <v>11.409734</v>
      </c>
      <c r="J65" s="828" t="s">
        <v>1560</v>
      </c>
      <c r="K65" s="1085" t="s">
        <v>22</v>
      </c>
      <c r="L65" s="1086" t="str">
        <f>"SI"&amp;L50</f>
        <v>SIDrive-through windows at fast food restaurants</v>
      </c>
      <c r="N65" s="1086" t="str">
        <f>IF('6b - General Lighting'!$X$131=0,'Lighting Assumptions 90.1-2016'!O50,IF('6b - General Lighting'!$X$131=1,'Lighting Assumptions 90.1-2016'!Q50,IF('6b - General Lighting'!$X$131=2,'Lighting Assumptions 90.1-2016'!S50,IF('6b - General Lighting'!$X$131=3,'Lighting Assumptions 90.1-2016'!U50,IF('6b - General Lighting'!$X$131=4,'Lighting Assumptions 90.1-2016'!W50,"")))))</f>
        <v/>
      </c>
    </row>
    <row r="66" spans="1:14" s="839" customFormat="1" ht="15" customHeight="1" x14ac:dyDescent="0.25">
      <c r="A66" s="806"/>
      <c r="B66" s="42"/>
      <c r="C66" s="806"/>
      <c r="G66" s="1055" t="s">
        <v>1767</v>
      </c>
      <c r="H66" s="2520">
        <v>1.8</v>
      </c>
      <c r="I66" s="828">
        <f t="shared" si="2"/>
        <v>19.375019999999999</v>
      </c>
      <c r="J66" s="828" t="s">
        <v>1560</v>
      </c>
      <c r="K66" s="1085" t="s">
        <v>1560</v>
      </c>
      <c r="L66" s="1086" t="str">
        <f>"SI"&amp;L51</f>
        <v>SIParking near 24-hour retail entrances</v>
      </c>
      <c r="N66" s="1086" t="str">
        <f>IF('6b - General Lighting'!$X$131=0,'Lighting Assumptions 90.1-2016'!O51,IF('6b - General Lighting'!$X$131=1,'Lighting Assumptions 90.1-2016'!Q51,IF('6b - General Lighting'!$X$131=2,'Lighting Assumptions 90.1-2016'!S51,IF('6b - General Lighting'!$X$131=3,'Lighting Assumptions 90.1-2016'!U51,IF('6b - General Lighting'!$X$131=4,'Lighting Assumptions 90.1-2016'!W51,"")))))</f>
        <v/>
      </c>
    </row>
    <row r="67" spans="1:14" s="839" customFormat="1" ht="15" customHeight="1" x14ac:dyDescent="0.25">
      <c r="A67" s="806"/>
      <c r="B67" s="42"/>
      <c r="C67" s="806"/>
      <c r="G67" s="1055" t="s">
        <v>1768</v>
      </c>
      <c r="H67" s="2520">
        <v>0.88</v>
      </c>
      <c r="I67" s="828">
        <f t="shared" si="2"/>
        <v>9.472232</v>
      </c>
      <c r="J67" s="828" t="s">
        <v>1560</v>
      </c>
      <c r="K67" s="1085" t="s">
        <v>22</v>
      </c>
      <c r="L67" s="1086" t="str">
        <f>"SI"&amp;L52&amp;M52</f>
        <v>SIBuilding facadesLength</v>
      </c>
      <c r="N67" s="1086" t="str">
        <f>IF('6b - General Lighting'!$X$131=0,'Lighting Assumptions 90.1-2016'!O52,IF('6b - General Lighting'!$X$131=1,'Lighting Assumptions 90.1-2016'!Q52,IF('6b - General Lighting'!$X$131=2,'Lighting Assumptions 90.1-2016'!S52,IF('6b - General Lighting'!$X$131=3,'Lighting Assumptions 90.1-2016'!U52,IF('6b - General Lighting'!$X$131=4,'Lighting Assumptions 90.1-2016'!W52,"")))))</f>
        <v/>
      </c>
    </row>
    <row r="68" spans="1:14" s="839" customFormat="1" ht="15" customHeight="1" x14ac:dyDescent="0.25">
      <c r="A68" s="806"/>
      <c r="B68" s="42"/>
      <c r="C68" s="806"/>
      <c r="G68" s="1055" t="s">
        <v>1769</v>
      </c>
      <c r="H68" s="2520">
        <v>0.54</v>
      </c>
      <c r="I68" s="828">
        <f t="shared" ref="I68:I105" si="8">H68*10.7639</f>
        <v>5.812506</v>
      </c>
      <c r="J68" s="828" t="s">
        <v>1560</v>
      </c>
      <c r="K68" s="828" t="s">
        <v>1560</v>
      </c>
    </row>
    <row r="69" spans="1:14" s="839" customFormat="1" ht="15" customHeight="1" x14ac:dyDescent="0.25">
      <c r="A69" s="806"/>
      <c r="B69" s="42"/>
      <c r="C69" s="806"/>
      <c r="G69" s="1055" t="s">
        <v>1770</v>
      </c>
      <c r="H69" s="2520">
        <v>0.2</v>
      </c>
      <c r="I69" s="828">
        <f t="shared" si="8"/>
        <v>2.1527799999999999</v>
      </c>
      <c r="J69" s="828" t="s">
        <v>1560</v>
      </c>
      <c r="K69" s="828" t="s">
        <v>1560</v>
      </c>
    </row>
    <row r="70" spans="1:14" s="839" customFormat="1" ht="15" customHeight="1" x14ac:dyDescent="0.25">
      <c r="A70" s="806"/>
      <c r="B70" s="42"/>
      <c r="C70" s="806"/>
      <c r="G70" s="1055" t="s">
        <v>1771</v>
      </c>
      <c r="H70" s="2520">
        <v>0.5</v>
      </c>
      <c r="I70" s="828">
        <f t="shared" si="8"/>
        <v>5.3819499999999998</v>
      </c>
      <c r="J70" s="828" t="s">
        <v>1560</v>
      </c>
      <c r="K70" s="828" t="s">
        <v>22</v>
      </c>
    </row>
    <row r="71" spans="1:14" s="839" customFormat="1" ht="15" customHeight="1" x14ac:dyDescent="0.25">
      <c r="A71" s="806"/>
      <c r="B71" s="42"/>
      <c r="C71" s="806"/>
      <c r="G71" s="1055" t="s">
        <v>1772</v>
      </c>
      <c r="H71" s="2520">
        <v>0.82</v>
      </c>
      <c r="I71" s="828">
        <f t="shared" si="8"/>
        <v>8.8263979999999993</v>
      </c>
      <c r="J71" s="828" t="s">
        <v>1560</v>
      </c>
      <c r="K71" s="828" t="s">
        <v>22</v>
      </c>
    </row>
    <row r="72" spans="1:14" s="839" customFormat="1" ht="15" customHeight="1" x14ac:dyDescent="0.25">
      <c r="A72" s="806"/>
      <c r="B72" s="42"/>
      <c r="C72" s="806"/>
      <c r="G72" s="2521"/>
      <c r="H72" s="2522"/>
      <c r="I72" s="2522"/>
      <c r="J72" s="2522"/>
      <c r="K72" s="2522"/>
      <c r="L72" s="1194"/>
    </row>
    <row r="73" spans="1:14" s="839" customFormat="1" ht="15" customHeight="1" x14ac:dyDescent="0.25">
      <c r="A73" s="806"/>
      <c r="B73" s="42"/>
      <c r="C73" s="806"/>
      <c r="G73" s="1055" t="s">
        <v>1774</v>
      </c>
      <c r="H73" s="2520">
        <v>1.68</v>
      </c>
      <c r="I73" s="828">
        <f t="shared" si="8"/>
        <v>18.083351999999998</v>
      </c>
      <c r="J73" s="828" t="s">
        <v>1560</v>
      </c>
      <c r="K73" s="828" t="s">
        <v>22</v>
      </c>
    </row>
    <row r="74" spans="1:14" s="839" customFormat="1" ht="15" customHeight="1" x14ac:dyDescent="0.25">
      <c r="A74" s="806"/>
      <c r="B74" s="42"/>
      <c r="C74" s="806"/>
      <c r="G74" s="1055" t="s">
        <v>1775</v>
      </c>
      <c r="H74" s="2520">
        <v>1.06</v>
      </c>
      <c r="I74" s="828">
        <f t="shared" si="8"/>
        <v>11.409734</v>
      </c>
      <c r="J74" s="828" t="s">
        <v>1560</v>
      </c>
      <c r="K74" s="828" t="s">
        <v>1560</v>
      </c>
    </row>
    <row r="75" spans="1:14" s="839" customFormat="1" ht="15" customHeight="1" x14ac:dyDescent="0.25">
      <c r="A75" s="806"/>
      <c r="B75" s="42"/>
      <c r="C75" s="806"/>
      <c r="G75" s="1055" t="s">
        <v>1776</v>
      </c>
      <c r="H75" s="2520">
        <v>0.54</v>
      </c>
      <c r="I75" s="828">
        <f t="shared" si="8"/>
        <v>5.812506</v>
      </c>
      <c r="J75" s="828" t="s">
        <v>1560</v>
      </c>
      <c r="K75" s="828" t="s">
        <v>22</v>
      </c>
    </row>
    <row r="76" spans="1:14" s="839" customFormat="1" ht="15" customHeight="1" x14ac:dyDescent="0.25">
      <c r="A76" s="806"/>
      <c r="B76" s="42"/>
      <c r="C76" s="806"/>
      <c r="G76" s="1055" t="s">
        <v>1777</v>
      </c>
      <c r="H76" s="2520">
        <v>1</v>
      </c>
      <c r="I76" s="828">
        <f t="shared" si="8"/>
        <v>10.7639</v>
      </c>
      <c r="J76" s="828" t="s">
        <v>1560</v>
      </c>
      <c r="K76" s="828" t="s">
        <v>22</v>
      </c>
    </row>
    <row r="77" spans="1:14" s="839" customFormat="1" ht="15" customHeight="1" x14ac:dyDescent="0.25">
      <c r="A77" s="806"/>
      <c r="B77" s="42"/>
      <c r="C77" s="806"/>
      <c r="G77" s="1055" t="s">
        <v>1778</v>
      </c>
      <c r="H77" s="2520">
        <v>0.81</v>
      </c>
      <c r="I77" s="828">
        <f t="shared" si="8"/>
        <v>8.7187590000000004</v>
      </c>
      <c r="J77" s="828" t="s">
        <v>1560</v>
      </c>
      <c r="K77" s="828" t="s">
        <v>22</v>
      </c>
    </row>
    <row r="78" spans="1:14" s="839" customFormat="1" ht="15" customHeight="1" x14ac:dyDescent="0.25">
      <c r="A78" s="806"/>
      <c r="B78" s="42"/>
      <c r="C78" s="806"/>
      <c r="G78" s="1055" t="s">
        <v>1779</v>
      </c>
      <c r="H78" s="2520">
        <v>2.17</v>
      </c>
      <c r="I78" s="828">
        <f t="shared" si="8"/>
        <v>23.357662999999999</v>
      </c>
      <c r="J78" s="828" t="s">
        <v>1560</v>
      </c>
      <c r="K78" s="828" t="s">
        <v>1560</v>
      </c>
    </row>
    <row r="79" spans="1:14" s="839" customFormat="1" ht="15" customHeight="1" x14ac:dyDescent="0.25">
      <c r="A79" s="806"/>
      <c r="B79" s="42"/>
      <c r="C79" s="806"/>
      <c r="G79" s="1055" t="s">
        <v>1780</v>
      </c>
      <c r="H79" s="828">
        <v>0.62</v>
      </c>
      <c r="I79" s="828">
        <f t="shared" si="8"/>
        <v>6.6736179999999994</v>
      </c>
      <c r="J79" s="828" t="s">
        <v>1560</v>
      </c>
      <c r="K79" s="828" t="s">
        <v>22</v>
      </c>
    </row>
    <row r="80" spans="1:14" s="839" customFormat="1" ht="15" customHeight="1" x14ac:dyDescent="0.25">
      <c r="A80" s="806"/>
      <c r="B80" s="42"/>
      <c r="C80" s="806"/>
      <c r="G80" s="1055" t="s">
        <v>1781</v>
      </c>
      <c r="H80" s="2520">
        <v>0.84</v>
      </c>
      <c r="I80" s="828">
        <f t="shared" si="8"/>
        <v>9.0416759999999989</v>
      </c>
      <c r="J80" s="828" t="s">
        <v>1560</v>
      </c>
      <c r="K80" s="828" t="s">
        <v>22</v>
      </c>
    </row>
    <row r="81" spans="1:15" s="839" customFormat="1" ht="15" customHeight="1" x14ac:dyDescent="0.25">
      <c r="A81" s="806"/>
      <c r="B81" s="42"/>
      <c r="C81" s="806"/>
      <c r="G81" s="1055" t="s">
        <v>1782</v>
      </c>
      <c r="H81" s="2520">
        <v>1.03</v>
      </c>
      <c r="I81" s="828">
        <f t="shared" si="8"/>
        <v>11.086817</v>
      </c>
      <c r="J81" s="828" t="s">
        <v>1560</v>
      </c>
      <c r="K81" s="828" t="s">
        <v>22</v>
      </c>
    </row>
    <row r="82" spans="1:15" s="839" customFormat="1" ht="15" customHeight="1" x14ac:dyDescent="0.25">
      <c r="A82" s="806"/>
      <c r="B82" s="42"/>
      <c r="C82" s="806"/>
      <c r="G82" s="1055" t="s">
        <v>1783</v>
      </c>
      <c r="H82" s="2520">
        <v>0.82</v>
      </c>
      <c r="I82" s="828">
        <f t="shared" si="8"/>
        <v>8.8263979999999993</v>
      </c>
      <c r="J82" s="828" t="s">
        <v>1560</v>
      </c>
      <c r="K82" s="828" t="s">
        <v>22</v>
      </c>
    </row>
    <row r="83" spans="1:15" s="839" customFormat="1" ht="15" customHeight="1" x14ac:dyDescent="0.25">
      <c r="A83" s="806"/>
      <c r="B83" s="42"/>
      <c r="C83" s="806"/>
      <c r="G83" s="1055" t="s">
        <v>1784</v>
      </c>
      <c r="H83" s="2520">
        <v>1.2</v>
      </c>
      <c r="I83" s="828">
        <f t="shared" si="8"/>
        <v>12.916679999999999</v>
      </c>
      <c r="J83" s="828" t="s">
        <v>22</v>
      </c>
      <c r="K83" s="828" t="s">
        <v>22</v>
      </c>
    </row>
    <row r="84" spans="1:15" s="839" customFormat="1" ht="15" customHeight="1" x14ac:dyDescent="0.25">
      <c r="A84" s="806"/>
      <c r="B84" s="42"/>
      <c r="C84" s="806"/>
      <c r="G84" s="1055" t="s">
        <v>1785</v>
      </c>
      <c r="H84" s="2520">
        <v>0.93</v>
      </c>
      <c r="I84" s="828">
        <f t="shared" si="8"/>
        <v>10.010427</v>
      </c>
      <c r="J84" s="828" t="s">
        <v>1560</v>
      </c>
      <c r="K84" s="828" t="s">
        <v>22</v>
      </c>
    </row>
    <row r="85" spans="1:15" s="839" customFormat="1" ht="15" customHeight="1" x14ac:dyDescent="0.25">
      <c r="A85" s="806"/>
      <c r="B85" s="42"/>
      <c r="C85" s="806"/>
      <c r="G85" s="1055" t="s">
        <v>1786</v>
      </c>
      <c r="H85" s="2520">
        <v>0.65</v>
      </c>
      <c r="I85" s="828">
        <f t="shared" si="8"/>
        <v>6.9965349999999997</v>
      </c>
      <c r="J85" s="828" t="s">
        <v>1560</v>
      </c>
      <c r="K85" s="828" t="s">
        <v>22</v>
      </c>
    </row>
    <row r="86" spans="1:15" s="839" customFormat="1" ht="15" customHeight="1" x14ac:dyDescent="0.25">
      <c r="A86" s="806"/>
      <c r="B86" s="42"/>
      <c r="C86" s="806"/>
      <c r="G86" s="1055" t="s">
        <v>1787</v>
      </c>
      <c r="H86" s="2520">
        <v>0.75</v>
      </c>
      <c r="I86" s="828">
        <f t="shared" si="8"/>
        <v>8.0729249999999997</v>
      </c>
      <c r="J86" s="828" t="s">
        <v>1560</v>
      </c>
      <c r="K86" s="828" t="s">
        <v>22</v>
      </c>
    </row>
    <row r="87" spans="1:15" s="839" customFormat="1" ht="15" customHeight="1" x14ac:dyDescent="0.25">
      <c r="A87" s="806"/>
      <c r="B87" s="42"/>
      <c r="C87" s="806"/>
      <c r="G87" s="1055" t="s">
        <v>1788</v>
      </c>
      <c r="H87" s="2520">
        <v>0.75</v>
      </c>
      <c r="I87" s="828">
        <f t="shared" si="8"/>
        <v>8.0729249999999997</v>
      </c>
      <c r="J87" s="828" t="s">
        <v>1560</v>
      </c>
      <c r="K87" s="828" t="s">
        <v>22</v>
      </c>
    </row>
    <row r="88" spans="1:15" s="839" customFormat="1" ht="15" customHeight="1" x14ac:dyDescent="0.25">
      <c r="A88" s="806"/>
      <c r="B88" s="42"/>
      <c r="C88" s="806"/>
      <c r="G88" s="1055" t="s">
        <v>1789</v>
      </c>
      <c r="H88" s="2520">
        <v>0.96</v>
      </c>
      <c r="I88" s="828">
        <f t="shared" si="8"/>
        <v>10.333343999999999</v>
      </c>
      <c r="J88" s="828" t="s">
        <v>1560</v>
      </c>
      <c r="K88" s="828" t="s">
        <v>22</v>
      </c>
    </row>
    <row r="89" spans="1:15" s="839" customFormat="1" ht="15" customHeight="1" x14ac:dyDescent="0.25">
      <c r="A89" s="806"/>
      <c r="B89" s="42"/>
      <c r="C89" s="806"/>
      <c r="G89" s="1055" t="s">
        <v>1790</v>
      </c>
      <c r="H89" s="828">
        <v>1.05</v>
      </c>
      <c r="I89" s="828">
        <f t="shared" si="8"/>
        <v>11.302095</v>
      </c>
      <c r="J89" s="828" t="s">
        <v>1560</v>
      </c>
      <c r="K89" s="828" t="s">
        <v>22</v>
      </c>
    </row>
    <row r="90" spans="1:15" s="839" customFormat="1" ht="15" customHeight="1" x14ac:dyDescent="0.25">
      <c r="A90" s="806"/>
      <c r="B90" s="42"/>
      <c r="C90" s="806"/>
      <c r="G90" s="1055" t="s">
        <v>1791</v>
      </c>
      <c r="H90" s="2520">
        <v>0.85</v>
      </c>
      <c r="I90" s="828">
        <f t="shared" si="8"/>
        <v>9.1493149999999996</v>
      </c>
      <c r="J90" s="828" t="s">
        <v>1560</v>
      </c>
      <c r="K90" s="828" t="s">
        <v>22</v>
      </c>
    </row>
    <row r="91" spans="1:15" s="839" customFormat="1" ht="15" customHeight="1" x14ac:dyDescent="0.25">
      <c r="A91" s="806"/>
      <c r="B91" s="42"/>
      <c r="C91" s="806"/>
      <c r="G91" s="1055" t="s">
        <v>1792</v>
      </c>
      <c r="H91" s="2520">
        <v>0.68</v>
      </c>
      <c r="I91" s="828">
        <f t="shared" si="8"/>
        <v>7.3194520000000001</v>
      </c>
      <c r="J91" s="828" t="s">
        <v>22</v>
      </c>
      <c r="K91" s="828" t="s">
        <v>22</v>
      </c>
    </row>
    <row r="92" spans="1:15" s="839" customFormat="1" ht="15" customHeight="1" x14ac:dyDescent="0.25">
      <c r="A92" s="806"/>
      <c r="B92" s="42"/>
      <c r="C92" s="806"/>
      <c r="G92" s="1055" t="s">
        <v>1793</v>
      </c>
      <c r="H92" s="2520">
        <v>0.55000000000000004</v>
      </c>
      <c r="I92" s="828">
        <f t="shared" si="8"/>
        <v>5.9201450000000007</v>
      </c>
      <c r="J92" s="828" t="s">
        <v>1560</v>
      </c>
      <c r="K92" s="828" t="s">
        <v>22</v>
      </c>
    </row>
    <row r="93" spans="1:15" s="839" customFormat="1" ht="15" customHeight="1" x14ac:dyDescent="0.25">
      <c r="A93" s="806"/>
      <c r="B93" s="42"/>
      <c r="C93" s="806"/>
      <c r="G93" s="1055" t="s">
        <v>1794</v>
      </c>
      <c r="H93" s="828">
        <v>1.53</v>
      </c>
      <c r="I93" s="828">
        <f t="shared" si="8"/>
        <v>16.468767</v>
      </c>
      <c r="J93" s="828" t="s">
        <v>1560</v>
      </c>
      <c r="K93" s="828" t="s">
        <v>22</v>
      </c>
    </row>
    <row r="94" spans="1:15" s="839" customFormat="1" ht="15" customHeight="1" x14ac:dyDescent="0.25">
      <c r="A94" s="806"/>
      <c r="B94" s="42"/>
      <c r="C94" s="806"/>
      <c r="G94" s="1067" t="s">
        <v>1795</v>
      </c>
      <c r="H94" s="2524">
        <v>0.5</v>
      </c>
      <c r="I94" s="828">
        <f t="shared" si="8"/>
        <v>5.3819499999999998</v>
      </c>
      <c r="J94" s="828" t="s">
        <v>22</v>
      </c>
      <c r="K94" s="828" t="s">
        <v>22</v>
      </c>
    </row>
    <row r="95" spans="1:15" s="839" customFormat="1" ht="15" customHeight="1" x14ac:dyDescent="0.25">
      <c r="A95" s="806"/>
      <c r="B95" s="42"/>
      <c r="C95" s="806"/>
      <c r="G95" s="1067" t="s">
        <v>1796</v>
      </c>
      <c r="H95" s="2524">
        <v>0.9</v>
      </c>
      <c r="I95" s="828">
        <f t="shared" si="8"/>
        <v>9.6875099999999996</v>
      </c>
      <c r="J95" s="828" t="s">
        <v>1560</v>
      </c>
      <c r="K95" s="828" t="s">
        <v>22</v>
      </c>
      <c r="L95" s="388"/>
      <c r="M95" s="388"/>
      <c r="N95" s="388"/>
      <c r="O95" s="388"/>
    </row>
    <row r="96" spans="1:15" x14ac:dyDescent="0.25">
      <c r="A96" s="806"/>
      <c r="B96" s="42"/>
      <c r="C96" s="806"/>
      <c r="G96" s="1067" t="s">
        <v>1797</v>
      </c>
      <c r="H96" s="2524">
        <v>2.4700000000000002</v>
      </c>
      <c r="I96" s="828">
        <f t="shared" si="8"/>
        <v>26.586833000000002</v>
      </c>
      <c r="J96" s="828" t="s">
        <v>1560</v>
      </c>
      <c r="K96" s="828" t="s">
        <v>22</v>
      </c>
    </row>
    <row r="97" spans="1:12" x14ac:dyDescent="0.25">
      <c r="A97" s="806"/>
      <c r="B97" s="42"/>
      <c r="C97" s="806"/>
      <c r="G97" s="1067" t="s">
        <v>1798</v>
      </c>
      <c r="H97" s="2524">
        <v>1.96</v>
      </c>
      <c r="I97" s="828">
        <f t="shared" si="8"/>
        <v>21.097244</v>
      </c>
      <c r="J97" s="828" t="s">
        <v>1560</v>
      </c>
      <c r="K97" s="828" t="s">
        <v>22</v>
      </c>
    </row>
    <row r="98" spans="1:12" x14ac:dyDescent="0.25">
      <c r="A98" s="806"/>
      <c r="B98" s="42"/>
      <c r="C98" s="806"/>
      <c r="G98" s="1067" t="s">
        <v>1799</v>
      </c>
      <c r="H98" s="2524">
        <v>1.7</v>
      </c>
      <c r="I98" s="828">
        <f t="shared" si="8"/>
        <v>18.298629999999999</v>
      </c>
      <c r="J98" s="828" t="s">
        <v>1560</v>
      </c>
      <c r="K98" s="828" t="s">
        <v>22</v>
      </c>
    </row>
    <row r="99" spans="1:12" x14ac:dyDescent="0.25">
      <c r="A99" s="806"/>
      <c r="B99" s="42"/>
      <c r="C99" s="806"/>
      <c r="G99" s="1067" t="s">
        <v>1800</v>
      </c>
      <c r="H99" s="2524">
        <v>1.1299999999999999</v>
      </c>
      <c r="I99" s="828">
        <f t="shared" si="8"/>
        <v>12.163206999999998</v>
      </c>
      <c r="J99" s="828" t="s">
        <v>1560</v>
      </c>
      <c r="K99" s="828" t="s">
        <v>22</v>
      </c>
    </row>
    <row r="100" spans="1:12" x14ac:dyDescent="0.25">
      <c r="A100" s="806"/>
      <c r="B100" s="42"/>
      <c r="C100" s="806"/>
      <c r="G100" s="1067" t="s">
        <v>1801</v>
      </c>
      <c r="H100" s="2524">
        <v>0.45</v>
      </c>
      <c r="I100" s="828">
        <f t="shared" si="8"/>
        <v>4.8437549999999998</v>
      </c>
      <c r="J100" s="828" t="s">
        <v>1560</v>
      </c>
      <c r="K100" s="828" t="s">
        <v>22</v>
      </c>
    </row>
    <row r="101" spans="1:12" x14ac:dyDescent="0.25">
      <c r="A101" s="806"/>
      <c r="B101" s="42"/>
      <c r="C101" s="806"/>
      <c r="G101" s="1067" t="s">
        <v>1802</v>
      </c>
      <c r="H101" s="2524">
        <v>0.31</v>
      </c>
      <c r="I101" s="828">
        <f t="shared" si="8"/>
        <v>3.3368089999999997</v>
      </c>
      <c r="J101" s="828" t="s">
        <v>1560</v>
      </c>
      <c r="K101" s="828" t="s">
        <v>22</v>
      </c>
    </row>
    <row r="102" spans="1:12" x14ac:dyDescent="0.25">
      <c r="A102" s="806"/>
      <c r="B102" s="42"/>
      <c r="C102" s="806"/>
      <c r="G102" s="1067" t="s">
        <v>1803</v>
      </c>
      <c r="H102" s="2524">
        <v>0.62</v>
      </c>
      <c r="I102" s="828">
        <f t="shared" si="8"/>
        <v>6.6736179999999994</v>
      </c>
      <c r="J102" s="828" t="s">
        <v>1560</v>
      </c>
      <c r="K102" s="828" t="s">
        <v>22</v>
      </c>
    </row>
    <row r="103" spans="1:12" x14ac:dyDescent="0.25">
      <c r="A103" s="806"/>
      <c r="B103" s="42"/>
      <c r="C103" s="806"/>
      <c r="G103" s="1067" t="s">
        <v>1804</v>
      </c>
      <c r="H103" s="2524">
        <v>0.35</v>
      </c>
      <c r="I103" s="828">
        <f t="shared" si="8"/>
        <v>3.7673649999999994</v>
      </c>
      <c r="J103" s="828" t="s">
        <v>22</v>
      </c>
      <c r="K103" s="828" t="s">
        <v>22</v>
      </c>
    </row>
    <row r="104" spans="1:12" x14ac:dyDescent="0.25">
      <c r="A104" s="806"/>
      <c r="B104" s="42"/>
      <c r="C104" s="806"/>
      <c r="G104" s="1067" t="s">
        <v>1805</v>
      </c>
      <c r="H104" s="2524">
        <v>0.69</v>
      </c>
      <c r="I104" s="828">
        <f t="shared" si="8"/>
        <v>7.427090999999999</v>
      </c>
      <c r="J104" s="828" t="s">
        <v>22</v>
      </c>
      <c r="K104" s="828" t="s">
        <v>22</v>
      </c>
    </row>
    <row r="105" spans="1:12" x14ac:dyDescent="0.25">
      <c r="A105" s="806"/>
      <c r="B105" s="42"/>
      <c r="C105" s="806"/>
      <c r="G105" s="1067" t="s">
        <v>1806</v>
      </c>
      <c r="H105" s="1073">
        <f>IF(bpf_reference="ACP",0.9,1.1)</f>
        <v>1.1000000000000001</v>
      </c>
      <c r="I105" s="1073">
        <f t="shared" si="8"/>
        <v>11.840290000000001</v>
      </c>
      <c r="J105" s="1073" t="s">
        <v>1560</v>
      </c>
      <c r="K105" s="1073" t="s">
        <v>1560</v>
      </c>
      <c r="L105" s="1073"/>
    </row>
    <row r="106" spans="1:12" x14ac:dyDescent="0.25">
      <c r="A106" s="806"/>
      <c r="B106" s="42"/>
      <c r="C106" s="806"/>
      <c r="G106" s="1067" t="s">
        <v>1807</v>
      </c>
      <c r="H106" s="1073" t="s">
        <v>2272</v>
      </c>
      <c r="I106" s="1073" t="s">
        <v>2272</v>
      </c>
      <c r="J106" s="1073" t="s">
        <v>2272</v>
      </c>
      <c r="K106" s="1073" t="s">
        <v>2272</v>
      </c>
    </row>
    <row r="107" spans="1:12" x14ac:dyDescent="0.25">
      <c r="A107" s="806"/>
      <c r="B107" s="42"/>
      <c r="C107" s="806"/>
    </row>
    <row r="108" spans="1:12" x14ac:dyDescent="0.25">
      <c r="A108" s="806"/>
      <c r="B108" s="42"/>
      <c r="C108" s="806"/>
      <c r="G108" s="1197" t="s">
        <v>2266</v>
      </c>
    </row>
    <row r="109" spans="1:12" x14ac:dyDescent="0.25">
      <c r="A109" s="806"/>
      <c r="B109" s="42"/>
      <c r="C109" s="806"/>
      <c r="G109" s="1196" t="s">
        <v>2264</v>
      </c>
    </row>
    <row r="110" spans="1:12" x14ac:dyDescent="0.25">
      <c r="A110" s="806"/>
      <c r="B110" s="42"/>
      <c r="C110" s="806"/>
      <c r="G110" s="1196" t="s">
        <v>2265</v>
      </c>
    </row>
    <row r="111" spans="1:12" x14ac:dyDescent="0.25">
      <c r="A111" s="806"/>
      <c r="B111" s="42"/>
      <c r="C111" s="806"/>
      <c r="G111" s="1196" t="s">
        <v>2267</v>
      </c>
    </row>
    <row r="112" spans="1:12" x14ac:dyDescent="0.25">
      <c r="A112" s="806"/>
      <c r="B112" s="42"/>
      <c r="C112" s="806"/>
    </row>
    <row r="113" spans="1:3" x14ac:dyDescent="0.25">
      <c r="A113" s="806"/>
      <c r="B113" s="42"/>
      <c r="C113" s="806"/>
    </row>
    <row r="114" spans="1:3" x14ac:dyDescent="0.25">
      <c r="A114" s="806"/>
      <c r="B114" s="42"/>
      <c r="C114" s="806"/>
    </row>
    <row r="115" spans="1:3" x14ac:dyDescent="0.25">
      <c r="A115" s="806"/>
      <c r="B115" s="42"/>
      <c r="C115" s="806"/>
    </row>
    <row r="116" spans="1:3" x14ac:dyDescent="0.25">
      <c r="A116" s="806"/>
      <c r="B116" s="42"/>
      <c r="C116" s="806"/>
    </row>
    <row r="117" spans="1:3" x14ac:dyDescent="0.25">
      <c r="A117" s="806"/>
      <c r="B117" s="42"/>
      <c r="C117" s="806"/>
    </row>
    <row r="118" spans="1:3" x14ac:dyDescent="0.25">
      <c r="A118" s="806"/>
      <c r="B118" s="42"/>
      <c r="C118" s="806"/>
    </row>
    <row r="119" spans="1:3" x14ac:dyDescent="0.25">
      <c r="A119" s="806"/>
      <c r="B119" s="42"/>
      <c r="C119" s="806"/>
    </row>
    <row r="120" spans="1:3" x14ac:dyDescent="0.25">
      <c r="A120" s="806"/>
      <c r="B120" s="42"/>
      <c r="C120" s="806"/>
    </row>
    <row r="121" spans="1:3" x14ac:dyDescent="0.25">
      <c r="A121" s="806"/>
      <c r="B121" s="42"/>
      <c r="C121" s="806"/>
    </row>
    <row r="122" spans="1:3" x14ac:dyDescent="0.25">
      <c r="A122" s="806"/>
      <c r="B122" s="42"/>
      <c r="C122" s="806"/>
    </row>
    <row r="123" spans="1:3" x14ac:dyDescent="0.25">
      <c r="A123" s="806"/>
      <c r="B123" s="42"/>
      <c r="C123" s="806"/>
    </row>
    <row r="124" spans="1:3" x14ac:dyDescent="0.25">
      <c r="A124" s="806"/>
      <c r="B124" s="42"/>
      <c r="C124" s="806"/>
    </row>
    <row r="125" spans="1:3" x14ac:dyDescent="0.25">
      <c r="A125" s="806"/>
      <c r="B125" s="42"/>
      <c r="C125" s="806"/>
    </row>
    <row r="126" spans="1:3" x14ac:dyDescent="0.25">
      <c r="A126" s="806"/>
      <c r="B126" s="42"/>
      <c r="C126" s="806"/>
    </row>
    <row r="127" spans="1:3" x14ac:dyDescent="0.25">
      <c r="A127" s="806"/>
      <c r="B127" s="42"/>
      <c r="C127" s="806"/>
    </row>
    <row r="128" spans="1:3" x14ac:dyDescent="0.25">
      <c r="A128" s="806"/>
      <c r="B128" s="42"/>
      <c r="C128" s="806"/>
    </row>
    <row r="129" spans="1:3" x14ac:dyDescent="0.25">
      <c r="A129" s="806"/>
      <c r="B129" s="42"/>
      <c r="C129" s="806"/>
    </row>
    <row r="130" spans="1:3" x14ac:dyDescent="0.25">
      <c r="A130" s="806"/>
      <c r="B130" s="42"/>
      <c r="C130" s="806"/>
    </row>
    <row r="131" spans="1:3" x14ac:dyDescent="0.25">
      <c r="A131" s="806"/>
      <c r="B131" s="42"/>
      <c r="C131" s="806"/>
    </row>
    <row r="132" spans="1:3" x14ac:dyDescent="0.25">
      <c r="A132" s="806"/>
      <c r="B132" s="42"/>
      <c r="C132" s="806"/>
    </row>
    <row r="133" spans="1:3" x14ac:dyDescent="0.25">
      <c r="A133" s="806"/>
      <c r="B133" s="42"/>
      <c r="C133" s="806"/>
    </row>
    <row r="134" spans="1:3" x14ac:dyDescent="0.25">
      <c r="A134" s="806"/>
      <c r="B134" s="42"/>
      <c r="C134" s="806"/>
    </row>
    <row r="135" spans="1:3" x14ac:dyDescent="0.25">
      <c r="A135" s="806"/>
      <c r="B135" s="42"/>
      <c r="C135" s="806"/>
    </row>
    <row r="136" spans="1:3" x14ac:dyDescent="0.25">
      <c r="A136" s="806"/>
      <c r="B136" s="42"/>
      <c r="C136" s="806"/>
    </row>
    <row r="137" spans="1:3" x14ac:dyDescent="0.25">
      <c r="A137" s="806"/>
      <c r="B137" s="42"/>
      <c r="C137" s="806"/>
    </row>
    <row r="138" spans="1:3" x14ac:dyDescent="0.25">
      <c r="A138" s="806"/>
      <c r="B138" s="42"/>
      <c r="C138" s="806"/>
    </row>
    <row r="139" spans="1:3" x14ac:dyDescent="0.25">
      <c r="A139" s="806"/>
      <c r="B139" s="42"/>
      <c r="C139" s="806"/>
    </row>
    <row r="140" spans="1:3" x14ac:dyDescent="0.25">
      <c r="A140" s="806"/>
      <c r="B140" s="42"/>
      <c r="C140" s="806"/>
    </row>
    <row r="141" spans="1:3" x14ac:dyDescent="0.25">
      <c r="A141" s="806"/>
      <c r="B141" s="42"/>
      <c r="C141" s="806"/>
    </row>
    <row r="142" spans="1:3" x14ac:dyDescent="0.25">
      <c r="A142" s="806"/>
      <c r="B142" s="42"/>
      <c r="C142" s="806"/>
    </row>
    <row r="143" spans="1:3" x14ac:dyDescent="0.25">
      <c r="A143" s="806"/>
      <c r="B143" s="42"/>
      <c r="C143" s="806"/>
    </row>
    <row r="144" spans="1:3" x14ac:dyDescent="0.25">
      <c r="A144" s="806"/>
      <c r="B144" s="42"/>
      <c r="C144" s="806"/>
    </row>
    <row r="145" spans="1:3" x14ac:dyDescent="0.25">
      <c r="A145" s="806"/>
      <c r="B145" s="42"/>
      <c r="C145" s="806"/>
    </row>
    <row r="146" spans="1:3" x14ac:dyDescent="0.25">
      <c r="A146" s="806"/>
      <c r="B146" s="42"/>
      <c r="C146" s="806"/>
    </row>
    <row r="147" spans="1:3" x14ac:dyDescent="0.25">
      <c r="A147" s="806"/>
      <c r="B147" s="42"/>
      <c r="C147" s="806"/>
    </row>
    <row r="148" spans="1:3" x14ac:dyDescent="0.25">
      <c r="A148" s="806"/>
      <c r="B148" s="42"/>
      <c r="C148" s="806"/>
    </row>
    <row r="149" spans="1:3" x14ac:dyDescent="0.25">
      <c r="A149" s="806"/>
      <c r="B149" s="42"/>
      <c r="C149" s="806"/>
    </row>
    <row r="150" spans="1:3" x14ac:dyDescent="0.25">
      <c r="A150" s="806"/>
      <c r="B150" s="42"/>
      <c r="C150" s="806"/>
    </row>
    <row r="151" spans="1:3" x14ac:dyDescent="0.25">
      <c r="A151" s="806"/>
      <c r="B151" s="42"/>
      <c r="C151" s="806"/>
    </row>
    <row r="152" spans="1:3" x14ac:dyDescent="0.25">
      <c r="A152" s="806"/>
      <c r="B152" s="42"/>
      <c r="C152" s="806"/>
    </row>
    <row r="153" spans="1:3" x14ac:dyDescent="0.25">
      <c r="A153" s="806"/>
      <c r="B153" s="42"/>
      <c r="C153" s="806"/>
    </row>
    <row r="154" spans="1:3" x14ac:dyDescent="0.25">
      <c r="A154" s="806"/>
      <c r="B154" s="42"/>
      <c r="C154" s="806"/>
    </row>
    <row r="155" spans="1:3" x14ac:dyDescent="0.25">
      <c r="A155" s="806"/>
      <c r="B155" s="42"/>
      <c r="C155" s="806"/>
    </row>
    <row r="156" spans="1:3" x14ac:dyDescent="0.25">
      <c r="A156" s="806"/>
      <c r="B156" s="42"/>
      <c r="C156" s="806"/>
    </row>
    <row r="157" spans="1:3" x14ac:dyDescent="0.25">
      <c r="A157" s="806"/>
      <c r="B157" s="42"/>
      <c r="C157" s="806"/>
    </row>
    <row r="158" spans="1:3" x14ac:dyDescent="0.25">
      <c r="A158" s="806"/>
      <c r="B158" s="42"/>
      <c r="C158" s="806"/>
    </row>
    <row r="159" spans="1:3" x14ac:dyDescent="0.25">
      <c r="A159" s="806"/>
      <c r="B159" s="42"/>
      <c r="C159" s="806"/>
    </row>
    <row r="160" spans="1:3" x14ac:dyDescent="0.25">
      <c r="A160" s="806"/>
      <c r="B160" s="42"/>
      <c r="C160" s="806"/>
    </row>
    <row r="161" spans="1:3" x14ac:dyDescent="0.25">
      <c r="A161" s="806"/>
      <c r="B161" s="42"/>
      <c r="C161" s="806"/>
    </row>
    <row r="162" spans="1:3" x14ac:dyDescent="0.25">
      <c r="A162" s="806"/>
      <c r="B162" s="42"/>
      <c r="C162" s="806"/>
    </row>
    <row r="163" spans="1:3" x14ac:dyDescent="0.25">
      <c r="A163" s="806"/>
      <c r="B163" s="42"/>
      <c r="C163" s="806"/>
    </row>
    <row r="164" spans="1:3" x14ac:dyDescent="0.25">
      <c r="A164" s="806"/>
      <c r="B164" s="42"/>
      <c r="C164" s="806"/>
    </row>
    <row r="165" spans="1:3" x14ac:dyDescent="0.25">
      <c r="A165" s="806"/>
      <c r="B165" s="42"/>
      <c r="C165" s="806"/>
    </row>
    <row r="166" spans="1:3" x14ac:dyDescent="0.25">
      <c r="A166" s="806"/>
      <c r="B166" s="42"/>
      <c r="C166" s="806"/>
    </row>
    <row r="167" spans="1:3" x14ac:dyDescent="0.25">
      <c r="A167" s="806"/>
      <c r="B167" s="42"/>
      <c r="C167" s="806"/>
    </row>
    <row r="168" spans="1:3" x14ac:dyDescent="0.25">
      <c r="A168" s="806"/>
      <c r="B168" s="42"/>
      <c r="C168" s="806"/>
    </row>
    <row r="169" spans="1:3" x14ac:dyDescent="0.25">
      <c r="A169" s="806"/>
      <c r="B169" s="42"/>
      <c r="C169" s="806"/>
    </row>
    <row r="170" spans="1:3" x14ac:dyDescent="0.25">
      <c r="A170" s="806"/>
      <c r="B170" s="42"/>
      <c r="C170" s="806"/>
    </row>
    <row r="171" spans="1:3" x14ac:dyDescent="0.25">
      <c r="A171" s="806"/>
      <c r="B171" s="42"/>
      <c r="C171" s="806"/>
    </row>
    <row r="172" spans="1:3" x14ac:dyDescent="0.25">
      <c r="A172" s="806"/>
      <c r="B172" s="42"/>
      <c r="C172" s="806"/>
    </row>
    <row r="173" spans="1:3" x14ac:dyDescent="0.25">
      <c r="A173" s="806"/>
      <c r="B173" s="42"/>
      <c r="C173" s="806"/>
    </row>
    <row r="174" spans="1:3" x14ac:dyDescent="0.25">
      <c r="A174" s="806"/>
      <c r="B174" s="42"/>
      <c r="C174" s="806"/>
    </row>
    <row r="175" spans="1:3" x14ac:dyDescent="0.25">
      <c r="A175" s="806"/>
      <c r="B175" s="42"/>
      <c r="C175" s="806"/>
    </row>
    <row r="176" spans="1:3" x14ac:dyDescent="0.25">
      <c r="A176" s="806"/>
      <c r="B176" s="42"/>
      <c r="C176" s="806"/>
    </row>
    <row r="177" spans="1:3" x14ac:dyDescent="0.25">
      <c r="A177" s="806"/>
      <c r="B177" s="42"/>
      <c r="C177" s="806"/>
    </row>
    <row r="178" spans="1:3" x14ac:dyDescent="0.25">
      <c r="A178" s="806"/>
      <c r="B178" s="42"/>
      <c r="C178" s="806"/>
    </row>
    <row r="179" spans="1:3" x14ac:dyDescent="0.25">
      <c r="A179" s="806"/>
      <c r="B179" s="42"/>
      <c r="C179" s="806"/>
    </row>
    <row r="180" spans="1:3" x14ac:dyDescent="0.25">
      <c r="A180" s="806"/>
      <c r="B180" s="42"/>
      <c r="C180" s="806"/>
    </row>
    <row r="181" spans="1:3" x14ac:dyDescent="0.25">
      <c r="A181" s="806"/>
      <c r="B181" s="42"/>
      <c r="C181" s="806"/>
    </row>
    <row r="182" spans="1:3" x14ac:dyDescent="0.25">
      <c r="A182" s="806"/>
      <c r="B182" s="42"/>
      <c r="C182" s="806"/>
    </row>
    <row r="183" spans="1:3" x14ac:dyDescent="0.25">
      <c r="A183" s="806"/>
      <c r="B183" s="42"/>
      <c r="C183" s="806"/>
    </row>
    <row r="184" spans="1:3" x14ac:dyDescent="0.25">
      <c r="A184" s="806"/>
      <c r="B184" s="42"/>
      <c r="C184" s="806"/>
    </row>
    <row r="185" spans="1:3" x14ac:dyDescent="0.25">
      <c r="A185" s="806"/>
      <c r="B185" s="42"/>
      <c r="C185" s="806"/>
    </row>
    <row r="186" spans="1:3" x14ac:dyDescent="0.25">
      <c r="A186" s="806"/>
      <c r="B186" s="42"/>
      <c r="C186" s="806"/>
    </row>
    <row r="187" spans="1:3" x14ac:dyDescent="0.25">
      <c r="A187" s="806"/>
      <c r="B187" s="42"/>
      <c r="C187" s="806"/>
    </row>
    <row r="188" spans="1:3" x14ac:dyDescent="0.25">
      <c r="A188" s="806"/>
      <c r="B188" s="42"/>
      <c r="C188" s="806"/>
    </row>
    <row r="189" spans="1:3" x14ac:dyDescent="0.25">
      <c r="A189" s="806"/>
      <c r="B189" s="42"/>
      <c r="C189" s="806"/>
    </row>
    <row r="190" spans="1:3" x14ac:dyDescent="0.25">
      <c r="A190" s="806"/>
      <c r="B190" s="42"/>
      <c r="C190" s="806"/>
    </row>
    <row r="191" spans="1:3" x14ac:dyDescent="0.25">
      <c r="A191" s="806"/>
      <c r="B191" s="42"/>
      <c r="C191" s="806"/>
    </row>
    <row r="192" spans="1:3" x14ac:dyDescent="0.25">
      <c r="A192" s="806"/>
      <c r="B192" s="42"/>
      <c r="C192" s="806"/>
    </row>
    <row r="193" spans="1:3" x14ac:dyDescent="0.25">
      <c r="A193" s="806"/>
      <c r="B193" s="42"/>
      <c r="C193" s="806"/>
    </row>
    <row r="194" spans="1:3" x14ac:dyDescent="0.25">
      <c r="A194" s="806"/>
      <c r="B194" s="42"/>
      <c r="C194" s="806"/>
    </row>
    <row r="195" spans="1:3" x14ac:dyDescent="0.25">
      <c r="A195" s="806"/>
      <c r="B195" s="42"/>
      <c r="C195" s="806"/>
    </row>
    <row r="196" spans="1:3" x14ac:dyDescent="0.25">
      <c r="A196" s="806"/>
      <c r="B196" s="42"/>
      <c r="C196" s="806"/>
    </row>
    <row r="197" spans="1:3" x14ac:dyDescent="0.25">
      <c r="A197" s="806"/>
      <c r="B197" s="42"/>
      <c r="C197" s="806"/>
    </row>
    <row r="198" spans="1:3" x14ac:dyDescent="0.25">
      <c r="A198" s="806"/>
      <c r="B198" s="42"/>
      <c r="C198" s="806"/>
    </row>
    <row r="199" spans="1:3" x14ac:dyDescent="0.25">
      <c r="A199" s="806"/>
      <c r="B199" s="42"/>
      <c r="C199" s="806"/>
    </row>
    <row r="200" spans="1:3" x14ac:dyDescent="0.25">
      <c r="A200" s="806"/>
      <c r="B200" s="42"/>
      <c r="C200" s="806"/>
    </row>
    <row r="201" spans="1:3" x14ac:dyDescent="0.25">
      <c r="A201" s="806"/>
      <c r="B201" s="42"/>
      <c r="C201" s="806"/>
    </row>
    <row r="202" spans="1:3" x14ac:dyDescent="0.25">
      <c r="A202" s="806"/>
      <c r="B202" s="42"/>
      <c r="C202" s="806"/>
    </row>
    <row r="203" spans="1:3" x14ac:dyDescent="0.25">
      <c r="A203" s="806"/>
      <c r="B203" s="42"/>
      <c r="C203" s="806"/>
    </row>
    <row r="204" spans="1:3" x14ac:dyDescent="0.25">
      <c r="A204" s="806"/>
      <c r="B204" s="42"/>
      <c r="C204" s="806"/>
    </row>
    <row r="205" spans="1:3" x14ac:dyDescent="0.25">
      <c r="A205" s="806"/>
      <c r="B205" s="42"/>
      <c r="C205" s="806"/>
    </row>
    <row r="206" spans="1:3" x14ac:dyDescent="0.25">
      <c r="A206" s="806"/>
      <c r="B206" s="42"/>
      <c r="C206" s="806"/>
    </row>
    <row r="207" spans="1:3" x14ac:dyDescent="0.25">
      <c r="A207" s="806"/>
      <c r="B207" s="42"/>
      <c r="C207" s="806"/>
    </row>
    <row r="208" spans="1:3" x14ac:dyDescent="0.25">
      <c r="A208" s="806"/>
      <c r="B208" s="42"/>
      <c r="C208" s="806"/>
    </row>
    <row r="209" spans="1:3" x14ac:dyDescent="0.25">
      <c r="A209" s="806"/>
      <c r="B209" s="42"/>
      <c r="C209" s="806"/>
    </row>
    <row r="210" spans="1:3" x14ac:dyDescent="0.25">
      <c r="A210" s="806"/>
      <c r="B210" s="42"/>
      <c r="C210" s="806"/>
    </row>
    <row r="211" spans="1:3" x14ac:dyDescent="0.25">
      <c r="A211" s="806"/>
      <c r="B211" s="42"/>
      <c r="C211" s="806"/>
    </row>
    <row r="212" spans="1:3" x14ac:dyDescent="0.25">
      <c r="A212" s="806"/>
      <c r="B212" s="42"/>
      <c r="C212" s="806"/>
    </row>
    <row r="213" spans="1:3" x14ac:dyDescent="0.25">
      <c r="A213" s="806"/>
      <c r="B213" s="42"/>
      <c r="C213" s="806"/>
    </row>
    <row r="214" spans="1:3" x14ac:dyDescent="0.25">
      <c r="A214" s="806"/>
      <c r="B214" s="42"/>
      <c r="C214" s="806"/>
    </row>
    <row r="215" spans="1:3" x14ac:dyDescent="0.25">
      <c r="A215" s="806"/>
      <c r="B215" s="42"/>
      <c r="C215" s="806"/>
    </row>
    <row r="216" spans="1:3" x14ac:dyDescent="0.25">
      <c r="A216" s="806"/>
      <c r="B216" s="42"/>
      <c r="C216" s="806"/>
    </row>
    <row r="217" spans="1:3" x14ac:dyDescent="0.25">
      <c r="A217" s="806"/>
      <c r="B217" s="42"/>
      <c r="C217" s="806"/>
    </row>
    <row r="218" spans="1:3" x14ac:dyDescent="0.25">
      <c r="A218" s="806"/>
      <c r="B218" s="42"/>
      <c r="C218" s="806"/>
    </row>
    <row r="219" spans="1:3" x14ac:dyDescent="0.25">
      <c r="A219" s="806"/>
      <c r="B219" s="42"/>
      <c r="C219" s="806"/>
    </row>
    <row r="220" spans="1:3" x14ac:dyDescent="0.25">
      <c r="A220" s="806"/>
      <c r="B220" s="42"/>
      <c r="C220" s="806"/>
    </row>
    <row r="221" spans="1:3" x14ac:dyDescent="0.25">
      <c r="A221" s="806"/>
      <c r="B221" s="42"/>
      <c r="C221" s="806"/>
    </row>
    <row r="222" spans="1:3" x14ac:dyDescent="0.25">
      <c r="A222" s="806"/>
      <c r="B222" s="42"/>
      <c r="C222" s="806"/>
    </row>
    <row r="223" spans="1:3" x14ac:dyDescent="0.25">
      <c r="A223" s="806"/>
      <c r="B223" s="42"/>
      <c r="C223" s="806"/>
    </row>
    <row r="224" spans="1:3" x14ac:dyDescent="0.25">
      <c r="A224" s="806"/>
      <c r="B224" s="42"/>
      <c r="C224" s="806"/>
    </row>
    <row r="225" spans="1:3" x14ac:dyDescent="0.25">
      <c r="A225" s="806"/>
      <c r="B225" s="42"/>
      <c r="C225" s="806"/>
    </row>
    <row r="226" spans="1:3" x14ac:dyDescent="0.25">
      <c r="A226" s="806"/>
      <c r="B226" s="42"/>
      <c r="C226" s="806"/>
    </row>
    <row r="227" spans="1:3" x14ac:dyDescent="0.25">
      <c r="A227" s="806"/>
      <c r="B227" s="42"/>
      <c r="C227" s="806"/>
    </row>
    <row r="228" spans="1:3" x14ac:dyDescent="0.25">
      <c r="A228" s="806"/>
      <c r="B228" s="42"/>
      <c r="C228" s="806"/>
    </row>
    <row r="229" spans="1:3" x14ac:dyDescent="0.25">
      <c r="A229" s="806"/>
      <c r="B229" s="42"/>
      <c r="C229" s="806"/>
    </row>
    <row r="230" spans="1:3" x14ac:dyDescent="0.25">
      <c r="A230" s="806"/>
      <c r="B230" s="42"/>
      <c r="C230" s="806"/>
    </row>
    <row r="231" spans="1:3" x14ac:dyDescent="0.25">
      <c r="A231" s="806"/>
      <c r="B231" s="42"/>
      <c r="C231" s="806"/>
    </row>
    <row r="232" spans="1:3" x14ac:dyDescent="0.25">
      <c r="A232" s="806"/>
      <c r="B232" s="42"/>
      <c r="C232" s="806"/>
    </row>
    <row r="233" spans="1:3" x14ac:dyDescent="0.25">
      <c r="A233" s="806"/>
      <c r="B233" s="42"/>
      <c r="C233" s="806"/>
    </row>
    <row r="234" spans="1:3" x14ac:dyDescent="0.25">
      <c r="A234" s="806"/>
      <c r="B234" s="42"/>
      <c r="C234" s="806"/>
    </row>
    <row r="235" spans="1:3" x14ac:dyDescent="0.25">
      <c r="A235" s="806"/>
      <c r="B235" s="42"/>
      <c r="C235" s="806"/>
    </row>
    <row r="236" spans="1:3" x14ac:dyDescent="0.25">
      <c r="A236" s="806"/>
      <c r="B236" s="42"/>
      <c r="C236" s="806"/>
    </row>
    <row r="237" spans="1:3" x14ac:dyDescent="0.25">
      <c r="A237" s="806"/>
      <c r="B237" s="42"/>
      <c r="C237" s="806"/>
    </row>
    <row r="238" spans="1:3" x14ac:dyDescent="0.25">
      <c r="A238" s="806"/>
      <c r="B238" s="42"/>
      <c r="C238" s="806"/>
    </row>
    <row r="239" spans="1:3" x14ac:dyDescent="0.25">
      <c r="A239" s="806"/>
      <c r="B239" s="42"/>
      <c r="C239" s="806"/>
    </row>
    <row r="240" spans="1:3" x14ac:dyDescent="0.25">
      <c r="A240" s="806"/>
      <c r="B240" s="42"/>
      <c r="C240" s="806"/>
    </row>
    <row r="241" spans="1:3" x14ac:dyDescent="0.25">
      <c r="A241" s="806"/>
      <c r="B241" s="42"/>
      <c r="C241" s="806"/>
    </row>
    <row r="242" spans="1:3" x14ac:dyDescent="0.25">
      <c r="A242" s="806"/>
      <c r="B242" s="42"/>
      <c r="C242" s="806"/>
    </row>
    <row r="243" spans="1:3" x14ac:dyDescent="0.25">
      <c r="A243" s="806"/>
      <c r="B243" s="42"/>
      <c r="C243" s="806"/>
    </row>
    <row r="244" spans="1:3" x14ac:dyDescent="0.25">
      <c r="A244" s="806"/>
      <c r="B244" s="42"/>
      <c r="C244" s="806"/>
    </row>
    <row r="245" spans="1:3" x14ac:dyDescent="0.25">
      <c r="A245" s="806"/>
      <c r="B245" s="42"/>
      <c r="C245" s="806"/>
    </row>
    <row r="246" spans="1:3" x14ac:dyDescent="0.25">
      <c r="A246" s="806"/>
      <c r="B246" s="42"/>
      <c r="C246" s="806"/>
    </row>
    <row r="247" spans="1:3" x14ac:dyDescent="0.25">
      <c r="A247" s="806"/>
      <c r="B247" s="42"/>
      <c r="C247" s="806"/>
    </row>
    <row r="248" spans="1:3" x14ac:dyDescent="0.25">
      <c r="A248" s="806"/>
      <c r="B248" s="42"/>
      <c r="C248" s="806"/>
    </row>
    <row r="249" spans="1:3" x14ac:dyDescent="0.25">
      <c r="A249" s="806"/>
      <c r="B249" s="42"/>
      <c r="C249" s="806"/>
    </row>
    <row r="250" spans="1:3" x14ac:dyDescent="0.25">
      <c r="A250" s="806"/>
      <c r="B250" s="42"/>
      <c r="C250" s="806"/>
    </row>
    <row r="251" spans="1:3" x14ac:dyDescent="0.25">
      <c r="A251" s="806"/>
      <c r="B251" s="42"/>
      <c r="C251" s="806"/>
    </row>
    <row r="252" spans="1:3" x14ac:dyDescent="0.25">
      <c r="A252" s="806"/>
      <c r="B252" s="42"/>
      <c r="C252" s="806"/>
    </row>
    <row r="253" spans="1:3" x14ac:dyDescent="0.25">
      <c r="A253" s="806"/>
      <c r="B253" s="42"/>
      <c r="C253" s="806"/>
    </row>
    <row r="254" spans="1:3" x14ac:dyDescent="0.25">
      <c r="A254" s="806"/>
      <c r="B254" s="42"/>
      <c r="C254" s="806"/>
    </row>
    <row r="255" spans="1:3" x14ac:dyDescent="0.25">
      <c r="A255" s="806"/>
      <c r="B255" s="42"/>
      <c r="C255" s="806"/>
    </row>
    <row r="256" spans="1:3" x14ac:dyDescent="0.25">
      <c r="A256" s="806"/>
      <c r="B256" s="42"/>
      <c r="C256" s="806"/>
    </row>
    <row r="257" spans="1:3" x14ac:dyDescent="0.25">
      <c r="A257" s="806"/>
      <c r="B257" s="42"/>
      <c r="C257" s="806"/>
    </row>
    <row r="258" spans="1:3" x14ac:dyDescent="0.25">
      <c r="A258" s="806"/>
      <c r="B258" s="42"/>
      <c r="C258" s="806"/>
    </row>
    <row r="259" spans="1:3" x14ac:dyDescent="0.25">
      <c r="A259" s="806"/>
      <c r="B259" s="42"/>
      <c r="C259" s="806"/>
    </row>
    <row r="260" spans="1:3" x14ac:dyDescent="0.25">
      <c r="A260" s="806"/>
      <c r="B260" s="42"/>
      <c r="C260" s="806"/>
    </row>
    <row r="261" spans="1:3" x14ac:dyDescent="0.25">
      <c r="A261" s="806"/>
      <c r="B261" s="42"/>
      <c r="C261" s="806"/>
    </row>
    <row r="262" spans="1:3" x14ac:dyDescent="0.25">
      <c r="A262" s="806"/>
      <c r="B262" s="42"/>
      <c r="C262" s="806"/>
    </row>
    <row r="263" spans="1:3" x14ac:dyDescent="0.25">
      <c r="A263" s="806"/>
      <c r="B263" s="42"/>
      <c r="C263" s="806"/>
    </row>
    <row r="264" spans="1:3" x14ac:dyDescent="0.25">
      <c r="A264" s="806"/>
      <c r="B264" s="42"/>
      <c r="C264" s="806"/>
    </row>
    <row r="265" spans="1:3" x14ac:dyDescent="0.25">
      <c r="A265" s="806"/>
      <c r="B265" s="42"/>
      <c r="C265" s="806"/>
    </row>
    <row r="266" spans="1:3" x14ac:dyDescent="0.25">
      <c r="A266" s="806"/>
      <c r="B266" s="42"/>
      <c r="C266" s="806"/>
    </row>
    <row r="267" spans="1:3" x14ac:dyDescent="0.25">
      <c r="A267" s="806"/>
      <c r="B267" s="42"/>
      <c r="C267" s="806"/>
    </row>
    <row r="268" spans="1:3" x14ac:dyDescent="0.25">
      <c r="A268" s="806"/>
      <c r="B268" s="42"/>
      <c r="C268" s="806"/>
    </row>
    <row r="269" spans="1:3" x14ac:dyDescent="0.25">
      <c r="A269" s="806"/>
      <c r="B269" s="42"/>
      <c r="C269" s="806"/>
    </row>
    <row r="270" spans="1:3" x14ac:dyDescent="0.25">
      <c r="A270" s="806"/>
      <c r="B270" s="42"/>
      <c r="C270" s="806"/>
    </row>
    <row r="271" spans="1:3" x14ac:dyDescent="0.25">
      <c r="A271" s="806"/>
      <c r="B271" s="42"/>
      <c r="C271" s="806"/>
    </row>
    <row r="272" spans="1:3" x14ac:dyDescent="0.25">
      <c r="A272" s="806"/>
      <c r="B272" s="42"/>
      <c r="C272" s="806"/>
    </row>
    <row r="273" spans="1:3" x14ac:dyDescent="0.25">
      <c r="A273" s="806"/>
      <c r="B273" s="42"/>
      <c r="C273" s="806"/>
    </row>
    <row r="274" spans="1:3" x14ac:dyDescent="0.25">
      <c r="A274" s="806"/>
      <c r="B274" s="42"/>
      <c r="C274" s="806"/>
    </row>
    <row r="275" spans="1:3" x14ac:dyDescent="0.25">
      <c r="A275" s="806"/>
      <c r="B275" s="42"/>
      <c r="C275" s="806"/>
    </row>
    <row r="276" spans="1:3" x14ac:dyDescent="0.25">
      <c r="A276" s="806"/>
      <c r="B276" s="42"/>
      <c r="C276" s="806"/>
    </row>
    <row r="277" spans="1:3" x14ac:dyDescent="0.25">
      <c r="A277" s="806"/>
      <c r="B277" s="42"/>
      <c r="C277" s="806"/>
    </row>
    <row r="278" spans="1:3" x14ac:dyDescent="0.25">
      <c r="A278" s="806"/>
      <c r="B278" s="42"/>
      <c r="C278" s="806"/>
    </row>
    <row r="279" spans="1:3" x14ac:dyDescent="0.25">
      <c r="A279" s="806"/>
      <c r="B279" s="42"/>
      <c r="C279" s="806"/>
    </row>
    <row r="280" spans="1:3" x14ac:dyDescent="0.25">
      <c r="A280" s="806"/>
      <c r="B280" s="42"/>
      <c r="C280" s="806"/>
    </row>
    <row r="281" spans="1:3" x14ac:dyDescent="0.25">
      <c r="A281" s="806"/>
      <c r="B281" s="42"/>
      <c r="C281" s="806"/>
    </row>
    <row r="282" spans="1:3" x14ac:dyDescent="0.25">
      <c r="A282" s="806"/>
      <c r="B282" s="42"/>
      <c r="C282" s="806"/>
    </row>
    <row r="283" spans="1:3" x14ac:dyDescent="0.25">
      <c r="A283" s="806"/>
      <c r="B283" s="42"/>
      <c r="C283" s="806"/>
    </row>
    <row r="284" spans="1:3" x14ac:dyDescent="0.25">
      <c r="A284" s="806"/>
      <c r="B284" s="42"/>
      <c r="C284" s="806"/>
    </row>
    <row r="285" spans="1:3" x14ac:dyDescent="0.25">
      <c r="A285" s="806"/>
      <c r="B285" s="42"/>
      <c r="C285" s="806"/>
    </row>
    <row r="286" spans="1:3" x14ac:dyDescent="0.25">
      <c r="A286" s="806"/>
      <c r="B286" s="42"/>
      <c r="C286" s="806"/>
    </row>
    <row r="287" spans="1:3" x14ac:dyDescent="0.25">
      <c r="A287" s="806"/>
      <c r="B287" s="42"/>
      <c r="C287" s="806"/>
    </row>
    <row r="288" spans="1:3" x14ac:dyDescent="0.25">
      <c r="A288" s="806"/>
      <c r="B288" s="42"/>
      <c r="C288" s="806"/>
    </row>
    <row r="289" spans="1:3" x14ac:dyDescent="0.25">
      <c r="A289" s="806"/>
      <c r="B289" s="42"/>
      <c r="C289" s="806"/>
    </row>
    <row r="290" spans="1:3" x14ac:dyDescent="0.25">
      <c r="A290" s="806"/>
      <c r="B290" s="42"/>
      <c r="C290" s="806"/>
    </row>
    <row r="291" spans="1:3" x14ac:dyDescent="0.25">
      <c r="A291" s="806"/>
      <c r="B291" s="42"/>
      <c r="C291" s="806"/>
    </row>
    <row r="292" spans="1:3" x14ac:dyDescent="0.25">
      <c r="A292" s="806"/>
      <c r="B292" s="42"/>
      <c r="C292" s="806"/>
    </row>
    <row r="293" spans="1:3" x14ac:dyDescent="0.25">
      <c r="A293" s="806"/>
      <c r="B293" s="42"/>
      <c r="C293" s="806"/>
    </row>
    <row r="294" spans="1:3" x14ac:dyDescent="0.25">
      <c r="A294" s="806"/>
      <c r="B294" s="42"/>
      <c r="C294" s="806"/>
    </row>
    <row r="295" spans="1:3" x14ac:dyDescent="0.25">
      <c r="A295" s="806"/>
      <c r="B295" s="42"/>
      <c r="C295" s="806"/>
    </row>
    <row r="296" spans="1:3" x14ac:dyDescent="0.25">
      <c r="A296" s="806"/>
      <c r="B296" s="42"/>
      <c r="C296" s="806"/>
    </row>
    <row r="297" spans="1:3" x14ac:dyDescent="0.25">
      <c r="A297" s="806"/>
      <c r="B297" s="42"/>
      <c r="C297" s="806"/>
    </row>
    <row r="298" spans="1:3" x14ac:dyDescent="0.25">
      <c r="A298" s="806"/>
      <c r="B298" s="42"/>
      <c r="C298" s="806"/>
    </row>
    <row r="299" spans="1:3" x14ac:dyDescent="0.25">
      <c r="A299" s="806"/>
      <c r="B299" s="42"/>
      <c r="C299" s="806"/>
    </row>
    <row r="300" spans="1:3" x14ac:dyDescent="0.25">
      <c r="A300" s="806"/>
      <c r="B300" s="42"/>
      <c r="C300" s="806"/>
    </row>
    <row r="301" spans="1:3" x14ac:dyDescent="0.25">
      <c r="A301" s="806"/>
      <c r="B301" s="42"/>
      <c r="C301" s="806"/>
    </row>
    <row r="302" spans="1:3" x14ac:dyDescent="0.25">
      <c r="A302" s="806"/>
      <c r="B302" s="42"/>
      <c r="C302" s="806"/>
    </row>
    <row r="303" spans="1:3" x14ac:dyDescent="0.25">
      <c r="A303" s="806"/>
      <c r="B303" s="42"/>
      <c r="C303" s="806"/>
    </row>
    <row r="304" spans="1:3" x14ac:dyDescent="0.25">
      <c r="A304" s="806"/>
      <c r="B304" s="42"/>
      <c r="C304" s="806"/>
    </row>
    <row r="305" spans="1:3" x14ac:dyDescent="0.25">
      <c r="A305" s="806"/>
      <c r="B305" s="42"/>
      <c r="C305" s="806"/>
    </row>
    <row r="306" spans="1:3" x14ac:dyDescent="0.25">
      <c r="A306" s="806"/>
      <c r="B306" s="42"/>
      <c r="C306" s="806"/>
    </row>
    <row r="307" spans="1:3" x14ac:dyDescent="0.25">
      <c r="A307" s="806"/>
      <c r="B307" s="42"/>
      <c r="C307" s="806"/>
    </row>
    <row r="308" spans="1:3" x14ac:dyDescent="0.25">
      <c r="A308" s="806"/>
      <c r="B308" s="42"/>
      <c r="C308" s="806"/>
    </row>
    <row r="309" spans="1:3" x14ac:dyDescent="0.25">
      <c r="A309" s="806"/>
      <c r="B309" s="42"/>
      <c r="C309" s="806"/>
    </row>
    <row r="310" spans="1:3" x14ac:dyDescent="0.25">
      <c r="A310" s="806"/>
      <c r="B310" s="42"/>
      <c r="C310" s="806"/>
    </row>
    <row r="311" spans="1:3" x14ac:dyDescent="0.25">
      <c r="A311" s="806"/>
      <c r="B311" s="42"/>
      <c r="C311" s="806"/>
    </row>
    <row r="312" spans="1:3" x14ac:dyDescent="0.25">
      <c r="A312" s="806"/>
      <c r="B312" s="42"/>
      <c r="C312" s="806"/>
    </row>
    <row r="313" spans="1:3" x14ac:dyDescent="0.25">
      <c r="A313" s="806"/>
      <c r="B313" s="42"/>
      <c r="C313" s="806"/>
    </row>
    <row r="314" spans="1:3" x14ac:dyDescent="0.25">
      <c r="A314" s="806"/>
      <c r="B314" s="42"/>
      <c r="C314" s="806"/>
    </row>
    <row r="315" spans="1:3" x14ac:dyDescent="0.25">
      <c r="A315" s="806"/>
      <c r="B315" s="42"/>
      <c r="C315" s="806"/>
    </row>
    <row r="316" spans="1:3" x14ac:dyDescent="0.25">
      <c r="A316" s="806"/>
      <c r="B316" s="42"/>
      <c r="C316" s="806"/>
    </row>
    <row r="317" spans="1:3" x14ac:dyDescent="0.25">
      <c r="A317" s="806"/>
      <c r="B317" s="42"/>
      <c r="C317" s="806"/>
    </row>
    <row r="318" spans="1:3" x14ac:dyDescent="0.25">
      <c r="A318" s="806"/>
      <c r="B318" s="42"/>
      <c r="C318" s="806"/>
    </row>
    <row r="319" spans="1:3" x14ac:dyDescent="0.25">
      <c r="A319" s="806"/>
      <c r="B319" s="42"/>
      <c r="C319" s="806"/>
    </row>
    <row r="320" spans="1:3" x14ac:dyDescent="0.25">
      <c r="A320" s="806"/>
      <c r="B320" s="42"/>
      <c r="C320" s="806"/>
    </row>
    <row r="321" spans="1:3" x14ac:dyDescent="0.25">
      <c r="A321" s="806"/>
      <c r="B321" s="42"/>
      <c r="C321" s="806"/>
    </row>
    <row r="322" spans="1:3" x14ac:dyDescent="0.25">
      <c r="A322" s="806"/>
      <c r="B322" s="42"/>
      <c r="C322" s="806"/>
    </row>
    <row r="323" spans="1:3" x14ac:dyDescent="0.25">
      <c r="A323" s="806"/>
      <c r="B323" s="42"/>
      <c r="C323" s="806"/>
    </row>
    <row r="324" spans="1:3" x14ac:dyDescent="0.25">
      <c r="A324" s="806"/>
      <c r="B324" s="42"/>
      <c r="C324" s="806"/>
    </row>
    <row r="325" spans="1:3" x14ac:dyDescent="0.25">
      <c r="A325" s="806"/>
      <c r="B325" s="42"/>
      <c r="C325" s="806"/>
    </row>
    <row r="326" spans="1:3" x14ac:dyDescent="0.25">
      <c r="A326" s="806"/>
      <c r="B326" s="42"/>
      <c r="C326" s="806"/>
    </row>
    <row r="327" spans="1:3" x14ac:dyDescent="0.25">
      <c r="A327" s="806"/>
      <c r="B327" s="42"/>
      <c r="C327" s="806"/>
    </row>
    <row r="328" spans="1:3" x14ac:dyDescent="0.25">
      <c r="A328" s="806"/>
      <c r="B328" s="42"/>
      <c r="C328" s="806"/>
    </row>
    <row r="329" spans="1:3" x14ac:dyDescent="0.25">
      <c r="A329" s="806"/>
      <c r="B329" s="42"/>
      <c r="C329" s="806"/>
    </row>
    <row r="330" spans="1:3" x14ac:dyDescent="0.25">
      <c r="A330" s="806"/>
      <c r="B330" s="42"/>
      <c r="C330" s="806"/>
    </row>
    <row r="331" spans="1:3" x14ac:dyDescent="0.25">
      <c r="A331" s="806"/>
      <c r="B331" s="42"/>
      <c r="C331" s="806"/>
    </row>
    <row r="332" spans="1:3" x14ac:dyDescent="0.25">
      <c r="A332" s="806"/>
      <c r="B332" s="42"/>
      <c r="C332" s="806"/>
    </row>
    <row r="333" spans="1:3" x14ac:dyDescent="0.25">
      <c r="A333" s="806"/>
      <c r="B333" s="42"/>
      <c r="C333" s="806"/>
    </row>
    <row r="334" spans="1:3" x14ac:dyDescent="0.25">
      <c r="A334" s="806"/>
      <c r="B334" s="42"/>
      <c r="C334" s="806"/>
    </row>
    <row r="335" spans="1:3" x14ac:dyDescent="0.25">
      <c r="A335" s="806"/>
      <c r="B335" s="42"/>
      <c r="C335" s="806"/>
    </row>
    <row r="336" spans="1:3" x14ac:dyDescent="0.25">
      <c r="A336" s="806"/>
      <c r="B336" s="42"/>
      <c r="C336" s="806"/>
    </row>
    <row r="337" spans="1:3" x14ac:dyDescent="0.25">
      <c r="A337" s="806"/>
      <c r="B337" s="42"/>
      <c r="C337" s="806"/>
    </row>
    <row r="338" spans="1:3" x14ac:dyDescent="0.25">
      <c r="A338" s="806"/>
      <c r="B338" s="42"/>
      <c r="C338" s="806"/>
    </row>
    <row r="339" spans="1:3" x14ac:dyDescent="0.25">
      <c r="A339" s="806"/>
      <c r="B339" s="42"/>
      <c r="C339" s="806"/>
    </row>
    <row r="340" spans="1:3" x14ac:dyDescent="0.25">
      <c r="A340" s="806"/>
      <c r="B340" s="42"/>
      <c r="C340" s="806"/>
    </row>
    <row r="341" spans="1:3" x14ac:dyDescent="0.25">
      <c r="A341" s="806"/>
      <c r="B341" s="42"/>
      <c r="C341" s="806"/>
    </row>
    <row r="342" spans="1:3" x14ac:dyDescent="0.25">
      <c r="A342" s="806"/>
      <c r="B342" s="42"/>
      <c r="C342" s="806"/>
    </row>
    <row r="343" spans="1:3" x14ac:dyDescent="0.25">
      <c r="A343" s="806"/>
      <c r="B343" s="42"/>
      <c r="C343" s="806"/>
    </row>
    <row r="344" spans="1:3" x14ac:dyDescent="0.25">
      <c r="A344" s="806"/>
      <c r="B344" s="42"/>
      <c r="C344" s="806"/>
    </row>
    <row r="345" spans="1:3" x14ac:dyDescent="0.25">
      <c r="A345" s="806"/>
      <c r="B345" s="42"/>
      <c r="C345" s="806"/>
    </row>
    <row r="346" spans="1:3" x14ac:dyDescent="0.25">
      <c r="A346" s="806"/>
      <c r="B346" s="42"/>
      <c r="C346" s="806"/>
    </row>
    <row r="347" spans="1:3" x14ac:dyDescent="0.25">
      <c r="A347" s="806"/>
      <c r="B347" s="42"/>
      <c r="C347" s="806"/>
    </row>
    <row r="348" spans="1:3" x14ac:dyDescent="0.25">
      <c r="A348" s="806"/>
      <c r="B348" s="42"/>
      <c r="C348" s="806"/>
    </row>
    <row r="349" spans="1:3" x14ac:dyDescent="0.25">
      <c r="A349" s="806"/>
      <c r="B349" s="42"/>
      <c r="C349" s="806"/>
    </row>
    <row r="350" spans="1:3" x14ac:dyDescent="0.25">
      <c r="A350" s="806"/>
      <c r="B350" s="42"/>
      <c r="C350" s="806"/>
    </row>
    <row r="351" spans="1:3" x14ac:dyDescent="0.25">
      <c r="A351" s="806"/>
      <c r="B351" s="42"/>
      <c r="C351" s="806"/>
    </row>
    <row r="352" spans="1:3" x14ac:dyDescent="0.25">
      <c r="A352" s="806"/>
      <c r="B352" s="42"/>
      <c r="C352" s="806"/>
    </row>
    <row r="353" spans="1:3" x14ac:dyDescent="0.25">
      <c r="A353" s="806"/>
      <c r="B353" s="42"/>
      <c r="C353" s="806"/>
    </row>
    <row r="354" spans="1:3" x14ac:dyDescent="0.25">
      <c r="A354" s="806"/>
      <c r="B354" s="42"/>
      <c r="C354" s="806"/>
    </row>
    <row r="355" spans="1:3" x14ac:dyDescent="0.25">
      <c r="A355" s="806"/>
      <c r="B355" s="42"/>
      <c r="C355" s="806"/>
    </row>
    <row r="356" spans="1:3" x14ac:dyDescent="0.25">
      <c r="A356" s="806"/>
      <c r="B356" s="42"/>
      <c r="C356" s="806"/>
    </row>
    <row r="357" spans="1:3" x14ac:dyDescent="0.25">
      <c r="A357" s="806"/>
      <c r="B357" s="42"/>
      <c r="C357" s="806"/>
    </row>
    <row r="358" spans="1:3" x14ac:dyDescent="0.25">
      <c r="A358" s="806"/>
      <c r="B358" s="42"/>
      <c r="C358" s="806"/>
    </row>
    <row r="359" spans="1:3" x14ac:dyDescent="0.25">
      <c r="A359" s="806"/>
      <c r="B359" s="42"/>
      <c r="C359" s="806"/>
    </row>
    <row r="360" spans="1:3" x14ac:dyDescent="0.25">
      <c r="A360" s="806"/>
      <c r="B360" s="42"/>
      <c r="C360" s="806"/>
    </row>
    <row r="361" spans="1:3" x14ac:dyDescent="0.25">
      <c r="A361" s="806"/>
      <c r="B361" s="42"/>
      <c r="C361" s="806"/>
    </row>
    <row r="362" spans="1:3" x14ac:dyDescent="0.25">
      <c r="A362" s="806"/>
      <c r="B362" s="42"/>
      <c r="C362" s="806"/>
    </row>
    <row r="363" spans="1:3" x14ac:dyDescent="0.25">
      <c r="A363" s="806"/>
      <c r="B363" s="42"/>
      <c r="C363" s="806"/>
    </row>
    <row r="364" spans="1:3" x14ac:dyDescent="0.25">
      <c r="A364" s="806"/>
      <c r="B364" s="42"/>
      <c r="C364" s="806"/>
    </row>
    <row r="365" spans="1:3" x14ac:dyDescent="0.25">
      <c r="A365" s="806"/>
      <c r="B365" s="42"/>
      <c r="C365" s="806"/>
    </row>
    <row r="366" spans="1:3" x14ac:dyDescent="0.25">
      <c r="A366" s="806"/>
      <c r="B366" s="42"/>
      <c r="C366" s="806"/>
    </row>
    <row r="367" spans="1:3" x14ac:dyDescent="0.25">
      <c r="A367" s="806"/>
      <c r="B367" s="42"/>
      <c r="C367" s="806"/>
    </row>
    <row r="368" spans="1:3" x14ac:dyDescent="0.25">
      <c r="A368" s="806"/>
      <c r="B368" s="42"/>
      <c r="C368" s="806"/>
    </row>
    <row r="369" spans="1:3" x14ac:dyDescent="0.25">
      <c r="A369" s="806"/>
      <c r="B369" s="42"/>
      <c r="C369" s="806"/>
    </row>
    <row r="370" spans="1:3" x14ac:dyDescent="0.25">
      <c r="A370" s="806"/>
      <c r="B370" s="42"/>
      <c r="C370" s="806"/>
    </row>
    <row r="371" spans="1:3" x14ac:dyDescent="0.25">
      <c r="A371" s="806"/>
      <c r="B371" s="42"/>
      <c r="C371" s="806"/>
    </row>
    <row r="372" spans="1:3" x14ac:dyDescent="0.25">
      <c r="A372" s="806"/>
      <c r="B372" s="42"/>
      <c r="C372" s="806"/>
    </row>
    <row r="373" spans="1:3" x14ac:dyDescent="0.25">
      <c r="A373" s="806"/>
      <c r="B373" s="42"/>
      <c r="C373" s="806"/>
    </row>
    <row r="374" spans="1:3" x14ac:dyDescent="0.25">
      <c r="A374" s="806"/>
      <c r="B374" s="42"/>
      <c r="C374" s="806"/>
    </row>
    <row r="375" spans="1:3" x14ac:dyDescent="0.25">
      <c r="A375" s="806"/>
      <c r="B375" s="42"/>
      <c r="C375" s="806"/>
    </row>
    <row r="376" spans="1:3" x14ac:dyDescent="0.25">
      <c r="A376" s="806"/>
      <c r="B376" s="42"/>
      <c r="C376" s="806"/>
    </row>
    <row r="377" spans="1:3" x14ac:dyDescent="0.25">
      <c r="A377" s="806"/>
      <c r="B377" s="42"/>
      <c r="C377" s="806"/>
    </row>
    <row r="378" spans="1:3" x14ac:dyDescent="0.25">
      <c r="A378" s="806"/>
      <c r="B378" s="42"/>
      <c r="C378" s="806"/>
    </row>
    <row r="379" spans="1:3" x14ac:dyDescent="0.25">
      <c r="A379" s="806"/>
      <c r="B379" s="42"/>
      <c r="C379" s="806"/>
    </row>
    <row r="380" spans="1:3" x14ac:dyDescent="0.25">
      <c r="A380" s="806"/>
      <c r="B380" s="42"/>
      <c r="C380" s="806"/>
    </row>
    <row r="381" spans="1:3" x14ac:dyDescent="0.25">
      <c r="A381" s="806"/>
      <c r="B381" s="42"/>
      <c r="C381" s="806"/>
    </row>
    <row r="382" spans="1:3" x14ac:dyDescent="0.25">
      <c r="A382" s="806"/>
      <c r="B382" s="42"/>
      <c r="C382" s="806"/>
    </row>
    <row r="383" spans="1:3" x14ac:dyDescent="0.25">
      <c r="A383" s="806"/>
      <c r="B383" s="42"/>
      <c r="C383" s="806"/>
    </row>
    <row r="384" spans="1:3" x14ac:dyDescent="0.25">
      <c r="A384" s="806"/>
      <c r="B384" s="42"/>
      <c r="C384" s="806"/>
    </row>
    <row r="385" spans="1:3" x14ac:dyDescent="0.25">
      <c r="A385" s="806"/>
      <c r="B385" s="42"/>
      <c r="C385" s="806"/>
    </row>
    <row r="386" spans="1:3" x14ac:dyDescent="0.25">
      <c r="A386" s="806"/>
      <c r="B386" s="42"/>
      <c r="C386" s="806"/>
    </row>
    <row r="387" spans="1:3" x14ac:dyDescent="0.25">
      <c r="A387" s="806"/>
      <c r="B387" s="42"/>
      <c r="C387" s="806"/>
    </row>
    <row r="388" spans="1:3" x14ac:dyDescent="0.25">
      <c r="A388" s="806"/>
      <c r="B388" s="42"/>
      <c r="C388" s="806"/>
    </row>
    <row r="389" spans="1:3" x14ac:dyDescent="0.25">
      <c r="A389" s="806"/>
      <c r="B389" s="42"/>
      <c r="C389" s="806"/>
    </row>
    <row r="390" spans="1:3" x14ac:dyDescent="0.25">
      <c r="A390" s="806"/>
      <c r="B390" s="42"/>
      <c r="C390" s="806"/>
    </row>
    <row r="391" spans="1:3" x14ac:dyDescent="0.25">
      <c r="A391" s="806"/>
      <c r="B391" s="42"/>
      <c r="C391" s="806"/>
    </row>
    <row r="392" spans="1:3" x14ac:dyDescent="0.25">
      <c r="A392" s="806"/>
      <c r="B392" s="42"/>
      <c r="C392" s="806"/>
    </row>
    <row r="393" spans="1:3" x14ac:dyDescent="0.25">
      <c r="A393" s="806"/>
      <c r="B393" s="42"/>
      <c r="C393" s="806"/>
    </row>
    <row r="394" spans="1:3" x14ac:dyDescent="0.25">
      <c r="A394" s="806"/>
      <c r="B394" s="42"/>
      <c r="C394" s="806"/>
    </row>
    <row r="395" spans="1:3" x14ac:dyDescent="0.25">
      <c r="A395" s="806"/>
      <c r="B395" s="42"/>
      <c r="C395" s="806"/>
    </row>
    <row r="396" spans="1:3" x14ac:dyDescent="0.25">
      <c r="A396" s="806"/>
      <c r="B396" s="42"/>
      <c r="C396" s="806"/>
    </row>
    <row r="397" spans="1:3" x14ac:dyDescent="0.25">
      <c r="A397" s="806"/>
      <c r="B397" s="42"/>
      <c r="C397" s="806"/>
    </row>
    <row r="398" spans="1:3" x14ac:dyDescent="0.25">
      <c r="A398" s="806"/>
      <c r="B398" s="42"/>
      <c r="C398" s="806"/>
    </row>
    <row r="399" spans="1:3" x14ac:dyDescent="0.25">
      <c r="A399" s="806"/>
      <c r="B399" s="42"/>
      <c r="C399" s="806"/>
    </row>
    <row r="400" spans="1:3" x14ac:dyDescent="0.25">
      <c r="A400" s="806"/>
      <c r="B400" s="42"/>
      <c r="C400" s="806"/>
    </row>
    <row r="401" spans="1:3" x14ac:dyDescent="0.25">
      <c r="A401" s="806"/>
      <c r="B401" s="42"/>
      <c r="C401" s="806"/>
    </row>
    <row r="402" spans="1:3" x14ac:dyDescent="0.25">
      <c r="A402" s="806"/>
      <c r="B402" s="42"/>
      <c r="C402" s="806"/>
    </row>
    <row r="403" spans="1:3" x14ac:dyDescent="0.25">
      <c r="A403" s="806"/>
      <c r="B403" s="42"/>
      <c r="C403" s="806"/>
    </row>
    <row r="404" spans="1:3" x14ac:dyDescent="0.25">
      <c r="A404" s="806"/>
      <c r="B404" s="42"/>
      <c r="C404" s="806"/>
    </row>
    <row r="405" spans="1:3" x14ac:dyDescent="0.25">
      <c r="A405" s="806"/>
      <c r="B405" s="42"/>
      <c r="C405" s="806"/>
    </row>
    <row r="406" spans="1:3" x14ac:dyDescent="0.25">
      <c r="A406" s="806"/>
      <c r="B406" s="42"/>
      <c r="C406" s="806"/>
    </row>
    <row r="407" spans="1:3" x14ac:dyDescent="0.25">
      <c r="A407" s="806"/>
      <c r="B407" s="42"/>
      <c r="C407" s="806"/>
    </row>
    <row r="408" spans="1:3" x14ac:dyDescent="0.25">
      <c r="A408" s="806"/>
      <c r="B408" s="42"/>
      <c r="C408" s="806"/>
    </row>
    <row r="409" spans="1:3" x14ac:dyDescent="0.25">
      <c r="A409" s="806"/>
      <c r="B409" s="42"/>
      <c r="C409" s="806"/>
    </row>
    <row r="410" spans="1:3" x14ac:dyDescent="0.25">
      <c r="A410" s="806"/>
      <c r="B410" s="42"/>
      <c r="C410" s="806"/>
    </row>
    <row r="411" spans="1:3" x14ac:dyDescent="0.25">
      <c r="A411" s="806"/>
      <c r="B411" s="42"/>
      <c r="C411" s="806"/>
    </row>
    <row r="412" spans="1:3" x14ac:dyDescent="0.25">
      <c r="A412" s="806"/>
      <c r="B412" s="42"/>
      <c r="C412" s="806"/>
    </row>
    <row r="413" spans="1:3" x14ac:dyDescent="0.25">
      <c r="A413" s="806"/>
      <c r="B413" s="42"/>
      <c r="C413" s="806"/>
    </row>
    <row r="414" spans="1:3" x14ac:dyDescent="0.25">
      <c r="A414" s="806"/>
      <c r="B414" s="42"/>
      <c r="C414" s="806"/>
    </row>
    <row r="415" spans="1:3" x14ac:dyDescent="0.25">
      <c r="A415" s="806"/>
      <c r="B415" s="42"/>
      <c r="C415" s="806"/>
    </row>
    <row r="416" spans="1:3" x14ac:dyDescent="0.25">
      <c r="A416" s="806"/>
      <c r="B416" s="42"/>
      <c r="C416" s="806"/>
    </row>
    <row r="417" spans="1:3" x14ac:dyDescent="0.25">
      <c r="A417" s="806"/>
      <c r="B417" s="42"/>
      <c r="C417" s="806"/>
    </row>
    <row r="418" spans="1:3" x14ac:dyDescent="0.25">
      <c r="A418" s="806"/>
      <c r="B418" s="42"/>
      <c r="C418" s="806"/>
    </row>
    <row r="419" spans="1:3" x14ac:dyDescent="0.25">
      <c r="A419" s="806"/>
      <c r="B419" s="42"/>
      <c r="C419" s="806"/>
    </row>
    <row r="420" spans="1:3" x14ac:dyDescent="0.25">
      <c r="A420" s="806"/>
      <c r="B420" s="42"/>
      <c r="C420" s="806"/>
    </row>
    <row r="421" spans="1:3" x14ac:dyDescent="0.25">
      <c r="A421" s="806"/>
      <c r="B421" s="42"/>
      <c r="C421" s="806"/>
    </row>
    <row r="422" spans="1:3" x14ac:dyDescent="0.25">
      <c r="A422" s="806"/>
      <c r="B422" s="42"/>
      <c r="C422" s="806"/>
    </row>
    <row r="423" spans="1:3" x14ac:dyDescent="0.25">
      <c r="A423" s="806"/>
      <c r="B423" s="42"/>
      <c r="C423" s="806"/>
    </row>
    <row r="424" spans="1:3" x14ac:dyDescent="0.25">
      <c r="A424" s="806"/>
      <c r="B424" s="42"/>
      <c r="C424" s="806"/>
    </row>
    <row r="425" spans="1:3" x14ac:dyDescent="0.25">
      <c r="A425" s="806"/>
      <c r="B425" s="42"/>
      <c r="C425" s="806"/>
    </row>
    <row r="426" spans="1:3" x14ac:dyDescent="0.25">
      <c r="A426" s="806"/>
      <c r="B426" s="42"/>
      <c r="C426" s="806"/>
    </row>
    <row r="427" spans="1:3" x14ac:dyDescent="0.25">
      <c r="A427" s="806"/>
      <c r="B427" s="42"/>
      <c r="C427" s="806"/>
    </row>
    <row r="428" spans="1:3" x14ac:dyDescent="0.25">
      <c r="A428" s="806"/>
      <c r="B428" s="42"/>
      <c r="C428" s="806"/>
    </row>
    <row r="429" spans="1:3" x14ac:dyDescent="0.25">
      <c r="A429" s="806"/>
      <c r="B429" s="42"/>
      <c r="C429" s="806"/>
    </row>
    <row r="430" spans="1:3" x14ac:dyDescent="0.25">
      <c r="A430" s="806"/>
      <c r="B430" s="42"/>
      <c r="C430" s="806"/>
    </row>
    <row r="431" spans="1:3" x14ac:dyDescent="0.25">
      <c r="A431" s="806"/>
      <c r="B431" s="42"/>
      <c r="C431" s="806"/>
    </row>
    <row r="432" spans="1:3" x14ac:dyDescent="0.25">
      <c r="A432" s="806"/>
      <c r="B432" s="42"/>
      <c r="C432" s="806"/>
    </row>
    <row r="433" spans="1:3" x14ac:dyDescent="0.25">
      <c r="A433" s="806"/>
      <c r="B433" s="42"/>
      <c r="C433" s="806"/>
    </row>
    <row r="434" spans="1:3" x14ac:dyDescent="0.25">
      <c r="A434" s="806"/>
      <c r="B434" s="42"/>
      <c r="C434" s="806"/>
    </row>
    <row r="435" spans="1:3" x14ac:dyDescent="0.25">
      <c r="A435" s="806"/>
      <c r="B435" s="42"/>
      <c r="C435" s="806"/>
    </row>
    <row r="436" spans="1:3" x14ac:dyDescent="0.25">
      <c r="A436" s="806"/>
      <c r="B436" s="42"/>
      <c r="C436" s="806"/>
    </row>
    <row r="437" spans="1:3" x14ac:dyDescent="0.25">
      <c r="A437" s="806"/>
      <c r="B437" s="42"/>
      <c r="C437" s="806"/>
    </row>
    <row r="438" spans="1:3" x14ac:dyDescent="0.25">
      <c r="A438" s="806"/>
      <c r="B438" s="42"/>
      <c r="C438" s="806"/>
    </row>
    <row r="439" spans="1:3" x14ac:dyDescent="0.25">
      <c r="A439" s="806"/>
      <c r="B439" s="42"/>
      <c r="C439" s="806"/>
    </row>
    <row r="440" spans="1:3" x14ac:dyDescent="0.25">
      <c r="A440" s="806"/>
      <c r="B440" s="42"/>
      <c r="C440" s="806"/>
    </row>
    <row r="441" spans="1:3" x14ac:dyDescent="0.25">
      <c r="A441" s="806"/>
      <c r="B441" s="42"/>
      <c r="C441" s="806"/>
    </row>
    <row r="442" spans="1:3" x14ac:dyDescent="0.25">
      <c r="A442" s="806"/>
      <c r="B442" s="42"/>
      <c r="C442" s="806"/>
    </row>
    <row r="443" spans="1:3" x14ac:dyDescent="0.25">
      <c r="A443" s="806"/>
      <c r="B443" s="42"/>
      <c r="C443" s="806"/>
    </row>
    <row r="444" spans="1:3" x14ac:dyDescent="0.25">
      <c r="A444" s="806"/>
      <c r="B444" s="42"/>
      <c r="C444" s="806"/>
    </row>
    <row r="445" spans="1:3" x14ac:dyDescent="0.25">
      <c r="A445" s="806"/>
      <c r="B445" s="42"/>
      <c r="C445" s="806"/>
    </row>
    <row r="446" spans="1:3" x14ac:dyDescent="0.25">
      <c r="A446" s="806"/>
      <c r="B446" s="42"/>
      <c r="C446" s="806"/>
    </row>
    <row r="447" spans="1:3" x14ac:dyDescent="0.25">
      <c r="A447" s="806"/>
      <c r="B447" s="42"/>
      <c r="C447" s="806"/>
    </row>
    <row r="448" spans="1:3" x14ac:dyDescent="0.25">
      <c r="A448" s="806"/>
      <c r="B448" s="42"/>
      <c r="C448" s="806"/>
    </row>
    <row r="449" spans="1:3" x14ac:dyDescent="0.25">
      <c r="A449" s="806"/>
      <c r="B449" s="42"/>
      <c r="C449" s="806"/>
    </row>
    <row r="450" spans="1:3" x14ac:dyDescent="0.25">
      <c r="A450" s="806"/>
      <c r="B450" s="42"/>
      <c r="C450" s="806"/>
    </row>
    <row r="451" spans="1:3" x14ac:dyDescent="0.25">
      <c r="A451" s="806"/>
      <c r="B451" s="42"/>
      <c r="C451" s="806"/>
    </row>
    <row r="452" spans="1:3" x14ac:dyDescent="0.25">
      <c r="A452" s="806"/>
      <c r="B452" s="42"/>
      <c r="C452" s="806"/>
    </row>
    <row r="453" spans="1:3" x14ac:dyDescent="0.25">
      <c r="A453" s="806"/>
      <c r="B453" s="42"/>
      <c r="C453" s="806"/>
    </row>
    <row r="454" spans="1:3" x14ac:dyDescent="0.25">
      <c r="A454" s="806"/>
      <c r="B454" s="42"/>
      <c r="C454" s="806"/>
    </row>
    <row r="455" spans="1:3" x14ac:dyDescent="0.25">
      <c r="A455" s="806"/>
      <c r="B455" s="42"/>
      <c r="C455" s="806"/>
    </row>
    <row r="456" spans="1:3" x14ac:dyDescent="0.25">
      <c r="A456" s="806"/>
      <c r="B456" s="42"/>
      <c r="C456" s="806"/>
    </row>
    <row r="457" spans="1:3" x14ac:dyDescent="0.25">
      <c r="A457" s="806"/>
      <c r="B457" s="42"/>
      <c r="C457" s="806"/>
    </row>
    <row r="458" spans="1:3" x14ac:dyDescent="0.25">
      <c r="A458" s="806"/>
      <c r="B458" s="42"/>
      <c r="C458" s="806"/>
    </row>
    <row r="459" spans="1:3" x14ac:dyDescent="0.25">
      <c r="A459" s="806"/>
      <c r="B459" s="42"/>
      <c r="C459" s="806"/>
    </row>
    <row r="460" spans="1:3" x14ac:dyDescent="0.25">
      <c r="A460" s="806"/>
      <c r="B460" s="42"/>
      <c r="C460" s="806"/>
    </row>
    <row r="461" spans="1:3" x14ac:dyDescent="0.25">
      <c r="A461" s="806"/>
      <c r="B461" s="42"/>
      <c r="C461" s="806"/>
    </row>
    <row r="462" spans="1:3" x14ac:dyDescent="0.25">
      <c r="A462" s="806"/>
      <c r="B462" s="42"/>
      <c r="C462" s="806"/>
    </row>
    <row r="463" spans="1:3" x14ac:dyDescent="0.25">
      <c r="A463" s="806"/>
      <c r="B463" s="42"/>
      <c r="C463" s="806"/>
    </row>
    <row r="464" spans="1:3" x14ac:dyDescent="0.25">
      <c r="A464" s="806"/>
      <c r="B464" s="42"/>
      <c r="C464" s="806"/>
    </row>
    <row r="465" spans="1:3" x14ac:dyDescent="0.25">
      <c r="A465" s="806"/>
      <c r="B465" s="42"/>
      <c r="C465" s="806"/>
    </row>
    <row r="466" spans="1:3" x14ac:dyDescent="0.25">
      <c r="A466" s="806"/>
      <c r="B466" s="42"/>
      <c r="C466" s="806"/>
    </row>
    <row r="467" spans="1:3" x14ac:dyDescent="0.25">
      <c r="A467" s="806"/>
      <c r="B467" s="42"/>
      <c r="C467" s="806"/>
    </row>
    <row r="468" spans="1:3" x14ac:dyDescent="0.25">
      <c r="A468" s="806"/>
      <c r="B468" s="42"/>
      <c r="C468" s="806"/>
    </row>
    <row r="469" spans="1:3" x14ac:dyDescent="0.25">
      <c r="A469" s="806"/>
      <c r="B469" s="42"/>
      <c r="C469" s="806"/>
    </row>
    <row r="470" spans="1:3" x14ac:dyDescent="0.25">
      <c r="A470" s="806"/>
      <c r="B470" s="42"/>
      <c r="C470" s="806"/>
    </row>
    <row r="471" spans="1:3" x14ac:dyDescent="0.25">
      <c r="A471" s="806"/>
      <c r="B471" s="42"/>
      <c r="C471" s="806"/>
    </row>
    <row r="472" spans="1:3" x14ac:dyDescent="0.25">
      <c r="A472" s="806"/>
      <c r="B472" s="42"/>
      <c r="C472" s="806"/>
    </row>
    <row r="473" spans="1:3" x14ac:dyDescent="0.25">
      <c r="A473" s="806"/>
      <c r="B473" s="42"/>
      <c r="C473" s="806"/>
    </row>
    <row r="474" spans="1:3" x14ac:dyDescent="0.25">
      <c r="A474" s="806"/>
      <c r="B474" s="42"/>
      <c r="C474" s="806"/>
    </row>
    <row r="475" spans="1:3" x14ac:dyDescent="0.25">
      <c r="A475" s="806"/>
      <c r="B475" s="42"/>
      <c r="C475" s="806"/>
    </row>
    <row r="476" spans="1:3" x14ac:dyDescent="0.25">
      <c r="A476" s="806"/>
      <c r="B476" s="42"/>
      <c r="C476" s="806"/>
    </row>
    <row r="477" spans="1:3" x14ac:dyDescent="0.25">
      <c r="A477" s="806"/>
      <c r="B477" s="42"/>
      <c r="C477" s="806"/>
    </row>
    <row r="478" spans="1:3" x14ac:dyDescent="0.25">
      <c r="A478" s="806"/>
      <c r="B478" s="42"/>
      <c r="C478" s="806"/>
    </row>
    <row r="479" spans="1:3" x14ac:dyDescent="0.25">
      <c r="A479" s="806"/>
      <c r="B479" s="42"/>
      <c r="C479" s="806"/>
    </row>
    <row r="480" spans="1:3" x14ac:dyDescent="0.25">
      <c r="A480" s="806"/>
      <c r="B480" s="42"/>
      <c r="C480" s="806"/>
    </row>
    <row r="481" spans="1:3" x14ac:dyDescent="0.25">
      <c r="A481" s="806"/>
      <c r="B481" s="42"/>
      <c r="C481" s="806"/>
    </row>
    <row r="482" spans="1:3" x14ac:dyDescent="0.25">
      <c r="A482" s="806"/>
      <c r="B482" s="42"/>
      <c r="C482" s="806"/>
    </row>
    <row r="483" spans="1:3" x14ac:dyDescent="0.25">
      <c r="A483" s="806"/>
      <c r="B483" s="42"/>
      <c r="C483" s="806"/>
    </row>
    <row r="484" spans="1:3" x14ac:dyDescent="0.25">
      <c r="A484" s="806"/>
      <c r="B484" s="42"/>
      <c r="C484" s="806"/>
    </row>
    <row r="485" spans="1:3" x14ac:dyDescent="0.25">
      <c r="A485" s="806"/>
      <c r="B485" s="42"/>
      <c r="C485" s="806"/>
    </row>
    <row r="486" spans="1:3" x14ac:dyDescent="0.25">
      <c r="A486" s="806"/>
      <c r="B486" s="42"/>
      <c r="C486" s="806"/>
    </row>
    <row r="487" spans="1:3" x14ac:dyDescent="0.25">
      <c r="A487" s="806"/>
      <c r="B487" s="42"/>
      <c r="C487" s="806"/>
    </row>
    <row r="488" spans="1:3" x14ac:dyDescent="0.25">
      <c r="A488" s="806"/>
      <c r="B488" s="42"/>
      <c r="C488" s="806"/>
    </row>
    <row r="489" spans="1:3" x14ac:dyDescent="0.25">
      <c r="A489" s="806"/>
      <c r="B489" s="42"/>
      <c r="C489" s="806"/>
    </row>
    <row r="490" spans="1:3" x14ac:dyDescent="0.25">
      <c r="A490" s="806"/>
      <c r="B490" s="42"/>
      <c r="C490" s="806"/>
    </row>
    <row r="491" spans="1:3" x14ac:dyDescent="0.25">
      <c r="A491" s="806"/>
      <c r="B491" s="42"/>
      <c r="C491" s="806"/>
    </row>
    <row r="492" spans="1:3" x14ac:dyDescent="0.25">
      <c r="A492" s="806"/>
      <c r="B492" s="42"/>
      <c r="C492" s="806"/>
    </row>
    <row r="493" spans="1:3" x14ac:dyDescent="0.25">
      <c r="A493" s="806"/>
      <c r="B493" s="42"/>
      <c r="C493" s="806"/>
    </row>
    <row r="494" spans="1:3" x14ac:dyDescent="0.25">
      <c r="A494" s="806"/>
      <c r="B494" s="42"/>
      <c r="C494" s="806"/>
    </row>
    <row r="495" spans="1:3" x14ac:dyDescent="0.25">
      <c r="A495" s="806"/>
      <c r="B495" s="42"/>
      <c r="C495" s="806"/>
    </row>
    <row r="496" spans="1:3" x14ac:dyDescent="0.25">
      <c r="A496" s="806"/>
      <c r="B496" s="42"/>
      <c r="C496" s="806"/>
    </row>
    <row r="497" spans="1:3" x14ac:dyDescent="0.25">
      <c r="A497" s="806"/>
      <c r="B497" s="42"/>
      <c r="C497" s="806"/>
    </row>
    <row r="498" spans="1:3" x14ac:dyDescent="0.25">
      <c r="A498" s="806"/>
      <c r="B498" s="42"/>
      <c r="C498" s="806"/>
    </row>
    <row r="499" spans="1:3" x14ac:dyDescent="0.25">
      <c r="A499" s="806"/>
      <c r="B499" s="42"/>
      <c r="C499" s="806"/>
    </row>
    <row r="500" spans="1:3" x14ac:dyDescent="0.25">
      <c r="A500" s="806"/>
      <c r="B500" s="42"/>
      <c r="C500" s="806"/>
    </row>
    <row r="501" spans="1:3" x14ac:dyDescent="0.25">
      <c r="A501" s="806"/>
      <c r="B501" s="42"/>
      <c r="C501" s="806"/>
    </row>
    <row r="502" spans="1:3" x14ac:dyDescent="0.25">
      <c r="A502" s="806"/>
      <c r="B502" s="42"/>
      <c r="C502" s="806"/>
    </row>
    <row r="503" spans="1:3" x14ac:dyDescent="0.25">
      <c r="A503" s="806"/>
      <c r="B503" s="42"/>
      <c r="C503" s="806"/>
    </row>
    <row r="504" spans="1:3" x14ac:dyDescent="0.25">
      <c r="A504" s="806"/>
      <c r="B504" s="42"/>
      <c r="C504" s="806"/>
    </row>
    <row r="505" spans="1:3" x14ac:dyDescent="0.25">
      <c r="A505" s="806"/>
      <c r="B505" s="42"/>
      <c r="C505" s="806"/>
    </row>
    <row r="506" spans="1:3" x14ac:dyDescent="0.25">
      <c r="A506" s="806"/>
      <c r="B506" s="42"/>
      <c r="C506" s="806"/>
    </row>
    <row r="507" spans="1:3" x14ac:dyDescent="0.25">
      <c r="A507" s="806"/>
      <c r="B507" s="42"/>
      <c r="C507" s="806"/>
    </row>
    <row r="508" spans="1:3" x14ac:dyDescent="0.25">
      <c r="A508" s="806"/>
      <c r="B508" s="42"/>
      <c r="C508" s="806"/>
    </row>
    <row r="509" spans="1:3" x14ac:dyDescent="0.25">
      <c r="A509" s="806"/>
      <c r="B509" s="42"/>
      <c r="C509" s="806"/>
    </row>
    <row r="510" spans="1:3" x14ac:dyDescent="0.25">
      <c r="A510" s="806"/>
      <c r="B510" s="42"/>
      <c r="C510" s="806"/>
    </row>
    <row r="511" spans="1:3" x14ac:dyDescent="0.25">
      <c r="A511" s="806"/>
      <c r="B511" s="42"/>
      <c r="C511" s="806"/>
    </row>
    <row r="512" spans="1:3" x14ac:dyDescent="0.25">
      <c r="A512" s="806"/>
      <c r="B512" s="42"/>
      <c r="C512" s="806"/>
    </row>
    <row r="513" spans="1:3" x14ac:dyDescent="0.25">
      <c r="A513" s="806"/>
      <c r="B513" s="42"/>
      <c r="C513" s="806"/>
    </row>
    <row r="514" spans="1:3" x14ac:dyDescent="0.25">
      <c r="A514" s="806"/>
      <c r="B514" s="42"/>
      <c r="C514" s="806"/>
    </row>
    <row r="515" spans="1:3" x14ac:dyDescent="0.25">
      <c r="A515" s="806"/>
      <c r="B515" s="42"/>
      <c r="C515" s="806"/>
    </row>
    <row r="516" spans="1:3" x14ac:dyDescent="0.25">
      <c r="A516" s="806"/>
      <c r="B516" s="42"/>
      <c r="C516" s="806"/>
    </row>
    <row r="517" spans="1:3" x14ac:dyDescent="0.25">
      <c r="A517" s="806"/>
      <c r="B517" s="42"/>
      <c r="C517" s="806"/>
    </row>
    <row r="518" spans="1:3" x14ac:dyDescent="0.25">
      <c r="A518" s="806"/>
      <c r="B518" s="42"/>
      <c r="C518" s="806"/>
    </row>
    <row r="519" spans="1:3" x14ac:dyDescent="0.25">
      <c r="A519" s="806"/>
      <c r="B519" s="42"/>
      <c r="C519" s="806"/>
    </row>
    <row r="520" spans="1:3" x14ac:dyDescent="0.25">
      <c r="A520" s="806"/>
      <c r="B520" s="42"/>
      <c r="C520" s="806"/>
    </row>
    <row r="521" spans="1:3" x14ac:dyDescent="0.25">
      <c r="A521" s="806"/>
      <c r="B521" s="42"/>
      <c r="C521" s="806"/>
    </row>
    <row r="522" spans="1:3" x14ac:dyDescent="0.25">
      <c r="A522" s="806"/>
      <c r="B522" s="42"/>
      <c r="C522" s="806"/>
    </row>
    <row r="523" spans="1:3" x14ac:dyDescent="0.25">
      <c r="A523" s="806"/>
      <c r="B523" s="42"/>
      <c r="C523" s="806"/>
    </row>
    <row r="524" spans="1:3" x14ac:dyDescent="0.25">
      <c r="A524" s="806"/>
      <c r="B524" s="42"/>
      <c r="C524" s="806"/>
    </row>
    <row r="525" spans="1:3" x14ac:dyDescent="0.25">
      <c r="A525" s="806"/>
      <c r="B525" s="42"/>
      <c r="C525" s="806"/>
    </row>
    <row r="526" spans="1:3" x14ac:dyDescent="0.25">
      <c r="A526" s="806"/>
      <c r="B526" s="42"/>
      <c r="C526" s="806"/>
    </row>
    <row r="527" spans="1:3" x14ac:dyDescent="0.25">
      <c r="A527" s="806"/>
      <c r="B527" s="42"/>
      <c r="C527" s="806"/>
    </row>
    <row r="528" spans="1:3" x14ac:dyDescent="0.25">
      <c r="A528" s="806"/>
      <c r="B528" s="42"/>
      <c r="C528" s="806"/>
    </row>
    <row r="529" spans="1:3" x14ac:dyDescent="0.25">
      <c r="A529" s="806"/>
      <c r="B529" s="42"/>
      <c r="C529" s="806"/>
    </row>
    <row r="530" spans="1:3" x14ac:dyDescent="0.25">
      <c r="A530" s="806"/>
      <c r="B530" s="42"/>
      <c r="C530" s="806"/>
    </row>
    <row r="531" spans="1:3" x14ac:dyDescent="0.25">
      <c r="A531" s="806"/>
      <c r="B531" s="42"/>
      <c r="C531" s="806"/>
    </row>
    <row r="532" spans="1:3" x14ac:dyDescent="0.25">
      <c r="A532" s="806"/>
      <c r="B532" s="42"/>
      <c r="C532" s="806"/>
    </row>
    <row r="533" spans="1:3" x14ac:dyDescent="0.25">
      <c r="A533" s="806"/>
      <c r="B533" s="42"/>
      <c r="C533" s="806"/>
    </row>
    <row r="534" spans="1:3" x14ac:dyDescent="0.25">
      <c r="A534" s="806"/>
      <c r="B534" s="42"/>
      <c r="C534" s="806"/>
    </row>
    <row r="535" spans="1:3" x14ac:dyDescent="0.25">
      <c r="A535" s="806"/>
      <c r="B535" s="42"/>
      <c r="C535" s="806"/>
    </row>
    <row r="536" spans="1:3" x14ac:dyDescent="0.25">
      <c r="A536" s="806"/>
      <c r="B536" s="42"/>
      <c r="C536" s="806"/>
    </row>
    <row r="537" spans="1:3" x14ac:dyDescent="0.25">
      <c r="A537" s="806"/>
      <c r="B537" s="42"/>
      <c r="C537" s="806"/>
    </row>
    <row r="538" spans="1:3" x14ac:dyDescent="0.25">
      <c r="A538" s="806"/>
      <c r="B538" s="42"/>
      <c r="C538" s="806"/>
    </row>
    <row r="539" spans="1:3" x14ac:dyDescent="0.25">
      <c r="A539" s="806"/>
      <c r="B539" s="42"/>
      <c r="C539" s="806"/>
    </row>
    <row r="540" spans="1:3" x14ac:dyDescent="0.25">
      <c r="A540" s="806"/>
      <c r="B540" s="42"/>
      <c r="C540" s="806"/>
    </row>
    <row r="541" spans="1:3" x14ac:dyDescent="0.25">
      <c r="A541" s="806"/>
      <c r="B541" s="42"/>
      <c r="C541" s="806"/>
    </row>
    <row r="542" spans="1:3" x14ac:dyDescent="0.25">
      <c r="A542" s="806"/>
      <c r="B542" s="42"/>
      <c r="C542" s="806"/>
    </row>
    <row r="543" spans="1:3" x14ac:dyDescent="0.25">
      <c r="A543" s="806"/>
      <c r="B543" s="42"/>
      <c r="C543" s="806"/>
    </row>
    <row r="544" spans="1:3" x14ac:dyDescent="0.25">
      <c r="A544" s="806"/>
      <c r="B544" s="42"/>
      <c r="C544" s="806"/>
    </row>
    <row r="545" spans="1:3" x14ac:dyDescent="0.25">
      <c r="A545" s="806"/>
      <c r="B545" s="42"/>
      <c r="C545" s="806"/>
    </row>
    <row r="546" spans="1:3" x14ac:dyDescent="0.25">
      <c r="A546" s="806"/>
      <c r="B546" s="42"/>
      <c r="C546" s="806"/>
    </row>
    <row r="547" spans="1:3" x14ac:dyDescent="0.25">
      <c r="A547" s="806"/>
      <c r="B547" s="42"/>
      <c r="C547" s="806"/>
    </row>
    <row r="548" spans="1:3" x14ac:dyDescent="0.25">
      <c r="A548" s="806"/>
      <c r="B548" s="42"/>
      <c r="C548" s="806"/>
    </row>
    <row r="549" spans="1:3" x14ac:dyDescent="0.25">
      <c r="A549" s="806"/>
      <c r="B549" s="42"/>
      <c r="C549" s="806"/>
    </row>
    <row r="550" spans="1:3" x14ac:dyDescent="0.25">
      <c r="A550" s="806"/>
      <c r="B550" s="42"/>
      <c r="C550" s="806"/>
    </row>
  </sheetData>
  <sheetProtection algorithmName="SHA-512" hashValue="/f6+TlX3awmgvcOltzFOBVr/hFJjDXpjHKMWBSWlIRKNf9yPjMi6gPTJ7qFVH2QftBWCeCWLELT7gXxw4yPMMA==" saltValue="Kp+MUAXH8TzSlP1P/XqGOQ==" spinCount="100000" sheet="1" objects="1" scenarios="1"/>
  <mergeCells count="18">
    <mergeCell ref="M1:M2"/>
    <mergeCell ref="D1:D2"/>
    <mergeCell ref="E1:F1"/>
    <mergeCell ref="G1:G2"/>
    <mergeCell ref="H1:I1"/>
    <mergeCell ref="L1:L2"/>
    <mergeCell ref="T15:U15"/>
    <mergeCell ref="V15:W15"/>
    <mergeCell ref="N42:O42"/>
    <mergeCell ref="P42:Q42"/>
    <mergeCell ref="R42:S42"/>
    <mergeCell ref="T42:U42"/>
    <mergeCell ref="V42:W42"/>
    <mergeCell ref="L43:L44"/>
    <mergeCell ref="M43:M44"/>
    <mergeCell ref="N15:O15"/>
    <mergeCell ref="P15:Q15"/>
    <mergeCell ref="R15:S15"/>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
    <tabColor theme="0" tint="-0.249977111117893"/>
  </sheetPr>
  <dimension ref="A1:AA123"/>
  <sheetViews>
    <sheetView showGridLines="0" zoomScale="90" zoomScaleNormal="90" workbookViewId="0">
      <selection activeCell="I9" sqref="I9"/>
    </sheetView>
  </sheetViews>
  <sheetFormatPr defaultColWidth="8.69921875" defaultRowHeight="13.2" outlineLevelCol="1" x14ac:dyDescent="0.25"/>
  <cols>
    <col min="1" max="1" width="1.796875" style="12" customWidth="1"/>
    <col min="2" max="2" width="16.796875" style="12" customWidth="1"/>
    <col min="3" max="6" width="15.19921875" style="12" customWidth="1"/>
    <col min="7" max="7" width="17.296875" style="12" customWidth="1"/>
    <col min="8" max="8" width="15.19921875" style="20" customWidth="1"/>
    <col min="9" max="9" width="15.19921875" style="5" customWidth="1"/>
    <col min="10" max="10" width="10.69921875" style="12" customWidth="1"/>
    <col min="11" max="12" width="20.19921875" style="12" customWidth="1"/>
    <col min="13" max="13" width="2.69921875" style="12" customWidth="1"/>
    <col min="14" max="16" width="8.69921875" style="12" hidden="1" customWidth="1" outlineLevel="1"/>
    <col min="17" max="17" width="2.69921875" style="12" customWidth="1" collapsed="1"/>
    <col min="18" max="18" width="2.69921875" style="12" customWidth="1"/>
    <col min="19" max="19" width="52.19921875" style="2146" customWidth="1"/>
    <col min="20" max="21" width="8.69921875" style="12" customWidth="1"/>
    <col min="22" max="23" width="8.69921875" style="12" hidden="1" customWidth="1"/>
    <col min="24" max="24" width="18.19921875" style="12" hidden="1" customWidth="1"/>
    <col min="25" max="25" width="23.5" style="12" hidden="1" customWidth="1"/>
    <col min="26" max="27" width="8.69921875" style="12" hidden="1" customWidth="1"/>
    <col min="28" max="30" width="8.69921875" style="12" customWidth="1"/>
    <col min="31" max="53" width="7.69921875" style="12" customWidth="1"/>
    <col min="54" max="16384" width="8.69921875" style="12"/>
  </cols>
  <sheetData>
    <row r="1" spans="1:20" s="3" customFormat="1" x14ac:dyDescent="0.25">
      <c r="A1" s="331" t="s">
        <v>1038</v>
      </c>
      <c r="B1" s="11"/>
      <c r="C1" s="11"/>
      <c r="D1" s="11"/>
      <c r="E1" s="11"/>
      <c r="F1" s="11"/>
      <c r="G1" s="11"/>
      <c r="H1" s="11"/>
      <c r="I1" s="11"/>
      <c r="J1" s="12"/>
      <c r="K1" s="12"/>
      <c r="L1" s="12"/>
      <c r="M1" s="12"/>
      <c r="N1" s="12"/>
      <c r="O1" s="12"/>
      <c r="P1" s="12"/>
      <c r="S1" s="2146"/>
    </row>
    <row r="2" spans="1:20" s="3" customFormat="1" ht="24.75" customHeight="1" x14ac:dyDescent="0.25">
      <c r="A2" s="331" t="s">
        <v>1038</v>
      </c>
      <c r="B2" s="15" t="s">
        <v>844</v>
      </c>
      <c r="C2" s="16"/>
      <c r="D2" s="16"/>
      <c r="E2" s="16"/>
      <c r="F2" s="16"/>
      <c r="G2" s="16"/>
      <c r="H2" s="16"/>
      <c r="I2" s="16"/>
      <c r="J2" s="12"/>
      <c r="K2" s="12"/>
      <c r="L2" s="12"/>
      <c r="M2" s="12"/>
      <c r="N2" s="12"/>
      <c r="O2" s="12"/>
      <c r="P2" s="12"/>
      <c r="S2" s="2146"/>
    </row>
    <row r="3" spans="1:20" s="3" customFormat="1" ht="15" customHeight="1" x14ac:dyDescent="0.25">
      <c r="A3" s="331" t="s">
        <v>1038</v>
      </c>
      <c r="B3" s="11"/>
      <c r="C3" s="11"/>
      <c r="D3" s="11"/>
      <c r="E3" s="11"/>
      <c r="F3" s="11"/>
      <c r="G3" s="11"/>
      <c r="H3" s="11"/>
      <c r="I3" s="11"/>
      <c r="J3" s="12"/>
      <c r="K3" s="12"/>
      <c r="L3" s="12"/>
      <c r="M3" s="12"/>
      <c r="N3" s="12"/>
      <c r="O3" s="12"/>
      <c r="P3" s="12"/>
      <c r="S3" s="2146"/>
    </row>
    <row r="4" spans="1:20" s="339" customFormat="1" ht="21.75" customHeight="1" x14ac:dyDescent="0.25">
      <c r="A4" s="304" t="s">
        <v>1038</v>
      </c>
      <c r="S4" s="1521"/>
    </row>
    <row r="5" spans="1:20" s="339" customFormat="1" ht="56.55" customHeight="1" x14ac:dyDescent="0.25">
      <c r="A5" s="304" t="s">
        <v>1038</v>
      </c>
      <c r="B5" s="3444" t="s">
        <v>858</v>
      </c>
      <c r="C5" s="3444"/>
      <c r="D5" s="3444"/>
      <c r="E5" s="3444"/>
      <c r="F5" s="3444"/>
      <c r="G5" s="3444"/>
      <c r="H5" s="24"/>
      <c r="I5" s="387"/>
      <c r="N5" s="387"/>
      <c r="S5" s="1521"/>
    </row>
    <row r="6" spans="1:20" s="339" customFormat="1" x14ac:dyDescent="0.25">
      <c r="A6" s="304" t="s">
        <v>1038</v>
      </c>
      <c r="B6" s="25"/>
      <c r="C6" s="18"/>
      <c r="D6" s="18"/>
      <c r="E6" s="18"/>
      <c r="F6" s="18"/>
      <c r="G6" s="18"/>
      <c r="H6" s="24"/>
      <c r="I6" s="387"/>
      <c r="N6" s="387"/>
      <c r="S6" s="1370" t="s">
        <v>1635</v>
      </c>
    </row>
    <row r="7" spans="1:20" s="347" customFormat="1" ht="26.25" customHeight="1" x14ac:dyDescent="0.25">
      <c r="A7" s="304" t="s">
        <v>1038</v>
      </c>
      <c r="B7" s="7" t="s">
        <v>860</v>
      </c>
      <c r="C7" s="9"/>
      <c r="D7" s="9"/>
      <c r="E7" s="9"/>
      <c r="F7" s="9"/>
      <c r="G7" s="9"/>
      <c r="H7" s="9"/>
      <c r="N7" s="9"/>
      <c r="O7" s="9"/>
      <c r="P7" s="9"/>
      <c r="Q7" s="9"/>
      <c r="R7" s="42"/>
      <c r="S7" s="33"/>
      <c r="T7" s="42"/>
    </row>
    <row r="8" spans="1:20" s="339" customFormat="1" ht="56.55" customHeight="1" x14ac:dyDescent="0.25">
      <c r="A8" s="304" t="s">
        <v>1038</v>
      </c>
      <c r="B8" s="3584" t="s">
        <v>2334</v>
      </c>
      <c r="C8" s="3584"/>
      <c r="D8" s="3584"/>
      <c r="E8" s="3584"/>
      <c r="F8" s="3584"/>
      <c r="G8" s="3584"/>
      <c r="H8" s="3584"/>
      <c r="I8" s="1517"/>
      <c r="N8" s="387"/>
      <c r="S8" s="1802"/>
    </row>
    <row r="9" spans="1:20" s="866" customFormat="1" ht="9.75" customHeight="1" x14ac:dyDescent="0.25">
      <c r="A9" s="304" t="s">
        <v>1038</v>
      </c>
      <c r="R9" s="1553"/>
      <c r="S9" s="2150"/>
      <c r="T9" s="1553"/>
    </row>
    <row r="10" spans="1:20" s="339" customFormat="1" ht="56.55" customHeight="1" x14ac:dyDescent="0.25">
      <c r="A10" s="304" t="s">
        <v>1038</v>
      </c>
      <c r="B10" s="3584" t="s">
        <v>206</v>
      </c>
      <c r="C10" s="3584"/>
      <c r="D10" s="3584"/>
      <c r="E10" s="3584"/>
      <c r="F10" s="3584"/>
      <c r="G10" s="3584"/>
      <c r="H10" s="3584"/>
      <c r="I10" s="1517"/>
      <c r="N10" s="387"/>
      <c r="S10" s="1802"/>
    </row>
    <row r="11" spans="1:20" s="339" customFormat="1" ht="20.25" customHeight="1" x14ac:dyDescent="0.25">
      <c r="A11" s="304" t="s">
        <v>1038</v>
      </c>
      <c r="H11" s="20"/>
      <c r="I11" s="387"/>
      <c r="N11" s="387"/>
      <c r="S11" s="1521"/>
    </row>
    <row r="12" spans="1:20" s="347" customFormat="1" ht="48" customHeight="1" x14ac:dyDescent="0.25">
      <c r="A12" s="304" t="s">
        <v>1038</v>
      </c>
      <c r="B12" s="3509" t="s">
        <v>234</v>
      </c>
      <c r="C12" s="3509"/>
      <c r="D12" s="3509"/>
      <c r="E12" s="3509"/>
      <c r="F12" s="3509"/>
      <c r="G12" s="3509"/>
      <c r="H12" s="3509"/>
      <c r="I12" s="3509"/>
      <c r="N12" s="21"/>
      <c r="Q12" s="396"/>
      <c r="S12" s="1521"/>
    </row>
    <row r="13" spans="1:20" s="347" customFormat="1" ht="21" customHeight="1" x14ac:dyDescent="0.25">
      <c r="A13" s="304" t="s">
        <v>1038</v>
      </c>
      <c r="B13" s="3458"/>
      <c r="C13" s="3458"/>
      <c r="D13" s="3458"/>
      <c r="E13" s="3458"/>
      <c r="F13" s="3458"/>
      <c r="G13" s="3458"/>
      <c r="H13" s="3458"/>
      <c r="I13" s="3458"/>
      <c r="N13" s="1520"/>
      <c r="Q13" s="396"/>
      <c r="S13" s="1802"/>
    </row>
    <row r="14" spans="1:20" s="347" customFormat="1" ht="21" customHeight="1" x14ac:dyDescent="0.25">
      <c r="A14" s="304" t="s">
        <v>1038</v>
      </c>
      <c r="B14" s="1492"/>
      <c r="C14" s="1492"/>
      <c r="D14" s="1492"/>
      <c r="E14" s="1492"/>
      <c r="F14" s="1492"/>
      <c r="G14" s="1492"/>
      <c r="H14" s="1492"/>
      <c r="N14" s="1492"/>
      <c r="Q14" s="396"/>
      <c r="S14" s="1521"/>
    </row>
    <row r="15" spans="1:20" s="347" customFormat="1" ht="26.25" customHeight="1" x14ac:dyDescent="0.25">
      <c r="A15" s="304" t="s">
        <v>1038</v>
      </c>
      <c r="B15" s="196" t="s">
        <v>105</v>
      </c>
      <c r="C15" s="9"/>
      <c r="D15" s="9"/>
      <c r="E15" s="9"/>
      <c r="F15" s="9"/>
      <c r="G15" s="9"/>
      <c r="H15" s="9"/>
      <c r="N15" s="9"/>
      <c r="O15" s="9"/>
      <c r="P15" s="9"/>
      <c r="Q15" s="9"/>
      <c r="S15" s="1521"/>
    </row>
    <row r="16" spans="1:20" s="339" customFormat="1" ht="56.55" customHeight="1" x14ac:dyDescent="0.25">
      <c r="A16" s="304" t="s">
        <v>1038</v>
      </c>
      <c r="B16" s="3584" t="s">
        <v>260</v>
      </c>
      <c r="C16" s="3584"/>
      <c r="D16" s="3584"/>
      <c r="E16" s="3584"/>
      <c r="F16" s="3584"/>
      <c r="G16" s="3685" t="s">
        <v>1316</v>
      </c>
      <c r="H16" s="3685"/>
      <c r="I16" s="3685"/>
      <c r="N16" s="387"/>
      <c r="O16" s="1558" t="b">
        <v>0</v>
      </c>
      <c r="P16" s="1558" t="b">
        <v>0</v>
      </c>
      <c r="S16" s="1802"/>
    </row>
    <row r="17" spans="1:25" s="347" customFormat="1" ht="21" customHeight="1" x14ac:dyDescent="0.25">
      <c r="A17" s="304" t="s">
        <v>1038</v>
      </c>
      <c r="B17" s="1492"/>
      <c r="C17" s="1492"/>
      <c r="D17" s="1492"/>
      <c r="E17" s="1492"/>
      <c r="F17" s="1492"/>
      <c r="G17" s="1492"/>
      <c r="H17" s="1492"/>
      <c r="N17" s="1492"/>
      <c r="Q17" s="396"/>
      <c r="S17" s="1521"/>
    </row>
    <row r="18" spans="1:25" s="347" customFormat="1" ht="21" hidden="1" customHeight="1" x14ac:dyDescent="0.25">
      <c r="A18" s="304" t="s">
        <v>1038</v>
      </c>
      <c r="B18" s="1227" t="s">
        <v>2393</v>
      </c>
      <c r="C18" s="1163"/>
      <c r="D18" s="1163"/>
      <c r="E18" s="1163"/>
      <c r="F18" s="1163"/>
      <c r="G18" s="1163"/>
      <c r="H18" s="42"/>
      <c r="I18" s="42"/>
      <c r="J18" s="42"/>
      <c r="N18" s="9"/>
      <c r="O18" s="9"/>
      <c r="P18" s="9"/>
      <c r="Q18" s="9"/>
      <c r="S18" s="1521"/>
    </row>
    <row r="19" spans="1:25" s="1496" customFormat="1" ht="15" hidden="1" customHeight="1" x14ac:dyDescent="0.25">
      <c r="A19" s="304" t="s">
        <v>1038</v>
      </c>
      <c r="B19" s="197" t="s">
        <v>2239</v>
      </c>
      <c r="C19" s="1225"/>
      <c r="D19" s="1225"/>
      <c r="E19" s="1225"/>
      <c r="F19" s="1225"/>
      <c r="G19" s="1226"/>
      <c r="H19" s="1226"/>
      <c r="I19" s="1226"/>
      <c r="J19" s="1226"/>
      <c r="S19" s="1521"/>
    </row>
    <row r="20" spans="1:25" s="339" customFormat="1" ht="46.95" hidden="1" customHeight="1" x14ac:dyDescent="0.25">
      <c r="A20" s="304" t="s">
        <v>1038</v>
      </c>
      <c r="B20" s="1491" t="s">
        <v>1087</v>
      </c>
      <c r="C20" s="3395" t="s">
        <v>106</v>
      </c>
      <c r="D20" s="3395"/>
      <c r="E20" s="1491" t="str">
        <f>IF('General Information'!$R$14="IP","Total Building Type Area
(sq ft)","Total Building Type Area
(sq m)")</f>
        <v>Total Building Type Area
(sq ft)</v>
      </c>
      <c r="F20" s="1491" t="str">
        <f>IF('General Information'!$R$14="IP","Equipment Power Density
(W/sq ft)","Equipment Power Density
(W/sq m)")</f>
        <v>Equipment Power Density
(W/sq ft)</v>
      </c>
      <c r="G20" s="1491" t="s">
        <v>102</v>
      </c>
      <c r="H20" s="3395" t="s">
        <v>254</v>
      </c>
      <c r="I20" s="3395"/>
      <c r="J20" s="1497" t="s">
        <v>2544</v>
      </c>
      <c r="N20" s="20"/>
      <c r="O20" s="387"/>
      <c r="S20" s="1521"/>
      <c r="W20" s="347"/>
      <c r="X20" s="347"/>
      <c r="Y20" s="347"/>
    </row>
    <row r="21" spans="1:25" s="339" customFormat="1" ht="19.2" hidden="1" customHeight="1" x14ac:dyDescent="0.25">
      <c r="A21" s="304"/>
      <c r="B21" s="1498">
        <f t="shared" ref="B21:B28" si="0">GI_Project_Name</f>
        <v>0</v>
      </c>
      <c r="C21" s="3605"/>
      <c r="D21" s="3605"/>
      <c r="E21" s="1515"/>
      <c r="F21" s="1650"/>
      <c r="G21" s="1498"/>
      <c r="H21" s="3605"/>
      <c r="I21" s="3605"/>
      <c r="J21" s="1663"/>
      <c r="N21" s="20"/>
      <c r="O21" s="387"/>
      <c r="S21" s="1802"/>
      <c r="V21" s="1824" t="s">
        <v>2533</v>
      </c>
      <c r="W21" s="1824" t="str">
        <f t="shared" ref="W21:W24" si="1">IF(J21="","0",J21)</f>
        <v>0</v>
      </c>
      <c r="X21" s="1824" t="s">
        <v>2511</v>
      </c>
      <c r="Y21" s="1824" t="str">
        <f t="shared" ref="Y21:Y24" si="2">C21&amp;" Building Type with total building area of "&amp;E21&amp;" sqft, and EPD of "&amp;F21&amp;" w/sf. The equipment in this EPD includes "&amp;G21&amp;"."</f>
        <v xml:space="preserve"> Building Type with total building area of  sqft, and EPD of  w/sf. The equipment in this EPD includes .</v>
      </c>
    </row>
    <row r="22" spans="1:25" s="339" customFormat="1" ht="19.2" hidden="1" customHeight="1" x14ac:dyDescent="0.25">
      <c r="A22" s="304" t="s">
        <v>802</v>
      </c>
      <c r="B22" s="1498">
        <f t="shared" si="0"/>
        <v>0</v>
      </c>
      <c r="C22" s="3605"/>
      <c r="D22" s="3605"/>
      <c r="E22" s="1515"/>
      <c r="F22" s="1650"/>
      <c r="G22" s="1498"/>
      <c r="H22" s="3605"/>
      <c r="I22" s="3605"/>
      <c r="J22" s="1663"/>
      <c r="N22" s="45" t="str">
        <f>IF(H22="No","Submit savings using Exceptional Calculation","")</f>
        <v/>
      </c>
      <c r="O22" s="387"/>
      <c r="S22" s="1802"/>
      <c r="V22" s="1824" t="s">
        <v>2533</v>
      </c>
      <c r="W22" s="1824" t="str">
        <f t="shared" si="1"/>
        <v>0</v>
      </c>
      <c r="X22" s="1824" t="s">
        <v>2511</v>
      </c>
      <c r="Y22" s="1824" t="str">
        <f t="shared" si="2"/>
        <v xml:space="preserve"> Building Type with total building area of  sqft, and EPD of  w/sf. The equipment in this EPD includes .</v>
      </c>
    </row>
    <row r="23" spans="1:25" s="339" customFormat="1" ht="19.2" hidden="1" customHeight="1" x14ac:dyDescent="0.25">
      <c r="A23" s="304"/>
      <c r="B23" s="1498">
        <f t="shared" si="0"/>
        <v>0</v>
      </c>
      <c r="C23" s="3605"/>
      <c r="D23" s="3605"/>
      <c r="E23" s="1515"/>
      <c r="F23" s="1650"/>
      <c r="G23" s="1498"/>
      <c r="H23" s="3605"/>
      <c r="I23" s="3605"/>
      <c r="J23" s="1663"/>
      <c r="N23" s="45" t="str">
        <f>IF(H23="No","Submit savings using Exceptional Calculation","")</f>
        <v/>
      </c>
      <c r="O23" s="387"/>
      <c r="S23" s="1802"/>
      <c r="V23" s="1824"/>
      <c r="W23" s="1824" t="str">
        <f t="shared" si="1"/>
        <v>0</v>
      </c>
      <c r="X23" s="1824"/>
      <c r="Y23" s="1824" t="str">
        <f t="shared" si="2"/>
        <v xml:space="preserve"> Building Type with total building area of  sqft, and EPD of  w/sf. The equipment in this EPD includes .</v>
      </c>
    </row>
    <row r="24" spans="1:25" s="339" customFormat="1" ht="19.2" hidden="1" customHeight="1" x14ac:dyDescent="0.25">
      <c r="A24" s="304"/>
      <c r="B24" s="1498">
        <f t="shared" si="0"/>
        <v>0</v>
      </c>
      <c r="C24" s="3605"/>
      <c r="D24" s="3605"/>
      <c r="E24" s="1515"/>
      <c r="F24" s="1650"/>
      <c r="G24" s="1498"/>
      <c r="H24" s="3605"/>
      <c r="I24" s="3605"/>
      <c r="J24" s="1663"/>
      <c r="N24" s="45" t="str">
        <f t="shared" ref="N24" si="3">IF(H24="No","Submit savings using Exceptional Calculation","")</f>
        <v/>
      </c>
      <c r="O24" s="387"/>
      <c r="S24" s="1802"/>
      <c r="V24" s="1824"/>
      <c r="W24" s="1824" t="str">
        <f t="shared" si="1"/>
        <v>0</v>
      </c>
      <c r="X24" s="1824"/>
      <c r="Y24" s="1824" t="str">
        <f t="shared" si="2"/>
        <v xml:space="preserve"> Building Type with total building area of  sqft, and EPD of  w/sf. The equipment in this EPD includes .</v>
      </c>
    </row>
    <row r="25" spans="1:25" s="339" customFormat="1" ht="19.2" hidden="1" customHeight="1" x14ac:dyDescent="0.25">
      <c r="A25" s="304"/>
      <c r="B25" s="1498">
        <f t="shared" si="0"/>
        <v>0</v>
      </c>
      <c r="C25" s="3605"/>
      <c r="D25" s="3605"/>
      <c r="E25" s="1515"/>
      <c r="F25" s="1650"/>
      <c r="G25" s="1498"/>
      <c r="H25" s="3605"/>
      <c r="I25" s="3605"/>
      <c r="J25" s="1663"/>
      <c r="N25" s="45" t="str">
        <f>IF(H25="No","Submit savings using Exceptional Calculation","")</f>
        <v/>
      </c>
      <c r="O25" s="387"/>
      <c r="S25" s="1802"/>
      <c r="V25" s="1824"/>
      <c r="W25" s="1824" t="str">
        <f t="shared" ref="W25" si="4">IF(J25="","0",J25)</f>
        <v>0</v>
      </c>
      <c r="X25" s="1824"/>
      <c r="Y25" s="1824" t="str">
        <f t="shared" ref="Y25" si="5">C25&amp;" Building Type with total building area of "&amp;E25&amp;" sqft, and EPD of "&amp;F25&amp;" w/sf. The equipment in this EPD includes "&amp;G25&amp;"."</f>
        <v xml:space="preserve"> Building Type with total building area of  sqft, and EPD of  w/sf. The equipment in this EPD includes .</v>
      </c>
    </row>
    <row r="26" spans="1:25" s="339" customFormat="1" ht="19.2" hidden="1" customHeight="1" x14ac:dyDescent="0.25">
      <c r="A26" s="304"/>
      <c r="B26" s="1498">
        <f t="shared" si="0"/>
        <v>0</v>
      </c>
      <c r="C26" s="3605"/>
      <c r="D26" s="3605"/>
      <c r="E26" s="1515"/>
      <c r="F26" s="1650"/>
      <c r="G26" s="1498"/>
      <c r="H26" s="3605"/>
      <c r="I26" s="3605"/>
      <c r="J26" s="1663"/>
      <c r="N26" s="45" t="str">
        <f>IF(H26="No","Submit savings using Exceptional Calculation","")</f>
        <v/>
      </c>
      <c r="O26" s="387"/>
      <c r="S26" s="1802"/>
      <c r="V26" s="1824"/>
      <c r="W26" s="1824" t="str">
        <f t="shared" ref="W26" si="6">IF(J26="","0",J26)</f>
        <v>0</v>
      </c>
      <c r="X26" s="1824"/>
      <c r="Y26" s="1824" t="str">
        <f t="shared" ref="Y26" si="7">C26&amp;" Building Type with total building area of "&amp;E26&amp;" sqft, and EPD of "&amp;F26&amp;" w/sf. The equipment in this EPD includes "&amp;G26&amp;"."</f>
        <v xml:space="preserve"> Building Type with total building area of  sqft, and EPD of  w/sf. The equipment in this EPD includes .</v>
      </c>
    </row>
    <row r="27" spans="1:25" s="339" customFormat="1" ht="19.2" hidden="1" customHeight="1" x14ac:dyDescent="0.25">
      <c r="A27" s="304"/>
      <c r="B27" s="1498">
        <f t="shared" si="0"/>
        <v>0</v>
      </c>
      <c r="C27" s="3605"/>
      <c r="D27" s="3605"/>
      <c r="E27" s="1515"/>
      <c r="F27" s="1650"/>
      <c r="G27" s="1498"/>
      <c r="H27" s="3605"/>
      <c r="I27" s="3605"/>
      <c r="J27" s="1663"/>
      <c r="N27" s="45" t="str">
        <f t="shared" ref="N27:N28" si="8">IF(H27="No","Submit savings using Exceptional Calculation","")</f>
        <v/>
      </c>
      <c r="O27" s="387"/>
      <c r="S27" s="1802"/>
      <c r="V27" s="1824"/>
      <c r="W27" s="1824" t="str">
        <f t="shared" ref="W27:W28" si="9">IF(J27="","0",J27)</f>
        <v>0</v>
      </c>
      <c r="X27" s="1824"/>
      <c r="Y27" s="1824" t="str">
        <f t="shared" ref="Y27:Y28" si="10">C27&amp;" Building Type with total building area of "&amp;E27&amp;" sqft, and EPD of "&amp;F27&amp;" w/sf. The equipment in this EPD includes "&amp;G27&amp;"."</f>
        <v xml:space="preserve"> Building Type with total building area of  sqft, and EPD of  w/sf. The equipment in this EPD includes .</v>
      </c>
    </row>
    <row r="28" spans="1:25" s="339" customFormat="1" ht="19.2" hidden="1" customHeight="1" x14ac:dyDescent="0.25">
      <c r="A28" s="304"/>
      <c r="B28" s="1498">
        <f t="shared" si="0"/>
        <v>0</v>
      </c>
      <c r="C28" s="3605"/>
      <c r="D28" s="3605"/>
      <c r="E28" s="1515"/>
      <c r="F28" s="1650"/>
      <c r="G28" s="1498"/>
      <c r="H28" s="3605"/>
      <c r="I28" s="3605"/>
      <c r="J28" s="1663"/>
      <c r="N28" s="45" t="str">
        <f t="shared" si="8"/>
        <v/>
      </c>
      <c r="O28" s="387"/>
      <c r="S28" s="1802"/>
      <c r="V28" s="1824"/>
      <c r="W28" s="1824" t="str">
        <f t="shared" si="9"/>
        <v>0</v>
      </c>
      <c r="X28" s="1824"/>
      <c r="Y28" s="1824" t="str">
        <f t="shared" si="10"/>
        <v xml:space="preserve"> Building Type with total building area of  sqft, and EPD of  w/sf. The equipment in this EPD includes .</v>
      </c>
    </row>
    <row r="29" spans="1:25" s="339" customFormat="1" ht="19.2" hidden="1" customHeight="1" x14ac:dyDescent="0.25">
      <c r="A29" s="304" t="s">
        <v>1038</v>
      </c>
      <c r="B29" s="3569" t="s">
        <v>122</v>
      </c>
      <c r="C29" s="3569"/>
      <c r="D29" s="3569"/>
      <c r="E29" s="1228">
        <f>SUM($E$21:$E$21)</f>
        <v>0</v>
      </c>
      <c r="F29" s="1229">
        <f>IFERROR(SUMPRODUCT($E$21:$E$21,$F$21:$F$21)/SUM($E$21:$E$21),0)</f>
        <v>0</v>
      </c>
      <c r="G29" s="3681"/>
      <c r="H29" s="3681"/>
      <c r="I29" s="3681"/>
      <c r="J29" s="3681"/>
      <c r="N29" s="23"/>
      <c r="O29" s="387"/>
      <c r="S29" s="1802"/>
    </row>
    <row r="30" spans="1:25" s="339" customFormat="1" ht="19.2" hidden="1" customHeight="1" x14ac:dyDescent="0.25">
      <c r="A30" s="304" t="s">
        <v>1038</v>
      </c>
      <c r="B30" s="3569" t="s">
        <v>255</v>
      </c>
      <c r="C30" s="3569"/>
      <c r="D30" s="3569"/>
      <c r="E30" s="3569"/>
      <c r="F30" s="3569"/>
      <c r="G30" s="3569"/>
      <c r="H30" s="3569"/>
      <c r="I30" s="3682">
        <f>SUMPRODUCT($E$21:$E$22,$F$21:$F$22)/1000</f>
        <v>0</v>
      </c>
      <c r="J30" s="3682"/>
      <c r="N30" s="23"/>
      <c r="O30" s="387"/>
      <c r="S30" s="1802"/>
    </row>
    <row r="31" spans="1:25" s="339" customFormat="1" ht="21" hidden="1" customHeight="1" x14ac:dyDescent="0.25">
      <c r="A31" s="304" t="s">
        <v>1038</v>
      </c>
      <c r="B31" s="392" t="s">
        <v>256</v>
      </c>
      <c r="C31" s="1559"/>
      <c r="D31" s="1559"/>
      <c r="E31" s="1560"/>
      <c r="F31" s="26"/>
      <c r="G31" s="1561"/>
      <c r="H31" s="23"/>
      <c r="I31" s="387"/>
      <c r="N31" s="387"/>
      <c r="S31" s="1521"/>
    </row>
    <row r="32" spans="1:25" s="339" customFormat="1" ht="21" hidden="1" customHeight="1" x14ac:dyDescent="0.25">
      <c r="A32" s="304"/>
      <c r="B32" s="575" t="str">
        <f>IF(ResDwellingUnitsExist="Yes","Note: The above table is for spaces other than dwelling units.  To enter dwelling unit values, use the Multifamily Details tab.","")</f>
        <v>Note: The above table is for spaces other than dwelling units.  To enter dwelling unit values, use the Multifamily Details tab.</v>
      </c>
      <c r="C32" s="1559"/>
      <c r="D32" s="1559"/>
      <c r="E32" s="1560"/>
      <c r="F32" s="26"/>
      <c r="G32" s="1561"/>
      <c r="H32" s="23"/>
      <c r="I32" s="387"/>
      <c r="N32" s="387"/>
      <c r="S32" s="1521"/>
    </row>
    <row r="33" spans="1:25" s="339" customFormat="1" ht="37.5" hidden="1" customHeight="1" x14ac:dyDescent="0.25">
      <c r="A33" s="304" t="s">
        <v>1038</v>
      </c>
      <c r="H33" s="20"/>
      <c r="I33" s="387"/>
      <c r="N33" s="387"/>
      <c r="S33" s="1521"/>
    </row>
    <row r="34" spans="1:25" s="347" customFormat="1" ht="21" customHeight="1" x14ac:dyDescent="0.25">
      <c r="A34" s="304" t="s">
        <v>1038</v>
      </c>
      <c r="B34" s="1492"/>
      <c r="C34" s="1492"/>
      <c r="D34" s="1492"/>
      <c r="E34" s="1492"/>
      <c r="F34" s="1492"/>
      <c r="G34" s="1492"/>
      <c r="H34" s="1492"/>
      <c r="N34" s="1492"/>
      <c r="Q34" s="396"/>
      <c r="S34" s="1521"/>
      <c r="W34" s="396"/>
      <c r="X34" s="396"/>
      <c r="Y34" s="396"/>
    </row>
    <row r="35" spans="1:25" s="347" customFormat="1" ht="21" hidden="1" customHeight="1" x14ac:dyDescent="0.25">
      <c r="A35" s="304" t="s">
        <v>1038</v>
      </c>
      <c r="B35" s="196" t="s">
        <v>2394</v>
      </c>
      <c r="C35" s="9"/>
      <c r="D35" s="9"/>
      <c r="E35" s="9"/>
      <c r="F35" s="9"/>
      <c r="G35" s="9"/>
      <c r="H35" s="9"/>
      <c r="N35" s="9"/>
      <c r="O35" s="9"/>
      <c r="P35" s="9"/>
      <c r="Q35" s="9"/>
      <c r="S35" s="1521"/>
      <c r="W35" s="396"/>
      <c r="X35" s="396"/>
      <c r="Y35" s="396"/>
    </row>
    <row r="36" spans="1:25" s="1496" customFormat="1" ht="15" hidden="1" customHeight="1" x14ac:dyDescent="0.25">
      <c r="A36" s="304" t="s">
        <v>1038</v>
      </c>
      <c r="B36" s="28"/>
      <c r="C36" s="27"/>
      <c r="D36" s="27"/>
      <c r="E36" s="27"/>
      <c r="F36" s="27"/>
      <c r="S36" s="1521"/>
      <c r="W36" s="339"/>
      <c r="X36" s="339"/>
      <c r="Y36" s="339"/>
    </row>
    <row r="37" spans="1:25" s="339" customFormat="1" ht="41.55" hidden="1" customHeight="1" x14ac:dyDescent="0.25">
      <c r="A37" s="304" t="s">
        <v>1038</v>
      </c>
      <c r="B37" s="1491" t="s">
        <v>1087</v>
      </c>
      <c r="C37" s="3395" t="s">
        <v>1970</v>
      </c>
      <c r="D37" s="3395"/>
      <c r="E37" s="1491" t="str">
        <f>IF('General Information'!$R$14="IP","Total Space Type Area
(sq ft)","Total Space Type Area
(sq m)")</f>
        <v>Total Space Type Area
(sq ft)</v>
      </c>
      <c r="F37" s="1491" t="str">
        <f>IF('General Information'!$R$14="IP","Equipment Power Density
(W/sq ft)","Equipment Power Density
(W/sq m)")</f>
        <v>Equipment Power Density
(W/sq ft)</v>
      </c>
      <c r="G37" s="1491" t="s">
        <v>102</v>
      </c>
      <c r="H37" s="3395" t="s">
        <v>254</v>
      </c>
      <c r="I37" s="3395"/>
      <c r="J37" s="1497" t="s">
        <v>2544</v>
      </c>
      <c r="N37" s="391"/>
      <c r="O37" s="387"/>
      <c r="S37" s="1521"/>
      <c r="W37" s="396"/>
      <c r="X37" s="396"/>
      <c r="Y37" s="396"/>
    </row>
    <row r="38" spans="1:25" s="339" customFormat="1" ht="17.55" hidden="1" customHeight="1" x14ac:dyDescent="0.25">
      <c r="A38" s="304"/>
      <c r="B38" s="1508">
        <f t="shared" ref="B38:B39" si="11">GI_Project_Name</f>
        <v>0</v>
      </c>
      <c r="C38" s="3458"/>
      <c r="D38" s="3458"/>
      <c r="E38" s="1345"/>
      <c r="F38" s="1762"/>
      <c r="G38" s="1508"/>
      <c r="H38" s="3423"/>
      <c r="I38" s="3424"/>
      <c r="J38" s="1663"/>
      <c r="N38" s="391"/>
      <c r="O38" s="387"/>
      <c r="S38" s="1802"/>
      <c r="V38" s="1824" t="s">
        <v>2534</v>
      </c>
      <c r="W38" s="1824" t="str">
        <f>IF(J38="","0",J38)</f>
        <v>0</v>
      </c>
      <c r="X38" s="1824" t="s">
        <v>2511</v>
      </c>
      <c r="Y38" s="1824" t="str">
        <f>C38&amp;" Building Type with total building area of "&amp;E38&amp;" sqft, and EPD of "&amp;F38&amp;" w/sf. The equipment in this EPD includes "&amp;G38&amp;"."</f>
        <v xml:space="preserve"> Building Type with total building area of  sqft, and EPD of  w/sf. The equipment in this EPD includes .</v>
      </c>
    </row>
    <row r="39" spans="1:25" s="339" customFormat="1" ht="17.55" hidden="1" customHeight="1" x14ac:dyDescent="0.25">
      <c r="A39" s="304"/>
      <c r="B39" s="1508">
        <f t="shared" si="11"/>
        <v>0</v>
      </c>
      <c r="C39" s="3458"/>
      <c r="D39" s="3458"/>
      <c r="E39" s="1345"/>
      <c r="F39" s="1762"/>
      <c r="G39" s="1508"/>
      <c r="H39" s="3423"/>
      <c r="I39" s="3424"/>
      <c r="J39" s="1663"/>
      <c r="N39" s="45" t="str">
        <f t="shared" ref="N39:N42" si="12">IF(H39="No","Submit savings using Exceptional Calculation","")</f>
        <v/>
      </c>
      <c r="O39" s="387"/>
      <c r="S39" s="1802"/>
      <c r="V39" s="1824" t="s">
        <v>2534</v>
      </c>
      <c r="W39" s="1824" t="str">
        <f t="shared" ref="W39:W42" si="13">IF(J39="","0",J39)</f>
        <v>0</v>
      </c>
      <c r="X39" s="1824" t="s">
        <v>2511</v>
      </c>
      <c r="Y39" s="1824" t="str">
        <f t="shared" ref="Y39:Y42" si="14">C39&amp;" Building Type with total building area of "&amp;E39&amp;" sqft, and EPD of "&amp;F39&amp;" w/sf. The equipment in this EPD includes "&amp;G39&amp;"."</f>
        <v xml:space="preserve"> Building Type with total building area of  sqft, and EPD of  w/sf. The equipment in this EPD includes .</v>
      </c>
    </row>
    <row r="40" spans="1:25" s="339" customFormat="1" ht="17.55" hidden="1" customHeight="1" x14ac:dyDescent="0.25">
      <c r="A40" s="304"/>
      <c r="B40" s="1508"/>
      <c r="C40" s="3458"/>
      <c r="D40" s="3458"/>
      <c r="E40" s="1345"/>
      <c r="F40" s="1762"/>
      <c r="G40" s="1508"/>
      <c r="H40" s="3423"/>
      <c r="I40" s="3424"/>
      <c r="J40" s="1663"/>
      <c r="N40" s="45" t="str">
        <f t="shared" si="12"/>
        <v/>
      </c>
      <c r="O40" s="387"/>
      <c r="S40" s="1802"/>
      <c r="V40" s="1824"/>
      <c r="W40" s="1824" t="str">
        <f t="shared" si="13"/>
        <v>0</v>
      </c>
      <c r="X40" s="1824"/>
      <c r="Y40" s="1824" t="str">
        <f t="shared" si="14"/>
        <v xml:space="preserve"> Building Type with total building area of  sqft, and EPD of  w/sf. The equipment in this EPD includes .</v>
      </c>
    </row>
    <row r="41" spans="1:25" s="339" customFormat="1" ht="17.55" hidden="1" customHeight="1" x14ac:dyDescent="0.25">
      <c r="A41" s="304"/>
      <c r="B41" s="1508"/>
      <c r="C41" s="3458"/>
      <c r="D41" s="3458"/>
      <c r="E41" s="1345"/>
      <c r="F41" s="1762"/>
      <c r="G41" s="1508"/>
      <c r="H41" s="3423"/>
      <c r="I41" s="3424"/>
      <c r="J41" s="1663"/>
      <c r="N41" s="45" t="str">
        <f t="shared" si="12"/>
        <v/>
      </c>
      <c r="O41" s="387"/>
      <c r="S41" s="1802"/>
      <c r="V41" s="1824"/>
      <c r="W41" s="1824" t="str">
        <f t="shared" si="13"/>
        <v>0</v>
      </c>
      <c r="X41" s="1824"/>
      <c r="Y41" s="1824" t="str">
        <f t="shared" si="14"/>
        <v xml:space="preserve"> Building Type with total building area of  sqft, and EPD of  w/sf. The equipment in this EPD includes .</v>
      </c>
    </row>
    <row r="42" spans="1:25" s="339" customFormat="1" ht="17.55" hidden="1" customHeight="1" x14ac:dyDescent="0.25">
      <c r="A42" s="304"/>
      <c r="B42" s="1508"/>
      <c r="C42" s="3458"/>
      <c r="D42" s="3458"/>
      <c r="E42" s="1345"/>
      <c r="F42" s="1762"/>
      <c r="G42" s="1508"/>
      <c r="H42" s="3423"/>
      <c r="I42" s="3424"/>
      <c r="J42" s="1663"/>
      <c r="N42" s="45" t="str">
        <f t="shared" si="12"/>
        <v/>
      </c>
      <c r="O42" s="387"/>
      <c r="S42" s="1802"/>
      <c r="V42" s="1824"/>
      <c r="W42" s="1824" t="str">
        <f t="shared" si="13"/>
        <v>0</v>
      </c>
      <c r="X42" s="1824"/>
      <c r="Y42" s="1824" t="str">
        <f t="shared" si="14"/>
        <v xml:space="preserve"> Building Type with total building area of  sqft, and EPD of  w/sf. The equipment in this EPD includes .</v>
      </c>
    </row>
    <row r="43" spans="1:25" s="339" customFormat="1" ht="17.55" hidden="1" customHeight="1" x14ac:dyDescent="0.25">
      <c r="A43" s="304"/>
      <c r="B43" s="1508"/>
      <c r="C43" s="3458"/>
      <c r="D43" s="3458"/>
      <c r="E43" s="1345"/>
      <c r="F43" s="1762"/>
      <c r="G43" s="1508"/>
      <c r="H43" s="3423"/>
      <c r="I43" s="3424"/>
      <c r="J43" s="1663"/>
      <c r="N43" s="45" t="str">
        <f t="shared" ref="N43:N70" si="15">IF(H43="No","Submit savings using Exceptional Calculation","")</f>
        <v/>
      </c>
      <c r="O43" s="387"/>
      <c r="S43" s="1802"/>
      <c r="V43" s="1824"/>
      <c r="W43" s="1824" t="str">
        <f t="shared" ref="W43:W70" si="16">IF(J43="","0",J43)</f>
        <v>0</v>
      </c>
      <c r="X43" s="1824"/>
      <c r="Y43" s="1824" t="str">
        <f t="shared" ref="Y43:Y70" si="17">C43&amp;" Building Type with total building area of "&amp;E43&amp;" sqft, and EPD of "&amp;F43&amp;" w/sf. The equipment in this EPD includes "&amp;G43&amp;"."</f>
        <v xml:space="preserve"> Building Type with total building area of  sqft, and EPD of  w/sf. The equipment in this EPD includes .</v>
      </c>
    </row>
    <row r="44" spans="1:25" s="339" customFormat="1" ht="17.55" hidden="1" customHeight="1" x14ac:dyDescent="0.25">
      <c r="A44" s="304"/>
      <c r="B44" s="1508"/>
      <c r="C44" s="3458"/>
      <c r="D44" s="3458"/>
      <c r="E44" s="1345"/>
      <c r="F44" s="1762"/>
      <c r="G44" s="1508"/>
      <c r="H44" s="3423"/>
      <c r="I44" s="3424"/>
      <c r="J44" s="1663"/>
      <c r="N44" s="45" t="str">
        <f t="shared" si="15"/>
        <v/>
      </c>
      <c r="O44" s="387"/>
      <c r="S44" s="1802"/>
      <c r="V44" s="1824"/>
      <c r="W44" s="1824" t="str">
        <f t="shared" si="16"/>
        <v>0</v>
      </c>
      <c r="X44" s="1824"/>
      <c r="Y44" s="1824" t="str">
        <f t="shared" si="17"/>
        <v xml:space="preserve"> Building Type with total building area of  sqft, and EPD of  w/sf. The equipment in this EPD includes .</v>
      </c>
    </row>
    <row r="45" spans="1:25" s="339" customFormat="1" ht="17.55" hidden="1" customHeight="1" x14ac:dyDescent="0.25">
      <c r="A45" s="304"/>
      <c r="B45" s="1508"/>
      <c r="C45" s="3458"/>
      <c r="D45" s="3458"/>
      <c r="E45" s="1345"/>
      <c r="F45" s="1762"/>
      <c r="G45" s="1508"/>
      <c r="H45" s="3423"/>
      <c r="I45" s="3424"/>
      <c r="J45" s="1663"/>
      <c r="N45" s="45" t="str">
        <f t="shared" si="15"/>
        <v/>
      </c>
      <c r="O45" s="387"/>
      <c r="S45" s="1802"/>
      <c r="V45" s="1824"/>
      <c r="W45" s="1824" t="str">
        <f t="shared" si="16"/>
        <v>0</v>
      </c>
      <c r="X45" s="1824"/>
      <c r="Y45" s="1824" t="str">
        <f t="shared" si="17"/>
        <v xml:space="preserve"> Building Type with total building area of  sqft, and EPD of  w/sf. The equipment in this EPD includes .</v>
      </c>
    </row>
    <row r="46" spans="1:25" s="339" customFormat="1" ht="17.55" hidden="1" customHeight="1" x14ac:dyDescent="0.25">
      <c r="A46" s="304"/>
      <c r="B46" s="1508"/>
      <c r="C46" s="3458"/>
      <c r="D46" s="3458"/>
      <c r="E46" s="1345"/>
      <c r="F46" s="1762"/>
      <c r="G46" s="1508"/>
      <c r="H46" s="3423"/>
      <c r="I46" s="3424"/>
      <c r="J46" s="1663"/>
      <c r="N46" s="45" t="str">
        <f t="shared" si="15"/>
        <v/>
      </c>
      <c r="O46" s="387"/>
      <c r="S46" s="1802"/>
      <c r="V46" s="1824"/>
      <c r="W46" s="1824" t="str">
        <f t="shared" si="16"/>
        <v>0</v>
      </c>
      <c r="X46" s="1824"/>
      <c r="Y46" s="1824" t="str">
        <f t="shared" si="17"/>
        <v xml:space="preserve"> Building Type with total building area of  sqft, and EPD of  w/sf. The equipment in this EPD includes .</v>
      </c>
    </row>
    <row r="47" spans="1:25" s="339" customFormat="1" ht="17.55" hidden="1" customHeight="1" x14ac:dyDescent="0.25">
      <c r="A47" s="304"/>
      <c r="B47" s="1508"/>
      <c r="C47" s="3458"/>
      <c r="D47" s="3458"/>
      <c r="E47" s="1345"/>
      <c r="F47" s="1762"/>
      <c r="G47" s="1508"/>
      <c r="H47" s="3423"/>
      <c r="I47" s="3424"/>
      <c r="J47" s="1663"/>
      <c r="N47" s="45" t="str">
        <f t="shared" si="15"/>
        <v/>
      </c>
      <c r="O47" s="387"/>
      <c r="S47" s="1802"/>
      <c r="V47" s="1824"/>
      <c r="W47" s="1824" t="str">
        <f t="shared" si="16"/>
        <v>0</v>
      </c>
      <c r="X47" s="1824"/>
      <c r="Y47" s="1824" t="str">
        <f t="shared" si="17"/>
        <v xml:space="preserve"> Building Type with total building area of  sqft, and EPD of  w/sf. The equipment in this EPD includes .</v>
      </c>
    </row>
    <row r="48" spans="1:25" s="339" customFormat="1" ht="17.55" hidden="1" customHeight="1" x14ac:dyDescent="0.25">
      <c r="A48" s="304"/>
      <c r="B48" s="1508"/>
      <c r="C48" s="3458"/>
      <c r="D48" s="3458"/>
      <c r="E48" s="1345"/>
      <c r="F48" s="1762"/>
      <c r="G48" s="1508"/>
      <c r="H48" s="3423"/>
      <c r="I48" s="3424"/>
      <c r="J48" s="1663"/>
      <c r="N48" s="45" t="str">
        <f t="shared" ref="N48:N69" si="18">IF(H48="No","Submit savings using Exceptional Calculation","")</f>
        <v/>
      </c>
      <c r="O48" s="387"/>
      <c r="S48" s="1802"/>
      <c r="V48" s="1824"/>
      <c r="W48" s="1824" t="str">
        <f t="shared" ref="W48:W69" si="19">IF(J48="","0",J48)</f>
        <v>0</v>
      </c>
      <c r="X48" s="1824"/>
      <c r="Y48" s="1824" t="str">
        <f t="shared" ref="Y48:Y69" si="20">C48&amp;" Building Type with total building area of "&amp;E48&amp;" sqft, and EPD of "&amp;F48&amp;" w/sf. The equipment in this EPD includes "&amp;G48&amp;"."</f>
        <v xml:space="preserve"> Building Type with total building area of  sqft, and EPD of  w/sf. The equipment in this EPD includes .</v>
      </c>
    </row>
    <row r="49" spans="1:25" s="339" customFormat="1" ht="17.55" hidden="1" customHeight="1" x14ac:dyDescent="0.25">
      <c r="A49" s="304"/>
      <c r="B49" s="1508"/>
      <c r="C49" s="3458"/>
      <c r="D49" s="3458"/>
      <c r="E49" s="1345"/>
      <c r="F49" s="1762"/>
      <c r="G49" s="1508"/>
      <c r="H49" s="3423"/>
      <c r="I49" s="3424"/>
      <c r="J49" s="1663"/>
      <c r="N49" s="45" t="str">
        <f t="shared" si="18"/>
        <v/>
      </c>
      <c r="O49" s="387"/>
      <c r="S49" s="1802"/>
      <c r="V49" s="1824"/>
      <c r="W49" s="1824" t="str">
        <f t="shared" si="19"/>
        <v>0</v>
      </c>
      <c r="X49" s="1824"/>
      <c r="Y49" s="1824" t="str">
        <f t="shared" si="20"/>
        <v xml:space="preserve"> Building Type with total building area of  sqft, and EPD of  w/sf. The equipment in this EPD includes .</v>
      </c>
    </row>
    <row r="50" spans="1:25" s="339" customFormat="1" ht="17.55" hidden="1" customHeight="1" x14ac:dyDescent="0.25">
      <c r="A50" s="304"/>
      <c r="B50" s="1508"/>
      <c r="C50" s="3458"/>
      <c r="D50" s="3458"/>
      <c r="E50" s="1345"/>
      <c r="F50" s="1762"/>
      <c r="G50" s="1508"/>
      <c r="H50" s="3423"/>
      <c r="I50" s="3424"/>
      <c r="J50" s="1663"/>
      <c r="N50" s="45" t="str">
        <f t="shared" si="18"/>
        <v/>
      </c>
      <c r="O50" s="387"/>
      <c r="S50" s="1802"/>
      <c r="V50" s="1824"/>
      <c r="W50" s="1824" t="str">
        <f t="shared" si="19"/>
        <v>0</v>
      </c>
      <c r="X50" s="1824"/>
      <c r="Y50" s="1824" t="str">
        <f t="shared" si="20"/>
        <v xml:space="preserve"> Building Type with total building area of  sqft, and EPD of  w/sf. The equipment in this EPD includes .</v>
      </c>
    </row>
    <row r="51" spans="1:25" s="339" customFormat="1" ht="17.55" hidden="1" customHeight="1" x14ac:dyDescent="0.25">
      <c r="A51" s="304"/>
      <c r="B51" s="1508"/>
      <c r="C51" s="3458"/>
      <c r="D51" s="3458"/>
      <c r="E51" s="1345"/>
      <c r="F51" s="1762"/>
      <c r="G51" s="1508"/>
      <c r="H51" s="3423"/>
      <c r="I51" s="3424"/>
      <c r="J51" s="1663"/>
      <c r="N51" s="45" t="str">
        <f t="shared" si="18"/>
        <v/>
      </c>
      <c r="O51" s="387"/>
      <c r="S51" s="1802"/>
      <c r="V51" s="1824"/>
      <c r="W51" s="1824" t="str">
        <f t="shared" si="19"/>
        <v>0</v>
      </c>
      <c r="X51" s="1824"/>
      <c r="Y51" s="1824" t="str">
        <f t="shared" si="20"/>
        <v xml:space="preserve"> Building Type with total building area of  sqft, and EPD of  w/sf. The equipment in this EPD includes .</v>
      </c>
    </row>
    <row r="52" spans="1:25" s="339" customFormat="1" ht="17.55" hidden="1" customHeight="1" x14ac:dyDescent="0.25">
      <c r="A52" s="304"/>
      <c r="B52" s="1508"/>
      <c r="C52" s="3458"/>
      <c r="D52" s="3458"/>
      <c r="E52" s="1345"/>
      <c r="F52" s="1762"/>
      <c r="G52" s="1508"/>
      <c r="H52" s="3423"/>
      <c r="I52" s="3424"/>
      <c r="J52" s="1663"/>
      <c r="N52" s="45" t="str">
        <f t="shared" si="18"/>
        <v/>
      </c>
      <c r="O52" s="387"/>
      <c r="S52" s="1802"/>
      <c r="V52" s="1824"/>
      <c r="W52" s="1824" t="str">
        <f t="shared" si="19"/>
        <v>0</v>
      </c>
      <c r="X52" s="1824"/>
      <c r="Y52" s="1824" t="str">
        <f t="shared" si="20"/>
        <v xml:space="preserve"> Building Type with total building area of  sqft, and EPD of  w/sf. The equipment in this EPD includes .</v>
      </c>
    </row>
    <row r="53" spans="1:25" s="339" customFormat="1" ht="17.55" hidden="1" customHeight="1" x14ac:dyDescent="0.25">
      <c r="A53" s="304"/>
      <c r="B53" s="1508"/>
      <c r="C53" s="3458"/>
      <c r="D53" s="3458"/>
      <c r="E53" s="1345"/>
      <c r="F53" s="1762"/>
      <c r="G53" s="1508"/>
      <c r="H53" s="3423"/>
      <c r="I53" s="3424"/>
      <c r="J53" s="1663"/>
      <c r="N53" s="45" t="str">
        <f t="shared" si="18"/>
        <v/>
      </c>
      <c r="O53" s="387"/>
      <c r="S53" s="1802"/>
      <c r="V53" s="1824"/>
      <c r="W53" s="1824" t="str">
        <f t="shared" si="19"/>
        <v>0</v>
      </c>
      <c r="X53" s="1824"/>
      <c r="Y53" s="1824" t="str">
        <f t="shared" si="20"/>
        <v xml:space="preserve"> Building Type with total building area of  sqft, and EPD of  w/sf. The equipment in this EPD includes .</v>
      </c>
    </row>
    <row r="54" spans="1:25" s="339" customFormat="1" ht="17.55" hidden="1" customHeight="1" x14ac:dyDescent="0.25">
      <c r="A54" s="304"/>
      <c r="B54" s="1508"/>
      <c r="C54" s="3458"/>
      <c r="D54" s="3458"/>
      <c r="E54" s="1345"/>
      <c r="F54" s="1762"/>
      <c r="G54" s="1508"/>
      <c r="H54" s="3423"/>
      <c r="I54" s="3424"/>
      <c r="J54" s="1663"/>
      <c r="N54" s="45" t="str">
        <f t="shared" si="18"/>
        <v/>
      </c>
      <c r="O54" s="387"/>
      <c r="S54" s="1802"/>
      <c r="V54" s="1824"/>
      <c r="W54" s="1824" t="str">
        <f t="shared" si="19"/>
        <v>0</v>
      </c>
      <c r="X54" s="1824"/>
      <c r="Y54" s="1824" t="str">
        <f t="shared" si="20"/>
        <v xml:space="preserve"> Building Type with total building area of  sqft, and EPD of  w/sf. The equipment in this EPD includes .</v>
      </c>
    </row>
    <row r="55" spans="1:25" s="339" customFormat="1" ht="17.55" hidden="1" customHeight="1" x14ac:dyDescent="0.25">
      <c r="A55" s="304"/>
      <c r="B55" s="1508"/>
      <c r="C55" s="3458"/>
      <c r="D55" s="3458"/>
      <c r="E55" s="1345"/>
      <c r="F55" s="1762"/>
      <c r="G55" s="1508"/>
      <c r="H55" s="3423"/>
      <c r="I55" s="3424"/>
      <c r="J55" s="1663"/>
      <c r="N55" s="45" t="str">
        <f t="shared" si="18"/>
        <v/>
      </c>
      <c r="O55" s="387"/>
      <c r="S55" s="1802"/>
      <c r="V55" s="1824"/>
      <c r="W55" s="1824" t="str">
        <f t="shared" si="19"/>
        <v>0</v>
      </c>
      <c r="X55" s="1824"/>
      <c r="Y55" s="1824" t="str">
        <f t="shared" si="20"/>
        <v xml:space="preserve"> Building Type with total building area of  sqft, and EPD of  w/sf. The equipment in this EPD includes .</v>
      </c>
    </row>
    <row r="56" spans="1:25" s="339" customFormat="1" ht="17.55" hidden="1" customHeight="1" x14ac:dyDescent="0.25">
      <c r="A56" s="304"/>
      <c r="B56" s="1508"/>
      <c r="C56" s="3458"/>
      <c r="D56" s="3458"/>
      <c r="E56" s="1345"/>
      <c r="F56" s="1762"/>
      <c r="G56" s="1508"/>
      <c r="H56" s="3423"/>
      <c r="I56" s="3424"/>
      <c r="J56" s="1663"/>
      <c r="N56" s="45" t="str">
        <f t="shared" si="18"/>
        <v/>
      </c>
      <c r="O56" s="387"/>
      <c r="S56" s="1802"/>
      <c r="V56" s="1824"/>
      <c r="W56" s="1824" t="str">
        <f t="shared" si="19"/>
        <v>0</v>
      </c>
      <c r="X56" s="1824"/>
      <c r="Y56" s="1824" t="str">
        <f t="shared" si="20"/>
        <v xml:space="preserve"> Building Type with total building area of  sqft, and EPD of  w/sf. The equipment in this EPD includes .</v>
      </c>
    </row>
    <row r="57" spans="1:25" s="339" customFormat="1" ht="17.55" hidden="1" customHeight="1" x14ac:dyDescent="0.25">
      <c r="A57" s="304"/>
      <c r="B57" s="1508"/>
      <c r="C57" s="3458"/>
      <c r="D57" s="3458"/>
      <c r="E57" s="1345"/>
      <c r="F57" s="1762"/>
      <c r="G57" s="1508"/>
      <c r="H57" s="3423"/>
      <c r="I57" s="3424"/>
      <c r="J57" s="1663"/>
      <c r="N57" s="45" t="str">
        <f t="shared" si="18"/>
        <v/>
      </c>
      <c r="O57" s="387"/>
      <c r="S57" s="1802"/>
      <c r="V57" s="1824"/>
      <c r="W57" s="1824" t="str">
        <f t="shared" si="19"/>
        <v>0</v>
      </c>
      <c r="X57" s="1824"/>
      <c r="Y57" s="1824" t="str">
        <f t="shared" si="20"/>
        <v xml:space="preserve"> Building Type with total building area of  sqft, and EPD of  w/sf. The equipment in this EPD includes .</v>
      </c>
    </row>
    <row r="58" spans="1:25" s="339" customFormat="1" ht="17.55" hidden="1" customHeight="1" x14ac:dyDescent="0.25">
      <c r="A58" s="304"/>
      <c r="B58" s="1508"/>
      <c r="C58" s="3458"/>
      <c r="D58" s="3458"/>
      <c r="E58" s="1345"/>
      <c r="F58" s="1762"/>
      <c r="G58" s="1508"/>
      <c r="H58" s="3423"/>
      <c r="I58" s="3424"/>
      <c r="J58" s="1663"/>
      <c r="N58" s="45" t="str">
        <f t="shared" si="18"/>
        <v/>
      </c>
      <c r="O58" s="387"/>
      <c r="S58" s="1802"/>
      <c r="V58" s="1824"/>
      <c r="W58" s="1824" t="str">
        <f t="shared" si="19"/>
        <v>0</v>
      </c>
      <c r="X58" s="1824"/>
      <c r="Y58" s="1824" t="str">
        <f t="shared" si="20"/>
        <v xml:space="preserve"> Building Type with total building area of  sqft, and EPD of  w/sf. The equipment in this EPD includes .</v>
      </c>
    </row>
    <row r="59" spans="1:25" s="339" customFormat="1" ht="17.55" hidden="1" customHeight="1" x14ac:dyDescent="0.25">
      <c r="A59" s="304"/>
      <c r="B59" s="1508"/>
      <c r="C59" s="3458"/>
      <c r="D59" s="3458"/>
      <c r="E59" s="1345"/>
      <c r="F59" s="1762"/>
      <c r="G59" s="1508"/>
      <c r="H59" s="3423"/>
      <c r="I59" s="3424"/>
      <c r="J59" s="1663"/>
      <c r="N59" s="45" t="str">
        <f t="shared" ref="N59:N61" si="21">IF(H59="No","Submit savings using Exceptional Calculation","")</f>
        <v/>
      </c>
      <c r="O59" s="387"/>
      <c r="S59" s="1802"/>
      <c r="V59" s="1824"/>
      <c r="W59" s="1824" t="str">
        <f t="shared" ref="W59:W61" si="22">IF(J59="","0",J59)</f>
        <v>0</v>
      </c>
      <c r="X59" s="1824"/>
      <c r="Y59" s="1824" t="str">
        <f t="shared" ref="Y59:Y61" si="23">C59&amp;" Building Type with total building area of "&amp;E59&amp;" sqft, and EPD of "&amp;F59&amp;" w/sf. The equipment in this EPD includes "&amp;G59&amp;"."</f>
        <v xml:space="preserve"> Building Type with total building area of  sqft, and EPD of  w/sf. The equipment in this EPD includes .</v>
      </c>
    </row>
    <row r="60" spans="1:25" s="339" customFormat="1" ht="17.55" hidden="1" customHeight="1" x14ac:dyDescent="0.25">
      <c r="A60" s="304"/>
      <c r="B60" s="1508"/>
      <c r="C60" s="3458"/>
      <c r="D60" s="3458"/>
      <c r="E60" s="1345"/>
      <c r="F60" s="1762"/>
      <c r="G60" s="1508"/>
      <c r="H60" s="3423"/>
      <c r="I60" s="3424"/>
      <c r="J60" s="1663"/>
      <c r="N60" s="45" t="str">
        <f t="shared" si="21"/>
        <v/>
      </c>
      <c r="O60" s="387"/>
      <c r="S60" s="1802"/>
      <c r="V60" s="1824"/>
      <c r="W60" s="1824" t="str">
        <f t="shared" si="22"/>
        <v>0</v>
      </c>
      <c r="X60" s="1824"/>
      <c r="Y60" s="1824" t="str">
        <f t="shared" si="23"/>
        <v xml:space="preserve"> Building Type with total building area of  sqft, and EPD of  w/sf. The equipment in this EPD includes .</v>
      </c>
    </row>
    <row r="61" spans="1:25" s="339" customFormat="1" ht="17.55" hidden="1" customHeight="1" x14ac:dyDescent="0.25">
      <c r="A61" s="304"/>
      <c r="B61" s="1508"/>
      <c r="C61" s="3458"/>
      <c r="D61" s="3458"/>
      <c r="E61" s="1345"/>
      <c r="F61" s="1762"/>
      <c r="G61" s="1508"/>
      <c r="H61" s="3423"/>
      <c r="I61" s="3424"/>
      <c r="J61" s="1663"/>
      <c r="N61" s="45" t="str">
        <f t="shared" si="21"/>
        <v/>
      </c>
      <c r="O61" s="387"/>
      <c r="S61" s="1802"/>
      <c r="V61" s="1824"/>
      <c r="W61" s="1824" t="str">
        <f t="shared" si="22"/>
        <v>0</v>
      </c>
      <c r="X61" s="1824"/>
      <c r="Y61" s="1824" t="str">
        <f t="shared" si="23"/>
        <v xml:space="preserve"> Building Type with total building area of  sqft, and EPD of  w/sf. The equipment in this EPD includes .</v>
      </c>
    </row>
    <row r="62" spans="1:25" s="339" customFormat="1" ht="17.55" hidden="1" customHeight="1" x14ac:dyDescent="0.25">
      <c r="A62" s="304"/>
      <c r="B62" s="1508"/>
      <c r="C62" s="3458"/>
      <c r="D62" s="3458"/>
      <c r="E62" s="1345"/>
      <c r="F62" s="1762"/>
      <c r="G62" s="1508"/>
      <c r="H62" s="3423"/>
      <c r="I62" s="3424"/>
      <c r="J62" s="1663"/>
      <c r="N62" s="45" t="str">
        <f t="shared" si="18"/>
        <v/>
      </c>
      <c r="O62" s="387"/>
      <c r="S62" s="1802"/>
      <c r="V62" s="1824"/>
      <c r="W62" s="1824" t="str">
        <f t="shared" si="19"/>
        <v>0</v>
      </c>
      <c r="X62" s="1824"/>
      <c r="Y62" s="1824" t="str">
        <f t="shared" si="20"/>
        <v xml:space="preserve"> Building Type with total building area of  sqft, and EPD of  w/sf. The equipment in this EPD includes .</v>
      </c>
    </row>
    <row r="63" spans="1:25" s="339" customFormat="1" ht="17.55" hidden="1" customHeight="1" x14ac:dyDescent="0.25">
      <c r="A63" s="304"/>
      <c r="B63" s="1508"/>
      <c r="C63" s="3458"/>
      <c r="D63" s="3458"/>
      <c r="E63" s="1345"/>
      <c r="F63" s="1762"/>
      <c r="G63" s="1508"/>
      <c r="H63" s="3423"/>
      <c r="I63" s="3424"/>
      <c r="J63" s="1663"/>
      <c r="N63" s="45" t="str">
        <f t="shared" si="18"/>
        <v/>
      </c>
      <c r="O63" s="387"/>
      <c r="S63" s="1802"/>
      <c r="V63" s="1824"/>
      <c r="W63" s="1824" t="str">
        <f t="shared" si="19"/>
        <v>0</v>
      </c>
      <c r="X63" s="1824"/>
      <c r="Y63" s="1824" t="str">
        <f t="shared" si="20"/>
        <v xml:space="preserve"> Building Type with total building area of  sqft, and EPD of  w/sf. The equipment in this EPD includes .</v>
      </c>
    </row>
    <row r="64" spans="1:25" s="339" customFormat="1" ht="17.55" hidden="1" customHeight="1" x14ac:dyDescent="0.25">
      <c r="A64" s="304"/>
      <c r="B64" s="1508"/>
      <c r="C64" s="3458"/>
      <c r="D64" s="3458"/>
      <c r="E64" s="1345"/>
      <c r="F64" s="1762"/>
      <c r="G64" s="1508"/>
      <c r="H64" s="3423"/>
      <c r="I64" s="3424"/>
      <c r="J64" s="1663"/>
      <c r="N64" s="45" t="str">
        <f t="shared" si="18"/>
        <v/>
      </c>
      <c r="O64" s="387"/>
      <c r="S64" s="1802"/>
      <c r="V64" s="1824"/>
      <c r="W64" s="1824" t="str">
        <f t="shared" si="19"/>
        <v>0</v>
      </c>
      <c r="X64" s="1824"/>
      <c r="Y64" s="1824" t="str">
        <f t="shared" si="20"/>
        <v xml:space="preserve"> Building Type with total building area of  sqft, and EPD of  w/sf. The equipment in this EPD includes .</v>
      </c>
    </row>
    <row r="65" spans="1:25" s="339" customFormat="1" ht="17.55" hidden="1" customHeight="1" x14ac:dyDescent="0.25">
      <c r="A65" s="304"/>
      <c r="B65" s="1508"/>
      <c r="C65" s="3458"/>
      <c r="D65" s="3458"/>
      <c r="E65" s="1345"/>
      <c r="F65" s="1762"/>
      <c r="G65" s="1508"/>
      <c r="H65" s="3423"/>
      <c r="I65" s="3424"/>
      <c r="J65" s="1663"/>
      <c r="N65" s="45" t="str">
        <f t="shared" si="18"/>
        <v/>
      </c>
      <c r="O65" s="387"/>
      <c r="S65" s="1802"/>
      <c r="V65" s="1824"/>
      <c r="W65" s="1824" t="str">
        <f t="shared" si="19"/>
        <v>0</v>
      </c>
      <c r="X65" s="1824"/>
      <c r="Y65" s="1824" t="str">
        <f t="shared" si="20"/>
        <v xml:space="preserve"> Building Type with total building area of  sqft, and EPD of  w/sf. The equipment in this EPD includes .</v>
      </c>
    </row>
    <row r="66" spans="1:25" s="339" customFormat="1" ht="17.55" hidden="1" customHeight="1" x14ac:dyDescent="0.25">
      <c r="A66" s="304"/>
      <c r="B66" s="1508"/>
      <c r="C66" s="3458"/>
      <c r="D66" s="3458"/>
      <c r="E66" s="1345"/>
      <c r="F66" s="1762"/>
      <c r="G66" s="1508"/>
      <c r="H66" s="3423"/>
      <c r="I66" s="3424"/>
      <c r="J66" s="1663"/>
      <c r="N66" s="45" t="str">
        <f t="shared" si="18"/>
        <v/>
      </c>
      <c r="O66" s="387"/>
      <c r="S66" s="1802"/>
      <c r="V66" s="1824"/>
      <c r="W66" s="1824" t="str">
        <f t="shared" si="19"/>
        <v>0</v>
      </c>
      <c r="X66" s="1824"/>
      <c r="Y66" s="1824" t="str">
        <f t="shared" si="20"/>
        <v xml:space="preserve"> Building Type with total building area of  sqft, and EPD of  w/sf. The equipment in this EPD includes .</v>
      </c>
    </row>
    <row r="67" spans="1:25" s="339" customFormat="1" ht="17.55" hidden="1" customHeight="1" x14ac:dyDescent="0.25">
      <c r="A67" s="304"/>
      <c r="B67" s="1508"/>
      <c r="C67" s="3458"/>
      <c r="D67" s="3458"/>
      <c r="E67" s="1345"/>
      <c r="F67" s="1762"/>
      <c r="G67" s="1508"/>
      <c r="H67" s="3423"/>
      <c r="I67" s="3424"/>
      <c r="J67" s="1663"/>
      <c r="N67" s="45" t="str">
        <f t="shared" si="18"/>
        <v/>
      </c>
      <c r="O67" s="387"/>
      <c r="S67" s="1802"/>
      <c r="V67" s="1824"/>
      <c r="W67" s="1824" t="str">
        <f t="shared" si="19"/>
        <v>0</v>
      </c>
      <c r="X67" s="1824"/>
      <c r="Y67" s="1824" t="str">
        <f t="shared" si="20"/>
        <v xml:space="preserve"> Building Type with total building area of  sqft, and EPD of  w/sf. The equipment in this EPD includes .</v>
      </c>
    </row>
    <row r="68" spans="1:25" s="339" customFormat="1" ht="17.55" hidden="1" customHeight="1" x14ac:dyDescent="0.25">
      <c r="A68" s="304"/>
      <c r="B68" s="1508"/>
      <c r="C68" s="3458"/>
      <c r="D68" s="3458"/>
      <c r="E68" s="1345"/>
      <c r="F68" s="1762"/>
      <c r="G68" s="1508"/>
      <c r="H68" s="3423"/>
      <c r="I68" s="3424"/>
      <c r="J68" s="1663"/>
      <c r="N68" s="45" t="str">
        <f t="shared" ref="N68" si="24">IF(H68="No","Submit savings using Exceptional Calculation","")</f>
        <v/>
      </c>
      <c r="O68" s="387"/>
      <c r="S68" s="1802"/>
      <c r="V68" s="1824"/>
      <c r="W68" s="1824" t="str">
        <f t="shared" ref="W68" si="25">IF(J68="","0",J68)</f>
        <v>0</v>
      </c>
      <c r="X68" s="1824"/>
      <c r="Y68" s="1824" t="str">
        <f t="shared" ref="Y68" si="26">C68&amp;" Building Type with total building area of "&amp;E68&amp;" sqft, and EPD of "&amp;F68&amp;" w/sf. The equipment in this EPD includes "&amp;G68&amp;"."</f>
        <v xml:space="preserve"> Building Type with total building area of  sqft, and EPD of  w/sf. The equipment in this EPD includes .</v>
      </c>
    </row>
    <row r="69" spans="1:25" s="339" customFormat="1" ht="17.55" hidden="1" customHeight="1" x14ac:dyDescent="0.25">
      <c r="A69" s="304"/>
      <c r="B69" s="1508"/>
      <c r="C69" s="3458"/>
      <c r="D69" s="3458"/>
      <c r="E69" s="1345"/>
      <c r="F69" s="1762"/>
      <c r="G69" s="1508"/>
      <c r="H69" s="3423"/>
      <c r="I69" s="3424"/>
      <c r="J69" s="1663"/>
      <c r="N69" s="45" t="str">
        <f t="shared" si="18"/>
        <v/>
      </c>
      <c r="O69" s="387"/>
      <c r="S69" s="1802"/>
      <c r="V69" s="1824"/>
      <c r="W69" s="1824" t="str">
        <f t="shared" si="19"/>
        <v>0</v>
      </c>
      <c r="X69" s="1824"/>
      <c r="Y69" s="1824" t="str">
        <f t="shared" si="20"/>
        <v xml:space="preserve"> Building Type with total building area of  sqft, and EPD of  w/sf. The equipment in this EPD includes .</v>
      </c>
    </row>
    <row r="70" spans="1:25" s="339" customFormat="1" ht="17.55" hidden="1" customHeight="1" x14ac:dyDescent="0.25">
      <c r="A70" s="304"/>
      <c r="B70" s="1508"/>
      <c r="C70" s="3458"/>
      <c r="D70" s="3458"/>
      <c r="E70" s="1345"/>
      <c r="F70" s="1762"/>
      <c r="G70" s="1508"/>
      <c r="H70" s="3423"/>
      <c r="I70" s="3424"/>
      <c r="J70" s="1663"/>
      <c r="N70" s="45" t="str">
        <f t="shared" si="15"/>
        <v/>
      </c>
      <c r="O70" s="387"/>
      <c r="S70" s="1802"/>
      <c r="V70" s="1824"/>
      <c r="W70" s="1824" t="str">
        <f t="shared" si="16"/>
        <v>0</v>
      </c>
      <c r="X70" s="1824"/>
      <c r="Y70" s="1824" t="str">
        <f t="shared" si="17"/>
        <v xml:space="preserve"> Building Type with total building area of  sqft, and EPD of  w/sf. The equipment in this EPD includes .</v>
      </c>
    </row>
    <row r="71" spans="1:25" s="339" customFormat="1" ht="17.55" hidden="1" customHeight="1" x14ac:dyDescent="0.25">
      <c r="A71" s="304"/>
      <c r="B71" s="1508"/>
      <c r="C71" s="3458"/>
      <c r="D71" s="3458"/>
      <c r="E71" s="1345"/>
      <c r="F71" s="1762"/>
      <c r="G71" s="1508"/>
      <c r="H71" s="3423"/>
      <c r="I71" s="3424"/>
      <c r="J71" s="1663"/>
      <c r="N71" s="45" t="str">
        <f t="shared" ref="N71" si="27">IF(H71="No","Submit savings using Exceptional Calculation","")</f>
        <v/>
      </c>
      <c r="O71" s="387"/>
      <c r="S71" s="1802"/>
      <c r="V71" s="1824"/>
      <c r="W71" s="1824" t="str">
        <f t="shared" ref="W71" si="28">IF(J71="","0",J71)</f>
        <v>0</v>
      </c>
      <c r="X71" s="1824"/>
      <c r="Y71" s="1824" t="str">
        <f t="shared" ref="Y71" si="29">C71&amp;" Building Type with total building area of "&amp;E71&amp;" sqft, and EPD of "&amp;F71&amp;" w/sf. The equipment in this EPD includes "&amp;G71&amp;"."</f>
        <v xml:space="preserve"> Building Type with total building area of  sqft, and EPD of  w/sf. The equipment in this EPD includes .</v>
      </c>
    </row>
    <row r="72" spans="1:25" s="339" customFormat="1" ht="17.55" hidden="1" customHeight="1" x14ac:dyDescent="0.25">
      <c r="A72" s="304" t="s">
        <v>1038</v>
      </c>
      <c r="B72" s="3344" t="s">
        <v>122</v>
      </c>
      <c r="C72" s="3344"/>
      <c r="D72" s="3344"/>
      <c r="E72" s="1763">
        <f>SUM($E$38:$E$71)</f>
        <v>0</v>
      </c>
      <c r="F72" s="1764">
        <f>IFERROR(SUMPRODUCT($E$38:$E$71,$F$38:$F$71)/SUM($E$38:$E$71),0)</f>
        <v>0</v>
      </c>
      <c r="G72" s="1766"/>
      <c r="H72" s="1767"/>
      <c r="I72" s="1767"/>
      <c r="J72" s="1768"/>
      <c r="N72" s="23"/>
      <c r="O72" s="387"/>
      <c r="S72" s="1802"/>
    </row>
    <row r="73" spans="1:25" s="339" customFormat="1" ht="17.55" hidden="1" customHeight="1" x14ac:dyDescent="0.25">
      <c r="A73" s="304" t="s">
        <v>1038</v>
      </c>
      <c r="B73" s="3344" t="s">
        <v>257</v>
      </c>
      <c r="C73" s="3344"/>
      <c r="D73" s="3344"/>
      <c r="E73" s="3344"/>
      <c r="F73" s="3344"/>
      <c r="G73" s="3686"/>
      <c r="H73" s="3686"/>
      <c r="I73" s="2112">
        <f>SUMPRODUCT($E$38:$E$71,$F$38:$F$71)/1000</f>
        <v>0</v>
      </c>
      <c r="J73" s="1765"/>
      <c r="N73" s="23"/>
      <c r="O73" s="387"/>
      <c r="S73" s="1802"/>
    </row>
    <row r="74" spans="1:25" s="339" customFormat="1" ht="20.25" hidden="1" customHeight="1" x14ac:dyDescent="0.25">
      <c r="A74" s="304"/>
      <c r="B74" s="392" t="s">
        <v>256</v>
      </c>
      <c r="C74" s="1562"/>
      <c r="D74" s="1562"/>
      <c r="E74" s="1562"/>
      <c r="F74" s="1562"/>
      <c r="G74" s="358"/>
      <c r="H74" s="23"/>
      <c r="I74" s="387"/>
      <c r="N74" s="387"/>
      <c r="S74" s="1521"/>
    </row>
    <row r="75" spans="1:25" s="339" customFormat="1" ht="21" hidden="1" customHeight="1" x14ac:dyDescent="0.25">
      <c r="A75" s="304" t="s">
        <v>1038</v>
      </c>
      <c r="B75" s="1" t="str">
        <f>IF(ResDwellingUnitsExist="Yes","Note: The above table is for spaces other than dwelling units.  To enter dwelling unit values, use the Multifamily Details tab.","")</f>
        <v>Note: The above table is for spaces other than dwelling units.  To enter dwelling unit values, use the Multifamily Details tab.</v>
      </c>
      <c r="C75" s="1559"/>
      <c r="D75" s="1559"/>
      <c r="E75" s="1560"/>
      <c r="F75" s="26"/>
      <c r="G75" s="1561"/>
      <c r="H75" s="23"/>
      <c r="I75" s="387"/>
      <c r="N75" s="387"/>
      <c r="S75" s="1521"/>
    </row>
    <row r="76" spans="1:25" s="339" customFormat="1" ht="37.5" hidden="1" customHeight="1" x14ac:dyDescent="0.25">
      <c r="A76" s="304" t="s">
        <v>1038</v>
      </c>
      <c r="C76" s="1559"/>
      <c r="D76" s="1559"/>
      <c r="E76" s="1560"/>
      <c r="F76" s="387"/>
      <c r="G76" s="396"/>
      <c r="H76" s="23"/>
      <c r="I76" s="387"/>
      <c r="N76" s="387"/>
      <c r="S76" s="1521"/>
    </row>
    <row r="77" spans="1:25" s="347" customFormat="1" ht="21" customHeight="1" x14ac:dyDescent="0.25">
      <c r="A77" s="304" t="s">
        <v>1038</v>
      </c>
      <c r="B77" s="1492"/>
      <c r="C77" s="1492"/>
      <c r="D77" s="1492"/>
      <c r="E77" s="1492"/>
      <c r="F77" s="1492"/>
      <c r="G77" s="1492"/>
      <c r="H77" s="1492"/>
      <c r="N77" s="1492"/>
      <c r="O77" s="9"/>
      <c r="Q77" s="396"/>
      <c r="S77" s="1521"/>
    </row>
    <row r="78" spans="1:25" s="347" customFormat="1" ht="21" hidden="1" customHeight="1" x14ac:dyDescent="0.25">
      <c r="A78" s="304"/>
      <c r="B78" s="196" t="s">
        <v>1086</v>
      </c>
      <c r="C78" s="1492"/>
      <c r="D78" s="1492"/>
      <c r="E78" s="1492"/>
      <c r="F78" s="1492"/>
      <c r="G78" s="1492"/>
      <c r="H78" s="1492"/>
      <c r="N78" s="1492"/>
      <c r="O78" s="9"/>
      <c r="Q78" s="396"/>
      <c r="S78" s="1521"/>
    </row>
    <row r="79" spans="1:25" s="347" customFormat="1" ht="15" hidden="1" customHeight="1" x14ac:dyDescent="0.25">
      <c r="A79" s="304"/>
      <c r="B79" s="196"/>
      <c r="C79" s="1492"/>
      <c r="D79" s="1492"/>
      <c r="E79" s="1492"/>
      <c r="F79" s="1492"/>
      <c r="G79" s="1492"/>
      <c r="H79" s="1492"/>
      <c r="N79" s="1492"/>
      <c r="O79" s="9"/>
      <c r="Q79" s="396"/>
      <c r="S79" s="1521"/>
    </row>
    <row r="80" spans="1:25" s="347" customFormat="1" ht="71.25" hidden="1" customHeight="1" x14ac:dyDescent="0.25">
      <c r="A80" s="304"/>
      <c r="B80" s="378" t="s">
        <v>1194</v>
      </c>
      <c r="C80" s="384" t="s">
        <v>1112</v>
      </c>
      <c r="D80" s="384"/>
      <c r="E80" s="384" t="s">
        <v>1113</v>
      </c>
      <c r="F80" s="355"/>
      <c r="G80" s="356"/>
      <c r="H80" s="1492"/>
      <c r="N80" s="1492"/>
      <c r="O80" s="9"/>
      <c r="Q80" s="396"/>
      <c r="S80" s="1521"/>
    </row>
    <row r="81" spans="1:26" s="347" customFormat="1" ht="15" hidden="1" customHeight="1" x14ac:dyDescent="0.25">
      <c r="A81" s="304"/>
      <c r="B81" s="166"/>
      <c r="C81" s="127"/>
      <c r="D81" s="127"/>
      <c r="E81" s="192"/>
      <c r="F81" s="234"/>
      <c r="G81" s="191"/>
      <c r="H81" s="1492"/>
      <c r="N81" s="1492"/>
      <c r="O81" s="9"/>
      <c r="Q81" s="396"/>
      <c r="S81" s="1521"/>
    </row>
    <row r="82" spans="1:26" s="347" customFormat="1" ht="15" hidden="1" customHeight="1" x14ac:dyDescent="0.25">
      <c r="A82" s="304"/>
      <c r="B82" s="166"/>
      <c r="C82" s="127"/>
      <c r="D82" s="127"/>
      <c r="E82" s="192"/>
      <c r="F82" s="234"/>
      <c r="G82" s="191"/>
      <c r="H82" s="1492"/>
      <c r="N82" s="1492"/>
      <c r="O82" s="9"/>
      <c r="Q82" s="396"/>
      <c r="S82" s="1521"/>
    </row>
    <row r="83" spans="1:26" s="347" customFormat="1" ht="15" hidden="1" customHeight="1" x14ac:dyDescent="0.25">
      <c r="A83" s="304"/>
      <c r="B83" s="166"/>
      <c r="C83" s="127"/>
      <c r="D83" s="127"/>
      <c r="E83" s="192"/>
      <c r="F83" s="234"/>
      <c r="G83" s="191"/>
      <c r="H83" s="1492"/>
      <c r="N83" s="1492"/>
      <c r="O83" s="9"/>
      <c r="Q83" s="396"/>
      <c r="S83" s="1521"/>
    </row>
    <row r="84" spans="1:26" s="347" customFormat="1" ht="15" hidden="1" customHeight="1" x14ac:dyDescent="0.25">
      <c r="A84" s="304"/>
      <c r="B84" s="343"/>
      <c r="C84" s="344"/>
      <c r="D84" s="344"/>
      <c r="E84" s="345"/>
      <c r="F84" s="343"/>
      <c r="G84" s="346"/>
      <c r="H84" s="1492"/>
      <c r="N84" s="1492"/>
      <c r="O84" s="9"/>
      <c r="Q84" s="396"/>
      <c r="S84" s="1521"/>
    </row>
    <row r="85" spans="1:26" s="347" customFormat="1" ht="26.25" customHeight="1" x14ac:dyDescent="0.25">
      <c r="A85" s="304" t="s">
        <v>1038</v>
      </c>
      <c r="B85" s="2798" t="s">
        <v>3182</v>
      </c>
      <c r="C85" s="2799"/>
      <c r="D85" s="2799"/>
      <c r="E85" s="2799"/>
      <c r="F85" s="2799"/>
      <c r="G85" s="2799"/>
      <c r="H85" s="2799"/>
      <c r="I85" s="2800"/>
      <c r="N85" s="9"/>
      <c r="O85" s="9"/>
      <c r="P85" s="9"/>
      <c r="Q85" s="9"/>
      <c r="S85" s="1521"/>
    </row>
    <row r="86" spans="1:26" s="347" customFormat="1" ht="20.25" customHeight="1" x14ac:dyDescent="0.25">
      <c r="A86" s="304" t="s">
        <v>1038</v>
      </c>
      <c r="B86" s="1662" t="s">
        <v>1087</v>
      </c>
      <c r="C86" s="3686" t="s">
        <v>101</v>
      </c>
      <c r="D86" s="3686"/>
      <c r="E86" s="3686"/>
      <c r="F86" s="3686"/>
      <c r="G86" s="3686"/>
      <c r="H86" s="3686"/>
      <c r="I86" s="1662" t="s">
        <v>207</v>
      </c>
      <c r="N86" s="9"/>
      <c r="O86" s="9"/>
      <c r="P86" s="9"/>
      <c r="Q86" s="9"/>
      <c r="S86" s="1521"/>
    </row>
    <row r="87" spans="1:26" s="347" customFormat="1" ht="25.2" customHeight="1" x14ac:dyDescent="0.25">
      <c r="A87" s="304"/>
      <c r="B87" s="677">
        <f>GI_Project_Name</f>
        <v>0</v>
      </c>
      <c r="C87" s="3363" t="str">
        <f>"Total power for receptacle equipment"</f>
        <v>Total power for receptacle equipment</v>
      </c>
      <c r="D87" s="3363"/>
      <c r="E87" s="3363"/>
      <c r="F87" s="3363"/>
      <c r="G87" s="3363"/>
      <c r="H87" s="3363"/>
      <c r="I87" s="2985">
        <f>IF($P$16=TRUE,SUMPRODUCT(--($B$38:$B$71=$B87),$E$38:$E$71,$F$38:$F$71)/1000,0)+IF($O$16=TRUE,SUMPRODUCT(--($B$21:$B$28=$B87),$E$21:$E$28,$F$21:$F$28)/1000,0)</f>
        <v>0</v>
      </c>
      <c r="N87" s="9"/>
      <c r="O87" s="9"/>
      <c r="P87" s="9"/>
      <c r="Q87" s="9"/>
      <c r="S87" s="1802"/>
    </row>
    <row r="88" spans="1:26" s="347" customFormat="1" ht="21" customHeight="1" x14ac:dyDescent="0.25">
      <c r="A88" s="304" t="s">
        <v>1038</v>
      </c>
      <c r="B88" s="1492"/>
      <c r="C88" s="1492"/>
      <c r="D88" s="1492"/>
      <c r="E88" s="1492"/>
      <c r="F88" s="1492"/>
      <c r="G88" s="1492"/>
      <c r="H88" s="1492"/>
      <c r="N88" s="1492"/>
      <c r="Q88" s="396"/>
      <c r="S88" s="1521"/>
    </row>
    <row r="89" spans="1:26" s="347" customFormat="1" ht="26.25" customHeight="1" x14ac:dyDescent="0.25">
      <c r="A89" s="304" t="s">
        <v>1038</v>
      </c>
      <c r="B89" s="196" t="s">
        <v>2395</v>
      </c>
      <c r="C89" s="9"/>
      <c r="D89" s="9"/>
      <c r="E89" s="9"/>
      <c r="F89" s="9"/>
      <c r="G89" s="9"/>
      <c r="H89" s="9"/>
      <c r="N89" s="9"/>
      <c r="P89" s="9"/>
      <c r="Q89" s="9"/>
      <c r="S89" s="1521"/>
    </row>
    <row r="90" spans="1:26" s="339" customFormat="1" ht="52.8" x14ac:dyDescent="0.25">
      <c r="A90" s="304" t="s">
        <v>1038</v>
      </c>
      <c r="B90" s="3434" t="s">
        <v>1087</v>
      </c>
      <c r="C90" s="3395" t="s">
        <v>258</v>
      </c>
      <c r="D90" s="3395"/>
      <c r="E90" s="1491" t="s">
        <v>259</v>
      </c>
      <c r="F90" s="1491" t="str">
        <f>IF('General Information'!$R$14="IP","Energy Demand 
(kW for electricity) 
(Btuh for non-electricity)","
Energy Demand (kW)")</f>
        <v>Energy Demand 
(kW for electricity) 
(Btuh for non-electricity)</v>
      </c>
      <c r="G90" s="1491" t="s">
        <v>107</v>
      </c>
      <c r="H90" s="3395" t="s">
        <v>254</v>
      </c>
      <c r="I90" s="3395"/>
      <c r="J90" s="3433" t="s">
        <v>2544</v>
      </c>
      <c r="N90" s="23"/>
      <c r="O90" s="387"/>
      <c r="S90" s="1521"/>
    </row>
    <row r="91" spans="1:26" s="339" customFormat="1" ht="258.75" customHeight="1" x14ac:dyDescent="0.25">
      <c r="A91" s="304"/>
      <c r="B91" s="3435"/>
      <c r="C91" s="3467" t="s">
        <v>2298</v>
      </c>
      <c r="D91" s="3467"/>
      <c r="E91" s="1788" t="s">
        <v>2293</v>
      </c>
      <c r="F91" s="1788" t="s">
        <v>2293</v>
      </c>
      <c r="G91" s="1789" t="s">
        <v>2299</v>
      </c>
      <c r="H91" s="3467" t="s">
        <v>2300</v>
      </c>
      <c r="I91" s="3467"/>
      <c r="J91" s="3433"/>
      <c r="N91" s="23"/>
      <c r="O91" s="387"/>
      <c r="S91" s="1370" t="s">
        <v>2335</v>
      </c>
      <c r="W91" s="347"/>
      <c r="X91" s="347"/>
      <c r="Y91" s="347"/>
    </row>
    <row r="92" spans="1:26" s="339" customFormat="1" ht="13.95" customHeight="1" x14ac:dyDescent="0.25">
      <c r="B92" s="1508"/>
      <c r="C92" s="3504"/>
      <c r="D92" s="3504"/>
      <c r="E92" s="1517"/>
      <c r="F92" s="1939"/>
      <c r="G92" s="1517"/>
      <c r="H92" s="3504"/>
      <c r="I92" s="3504"/>
      <c r="J92" s="1517"/>
      <c r="N92" s="45" t="str">
        <f t="shared" ref="N92:N94" si="30">IF(H92="No","Submit savings using Exceptional Calculation","")</f>
        <v/>
      </c>
      <c r="O92" s="387"/>
      <c r="S92" s="1802" t="str">
        <f t="shared" ref="S92:S94" si="31">IF(H92="No","Please explain why baseline was not modeled identically.","")</f>
        <v/>
      </c>
      <c r="V92" s="1824" t="s">
        <v>2535</v>
      </c>
      <c r="W92" s="1646" t="str">
        <f>IF(J92="","0",J92)</f>
        <v>0</v>
      </c>
      <c r="X92" s="1824" t="s">
        <v>2511</v>
      </c>
      <c r="Y92" s="1646" t="str">
        <f>"Non-Receptacle process equipment includes the following: "&amp;C92&amp;" with an "&amp;E92&amp;" energy source of "&amp;F92&amp;Z92&amp;". The modeling parameters include: "&amp;G92&amp;"."</f>
        <v>Non-Receptacle process equipment includes the following:  with an  energy source of  Btuh. The modeling parameters include: .</v>
      </c>
      <c r="Z92" s="1646" t="str">
        <f>IF(E92="Electricity"," kW"," Btuh")</f>
        <v xml:space="preserve"> Btuh</v>
      </c>
    </row>
    <row r="93" spans="1:26" s="339" customFormat="1" ht="13.95" customHeight="1" x14ac:dyDescent="0.25">
      <c r="A93" s="304"/>
      <c r="B93" s="1508"/>
      <c r="C93" s="3504"/>
      <c r="D93" s="3504"/>
      <c r="E93" s="1517"/>
      <c r="F93" s="1939"/>
      <c r="G93" s="1517"/>
      <c r="H93" s="3504"/>
      <c r="I93" s="3504"/>
      <c r="J93" s="1517"/>
      <c r="N93" s="45" t="str">
        <f t="shared" si="30"/>
        <v/>
      </c>
      <c r="O93" s="387"/>
      <c r="S93" s="1802" t="str">
        <f t="shared" si="31"/>
        <v/>
      </c>
      <c r="V93" s="1824" t="s">
        <v>2535</v>
      </c>
      <c r="W93" s="1646" t="str">
        <f t="shared" ref="W93:W95" si="32">IF(J93="","0",J93)</f>
        <v>0</v>
      </c>
      <c r="X93" s="1824" t="s">
        <v>2511</v>
      </c>
      <c r="Y93" s="1646" t="str">
        <f t="shared" ref="Y93:Y95" si="33">"Non-Receptacle process equipment includes the following: "&amp;C93&amp;" with an "&amp;E93&amp;" energy source of "&amp;F93&amp;Z93&amp;". The modeling parameters include: "&amp;G93&amp;"."</f>
        <v>Non-Receptacle process equipment includes the following:  with an  energy source of  Btuh. The modeling parameters include: .</v>
      </c>
      <c r="Z93" s="1646" t="str">
        <f t="shared" ref="Z93:Z95" si="34">IF(E93="Electricity"," kW"," Btuh")</f>
        <v xml:space="preserve"> Btuh</v>
      </c>
    </row>
    <row r="94" spans="1:26" s="339" customFormat="1" ht="13.95" customHeight="1" x14ac:dyDescent="0.25">
      <c r="A94" s="304"/>
      <c r="B94" s="1508"/>
      <c r="C94" s="3504"/>
      <c r="D94" s="3504"/>
      <c r="E94" s="1517"/>
      <c r="F94" s="1939"/>
      <c r="G94" s="1517"/>
      <c r="H94" s="3504"/>
      <c r="I94" s="3504"/>
      <c r="J94" s="1517"/>
      <c r="N94" s="45" t="str">
        <f t="shared" si="30"/>
        <v/>
      </c>
      <c r="O94" s="387"/>
      <c r="S94" s="1802" t="str">
        <f t="shared" si="31"/>
        <v/>
      </c>
      <c r="V94" s="1824" t="s">
        <v>2535</v>
      </c>
      <c r="W94" s="1646" t="str">
        <f t="shared" si="32"/>
        <v>0</v>
      </c>
      <c r="X94" s="1824" t="s">
        <v>2511</v>
      </c>
      <c r="Y94" s="1646" t="str">
        <f t="shared" si="33"/>
        <v>Non-Receptacle process equipment includes the following:  with an  energy source of  Btuh. The modeling parameters include: .</v>
      </c>
      <c r="Z94" s="1646" t="str">
        <f t="shared" si="34"/>
        <v xml:space="preserve"> Btuh</v>
      </c>
    </row>
    <row r="95" spans="1:26" s="339" customFormat="1" ht="13.95" hidden="1" customHeight="1" x14ac:dyDescent="0.25">
      <c r="A95" s="304" t="s">
        <v>804</v>
      </c>
      <c r="B95" s="1508"/>
      <c r="C95" s="3504"/>
      <c r="D95" s="3504"/>
      <c r="E95" s="1508"/>
      <c r="F95" s="2113"/>
      <c r="G95" s="1508"/>
      <c r="H95" s="3504"/>
      <c r="I95" s="3504"/>
      <c r="J95" s="1517"/>
      <c r="N95" s="45" t="str">
        <f>IF(H95="No","Submit savings using Exceptional Calculation","")</f>
        <v/>
      </c>
      <c r="O95" s="387"/>
      <c r="S95" s="1802" t="str">
        <f>IF(H95="No","Please explain why baseline was not modeled identically.","")</f>
        <v/>
      </c>
      <c r="V95" s="1824" t="s">
        <v>2535</v>
      </c>
      <c r="W95" s="1646" t="str">
        <f t="shared" si="32"/>
        <v>0</v>
      </c>
      <c r="X95" s="1824" t="s">
        <v>2511</v>
      </c>
      <c r="Y95" s="1646" t="str">
        <f t="shared" si="33"/>
        <v>Non-Receptacle process equipment includes the following:  with an  energy source of  Btuh. The modeling parameters include: .</v>
      </c>
      <c r="Z95" s="1646" t="str">
        <f t="shared" si="34"/>
        <v xml:space="preserve"> Btuh</v>
      </c>
    </row>
    <row r="96" spans="1:26" s="339" customFormat="1" ht="13.95" customHeight="1" x14ac:dyDescent="0.25">
      <c r="A96" s="304"/>
      <c r="B96" s="1508"/>
      <c r="C96" s="3504"/>
      <c r="D96" s="3504"/>
      <c r="E96" s="1508"/>
      <c r="F96" s="2113"/>
      <c r="G96" s="1508"/>
      <c r="H96" s="3504"/>
      <c r="I96" s="3504"/>
      <c r="J96" s="1517"/>
      <c r="N96" s="45" t="str">
        <f t="shared" ref="N96:N97" si="35">IF(H96="No","Submit savings using Exceptional Calculation","")</f>
        <v/>
      </c>
      <c r="O96" s="387"/>
      <c r="S96" s="1802" t="str">
        <f t="shared" ref="S96:S97" si="36">IF(H96="No","Please explain why baseline was not modeled identically.","")</f>
        <v/>
      </c>
      <c r="V96" s="1824"/>
      <c r="W96" s="1646" t="str">
        <f t="shared" ref="W96:W97" si="37">IF(J96="","0",J96)</f>
        <v>0</v>
      </c>
      <c r="X96" s="1824"/>
      <c r="Y96" s="1646" t="str">
        <f t="shared" ref="Y96:Y97" si="38">"Non-Receptacle process equipment includes the following: "&amp;C96&amp;" with an "&amp;E96&amp;" energy source of "&amp;F96&amp;Z96&amp;". The modeling parameters include: "&amp;G96&amp;"."</f>
        <v>Non-Receptacle process equipment includes the following:  with an  energy source of  Btuh. The modeling parameters include: .</v>
      </c>
      <c r="Z96" s="1646" t="str">
        <f t="shared" ref="Z96:Z97" si="39">IF(E96="Electricity"," kW"," Btuh")</f>
        <v xml:space="preserve"> Btuh</v>
      </c>
    </row>
    <row r="97" spans="1:26" s="339" customFormat="1" ht="13.95" customHeight="1" x14ac:dyDescent="0.25">
      <c r="A97" s="304"/>
      <c r="B97" s="1508"/>
      <c r="C97" s="3504"/>
      <c r="D97" s="3504"/>
      <c r="E97" s="1508"/>
      <c r="F97" s="2113"/>
      <c r="G97" s="1508"/>
      <c r="H97" s="3504"/>
      <c r="I97" s="3504"/>
      <c r="J97" s="1517"/>
      <c r="N97" s="45" t="str">
        <f t="shared" si="35"/>
        <v/>
      </c>
      <c r="O97" s="387"/>
      <c r="S97" s="1802" t="str">
        <f t="shared" si="36"/>
        <v/>
      </c>
      <c r="V97" s="1824"/>
      <c r="W97" s="1646" t="str">
        <f t="shared" si="37"/>
        <v>0</v>
      </c>
      <c r="X97" s="1824"/>
      <c r="Y97" s="1646" t="str">
        <f t="shared" si="38"/>
        <v>Non-Receptacle process equipment includes the following:  with an  energy source of  Btuh. The modeling parameters include: .</v>
      </c>
      <c r="Z97" s="1646" t="str">
        <f t="shared" si="39"/>
        <v xml:space="preserve"> Btuh</v>
      </c>
    </row>
    <row r="98" spans="1:26" s="339" customFormat="1" ht="13.95" customHeight="1" x14ac:dyDescent="0.25">
      <c r="A98" s="304"/>
      <c r="B98" s="1508"/>
      <c r="C98" s="3504"/>
      <c r="D98" s="3504"/>
      <c r="E98" s="1508"/>
      <c r="F98" s="2113"/>
      <c r="G98" s="1508"/>
      <c r="H98" s="3504"/>
      <c r="I98" s="3504"/>
      <c r="J98" s="1517"/>
      <c r="N98" s="45" t="str">
        <f t="shared" ref="N98:N102" si="40">IF(H98="No","Submit savings using Exceptional Calculation","")</f>
        <v/>
      </c>
      <c r="O98" s="387"/>
      <c r="S98" s="1802" t="str">
        <f t="shared" ref="S98:S102" si="41">IF(H98="No","Please explain why baseline was not modeled identically.","")</f>
        <v/>
      </c>
      <c r="V98" s="1824"/>
      <c r="W98" s="1646" t="str">
        <f t="shared" ref="W98:W102" si="42">IF(J98="","0",J98)</f>
        <v>0</v>
      </c>
      <c r="X98" s="1824"/>
      <c r="Y98" s="1646" t="str">
        <f t="shared" ref="Y98:Y102" si="43">"Non-Receptacle process equipment includes the following: "&amp;C98&amp;" with an "&amp;E98&amp;" energy source of "&amp;F98&amp;Z98&amp;". The modeling parameters include: "&amp;G98&amp;"."</f>
        <v>Non-Receptacle process equipment includes the following:  with an  energy source of  Btuh. The modeling parameters include: .</v>
      </c>
      <c r="Z98" s="1646" t="str">
        <f t="shared" ref="Z98:Z102" si="44">IF(E98="Electricity"," kW"," Btuh")</f>
        <v xml:space="preserve"> Btuh</v>
      </c>
    </row>
    <row r="99" spans="1:26" s="339" customFormat="1" ht="13.95" customHeight="1" x14ac:dyDescent="0.25">
      <c r="A99" s="304"/>
      <c r="B99" s="1508"/>
      <c r="C99" s="3504"/>
      <c r="D99" s="3504"/>
      <c r="E99" s="1508"/>
      <c r="F99" s="2113"/>
      <c r="G99" s="1508"/>
      <c r="H99" s="3504"/>
      <c r="I99" s="3504"/>
      <c r="J99" s="1517"/>
      <c r="N99" s="45" t="str">
        <f t="shared" si="40"/>
        <v/>
      </c>
      <c r="O99" s="387"/>
      <c r="S99" s="1802" t="str">
        <f t="shared" si="41"/>
        <v/>
      </c>
      <c r="V99" s="1824"/>
      <c r="W99" s="1646" t="str">
        <f t="shared" si="42"/>
        <v>0</v>
      </c>
      <c r="X99" s="1824"/>
      <c r="Y99" s="1646" t="str">
        <f t="shared" si="43"/>
        <v>Non-Receptacle process equipment includes the following:  with an  energy source of  Btuh. The modeling parameters include: .</v>
      </c>
      <c r="Z99" s="1646" t="str">
        <f t="shared" si="44"/>
        <v xml:space="preserve"> Btuh</v>
      </c>
    </row>
    <row r="100" spans="1:26" s="339" customFormat="1" ht="13.95" customHeight="1" x14ac:dyDescent="0.25">
      <c r="A100" s="304"/>
      <c r="B100" s="1508"/>
      <c r="C100" s="3504"/>
      <c r="D100" s="3504"/>
      <c r="E100" s="1508"/>
      <c r="F100" s="2113"/>
      <c r="G100" s="1508"/>
      <c r="H100" s="3504"/>
      <c r="I100" s="3504"/>
      <c r="J100" s="1517"/>
      <c r="N100" s="45" t="str">
        <f t="shared" si="40"/>
        <v/>
      </c>
      <c r="O100" s="387"/>
      <c r="S100" s="1802" t="str">
        <f t="shared" si="41"/>
        <v/>
      </c>
      <c r="V100" s="1824"/>
      <c r="W100" s="1646" t="str">
        <f t="shared" si="42"/>
        <v>0</v>
      </c>
      <c r="X100" s="1824"/>
      <c r="Y100" s="1646" t="str">
        <f t="shared" si="43"/>
        <v>Non-Receptacle process equipment includes the following:  with an  energy source of  Btuh. The modeling parameters include: .</v>
      </c>
      <c r="Z100" s="1646" t="str">
        <f t="shared" si="44"/>
        <v xml:space="preserve"> Btuh</v>
      </c>
    </row>
    <row r="101" spans="1:26" s="339" customFormat="1" ht="13.95" customHeight="1" x14ac:dyDescent="0.25">
      <c r="A101" s="304"/>
      <c r="B101" s="1508"/>
      <c r="C101" s="3504"/>
      <c r="D101" s="3504"/>
      <c r="E101" s="1508"/>
      <c r="F101" s="2113"/>
      <c r="G101" s="1508"/>
      <c r="H101" s="3504"/>
      <c r="I101" s="3504"/>
      <c r="J101" s="1517"/>
      <c r="N101" s="45" t="str">
        <f t="shared" si="40"/>
        <v/>
      </c>
      <c r="O101" s="387"/>
      <c r="S101" s="1802" t="str">
        <f t="shared" si="41"/>
        <v/>
      </c>
      <c r="V101" s="1824"/>
      <c r="W101" s="1646" t="str">
        <f t="shared" si="42"/>
        <v>0</v>
      </c>
      <c r="X101" s="1824"/>
      <c r="Y101" s="1646" t="str">
        <f t="shared" si="43"/>
        <v>Non-Receptacle process equipment includes the following:  with an  energy source of  Btuh. The modeling parameters include: .</v>
      </c>
      <c r="Z101" s="1646" t="str">
        <f t="shared" si="44"/>
        <v xml:space="preserve"> Btuh</v>
      </c>
    </row>
    <row r="102" spans="1:26" s="339" customFormat="1" ht="13.95" customHeight="1" x14ac:dyDescent="0.25">
      <c r="A102" s="304"/>
      <c r="B102" s="1508"/>
      <c r="C102" s="3504"/>
      <c r="D102" s="3504"/>
      <c r="E102" s="1508"/>
      <c r="F102" s="2113"/>
      <c r="G102" s="1508"/>
      <c r="H102" s="3504"/>
      <c r="I102" s="3504"/>
      <c r="J102" s="1517"/>
      <c r="N102" s="45" t="str">
        <f t="shared" si="40"/>
        <v/>
      </c>
      <c r="O102" s="387"/>
      <c r="S102" s="1802" t="str">
        <f t="shared" si="41"/>
        <v/>
      </c>
      <c r="V102" s="1824"/>
      <c r="W102" s="1646" t="str">
        <f t="shared" si="42"/>
        <v>0</v>
      </c>
      <c r="X102" s="1824"/>
      <c r="Y102" s="1646" t="str">
        <f t="shared" si="43"/>
        <v>Non-Receptacle process equipment includes the following:  with an  energy source of  Btuh. The modeling parameters include: .</v>
      </c>
      <c r="Z102" s="1646" t="str">
        <f t="shared" si="44"/>
        <v xml:space="preserve"> Btuh</v>
      </c>
    </row>
    <row r="103" spans="1:26" s="339" customFormat="1" ht="13.95" customHeight="1" x14ac:dyDescent="0.25">
      <c r="A103" s="304" t="s">
        <v>1038</v>
      </c>
      <c r="B103" s="392" t="s">
        <v>815</v>
      </c>
      <c r="C103" s="1559"/>
      <c r="D103" s="1559"/>
      <c r="E103" s="1560"/>
      <c r="F103" s="2114"/>
      <c r="G103" s="1561"/>
      <c r="H103" s="23"/>
      <c r="I103" s="387"/>
      <c r="S103" s="1521"/>
    </row>
    <row r="104" spans="1:26" s="339" customFormat="1" ht="37.5" customHeight="1" x14ac:dyDescent="0.25">
      <c r="A104" s="304" t="s">
        <v>1038</v>
      </c>
      <c r="C104" s="1559"/>
      <c r="D104" s="1559"/>
      <c r="E104" s="1560"/>
      <c r="F104" s="387"/>
      <c r="G104" s="396"/>
      <c r="H104" s="23"/>
      <c r="I104" s="387"/>
      <c r="N104" s="387"/>
      <c r="S104" s="1521"/>
    </row>
    <row r="105" spans="1:26" s="339" customFormat="1" x14ac:dyDescent="0.25">
      <c r="A105" s="304" t="s">
        <v>1038</v>
      </c>
      <c r="H105" s="20"/>
      <c r="I105" s="387"/>
      <c r="N105" s="387"/>
      <c r="S105" s="1521"/>
    </row>
    <row r="106" spans="1:26" s="339" customFormat="1" ht="35.25" customHeight="1" x14ac:dyDescent="0.25">
      <c r="A106" s="304" t="s">
        <v>1038</v>
      </c>
      <c r="B106" s="196" t="s">
        <v>2396</v>
      </c>
      <c r="H106" s="20"/>
      <c r="I106" s="387"/>
      <c r="Q106" s="390"/>
      <c r="R106" s="390"/>
      <c r="S106" s="1505"/>
    </row>
    <row r="107" spans="1:26" s="339" customFormat="1" ht="18.75" customHeight="1" x14ac:dyDescent="0.25">
      <c r="A107" s="304"/>
      <c r="B107" s="196"/>
      <c r="E107" s="388"/>
      <c r="H107" s="20"/>
      <c r="I107" s="387"/>
      <c r="Q107" s="390"/>
      <c r="R107" s="390"/>
      <c r="S107" s="1505"/>
    </row>
    <row r="108" spans="1:26" s="339" customFormat="1" x14ac:dyDescent="0.25">
      <c r="A108" s="304"/>
      <c r="H108" s="20"/>
      <c r="I108" s="387"/>
      <c r="N108" s="387"/>
      <c r="S108" s="1521"/>
    </row>
    <row r="109" spans="1:26" s="339" customFormat="1" ht="29.55" customHeight="1" x14ac:dyDescent="0.25">
      <c r="A109" s="304" t="s">
        <v>1038</v>
      </c>
      <c r="B109" s="1491" t="s">
        <v>1087</v>
      </c>
      <c r="C109" s="1491" t="s">
        <v>1312</v>
      </c>
      <c r="D109" s="1491" t="s">
        <v>1313</v>
      </c>
      <c r="E109" s="1491" t="str">
        <f>CONCATENATE("Ventilated Parking Area ",IF(SI_IP_Units="IP","(square feet)","(square meter)"))</f>
        <v>Ventilated Parking Area (square feet)</v>
      </c>
      <c r="F109" s="1491" t="str">
        <f>CONCATENATE("Proposed Airflow ",IF(SI_IP_Units="IP","CFM","M/S"))</f>
        <v>Proposed Airflow CFM</v>
      </c>
      <c r="G109" s="1491" t="str">
        <f>CONCATENATE("Baseline Airflow ",IF(SI_IP_Units="IP","CFM","M/S"))</f>
        <v>Baseline Airflow CFM</v>
      </c>
      <c r="H109" s="1491" t="s">
        <v>1310</v>
      </c>
      <c r="I109" s="1491" t="s">
        <v>1311</v>
      </c>
      <c r="Q109" s="299"/>
      <c r="R109" s="299"/>
      <c r="S109" s="1505"/>
    </row>
    <row r="110" spans="1:26" s="339" customFormat="1" ht="22.2" customHeight="1" x14ac:dyDescent="0.25">
      <c r="A110" s="304"/>
      <c r="B110" s="1517"/>
      <c r="C110" s="1939"/>
      <c r="D110" s="1651" t="s">
        <v>1391</v>
      </c>
      <c r="E110" s="3015"/>
      <c r="F110" s="3015"/>
      <c r="G110" s="1651" t="s">
        <v>1391</v>
      </c>
      <c r="H110" s="3015"/>
      <c r="I110" s="1651" t="s">
        <v>1391</v>
      </c>
      <c r="Q110" s="385"/>
      <c r="R110" s="385"/>
      <c r="S110" s="1802"/>
    </row>
    <row r="111" spans="1:26" s="339" customFormat="1" ht="22.2" customHeight="1" x14ac:dyDescent="0.25">
      <c r="A111" s="304"/>
      <c r="B111" s="1517"/>
      <c r="C111" s="1939"/>
      <c r="D111" s="1651" t="s">
        <v>1391</v>
      </c>
      <c r="E111" s="3015"/>
      <c r="F111" s="3015"/>
      <c r="G111" s="1651" t="s">
        <v>1391</v>
      </c>
      <c r="H111" s="3015"/>
      <c r="I111" s="1651" t="s">
        <v>1391</v>
      </c>
      <c r="Q111" s="385"/>
      <c r="R111" s="385"/>
      <c r="S111" s="1802"/>
    </row>
    <row r="112" spans="1:26" s="339" customFormat="1" ht="22.2" customHeight="1" x14ac:dyDescent="0.25">
      <c r="A112" s="304"/>
      <c r="B112" s="1517"/>
      <c r="C112" s="1939"/>
      <c r="D112" s="1651" t="s">
        <v>1391</v>
      </c>
      <c r="E112" s="3015"/>
      <c r="F112" s="3015"/>
      <c r="G112" s="1651" t="s">
        <v>1391</v>
      </c>
      <c r="H112" s="3015"/>
      <c r="I112" s="1651" t="s">
        <v>1391</v>
      </c>
      <c r="Q112" s="385"/>
      <c r="R112" s="385"/>
      <c r="S112" s="1802"/>
    </row>
    <row r="113" spans="1:19" s="339" customFormat="1" ht="22.2" customHeight="1" x14ac:dyDescent="0.25">
      <c r="A113" s="304" t="s">
        <v>805</v>
      </c>
      <c r="B113" s="1517"/>
      <c r="C113" s="1939"/>
      <c r="D113" s="1651" t="s">
        <v>1391</v>
      </c>
      <c r="E113" s="3015"/>
      <c r="F113" s="3015"/>
      <c r="G113" s="1651" t="s">
        <v>1391</v>
      </c>
      <c r="H113" s="3015"/>
      <c r="I113" s="1651" t="s">
        <v>1391</v>
      </c>
      <c r="Q113" s="385"/>
      <c r="R113" s="385"/>
      <c r="S113" s="1802"/>
    </row>
    <row r="114" spans="1:19" s="339" customFormat="1" ht="22.2" customHeight="1" x14ac:dyDescent="0.25">
      <c r="A114" s="304" t="s">
        <v>1038</v>
      </c>
      <c r="B114" s="3684" t="str">
        <f>"Note: "&amp;CHAR(10)&amp;
"1.  The Baseline parking area is modeled with a constant volume fan"&amp;CHAR(10)&amp;
"2.  Credit can be taken for garage demand control ventilation (DCV) in the Proposed design."&amp;CHAR(10)&amp;
"3.  Fan power for the Baseline case is limited to 0.3 W/CFM"</f>
        <v>Note: 
1.  The Baseline parking area is modeled with a constant volume fan
2.  Credit can be taken for garage demand control ventilation (DCV) in the Proposed design.
3.  Fan power for the Baseline case is limited to 0.3 W/CFM</v>
      </c>
      <c r="C114" s="3684"/>
      <c r="D114" s="3684"/>
      <c r="E114" s="3684"/>
      <c r="F114" s="3684"/>
      <c r="G114" s="3684"/>
      <c r="H114" s="3684"/>
      <c r="I114" s="3684"/>
      <c r="N114" s="387"/>
      <c r="Q114" s="390"/>
      <c r="R114" s="390"/>
      <c r="S114" s="1505"/>
    </row>
    <row r="115" spans="1:19" s="339" customFormat="1" ht="40.5" customHeight="1" x14ac:dyDescent="0.25">
      <c r="A115" s="304" t="s">
        <v>1038</v>
      </c>
      <c r="H115" s="20"/>
      <c r="I115" s="387"/>
      <c r="N115" s="387"/>
      <c r="Q115" s="390"/>
      <c r="R115" s="390"/>
      <c r="S115" s="1505"/>
    </row>
    <row r="116" spans="1:19" s="339" customFormat="1" x14ac:dyDescent="0.25">
      <c r="A116" s="304" t="s">
        <v>1038</v>
      </c>
      <c r="H116" s="20"/>
      <c r="I116" s="387"/>
      <c r="Q116" s="390"/>
      <c r="R116" s="390"/>
      <c r="S116" s="1505"/>
    </row>
    <row r="117" spans="1:19" s="339" customFormat="1" x14ac:dyDescent="0.25">
      <c r="A117" s="304" t="s">
        <v>1038</v>
      </c>
      <c r="H117" s="20"/>
      <c r="I117" s="387"/>
      <c r="S117" s="1521"/>
    </row>
    <row r="118" spans="1:19" s="339" customFormat="1" ht="102.75" customHeight="1" x14ac:dyDescent="0.25">
      <c r="A118" s="304" t="s">
        <v>1038</v>
      </c>
      <c r="B118" s="3683"/>
      <c r="C118" s="3683"/>
      <c r="D118" s="3683"/>
      <c r="E118" s="3683"/>
      <c r="F118" s="3683"/>
      <c r="G118" s="3683"/>
      <c r="H118" s="3683"/>
      <c r="I118" s="3683"/>
      <c r="S118" s="1521"/>
    </row>
    <row r="120" spans="1:19" x14ac:dyDescent="0.25">
      <c r="D120" s="339"/>
    </row>
    <row r="121" spans="1:19" x14ac:dyDescent="0.25">
      <c r="D121" s="339"/>
      <c r="G121" s="20"/>
      <c r="H121" s="5"/>
      <c r="I121" s="12"/>
    </row>
    <row r="122" spans="1:19" x14ac:dyDescent="0.25">
      <c r="G122" s="20"/>
      <c r="H122" s="5"/>
      <c r="I122" s="12"/>
    </row>
    <row r="123" spans="1:19" x14ac:dyDescent="0.25">
      <c r="G123" s="20"/>
      <c r="H123" s="5"/>
      <c r="I123" s="12"/>
    </row>
  </sheetData>
  <sheetProtection algorithmName="SHA-512" hashValue="g6T1B1vFyEawqQPQbybwDv/8jeCggmCs7pJ+35sqTrji/RVrNYopIU1eC0JevYxYvSYZX5U5rBRXVRvjUJjW/g==" saltValue="QMEOxiF6tvnmFH8BfSffrw==" spinCount="100000" sheet="1" objects="1" scenarios="1"/>
  <customSheetViews>
    <customSheetView guid="{75D6F8CE-A4F4-4FDD-BA92-7996F9E19FA9}" showGridLines="0" hiddenRows="1" topLeftCell="A70">
      <selection activeCell="M71" sqref="M71"/>
      <pageMargins left="0.25" right="0.25" top="0.75" bottom="0.75" header="0.3" footer="0.3"/>
      <pageSetup scale="75" orientation="portrait" verticalDpi="1200" r:id="rId1"/>
    </customSheetView>
  </customSheetViews>
  <mergeCells count="133">
    <mergeCell ref="H22:I22"/>
    <mergeCell ref="C21:D21"/>
    <mergeCell ref="H21:I21"/>
    <mergeCell ref="C22:D22"/>
    <mergeCell ref="H93:I93"/>
    <mergeCell ref="B73:H73"/>
    <mergeCell ref="C93:D93"/>
    <mergeCell ref="C86:H86"/>
    <mergeCell ref="C87:H87"/>
    <mergeCell ref="C90:D90"/>
    <mergeCell ref="C92:D92"/>
    <mergeCell ref="H91:I91"/>
    <mergeCell ref="C91:D91"/>
    <mergeCell ref="B90:B91"/>
    <mergeCell ref="B30:H30"/>
    <mergeCell ref="H37:I37"/>
    <mergeCell ref="C54:D54"/>
    <mergeCell ref="H54:I54"/>
    <mergeCell ref="C55:D55"/>
    <mergeCell ref="H55:I55"/>
    <mergeCell ref="C60:D60"/>
    <mergeCell ref="H60:I60"/>
    <mergeCell ref="C69:D69"/>
    <mergeCell ref="H69:I69"/>
    <mergeCell ref="B5:G5"/>
    <mergeCell ref="C20:D20"/>
    <mergeCell ref="B8:H8"/>
    <mergeCell ref="B10:H10"/>
    <mergeCell ref="B13:I13"/>
    <mergeCell ref="B12:I12"/>
    <mergeCell ref="G16:I16"/>
    <mergeCell ref="B16:F16"/>
    <mergeCell ref="H20:I20"/>
    <mergeCell ref="B118:I118"/>
    <mergeCell ref="C94:D94"/>
    <mergeCell ref="B114:I114"/>
    <mergeCell ref="H94:I94"/>
    <mergeCell ref="C95:D95"/>
    <mergeCell ref="H95:I95"/>
    <mergeCell ref="C98:D98"/>
    <mergeCell ref="H98:I98"/>
    <mergeCell ref="C99:D99"/>
    <mergeCell ref="H99:I99"/>
    <mergeCell ref="C100:D100"/>
    <mergeCell ref="H100:I100"/>
    <mergeCell ref="C101:D101"/>
    <mergeCell ref="H101:I101"/>
    <mergeCell ref="C102:D102"/>
    <mergeCell ref="H102:I102"/>
    <mergeCell ref="C96:D96"/>
    <mergeCell ref="H96:I96"/>
    <mergeCell ref="C97:D97"/>
    <mergeCell ref="H97:I97"/>
    <mergeCell ref="J90:J91"/>
    <mergeCell ref="H92:I92"/>
    <mergeCell ref="C47:D47"/>
    <mergeCell ref="B72:D72"/>
    <mergeCell ref="H39:I39"/>
    <mergeCell ref="H46:I46"/>
    <mergeCell ref="H47:I47"/>
    <mergeCell ref="C46:D46"/>
    <mergeCell ref="C39:D39"/>
    <mergeCell ref="H90:I90"/>
    <mergeCell ref="C71:D71"/>
    <mergeCell ref="H71:I71"/>
    <mergeCell ref="C48:D48"/>
    <mergeCell ref="H48:I48"/>
    <mergeCell ref="C43:D43"/>
    <mergeCell ref="H43:I43"/>
    <mergeCell ref="C70:D70"/>
    <mergeCell ref="H70:I70"/>
    <mergeCell ref="C51:D51"/>
    <mergeCell ref="H51:I51"/>
    <mergeCell ref="C52:D52"/>
    <mergeCell ref="H52:I52"/>
    <mergeCell ref="C68:D68"/>
    <mergeCell ref="H68:I68"/>
    <mergeCell ref="B29:D29"/>
    <mergeCell ref="C37:D37"/>
    <mergeCell ref="C49:D49"/>
    <mergeCell ref="H49:I49"/>
    <mergeCell ref="C50:D50"/>
    <mergeCell ref="H50:I50"/>
    <mergeCell ref="C62:D62"/>
    <mergeCell ref="H62:I62"/>
    <mergeCell ref="C63:D63"/>
    <mergeCell ref="H63:I63"/>
    <mergeCell ref="C53:D53"/>
    <mergeCell ref="H53:I53"/>
    <mergeCell ref="C45:D45"/>
    <mergeCell ref="H45:I45"/>
    <mergeCell ref="G29:J29"/>
    <mergeCell ref="I30:J30"/>
    <mergeCell ref="C61:D61"/>
    <mergeCell ref="H61:I61"/>
    <mergeCell ref="C44:D44"/>
    <mergeCell ref="H44:I44"/>
    <mergeCell ref="C38:D38"/>
    <mergeCell ref="H38:I38"/>
    <mergeCell ref="C23:D23"/>
    <mergeCell ref="H23:I23"/>
    <mergeCell ref="C24:D24"/>
    <mergeCell ref="H24:I24"/>
    <mergeCell ref="C56:D56"/>
    <mergeCell ref="H56:I56"/>
    <mergeCell ref="C57:D57"/>
    <mergeCell ref="H57:I57"/>
    <mergeCell ref="C58:D58"/>
    <mergeCell ref="H58:I58"/>
    <mergeCell ref="C26:D26"/>
    <mergeCell ref="H26:I26"/>
    <mergeCell ref="C25:D25"/>
    <mergeCell ref="H25:I25"/>
    <mergeCell ref="C40:D40"/>
    <mergeCell ref="H40:I40"/>
    <mergeCell ref="C27:D27"/>
    <mergeCell ref="H27:I27"/>
    <mergeCell ref="C28:D28"/>
    <mergeCell ref="H28:I28"/>
    <mergeCell ref="C41:D41"/>
    <mergeCell ref="H41:I41"/>
    <mergeCell ref="C42:D42"/>
    <mergeCell ref="H42:I42"/>
    <mergeCell ref="C64:D64"/>
    <mergeCell ref="H64:I64"/>
    <mergeCell ref="C65:D65"/>
    <mergeCell ref="H65:I65"/>
    <mergeCell ref="C66:D66"/>
    <mergeCell ref="H66:I66"/>
    <mergeCell ref="C59:D59"/>
    <mergeCell ref="H59:I59"/>
    <mergeCell ref="C67:D67"/>
    <mergeCell ref="H67:I67"/>
  </mergeCells>
  <conditionalFormatting sqref="S92:S102 Y92:Z102">
    <cfRule type="expression" dxfId="318" priority="8">
      <formula>$H92="No"</formula>
    </cfRule>
  </conditionalFormatting>
  <dataValidations count="7">
    <dataValidation type="list" allowBlank="1" showErrorMessage="1" sqref="I10 I8" xr:uid="{00000000-0002-0000-1600-000000000000}">
      <formula1>"Yes,No,N/A"</formula1>
    </dataValidation>
    <dataValidation type="list" allowBlank="1" showInputMessage="1" showErrorMessage="1" sqref="H38:H71 H21:H28" xr:uid="{00000000-0002-0000-1600-000001000000}">
      <formula1>"Yes,No"</formula1>
    </dataValidation>
    <dataValidation type="list" allowBlank="1" showInputMessage="1" showErrorMessage="1" sqref="B92:B102 B21:B28 B38:B71 B110:B113" xr:uid="{00000000-0002-0000-1600-000002000000}">
      <formula1>BuildingIDLookupAlt</formula1>
    </dataValidation>
    <dataValidation type="list" allowBlank="1" showInputMessage="1" showErrorMessage="1" sqref="E92:E102" xr:uid="{00000000-0002-0000-1600-000003000000}">
      <formula1>FuelTypes</formula1>
    </dataValidation>
    <dataValidation type="list" allowBlank="1" showInputMessage="1" showErrorMessage="1" sqref="H92:I102" xr:uid="{00000000-0002-0000-1600-000004000000}">
      <formula1>"Yes,No,N/A"</formula1>
    </dataValidation>
    <dataValidation type="list" errorStyle="information" allowBlank="1" error="Manual entries are permitted. Table 9.5.1 values are only provided for reference." sqref="C21:D28" xr:uid="{00000000-0002-0000-1600-000005000000}">
      <formula1>BAMCategories</formula1>
    </dataValidation>
    <dataValidation type="list" allowBlank="1" showInputMessage="1" sqref="C38:D71" xr:uid="{00000000-0002-0000-1600-000006000000}">
      <formula1>LPDSpacebySpace</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6174" r:id="rId5" name="Button 30">
              <controlPr defaultSize="0" print="0" autoFill="0" autoPict="0" macro="[0]!addC">
                <anchor moveWithCells="1">
                  <from>
                    <xdr:col>1</xdr:col>
                    <xdr:colOff>22860</xdr:colOff>
                    <xdr:row>103</xdr:row>
                    <xdr:rowOff>99060</xdr:rowOff>
                  </from>
                  <to>
                    <xdr:col>2</xdr:col>
                    <xdr:colOff>114300</xdr:colOff>
                    <xdr:row>103</xdr:row>
                    <xdr:rowOff>365760</xdr:rowOff>
                  </to>
                </anchor>
              </controlPr>
            </control>
          </mc:Choice>
        </mc:AlternateContent>
        <mc:AlternateContent xmlns:mc="http://schemas.openxmlformats.org/markup-compatibility/2006">
          <mc:Choice Requires="x14">
            <control shapeId="6193" r:id="rId6" name="Check Box 49">
              <controlPr defaultSize="0" autoFill="0" autoLine="0" autoPict="0" macro="[0]!PowerDensity_Change">
                <anchor moveWithCells="1">
                  <from>
                    <xdr:col>6</xdr:col>
                    <xdr:colOff>99060</xdr:colOff>
                    <xdr:row>15</xdr:row>
                    <xdr:rowOff>114300</xdr:rowOff>
                  </from>
                  <to>
                    <xdr:col>6</xdr:col>
                    <xdr:colOff>403860</xdr:colOff>
                    <xdr:row>15</xdr:row>
                    <xdr:rowOff>365760</xdr:rowOff>
                  </to>
                </anchor>
              </controlPr>
            </control>
          </mc:Choice>
        </mc:AlternateContent>
        <mc:AlternateContent xmlns:mc="http://schemas.openxmlformats.org/markup-compatibility/2006">
          <mc:Choice Requires="x14">
            <control shapeId="6194" r:id="rId7" name="Check Box 50">
              <controlPr defaultSize="0" autoFill="0" autoLine="0" autoPict="0" macro="[0]!PowerDensity_Change">
                <anchor moveWithCells="1">
                  <from>
                    <xdr:col>6</xdr:col>
                    <xdr:colOff>99060</xdr:colOff>
                    <xdr:row>15</xdr:row>
                    <xdr:rowOff>441960</xdr:rowOff>
                  </from>
                  <to>
                    <xdr:col>6</xdr:col>
                    <xdr:colOff>358140</xdr:colOff>
                    <xdr:row>15</xdr:row>
                    <xdr:rowOff>647700</xdr:rowOff>
                  </to>
                </anchor>
              </controlPr>
            </control>
          </mc:Choice>
        </mc:AlternateContent>
        <mc:AlternateContent xmlns:mc="http://schemas.openxmlformats.org/markup-compatibility/2006">
          <mc:Choice Requires="x14">
            <control shapeId="6227" r:id="rId8" name="Button 83">
              <controlPr defaultSize="0" print="0" autoFill="0" autoPict="0" macro="[0]!DeleteSome">
                <anchor moveWithCells="1">
                  <from>
                    <xdr:col>2</xdr:col>
                    <xdr:colOff>510540</xdr:colOff>
                    <xdr:row>103</xdr:row>
                    <xdr:rowOff>99060</xdr:rowOff>
                  </from>
                  <to>
                    <xdr:col>3</xdr:col>
                    <xdr:colOff>708660</xdr:colOff>
                    <xdr:row>103</xdr:row>
                    <xdr:rowOff>365760</xdr:rowOff>
                  </to>
                </anchor>
              </controlPr>
            </control>
          </mc:Choice>
        </mc:AlternateContent>
        <mc:AlternateContent xmlns:mc="http://schemas.openxmlformats.org/markup-compatibility/2006">
          <mc:Choice Requires="x14">
            <control shapeId="6230" r:id="rId9" name="Button 86">
              <controlPr defaultSize="0" print="0" autoFill="0" autoPict="0" macro="[0]!addA">
                <anchor moveWithCells="1">
                  <from>
                    <xdr:col>1</xdr:col>
                    <xdr:colOff>38100</xdr:colOff>
                    <xdr:row>32</xdr:row>
                    <xdr:rowOff>0</xdr:rowOff>
                  </from>
                  <to>
                    <xdr:col>2</xdr:col>
                    <xdr:colOff>129540</xdr:colOff>
                    <xdr:row>33</xdr:row>
                    <xdr:rowOff>251460</xdr:rowOff>
                  </to>
                </anchor>
              </controlPr>
            </control>
          </mc:Choice>
        </mc:AlternateContent>
        <mc:AlternateContent xmlns:mc="http://schemas.openxmlformats.org/markup-compatibility/2006">
          <mc:Choice Requires="x14">
            <control shapeId="6231" r:id="rId10" name="Button 87">
              <controlPr defaultSize="0" print="0" autoFill="0" autoPict="0" macro="[0]!DeleteSome">
                <anchor moveWithCells="1">
                  <from>
                    <xdr:col>2</xdr:col>
                    <xdr:colOff>495300</xdr:colOff>
                    <xdr:row>32</xdr:row>
                    <xdr:rowOff>0</xdr:rowOff>
                  </from>
                  <to>
                    <xdr:col>3</xdr:col>
                    <xdr:colOff>708660</xdr:colOff>
                    <xdr:row>33</xdr:row>
                    <xdr:rowOff>251460</xdr:rowOff>
                  </to>
                </anchor>
              </controlPr>
            </control>
          </mc:Choice>
        </mc:AlternateContent>
        <mc:AlternateContent xmlns:mc="http://schemas.openxmlformats.org/markup-compatibility/2006">
          <mc:Choice Requires="x14">
            <control shapeId="6238" r:id="rId11" name="Button 94">
              <controlPr defaultSize="0" print="0" autoFill="0" autoPict="0" macro="[0]!addD">
                <anchor moveWithCells="1">
                  <from>
                    <xdr:col>1</xdr:col>
                    <xdr:colOff>15240</xdr:colOff>
                    <xdr:row>114</xdr:row>
                    <xdr:rowOff>99060</xdr:rowOff>
                  </from>
                  <to>
                    <xdr:col>2</xdr:col>
                    <xdr:colOff>91440</xdr:colOff>
                    <xdr:row>114</xdr:row>
                    <xdr:rowOff>365760</xdr:rowOff>
                  </to>
                </anchor>
              </controlPr>
            </control>
          </mc:Choice>
        </mc:AlternateContent>
        <mc:AlternateContent xmlns:mc="http://schemas.openxmlformats.org/markup-compatibility/2006">
          <mc:Choice Requires="x14">
            <control shapeId="6239" r:id="rId12" name="Button 95">
              <controlPr defaultSize="0" print="0" autoFill="0" autoPict="0" macro="[0]!DeleteSome">
                <anchor moveWithCells="1">
                  <from>
                    <xdr:col>2</xdr:col>
                    <xdr:colOff>495300</xdr:colOff>
                    <xdr:row>114</xdr:row>
                    <xdr:rowOff>99060</xdr:rowOff>
                  </from>
                  <to>
                    <xdr:col>3</xdr:col>
                    <xdr:colOff>708660</xdr:colOff>
                    <xdr:row>114</xdr:row>
                    <xdr:rowOff>365760</xdr:rowOff>
                  </to>
                </anchor>
              </controlPr>
            </control>
          </mc:Choice>
        </mc:AlternateContent>
        <mc:AlternateContent xmlns:mc="http://schemas.openxmlformats.org/markup-compatibility/2006">
          <mc:Choice Requires="x14">
            <control shapeId="6242" r:id="rId13" name="Check Box 98">
              <controlPr defaultSize="0" autoFill="0" autoLine="0" autoPict="0" macro="[0]!GarageFanPowerTableReset">
                <anchor moveWithCells="1">
                  <from>
                    <xdr:col>1</xdr:col>
                    <xdr:colOff>38100</xdr:colOff>
                    <xdr:row>105</xdr:row>
                    <xdr:rowOff>381000</xdr:rowOff>
                  </from>
                  <to>
                    <xdr:col>3</xdr:col>
                    <xdr:colOff>472440</xdr:colOff>
                    <xdr:row>106</xdr:row>
                    <xdr:rowOff>190500</xdr:rowOff>
                  </to>
                </anchor>
              </controlPr>
            </control>
          </mc:Choice>
        </mc:AlternateContent>
        <mc:AlternateContent xmlns:mc="http://schemas.openxmlformats.org/markup-compatibility/2006">
          <mc:Choice Requires="x14">
            <control shapeId="6243" r:id="rId14" name="Button 99">
              <controlPr defaultSize="0" print="0" autoFill="0" autoPict="0" macro="[0]!addB">
                <anchor moveWithCells="1">
                  <from>
                    <xdr:col>1</xdr:col>
                    <xdr:colOff>38100</xdr:colOff>
                    <xdr:row>75</xdr:row>
                    <xdr:rowOff>0</xdr:rowOff>
                  </from>
                  <to>
                    <xdr:col>2</xdr:col>
                    <xdr:colOff>129540</xdr:colOff>
                    <xdr:row>84</xdr:row>
                    <xdr:rowOff>99060</xdr:rowOff>
                  </to>
                </anchor>
              </controlPr>
            </control>
          </mc:Choice>
        </mc:AlternateContent>
        <mc:AlternateContent xmlns:mc="http://schemas.openxmlformats.org/markup-compatibility/2006">
          <mc:Choice Requires="x14">
            <control shapeId="6244" r:id="rId15" name="Button 100">
              <controlPr defaultSize="0" print="0" autoFill="0" autoPict="0" macro="[0]!DeleteSome">
                <anchor moveWithCells="1">
                  <from>
                    <xdr:col>2</xdr:col>
                    <xdr:colOff>495300</xdr:colOff>
                    <xdr:row>75</xdr:row>
                    <xdr:rowOff>0</xdr:rowOff>
                  </from>
                  <to>
                    <xdr:col>3</xdr:col>
                    <xdr:colOff>708660</xdr:colOff>
                    <xdr:row>84</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8">
    <tabColor theme="0" tint="-0.249977111117893"/>
  </sheetPr>
  <dimension ref="A1:BG89"/>
  <sheetViews>
    <sheetView showGridLines="0" zoomScale="90" zoomScaleNormal="90" workbookViewId="0">
      <selection activeCell="G14" sqref="G14:M14"/>
    </sheetView>
  </sheetViews>
  <sheetFormatPr defaultColWidth="8.69921875" defaultRowHeight="13.2" x14ac:dyDescent="0.25"/>
  <cols>
    <col min="1" max="1" width="2" style="12" customWidth="1"/>
    <col min="2" max="2" width="14.69921875" style="12" customWidth="1"/>
    <col min="3" max="3" width="23.69921875" style="12" customWidth="1"/>
    <col min="4" max="5" width="14.19921875" style="12" customWidth="1"/>
    <col min="6" max="6" width="1.69921875" style="12" customWidth="1"/>
    <col min="7" max="9" width="14.19921875" style="12" customWidth="1"/>
    <col min="10" max="10" width="1.69921875" style="12" customWidth="1"/>
    <col min="11" max="14" width="14.19921875" style="12" customWidth="1"/>
    <col min="15" max="15" width="1.69921875" style="12" customWidth="1"/>
    <col min="16" max="16" width="21.19921875" style="12" customWidth="1"/>
    <col min="17" max="17" width="10.5" style="12" customWidth="1"/>
    <col min="18" max="18" width="6.69921875" style="12" customWidth="1"/>
    <col min="19" max="19" width="12.69921875" style="12" customWidth="1"/>
    <col min="20" max="20" width="50.69921875" style="2146" customWidth="1"/>
    <col min="21" max="21" width="8.69921875" style="12" customWidth="1"/>
    <col min="22" max="22" width="10.69921875" style="12" hidden="1" customWidth="1"/>
    <col min="23" max="23" width="12.19921875" style="12" hidden="1" customWidth="1"/>
    <col min="24" max="29" width="7.69921875" style="12" hidden="1" customWidth="1"/>
    <col min="30" max="30" width="11.796875" style="12" hidden="1" customWidth="1"/>
    <col min="31" max="31" width="7.69921875" style="12" hidden="1" customWidth="1"/>
    <col min="32" max="54" width="8.69921875" style="12" hidden="1" customWidth="1"/>
    <col min="55" max="55" width="14.19921875" style="12" hidden="1" customWidth="1"/>
    <col min="56" max="56" width="8.69921875" style="12" hidden="1" customWidth="1"/>
    <col min="57" max="57" width="10.19921875" style="12" hidden="1" customWidth="1"/>
    <col min="58" max="59" width="8.69921875" style="12" hidden="1" customWidth="1"/>
    <col min="60" max="62" width="0" style="12" hidden="1" customWidth="1"/>
    <col min="63" max="16384" width="8.69921875" style="12"/>
  </cols>
  <sheetData>
    <row r="1" spans="1:59" s="3" customFormat="1" x14ac:dyDescent="0.25">
      <c r="A1" s="331" t="s">
        <v>1038</v>
      </c>
      <c r="B1" s="11"/>
      <c r="C1" s="11"/>
      <c r="D1" s="11"/>
      <c r="E1" s="11"/>
      <c r="F1" s="11"/>
      <c r="G1" s="11"/>
      <c r="H1" s="11"/>
      <c r="I1" s="11"/>
      <c r="J1" s="11"/>
      <c r="K1" s="11"/>
      <c r="L1" s="11"/>
      <c r="M1" s="11"/>
      <c r="N1" s="12"/>
      <c r="O1" s="12"/>
      <c r="P1" s="12"/>
      <c r="Q1" s="12"/>
      <c r="R1" s="12"/>
      <c r="T1" s="2146"/>
      <c r="X1" s="4"/>
      <c r="Y1" s="4"/>
      <c r="Z1" s="4"/>
      <c r="AA1" s="4"/>
    </row>
    <row r="2" spans="1:59" s="3" customFormat="1" ht="24.75" customHeight="1" x14ac:dyDescent="0.25">
      <c r="A2" s="331" t="s">
        <v>1038</v>
      </c>
      <c r="B2" s="15" t="s">
        <v>238</v>
      </c>
      <c r="C2" s="16"/>
      <c r="D2" s="16"/>
      <c r="E2" s="16"/>
      <c r="F2" s="16"/>
      <c r="G2" s="16"/>
      <c r="H2" s="16"/>
      <c r="I2" s="16"/>
      <c r="J2" s="16"/>
      <c r="K2" s="16"/>
      <c r="L2" s="16"/>
      <c r="M2" s="16"/>
      <c r="N2" s="12"/>
      <c r="O2" s="12"/>
      <c r="P2" s="12"/>
      <c r="Q2" s="12"/>
      <c r="R2" s="12"/>
      <c r="T2" s="2146"/>
      <c r="X2" s="4"/>
      <c r="Y2" s="4"/>
      <c r="Z2" s="4"/>
      <c r="AA2" s="4"/>
    </row>
    <row r="3" spans="1:59" s="3" customFormat="1" ht="15" customHeight="1" x14ac:dyDescent="0.25">
      <c r="A3" s="331" t="s">
        <v>1038</v>
      </c>
      <c r="B3" s="11"/>
      <c r="C3" s="11"/>
      <c r="D3" s="11"/>
      <c r="E3" s="11"/>
      <c r="F3" s="11"/>
      <c r="G3" s="11"/>
      <c r="H3" s="11"/>
      <c r="I3" s="11"/>
      <c r="J3" s="11"/>
      <c r="K3" s="11"/>
      <c r="L3" s="11"/>
      <c r="M3" s="11"/>
      <c r="N3" s="12"/>
      <c r="O3" s="12"/>
      <c r="P3" s="12"/>
      <c r="Q3" s="12"/>
      <c r="R3" s="12"/>
      <c r="T3" s="2146"/>
      <c r="X3" s="4"/>
      <c r="Y3" s="4"/>
      <c r="Z3" s="4"/>
      <c r="AA3" s="4"/>
    </row>
    <row r="4" spans="1:59" s="339" customFormat="1" ht="20.25" customHeight="1" x14ac:dyDescent="0.25">
      <c r="A4" s="304" t="s">
        <v>1038</v>
      </c>
      <c r="T4" s="1521"/>
    </row>
    <row r="5" spans="1:59" s="339" customFormat="1" ht="49.95" customHeight="1" x14ac:dyDescent="0.25">
      <c r="A5" s="304" t="s">
        <v>1038</v>
      </c>
      <c r="B5" s="3509" t="s">
        <v>1111</v>
      </c>
      <c r="C5" s="3509"/>
      <c r="D5" s="3509"/>
      <c r="E5" s="3509"/>
      <c r="F5" s="3509"/>
      <c r="G5" s="3509"/>
      <c r="H5" s="3509"/>
      <c r="I5" s="3509"/>
      <c r="J5" s="3509"/>
      <c r="K5" s="3509"/>
      <c r="L5" s="3509"/>
      <c r="M5" s="3510"/>
      <c r="T5" s="1521"/>
    </row>
    <row r="6" spans="1:59" s="347" customFormat="1" ht="21" customHeight="1" x14ac:dyDescent="0.25">
      <c r="A6" s="304" t="s">
        <v>1038</v>
      </c>
      <c r="B6" s="1492"/>
      <c r="C6" s="1492"/>
      <c r="D6" s="1492"/>
      <c r="E6" s="1492"/>
      <c r="F6" s="1492"/>
      <c r="G6" s="1492"/>
      <c r="H6" s="1492"/>
      <c r="I6" s="1492"/>
      <c r="J6" s="1492"/>
      <c r="M6" s="396"/>
      <c r="T6" s="1521"/>
      <c r="X6" s="396"/>
      <c r="Y6" s="396"/>
      <c r="Z6" s="396"/>
      <c r="AA6" s="396"/>
    </row>
    <row r="7" spans="1:59" s="347" customFormat="1" ht="26.25" customHeight="1" x14ac:dyDescent="0.25">
      <c r="A7" s="304" t="s">
        <v>1038</v>
      </c>
      <c r="B7" s="196" t="s">
        <v>2397</v>
      </c>
      <c r="C7" s="9"/>
      <c r="D7" s="9"/>
      <c r="E7" s="9"/>
      <c r="F7" s="9"/>
      <c r="G7" s="9"/>
      <c r="H7" s="9"/>
      <c r="I7" s="9"/>
      <c r="J7" s="9"/>
      <c r="K7" s="9"/>
      <c r="L7" s="9"/>
      <c r="M7" s="9"/>
      <c r="N7" s="9"/>
      <c r="O7" s="9"/>
      <c r="P7" s="9"/>
      <c r="Q7" s="9"/>
      <c r="R7" s="9"/>
      <c r="S7" s="9"/>
      <c r="T7" s="1370" t="s">
        <v>1635</v>
      </c>
      <c r="X7" s="396"/>
      <c r="Y7" s="396"/>
      <c r="Z7" s="396"/>
      <c r="AA7" s="396"/>
    </row>
    <row r="8" spans="1:59" s="347" customFormat="1" ht="80.25" customHeight="1" x14ac:dyDescent="0.25">
      <c r="A8" s="304" t="s">
        <v>1038</v>
      </c>
      <c r="B8" s="3438" t="s">
        <v>0</v>
      </c>
      <c r="C8" s="3647"/>
      <c r="D8" s="3647"/>
      <c r="E8" s="3439"/>
      <c r="F8" s="1787"/>
      <c r="G8" s="3438" t="str">
        <f>"Baseline"&amp;"-"&amp;'General Information'!$H$49</f>
        <v>Baseline-</v>
      </c>
      <c r="H8" s="3647"/>
      <c r="I8" s="3439"/>
      <c r="J8" s="3434"/>
      <c r="K8" s="3442" t="s">
        <v>2682</v>
      </c>
      <c r="L8" s="3649"/>
      <c r="M8" s="3649"/>
      <c r="N8" s="3443"/>
      <c r="O8" s="1787"/>
      <c r="P8" s="3390" t="str">
        <f>"Prescriptive Requirement of "&amp;'General Information'!H55&amp;" Applicable to App. G Baseline"</f>
        <v>Prescriptive Requirement of ASHRAE 90.1-2016 Applicable to App. G Baseline</v>
      </c>
      <c r="Q8" s="3390" t="s">
        <v>2544</v>
      </c>
      <c r="T8" s="1521"/>
      <c r="X8" s="396"/>
      <c r="Y8" s="396"/>
      <c r="Z8" s="396"/>
      <c r="AA8" s="396"/>
    </row>
    <row r="9" spans="1:59" s="347" customFormat="1" ht="17.25" customHeight="1" x14ac:dyDescent="0.25">
      <c r="A9" s="304"/>
      <c r="B9" s="3440"/>
      <c r="C9" s="3648"/>
      <c r="D9" s="3648"/>
      <c r="E9" s="3441"/>
      <c r="F9" s="1372"/>
      <c r="G9" s="3442"/>
      <c r="H9" s="3649"/>
      <c r="I9" s="3443"/>
      <c r="J9" s="3485"/>
      <c r="K9" s="3456"/>
      <c r="L9" s="3495"/>
      <c r="M9" s="3457"/>
      <c r="N9" s="1491" t="s">
        <v>2610</v>
      </c>
      <c r="O9" s="1372"/>
      <c r="P9" s="3391"/>
      <c r="Q9" s="3391"/>
      <c r="T9" s="1521"/>
      <c r="X9" s="396"/>
      <c r="Y9" s="396"/>
      <c r="Z9" s="396"/>
      <c r="AA9" s="396"/>
    </row>
    <row r="10" spans="1:59" s="347" customFormat="1" ht="165.75" customHeight="1" x14ac:dyDescent="0.25">
      <c r="A10" s="304"/>
      <c r="B10" s="3440"/>
      <c r="C10" s="3648"/>
      <c r="D10" s="3648"/>
      <c r="E10" s="3441"/>
      <c r="F10" s="1372"/>
      <c r="G10" s="3710" t="s">
        <v>2722</v>
      </c>
      <c r="H10" s="3711"/>
      <c r="I10" s="3712"/>
      <c r="J10" s="3485"/>
      <c r="K10" s="3710" t="s">
        <v>2611</v>
      </c>
      <c r="L10" s="3711"/>
      <c r="M10" s="3711"/>
      <c r="N10" s="3712"/>
      <c r="O10" s="2362"/>
      <c r="P10" s="1344" t="str">
        <f>"In accordance with 90.1-2016 Section 7.5"</f>
        <v>In accordance with 90.1-2016 Section 7.5</v>
      </c>
      <c r="Q10" s="3443"/>
      <c r="T10" s="1521"/>
      <c r="X10" s="396"/>
      <c r="Y10" s="396"/>
      <c r="Z10" s="396"/>
      <c r="AA10" s="396"/>
    </row>
    <row r="11" spans="1:59" s="347" customFormat="1" ht="32.25" hidden="1" customHeight="1" thickBot="1" x14ac:dyDescent="0.3">
      <c r="A11" s="304"/>
      <c r="B11" s="3442"/>
      <c r="C11" s="3649"/>
      <c r="D11" s="3649"/>
      <c r="E11" s="3443"/>
      <c r="F11" s="1372"/>
      <c r="G11" s="3713"/>
      <c r="H11" s="3714"/>
      <c r="I11" s="3715"/>
      <c r="J11" s="3435"/>
      <c r="K11" s="1872"/>
      <c r="L11" s="1873"/>
      <c r="M11" s="1874"/>
      <c r="O11" s="1372"/>
      <c r="P11" s="2355"/>
      <c r="Q11" s="1497"/>
      <c r="T11" s="1521"/>
      <c r="X11" s="396"/>
      <c r="Y11" s="396"/>
      <c r="Z11" s="396"/>
      <c r="AA11" s="396"/>
    </row>
    <row r="12" spans="1:59" s="347" customFormat="1" ht="25.5" hidden="1" customHeight="1" x14ac:dyDescent="0.25">
      <c r="A12" s="304"/>
      <c r="B12" s="1397" t="s">
        <v>1370</v>
      </c>
      <c r="C12" s="1397"/>
      <c r="D12" s="1397"/>
      <c r="E12" s="1397"/>
      <c r="F12" s="1372"/>
      <c r="G12" s="1397" t="s">
        <v>272</v>
      </c>
      <c r="H12" s="1397"/>
      <c r="I12" s="1397"/>
      <c r="J12" s="1247"/>
      <c r="K12" s="1397" t="s">
        <v>273</v>
      </c>
      <c r="L12" s="1497"/>
      <c r="M12" s="1497"/>
      <c r="O12" s="1372"/>
      <c r="P12" s="1556" t="str">
        <f>IF(AND($W12&lt;&gt;0,$D12&lt;&gt;""),$W12,"")</f>
        <v/>
      </c>
      <c r="Q12" s="1556"/>
      <c r="T12" s="1521"/>
      <c r="X12" s="396"/>
      <c r="Y12" s="396"/>
      <c r="Z12" s="396"/>
      <c r="AA12" s="396"/>
    </row>
    <row r="13" spans="1:59" s="1496" customFormat="1" ht="1.5" hidden="1" customHeight="1" x14ac:dyDescent="0.25">
      <c r="A13" s="304" t="s">
        <v>1038</v>
      </c>
      <c r="B13" s="3719"/>
      <c r="C13" s="3720"/>
      <c r="D13" s="3720"/>
      <c r="E13" s="3721"/>
      <c r="F13" s="1372"/>
      <c r="G13" s="3722"/>
      <c r="H13" s="3723"/>
      <c r="I13" s="3724"/>
      <c r="J13" s="1209"/>
      <c r="K13" s="3722"/>
      <c r="L13" s="3723"/>
      <c r="M13" s="3724"/>
      <c r="O13" s="1372"/>
      <c r="P13" s="1230"/>
      <c r="Q13" s="1231"/>
      <c r="T13" s="1521"/>
      <c r="W13" s="347"/>
      <c r="X13" s="339"/>
      <c r="Y13" s="339"/>
      <c r="Z13" s="339"/>
      <c r="AA13" s="339"/>
    </row>
    <row r="14" spans="1:59" s="1496" customFormat="1" ht="14.25" customHeight="1" x14ac:dyDescent="0.25">
      <c r="A14" s="304" t="s">
        <v>1038</v>
      </c>
      <c r="B14" s="3719" t="s">
        <v>1087</v>
      </c>
      <c r="C14" s="3720"/>
      <c r="D14" s="3720"/>
      <c r="E14" s="3721"/>
      <c r="F14" s="1372"/>
      <c r="G14" s="3687"/>
      <c r="H14" s="3688"/>
      <c r="I14" s="3688"/>
      <c r="J14" s="3688"/>
      <c r="K14" s="3688"/>
      <c r="L14" s="3688"/>
      <c r="M14" s="3689"/>
      <c r="N14" s="1893"/>
      <c r="O14" s="1372"/>
      <c r="P14" s="1506"/>
      <c r="Q14" s="1506"/>
      <c r="T14" s="1802"/>
      <c r="W14" s="347"/>
      <c r="X14" s="1823" t="s">
        <v>2538</v>
      </c>
      <c r="Y14" s="2964">
        <f t="shared" ref="Y14:Y31" si="0">Q14</f>
        <v>0</v>
      </c>
      <c r="Z14" s="1823" t="str">
        <f>"SWH building area type based on: "&amp;G15&amp;" with an "&amp;G17&amp;" system with "&amp;G18&amp;" fuel. The input rating is "&amp;G19&amp;M19&amp;" with an efficiency of "&amp;G21&amp;". The storage temperature is "&amp;G23&amp;" (F) with a peak hot water demand of "&amp;G24&amp;". Condenser heat recovery: "&amp;G25&amp;". There are "&amp;G29&amp;" "&amp;G28&amp;" pump(s) woth a total pump power of "&amp;G31&amp;" kW."</f>
        <v>SWH building area type based on:  with an  system with  fuel. The input rating is kW with an efficiency of . The storage temperature is - (F) with a peak hot water demand of . Condenser heat recovery: -. There are -  pump(s) woth a total pump power of Yes kW.</v>
      </c>
      <c r="AA14" s="1823" t="str">
        <f>"SWH building area type based on: "&amp;G15&amp;" with an  "&amp;K17&amp;" system with "&amp;K18&amp;" fuel. The input rating is "&amp;K19&amp;M19&amp;" with an efficiency of "&amp;K21&amp;". The storage temperature is "&amp;K23&amp;" (F) with a peak hot water demand of "&amp;K24&amp;". Condenser heat recovery: "&amp;K25&amp;". There are "&amp;K29&amp;" "&amp;K28&amp;" pump(s) woth a total pump power of "&amp;ROUND(K31,3)&amp;" kW."</f>
        <v>SWH building area type based on:  with an   system with  fuel. The input rating is kW with an efficiency of . The storage temperature is  (F) with a peak hot water demand of . Condenser heat recovery: . There are   pump(s) woth a total pump power of 0 kW.</v>
      </c>
      <c r="AD14" s="1799" t="str">
        <f>G18&amp;" "&amp;G17</f>
        <v xml:space="preserve"> </v>
      </c>
    </row>
    <row r="15" spans="1:59" s="1496" customFormat="1" ht="13.5" customHeight="1" x14ac:dyDescent="0.25">
      <c r="A15" s="304"/>
      <c r="B15" s="3719" t="s">
        <v>2249</v>
      </c>
      <c r="C15" s="3720"/>
      <c r="D15" s="3720"/>
      <c r="E15" s="3721"/>
      <c r="F15" s="1372"/>
      <c r="G15" s="3687"/>
      <c r="H15" s="3688"/>
      <c r="I15" s="3688"/>
      <c r="J15" s="3688"/>
      <c r="K15" s="3688"/>
      <c r="L15" s="3688"/>
      <c r="M15" s="3689"/>
      <c r="N15" s="1893"/>
      <c r="O15" s="1372"/>
      <c r="P15" s="1506"/>
      <c r="Q15" s="1506"/>
      <c r="T15" s="1802"/>
      <c r="V15" s="1823" t="s">
        <v>2730</v>
      </c>
      <c r="W15" s="1823">
        <f>IF(SI_IP_Units="IP",IF(G19&lt;=75,IF(G20&lt;=55,(0.675-(0.0015*G20)),(0.8012-(0.00078*G20))),0.8),IF(G19&lt;=22.98,IF(G20&lt;=208.2,(0.675-(0.0004*G20)),(0.8012-(0.0002*G20))),0.8))</f>
        <v>0.67500000000000004</v>
      </c>
      <c r="X15" s="2962" t="s">
        <v>2538</v>
      </c>
      <c r="Y15" s="2964">
        <f t="shared" si="0"/>
        <v>0</v>
      </c>
      <c r="Z15" s="1823"/>
      <c r="AA15" s="1823"/>
      <c r="BC15" s="339" t="s">
        <v>2867</v>
      </c>
      <c r="BD15" s="1506" t="e">
        <f>SUM(BA:BA)</f>
        <v>#VALUE!</v>
      </c>
      <c r="BE15" s="2032" t="e">
        <f>SUMPRODUCT(BA:BA,BF:BF)/SUM(BA:BA)</f>
        <v>#VALUE!</v>
      </c>
    </row>
    <row r="16" spans="1:59" s="1496" customFormat="1" ht="12.75" customHeight="1" x14ac:dyDescent="0.25">
      <c r="A16" s="304"/>
      <c r="B16" s="3719" t="s">
        <v>2866</v>
      </c>
      <c r="C16" s="3720"/>
      <c r="D16" s="3720"/>
      <c r="E16" s="3721"/>
      <c r="F16" s="1372"/>
      <c r="G16" s="3749" t="str">
        <f>IF(K16="","",1)</f>
        <v/>
      </c>
      <c r="H16" s="3750"/>
      <c r="I16" s="3751"/>
      <c r="J16" s="1372"/>
      <c r="K16" s="3687"/>
      <c r="L16" s="3688"/>
      <c r="M16" s="3689"/>
      <c r="N16" s="1893"/>
      <c r="O16" s="1372"/>
      <c r="P16" s="1552"/>
      <c r="Q16" s="1506"/>
      <c r="T16" s="1802"/>
      <c r="V16" s="1823" t="s">
        <v>3413</v>
      </c>
      <c r="W16" s="1823">
        <v>0.8</v>
      </c>
      <c r="X16" s="2962"/>
      <c r="Y16" s="2964"/>
      <c r="Z16" s="1823"/>
      <c r="AA16" s="1823"/>
      <c r="BA16" s="2031" t="e">
        <f>IF(I19="kBtu/h",G19,G19*'12 - Performance_Outputs_1'!$K$17*1000)</f>
        <v>#VALUE!</v>
      </c>
      <c r="BB16" s="1506" t="e">
        <f>K16*IF(M19="kBtu/h",K19,K19*'12 - Performance_Outputs_1'!$K$17*1000)</f>
        <v>#VALUE!</v>
      </c>
      <c r="BC16" s="1496" t="s">
        <v>2868</v>
      </c>
      <c r="BF16" s="2032" t="str">
        <f>G21</f>
        <v/>
      </c>
      <c r="BG16" s="2032">
        <f>K21</f>
        <v>0</v>
      </c>
    </row>
    <row r="17" spans="1:27" s="1496" customFormat="1" ht="12.75" customHeight="1" x14ac:dyDescent="0.25">
      <c r="A17" s="304"/>
      <c r="B17" s="3719" t="s">
        <v>2476</v>
      </c>
      <c r="C17" s="3720"/>
      <c r="D17" s="3720"/>
      <c r="E17" s="3721"/>
      <c r="F17" s="2362"/>
      <c r="G17" s="3690" t="str">
        <f>IF(G15="","",VLOOKUP(G15,'SWH Lookup'!E4:G37,3))</f>
        <v/>
      </c>
      <c r="H17" s="3691"/>
      <c r="I17" s="3692"/>
      <c r="J17" s="2364"/>
      <c r="K17" s="3687"/>
      <c r="L17" s="3688"/>
      <c r="M17" s="3689"/>
      <c r="N17" s="1893"/>
      <c r="O17" s="1372"/>
      <c r="P17" s="1552" t="str">
        <f>IF(G17="","",G17)</f>
        <v/>
      </c>
      <c r="Q17" s="1506"/>
      <c r="T17" s="1802"/>
      <c r="V17" s="1823" t="s">
        <v>2731</v>
      </c>
      <c r="W17" s="1823">
        <f>IF(SI_IP_Units="IP",MAX(0.96-(0.0003*G20),0.96-0.0003*55),MAX(0.96-0.00008*G20,0.96-0.00008*208.2))</f>
        <v>0.96</v>
      </c>
      <c r="X17" s="2962" t="s">
        <v>2538</v>
      </c>
      <c r="Y17" s="2964">
        <f t="shared" si="0"/>
        <v>0</v>
      </c>
      <c r="Z17" s="1823"/>
      <c r="AA17" s="1823"/>
    </row>
    <row r="18" spans="1:27" s="1496" customFormat="1" x14ac:dyDescent="0.25">
      <c r="A18" s="304"/>
      <c r="B18" s="3719" t="s">
        <v>958</v>
      </c>
      <c r="C18" s="3720"/>
      <c r="D18" s="3720"/>
      <c r="E18" s="3721"/>
      <c r="F18" s="2362"/>
      <c r="G18" s="3690" t="str">
        <f>IF(G15="","",VLOOKUP(G15,'SWH Lookup'!E4:G37,2))</f>
        <v/>
      </c>
      <c r="H18" s="3691"/>
      <c r="I18" s="3692"/>
      <c r="J18" s="2364"/>
      <c r="K18" s="3687"/>
      <c r="L18" s="3688"/>
      <c r="M18" s="3689"/>
      <c r="N18" s="1893"/>
      <c r="O18" s="1372"/>
      <c r="P18" s="1552" t="str">
        <f>IF(G18="","",G18)</f>
        <v/>
      </c>
      <c r="Q18" s="1506"/>
      <c r="T18" s="1802"/>
      <c r="V18" s="1823" t="s">
        <v>2732</v>
      </c>
      <c r="W18" s="1823">
        <f>IF(SI_IP_Units="IP",MAX(0.96-(0.0003*G20),0.96-0.0003*55),MAX(0.96-0.00008*G20,0.96-0.00008*208.2))</f>
        <v>0.96</v>
      </c>
      <c r="X18" s="2962" t="s">
        <v>2538</v>
      </c>
      <c r="Y18" s="2964">
        <f t="shared" si="0"/>
        <v>0</v>
      </c>
      <c r="Z18" s="1823"/>
      <c r="AA18" s="1823"/>
    </row>
    <row r="19" spans="1:27" s="1496" customFormat="1" x14ac:dyDescent="0.25">
      <c r="A19" s="304" t="s">
        <v>1038</v>
      </c>
      <c r="B19" s="3719" t="s">
        <v>3045</v>
      </c>
      <c r="C19" s="3720"/>
      <c r="D19" s="3720"/>
      <c r="E19" s="3721"/>
      <c r="F19" s="1372"/>
      <c r="G19" s="3752"/>
      <c r="H19" s="3753"/>
      <c r="I19" s="2355" t="str">
        <f>IF(G15="","",IF(AND(G18="Gas",SI_IP_Units="IP"),"kBtu/h","kW"))</f>
        <v/>
      </c>
      <c r="J19" s="1372"/>
      <c r="K19" s="3727"/>
      <c r="L19" s="3729"/>
      <c r="M19" s="1344" t="str">
        <f>IF(AND(K18="Gas",SI_IP_Units="IP"),"kBtu/h","kW")</f>
        <v>kW</v>
      </c>
      <c r="N19" s="1893"/>
      <c r="O19" s="1372"/>
      <c r="P19" s="2115" t="str">
        <f>IF(G19="","",G19&amp;" "&amp;I19)</f>
        <v/>
      </c>
      <c r="Q19" s="1506"/>
      <c r="T19" s="1802"/>
      <c r="V19" s="2963"/>
      <c r="W19" s="2963"/>
      <c r="X19" s="1823" t="s">
        <v>2538</v>
      </c>
      <c r="Y19" s="2964">
        <f t="shared" si="0"/>
        <v>0</v>
      </c>
      <c r="Z19" s="1823"/>
      <c r="AA19" s="1823"/>
    </row>
    <row r="20" spans="1:27" s="1496" customFormat="1" x14ac:dyDescent="0.25">
      <c r="A20" s="304" t="s">
        <v>1038</v>
      </c>
      <c r="B20" s="3719" t="str">
        <f>IF(SI_IP_Units="IP","Storage volume per water heater (gal)","Storage volume per heater (L)")</f>
        <v>Storage volume per water heater (gal)</v>
      </c>
      <c r="C20" s="3720"/>
      <c r="D20" s="3720"/>
      <c r="E20" s="3721"/>
      <c r="F20" s="1372"/>
      <c r="G20" s="3727"/>
      <c r="H20" s="3728"/>
      <c r="I20" s="3729"/>
      <c r="J20" s="1372"/>
      <c r="K20" s="3727"/>
      <c r="L20" s="3728"/>
      <c r="M20" s="3729"/>
      <c r="N20" s="1893"/>
      <c r="O20" s="1372"/>
      <c r="P20" s="1552" t="str">
        <f>IF(G20="","",G20)</f>
        <v/>
      </c>
      <c r="Q20" s="1506"/>
      <c r="T20" s="1802"/>
      <c r="X20" s="1823" t="s">
        <v>2538</v>
      </c>
      <c r="Y20" s="2964">
        <f>Q20</f>
        <v>0</v>
      </c>
      <c r="Z20" s="1823"/>
      <c r="AA20" s="1823"/>
    </row>
    <row r="21" spans="1:27" s="1496" customFormat="1" ht="12.75" customHeight="1" x14ac:dyDescent="0.25">
      <c r="A21" s="304" t="s">
        <v>1038</v>
      </c>
      <c r="B21" s="3719" t="s">
        <v>2723</v>
      </c>
      <c r="C21" s="3720"/>
      <c r="D21" s="3720"/>
      <c r="E21" s="3721"/>
      <c r="F21" s="1372"/>
      <c r="G21" s="3739" t="str">
        <f>IFERROR(IF(G15="","",IF(AD14="Gas Storage",IF(SI_IP_Units="IP",IF(G19&lt;=75,W15,W16),IF(G19&lt;=22.98,W15,W16)),IF(AD14="Electric Resistance Storage",IF(G19&lt;=12,W17,W18),100%))),"-")</f>
        <v/>
      </c>
      <c r="H21" s="3740"/>
      <c r="I21" s="1344" t="str">
        <f>IFERROR(IF(G19="","",IF(AD14="Gas Storage",IF(SI_IP_Units="IP",IF(G19&lt;=75,"EF","Et"),IF(G19&lt;=22.98,"EF",Et)),IF(AD14="Electric Resistance Storage","EF","%"))),"N/A")</f>
        <v/>
      </c>
      <c r="J21" s="1372"/>
      <c r="K21" s="3738"/>
      <c r="L21" s="3688"/>
      <c r="M21" s="1498"/>
      <c r="N21" s="1893"/>
      <c r="O21" s="1372"/>
      <c r="P21" s="1506"/>
      <c r="Q21" s="1506"/>
      <c r="T21" s="1802"/>
      <c r="X21" s="1823" t="s">
        <v>2538</v>
      </c>
      <c r="Y21" s="2964">
        <f t="shared" si="0"/>
        <v>0</v>
      </c>
      <c r="Z21" s="1823"/>
      <c r="AA21" s="1823"/>
    </row>
    <row r="22" spans="1:27" s="1496" customFormat="1" ht="12.75" customHeight="1" x14ac:dyDescent="0.25">
      <c r="A22" s="304"/>
      <c r="B22" s="3719" t="s">
        <v>3412</v>
      </c>
      <c r="C22" s="3720"/>
      <c r="D22" s="3720"/>
      <c r="E22" s="3721"/>
      <c r="F22" s="1372"/>
      <c r="G22" s="3739" t="str">
        <f>IF(I21="EF","modeled as part of EF rating",IF(I21="Et",IF(SI_IP_Units="IP",ROUND(G19*1000/800+110*SQRT(G20),0),ROUND(G19*1000/800+110*(SQRT(CONVERT(G20,"l","g"))),0)),""))</f>
        <v/>
      </c>
      <c r="H22" s="3740"/>
      <c r="I22" s="1344" t="str">
        <f>IF(I21="EF","",IF(I21="Et",IF(SI_IP_Units="IP"," Btuh"," Watts"),""))</f>
        <v/>
      </c>
      <c r="J22" s="1372"/>
      <c r="K22" s="3738"/>
      <c r="L22" s="3754"/>
      <c r="M22" s="1498"/>
      <c r="N22" s="1893"/>
      <c r="O22" s="1372"/>
      <c r="P22" s="1506"/>
      <c r="Q22" s="1506"/>
      <c r="T22" s="1802"/>
      <c r="X22" s="1823"/>
      <c r="Y22" s="2964"/>
      <c r="Z22" s="1823"/>
      <c r="AA22" s="1823"/>
    </row>
    <row r="23" spans="1:27" s="1496" customFormat="1" ht="12.75" customHeight="1" x14ac:dyDescent="0.25">
      <c r="A23" s="304" t="s">
        <v>1038</v>
      </c>
      <c r="B23" s="3730" t="str">
        <f>IF(SI_IP_Units="IP","Storage temperature (°F)","Storage temperature (°C)")</f>
        <v>Storage temperature (°F)</v>
      </c>
      <c r="C23" s="3731"/>
      <c r="D23" s="3731"/>
      <c r="E23" s="3732"/>
      <c r="F23" s="1372"/>
      <c r="G23" s="3733" t="str">
        <f>IF(K23="","-",K23)</f>
        <v>-</v>
      </c>
      <c r="H23" s="3734"/>
      <c r="I23" s="3735"/>
      <c r="J23" s="1372"/>
      <c r="K23" s="3727"/>
      <c r="L23" s="3728"/>
      <c r="M23" s="3729"/>
      <c r="N23" s="1893"/>
      <c r="O23" s="1372"/>
      <c r="P23" s="1686" t="s">
        <v>2214</v>
      </c>
      <c r="Q23" s="1506"/>
      <c r="T23" s="1802"/>
      <c r="X23" s="1823" t="s">
        <v>2538</v>
      </c>
      <c r="Y23" s="2964">
        <f t="shared" si="0"/>
        <v>0</v>
      </c>
      <c r="Z23" s="1823"/>
      <c r="AA23" s="1823"/>
    </row>
    <row r="24" spans="1:27" s="1496" customFormat="1" ht="12.75" customHeight="1" x14ac:dyDescent="0.25">
      <c r="A24" s="304" t="s">
        <v>1038</v>
      </c>
      <c r="B24" s="3719" t="str">
        <f>IF(SI_IP_Units="IP","Peak hot water demand (gpm).","Peak hot water demand (L/s). Refer to the Multifamily Details tab if this is a Multifamily project.")</f>
        <v>Peak hot water demand (gpm).</v>
      </c>
      <c r="C24" s="3720"/>
      <c r="D24" s="3720"/>
      <c r="E24" s="3721"/>
      <c r="F24" s="2364"/>
      <c r="G24" s="3687"/>
      <c r="H24" s="3688"/>
      <c r="I24" s="3689"/>
      <c r="J24" s="1372"/>
      <c r="K24" s="3687"/>
      <c r="L24" s="3688"/>
      <c r="M24" s="3689"/>
      <c r="N24" s="1893"/>
      <c r="O24" s="1372"/>
      <c r="P24" s="1686" t="s">
        <v>2214</v>
      </c>
      <c r="Q24" s="1506"/>
      <c r="T24" s="1802"/>
      <c r="X24" s="1823" t="s">
        <v>2538</v>
      </c>
      <c r="Y24" s="2964">
        <f t="shared" si="0"/>
        <v>0</v>
      </c>
      <c r="Z24" s="1823"/>
      <c r="AA24" s="1823"/>
    </row>
    <row r="25" spans="1:27" s="1496" customFormat="1" ht="12.75" customHeight="1" x14ac:dyDescent="0.25">
      <c r="A25" s="304" t="s">
        <v>1038</v>
      </c>
      <c r="B25" s="3746" t="s">
        <v>126</v>
      </c>
      <c r="C25" s="3747"/>
      <c r="D25" s="3747"/>
      <c r="E25" s="3748"/>
      <c r="F25" s="1372"/>
      <c r="G25" s="3690" t="str">
        <f>IF(K25="","-",K25)</f>
        <v>-</v>
      </c>
      <c r="H25" s="3691"/>
      <c r="I25" s="3692"/>
      <c r="J25" s="1372"/>
      <c r="K25" s="3687"/>
      <c r="L25" s="3688"/>
      <c r="M25" s="3689"/>
      <c r="N25" s="1893"/>
      <c r="O25" s="1372"/>
      <c r="P25" s="1506"/>
      <c r="Q25" s="1506"/>
      <c r="T25" s="1802"/>
      <c r="X25" s="1823" t="s">
        <v>2538</v>
      </c>
      <c r="Y25" s="2964">
        <f t="shared" si="0"/>
        <v>0</v>
      </c>
      <c r="Z25" s="1823"/>
      <c r="AA25" s="1823"/>
    </row>
    <row r="26" spans="1:27" s="1496" customFormat="1" x14ac:dyDescent="0.25">
      <c r="A26" s="304" t="s">
        <v>1038</v>
      </c>
      <c r="B26" s="3719" t="s">
        <v>2725</v>
      </c>
      <c r="C26" s="3720"/>
      <c r="D26" s="3720"/>
      <c r="E26" s="3721"/>
      <c r="F26" s="1372"/>
      <c r="G26" s="3690" t="str">
        <f>IF(K26="","-",K26)</f>
        <v>-</v>
      </c>
      <c r="H26" s="3691"/>
      <c r="I26" s="3692"/>
      <c r="J26" s="1372"/>
      <c r="K26" s="3687"/>
      <c r="L26" s="3688"/>
      <c r="M26" s="3689"/>
      <c r="N26" s="1893"/>
      <c r="O26" s="1372"/>
      <c r="P26" s="1552" t="s">
        <v>2212</v>
      </c>
      <c r="Q26" s="1506"/>
      <c r="T26" s="1802"/>
      <c r="X26" s="1823" t="s">
        <v>2538</v>
      </c>
      <c r="Y26" s="2964">
        <f t="shared" si="0"/>
        <v>0</v>
      </c>
      <c r="Z26" s="1823"/>
      <c r="AA26" s="1823"/>
    </row>
    <row r="27" spans="1:27" s="1496" customFormat="1" x14ac:dyDescent="0.25">
      <c r="A27" s="304" t="s">
        <v>1038</v>
      </c>
      <c r="B27" s="3719" t="s">
        <v>2726</v>
      </c>
      <c r="C27" s="3720"/>
      <c r="D27" s="3720"/>
      <c r="E27" s="3721"/>
      <c r="F27" s="1372"/>
      <c r="G27" s="3707" t="str">
        <f>IF(K27="","-",K27)</f>
        <v>-</v>
      </c>
      <c r="H27" s="3708"/>
      <c r="I27" s="3709"/>
      <c r="J27" s="1372"/>
      <c r="K27" s="3742"/>
      <c r="L27" s="3743"/>
      <c r="M27" s="3744"/>
      <c r="N27" s="1893"/>
      <c r="O27" s="1372"/>
      <c r="P27" s="1552" t="s">
        <v>2212</v>
      </c>
      <c r="Q27" s="1506"/>
      <c r="T27" s="1802"/>
      <c r="X27" s="1823" t="s">
        <v>2538</v>
      </c>
      <c r="Y27" s="2964">
        <f t="shared" si="0"/>
        <v>0</v>
      </c>
      <c r="Z27" s="1823"/>
      <c r="AA27" s="1823"/>
    </row>
    <row r="28" spans="1:27" s="1496" customFormat="1" x14ac:dyDescent="0.25">
      <c r="A28" s="304" t="s">
        <v>1038</v>
      </c>
      <c r="B28" s="3719" t="s">
        <v>2724</v>
      </c>
      <c r="C28" s="3720"/>
      <c r="D28" s="3720"/>
      <c r="E28" s="3721"/>
      <c r="F28" s="1375"/>
      <c r="G28" s="3687"/>
      <c r="H28" s="3688"/>
      <c r="I28" s="3689"/>
      <c r="J28" s="1375"/>
      <c r="K28" s="3687"/>
      <c r="L28" s="3688"/>
      <c r="M28" s="3689"/>
      <c r="N28" s="1893"/>
      <c r="O28" s="1375"/>
      <c r="P28" s="1552" t="s">
        <v>2212</v>
      </c>
      <c r="Q28" s="1506"/>
      <c r="T28" s="1802"/>
      <c r="X28" s="1823" t="s">
        <v>2538</v>
      </c>
      <c r="Y28" s="2964">
        <f>Q28</f>
        <v>0</v>
      </c>
      <c r="Z28" s="1823"/>
      <c r="AA28" s="1823"/>
    </row>
    <row r="29" spans="1:27" s="1496" customFormat="1" x14ac:dyDescent="0.25">
      <c r="A29" s="304" t="s">
        <v>1038</v>
      </c>
      <c r="B29" s="3719" t="s">
        <v>2727</v>
      </c>
      <c r="C29" s="3720"/>
      <c r="D29" s="3720"/>
      <c r="E29" s="3721"/>
      <c r="F29" s="1372"/>
      <c r="G29" s="3690" t="str">
        <f>IF(K29="","-",K29)</f>
        <v>-</v>
      </c>
      <c r="H29" s="3691"/>
      <c r="I29" s="3692"/>
      <c r="J29" s="1372"/>
      <c r="K29" s="3687"/>
      <c r="L29" s="3688"/>
      <c r="M29" s="3689"/>
      <c r="N29" s="1893"/>
      <c r="O29" s="1372"/>
      <c r="P29" s="1552" t="s">
        <v>2212</v>
      </c>
      <c r="Q29" s="1506"/>
      <c r="T29" s="1802"/>
      <c r="X29" s="1823" t="s">
        <v>2538</v>
      </c>
      <c r="Y29" s="2964">
        <f t="shared" si="0"/>
        <v>0</v>
      </c>
      <c r="Z29" s="1823"/>
      <c r="AA29" s="1823"/>
    </row>
    <row r="30" spans="1:27" s="1496" customFormat="1" ht="12.75" customHeight="1" x14ac:dyDescent="0.25">
      <c r="A30" s="304" t="s">
        <v>1038</v>
      </c>
      <c r="B30" s="3719" t="s">
        <v>2728</v>
      </c>
      <c r="C30" s="3720"/>
      <c r="D30" s="3720"/>
      <c r="E30" s="3721"/>
      <c r="F30" s="1372"/>
      <c r="G30" s="3690" t="str">
        <f>IF(K30="","-",K30)</f>
        <v>-</v>
      </c>
      <c r="H30" s="3691"/>
      <c r="I30" s="3692"/>
      <c r="J30" s="1372"/>
      <c r="K30" s="3687"/>
      <c r="L30" s="3688"/>
      <c r="M30" s="3689"/>
      <c r="N30" s="2965"/>
      <c r="O30" s="1372"/>
      <c r="P30" s="1552" t="str">
        <f>IF(G30="","",G30)</f>
        <v>-</v>
      </c>
      <c r="Q30" s="1506"/>
      <c r="T30" s="1802"/>
      <c r="X30" s="1823" t="s">
        <v>2538</v>
      </c>
      <c r="Y30" s="2964">
        <f t="shared" si="0"/>
        <v>0</v>
      </c>
      <c r="Z30" s="1823"/>
      <c r="AA30" s="1823"/>
    </row>
    <row r="31" spans="1:27" s="1496" customFormat="1" ht="17.25" customHeight="1" x14ac:dyDescent="0.25">
      <c r="A31" s="304" t="s">
        <v>1038</v>
      </c>
      <c r="B31" s="3719" t="s">
        <v>2729</v>
      </c>
      <c r="C31" s="3720"/>
      <c r="D31" s="3720"/>
      <c r="E31" s="3721"/>
      <c r="F31" s="1372"/>
      <c r="G31" s="3690" t="s">
        <v>22</v>
      </c>
      <c r="H31" s="3691"/>
      <c r="I31" s="3692"/>
      <c r="J31" s="1372"/>
      <c r="K31" s="3716"/>
      <c r="L31" s="3717"/>
      <c r="M31" s="3718"/>
      <c r="N31" s="1506"/>
      <c r="O31" s="1372"/>
      <c r="P31" s="1506"/>
      <c r="Q31" s="1506"/>
      <c r="T31" s="1802"/>
      <c r="X31" s="1823" t="s">
        <v>2538</v>
      </c>
      <c r="Y31" s="2964">
        <f t="shared" si="0"/>
        <v>0</v>
      </c>
      <c r="Z31" s="1823"/>
      <c r="AA31" s="1823"/>
    </row>
    <row r="32" spans="1:27" s="1496" customFormat="1" ht="1.5" customHeight="1" thickBot="1" x14ac:dyDescent="0.3">
      <c r="A32" s="304" t="s">
        <v>1038</v>
      </c>
      <c r="B32" s="3719"/>
      <c r="C32" s="3720"/>
      <c r="D32" s="3720"/>
      <c r="E32" s="3721"/>
      <c r="F32" s="1372"/>
      <c r="G32" s="3722"/>
      <c r="H32" s="3723"/>
      <c r="I32" s="3724"/>
      <c r="J32" s="1209"/>
      <c r="K32" s="3722"/>
      <c r="L32" s="3723"/>
      <c r="M32" s="3724"/>
      <c r="O32" s="1372"/>
      <c r="P32" s="1230"/>
      <c r="Q32" s="1231"/>
      <c r="T32" s="1521"/>
      <c r="W32" s="347"/>
      <c r="X32" s="339"/>
      <c r="Y32" s="339"/>
      <c r="Z32" s="2993"/>
      <c r="AA32" s="2994"/>
    </row>
    <row r="33" spans="1:30" s="347" customFormat="1" ht="44.25" customHeight="1" x14ac:dyDescent="0.25">
      <c r="A33" s="304" t="s">
        <v>1038</v>
      </c>
      <c r="B33" s="1492"/>
      <c r="C33" s="1492"/>
      <c r="D33" s="1492"/>
      <c r="E33" s="1492"/>
      <c r="F33" s="1492"/>
      <c r="G33" s="1492"/>
      <c r="H33" s="1492"/>
      <c r="I33" s="1492"/>
      <c r="J33" s="1492"/>
      <c r="M33" s="396"/>
      <c r="N33" s="2966"/>
      <c r="O33" s="42"/>
      <c r="P33" s="42"/>
      <c r="T33" s="1521"/>
      <c r="X33" s="396"/>
      <c r="Y33" s="396"/>
      <c r="Z33" s="396"/>
      <c r="AA33" s="396"/>
    </row>
    <row r="34" spans="1:30" s="347" customFormat="1" ht="21" customHeight="1" x14ac:dyDescent="0.25">
      <c r="A34" s="304" t="s">
        <v>1038</v>
      </c>
      <c r="B34" s="392" t="s">
        <v>262</v>
      </c>
      <c r="C34" s="1492"/>
      <c r="D34" s="1492"/>
      <c r="E34" s="1492"/>
      <c r="F34" s="1492"/>
      <c r="G34" s="1492"/>
      <c r="H34" s="1492"/>
      <c r="I34" s="1492"/>
      <c r="J34" s="1492"/>
      <c r="M34" s="396"/>
      <c r="P34" s="42"/>
      <c r="T34" s="1521"/>
      <c r="X34" s="396"/>
      <c r="Y34" s="396"/>
      <c r="Z34" s="396"/>
      <c r="AA34" s="396"/>
    </row>
    <row r="35" spans="1:30" s="347" customFormat="1" ht="21" customHeight="1" x14ac:dyDescent="0.25">
      <c r="A35" s="304" t="s">
        <v>1038</v>
      </c>
      <c r="B35" s="1492"/>
      <c r="C35" s="1492"/>
      <c r="D35" s="1492"/>
      <c r="E35" s="1492"/>
      <c r="F35" s="1492"/>
      <c r="G35" s="1492"/>
      <c r="H35" s="1492"/>
      <c r="I35" s="1492"/>
      <c r="J35" s="1492"/>
      <c r="M35" s="396"/>
      <c r="P35" s="42"/>
      <c r="T35" s="1521"/>
      <c r="X35" s="396"/>
      <c r="Y35" s="396"/>
      <c r="Z35" s="396"/>
      <c r="AA35" s="396"/>
    </row>
    <row r="36" spans="1:30" s="347" customFormat="1" ht="26.25" customHeight="1" x14ac:dyDescent="0.25">
      <c r="A36" s="304" t="s">
        <v>1038</v>
      </c>
      <c r="B36" s="196" t="str">
        <f>"Service Hot Water Flow"</f>
        <v>Service Hot Water Flow</v>
      </c>
      <c r="C36" s="9"/>
      <c r="D36" s="9"/>
      <c r="E36" s="9"/>
      <c r="F36" s="9"/>
      <c r="G36" s="9"/>
      <c r="H36" s="9"/>
      <c r="I36" s="9"/>
      <c r="J36" s="9"/>
      <c r="K36" s="9"/>
      <c r="L36" s="9"/>
      <c r="M36" s="9"/>
      <c r="N36" s="9"/>
      <c r="O36" s="9"/>
      <c r="P36" s="1163"/>
      <c r="Q36" s="9"/>
      <c r="R36" s="9"/>
      <c r="S36" s="9"/>
      <c r="T36" s="1521"/>
      <c r="X36" s="396"/>
      <c r="Y36" s="396"/>
      <c r="Z36" s="396"/>
      <c r="AA36" s="396"/>
    </row>
    <row r="37" spans="1:30" s="347" customFormat="1" ht="99" customHeight="1" x14ac:dyDescent="0.25">
      <c r="A37" s="339"/>
      <c r="B37" s="3572" t="str">
        <f>CONCATENATE(IF(ResDwellingUnitsExist="Yes",CONCATENATE("This section is only required to be completed if credit is modeled in the proposed model for low-flow fixtures serving the non-residential portions of the project."," Complete the Multifamily Details tab to take credit for the fixtures in the dwelling units and laundry rooms serving resdential spaces. ","The project still must include the non-residential DHW flow in the baseline and proposed case for non-residential spaces even if no credit is taken."),CONCATENATE("This section is only required to be completed if credit is modeled in the proposed model for low-flow fixtures. ", "Please note that DHW must be included in the model as designed even if no credit is modeled."))," 
Note: The DHW Equivalent Full Load Hours of Operation is linked from the Main Building schedules section of the Schedules tab, which must be completed prior to completion of this tab. ","The Modeled DHW Flow rate will not calculate unless a value is entered for the service water heating Equivalent Full Load Hours in the Schedules Tab."," Please ensure that the modeled schedules and flow rates are consistent with the values reported here")</f>
        <v>This section is only required to be completed if credit is modeled in the proposed model for low-flow fixtures serving the non-residential portions of the project. Complete the Multifamily Details tab to take credit for the fixtures in the dwelling units and laundry rooms serving resdential spaces. The project still must include the non-residential DHW flow in the baseline and proposed case for non-residential spaces even if no credit is taken. 
Note: The DHW Equivalent Full Load Hours of Operation is linked from the Main Building schedules section of the Schedules tab, which must be completed prior to completion of this tab. The Modeled DHW Flow rate will not calculate unless a value is entered for the service water heating Equivalent Full Load Hours in the Schedules Tab. Please ensure that the modeled schedules and flow rates are consistent with the values reported here</v>
      </c>
      <c r="C37" s="3725"/>
      <c r="D37" s="3725"/>
      <c r="E37" s="3725"/>
      <c r="F37" s="3725"/>
      <c r="G37" s="3725"/>
      <c r="H37" s="3725"/>
      <c r="I37" s="3725"/>
      <c r="J37" s="3725"/>
      <c r="K37" s="3725"/>
      <c r="L37" s="3725"/>
      <c r="M37" s="3571"/>
      <c r="N37" s="9"/>
      <c r="O37" s="9"/>
      <c r="P37" s="1163"/>
      <c r="Q37" s="9"/>
      <c r="R37" s="9"/>
      <c r="S37" s="9"/>
      <c r="T37" s="1521"/>
      <c r="X37" s="396"/>
      <c r="Y37" s="396"/>
      <c r="Z37" s="396"/>
      <c r="AA37" s="396"/>
    </row>
    <row r="38" spans="1:30" s="347" customFormat="1" ht="10.5" customHeight="1" x14ac:dyDescent="0.25">
      <c r="A38" s="339"/>
      <c r="B38" s="1521"/>
      <c r="C38" s="1557"/>
      <c r="D38" s="1557"/>
      <c r="E38" s="1557"/>
      <c r="F38" s="1557"/>
      <c r="G38" s="1557"/>
      <c r="H38" s="1557"/>
      <c r="I38" s="1557"/>
      <c r="J38" s="1557"/>
      <c r="K38" s="1557"/>
      <c r="L38" s="1557"/>
      <c r="M38" s="866"/>
      <c r="N38" s="9"/>
      <c r="O38" s="9"/>
      <c r="P38" s="1163"/>
      <c r="Q38" s="9"/>
      <c r="R38" s="9"/>
      <c r="S38" s="9"/>
      <c r="T38" s="1521"/>
      <c r="X38" s="396"/>
      <c r="Y38" s="396"/>
      <c r="Z38" s="396"/>
      <c r="AA38" s="396"/>
    </row>
    <row r="39" spans="1:30" s="347" customFormat="1" ht="15" customHeight="1" x14ac:dyDescent="0.25">
      <c r="A39" s="339"/>
      <c r="B39" s="352" t="str">
        <f>CONCATENATE("Average Cold Water Temperature ",IF(SI_IP_Units="IP","(deg. F)","(deg. C)"))</f>
        <v>Average Cold Water Temperature (deg. F)</v>
      </c>
      <c r="C39" s="1557"/>
      <c r="D39" s="1557"/>
      <c r="E39" s="1557"/>
      <c r="F39" s="1557"/>
      <c r="G39" s="1557"/>
      <c r="H39" s="1557"/>
      <c r="I39" s="1557"/>
      <c r="J39" s="1557"/>
      <c r="K39" s="1557"/>
      <c r="L39" s="1557"/>
      <c r="M39" s="3017"/>
      <c r="N39" s="9"/>
      <c r="O39" s="9"/>
      <c r="P39" s="1163"/>
      <c r="Q39" s="9"/>
      <c r="R39" s="9"/>
      <c r="S39" s="9"/>
      <c r="T39" s="1802"/>
      <c r="X39" s="396"/>
      <c r="Y39" s="396"/>
      <c r="Z39" s="396"/>
      <c r="AA39" s="396"/>
    </row>
    <row r="40" spans="1:30" s="351" customFormat="1" ht="15.75" customHeight="1" x14ac:dyDescent="0.25">
      <c r="A40" s="339"/>
      <c r="B40" s="196" t="s">
        <v>2398</v>
      </c>
      <c r="C40" s="349"/>
      <c r="D40" s="350"/>
      <c r="E40" s="350"/>
      <c r="G40" s="350"/>
      <c r="H40" s="350"/>
      <c r="I40" s="350"/>
      <c r="J40" s="350"/>
      <c r="K40" s="350"/>
      <c r="L40" s="350"/>
      <c r="M40" s="350"/>
      <c r="N40" s="350"/>
      <c r="O40" s="350"/>
      <c r="P40" s="1164"/>
      <c r="Q40" s="350"/>
      <c r="R40" s="350"/>
      <c r="S40" s="350"/>
      <c r="T40" s="1505"/>
      <c r="X40" s="661"/>
      <c r="Y40" s="661"/>
      <c r="Z40" s="661"/>
      <c r="AA40" s="661"/>
    </row>
    <row r="41" spans="1:30" s="347" customFormat="1" ht="15" customHeight="1" x14ac:dyDescent="0.25">
      <c r="A41" s="339"/>
      <c r="B41" s="28"/>
      <c r="G41" s="352"/>
      <c r="I41" s="9"/>
      <c r="J41" s="9"/>
      <c r="K41" s="9"/>
      <c r="L41" s="1002"/>
      <c r="M41" s="9"/>
      <c r="O41" s="9"/>
      <c r="P41" s="9"/>
      <c r="Q41" s="1163"/>
      <c r="R41" s="9"/>
      <c r="S41" s="9"/>
      <c r="T41" s="1521"/>
      <c r="X41" s="396"/>
      <c r="Y41" s="396"/>
      <c r="Z41" s="396"/>
      <c r="AA41" s="396"/>
    </row>
    <row r="42" spans="1:30" s="351" customFormat="1" ht="26.7" customHeight="1" x14ac:dyDescent="0.25">
      <c r="A42" s="304"/>
      <c r="B42" s="3433" t="s">
        <v>244</v>
      </c>
      <c r="C42" s="3433"/>
      <c r="D42" s="3433"/>
      <c r="E42" s="3430"/>
      <c r="F42" s="1373"/>
      <c r="G42" s="3432" t="str">
        <f>"Baseline"&amp;"-"&amp;'General Information'!$H$49</f>
        <v>Baseline-</v>
      </c>
      <c r="H42" s="3433"/>
      <c r="I42" s="3430"/>
      <c r="J42" s="1373"/>
      <c r="K42" s="3440" t="s">
        <v>2682</v>
      </c>
      <c r="L42" s="3648"/>
      <c r="M42" s="3648"/>
      <c r="N42" s="3441"/>
      <c r="O42" s="1501"/>
      <c r="P42" s="3390" t="str">
        <f>"Prescriptive Requirement of "&amp;'General Information'!H55&amp;" Applicable to App. G Baseline"</f>
        <v>Prescriptive Requirement of ASHRAE 90.1-2016 Applicable to App. G Baseline</v>
      </c>
      <c r="Q42" s="3390" t="s">
        <v>2544</v>
      </c>
      <c r="R42" s="350"/>
      <c r="S42" s="350"/>
      <c r="T42" s="1505"/>
      <c r="X42" s="661"/>
      <c r="Y42" s="661"/>
      <c r="Z42" s="661"/>
      <c r="AA42" s="661"/>
    </row>
    <row r="43" spans="1:30" s="351" customFormat="1" ht="66" x14ac:dyDescent="0.25">
      <c r="A43" s="304"/>
      <c r="B43" s="3434" t="s">
        <v>1087</v>
      </c>
      <c r="C43" s="1491" t="s">
        <v>108</v>
      </c>
      <c r="D43" s="1491" t="str">
        <f>IF(SI_IP_Units="IP","Fixture Outlet Temperature
 (°F)","Fixture Outlet Temperature
 (°C)")</f>
        <v>Fixture Outlet Temperature
 (°F)</v>
      </c>
      <c r="E43" s="1503" t="s">
        <v>261</v>
      </c>
      <c r="F43" s="1374"/>
      <c r="G43" s="1381" t="str">
        <f>IF(SI_IP_Units="IP","Flow Rate 
(gpm or gpc)","Flow Rate 
(L/s or L/c)")</f>
        <v>Flow Rate 
(gpm or gpc)</v>
      </c>
      <c r="H43" s="1491" t="str">
        <f>IF(SI_IP_Units="IP","Annual Total Water Consumption of Fixture
(gallons/year)","Annual Total Water Consumption 
(Liters/year)")</f>
        <v>Annual Total Water Consumption of Fixture
(gallons/year)</v>
      </c>
      <c r="I43" s="1503" t="str">
        <f>IF(SI_IP_Units="IP","Annual Fixture Hot Water Consumption 
(gallons/year)","Annual Fixture Hot Water Consumption 
(Liters/year)")</f>
        <v>Annual Fixture Hot Water Consumption 
(gallons/year)</v>
      </c>
      <c r="J43" s="1374"/>
      <c r="K43" s="1381" t="str">
        <f>IF(SI_IP_Units="IP","Flow Rate 
(gpm or gpc)","Flow Rate 
(L/s or L/c)")</f>
        <v>Flow Rate 
(gpm or gpc)</v>
      </c>
      <c r="L43" s="1491" t="str">
        <f>IF(SI_IP_Units="IP","Annual Total Water Consumption 
(gallons/year)","Annual Total Water Consumption 
(Liters/year)")</f>
        <v>Annual Total Water Consumption 
(gallons/year)</v>
      </c>
      <c r="M43" s="1503" t="str">
        <f>IF(SI_IP_Units="IP","Annual Fixture Hot Water Consumption 
(gallons/year)","Annual Fixture Hot Water Consumption 
(Liters/year)")</f>
        <v>Annual Fixture Hot Water Consumption 
(gallons/year)</v>
      </c>
      <c r="N43" s="1491" t="s">
        <v>2610</v>
      </c>
      <c r="O43" s="1372"/>
      <c r="P43" s="3391"/>
      <c r="Q43" s="3391"/>
      <c r="R43" s="350"/>
      <c r="S43" s="350"/>
      <c r="T43" s="1505"/>
      <c r="X43" s="661"/>
      <c r="Y43" s="661"/>
      <c r="Z43" s="661"/>
      <c r="AA43" s="661"/>
    </row>
    <row r="44" spans="1:30" s="351" customFormat="1" ht="54.75" customHeight="1" x14ac:dyDescent="0.25">
      <c r="A44" s="304"/>
      <c r="B44" s="3485"/>
      <c r="C44" s="3736" t="s">
        <v>2301</v>
      </c>
      <c r="D44" s="3736" t="s">
        <v>2302</v>
      </c>
      <c r="E44" s="3737"/>
      <c r="F44" s="1466"/>
      <c r="G44" s="3745" t="s">
        <v>2303</v>
      </c>
      <c r="H44" s="3736"/>
      <c r="I44" s="3737"/>
      <c r="J44" s="1466"/>
      <c r="K44" s="3695" t="s">
        <v>2304</v>
      </c>
      <c r="L44" s="3696"/>
      <c r="M44" s="3696"/>
      <c r="N44" s="3697"/>
      <c r="O44" s="2362"/>
      <c r="P44" s="3705" t="str">
        <f>"In accordance with Prescriptive Requirements of 90.1-2016 Section 7.5"</f>
        <v>In accordance with Prescriptive Requirements of 90.1-2016 Section 7.5</v>
      </c>
      <c r="Q44" s="3441"/>
      <c r="R44" s="350"/>
      <c r="S44" s="350"/>
      <c r="T44" s="1505"/>
      <c r="X44" s="661"/>
      <c r="Y44" s="661"/>
      <c r="Z44" s="661"/>
      <c r="AA44" s="661"/>
    </row>
    <row r="45" spans="1:30" s="351" customFormat="1" ht="54.75" customHeight="1" x14ac:dyDescent="0.25">
      <c r="A45" s="304"/>
      <c r="B45" s="3435"/>
      <c r="C45" s="3736"/>
      <c r="D45" s="3736"/>
      <c r="E45" s="3737"/>
      <c r="F45" s="1466"/>
      <c r="G45" s="3745"/>
      <c r="H45" s="3736"/>
      <c r="I45" s="3737"/>
      <c r="J45" s="1466"/>
      <c r="K45" s="3698"/>
      <c r="L45" s="3699"/>
      <c r="M45" s="3699"/>
      <c r="N45" s="3700"/>
      <c r="O45" s="2362"/>
      <c r="P45" s="3706"/>
      <c r="Q45" s="3443"/>
      <c r="R45" s="350"/>
      <c r="S45" s="350"/>
      <c r="T45" s="1505"/>
      <c r="X45" s="661"/>
      <c r="Y45" s="661"/>
      <c r="Z45" s="661"/>
      <c r="AA45" s="661"/>
    </row>
    <row r="46" spans="1:30" s="347" customFormat="1" ht="51" hidden="1" customHeight="1" x14ac:dyDescent="0.25">
      <c r="A46" s="394"/>
      <c r="B46" s="1397" t="s">
        <v>1087</v>
      </c>
      <c r="C46" s="1397" t="s">
        <v>1371</v>
      </c>
      <c r="D46" s="1397" t="s">
        <v>1372</v>
      </c>
      <c r="E46" s="1398" t="s">
        <v>1373</v>
      </c>
      <c r="F46" s="1374"/>
      <c r="G46" s="1399" t="s">
        <v>1374</v>
      </c>
      <c r="H46" s="1397" t="s">
        <v>1375</v>
      </c>
      <c r="I46" s="1398" t="s">
        <v>1376</v>
      </c>
      <c r="J46" s="1374"/>
      <c r="K46" s="1399" t="s">
        <v>1377</v>
      </c>
      <c r="L46" s="1397" t="s">
        <v>1378</v>
      </c>
      <c r="M46" s="1398" t="s">
        <v>1379</v>
      </c>
      <c r="N46" s="1398" t="s">
        <v>1379</v>
      </c>
      <c r="O46" s="1372"/>
      <c r="P46" s="2365" t="str">
        <f>IF(AND($W46&lt;&gt;0,$D46&lt;&gt;""),$W46,"")</f>
        <v/>
      </c>
      <c r="Q46" s="1347"/>
      <c r="R46" s="9"/>
      <c r="S46" s="9"/>
      <c r="T46" s="1521"/>
      <c r="X46" s="396"/>
      <c r="Y46" s="396"/>
      <c r="Z46" s="396"/>
      <c r="AA46" s="396"/>
      <c r="AD46" s="1798" t="s">
        <v>2442</v>
      </c>
    </row>
    <row r="47" spans="1:30" s="347" customFormat="1" ht="26.25" customHeight="1" x14ac:dyDescent="0.25">
      <c r="A47" s="305"/>
      <c r="B47" s="1498"/>
      <c r="C47" s="1498"/>
      <c r="D47" s="1498"/>
      <c r="E47" s="1351"/>
      <c r="F47" s="1371"/>
      <c r="G47" s="1942"/>
      <c r="H47" s="1944"/>
      <c r="I47" s="1352" t="str">
        <f>IFERROR(IF(H47&gt;0,H47*$E47*($D47-$M$39)/(INDEX(SWH_Flow_Table,MATCH($B47,SWH_Flow_Index,0),MATCH($D$56,SWH_Flow_Hdr,0))-$M$39),""),"")</f>
        <v/>
      </c>
      <c r="J47" s="1371"/>
      <c r="K47" s="1942"/>
      <c r="L47" s="1944"/>
      <c r="M47" s="1352" t="str">
        <f>IFERROR(IF(L47&gt;0,L47*$E47*($D47-$M$39)/(INDEX(SWH_Flow_Table,MATCH($B47,SWH_Flow_Index,0),MATCH($D$56,SWH_Flow_Hdr,0))-$M$39),""),"")</f>
        <v/>
      </c>
      <c r="N47" s="1894"/>
      <c r="O47" s="1402"/>
      <c r="P47" s="1686" t="s">
        <v>2214</v>
      </c>
      <c r="Q47" s="1666"/>
      <c r="R47" s="9"/>
      <c r="S47" s="9"/>
      <c r="T47" s="1802"/>
      <c r="X47" s="1823" t="s">
        <v>2536</v>
      </c>
      <c r="Y47" s="1823">
        <f>Q47</f>
        <v>0</v>
      </c>
      <c r="Z47" s="1823" t="str">
        <f>"Fixtrue type of "&amp;C47&amp;" with fixture outlet temperature of "&amp;D47&amp;" (F) and ("&amp;E47&amp;"/1) % hot water. The "&amp;C47&amp;" has a flow rate of "&amp;G47&amp;" gpm with annual total water consumption of "&amp;H47&amp;" gallons/year."</f>
        <v>Fixtrue type of  with fixture outlet temperature of  (F) and (/1) % hot water. The  has a flow rate of  gpm with annual total water consumption of  gallons/year.</v>
      </c>
      <c r="AA47" s="1823" t="str">
        <f>"Fixtrue type of "&amp;C47&amp;" with fixture outlet temperature of "&amp;D47&amp;" (F) and ("&amp;E47&amp;"/1) % hot water. The "&amp;C47&amp;" has a flow rate of "&amp;K47&amp;" gpm with annual total water consumption of "&amp;L47&amp;" gallons/year."</f>
        <v>Fixtrue type of  with fixture outlet temperature of  (F) and (/1) % hot water. The  has a flow rate of  gpm with annual total water consumption of  gallons/year.</v>
      </c>
      <c r="AD47" s="1799">
        <f>IFERROR(IF(D47-$M$39&lt;0,0,D47-$M$39),"")</f>
        <v>0</v>
      </c>
    </row>
    <row r="48" spans="1:30" s="347" customFormat="1" ht="26.25" customHeight="1" x14ac:dyDescent="0.25">
      <c r="A48" s="305"/>
      <c r="B48" s="1498"/>
      <c r="C48" s="1498"/>
      <c r="D48" s="1498"/>
      <c r="E48" s="1351"/>
      <c r="F48" s="1371"/>
      <c r="G48" s="1942"/>
      <c r="H48" s="1944"/>
      <c r="I48" s="1352" t="str">
        <f>IFERROR(IF(H48&gt;0,H48*$E48*($D48-$M$39)/(INDEX(SWH_Flow_Table,MATCH($B48,SWH_Flow_Index,0),MATCH($D$56,SWH_Flow_Hdr,0))-$M$39),""),"")</f>
        <v/>
      </c>
      <c r="J48" s="1371"/>
      <c r="K48" s="1942"/>
      <c r="L48" s="1944"/>
      <c r="M48" s="1352" t="str">
        <f>IFERROR(IF(L48&gt;0,L48*$E48*($D48-$M$39)/(INDEX(SWH_Flow_Table,MATCH($B48,SWH_Flow_Index,0),MATCH($D$56,SWH_Flow_Hdr,0))-$M$39),""),"")</f>
        <v/>
      </c>
      <c r="N48" s="1894"/>
      <c r="O48" s="1402"/>
      <c r="P48" s="1686" t="s">
        <v>2214</v>
      </c>
      <c r="Q48" s="1666"/>
      <c r="R48" s="9"/>
      <c r="S48" s="9"/>
      <c r="T48" s="1802"/>
      <c r="X48" s="1823" t="s">
        <v>2536</v>
      </c>
      <c r="Y48" s="1823">
        <f>Q48</f>
        <v>0</v>
      </c>
      <c r="Z48" s="1823" t="str">
        <f t="shared" ref="Z48:Z50" si="1">"Fixtrue type of "&amp;C48&amp;" with fixture outlet temperature of "&amp;D48&amp;" (F) and ("&amp;E48&amp;"/1) % hot water. The "&amp;C48&amp;" has a flow rate of "&amp;G48&amp;" gpm with annual total water consumption of "&amp;H48&amp;" gallons/year."</f>
        <v>Fixtrue type of  with fixture outlet temperature of  (F) and (/1) % hot water. The  has a flow rate of  gpm with annual total water consumption of  gallons/year.</v>
      </c>
      <c r="AA48" s="1823" t="str">
        <f t="shared" ref="AA48:AA50" si="2">"Fixtrue type of "&amp;C48&amp;" with fixture outlet temperature of "&amp;D48&amp;" (F) and ("&amp;E48&amp;"/1) % hot water. The "&amp;C48&amp;" has a flow rate of "&amp;K48&amp;" gpm with annual total water consumption of "&amp;L48&amp;" gallons/year."</f>
        <v>Fixtrue type of  with fixture outlet temperature of  (F) and (/1) % hot water. The  has a flow rate of  gpm with annual total water consumption of  gallons/year.</v>
      </c>
      <c r="AD48" s="1799">
        <f t="shared" ref="AD48:AD50" si="3">IFERROR(IF(D48-$M$39&lt;0,0,D48-$M$39),"")</f>
        <v>0</v>
      </c>
    </row>
    <row r="49" spans="1:30" s="347" customFormat="1" ht="26.25" customHeight="1" x14ac:dyDescent="0.25">
      <c r="A49" s="305"/>
      <c r="B49" s="1498"/>
      <c r="C49" s="1498"/>
      <c r="D49" s="1498"/>
      <c r="E49" s="1351"/>
      <c r="F49" s="1371"/>
      <c r="G49" s="1942"/>
      <c r="H49" s="1944"/>
      <c r="I49" s="1352" t="str">
        <f>IFERROR(IF(H49&gt;0,H49*$E49*($D49-$M$39)/(INDEX(SWH_Flow_Table,MATCH($B49,SWH_Flow_Index,0),MATCH($D$56,SWH_Flow_Hdr,0))-$M$39),""),"")</f>
        <v/>
      </c>
      <c r="J49" s="1371"/>
      <c r="K49" s="1942"/>
      <c r="L49" s="1944"/>
      <c r="M49" s="1352" t="str">
        <f>IFERROR(IF(L49&gt;0,L49*$E49*($D49-$M$39)/(INDEX(SWH_Flow_Table,MATCH($B49,SWH_Flow_Index,0),MATCH($D$56,SWH_Flow_Hdr,0))-$M$39),""),"")</f>
        <v/>
      </c>
      <c r="N49" s="1894"/>
      <c r="O49" s="1402"/>
      <c r="P49" s="1686" t="s">
        <v>2214</v>
      </c>
      <c r="Q49" s="1666"/>
      <c r="R49" s="9"/>
      <c r="S49" s="9"/>
      <c r="T49" s="1802"/>
      <c r="X49" s="1823" t="s">
        <v>2536</v>
      </c>
      <c r="Y49" s="1823">
        <f>Q49</f>
        <v>0</v>
      </c>
      <c r="Z49" s="1823" t="str">
        <f t="shared" si="1"/>
        <v>Fixtrue type of  with fixture outlet temperature of  (F) and (/1) % hot water. The  has a flow rate of  gpm with annual total water consumption of  gallons/year.</v>
      </c>
      <c r="AA49" s="1823" t="str">
        <f t="shared" si="2"/>
        <v>Fixtrue type of  with fixture outlet temperature of  (F) and (/1) % hot water. The  has a flow rate of  gpm with annual total water consumption of  gallons/year.</v>
      </c>
      <c r="AD49" s="1799">
        <f t="shared" si="3"/>
        <v>0</v>
      </c>
    </row>
    <row r="50" spans="1:30" s="347" customFormat="1" ht="26.25" hidden="1" customHeight="1" x14ac:dyDescent="0.25">
      <c r="A50" s="305" t="s">
        <v>807</v>
      </c>
      <c r="B50" s="1498" t="s">
        <v>3414</v>
      </c>
      <c r="C50" s="1498"/>
      <c r="D50" s="1498"/>
      <c r="E50" s="1351"/>
      <c r="F50" s="1371"/>
      <c r="G50" s="1942"/>
      <c r="H50" s="1944"/>
      <c r="I50" s="1352" t="str">
        <f>IFERROR(IF(H50&gt;0,H50*$E50*($D50-$M$39)/(INDEX(SWH_Flow_Table,MATCH($B50,SWH_Flow_Index,0),MATCH($D$56,SWH_Flow_Hdr,0))-$M$39),""),"")</f>
        <v/>
      </c>
      <c r="J50" s="1371"/>
      <c r="K50" s="1942"/>
      <c r="L50" s="1944"/>
      <c r="M50" s="1352" t="str">
        <f>IFERROR(IF(L50&gt;0,L50*$E50*($D50-$M$39)/(INDEX(SWH_Flow_Table,MATCH($B50,SWH_Flow_Index,0),MATCH($D$56,SWH_Flow_Hdr,0))-$M$39),""),"")</f>
        <v/>
      </c>
      <c r="N50" s="1894"/>
      <c r="O50" s="1402"/>
      <c r="P50" s="1686" t="s">
        <v>2214</v>
      </c>
      <c r="Q50" s="1666"/>
      <c r="R50" s="9"/>
      <c r="S50" s="9"/>
      <c r="T50" s="1802"/>
      <c r="X50" s="1823" t="s">
        <v>2536</v>
      </c>
      <c r="Y50" s="1823">
        <f>Q50</f>
        <v>0</v>
      </c>
      <c r="Z50" s="1823" t="str">
        <f t="shared" si="1"/>
        <v>Fixtrue type of  with fixture outlet temperature of  (F) and (/1) % hot water. The  has a flow rate of  gpm with annual total water consumption of  gallons/year.</v>
      </c>
      <c r="AA50" s="1823" t="str">
        <f t="shared" si="2"/>
        <v>Fixtrue type of  with fixture outlet temperature of  (F) and (/1) % hot water. The  has a flow rate of  gpm with annual total water consumption of  gallons/year.</v>
      </c>
      <c r="AD50" s="1799">
        <f t="shared" si="3"/>
        <v>0</v>
      </c>
    </row>
    <row r="51" spans="1:30" s="347" customFormat="1" ht="51" customHeight="1" x14ac:dyDescent="0.25">
      <c r="A51" s="304" t="s">
        <v>1038</v>
      </c>
      <c r="B51" s="952"/>
      <c r="C51" s="952"/>
      <c r="D51" s="952"/>
      <c r="E51" s="952"/>
      <c r="F51" s="952"/>
      <c r="G51" s="1943"/>
      <c r="H51" s="2116"/>
      <c r="I51" s="393"/>
      <c r="J51" s="393"/>
      <c r="K51" s="1943"/>
      <c r="L51" s="2116"/>
      <c r="M51" s="393"/>
      <c r="N51" s="1511"/>
      <c r="O51" s="1511"/>
      <c r="P51" s="1511"/>
      <c r="Q51" s="1511"/>
      <c r="T51" s="1521"/>
      <c r="X51" s="396"/>
      <c r="Y51" s="396"/>
      <c r="Z51" s="396"/>
      <c r="AA51" s="396"/>
    </row>
    <row r="52" spans="1:30" s="347" customFormat="1" ht="35.25" customHeight="1" x14ac:dyDescent="0.25">
      <c r="A52" s="304"/>
      <c r="B52" s="196" t="s">
        <v>2399</v>
      </c>
      <c r="C52" s="339"/>
      <c r="D52" s="339"/>
      <c r="E52" s="339"/>
      <c r="F52" s="339"/>
      <c r="G52" s="1511"/>
      <c r="H52" s="1511"/>
      <c r="I52" s="393"/>
      <c r="J52" s="393"/>
      <c r="K52" s="1511"/>
      <c r="L52" s="1511"/>
      <c r="M52" s="393"/>
      <c r="T52" s="1521"/>
      <c r="X52" s="396"/>
      <c r="Y52" s="396"/>
      <c r="Z52" s="396"/>
      <c r="AA52" s="396"/>
    </row>
    <row r="53" spans="1:30" s="1496" customFormat="1" ht="70.2" customHeight="1" x14ac:dyDescent="0.25">
      <c r="A53" s="304" t="s">
        <v>1038</v>
      </c>
      <c r="B53" s="3433" t="s">
        <v>253</v>
      </c>
      <c r="C53" s="3433"/>
      <c r="D53" s="3430"/>
      <c r="E53" s="3436"/>
      <c r="F53" s="1421"/>
      <c r="G53" s="3432" t="str">
        <f>"Baseline"&amp;"-"&amp;'General Information'!$H$49</f>
        <v>Baseline-</v>
      </c>
      <c r="H53" s="3433"/>
      <c r="I53" s="3430"/>
      <c r="J53" s="3434"/>
      <c r="K53" s="3432" t="s">
        <v>2682</v>
      </c>
      <c r="L53" s="3433"/>
      <c r="M53" s="3430"/>
      <c r="N53" s="3438" t="str">
        <f>"Prescriptive Requirement of "&amp;'General Information'!H55&amp;" Applicable to App. G Baseline"</f>
        <v>Prescriptive Requirement of ASHRAE 90.1-2016 Applicable to App. G Baseline</v>
      </c>
      <c r="O53" s="3439"/>
      <c r="P53" s="3390" t="s">
        <v>2544</v>
      </c>
      <c r="T53" s="1521"/>
      <c r="X53" s="339"/>
      <c r="Y53" s="339"/>
      <c r="Z53" s="339"/>
      <c r="AA53" s="339"/>
    </row>
    <row r="54" spans="1:30" s="1496" customFormat="1" ht="10.050000000000001" customHeight="1" x14ac:dyDescent="0.25">
      <c r="A54" s="304"/>
      <c r="B54" s="3433"/>
      <c r="C54" s="3433"/>
      <c r="D54" s="3430"/>
      <c r="E54" s="3482"/>
      <c r="F54" s="1661"/>
      <c r="G54" s="3432"/>
      <c r="H54" s="3433"/>
      <c r="I54" s="3430"/>
      <c r="J54" s="3485"/>
      <c r="K54" s="3432"/>
      <c r="L54" s="3433"/>
      <c r="M54" s="3430"/>
      <c r="N54" s="3701" t="str">
        <f>"In accordance with Prescriptive Requirements of 90.1-2016 Section 7.5"</f>
        <v>In accordance with Prescriptive Requirements of 90.1-2016 Section 7.5</v>
      </c>
      <c r="O54" s="3702"/>
      <c r="P54" s="3441"/>
      <c r="T54" s="1521"/>
      <c r="X54" s="339"/>
      <c r="Y54" s="339"/>
      <c r="Z54" s="339"/>
      <c r="AA54" s="339"/>
    </row>
    <row r="55" spans="1:30" s="1496" customFormat="1" ht="66" x14ac:dyDescent="0.25">
      <c r="A55" s="304" t="s">
        <v>1038</v>
      </c>
      <c r="B55" s="1491" t="s">
        <v>1087</v>
      </c>
      <c r="C55" s="1491" t="s">
        <v>1277</v>
      </c>
      <c r="D55" s="1503" t="str">
        <f>CONCATENATE("DHW Supply Temperature from Water Heater",IF(SI_IP_Units="IP"," (deg. F)"," (deg. C)"))</f>
        <v>DHW Supply Temperature from Water Heater (deg. F)</v>
      </c>
      <c r="E55" s="3482"/>
      <c r="F55" s="1661"/>
      <c r="G55" s="1491" t="str">
        <f>CONCATENATE("Modeled DHW Flow Rate ",IF(SI_IP_Units="IP","gallons/minute","Liters/second"))</f>
        <v>Modeled DHW Flow Rate gallons/minute</v>
      </c>
      <c r="H55" s="1491" t="str">
        <f>CONCATENATE("Total Annual Hot Water Consumption at Fixtures",IF(SI_IP_Units="IP"," (gallons/year)"," (Liters/year)"))</f>
        <v>Total Annual Hot Water Consumption at Fixtures (gallons/year)</v>
      </c>
      <c r="I55" s="1491" t="str">
        <f>CONCATENATE("Total Annual DHW Heater Consumption",IF(SI_IP_Units="IP"," (gallons/year)"," (Liters/year)"))</f>
        <v>Total Annual DHW Heater Consumption (gallons/year)</v>
      </c>
      <c r="J55" s="3485"/>
      <c r="K55" s="1491" t="str">
        <f>CONCATENATE("Modeled DHW Flow Rate ",IF(SI_IP_Units="IP","gallons/minute","Liters/second"))</f>
        <v>Modeled DHW Flow Rate gallons/minute</v>
      </c>
      <c r="L55" s="1491" t="str">
        <f>CONCATENATE("Total Annual Hot Water Consumption at Fixtures",IF(SI_IP_Units="IP"," (gallons/year)"," (Liters/year)"))</f>
        <v>Total Annual Hot Water Consumption at Fixtures (gallons/year)</v>
      </c>
      <c r="M55" s="1503" t="str">
        <f>CONCATENATE("Total Annual DHW Heater Consumption",IF(SI_IP_Units="IP"," (gallons/year)"," (Liters/year)"))</f>
        <v>Total Annual DHW Heater Consumption (gallons/year)</v>
      </c>
      <c r="N55" s="3703"/>
      <c r="O55" s="3704"/>
      <c r="P55" s="3443"/>
      <c r="T55" s="1521"/>
      <c r="X55" s="339"/>
      <c r="Y55" s="339"/>
      <c r="Z55" s="339"/>
      <c r="AA55" s="339"/>
    </row>
    <row r="56" spans="1:30" s="1496" customFormat="1" ht="25.5" hidden="1" customHeight="1" x14ac:dyDescent="0.25">
      <c r="A56" s="394"/>
      <c r="B56" s="1397" t="s">
        <v>1087</v>
      </c>
      <c r="C56" s="1397" t="s">
        <v>1299</v>
      </c>
      <c r="D56" s="1398" t="s">
        <v>1286</v>
      </c>
      <c r="E56" s="3482"/>
      <c r="F56" s="1401"/>
      <c r="G56" s="1397" t="s">
        <v>1382</v>
      </c>
      <c r="H56" s="1397" t="s">
        <v>1380</v>
      </c>
      <c r="I56" s="1397" t="s">
        <v>1381</v>
      </c>
      <c r="J56" s="3485"/>
      <c r="K56" s="1397" t="s">
        <v>1385</v>
      </c>
      <c r="L56" s="1397" t="s">
        <v>1383</v>
      </c>
      <c r="M56" s="1397" t="s">
        <v>1384</v>
      </c>
      <c r="N56" s="1372"/>
      <c r="O56" s="1875"/>
      <c r="P56" s="1667"/>
      <c r="T56" s="1521"/>
      <c r="X56" s="339"/>
      <c r="Y56" s="339"/>
      <c r="Z56" s="339"/>
      <c r="AA56" s="339"/>
    </row>
    <row r="57" spans="1:30" s="1496" customFormat="1" ht="24" customHeight="1" x14ac:dyDescent="0.25">
      <c r="A57" s="305"/>
      <c r="B57" s="1344">
        <f>GI_Project_Name</f>
        <v>0</v>
      </c>
      <c r="C57" s="1865">
        <f>'2a - Schedules'!$E$12</f>
        <v>2628</v>
      </c>
      <c r="D57" s="1652">
        <f>K23</f>
        <v>0</v>
      </c>
      <c r="E57" s="1668"/>
      <c r="F57" s="1400"/>
      <c r="G57" s="1924" t="str">
        <f ca="1">IFERROR(IF(SI_IP_Units="IP",I57/$C57/60,I57/$C57/60/60),"")</f>
        <v/>
      </c>
      <c r="H57" s="2117">
        <f ca="1">IFERROR(SUMIF(SWH_Fixture_Index,$B57,(OFFSET(SWH_Fixture_Index,0,MATCH($I$46,SWH_Fixture_Hdr,0)-1,ROWS(SWH_Fixture_Table),1))),"")</f>
        <v>0</v>
      </c>
      <c r="I57" s="2118" t="str">
        <f ca="1">IFERROR(SUMPRODUCT(OFFSET(SWH_Fixture_Index,0,MATCH($I$46,SWH_Fixture_Hdr,0)-1,ROWS(SWH_Fixture_Index),1),OFFSET(SWH_Fixture_Index,0,MATCH($AD$46,SWH_Fixture_Hdr,0)-1,ROWS(SWH_Fixture_Index),1),--(SWH_Fixture_Index=$B57))/($D57*$M$39/$D57/$M$39*($D57-$M$39)),"")</f>
        <v/>
      </c>
      <c r="J57" s="1662"/>
      <c r="K57" s="408" t="str">
        <f ca="1">IFERROR(IF(SI_IP_Units="IP",M57/$C57/60,M57/$C57/60/60),"")</f>
        <v/>
      </c>
      <c r="L57" s="2099">
        <f ca="1">IFERROR(SUMIF(SWH_Fixture_Index,$B57,(OFFSET(SWH_Fixture_Index,0,MATCH($M$46,SWH_Fixture_Hdr,0)-1,ROWS(SWH_Fixture_Table),1))),"")</f>
        <v>0</v>
      </c>
      <c r="M57" s="2119" t="str">
        <f ca="1">IFERROR(SUMPRODUCT(OFFSET(SWH_Fixture_Index,0,MATCH($M$46,SWH_Fixture_Hdr,0)-1,ROWS(SWH_Fixture_Index),1),OFFSET(SWH_Fixture_Index,0,MATCH($AD$46,SWH_Fixture_Hdr,0)-1,ROWS(SWH_Fixture_Index),1),--(SWH_Fixture_Index=$B57))/($D57*$M$39/$D57/$M$39*($D57-$M$39)),"")</f>
        <v/>
      </c>
      <c r="N57" s="3693" t="s">
        <v>2214</v>
      </c>
      <c r="O57" s="3694"/>
      <c r="P57" s="1667"/>
      <c r="T57" s="1802"/>
      <c r="X57" s="1823" t="s">
        <v>2537</v>
      </c>
      <c r="Y57" s="1825">
        <f>P57</f>
        <v>0</v>
      </c>
      <c r="Z57" s="1823" t="str">
        <f ca="1">"Low flow fixture total modeled DHW flow rate is "&amp;G57&amp;" gallons/minute with total annual hot water consumption st fixtures of "&amp;H57&amp;" gallons/year. The total annual DHW heater consumption is "&amp;I57&amp;" gallons/year."</f>
        <v>Low flow fixture total modeled DHW flow rate is  gallons/minute with total annual hot water consumption st fixtures of 0 gallons/year. The total annual DHW heater consumption is  gallons/year.</v>
      </c>
      <c r="AA57" s="1823" t="str">
        <f ca="1">"Low flow fixture total modeled DHW flow rate is "&amp;K57&amp;" gallons/minute with total annual hot water consumption st fixtures of "&amp;L57&amp;" gallons/year. The total annual DHW heater consumption is "&amp;M57&amp;" gallons/year."</f>
        <v>Low flow fixture total modeled DHW flow rate is  gallons/minute with total annual hot water consumption st fixtures of 0 gallons/year. The total annual DHW heater consumption is  gallons/year.</v>
      </c>
    </row>
    <row r="58" spans="1:30" s="1496" customFormat="1" ht="40.049999999999997" customHeight="1" x14ac:dyDescent="0.25">
      <c r="A58" s="305" t="s">
        <v>1038</v>
      </c>
      <c r="B58" s="678"/>
      <c r="C58" s="679"/>
      <c r="D58" s="683"/>
      <c r="E58" s="683"/>
      <c r="F58" s="684"/>
      <c r="G58" s="680"/>
      <c r="H58" s="681"/>
      <c r="I58" s="682"/>
      <c r="J58" s="353"/>
      <c r="K58" s="680"/>
      <c r="L58" s="681"/>
      <c r="M58" s="682"/>
      <c r="N58" s="1495"/>
      <c r="O58" s="1495"/>
      <c r="P58" s="1495"/>
      <c r="Q58" s="1495"/>
      <c r="R58" s="1495"/>
      <c r="T58" s="1521"/>
      <c r="X58" s="339"/>
      <c r="Y58" s="339"/>
      <c r="Z58" s="339"/>
      <c r="AA58" s="339"/>
    </row>
    <row r="59" spans="1:30" s="1496" customFormat="1" ht="22.5" customHeight="1" x14ac:dyDescent="0.25">
      <c r="A59" s="304" t="s">
        <v>1038</v>
      </c>
      <c r="B59" s="3572" t="s">
        <v>20</v>
      </c>
      <c r="C59" s="3572"/>
      <c r="D59" s="3572"/>
      <c r="E59" s="3572"/>
      <c r="F59" s="3572"/>
      <c r="G59" s="3572"/>
      <c r="H59" s="3572"/>
      <c r="I59" s="3572"/>
      <c r="J59" s="3572"/>
      <c r="K59" s="3572"/>
      <c r="L59" s="3572"/>
      <c r="M59" s="3572"/>
      <c r="T59" s="1521"/>
      <c r="X59" s="339"/>
      <c r="Y59" s="339"/>
      <c r="Z59" s="339"/>
      <c r="AA59" s="339"/>
    </row>
    <row r="60" spans="1:30" s="1496" customFormat="1" ht="20.25" customHeight="1" x14ac:dyDescent="0.25">
      <c r="A60" s="304" t="s">
        <v>1038</v>
      </c>
      <c r="B60" s="3458"/>
      <c r="C60" s="3458"/>
      <c r="D60" s="3458"/>
      <c r="E60" s="3458"/>
      <c r="F60" s="3458"/>
      <c r="G60" s="3458"/>
      <c r="H60" s="3458"/>
      <c r="I60" s="3458"/>
      <c r="J60" s="3458"/>
      <c r="K60" s="3458"/>
      <c r="L60" s="3458"/>
      <c r="M60" s="3458"/>
      <c r="T60" s="1521"/>
      <c r="X60" s="339"/>
      <c r="Y60" s="339"/>
      <c r="Z60" s="339"/>
      <c r="AA60" s="339"/>
    </row>
    <row r="61" spans="1:30" s="1496" customFormat="1" ht="30" customHeight="1" x14ac:dyDescent="0.25">
      <c r="A61" s="339"/>
      <c r="B61" s="339"/>
      <c r="C61" s="339"/>
      <c r="D61" s="339"/>
      <c r="E61" s="339"/>
      <c r="F61" s="339"/>
      <c r="G61" s="339"/>
      <c r="H61" s="339"/>
      <c r="I61" s="339"/>
      <c r="J61" s="339"/>
      <c r="K61" s="339"/>
      <c r="L61" s="339"/>
      <c r="M61" s="339"/>
      <c r="T61" s="1521"/>
      <c r="X61" s="339"/>
      <c r="Y61" s="339"/>
      <c r="Z61" s="339"/>
      <c r="AA61" s="339"/>
    </row>
    <row r="62" spans="1:30" s="1496" customFormat="1" ht="23.25" customHeight="1" x14ac:dyDescent="0.25">
      <c r="A62" s="339"/>
      <c r="B62" s="339"/>
      <c r="C62" s="339"/>
      <c r="D62" s="339"/>
      <c r="E62" s="339"/>
      <c r="F62" s="339"/>
      <c r="G62" s="339"/>
      <c r="H62" s="339"/>
      <c r="J62" s="339"/>
      <c r="K62" s="339"/>
      <c r="L62" s="339"/>
      <c r="M62" s="339"/>
      <c r="T62" s="1521"/>
      <c r="X62" s="339"/>
      <c r="Y62" s="339"/>
      <c r="Z62" s="339"/>
      <c r="AA62" s="339"/>
    </row>
    <row r="63" spans="1:30" s="1496" customFormat="1" ht="30" customHeight="1" x14ac:dyDescent="0.25">
      <c r="A63" s="339"/>
      <c r="B63" s="339"/>
      <c r="C63" s="339"/>
      <c r="D63" s="339"/>
      <c r="E63" s="339"/>
      <c r="F63" s="339"/>
      <c r="G63" s="339"/>
      <c r="H63" s="339"/>
      <c r="J63" s="339"/>
      <c r="K63" s="339"/>
      <c r="L63" s="339"/>
      <c r="M63" s="339"/>
      <c r="T63" s="1521"/>
      <c r="X63" s="339"/>
      <c r="Y63" s="339"/>
      <c r="Z63" s="339"/>
      <c r="AA63" s="339"/>
    </row>
    <row r="64" spans="1:30" s="1496" customFormat="1" ht="45" customHeight="1" x14ac:dyDescent="0.25">
      <c r="A64" s="339"/>
      <c r="B64" s="339"/>
      <c r="C64" s="339"/>
      <c r="D64" s="339"/>
      <c r="E64" s="339"/>
      <c r="F64" s="339"/>
      <c r="G64" s="339"/>
      <c r="H64" s="339"/>
      <c r="J64" s="339"/>
      <c r="K64" s="339"/>
      <c r="L64" s="339"/>
      <c r="M64" s="339"/>
      <c r="T64" s="1521"/>
      <c r="X64" s="339"/>
      <c r="Y64" s="339"/>
      <c r="Z64" s="339"/>
      <c r="AA64" s="339"/>
    </row>
    <row r="65" spans="1:27" s="1496" customFormat="1" ht="30" customHeight="1" x14ac:dyDescent="0.25">
      <c r="A65" s="339"/>
      <c r="B65" s="339"/>
      <c r="C65" s="339"/>
      <c r="D65" s="339"/>
      <c r="E65" s="339"/>
      <c r="F65" s="339"/>
      <c r="G65" s="339"/>
      <c r="H65" s="339"/>
      <c r="I65" s="339"/>
      <c r="J65" s="339"/>
      <c r="K65" s="339"/>
      <c r="L65" s="339"/>
      <c r="M65" s="339"/>
      <c r="T65" s="1521"/>
      <c r="X65" s="339"/>
      <c r="Y65" s="339"/>
      <c r="Z65" s="339"/>
      <c r="AA65" s="339"/>
    </row>
    <row r="66" spans="1:27" s="1496" customFormat="1" ht="30" customHeight="1" x14ac:dyDescent="0.25">
      <c r="A66" s="305"/>
      <c r="B66" s="339"/>
      <c r="C66" s="339"/>
      <c r="D66" s="339"/>
      <c r="E66" s="339"/>
      <c r="F66" s="339"/>
      <c r="G66" s="339"/>
      <c r="H66" s="339"/>
      <c r="I66" s="339"/>
      <c r="J66" s="339"/>
      <c r="K66" s="339"/>
      <c r="L66" s="339"/>
      <c r="M66" s="339"/>
      <c r="T66" s="1521"/>
      <c r="X66" s="339"/>
      <c r="Y66" s="339"/>
      <c r="Z66" s="339"/>
      <c r="AA66" s="339"/>
    </row>
    <row r="67" spans="1:27" s="1496" customFormat="1" ht="30" customHeight="1" x14ac:dyDescent="0.25">
      <c r="A67" s="305"/>
      <c r="B67" s="339"/>
      <c r="C67" s="339"/>
      <c r="D67" s="339"/>
      <c r="E67" s="339"/>
      <c r="F67" s="339"/>
      <c r="G67" s="339"/>
      <c r="H67" s="339"/>
      <c r="I67" s="339"/>
      <c r="J67" s="339"/>
      <c r="K67" s="339"/>
      <c r="L67" s="339"/>
      <c r="M67" s="339"/>
      <c r="T67" s="1521"/>
      <c r="X67" s="339"/>
      <c r="Y67" s="339"/>
      <c r="Z67" s="339"/>
      <c r="AA67" s="339"/>
    </row>
    <row r="68" spans="1:27" s="339" customFormat="1" ht="30" customHeight="1" x14ac:dyDescent="0.25">
      <c r="A68" s="304" t="s">
        <v>1038</v>
      </c>
      <c r="T68" s="1521"/>
    </row>
    <row r="69" spans="1:27" s="347" customFormat="1" ht="22.5" customHeight="1" x14ac:dyDescent="0.25">
      <c r="A69" s="304"/>
      <c r="B69" s="339"/>
      <c r="C69" s="339"/>
      <c r="D69" s="339"/>
      <c r="E69" s="339"/>
      <c r="F69" s="339"/>
      <c r="G69" s="339"/>
      <c r="H69" s="339"/>
      <c r="I69" s="339"/>
      <c r="J69" s="339"/>
      <c r="K69" s="339"/>
      <c r="L69" s="339"/>
      <c r="M69" s="339"/>
      <c r="N69" s="9"/>
      <c r="O69" s="9"/>
      <c r="P69" s="9"/>
      <c r="Q69" s="9"/>
      <c r="R69" s="9"/>
      <c r="S69" s="9"/>
      <c r="T69" s="1521"/>
      <c r="X69" s="396"/>
      <c r="Y69" s="396"/>
      <c r="Z69" s="396"/>
      <c r="AA69" s="396"/>
    </row>
    <row r="70" spans="1:27" s="347" customFormat="1" ht="26.25" customHeight="1" x14ac:dyDescent="0.25">
      <c r="A70" s="304" t="s">
        <v>1038</v>
      </c>
      <c r="B70" s="339"/>
      <c r="C70" s="339"/>
      <c r="D70" s="339"/>
      <c r="E70" s="339"/>
      <c r="F70" s="339"/>
      <c r="G70" s="339"/>
      <c r="H70" s="339"/>
      <c r="I70" s="339"/>
      <c r="J70" s="339"/>
      <c r="K70" s="339"/>
      <c r="L70" s="339"/>
      <c r="M70" s="339"/>
      <c r="N70" s="9"/>
      <c r="O70" s="9"/>
      <c r="P70" s="9"/>
      <c r="Q70" s="9"/>
      <c r="R70" s="9"/>
      <c r="S70" s="9"/>
      <c r="T70" s="1521"/>
      <c r="X70" s="396"/>
      <c r="Y70" s="396"/>
      <c r="Z70" s="396"/>
      <c r="AA70" s="396"/>
    </row>
    <row r="71" spans="1:27" s="1496" customFormat="1" ht="21" customHeight="1" x14ac:dyDescent="0.25">
      <c r="A71" s="304" t="s">
        <v>1038</v>
      </c>
      <c r="B71" s="339"/>
      <c r="C71" s="339"/>
      <c r="D71" s="339"/>
      <c r="E71" s="339"/>
      <c r="F71" s="339"/>
      <c r="G71" s="339"/>
      <c r="H71" s="339"/>
      <c r="I71" s="339"/>
      <c r="J71" s="339"/>
      <c r="K71" s="339"/>
      <c r="L71" s="339"/>
      <c r="M71" s="339"/>
      <c r="T71" s="1521"/>
      <c r="X71" s="339"/>
      <c r="Y71" s="339"/>
      <c r="Z71" s="339"/>
      <c r="AA71" s="339"/>
    </row>
    <row r="72" spans="1:27" s="347" customFormat="1" ht="26.25" customHeight="1" x14ac:dyDescent="0.25">
      <c r="A72" s="304" t="s">
        <v>1038</v>
      </c>
      <c r="B72" s="339"/>
      <c r="C72" s="339"/>
      <c r="D72" s="339"/>
      <c r="E72" s="339"/>
      <c r="F72" s="339"/>
      <c r="G72" s="339"/>
      <c r="H72" s="339"/>
      <c r="I72" s="339"/>
      <c r="J72" s="339"/>
      <c r="K72" s="339"/>
      <c r="L72" s="339"/>
      <c r="M72" s="339"/>
      <c r="T72" s="1521"/>
      <c r="X72" s="396"/>
      <c r="Y72" s="396"/>
      <c r="Z72" s="396"/>
      <c r="AA72" s="396"/>
    </row>
    <row r="73" spans="1:27" s="3" customFormat="1" ht="96" customHeight="1" x14ac:dyDescent="0.25">
      <c r="A73" s="304"/>
      <c r="B73" s="339"/>
      <c r="C73" s="339"/>
      <c r="D73" s="339"/>
      <c r="E73" s="339"/>
      <c r="F73" s="339"/>
      <c r="G73" s="339"/>
      <c r="H73" s="339"/>
      <c r="I73" s="339"/>
      <c r="J73" s="339"/>
      <c r="K73" s="339"/>
      <c r="L73" s="339"/>
      <c r="M73" s="339"/>
      <c r="T73" s="2146"/>
      <c r="X73" s="4"/>
      <c r="Y73" s="4"/>
      <c r="Z73" s="4"/>
      <c r="AA73" s="4"/>
    </row>
    <row r="74" spans="1:27" s="19" customFormat="1" ht="15" customHeight="1" x14ac:dyDescent="0.25">
      <c r="A74" s="305"/>
      <c r="B74" s="339"/>
      <c r="C74" s="339"/>
      <c r="D74" s="339"/>
      <c r="E74" s="339"/>
      <c r="F74" s="339"/>
      <c r="G74" s="339"/>
      <c r="H74" s="339"/>
      <c r="I74" s="339"/>
      <c r="J74" s="339"/>
      <c r="K74" s="339"/>
      <c r="L74" s="339"/>
      <c r="M74" s="339"/>
      <c r="T74" s="2146"/>
      <c r="X74" s="12"/>
      <c r="Y74" s="12"/>
      <c r="Z74" s="12"/>
      <c r="AA74" s="12"/>
    </row>
    <row r="75" spans="1:27" s="19" customFormat="1" ht="15" customHeight="1" x14ac:dyDescent="0.25">
      <c r="A75" s="305"/>
      <c r="B75" s="339"/>
      <c r="C75" s="339"/>
      <c r="D75" s="339"/>
      <c r="E75" s="339"/>
      <c r="F75" s="339"/>
      <c r="G75" s="339"/>
      <c r="H75" s="339"/>
      <c r="I75" s="339"/>
      <c r="J75" s="339"/>
      <c r="K75" s="339"/>
      <c r="L75" s="339"/>
      <c r="M75" s="339"/>
      <c r="T75" s="2146"/>
      <c r="X75" s="12"/>
      <c r="Y75" s="12"/>
      <c r="Z75" s="12"/>
      <c r="AA75" s="12"/>
    </row>
    <row r="76" spans="1:27" s="19" customFormat="1" ht="15" customHeight="1" x14ac:dyDescent="0.25">
      <c r="A76" s="305"/>
      <c r="B76" s="339"/>
      <c r="C76" s="339"/>
      <c r="D76" s="339"/>
      <c r="E76" s="339"/>
      <c r="F76" s="339"/>
      <c r="G76" s="339"/>
      <c r="H76" s="339"/>
      <c r="I76" s="339"/>
      <c r="J76" s="339"/>
      <c r="K76" s="339"/>
      <c r="L76" s="339"/>
      <c r="M76" s="339"/>
      <c r="T76" s="2146"/>
      <c r="X76" s="12"/>
      <c r="Y76" s="12"/>
      <c r="Z76" s="12"/>
      <c r="AA76" s="12"/>
    </row>
    <row r="77" spans="1:27" s="19" customFormat="1" ht="15" customHeight="1" x14ac:dyDescent="0.25">
      <c r="A77" s="305"/>
      <c r="B77" s="339"/>
      <c r="C77" s="339"/>
      <c r="D77" s="339"/>
      <c r="E77" s="339"/>
      <c r="F77" s="339"/>
      <c r="G77" s="339"/>
      <c r="H77" s="339"/>
      <c r="I77" s="339"/>
      <c r="J77" s="339"/>
      <c r="K77" s="339"/>
      <c r="L77" s="339"/>
      <c r="M77" s="339"/>
      <c r="T77" s="2146"/>
      <c r="X77" s="12"/>
      <c r="Y77" s="12"/>
      <c r="Z77" s="12"/>
      <c r="AA77" s="12"/>
    </row>
    <row r="78" spans="1:27" s="19" customFormat="1" ht="15" customHeight="1" x14ac:dyDescent="0.25">
      <c r="A78" s="305"/>
      <c r="B78" s="339"/>
      <c r="C78" s="339"/>
      <c r="D78" s="339"/>
      <c r="E78" s="339"/>
      <c r="F78" s="339"/>
      <c r="G78" s="339"/>
      <c r="H78" s="339"/>
      <c r="I78" s="339"/>
      <c r="J78" s="339"/>
      <c r="K78" s="339"/>
      <c r="L78" s="339"/>
      <c r="M78" s="339"/>
      <c r="T78" s="2146"/>
      <c r="X78" s="12"/>
      <c r="Y78" s="12"/>
      <c r="Z78" s="12"/>
      <c r="AA78" s="12"/>
    </row>
    <row r="79" spans="1:27" s="19" customFormat="1" ht="15" customHeight="1" x14ac:dyDescent="0.25">
      <c r="A79" s="305"/>
      <c r="B79" s="339"/>
      <c r="C79" s="339"/>
      <c r="D79" s="339"/>
      <c r="E79" s="339"/>
      <c r="F79" s="339"/>
      <c r="G79" s="339"/>
      <c r="H79" s="339"/>
      <c r="I79" s="339"/>
      <c r="J79" s="339"/>
      <c r="K79" s="339"/>
      <c r="L79" s="339"/>
      <c r="M79" s="339"/>
      <c r="T79" s="2146"/>
      <c r="X79" s="12"/>
      <c r="Y79" s="12"/>
      <c r="Z79" s="12"/>
      <c r="AA79" s="12"/>
    </row>
    <row r="80" spans="1:27" s="19" customFormat="1" ht="20.25" customHeight="1" x14ac:dyDescent="0.25">
      <c r="A80" s="304" t="s">
        <v>1038</v>
      </c>
      <c r="B80" s="339"/>
      <c r="C80" s="339"/>
      <c r="D80" s="339"/>
      <c r="E80" s="339"/>
      <c r="F80" s="339"/>
      <c r="G80" s="339"/>
      <c r="H80" s="339"/>
      <c r="I80" s="339"/>
      <c r="J80" s="339"/>
      <c r="K80" s="339"/>
      <c r="L80" s="339"/>
      <c r="M80" s="339"/>
      <c r="T80" s="2146"/>
      <c r="X80" s="12"/>
      <c r="Y80" s="12"/>
      <c r="Z80" s="12"/>
      <c r="AA80" s="12"/>
    </row>
    <row r="81" spans="1:27" ht="20.25" customHeight="1" x14ac:dyDescent="0.25">
      <c r="A81" s="304" t="s">
        <v>1038</v>
      </c>
      <c r="B81" s="339"/>
      <c r="C81" s="339"/>
      <c r="D81" s="339"/>
      <c r="E81" s="339"/>
      <c r="F81" s="339"/>
      <c r="G81" s="339"/>
      <c r="H81" s="339"/>
      <c r="I81" s="339"/>
      <c r="J81" s="339"/>
      <c r="K81" s="339"/>
      <c r="L81" s="339"/>
      <c r="M81" s="339"/>
    </row>
    <row r="82" spans="1:27" ht="20.25" customHeight="1" x14ac:dyDescent="0.25">
      <c r="A82" s="304" t="s">
        <v>1038</v>
      </c>
      <c r="B82" s="339"/>
      <c r="C82" s="339"/>
      <c r="D82" s="339"/>
      <c r="E82" s="339"/>
      <c r="F82" s="339"/>
      <c r="G82" s="339"/>
      <c r="H82" s="339"/>
      <c r="I82" s="339"/>
      <c r="J82" s="339"/>
      <c r="K82" s="339"/>
      <c r="L82" s="339"/>
      <c r="M82" s="339"/>
    </row>
    <row r="83" spans="1:27" ht="38.25" customHeight="1" x14ac:dyDescent="0.25">
      <c r="A83" s="304" t="s">
        <v>1038</v>
      </c>
      <c r="B83" s="390"/>
      <c r="C83" s="390"/>
      <c r="D83" s="390"/>
      <c r="E83" s="390"/>
      <c r="F83" s="390"/>
      <c r="G83" s="390"/>
      <c r="H83" s="390"/>
      <c r="I83" s="390"/>
      <c r="J83" s="390"/>
      <c r="K83" s="390"/>
      <c r="L83" s="390"/>
      <c r="M83" s="339"/>
    </row>
    <row r="84" spans="1:27" s="3" customFormat="1" ht="21" customHeight="1" x14ac:dyDescent="0.25">
      <c r="A84" s="304" t="s">
        <v>1038</v>
      </c>
      <c r="B84" s="22"/>
      <c r="C84" s="22"/>
      <c r="D84" s="22"/>
      <c r="E84" s="22"/>
      <c r="F84" s="22"/>
      <c r="G84" s="22"/>
      <c r="H84" s="22"/>
      <c r="I84" s="22"/>
      <c r="J84" s="22"/>
      <c r="K84" s="389"/>
      <c r="L84" s="389"/>
      <c r="M84" s="4"/>
      <c r="T84" s="2146"/>
      <c r="X84" s="4"/>
      <c r="Y84" s="4"/>
      <c r="Z84" s="4"/>
      <c r="AA84" s="4"/>
    </row>
    <row r="85" spans="1:27" s="3" customFormat="1" ht="20.25" customHeight="1" x14ac:dyDescent="0.25">
      <c r="A85" s="304" t="s">
        <v>1038</v>
      </c>
      <c r="B85" s="3726"/>
      <c r="C85" s="3726"/>
      <c r="D85" s="3726"/>
      <c r="E85" s="3726"/>
      <c r="F85" s="3726"/>
      <c r="G85" s="3726"/>
      <c r="H85" s="3726"/>
      <c r="I85" s="3726"/>
      <c r="J85" s="3726"/>
      <c r="K85" s="3726"/>
      <c r="L85" s="3726"/>
      <c r="T85" s="2146"/>
      <c r="X85" s="4"/>
      <c r="Y85" s="4"/>
      <c r="Z85" s="4"/>
      <c r="AA85" s="4"/>
    </row>
    <row r="86" spans="1:27" s="3" customFormat="1" ht="21" customHeight="1" x14ac:dyDescent="0.25">
      <c r="A86" s="304" t="s">
        <v>1038</v>
      </c>
      <c r="B86" s="3741"/>
      <c r="C86" s="3741"/>
      <c r="D86" s="3741"/>
      <c r="E86" s="3741"/>
      <c r="F86" s="3741"/>
      <c r="G86" s="3741"/>
      <c r="H86" s="3741"/>
      <c r="I86" s="3741"/>
      <c r="J86" s="3741"/>
      <c r="K86" s="3741"/>
      <c r="L86" s="3741"/>
      <c r="T86" s="2146"/>
      <c r="X86" s="4"/>
      <c r="Y86" s="4"/>
      <c r="Z86" s="4"/>
      <c r="AA86" s="4"/>
    </row>
    <row r="87" spans="1:27" x14ac:dyDescent="0.25">
      <c r="B87" s="386"/>
      <c r="C87" s="386"/>
      <c r="D87" s="386"/>
      <c r="E87" s="386"/>
      <c r="F87" s="386"/>
      <c r="G87" s="386"/>
      <c r="H87" s="386"/>
      <c r="I87" s="386"/>
      <c r="J87" s="386"/>
      <c r="K87" s="386"/>
      <c r="L87" s="386"/>
    </row>
    <row r="88" spans="1:27" x14ac:dyDescent="0.25">
      <c r="B88" s="386"/>
      <c r="C88" s="386"/>
      <c r="D88" s="386"/>
      <c r="E88" s="386"/>
      <c r="F88" s="386"/>
      <c r="G88" s="386"/>
      <c r="H88" s="386"/>
      <c r="I88" s="386"/>
      <c r="J88" s="386"/>
      <c r="K88" s="386"/>
      <c r="L88" s="386"/>
    </row>
    <row r="89" spans="1:27" x14ac:dyDescent="0.25">
      <c r="B89" s="386"/>
      <c r="C89" s="386"/>
      <c r="D89" s="386"/>
      <c r="E89" s="386"/>
      <c r="F89" s="386"/>
      <c r="G89" s="386"/>
      <c r="H89" s="386"/>
      <c r="I89" s="386"/>
      <c r="J89" s="386"/>
      <c r="K89" s="386"/>
      <c r="L89" s="386"/>
    </row>
  </sheetData>
  <sheetProtection algorithmName="SHA-512" hashValue="6VqLRAlYzXa6D73HygK5R77PGPjG4QwlDl7O5JqFpymHOCRC9tJovGqUGDTxngQlgaxPhWr+EnV5bmrkqg9dVg==" saltValue="BcHoR30J7o2XrLcL2Q/fGw==" spinCount="100000" sheet="1" objects="1" scenarios="1"/>
  <customSheetViews>
    <customSheetView guid="{75D6F8CE-A4F4-4FDD-BA92-7996F9E19FA9}" scale="90" showGridLines="0" hiddenRows="1" topLeftCell="A28">
      <selection activeCell="O36" sqref="O36"/>
      <pageMargins left="0.25" right="0.25" top="0.75" bottom="0.75" header="0.3" footer="0.3"/>
      <pageSetup scale="75" orientation="portrait" verticalDpi="1200" r:id="rId1"/>
    </customSheetView>
  </customSheetViews>
  <mergeCells count="93">
    <mergeCell ref="B25:E25"/>
    <mergeCell ref="K26:M26"/>
    <mergeCell ref="B16:E16"/>
    <mergeCell ref="G16:I16"/>
    <mergeCell ref="K16:M16"/>
    <mergeCell ref="K17:M17"/>
    <mergeCell ref="G19:H19"/>
    <mergeCell ref="G22:H22"/>
    <mergeCell ref="K22:L22"/>
    <mergeCell ref="B22:E22"/>
    <mergeCell ref="G13:I13"/>
    <mergeCell ref="K13:M13"/>
    <mergeCell ref="B14:E14"/>
    <mergeCell ref="G14:M14"/>
    <mergeCell ref="B15:E15"/>
    <mergeCell ref="B86:L86"/>
    <mergeCell ref="B19:E19"/>
    <mergeCell ref="B21:E21"/>
    <mergeCell ref="E53:E56"/>
    <mergeCell ref="B59:M59"/>
    <mergeCell ref="C44:C45"/>
    <mergeCell ref="K27:M27"/>
    <mergeCell ref="G30:I30"/>
    <mergeCell ref="K29:M29"/>
    <mergeCell ref="K25:M25"/>
    <mergeCell ref="B60:M60"/>
    <mergeCell ref="K19:L19"/>
    <mergeCell ref="B53:D54"/>
    <mergeCell ref="G44:I45"/>
    <mergeCell ref="B31:E31"/>
    <mergeCell ref="G32:I32"/>
    <mergeCell ref="B8:E11"/>
    <mergeCell ref="B26:E26"/>
    <mergeCell ref="B27:E27"/>
    <mergeCell ref="B30:E30"/>
    <mergeCell ref="K21:L21"/>
    <mergeCell ref="K28:M28"/>
    <mergeCell ref="G18:I18"/>
    <mergeCell ref="B18:E18"/>
    <mergeCell ref="G21:H21"/>
    <mergeCell ref="B28:E28"/>
    <mergeCell ref="G15:M15"/>
    <mergeCell ref="B17:E17"/>
    <mergeCell ref="G17:I17"/>
    <mergeCell ref="K18:M18"/>
    <mergeCell ref="B13:E13"/>
    <mergeCell ref="B29:E29"/>
    <mergeCell ref="B5:M5"/>
    <mergeCell ref="B85:L85"/>
    <mergeCell ref="B20:E20"/>
    <mergeCell ref="G20:I20"/>
    <mergeCell ref="K20:M20"/>
    <mergeCell ref="B23:E23"/>
    <mergeCell ref="G23:I23"/>
    <mergeCell ref="K23:M23"/>
    <mergeCell ref="B24:E24"/>
    <mergeCell ref="G24:I24"/>
    <mergeCell ref="K24:M24"/>
    <mergeCell ref="G53:I54"/>
    <mergeCell ref="K53:M54"/>
    <mergeCell ref="D44:E45"/>
    <mergeCell ref="B43:B45"/>
    <mergeCell ref="G25:I25"/>
    <mergeCell ref="B42:E42"/>
    <mergeCell ref="G31:I31"/>
    <mergeCell ref="K31:M31"/>
    <mergeCell ref="G42:I42"/>
    <mergeCell ref="B32:E32"/>
    <mergeCell ref="K32:M32"/>
    <mergeCell ref="B37:M37"/>
    <mergeCell ref="Q8:Q10"/>
    <mergeCell ref="K8:N8"/>
    <mergeCell ref="G8:I9"/>
    <mergeCell ref="K9:M9"/>
    <mergeCell ref="K10:N10"/>
    <mergeCell ref="P8:P9"/>
    <mergeCell ref="J8:J11"/>
    <mergeCell ref="G10:I11"/>
    <mergeCell ref="G28:I28"/>
    <mergeCell ref="G26:I26"/>
    <mergeCell ref="N57:O57"/>
    <mergeCell ref="Q42:Q45"/>
    <mergeCell ref="K42:N42"/>
    <mergeCell ref="K44:N45"/>
    <mergeCell ref="G29:I29"/>
    <mergeCell ref="P53:P55"/>
    <mergeCell ref="P42:P43"/>
    <mergeCell ref="N53:O53"/>
    <mergeCell ref="N54:O55"/>
    <mergeCell ref="J53:J56"/>
    <mergeCell ref="P44:P45"/>
    <mergeCell ref="K30:M30"/>
    <mergeCell ref="G27:I27"/>
  </mergeCells>
  <dataValidations count="9">
    <dataValidation allowBlank="1" showInputMessage="1" showErrorMessage="1" prompt="Enter the total Proposed service hot water pump power (in kW)" sqref="J13 J32" xr:uid="{00000000-0002-0000-1700-000000000000}"/>
    <dataValidation type="list" allowBlank="1" showInputMessage="1" showErrorMessage="1" sqref="K28:M28 G28:I28" xr:uid="{00000000-0002-0000-1700-000001000000}">
      <formula1>"Constant speed, Variable speed"</formula1>
    </dataValidation>
    <dataValidation type="list" errorStyle="warning" allowBlank="1" showErrorMessage="1" errorTitle="Select Low, Medium, or High" error="Select Low, Medium, or High" sqref="L41" xr:uid="{00000000-0002-0000-1700-000002000000}">
      <formula1>"Low,Medium,High"</formula1>
    </dataValidation>
    <dataValidation type="list" allowBlank="1" showInputMessage="1" showErrorMessage="1" sqref="G14:M14" xr:uid="{00000000-0002-0000-1700-000003000000}">
      <formula1>BuildingIDLookup</formula1>
    </dataValidation>
    <dataValidation type="list" allowBlank="1" showInputMessage="1" showErrorMessage="1" sqref="B47:B50" xr:uid="{00000000-0002-0000-1700-000004000000}">
      <formula1>BuildingIDLookupAlt</formula1>
    </dataValidation>
    <dataValidation type="decimal" operator="lessThanOrEqual" allowBlank="1" showInputMessage="1" showErrorMessage="1" error="Please enter the value only (without any labels)" prompt="Enter the percentage of hot water that accounts for the DHW supply-to-fixture delta T, and the percentage hot water versus cold water use expected for each fixture (example: 75%)" sqref="F57:F58" xr:uid="{00000000-0002-0000-1700-000005000000}">
      <formula1>1</formula1>
    </dataValidation>
    <dataValidation type="list" allowBlank="1" showInputMessage="1" sqref="K17:M17" xr:uid="{00000000-0002-0000-1700-000006000000}">
      <formula1>"Storage Water Heater,Instantaneous Water Heater,Hot Water Supply Boiler,Heat Pump,Space Heating Boiler"</formula1>
    </dataValidation>
    <dataValidation type="list" allowBlank="1" showInputMessage="1" sqref="K18:M18" xr:uid="{00000000-0002-0000-1700-000007000000}">
      <formula1>"Gas,Propane,Electric"</formula1>
    </dataValidation>
    <dataValidation type="list" allowBlank="1" showInputMessage="1" showErrorMessage="1" sqref="K31:M31" xr:uid="{00000000-0002-0000-1700-000008000000}">
      <formula1>"YES,NO,N/A"</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7175" r:id="rId5" name="Button 7">
              <controlPr defaultSize="0" print="0" autoFill="0" autoPict="0" macro="[0]!InsertSWHTable">
                <anchor moveWithCells="1">
                  <from>
                    <xdr:col>1</xdr:col>
                    <xdr:colOff>15240</xdr:colOff>
                    <xdr:row>32</xdr:row>
                    <xdr:rowOff>137160</xdr:rowOff>
                  </from>
                  <to>
                    <xdr:col>2</xdr:col>
                    <xdr:colOff>266700</xdr:colOff>
                    <xdr:row>32</xdr:row>
                    <xdr:rowOff>419100</xdr:rowOff>
                  </to>
                </anchor>
              </controlPr>
            </control>
          </mc:Choice>
        </mc:AlternateContent>
        <mc:AlternateContent xmlns:mc="http://schemas.openxmlformats.org/markup-compatibility/2006">
          <mc:Choice Requires="x14">
            <control shapeId="7211" r:id="rId6" name="Button 43">
              <controlPr defaultSize="0" print="0" autoFill="0" autoPict="0" macro="[0]!DeleteSome">
                <anchor moveWithCells="1">
                  <from>
                    <xdr:col>2</xdr:col>
                    <xdr:colOff>228600</xdr:colOff>
                    <xdr:row>50</xdr:row>
                    <xdr:rowOff>129540</xdr:rowOff>
                  </from>
                  <to>
                    <xdr:col>2</xdr:col>
                    <xdr:colOff>1584960</xdr:colOff>
                    <xdr:row>50</xdr:row>
                    <xdr:rowOff>441960</xdr:rowOff>
                  </to>
                </anchor>
              </controlPr>
            </control>
          </mc:Choice>
        </mc:AlternateContent>
        <mc:AlternateContent xmlns:mc="http://schemas.openxmlformats.org/markup-compatibility/2006">
          <mc:Choice Requires="x14">
            <control shapeId="7213" r:id="rId7" name="Button 45">
              <controlPr defaultSize="0" print="0" autoFill="0" autoPict="0" macro="[0]!addF">
                <anchor moveWithCells="1">
                  <from>
                    <xdr:col>1</xdr:col>
                    <xdr:colOff>22860</xdr:colOff>
                    <xdr:row>50</xdr:row>
                    <xdr:rowOff>152400</xdr:rowOff>
                  </from>
                  <to>
                    <xdr:col>2</xdr:col>
                    <xdr:colOff>266700</xdr:colOff>
                    <xdr:row>50</xdr:row>
                    <xdr:rowOff>441960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9000000}">
          <x14:formula1>
            <xm:f>'SWH Lookup'!$B$4:$B$37</xm:f>
          </x14:formula1>
          <xm:sqref>G15:M15</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9">
    <tabColor theme="5" tint="0.39997558519241921"/>
  </sheetPr>
  <dimension ref="B1:G37"/>
  <sheetViews>
    <sheetView workbookViewId="0"/>
  </sheetViews>
  <sheetFormatPr defaultColWidth="9" defaultRowHeight="13.8" x14ac:dyDescent="0.25"/>
  <cols>
    <col min="1" max="1" width="9" customWidth="1"/>
    <col min="2" max="2" width="26.796875" customWidth="1"/>
    <col min="3" max="3" width="47.69921875" customWidth="1"/>
    <col min="5" max="7" width="22" customWidth="1"/>
  </cols>
  <sheetData>
    <row r="1" spans="2:7" x14ac:dyDescent="0.25">
      <c r="E1" t="s">
        <v>2475</v>
      </c>
    </row>
    <row r="2" spans="2:7" x14ac:dyDescent="0.25">
      <c r="B2" s="3755" t="s">
        <v>2240</v>
      </c>
      <c r="C2" s="3755"/>
      <c r="E2" s="3755" t="s">
        <v>2240</v>
      </c>
      <c r="F2" s="3755"/>
      <c r="G2" s="3755"/>
    </row>
    <row r="3" spans="2:7" x14ac:dyDescent="0.25">
      <c r="B3" s="1801" t="s">
        <v>1644</v>
      </c>
      <c r="C3" s="1801" t="s">
        <v>2241</v>
      </c>
      <c r="E3" s="1801" t="s">
        <v>1644</v>
      </c>
      <c r="F3" s="1801" t="s">
        <v>958</v>
      </c>
      <c r="G3" s="1801" t="s">
        <v>2476</v>
      </c>
    </row>
    <row r="4" spans="2:7" x14ac:dyDescent="0.25">
      <c r="B4" s="1178" t="s">
        <v>47</v>
      </c>
      <c r="C4" s="1178" t="s">
        <v>2247</v>
      </c>
      <c r="E4" s="1178" t="s">
        <v>47</v>
      </c>
      <c r="F4" s="1178" t="s">
        <v>1976</v>
      </c>
      <c r="G4" s="1178" t="s">
        <v>2477</v>
      </c>
    </row>
    <row r="5" spans="2:7" x14ac:dyDescent="0.25">
      <c r="B5" s="1178" t="s">
        <v>48</v>
      </c>
      <c r="C5" s="1178" t="s">
        <v>2248</v>
      </c>
      <c r="E5" s="1178" t="s">
        <v>48</v>
      </c>
      <c r="F5" s="1178" t="s">
        <v>2253</v>
      </c>
      <c r="G5" s="1178" t="s">
        <v>2477</v>
      </c>
    </row>
    <row r="6" spans="2:7" x14ac:dyDescent="0.25">
      <c r="B6" s="1178" t="s">
        <v>49</v>
      </c>
      <c r="C6" s="1178" t="s">
        <v>2248</v>
      </c>
      <c r="E6" s="1178" t="s">
        <v>49</v>
      </c>
      <c r="F6" s="1178" t="s">
        <v>2253</v>
      </c>
      <c r="G6" s="1178" t="s">
        <v>2477</v>
      </c>
    </row>
    <row r="7" spans="2:7" x14ac:dyDescent="0.25">
      <c r="B7" s="1178" t="s">
        <v>2242</v>
      </c>
      <c r="C7" s="1178" t="s">
        <v>2247</v>
      </c>
      <c r="E7" s="1178" t="s">
        <v>2242</v>
      </c>
      <c r="F7" s="1178" t="s">
        <v>1976</v>
      </c>
      <c r="G7" s="1178" t="s">
        <v>2477</v>
      </c>
    </row>
    <row r="8" spans="2:7" x14ac:dyDescent="0.25">
      <c r="B8" s="1178" t="s">
        <v>2243</v>
      </c>
      <c r="C8" s="1178" t="s">
        <v>2247</v>
      </c>
      <c r="E8" s="1178" t="s">
        <v>2243</v>
      </c>
      <c r="F8" s="1178" t="s">
        <v>1976</v>
      </c>
      <c r="G8" s="1178" t="s">
        <v>2477</v>
      </c>
    </row>
    <row r="9" spans="2:7" x14ac:dyDescent="0.25">
      <c r="B9" s="1178" t="s">
        <v>2244</v>
      </c>
      <c r="C9" s="1178" t="s">
        <v>2247</v>
      </c>
      <c r="E9" s="1178" t="s">
        <v>2244</v>
      </c>
      <c r="F9" s="1178" t="s">
        <v>1976</v>
      </c>
      <c r="G9" s="1178" t="s">
        <v>2477</v>
      </c>
    </row>
    <row r="10" spans="2:7" x14ac:dyDescent="0.25">
      <c r="B10" s="1178" t="s">
        <v>53</v>
      </c>
      <c r="C10" s="1178" t="s">
        <v>2247</v>
      </c>
      <c r="E10" s="1178" t="s">
        <v>53</v>
      </c>
      <c r="F10" s="1178" t="s">
        <v>1976</v>
      </c>
      <c r="G10" s="1178" t="s">
        <v>2477</v>
      </c>
    </row>
    <row r="11" spans="2:7" x14ac:dyDescent="0.25">
      <c r="B11" s="1178" t="s">
        <v>54</v>
      </c>
      <c r="C11" s="1178" t="s">
        <v>2247</v>
      </c>
      <c r="E11" s="1178" t="s">
        <v>54</v>
      </c>
      <c r="F11" s="1178" t="s">
        <v>1976</v>
      </c>
      <c r="G11" s="1178" t="s">
        <v>2477</v>
      </c>
    </row>
    <row r="12" spans="2:7" x14ac:dyDescent="0.25">
      <c r="B12" s="1178" t="s">
        <v>2245</v>
      </c>
      <c r="C12" s="1178" t="s">
        <v>2247</v>
      </c>
      <c r="E12" s="1178" t="s">
        <v>2245</v>
      </c>
      <c r="F12" s="1178" t="s">
        <v>1976</v>
      </c>
      <c r="G12" s="1178" t="s">
        <v>2477</v>
      </c>
    </row>
    <row r="13" spans="2:7" x14ac:dyDescent="0.25">
      <c r="B13" s="1178" t="s">
        <v>55</v>
      </c>
      <c r="C13" s="1178" t="s">
        <v>2247</v>
      </c>
      <c r="E13" s="1178" t="s">
        <v>55</v>
      </c>
      <c r="F13" s="1178" t="s">
        <v>1976</v>
      </c>
      <c r="G13" s="1178" t="s">
        <v>2477</v>
      </c>
    </row>
    <row r="14" spans="2:7" x14ac:dyDescent="0.25">
      <c r="B14" s="1178" t="s">
        <v>56</v>
      </c>
      <c r="C14" s="1178" t="s">
        <v>2247</v>
      </c>
      <c r="E14" s="1178" t="s">
        <v>56</v>
      </c>
      <c r="F14" s="1178" t="s">
        <v>1976</v>
      </c>
      <c r="G14" s="1178" t="s">
        <v>2477</v>
      </c>
    </row>
    <row r="15" spans="2:7" x14ac:dyDescent="0.25">
      <c r="B15" s="1178" t="s">
        <v>57</v>
      </c>
      <c r="C15" s="1178" t="s">
        <v>2247</v>
      </c>
      <c r="E15" s="1178" t="s">
        <v>57</v>
      </c>
      <c r="F15" s="1178" t="s">
        <v>1976</v>
      </c>
      <c r="G15" s="1178" t="s">
        <v>2477</v>
      </c>
    </row>
    <row r="16" spans="2:7" x14ac:dyDescent="0.25">
      <c r="B16" s="1178" t="s">
        <v>2216</v>
      </c>
      <c r="C16" s="1178" t="s">
        <v>2247</v>
      </c>
      <c r="E16" s="1178" t="s">
        <v>2216</v>
      </c>
      <c r="F16" s="1178" t="s">
        <v>1976</v>
      </c>
      <c r="G16" s="1178" t="s">
        <v>2477</v>
      </c>
    </row>
    <row r="17" spans="2:7" x14ac:dyDescent="0.25">
      <c r="B17" s="1178" t="s">
        <v>58</v>
      </c>
      <c r="C17" s="1178" t="s">
        <v>2248</v>
      </c>
      <c r="E17" s="1178" t="s">
        <v>58</v>
      </c>
      <c r="F17" s="1178" t="s">
        <v>2253</v>
      </c>
      <c r="G17" s="1178" t="s">
        <v>2477</v>
      </c>
    </row>
    <row r="18" spans="2:7" x14ac:dyDescent="0.25">
      <c r="B18" s="1178" t="s">
        <v>59</v>
      </c>
      <c r="C18" s="1178" t="s">
        <v>2247</v>
      </c>
      <c r="E18" s="1178" t="s">
        <v>59</v>
      </c>
      <c r="F18" s="1178" t="s">
        <v>1976</v>
      </c>
      <c r="G18" s="1178" t="s">
        <v>2477</v>
      </c>
    </row>
    <row r="19" spans="2:7" x14ac:dyDescent="0.25">
      <c r="B19" s="1178" t="s">
        <v>2246</v>
      </c>
      <c r="C19" s="1178" t="s">
        <v>2247</v>
      </c>
      <c r="E19" s="1178" t="s">
        <v>2246</v>
      </c>
      <c r="F19" s="1178" t="s">
        <v>1976</v>
      </c>
      <c r="G19" s="1178" t="s">
        <v>2477</v>
      </c>
    </row>
    <row r="20" spans="2:7" x14ac:dyDescent="0.25">
      <c r="B20" s="1178" t="s">
        <v>60</v>
      </c>
      <c r="C20" s="1178" t="s">
        <v>2248</v>
      </c>
      <c r="E20" s="1178" t="s">
        <v>60</v>
      </c>
      <c r="F20" s="1178" t="s">
        <v>2253</v>
      </c>
      <c r="G20" s="1178" t="s">
        <v>2477</v>
      </c>
    </row>
    <row r="21" spans="2:7" x14ac:dyDescent="0.25">
      <c r="B21" s="1178" t="s">
        <v>61</v>
      </c>
      <c r="C21" s="1178" t="s">
        <v>2247</v>
      </c>
      <c r="E21" s="1178" t="s">
        <v>61</v>
      </c>
      <c r="F21" s="1178" t="s">
        <v>1976</v>
      </c>
      <c r="G21" s="1178" t="s">
        <v>2477</v>
      </c>
    </row>
    <row r="22" spans="2:7" x14ac:dyDescent="0.25">
      <c r="B22" s="1178" t="s">
        <v>62</v>
      </c>
      <c r="C22" s="1178" t="s">
        <v>2248</v>
      </c>
      <c r="E22" s="1178" t="s">
        <v>62</v>
      </c>
      <c r="F22" s="1178" t="s">
        <v>2253</v>
      </c>
      <c r="G22" s="1178" t="s">
        <v>2477</v>
      </c>
    </row>
    <row r="23" spans="2:7" x14ac:dyDescent="0.25">
      <c r="B23" s="1178" t="s">
        <v>63</v>
      </c>
      <c r="C23" s="1178" t="s">
        <v>2248</v>
      </c>
      <c r="E23" s="1178" t="s">
        <v>63</v>
      </c>
      <c r="F23" s="1178" t="s">
        <v>2253</v>
      </c>
      <c r="G23" s="1178" t="s">
        <v>2477</v>
      </c>
    </row>
    <row r="24" spans="2:7" x14ac:dyDescent="0.25">
      <c r="B24" s="1178" t="s">
        <v>64</v>
      </c>
      <c r="C24" s="1178" t="s">
        <v>2248</v>
      </c>
      <c r="E24" s="1178" t="s">
        <v>64</v>
      </c>
      <c r="F24" s="1178" t="s">
        <v>2253</v>
      </c>
      <c r="G24" s="1178" t="s">
        <v>2477</v>
      </c>
    </row>
    <row r="25" spans="2:7" x14ac:dyDescent="0.25">
      <c r="B25" s="1178" t="s">
        <v>65</v>
      </c>
      <c r="C25" s="1178" t="s">
        <v>2247</v>
      </c>
      <c r="E25" s="1178" t="s">
        <v>65</v>
      </c>
      <c r="F25" s="1178" t="s">
        <v>1976</v>
      </c>
      <c r="G25" s="1178" t="s">
        <v>2477</v>
      </c>
    </row>
    <row r="26" spans="2:7" x14ac:dyDescent="0.25">
      <c r="B26" s="1178" t="s">
        <v>66</v>
      </c>
      <c r="C26" s="1178" t="s">
        <v>2247</v>
      </c>
      <c r="E26" s="1178" t="s">
        <v>66</v>
      </c>
      <c r="F26" s="1178" t="s">
        <v>1976</v>
      </c>
      <c r="G26" s="1178" t="s">
        <v>2477</v>
      </c>
    </row>
    <row r="27" spans="2:7" x14ac:dyDescent="0.25">
      <c r="B27" s="1178" t="s">
        <v>233</v>
      </c>
      <c r="C27" s="1178" t="s">
        <v>2248</v>
      </c>
      <c r="E27" s="1178" t="s">
        <v>233</v>
      </c>
      <c r="F27" s="1178" t="s">
        <v>2253</v>
      </c>
      <c r="G27" s="1178" t="s">
        <v>2477</v>
      </c>
    </row>
    <row r="28" spans="2:7" x14ac:dyDescent="0.25">
      <c r="B28" s="1178" t="s">
        <v>67</v>
      </c>
      <c r="C28" s="1178" t="s">
        <v>2248</v>
      </c>
      <c r="E28" s="1178" t="s">
        <v>67</v>
      </c>
      <c r="F28" s="1178" t="s">
        <v>2253</v>
      </c>
      <c r="G28" s="1178" t="s">
        <v>2477</v>
      </c>
    </row>
    <row r="29" spans="2:7" x14ac:dyDescent="0.25">
      <c r="B29" s="1178" t="s">
        <v>68</v>
      </c>
      <c r="C29" s="1178" t="s">
        <v>2248</v>
      </c>
      <c r="E29" s="1178" t="s">
        <v>68</v>
      </c>
      <c r="F29" s="1178" t="s">
        <v>2253</v>
      </c>
      <c r="G29" s="1178" t="s">
        <v>2477</v>
      </c>
    </row>
    <row r="30" spans="2:7" x14ac:dyDescent="0.25">
      <c r="B30" s="1178" t="s">
        <v>69</v>
      </c>
      <c r="C30" s="1178" t="s">
        <v>2248</v>
      </c>
      <c r="E30" s="1178" t="s">
        <v>69</v>
      </c>
      <c r="F30" s="1178" t="s">
        <v>2253</v>
      </c>
      <c r="G30" s="1178" t="s">
        <v>2477</v>
      </c>
    </row>
    <row r="31" spans="2:7" x14ac:dyDescent="0.25">
      <c r="B31" s="1178" t="s">
        <v>70</v>
      </c>
      <c r="C31" s="1178" t="s">
        <v>2247</v>
      </c>
      <c r="E31" s="1178" t="s">
        <v>70</v>
      </c>
      <c r="F31" s="1178" t="s">
        <v>1976</v>
      </c>
      <c r="G31" s="1178" t="s">
        <v>2477</v>
      </c>
    </row>
    <row r="32" spans="2:7" x14ac:dyDescent="0.25">
      <c r="B32" s="1178" t="s">
        <v>71</v>
      </c>
      <c r="C32" s="1178" t="s">
        <v>2247</v>
      </c>
      <c r="E32" s="1178" t="s">
        <v>71</v>
      </c>
      <c r="F32" s="1178" t="s">
        <v>1976</v>
      </c>
      <c r="G32" s="1178" t="s">
        <v>2477</v>
      </c>
    </row>
    <row r="33" spans="2:7" x14ac:dyDescent="0.25">
      <c r="B33" s="1178" t="s">
        <v>72</v>
      </c>
      <c r="C33" s="1178" t="s">
        <v>2248</v>
      </c>
      <c r="E33" s="1178" t="s">
        <v>72</v>
      </c>
      <c r="F33" s="1178" t="s">
        <v>2253</v>
      </c>
      <c r="G33" s="1178" t="s">
        <v>2477</v>
      </c>
    </row>
    <row r="34" spans="2:7" x14ac:dyDescent="0.25">
      <c r="B34" s="1178" t="s">
        <v>73</v>
      </c>
      <c r="C34" s="1178" t="s">
        <v>2248</v>
      </c>
      <c r="E34" s="1178" t="s">
        <v>73</v>
      </c>
      <c r="F34" s="1178" t="s">
        <v>2253</v>
      </c>
      <c r="G34" s="1178" t="s">
        <v>2477</v>
      </c>
    </row>
    <row r="35" spans="2:7" x14ac:dyDescent="0.25">
      <c r="B35" s="1178" t="s">
        <v>74</v>
      </c>
      <c r="C35" s="1178" t="s">
        <v>2248</v>
      </c>
      <c r="E35" s="1178" t="s">
        <v>74</v>
      </c>
      <c r="F35" s="1178" t="s">
        <v>2253</v>
      </c>
      <c r="G35" s="1178" t="s">
        <v>2477</v>
      </c>
    </row>
    <row r="36" spans="2:7" x14ac:dyDescent="0.25">
      <c r="B36" s="1178" t="s">
        <v>75</v>
      </c>
      <c r="C36" s="1178" t="s">
        <v>2247</v>
      </c>
      <c r="E36" s="1178" t="s">
        <v>75</v>
      </c>
      <c r="F36" s="1178" t="s">
        <v>1976</v>
      </c>
      <c r="G36" s="1178" t="s">
        <v>2477</v>
      </c>
    </row>
    <row r="37" spans="2:7" x14ac:dyDescent="0.25">
      <c r="B37" s="1178" t="s">
        <v>2215</v>
      </c>
      <c r="C37" s="1178" t="s">
        <v>2247</v>
      </c>
      <c r="E37" s="1178" t="s">
        <v>2215</v>
      </c>
      <c r="F37" s="1178" t="s">
        <v>1976</v>
      </c>
      <c r="G37" s="1178" t="s">
        <v>2477</v>
      </c>
    </row>
  </sheetData>
  <sheetProtection algorithmName="SHA-512" hashValue="1yeHYkDuztsQ+k6weta/tevTIkDuAPqv3hwoPk7oJK/RhhrMGA+U9gY27VonOh3UBdIINpy87IHUFrjxxrmfTg==" saltValue="LSC/NxFk6cKCYp5HN7p6zQ==" spinCount="100000" sheet="1" objects="1" scenarios="1"/>
  <mergeCells count="2">
    <mergeCell ref="B2:C2"/>
    <mergeCell ref="E2:G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9">
    <tabColor theme="0" tint="-0.249977111117893"/>
  </sheetPr>
  <dimension ref="A1:W93"/>
  <sheetViews>
    <sheetView showGridLines="0" zoomScale="90" zoomScaleNormal="90" workbookViewId="0">
      <selection activeCell="G6" sqref="G6"/>
    </sheetView>
  </sheetViews>
  <sheetFormatPr defaultColWidth="8.69921875" defaultRowHeight="13.2" outlineLevelCol="1" x14ac:dyDescent="0.25"/>
  <cols>
    <col min="1" max="1" width="1.69921875" style="306" customWidth="1"/>
    <col min="2" max="2" width="13.796875" style="5" customWidth="1"/>
    <col min="3" max="4" width="23.5" style="5" customWidth="1"/>
    <col min="5" max="5" width="22.19921875" style="5" customWidth="1"/>
    <col min="6" max="6" width="19.296875" style="5" customWidth="1"/>
    <col min="7" max="7" width="47.296875" style="190" customWidth="1"/>
    <col min="8" max="8" width="2.69921875" style="190" customWidth="1"/>
    <col min="9" max="9" width="10.296875" style="5" hidden="1" customWidth="1" outlineLevel="1"/>
    <col min="10" max="18" width="8.69921875" style="5" hidden="1" customWidth="1" outlineLevel="1"/>
    <col min="19" max="19" width="18.796875" style="5" customWidth="1" collapsed="1"/>
    <col min="20" max="20" width="2.69921875" style="5" customWidth="1"/>
    <col min="21" max="21" width="50.69921875" style="2146" customWidth="1"/>
    <col min="22" max="24" width="8.69921875" style="5" customWidth="1"/>
    <col min="25" max="50" width="7.69921875" style="5" customWidth="1"/>
    <col min="51" max="16384" width="8.69921875" style="5"/>
  </cols>
  <sheetData>
    <row r="1" spans="1:23" s="3" customFormat="1" x14ac:dyDescent="0.25">
      <c r="A1" s="331" t="s">
        <v>1038</v>
      </c>
      <c r="B1" s="11"/>
      <c r="C1" s="11"/>
      <c r="D1" s="11"/>
      <c r="E1" s="11"/>
      <c r="F1" s="11"/>
      <c r="G1" s="11"/>
      <c r="U1" s="2146"/>
    </row>
    <row r="2" spans="1:23" s="3" customFormat="1" ht="24.75" customHeight="1" x14ac:dyDescent="0.25">
      <c r="A2" s="331" t="s">
        <v>1038</v>
      </c>
      <c r="B2" s="30" t="s">
        <v>239</v>
      </c>
      <c r="C2" s="30"/>
      <c r="D2" s="16"/>
      <c r="E2" s="16"/>
      <c r="F2" s="16"/>
      <c r="G2" s="16"/>
      <c r="U2" s="2146"/>
    </row>
    <row r="3" spans="1:23" s="3" customFormat="1" ht="15" customHeight="1" x14ac:dyDescent="0.25">
      <c r="A3" s="331" t="s">
        <v>1038</v>
      </c>
      <c r="B3" s="11"/>
      <c r="C3" s="11"/>
      <c r="D3" s="11"/>
      <c r="E3" s="11"/>
      <c r="F3" s="11"/>
      <c r="G3" s="11"/>
      <c r="U3" s="2146"/>
    </row>
    <row r="4" spans="1:23" s="339" customFormat="1" ht="20.25" customHeight="1" x14ac:dyDescent="0.25">
      <c r="A4" s="304" t="s">
        <v>1038</v>
      </c>
      <c r="G4" s="185"/>
      <c r="H4" s="185"/>
      <c r="U4" s="1521"/>
    </row>
    <row r="5" spans="1:23" s="387" customFormat="1" ht="77.25" customHeight="1" x14ac:dyDescent="0.25">
      <c r="A5" s="304" t="s">
        <v>1038</v>
      </c>
      <c r="B5" s="3444" t="s">
        <v>859</v>
      </c>
      <c r="C5" s="3444"/>
      <c r="D5" s="3444"/>
      <c r="E5" s="3444"/>
      <c r="F5" s="3444"/>
      <c r="G5" s="3510"/>
      <c r="H5" s="186"/>
      <c r="U5" s="1370" t="s">
        <v>1635</v>
      </c>
    </row>
    <row r="6" spans="1:23" s="339" customFormat="1" ht="58.2" customHeight="1" x14ac:dyDescent="0.25">
      <c r="A6" s="304" t="s">
        <v>1038</v>
      </c>
      <c r="B6" s="3554" t="s">
        <v>854</v>
      </c>
      <c r="C6" s="3554"/>
      <c r="D6" s="3554"/>
      <c r="E6" s="3554"/>
      <c r="F6" s="3402"/>
      <c r="G6" s="1517"/>
      <c r="I6" s="35"/>
      <c r="J6" s="1"/>
      <c r="K6" s="1"/>
      <c r="L6" s="1"/>
      <c r="U6" s="1802"/>
    </row>
    <row r="7" spans="1:23" s="866" customFormat="1" ht="9.75" customHeight="1" x14ac:dyDescent="0.25">
      <c r="A7" s="304" t="s">
        <v>1038</v>
      </c>
      <c r="I7" s="1553"/>
      <c r="J7" s="1553"/>
      <c r="K7" s="1553"/>
      <c r="L7" s="1553"/>
      <c r="U7" s="1609"/>
    </row>
    <row r="8" spans="1:23" s="339" customFormat="1" ht="58.2" customHeight="1" x14ac:dyDescent="0.25">
      <c r="A8" s="304" t="s">
        <v>1038</v>
      </c>
      <c r="B8" s="3554" t="s">
        <v>2099</v>
      </c>
      <c r="C8" s="3554"/>
      <c r="D8" s="3554"/>
      <c r="E8" s="3554"/>
      <c r="F8" s="3402"/>
      <c r="G8" s="1517"/>
      <c r="I8" s="35"/>
      <c r="J8" s="1"/>
      <c r="K8" s="1"/>
      <c r="L8" s="1"/>
      <c r="U8" s="1802"/>
    </row>
    <row r="9" spans="1:23" s="347" customFormat="1" ht="15.75" customHeight="1" x14ac:dyDescent="0.25">
      <c r="A9" s="304" t="s">
        <v>1038</v>
      </c>
      <c r="B9" s="1554"/>
      <c r="C9" s="1554"/>
      <c r="D9" s="1554"/>
      <c r="E9" s="1554"/>
      <c r="F9" s="1554"/>
      <c r="G9" s="1554"/>
      <c r="H9" s="1554"/>
      <c r="I9" s="1554"/>
      <c r="J9" s="1554"/>
      <c r="K9" s="1554"/>
      <c r="L9" s="1554"/>
      <c r="M9" s="1554"/>
      <c r="N9" s="1554"/>
      <c r="O9" s="1554"/>
      <c r="P9" s="1554"/>
      <c r="Q9" s="1554"/>
      <c r="R9" s="1554"/>
      <c r="T9" s="184"/>
      <c r="U9" s="33"/>
      <c r="V9" s="42"/>
      <c r="W9" s="42"/>
    </row>
    <row r="10" spans="1:23" s="347" customFormat="1" ht="52.5" customHeight="1" x14ac:dyDescent="0.25">
      <c r="A10" s="304" t="s">
        <v>1038</v>
      </c>
      <c r="B10" s="3758" t="s">
        <v>2471</v>
      </c>
      <c r="C10" s="3758"/>
      <c r="D10" s="3758"/>
      <c r="E10" s="3758"/>
      <c r="F10" s="3758"/>
      <c r="G10" s="3510"/>
      <c r="H10" s="1554"/>
      <c r="I10" s="1554"/>
      <c r="J10" s="1554"/>
      <c r="K10" s="1554"/>
      <c r="L10" s="1554"/>
      <c r="M10" s="1554"/>
      <c r="N10" s="1554"/>
      <c r="O10" s="1554"/>
      <c r="P10" s="1554"/>
      <c r="Q10" s="1554"/>
      <c r="R10" s="1554"/>
      <c r="T10" s="184"/>
      <c r="U10" s="33"/>
      <c r="V10" s="42"/>
      <c r="W10" s="42"/>
    </row>
    <row r="11" spans="1:23" s="347" customFormat="1" ht="21" customHeight="1" x14ac:dyDescent="0.25">
      <c r="A11" s="304" t="s">
        <v>1038</v>
      </c>
      <c r="B11" s="3757"/>
      <c r="C11" s="3757"/>
      <c r="D11" s="3757"/>
      <c r="E11" s="3757"/>
      <c r="F11" s="3757"/>
      <c r="G11" s="3585"/>
      <c r="I11" s="184"/>
      <c r="J11" s="42"/>
      <c r="K11" s="42"/>
      <c r="L11" s="42"/>
      <c r="U11" s="1802"/>
    </row>
    <row r="12" spans="1:23" s="347" customFormat="1" ht="21" customHeight="1" x14ac:dyDescent="0.25">
      <c r="A12" s="304" t="s">
        <v>1038</v>
      </c>
      <c r="B12" s="1492"/>
      <c r="C12" s="1492"/>
      <c r="D12" s="1492"/>
      <c r="E12" s="1492"/>
      <c r="F12" s="1492"/>
      <c r="U12" s="1521"/>
    </row>
    <row r="13" spans="1:23" s="347" customFormat="1" ht="26.25" customHeight="1" x14ac:dyDescent="0.25">
      <c r="A13" s="304" t="s">
        <v>1038</v>
      </c>
      <c r="B13" s="48" t="s">
        <v>2400</v>
      </c>
      <c r="C13" s="9"/>
      <c r="D13" s="9"/>
      <c r="E13" s="9"/>
      <c r="F13" s="9"/>
      <c r="G13" s="188"/>
      <c r="H13" s="188"/>
      <c r="U13" s="1521"/>
    </row>
    <row r="14" spans="1:23" s="387" customFormat="1" ht="24.75" customHeight="1" x14ac:dyDescent="0.25">
      <c r="A14" s="304" t="s">
        <v>1038</v>
      </c>
      <c r="B14" s="3434" t="s">
        <v>1087</v>
      </c>
      <c r="C14" s="3456" t="s">
        <v>124</v>
      </c>
      <c r="D14" s="3495"/>
      <c r="E14" s="1491" t="s">
        <v>2881</v>
      </c>
      <c r="F14" s="1491" t="s">
        <v>2882</v>
      </c>
      <c r="G14" s="1491" t="s">
        <v>2884</v>
      </c>
      <c r="H14" s="42"/>
      <c r="I14" s="382"/>
      <c r="U14" s="1521"/>
    </row>
    <row r="15" spans="1:23" s="387" customFormat="1" ht="163.5" customHeight="1" x14ac:dyDescent="0.25">
      <c r="A15" s="304"/>
      <c r="B15" s="3435"/>
      <c r="C15" s="3425" t="s">
        <v>2305</v>
      </c>
      <c r="D15" s="3426"/>
      <c r="E15" s="2036" t="s">
        <v>2883</v>
      </c>
      <c r="F15" s="2036" t="s">
        <v>2883</v>
      </c>
      <c r="G15" s="2044" t="s">
        <v>3431</v>
      </c>
      <c r="H15" s="42"/>
      <c r="I15" s="2036" t="s">
        <v>2889</v>
      </c>
      <c r="U15" s="1521"/>
    </row>
    <row r="16" spans="1:23" s="387" customFormat="1" ht="39" hidden="1" customHeight="1" x14ac:dyDescent="0.25">
      <c r="A16" s="306"/>
      <c r="B16" s="1244" t="s">
        <v>3414</v>
      </c>
      <c r="C16" s="3423"/>
      <c r="D16" s="3760"/>
      <c r="E16" s="1517"/>
      <c r="F16" s="1517"/>
      <c r="G16" s="1517"/>
      <c r="H16" s="381"/>
      <c r="I16" s="1517"/>
      <c r="U16" s="1802"/>
    </row>
    <row r="17" spans="1:21" s="387" customFormat="1" ht="15" hidden="1" customHeight="1" x14ac:dyDescent="0.25">
      <c r="A17" s="306"/>
      <c r="B17" s="1761" t="s">
        <v>3414</v>
      </c>
      <c r="C17" s="3423"/>
      <c r="D17" s="3760"/>
      <c r="E17" s="1517"/>
      <c r="F17" s="1517"/>
      <c r="G17" s="1517"/>
      <c r="H17" s="381"/>
      <c r="I17" s="1517"/>
      <c r="U17" s="1802"/>
    </row>
    <row r="18" spans="1:21" s="387" customFormat="1" ht="15" hidden="1" customHeight="1" x14ac:dyDescent="0.25">
      <c r="A18" s="306"/>
      <c r="B18" s="1761" t="s">
        <v>3414</v>
      </c>
      <c r="C18" s="3423"/>
      <c r="D18" s="3760"/>
      <c r="E18" s="1517"/>
      <c r="F18" s="1517"/>
      <c r="G18" s="1517"/>
      <c r="H18" s="381"/>
      <c r="I18" s="1517"/>
      <c r="U18" s="1802"/>
    </row>
    <row r="19" spans="1:21" s="387" customFormat="1" ht="27.45" customHeight="1" x14ac:dyDescent="0.25">
      <c r="A19" s="306"/>
      <c r="B19" s="1761"/>
      <c r="C19" s="3423"/>
      <c r="D19" s="3760"/>
      <c r="E19" s="1517"/>
      <c r="F19" s="1517"/>
      <c r="G19" s="1517"/>
      <c r="H19" s="381"/>
      <c r="I19" s="1517">
        <f>IF(OR(E19="Electricity",F19="Electricity"),1,0)</f>
        <v>0</v>
      </c>
      <c r="U19" s="1802"/>
    </row>
    <row r="20" spans="1:21" s="387" customFormat="1" ht="27.45" customHeight="1" x14ac:dyDescent="0.25">
      <c r="A20" s="306"/>
      <c r="B20" s="1761"/>
      <c r="C20" s="3423"/>
      <c r="D20" s="3760"/>
      <c r="E20" s="1517"/>
      <c r="F20" s="1517"/>
      <c r="G20" s="1517"/>
      <c r="H20" s="381"/>
      <c r="I20" s="1517">
        <f t="shared" ref="I20:I23" si="0">IF(OR(E20="Electricity",F20="Electricity"),1,0)</f>
        <v>0</v>
      </c>
      <c r="U20" s="1802"/>
    </row>
    <row r="21" spans="1:21" s="387" customFormat="1" ht="27.45" customHeight="1" x14ac:dyDescent="0.25">
      <c r="A21" s="306"/>
      <c r="B21" s="1761"/>
      <c r="C21" s="3423"/>
      <c r="D21" s="3760"/>
      <c r="E21" s="1517"/>
      <c r="F21" s="1517"/>
      <c r="G21" s="1517"/>
      <c r="H21" s="381"/>
      <c r="I21" s="1517">
        <f t="shared" si="0"/>
        <v>0</v>
      </c>
      <c r="U21" s="1802"/>
    </row>
    <row r="22" spans="1:21" s="387" customFormat="1" ht="27.45" hidden="1" customHeight="1" x14ac:dyDescent="0.25">
      <c r="A22" s="306" t="s">
        <v>802</v>
      </c>
      <c r="B22" s="1761" t="s">
        <v>3414</v>
      </c>
      <c r="C22" s="3423"/>
      <c r="D22" s="3424"/>
      <c r="E22" s="1517"/>
      <c r="F22" s="1517"/>
      <c r="G22" s="1517"/>
      <c r="H22" s="381"/>
      <c r="I22" s="1517">
        <f t="shared" si="0"/>
        <v>0</v>
      </c>
      <c r="U22" s="1802"/>
    </row>
    <row r="23" spans="1:21" s="387" customFormat="1" ht="27.45" hidden="1" customHeight="1" x14ac:dyDescent="0.25">
      <c r="A23" s="306"/>
      <c r="B23" s="1761"/>
      <c r="C23" s="3423"/>
      <c r="D23" s="3424"/>
      <c r="E23" s="1517"/>
      <c r="F23" s="1517"/>
      <c r="G23" s="1517"/>
      <c r="H23" s="381"/>
      <c r="I23" s="1517">
        <f t="shared" si="0"/>
        <v>0</v>
      </c>
      <c r="U23" s="1802"/>
    </row>
    <row r="24" spans="1:21" s="387" customFormat="1" ht="27.45" customHeight="1" x14ac:dyDescent="0.25">
      <c r="A24" s="304" t="s">
        <v>1038</v>
      </c>
      <c r="B24" s="1496"/>
      <c r="F24" s="387" t="s">
        <v>1971</v>
      </c>
      <c r="G24" s="190"/>
      <c r="H24" s="190"/>
      <c r="I24" s="1517">
        <f>SUM(I19:I23)</f>
        <v>0</v>
      </c>
      <c r="U24" s="1521"/>
    </row>
    <row r="25" spans="1:21" s="347" customFormat="1" ht="21" customHeight="1" x14ac:dyDescent="0.25">
      <c r="A25" s="304" t="s">
        <v>1038</v>
      </c>
      <c r="B25" s="1492"/>
      <c r="C25" s="1492"/>
      <c r="D25" s="1492"/>
      <c r="E25" s="1492"/>
      <c r="F25" s="1492"/>
      <c r="G25" s="187"/>
      <c r="H25" s="380"/>
      <c r="U25" s="1521"/>
    </row>
    <row r="26" spans="1:21" s="347" customFormat="1" ht="26.25" customHeight="1" x14ac:dyDescent="0.25">
      <c r="A26" s="304" t="s">
        <v>1038</v>
      </c>
      <c r="B26" s="48" t="s">
        <v>2401</v>
      </c>
      <c r="C26" s="9"/>
      <c r="D26" s="9"/>
      <c r="E26" s="9"/>
      <c r="F26" s="9"/>
      <c r="G26" s="188"/>
      <c r="H26" s="188"/>
      <c r="U26" s="1521"/>
    </row>
    <row r="27" spans="1:21" s="387" customFormat="1" ht="50.7" customHeight="1" x14ac:dyDescent="0.25">
      <c r="A27" s="304" t="s">
        <v>1038</v>
      </c>
      <c r="B27" s="3434" t="s">
        <v>1087</v>
      </c>
      <c r="C27" s="1491" t="s">
        <v>0</v>
      </c>
      <c r="D27" s="1491" t="s">
        <v>2100</v>
      </c>
      <c r="E27" s="1491" t="s">
        <v>123</v>
      </c>
      <c r="F27" s="3395" t="s">
        <v>121</v>
      </c>
      <c r="G27" s="3395"/>
      <c r="H27" s="32"/>
      <c r="I27" s="190"/>
      <c r="Q27" s="2266">
        <f>SUM(Q31:Q38)</f>
        <v>0</v>
      </c>
      <c r="R27" s="2266">
        <f>SUM(R31:R38)</f>
        <v>0</v>
      </c>
      <c r="U27" s="1521"/>
    </row>
    <row r="28" spans="1:21" s="387" customFormat="1" ht="186" customHeight="1" x14ac:dyDescent="0.25">
      <c r="A28" s="304" t="s">
        <v>1038</v>
      </c>
      <c r="B28" s="3435"/>
      <c r="C28" s="3467" t="s">
        <v>2306</v>
      </c>
      <c r="D28" s="3404"/>
      <c r="E28" s="1789" t="s">
        <v>2307</v>
      </c>
      <c r="F28" s="3467" t="s">
        <v>2308</v>
      </c>
      <c r="G28" s="3467"/>
      <c r="H28" s="32"/>
      <c r="I28" s="190"/>
      <c r="M28" s="952" t="s">
        <v>2927</v>
      </c>
      <c r="N28" s="952"/>
      <c r="O28" s="952" t="s">
        <v>2927</v>
      </c>
      <c r="P28" s="952"/>
      <c r="Q28" s="2265" t="s">
        <v>3022</v>
      </c>
      <c r="R28" s="2265" t="s">
        <v>3023</v>
      </c>
      <c r="U28" s="1521"/>
    </row>
    <row r="29" spans="1:21" s="387" customFormat="1" ht="35.25" hidden="1" customHeight="1" x14ac:dyDescent="0.25">
      <c r="A29" s="304" t="s">
        <v>1038</v>
      </c>
      <c r="B29" s="1156" t="str">
        <f>B27</f>
        <v>Building ID</v>
      </c>
      <c r="C29" s="1156" t="str">
        <f>C27</f>
        <v>Model Input Parameter</v>
      </c>
      <c r="D29" s="1156" t="str">
        <f>D27</f>
        <v>Table G3.1.1-3 System Type 
(or Semiconditioned System Description)</v>
      </c>
      <c r="E29" s="1156" t="str">
        <f>E27</f>
        <v>G3.1.1 Exception 
(or Semiconditioned Capacity and Area)</v>
      </c>
      <c r="F29" s="1156" t="str">
        <f>F27</f>
        <v>Spaces Modeled</v>
      </c>
      <c r="G29" s="1240"/>
      <c r="H29" s="32"/>
      <c r="I29" s="190"/>
      <c r="L29" s="35"/>
      <c r="Q29" s="2266"/>
      <c r="R29" s="2266"/>
      <c r="U29" s="1521"/>
    </row>
    <row r="30" spans="1:21" s="387" customFormat="1" ht="30.75" hidden="1" customHeight="1" x14ac:dyDescent="0.25">
      <c r="A30" s="306"/>
      <c r="B30" s="1517" t="s">
        <v>3414</v>
      </c>
      <c r="C30" s="1510"/>
      <c r="D30" s="1517"/>
      <c r="E30" s="1517"/>
      <c r="F30" s="3504"/>
      <c r="G30" s="3504"/>
      <c r="H30" s="379"/>
      <c r="I30" s="190"/>
      <c r="J30" s="951">
        <f t="shared" ref="J30:J31" si="1">IFERROR(_xlfn.NUMBERVALUE(IF(ISNUMBER(SEARCH("California",D30)),"Cali",SUBSTITUTE(MID(D30,8,2)," ",""))),"")</f>
        <v>0</v>
      </c>
      <c r="L30" s="35"/>
      <c r="Q30" s="2266"/>
      <c r="R30" s="2266"/>
      <c r="U30" s="1802"/>
    </row>
    <row r="31" spans="1:21" s="387" customFormat="1" ht="35.700000000000003" customHeight="1" x14ac:dyDescent="0.25">
      <c r="A31" s="306"/>
      <c r="B31" s="1517"/>
      <c r="C31" s="1510"/>
      <c r="D31" s="1517"/>
      <c r="E31" s="1517"/>
      <c r="F31" s="3504"/>
      <c r="G31" s="3504"/>
      <c r="H31" s="379"/>
      <c r="I31" s="190"/>
      <c r="J31" s="951">
        <f t="shared" si="1"/>
        <v>0</v>
      </c>
      <c r="L31" s="2179" t="b">
        <f>IF(J31=0,TRUE,IF(OR(J31=2,J31=3,J31=4,J31=6,J31=9,J31=10),TRUE,FALSE))</f>
        <v>1</v>
      </c>
      <c r="M31" s="2180" t="b">
        <f t="array" ref="M31">AND(EXACT(L31:L35,TRUE))</f>
        <v>0</v>
      </c>
      <c r="N31" s="2179" t="b">
        <f>IF(J31=0,TRUE,IF(OR(J31=7,J31=8,J31=11,J31=12,J31=13),TRUE,FALSE))</f>
        <v>1</v>
      </c>
      <c r="O31" s="2180" t="b">
        <f t="array" ref="O31">AND(EXACT(N31:N35,TRUE))</f>
        <v>0</v>
      </c>
      <c r="P31" s="230"/>
      <c r="Q31" s="2180">
        <f>IF(OR(J31=1,J31=5,J31=7,J31=10),1,0)</f>
        <v>0</v>
      </c>
      <c r="R31" s="2180">
        <f>IF(OR(J31=7,J31=8,J31=11,J31=12),1,0)</f>
        <v>0</v>
      </c>
      <c r="U31" s="1802"/>
    </row>
    <row r="32" spans="1:21" s="387" customFormat="1" ht="35.700000000000003" customHeight="1" x14ac:dyDescent="0.25">
      <c r="A32" s="306"/>
      <c r="B32" s="1517"/>
      <c r="C32" s="1510"/>
      <c r="D32" s="1517"/>
      <c r="E32" s="1517"/>
      <c r="F32" s="3504"/>
      <c r="G32" s="3504"/>
      <c r="H32" s="379"/>
      <c r="I32" s="190"/>
      <c r="J32" s="951">
        <f>IFERROR(_xlfn.NUMBERVALUE(IF(ISNUMBER(SEARCH("California",D32)),"Cali",SUBSTITUTE(MID(D32,8,2)," ",""))),"")</f>
        <v>0</v>
      </c>
      <c r="L32" s="2179" t="b">
        <f t="shared" ref="L32:L34" si="2">IF(J32=0,TRUE,IF(OR(J32=2,J32=3,J32=4,J32=6,J32=9,J32=10),TRUE,FALSE))</f>
        <v>1</v>
      </c>
      <c r="N32" s="2179" t="b">
        <f t="shared" ref="N32:N34" si="3">IF(J32=0,TRUE,IF(OR(J32=7,J32=8,J32=11,J32=12,J32=13),TRUE,FALSE))</f>
        <v>1</v>
      </c>
      <c r="Q32" s="2180">
        <f t="shared" ref="Q32:Q34" si="4">IF(OR(J32=1,J32=5,J32=7,J32=10),1,0)</f>
        <v>0</v>
      </c>
      <c r="R32" s="2180">
        <f t="shared" ref="R32:R34" si="5">IF(OR(J32=7,J32=8,J32=11,J32=12),1,0)</f>
        <v>0</v>
      </c>
      <c r="U32" s="1802"/>
    </row>
    <row r="33" spans="1:21" s="387" customFormat="1" ht="35.700000000000003" customHeight="1" x14ac:dyDescent="0.25">
      <c r="A33" s="304"/>
      <c r="B33" s="1517"/>
      <c r="C33" s="1510"/>
      <c r="D33" s="1517"/>
      <c r="E33" s="1517"/>
      <c r="F33" s="3504"/>
      <c r="G33" s="3504"/>
      <c r="H33" s="190"/>
      <c r="I33" s="190"/>
      <c r="J33" s="951">
        <f>IFERROR(_xlfn.NUMBERVALUE(IF(ISNUMBER(SEARCH("California",D33)),"Cali",SUBSTITUTE(MID(D33,8,2)," ",""))),"")</f>
        <v>0</v>
      </c>
      <c r="L33" s="2179" t="b">
        <f t="shared" si="2"/>
        <v>1</v>
      </c>
      <c r="N33" s="2179" t="b">
        <f t="shared" si="3"/>
        <v>1</v>
      </c>
      <c r="Q33" s="2180">
        <f t="shared" si="4"/>
        <v>0</v>
      </c>
      <c r="R33" s="2180">
        <f t="shared" si="5"/>
        <v>0</v>
      </c>
      <c r="U33" s="1802"/>
    </row>
    <row r="34" spans="1:21" s="387" customFormat="1" ht="35.700000000000003" hidden="1" customHeight="1" x14ac:dyDescent="0.25">
      <c r="A34" s="306" t="s">
        <v>803</v>
      </c>
      <c r="B34" s="1517">
        <f t="shared" ref="B34" si="6">GI_Project_Name</f>
        <v>0</v>
      </c>
      <c r="C34" s="1510"/>
      <c r="D34" s="1517"/>
      <c r="E34" s="1517"/>
      <c r="F34" s="3504"/>
      <c r="G34" s="3504"/>
      <c r="H34" s="379"/>
      <c r="I34" s="190"/>
      <c r="J34" s="951">
        <f>IFERROR(_xlfn.NUMBERVALUE(IF(ISNUMBER(SEARCH("California",D34)),"Cali",SUBSTITUTE(MID(D34,8,2)," ",""))),"")</f>
        <v>0</v>
      </c>
      <c r="L34" s="2179" t="b">
        <f t="shared" si="2"/>
        <v>1</v>
      </c>
      <c r="N34" s="2179" t="b">
        <f t="shared" si="3"/>
        <v>1</v>
      </c>
      <c r="Q34" s="2180">
        <f t="shared" si="4"/>
        <v>0</v>
      </c>
      <c r="R34" s="2180">
        <f t="shared" si="5"/>
        <v>0</v>
      </c>
      <c r="U34" s="1802"/>
    </row>
    <row r="35" spans="1:21" s="387" customFormat="1" ht="35.700000000000003" customHeight="1" x14ac:dyDescent="0.25">
      <c r="A35" s="304" t="s">
        <v>1038</v>
      </c>
      <c r="B35" s="339"/>
      <c r="G35" s="190"/>
      <c r="H35" s="190"/>
      <c r="Q35" s="347"/>
      <c r="R35" s="347"/>
      <c r="U35" s="1521"/>
    </row>
    <row r="36" spans="1:21" s="347" customFormat="1" ht="21" customHeight="1" x14ac:dyDescent="0.25">
      <c r="A36" s="304" t="s">
        <v>1038</v>
      </c>
      <c r="B36" s="1492"/>
      <c r="C36" s="1492"/>
      <c r="D36" s="1492"/>
      <c r="E36" s="1492"/>
      <c r="F36" s="1492"/>
      <c r="G36" s="187"/>
      <c r="H36" s="187"/>
      <c r="U36" s="1521"/>
    </row>
    <row r="37" spans="1:21" s="347" customFormat="1" ht="26.25" customHeight="1" x14ac:dyDescent="0.25">
      <c r="A37" s="304" t="s">
        <v>1038</v>
      </c>
      <c r="B37" s="196" t="s">
        <v>127</v>
      </c>
      <c r="C37" s="9"/>
      <c r="D37" s="9"/>
      <c r="E37" s="9"/>
      <c r="F37" s="9"/>
      <c r="G37" s="188"/>
      <c r="H37" s="188"/>
      <c r="U37" s="1521"/>
    </row>
    <row r="38" spans="1:21" s="387" customFormat="1" ht="34.5" customHeight="1" x14ac:dyDescent="0.25">
      <c r="A38" s="304" t="s">
        <v>1038</v>
      </c>
      <c r="B38" s="3761" t="s">
        <v>2467</v>
      </c>
      <c r="C38" s="3761"/>
      <c r="D38" s="3761"/>
      <c r="E38" s="3761"/>
      <c r="F38" s="3761"/>
      <c r="G38" s="3761"/>
      <c r="H38" s="1524"/>
      <c r="U38" s="1521"/>
    </row>
    <row r="39" spans="1:21" s="347" customFormat="1" ht="26.25" customHeight="1" x14ac:dyDescent="0.25">
      <c r="A39" s="304" t="s">
        <v>1038</v>
      </c>
      <c r="B39" s="47" t="s">
        <v>229</v>
      </c>
      <c r="C39" s="309"/>
      <c r="D39" s="309"/>
      <c r="E39" s="309"/>
      <c r="F39" s="309"/>
      <c r="G39" s="309"/>
      <c r="H39" s="309"/>
      <c r="U39" s="1521"/>
    </row>
    <row r="40" spans="1:21" s="387" customFormat="1" ht="116.7" customHeight="1" x14ac:dyDescent="0.25">
      <c r="A40" s="675" t="s">
        <v>1038</v>
      </c>
      <c r="B40" s="3554" t="s">
        <v>991</v>
      </c>
      <c r="C40" s="3554"/>
      <c r="D40" s="3554"/>
      <c r="E40" s="3554"/>
      <c r="F40" s="1510"/>
      <c r="G40" s="2076" t="s">
        <v>810</v>
      </c>
      <c r="H40" s="392"/>
      <c r="U40" s="1802"/>
    </row>
    <row r="41" spans="1:21" s="387" customFormat="1" ht="116.7" customHeight="1" x14ac:dyDescent="0.25">
      <c r="A41" s="675" t="s">
        <v>1038</v>
      </c>
      <c r="B41" s="3554" t="s">
        <v>992</v>
      </c>
      <c r="C41" s="3554"/>
      <c r="D41" s="3554"/>
      <c r="E41" s="3554"/>
      <c r="F41" s="1510"/>
      <c r="G41" s="2076" t="s">
        <v>810</v>
      </c>
      <c r="H41" s="392"/>
      <c r="U41" s="1802"/>
    </row>
    <row r="42" spans="1:21" s="387" customFormat="1" ht="116.7" customHeight="1" x14ac:dyDescent="0.25">
      <c r="A42" s="675" t="s">
        <v>1038</v>
      </c>
      <c r="B42" s="3554" t="s">
        <v>993</v>
      </c>
      <c r="C42" s="3554"/>
      <c r="D42" s="3554"/>
      <c r="E42" s="3554"/>
      <c r="F42" s="1510"/>
      <c r="G42" s="2076" t="s">
        <v>810</v>
      </c>
      <c r="H42" s="392"/>
      <c r="U42" s="1802"/>
    </row>
    <row r="43" spans="1:21" s="387" customFormat="1" ht="116.7" customHeight="1" x14ac:dyDescent="0.25">
      <c r="A43" s="675" t="s">
        <v>1038</v>
      </c>
      <c r="B43" s="3554" t="s">
        <v>994</v>
      </c>
      <c r="C43" s="3554"/>
      <c r="D43" s="3554"/>
      <c r="E43" s="3554"/>
      <c r="F43" s="1510"/>
      <c r="G43" s="2076" t="s">
        <v>810</v>
      </c>
      <c r="H43" s="392"/>
      <c r="U43" s="1802"/>
    </row>
    <row r="44" spans="1:21" s="387" customFormat="1" ht="116.7" customHeight="1" x14ac:dyDescent="0.25">
      <c r="A44" s="675" t="s">
        <v>1038</v>
      </c>
      <c r="B44" s="3554" t="s">
        <v>995</v>
      </c>
      <c r="C44" s="3554"/>
      <c r="D44" s="3554"/>
      <c r="E44" s="3554"/>
      <c r="F44" s="1510"/>
      <c r="G44" s="2076" t="s">
        <v>810</v>
      </c>
      <c r="H44" s="392"/>
      <c r="U44" s="1802"/>
    </row>
    <row r="45" spans="1:21" s="396" customFormat="1" ht="16.2" customHeight="1" x14ac:dyDescent="0.25">
      <c r="A45" s="675" t="s">
        <v>1038</v>
      </c>
      <c r="F45" s="173"/>
      <c r="G45" s="173"/>
      <c r="H45" s="173"/>
      <c r="U45" s="1521"/>
    </row>
    <row r="46" spans="1:21" s="347" customFormat="1" ht="16.2" customHeight="1" x14ac:dyDescent="0.25">
      <c r="A46" s="675" t="s">
        <v>1038</v>
      </c>
      <c r="B46" s="47" t="s">
        <v>230</v>
      </c>
      <c r="C46" s="309"/>
      <c r="D46" s="309"/>
      <c r="E46" s="309"/>
      <c r="F46" s="2077"/>
      <c r="G46" s="2077"/>
      <c r="H46" s="2077"/>
      <c r="I46" s="1555" t="s">
        <v>861</v>
      </c>
      <c r="J46" s="1555" t="s">
        <v>862</v>
      </c>
      <c r="K46" s="1555" t="s">
        <v>863</v>
      </c>
      <c r="U46" s="1521"/>
    </row>
    <row r="47" spans="1:21" s="387" customFormat="1" ht="116.7" customHeight="1" x14ac:dyDescent="0.25">
      <c r="A47" s="675"/>
      <c r="B47" s="3554" t="s">
        <v>3051</v>
      </c>
      <c r="C47" s="3554"/>
      <c r="D47" s="3554"/>
      <c r="E47" s="3554"/>
      <c r="F47" s="1510"/>
      <c r="G47" s="2076" t="s">
        <v>810</v>
      </c>
      <c r="H47" s="392"/>
      <c r="U47" s="1510"/>
    </row>
    <row r="48" spans="1:21" s="387" customFormat="1" ht="116.7" customHeight="1" x14ac:dyDescent="0.25">
      <c r="A48" s="675" t="s">
        <v>1038</v>
      </c>
      <c r="B48" s="3554" t="s">
        <v>921</v>
      </c>
      <c r="C48" s="3554"/>
      <c r="D48" s="3554"/>
      <c r="E48" s="3554"/>
      <c r="F48" s="1510"/>
      <c r="G48" s="2076" t="s">
        <v>2101</v>
      </c>
      <c r="H48" s="392"/>
      <c r="I48" s="913" t="e">
        <f ca="1">IF(J48=TRUE,TRUE,FALSE)</f>
        <v>#NAME?</v>
      </c>
      <c r="J48" s="916" t="e">
        <f ca="1">isbasehvac(1,2,3,4,9,10,11,12,13)</f>
        <v>#NAME?</v>
      </c>
      <c r="S48" s="190"/>
      <c r="U48" s="1510"/>
    </row>
    <row r="49" spans="1:21" s="387" customFormat="1" ht="116.7" customHeight="1" x14ac:dyDescent="0.25">
      <c r="A49" s="675" t="s">
        <v>1038</v>
      </c>
      <c r="B49" s="3554" t="s">
        <v>922</v>
      </c>
      <c r="C49" s="3554"/>
      <c r="D49" s="3554"/>
      <c r="E49" s="3554"/>
      <c r="F49" s="1510"/>
      <c r="G49" s="2076" t="s">
        <v>811</v>
      </c>
      <c r="H49" s="392"/>
      <c r="I49" s="913" t="e">
        <f ca="1">IF(J49=TRUE,TRUE,FALSE)</f>
        <v>#NAME?</v>
      </c>
      <c r="J49" s="916" t="e">
        <f ca="1">isbasehvac(5,6,7,8)</f>
        <v>#NAME?</v>
      </c>
      <c r="U49" s="1510"/>
    </row>
    <row r="50" spans="1:21" s="387" customFormat="1" ht="116.7" customHeight="1" x14ac:dyDescent="0.25">
      <c r="A50" s="675" t="s">
        <v>1038</v>
      </c>
      <c r="B50" s="3554" t="s">
        <v>923</v>
      </c>
      <c r="C50" s="3554"/>
      <c r="D50" s="3554"/>
      <c r="E50" s="3554"/>
      <c r="F50" s="1510"/>
      <c r="G50" s="2076" t="s">
        <v>810</v>
      </c>
      <c r="H50" s="392"/>
      <c r="I50" s="913" t="b">
        <v>1</v>
      </c>
      <c r="U50" s="1510"/>
    </row>
    <row r="51" spans="1:21" s="387" customFormat="1" ht="116.7" customHeight="1" x14ac:dyDescent="0.25">
      <c r="A51" s="675" t="s">
        <v>1038</v>
      </c>
      <c r="B51" s="3554" t="s">
        <v>924</v>
      </c>
      <c r="C51" s="3554"/>
      <c r="D51" s="3554"/>
      <c r="E51" s="3554"/>
      <c r="F51" s="1510"/>
      <c r="G51" s="2078" t="s">
        <v>1860</v>
      </c>
      <c r="H51" s="892"/>
      <c r="I51" s="913" t="e">
        <f ca="1">IF(J51=TRUE,TRUE,IF(AND(K51=TRUE,'General Information'!$S$68=TRUE),TRUE,FALSE))</f>
        <v>#NAME?</v>
      </c>
      <c r="J51" s="916" t="e">
        <f ca="1">isbasehvac(1,2,3,4,5,6)</f>
        <v>#NAME?</v>
      </c>
      <c r="K51" s="916" t="e">
        <f ca="1">isbasehvac(1,3,5)</f>
        <v>#NAME?</v>
      </c>
      <c r="U51" s="1510"/>
    </row>
    <row r="52" spans="1:21" s="387" customFormat="1" ht="116.7" customHeight="1" x14ac:dyDescent="0.25">
      <c r="A52" s="675" t="s">
        <v>1038</v>
      </c>
      <c r="B52" s="3554" t="s">
        <v>925</v>
      </c>
      <c r="C52" s="3554"/>
      <c r="D52" s="3554"/>
      <c r="E52" s="3554"/>
      <c r="F52" s="1510"/>
      <c r="G52" s="2076" t="s">
        <v>810</v>
      </c>
      <c r="H52" s="392"/>
      <c r="I52" s="913" t="b">
        <v>1</v>
      </c>
      <c r="U52" s="1510"/>
    </row>
    <row r="53" spans="1:21" s="387" customFormat="1" ht="116.7" customHeight="1" x14ac:dyDescent="0.25">
      <c r="A53" s="675" t="s">
        <v>1038</v>
      </c>
      <c r="B53" s="3554" t="s">
        <v>926</v>
      </c>
      <c r="C53" s="3554"/>
      <c r="D53" s="3554"/>
      <c r="E53" s="3554"/>
      <c r="F53" s="1510"/>
      <c r="G53" s="2076" t="s">
        <v>810</v>
      </c>
      <c r="H53" s="392"/>
      <c r="I53" s="913" t="b">
        <v>1</v>
      </c>
      <c r="U53" s="1510"/>
    </row>
    <row r="54" spans="1:21" s="387" customFormat="1" ht="116.7" customHeight="1" x14ac:dyDescent="0.25">
      <c r="A54" s="675" t="s">
        <v>1038</v>
      </c>
      <c r="B54" s="3554" t="s">
        <v>2122</v>
      </c>
      <c r="C54" s="3554"/>
      <c r="D54" s="3554"/>
      <c r="E54" s="3554"/>
      <c r="F54" s="1510"/>
      <c r="G54" s="2076" t="s">
        <v>810</v>
      </c>
      <c r="H54" s="392"/>
      <c r="I54" s="913" t="b">
        <v>1</v>
      </c>
      <c r="U54" s="1510"/>
    </row>
    <row r="55" spans="1:21" s="387" customFormat="1" ht="116.7" customHeight="1" x14ac:dyDescent="0.25">
      <c r="A55" s="675" t="s">
        <v>1038</v>
      </c>
      <c r="B55" s="3554" t="s">
        <v>2121</v>
      </c>
      <c r="C55" s="3554"/>
      <c r="D55" s="3554"/>
      <c r="E55" s="3554"/>
      <c r="F55" s="1510"/>
      <c r="G55" s="2076" t="s">
        <v>2102</v>
      </c>
      <c r="H55" s="392"/>
      <c r="I55" s="913" t="e">
        <f ca="1">IF(J55=TRUE,TRUE,FALSE)</f>
        <v>#NAME?</v>
      </c>
      <c r="J55" s="916" t="e">
        <f ca="1">isbasehvac(3,4,5,6,7,8,9,10,11,12,13)</f>
        <v>#NAME?</v>
      </c>
      <c r="U55" s="1510"/>
    </row>
    <row r="56" spans="1:21" s="387" customFormat="1" ht="160.5" customHeight="1" x14ac:dyDescent="0.25">
      <c r="A56" s="675" t="s">
        <v>1038</v>
      </c>
      <c r="B56" s="3759" t="str">
        <f>IF('General Information'!J9="ENERGY STAR MFHR",DropdownData!DV3,DropdownData!DW3)</f>
        <v xml:space="preserve">Per Section G3.1.2.5, the minimum ventilation system outdoor air intake flow was modeled the same for the proposed design and baseline building design except when modeling demand control ventilation in the proposed design (G3.1.2.5 Exception 1), for proposed designs with the zone air distribution effectiveness Ez&gt;1.0 as defined in ASHRAE Standard 62.1 (G3.1.2.5 Exception 2), when proposed design has the minimum outdoor air intake flow in excess of the amount required by the building code or the rating authority (G3.1.2.5 Exception 3), or for the baseline systems serving certain laboratory spaces (G3.1.2.5 Exception 4). Indicate if any of the exceptions apply in the Additional Notes field.
The Baseline outside air volume and Proposed outside air volume values must be reported consistently with the information provided in IEQ Prerequisite: Minimum Indoor Air Quality, or supplemental documentation must be provided to support the local OA volume requirements or Baseline calculations for systems with Ez &gt; 1.0. 
</v>
      </c>
      <c r="C56" s="3759"/>
      <c r="D56" s="3759"/>
      <c r="E56" s="3759"/>
      <c r="F56" s="1510"/>
      <c r="G56" s="2076" t="s">
        <v>810</v>
      </c>
      <c r="H56" s="392"/>
      <c r="I56" s="913" t="b">
        <v>1</v>
      </c>
      <c r="U56" s="1510"/>
    </row>
    <row r="57" spans="1:21" s="387" customFormat="1" ht="116.7" customHeight="1" x14ac:dyDescent="0.25">
      <c r="A57" s="675" t="s">
        <v>1038</v>
      </c>
      <c r="B57" s="3554" t="s">
        <v>927</v>
      </c>
      <c r="C57" s="3554"/>
      <c r="D57" s="3554"/>
      <c r="E57" s="3554"/>
      <c r="F57" s="1510"/>
      <c r="G57" s="2076" t="s">
        <v>810</v>
      </c>
      <c r="H57" s="392"/>
      <c r="I57" s="913" t="b">
        <v>1</v>
      </c>
      <c r="U57" s="1510"/>
    </row>
    <row r="58" spans="1:21" s="387" customFormat="1" ht="116.7" customHeight="1" x14ac:dyDescent="0.25">
      <c r="A58" s="675" t="s">
        <v>1038</v>
      </c>
      <c r="B58" s="3554" t="s">
        <v>2123</v>
      </c>
      <c r="C58" s="3554"/>
      <c r="D58" s="3554"/>
      <c r="E58" s="3554"/>
      <c r="F58" s="1510"/>
      <c r="G58" s="2076" t="s">
        <v>2103</v>
      </c>
      <c r="H58" s="392"/>
      <c r="I58" s="913" t="e">
        <f t="shared" ref="I58:I64" ca="1" si="7">IF(J58=TRUE,TRUE,FALSE)</f>
        <v>#NAME?</v>
      </c>
      <c r="J58" s="916" t="e">
        <f ca="1">isbasehvac(1,2,3,4,5,6,7,8,11,12,13)</f>
        <v>#NAME?</v>
      </c>
      <c r="U58" s="1510"/>
    </row>
    <row r="59" spans="1:21" s="387" customFormat="1" ht="116.7" customHeight="1" x14ac:dyDescent="0.25">
      <c r="A59" s="675" t="s">
        <v>1038</v>
      </c>
      <c r="B59" s="3554" t="s">
        <v>2336</v>
      </c>
      <c r="C59" s="3554"/>
      <c r="D59" s="3554"/>
      <c r="E59" s="3554"/>
      <c r="F59" s="1510"/>
      <c r="G59" s="2076" t="s">
        <v>812</v>
      </c>
      <c r="H59" s="392"/>
      <c r="I59" s="913" t="e">
        <f t="shared" ca="1" si="7"/>
        <v>#NAME?</v>
      </c>
      <c r="J59" s="916" t="e">
        <f ca="1">isbasehvac(9,10)</f>
        <v>#NAME?</v>
      </c>
      <c r="U59" s="1510"/>
    </row>
    <row r="60" spans="1:21" s="387" customFormat="1" ht="116.7" customHeight="1" x14ac:dyDescent="0.25">
      <c r="A60" s="675" t="s">
        <v>1038</v>
      </c>
      <c r="B60" s="3554" t="s">
        <v>928</v>
      </c>
      <c r="C60" s="3554"/>
      <c r="D60" s="3554"/>
      <c r="E60" s="3554"/>
      <c r="F60" s="1510"/>
      <c r="G60" s="2078" t="s">
        <v>996</v>
      </c>
      <c r="H60" s="892"/>
      <c r="I60" s="913" t="e">
        <f t="shared" ca="1" si="7"/>
        <v>#NAME?</v>
      </c>
      <c r="J60" s="916" t="e">
        <f ca="1">isbasehvac(2,4)</f>
        <v>#NAME?</v>
      </c>
      <c r="U60" s="1510"/>
    </row>
    <row r="61" spans="1:21" s="387" customFormat="1" ht="116.7" customHeight="1" x14ac:dyDescent="0.25">
      <c r="A61" s="675" t="s">
        <v>1038</v>
      </c>
      <c r="B61" s="3554" t="s">
        <v>929</v>
      </c>
      <c r="C61" s="3554"/>
      <c r="D61" s="3554"/>
      <c r="E61" s="3554"/>
      <c r="F61" s="1510"/>
      <c r="G61" s="2076" t="s">
        <v>811</v>
      </c>
      <c r="H61" s="392"/>
      <c r="I61" s="913" t="e">
        <f t="shared" ca="1" si="7"/>
        <v>#NAME?</v>
      </c>
      <c r="J61" s="916" t="e">
        <f ca="1">isbasehvac(5,6,7,8)</f>
        <v>#NAME?</v>
      </c>
      <c r="U61" s="1510"/>
    </row>
    <row r="62" spans="1:21" s="387" customFormat="1" ht="116.7" customHeight="1" x14ac:dyDescent="0.25">
      <c r="A62" s="675" t="s">
        <v>1038</v>
      </c>
      <c r="B62" s="3554" t="s">
        <v>2230</v>
      </c>
      <c r="C62" s="3554"/>
      <c r="D62" s="3554"/>
      <c r="E62" s="3554"/>
      <c r="F62" s="1510"/>
      <c r="G62" s="2076" t="s">
        <v>811</v>
      </c>
      <c r="H62" s="392"/>
      <c r="I62" s="913" t="e">
        <f t="shared" ca="1" si="7"/>
        <v>#NAME?</v>
      </c>
      <c r="J62" s="916" t="e">
        <f ca="1">isbasehvac(5,6,7,8)</f>
        <v>#NAME?</v>
      </c>
      <c r="U62" s="1510"/>
    </row>
    <row r="63" spans="1:21" s="387" customFormat="1" ht="116.7" customHeight="1" x14ac:dyDescent="0.25">
      <c r="A63" s="675" t="s">
        <v>1038</v>
      </c>
      <c r="B63" s="3554" t="s">
        <v>930</v>
      </c>
      <c r="C63" s="3554"/>
      <c r="D63" s="3554"/>
      <c r="E63" s="3554"/>
      <c r="F63" s="1510"/>
      <c r="G63" s="2076" t="s">
        <v>813</v>
      </c>
      <c r="H63" s="392"/>
      <c r="I63" s="913" t="e">
        <f t="shared" ca="1" si="7"/>
        <v>#NAME?</v>
      </c>
      <c r="J63" s="916" t="e">
        <f ca="1">isbasehvac(5,7)</f>
        <v>#NAME?</v>
      </c>
      <c r="U63" s="1510"/>
    </row>
    <row r="64" spans="1:21" s="387" customFormat="1" ht="116.7" customHeight="1" x14ac:dyDescent="0.25">
      <c r="A64" s="675" t="s">
        <v>1038</v>
      </c>
      <c r="B64" s="3554" t="s">
        <v>931</v>
      </c>
      <c r="C64" s="3554"/>
      <c r="D64" s="3554"/>
      <c r="E64" s="3554"/>
      <c r="F64" s="1510"/>
      <c r="G64" s="2078" t="s">
        <v>814</v>
      </c>
      <c r="H64" s="892"/>
      <c r="I64" s="913" t="e">
        <f t="shared" ca="1" si="7"/>
        <v>#NAME?</v>
      </c>
      <c r="J64" s="916" t="e">
        <f ca="1">isbasehvac(6,8)</f>
        <v>#NAME?</v>
      </c>
      <c r="U64" s="1510"/>
    </row>
    <row r="65" spans="1:21" s="387" customFormat="1" ht="116.7" customHeight="1" x14ac:dyDescent="0.25">
      <c r="A65" s="675"/>
      <c r="B65" s="3554" t="s">
        <v>2105</v>
      </c>
      <c r="C65" s="3554"/>
      <c r="D65" s="3554"/>
      <c r="E65" s="3554"/>
      <c r="F65" s="1510"/>
      <c r="G65" s="2076" t="s">
        <v>2104</v>
      </c>
      <c r="H65" s="392"/>
      <c r="I65" s="913" t="e">
        <f ca="1">IF(J65=TRUE,TRUE,FALSE)</f>
        <v>#NAME?</v>
      </c>
      <c r="J65" s="916" t="e">
        <f ca="1">isbasehvac(5,6,7,8,11)</f>
        <v>#NAME?</v>
      </c>
      <c r="U65" s="1510"/>
    </row>
    <row r="66" spans="1:21" s="387" customFormat="1" ht="116.7" customHeight="1" x14ac:dyDescent="0.25">
      <c r="A66" s="675"/>
      <c r="B66" s="3554" t="s">
        <v>2231</v>
      </c>
      <c r="C66" s="3554"/>
      <c r="D66" s="3554"/>
      <c r="E66" s="3554"/>
      <c r="F66" s="1510"/>
      <c r="G66" s="2079" t="s">
        <v>1883</v>
      </c>
      <c r="H66" s="892"/>
      <c r="I66" s="626" t="e">
        <f ca="1">IF(J66=TRUE,TRUE,FALSE)</f>
        <v>#NAME?</v>
      </c>
      <c r="J66" s="916" t="e">
        <f ca="1">isbasehvac(11)</f>
        <v>#NAME?</v>
      </c>
      <c r="K66" s="35"/>
      <c r="U66" s="1510"/>
    </row>
    <row r="67" spans="1:21" s="387" customFormat="1" ht="116.7" customHeight="1" x14ac:dyDescent="0.25">
      <c r="A67" s="675"/>
      <c r="B67" s="3554" t="s">
        <v>2232</v>
      </c>
      <c r="C67" s="3554"/>
      <c r="D67" s="3554"/>
      <c r="E67" s="3554"/>
      <c r="F67" s="1510"/>
      <c r="G67" s="2079" t="s">
        <v>1883</v>
      </c>
      <c r="H67" s="892"/>
      <c r="I67" s="626" t="e">
        <f ca="1">IF(J67=TRUE,TRUE,FALSE)</f>
        <v>#NAME?</v>
      </c>
      <c r="J67" s="916" t="e">
        <f ca="1">isbasehvac(11)</f>
        <v>#NAME?</v>
      </c>
      <c r="K67" s="35"/>
      <c r="U67" s="1510"/>
    </row>
    <row r="68" spans="1:21" s="387" customFormat="1" ht="116.7" customHeight="1" x14ac:dyDescent="0.25">
      <c r="A68" s="675"/>
      <c r="B68" s="3554" t="s">
        <v>2233</v>
      </c>
      <c r="C68" s="3756"/>
      <c r="D68" s="3756"/>
      <c r="E68" s="3756"/>
      <c r="F68" s="1510"/>
      <c r="G68" s="2079" t="s">
        <v>810</v>
      </c>
      <c r="H68" s="892"/>
      <c r="I68" s="626" t="b">
        <v>1</v>
      </c>
      <c r="J68" s="35"/>
      <c r="K68" s="35"/>
      <c r="U68" s="1510"/>
    </row>
    <row r="69" spans="1:21" s="396" customFormat="1" ht="18" customHeight="1" x14ac:dyDescent="0.25">
      <c r="A69" s="675" t="s">
        <v>1038</v>
      </c>
      <c r="F69" s="173"/>
      <c r="G69" s="173"/>
      <c r="H69" s="173"/>
      <c r="U69" s="1521"/>
    </row>
    <row r="70" spans="1:21" s="347" customFormat="1" ht="18" customHeight="1" x14ac:dyDescent="0.25">
      <c r="A70" s="675" t="s">
        <v>1038</v>
      </c>
      <c r="B70" s="47" t="s">
        <v>231</v>
      </c>
      <c r="C70" s="309"/>
      <c r="D70" s="309"/>
      <c r="E70" s="309"/>
      <c r="F70" s="2077"/>
      <c r="G70" s="2077"/>
      <c r="H70" s="2077"/>
      <c r="U70" s="1521"/>
    </row>
    <row r="71" spans="1:21" s="387" customFormat="1" ht="116.7" customHeight="1" x14ac:dyDescent="0.25">
      <c r="A71" s="675" t="s">
        <v>1038</v>
      </c>
      <c r="B71" s="3554" t="s">
        <v>982</v>
      </c>
      <c r="C71" s="3554"/>
      <c r="D71" s="3554"/>
      <c r="E71" s="3554"/>
      <c r="F71" s="1510"/>
      <c r="G71" s="2078" t="s">
        <v>2106</v>
      </c>
      <c r="H71" s="892"/>
      <c r="I71" s="913" t="e">
        <f ca="1">IF('General Information'!$S$68=TRUE,FALSE,IF(J71=TRUE,TRUE,IF(AND(K71=TRUE,'General Information'!$R$68=TRUE),TRUE,FALSE)))</f>
        <v>#NAME?</v>
      </c>
      <c r="J71" s="916" t="e">
        <f ca="1">isbasehvac(1,5,7,11,12)</f>
        <v>#NAME?</v>
      </c>
      <c r="K71" s="916" t="e">
        <f ca="1">isbasehvac(1,2,5,6,7,8,11,12)</f>
        <v>#NAME?</v>
      </c>
      <c r="U71" s="1510"/>
    </row>
    <row r="72" spans="1:21" s="387" customFormat="1" ht="116.7" customHeight="1" x14ac:dyDescent="0.25">
      <c r="A72" s="675" t="s">
        <v>1038</v>
      </c>
      <c r="B72" s="3554" t="s">
        <v>1881</v>
      </c>
      <c r="C72" s="3554"/>
      <c r="D72" s="3554"/>
      <c r="E72" s="3554"/>
      <c r="F72" s="1510"/>
      <c r="G72" s="2078" t="s">
        <v>2107</v>
      </c>
      <c r="H72" s="892"/>
      <c r="I72" s="913" t="e">
        <f ca="1">IF('General Information'!$S$68=TRUE,FALSE,IF(J72=TRUE,TRUE,IF(AND(K72=TRUE,'General Information'!$R$68=TRUE),TRUE,FALSE)))</f>
        <v>#NAME?</v>
      </c>
      <c r="J72" s="916" t="e">
        <f ca="1">isbasehvac(1,5,7,11,12)</f>
        <v>#NAME?</v>
      </c>
      <c r="K72" s="916" t="e">
        <f ca="1">isbasehvac(1,2,5,6,7,8)</f>
        <v>#NAME?</v>
      </c>
      <c r="U72" s="1510"/>
    </row>
    <row r="73" spans="1:21" s="387" customFormat="1" ht="116.7" customHeight="1" x14ac:dyDescent="0.25">
      <c r="A73" s="675" t="s">
        <v>1038</v>
      </c>
      <c r="B73" s="3554" t="s">
        <v>983</v>
      </c>
      <c r="C73" s="3554"/>
      <c r="D73" s="3554"/>
      <c r="E73" s="3554"/>
      <c r="F73" s="1510"/>
      <c r="G73" s="2078" t="s">
        <v>2108</v>
      </c>
      <c r="H73" s="892"/>
      <c r="I73" s="913" t="e">
        <f ca="1">IF('General Information'!$S$68=TRUE,FALSE,IF(J73=TRUE,TRUE,IF(AND(K73=TRUE,'General Information'!$R$68=TRUE),TRUE,FALSE)))</f>
        <v>#NAME?</v>
      </c>
      <c r="J73" s="916" t="e">
        <f ca="1">isbasehvac(1,5,7,11,12)</f>
        <v>#NAME?</v>
      </c>
      <c r="K73" s="916" t="e">
        <f ca="1">isbasehvac(1,2,5,6,7,8)</f>
        <v>#NAME?</v>
      </c>
      <c r="U73" s="1510"/>
    </row>
    <row r="74" spans="1:21" s="387" customFormat="1" ht="116.7" customHeight="1" x14ac:dyDescent="0.25">
      <c r="A74" s="675" t="s">
        <v>1038</v>
      </c>
      <c r="B74" s="3554" t="s">
        <v>984</v>
      </c>
      <c r="C74" s="3554"/>
      <c r="D74" s="3554"/>
      <c r="E74" s="3554"/>
      <c r="F74" s="1510"/>
      <c r="G74" s="2078" t="s">
        <v>2109</v>
      </c>
      <c r="H74" s="892"/>
      <c r="I74" s="913" t="e">
        <f ca="1">IF('General Information'!$S$68=TRUE,FALSE,IF(J74=TRUE,TRUE,IF(AND(K74=TRUE,'General Information'!$R$68=TRUE),TRUE,FALSE)))</f>
        <v>#NAME?</v>
      </c>
      <c r="J74" s="916" t="e">
        <f ca="1">isbasehvac(1,5,7,11,12)</f>
        <v>#NAME?</v>
      </c>
      <c r="K74" s="916" t="e">
        <f ca="1">isbasehvac(1,2,5,6,7,8)</f>
        <v>#NAME?</v>
      </c>
      <c r="U74" s="1510"/>
    </row>
    <row r="75" spans="1:21" s="387" customFormat="1" ht="116.7" customHeight="1" x14ac:dyDescent="0.25">
      <c r="A75" s="675" t="s">
        <v>1038</v>
      </c>
      <c r="B75" s="3554" t="s">
        <v>985</v>
      </c>
      <c r="C75" s="3554"/>
      <c r="D75" s="3554"/>
      <c r="E75" s="3554"/>
      <c r="F75" s="1510"/>
      <c r="G75" s="2078" t="s">
        <v>2110</v>
      </c>
      <c r="H75" s="892"/>
      <c r="I75" s="913" t="e">
        <f ca="1">IF(OR('General Information'!$R$68=TRUE,'General Information'!$S$68=TRUE),TRUE,IF(J75=TRUE,TRUE,FALSE))</f>
        <v>#NAME?</v>
      </c>
      <c r="J75" s="916" t="e">
        <f ca="1">isbasehvac(1,5,7,8,11,12,13)</f>
        <v>#NAME?</v>
      </c>
      <c r="U75" s="1510"/>
    </row>
    <row r="76" spans="1:21" s="387" customFormat="1" ht="116.7" customHeight="1" x14ac:dyDescent="0.25">
      <c r="A76" s="675" t="s">
        <v>1038</v>
      </c>
      <c r="B76" s="3554" t="s">
        <v>986</v>
      </c>
      <c r="C76" s="3554"/>
      <c r="D76" s="3554"/>
      <c r="E76" s="3554"/>
      <c r="F76" s="1510"/>
      <c r="G76" s="2078" t="s">
        <v>2111</v>
      </c>
      <c r="H76" s="892"/>
      <c r="I76" s="913" t="e">
        <f ca="1">IF('General Information'!$R$68=TRUE,FALSE,IF(J76=TRUE,TRUE,FALSE))</f>
        <v>#NAME?</v>
      </c>
      <c r="J76" s="916" t="e">
        <f ca="1">isbasehvac(7,8,11,12,13)</f>
        <v>#NAME?</v>
      </c>
      <c r="U76" s="1510"/>
    </row>
    <row r="77" spans="1:21" s="387" customFormat="1" ht="116.7" customHeight="1" x14ac:dyDescent="0.25">
      <c r="A77" s="675" t="s">
        <v>1038</v>
      </c>
      <c r="B77" s="3554" t="s">
        <v>987</v>
      </c>
      <c r="C77" s="3554"/>
      <c r="D77" s="3554"/>
      <c r="E77" s="3554"/>
      <c r="F77" s="1510"/>
      <c r="G77" s="2078" t="s">
        <v>2112</v>
      </c>
      <c r="H77" s="892"/>
      <c r="I77" s="913" t="e">
        <f ca="1">IF('General Information'!$R$68=TRUE,FALSE,IF(J77=TRUE,TRUE,FALSE))</f>
        <v>#NAME?</v>
      </c>
      <c r="J77" s="916" t="e">
        <f ca="1">isbasehvac(7,8,11,12,13)</f>
        <v>#NAME?</v>
      </c>
      <c r="U77" s="1510"/>
    </row>
    <row r="78" spans="1:21" s="387" customFormat="1" ht="116.7" customHeight="1" x14ac:dyDescent="0.25">
      <c r="A78" s="675" t="s">
        <v>1038</v>
      </c>
      <c r="B78" s="3554" t="s">
        <v>1882</v>
      </c>
      <c r="C78" s="3554"/>
      <c r="D78" s="3554"/>
      <c r="E78" s="3554"/>
      <c r="F78" s="1510"/>
      <c r="G78" s="2078" t="s">
        <v>2113</v>
      </c>
      <c r="H78" s="892"/>
      <c r="I78" s="913" t="e">
        <f ca="1">IF('General Information'!$R$68=TRUE,FALSE,IF(J78=TRUE,TRUE,FALSE))</f>
        <v>#NAME?</v>
      </c>
      <c r="J78" s="916" t="e">
        <f ca="1">isbasehvac(7,8,11,12,13)</f>
        <v>#NAME?</v>
      </c>
      <c r="U78" s="1510"/>
    </row>
    <row r="79" spans="1:21" s="387" customFormat="1" ht="116.7" customHeight="1" x14ac:dyDescent="0.25">
      <c r="A79" s="675" t="s">
        <v>1038</v>
      </c>
      <c r="B79" s="3554" t="s">
        <v>988</v>
      </c>
      <c r="C79" s="3554"/>
      <c r="D79" s="3554"/>
      <c r="E79" s="3554"/>
      <c r="F79" s="1510"/>
      <c r="G79" s="2078" t="s">
        <v>2114</v>
      </c>
      <c r="H79" s="892"/>
      <c r="I79" s="913" t="e">
        <f ca="1">IF('General Information'!$R$68=TRUE,FALSE,IF(J79=TRUE,TRUE,FALSE))</f>
        <v>#NAME?</v>
      </c>
      <c r="J79" s="916" t="e">
        <f ca="1">isbasehvac(7,8,11)</f>
        <v>#NAME?</v>
      </c>
      <c r="U79" s="1510"/>
    </row>
    <row r="80" spans="1:21" s="387" customFormat="1" ht="116.7" customHeight="1" x14ac:dyDescent="0.25">
      <c r="A80" s="675" t="s">
        <v>1038</v>
      </c>
      <c r="B80" s="3554" t="s">
        <v>2119</v>
      </c>
      <c r="C80" s="3554"/>
      <c r="D80" s="3554"/>
      <c r="E80" s="3554"/>
      <c r="F80" s="1510"/>
      <c r="G80" s="2078" t="s">
        <v>2115</v>
      </c>
      <c r="H80" s="892"/>
      <c r="I80" s="913" t="e">
        <f ca="1">IF('General Information'!$R$68=TRUE,FALSE,IF(J80=TRUE,TRUE,FALSE))</f>
        <v>#NAME?</v>
      </c>
      <c r="J80" s="916" t="e">
        <f ca="1">isbasehvac(7,8,11,12,13)</f>
        <v>#NAME?</v>
      </c>
      <c r="U80" s="1510"/>
    </row>
    <row r="81" spans="1:21" s="387" customFormat="1" ht="116.7" customHeight="1" x14ac:dyDescent="0.25">
      <c r="A81" s="675" t="s">
        <v>1038</v>
      </c>
      <c r="B81" s="3554" t="s">
        <v>2120</v>
      </c>
      <c r="C81" s="3554"/>
      <c r="D81" s="3554"/>
      <c r="E81" s="3554"/>
      <c r="F81" s="1510"/>
      <c r="G81" s="2078" t="s">
        <v>2116</v>
      </c>
      <c r="H81" s="892"/>
      <c r="I81" s="913" t="e">
        <f ca="1">IF('General Information'!$R$68=TRUE,FALSE,IF(J81=TRUE,TRUE,FALSE))</f>
        <v>#NAME?</v>
      </c>
      <c r="J81" s="916" t="e">
        <f ca="1">isbasehvac(7,8,11,12,13)</f>
        <v>#NAME?</v>
      </c>
      <c r="U81" s="1510"/>
    </row>
    <row r="82" spans="1:21" s="387" customFormat="1" ht="116.7" customHeight="1" x14ac:dyDescent="0.25">
      <c r="A82" s="675" t="s">
        <v>1038</v>
      </c>
      <c r="B82" s="3554" t="s">
        <v>989</v>
      </c>
      <c r="C82" s="3554"/>
      <c r="D82" s="3554"/>
      <c r="E82" s="3554"/>
      <c r="F82" s="1510"/>
      <c r="G82" s="2078" t="s">
        <v>2117</v>
      </c>
      <c r="H82" s="892"/>
      <c r="I82" s="913" t="e">
        <f ca="1">IF('General Information'!$R$68=TRUE,FALSE,IF(J82=TRUE,TRUE,FALSE))</f>
        <v>#NAME?</v>
      </c>
      <c r="J82" s="916" t="e">
        <f ca="1">isbasehvac(7,8,11,12,13)</f>
        <v>#NAME?</v>
      </c>
      <c r="U82" s="1510"/>
    </row>
    <row r="83" spans="1:21" s="387" customFormat="1" ht="116.7" customHeight="1" x14ac:dyDescent="0.25">
      <c r="A83" s="675" t="s">
        <v>1038</v>
      </c>
      <c r="B83" s="3554" t="s">
        <v>990</v>
      </c>
      <c r="C83" s="3554"/>
      <c r="D83" s="3554"/>
      <c r="E83" s="3554"/>
      <c r="F83" s="1510"/>
      <c r="G83" s="2078" t="s">
        <v>2118</v>
      </c>
      <c r="H83" s="892"/>
      <c r="I83" s="913" t="e">
        <f ca="1">IF('General Information'!$R$68=TRUE,FALSE,IF(J83=TRUE,TRUE,FALSE))</f>
        <v>#NAME?</v>
      </c>
      <c r="J83" s="916" t="e">
        <f ca="1">isbasehvac(7,8,11,12,13)</f>
        <v>#NAME?</v>
      </c>
      <c r="U83" s="1510"/>
    </row>
    <row r="84" spans="1:21" s="387" customFormat="1" ht="116.7" customHeight="1" x14ac:dyDescent="0.25">
      <c r="A84" s="675"/>
      <c r="B84" s="3554" t="s">
        <v>2450</v>
      </c>
      <c r="C84" s="3554"/>
      <c r="D84" s="3554"/>
      <c r="E84" s="3554"/>
      <c r="F84" s="1510"/>
      <c r="G84" s="2079" t="s">
        <v>1883</v>
      </c>
      <c r="H84" s="892"/>
      <c r="I84" s="913" t="e">
        <f ca="1">IF('General Information'!$R$68=TRUE,FALSE,IF(J84=TRUE,TRUE,FALSE))</f>
        <v>#NAME?</v>
      </c>
      <c r="J84" s="916" t="e">
        <f ca="1">isbasehvac(11)</f>
        <v>#NAME?</v>
      </c>
      <c r="U84" s="1510"/>
    </row>
    <row r="85" spans="1:21" s="387" customFormat="1" ht="116.7" customHeight="1" x14ac:dyDescent="0.25">
      <c r="A85" s="675" t="s">
        <v>1038</v>
      </c>
      <c r="B85" s="3554" t="s">
        <v>990</v>
      </c>
      <c r="C85" s="3554"/>
      <c r="D85" s="3554"/>
      <c r="E85" s="3554"/>
      <c r="F85" s="1510"/>
      <c r="G85" s="2078" t="s">
        <v>2116</v>
      </c>
      <c r="H85" s="892"/>
      <c r="I85" s="913" t="e">
        <f ca="1">IF('General Information'!$R$68=TRUE,FALSE,IF(J85=TRUE,TRUE,FALSE))</f>
        <v>#NAME?</v>
      </c>
      <c r="J85" s="916" t="e">
        <f ca="1">isbasehvac(7,8,11,12,13)</f>
        <v>#NAME?</v>
      </c>
      <c r="U85" s="1510"/>
    </row>
    <row r="86" spans="1:21" s="339" customFormat="1" ht="33" customHeight="1" x14ac:dyDescent="0.25">
      <c r="A86" s="304" t="s">
        <v>1038</v>
      </c>
      <c r="E86" s="396"/>
      <c r="F86" s="396"/>
      <c r="G86" s="173"/>
      <c r="H86" s="173"/>
      <c r="U86" s="1521"/>
    </row>
    <row r="87" spans="1:21" s="387" customFormat="1" ht="55.05" customHeight="1" x14ac:dyDescent="0.25">
      <c r="A87" s="304" t="s">
        <v>1038</v>
      </c>
      <c r="B87" s="3509" t="s">
        <v>932</v>
      </c>
      <c r="C87" s="3509"/>
      <c r="D87" s="3509"/>
      <c r="E87" s="3509"/>
      <c r="F87" s="3509"/>
      <c r="G87" s="3509"/>
      <c r="H87" s="1520"/>
      <c r="U87" s="1521"/>
    </row>
    <row r="88" spans="1:21" s="387" customFormat="1" ht="51" customHeight="1" x14ac:dyDescent="0.25">
      <c r="A88" s="304" t="s">
        <v>1038</v>
      </c>
      <c r="B88" s="3757"/>
      <c r="C88" s="3757"/>
      <c r="D88" s="3757"/>
      <c r="E88" s="3757"/>
      <c r="F88" s="3757"/>
      <c r="G88" s="3757"/>
      <c r="H88" s="397"/>
      <c r="U88" s="1521"/>
    </row>
    <row r="89" spans="1:21" s="387" customFormat="1" x14ac:dyDescent="0.25">
      <c r="A89" s="306"/>
      <c r="B89" s="352"/>
      <c r="G89" s="190"/>
      <c r="H89" s="190"/>
      <c r="U89" s="1521"/>
    </row>
    <row r="90" spans="1:21" s="387" customFormat="1" x14ac:dyDescent="0.25">
      <c r="A90" s="306"/>
      <c r="B90" s="352"/>
      <c r="G90" s="190"/>
      <c r="H90" s="190"/>
      <c r="U90" s="1521"/>
    </row>
    <row r="91" spans="1:21" s="387" customFormat="1" x14ac:dyDescent="0.25">
      <c r="A91" s="306"/>
      <c r="B91" s="352"/>
      <c r="G91" s="190"/>
      <c r="H91" s="190"/>
      <c r="U91" s="1521"/>
    </row>
    <row r="92" spans="1:21" s="387" customFormat="1" x14ac:dyDescent="0.25">
      <c r="A92" s="306"/>
      <c r="G92" s="190"/>
      <c r="H92" s="190"/>
      <c r="U92" s="1521"/>
    </row>
    <row r="93" spans="1:21" s="387" customFormat="1" x14ac:dyDescent="0.25">
      <c r="A93" s="306"/>
      <c r="G93" s="190"/>
      <c r="H93" s="190"/>
      <c r="U93" s="1521"/>
    </row>
  </sheetData>
  <sheetProtection algorithmName="SHA-512" hashValue="+TFM2X0Q660cFVApLuiIrdmr1RHybdLqkLn2D13YLl6H+Q6YroHGD/gBbVApYDQsEbQ1qJZdubyXyexO6EEUDA==" saltValue="ewIs250PFzdwRxPFCvI8AQ==" spinCount="100000" sheet="1" objects="1" scenarios="1"/>
  <customSheetViews>
    <customSheetView guid="{75D6F8CE-A4F4-4FDD-BA92-7996F9E19FA9}" scale="90" showGridLines="0" hiddenRows="1">
      <selection activeCell="G5" sqref="G5"/>
      <pageMargins left="0.25" right="0.25" top="0.75" bottom="0.75" header="0.3" footer="0.3"/>
      <pageSetup scale="75" orientation="portrait" verticalDpi="1200" r:id="rId1"/>
    </customSheetView>
  </customSheetViews>
  <mergeCells count="70">
    <mergeCell ref="B38:G38"/>
    <mergeCell ref="B43:E43"/>
    <mergeCell ref="F34:G34"/>
    <mergeCell ref="F27:G27"/>
    <mergeCell ref="F33:G33"/>
    <mergeCell ref="B41:E41"/>
    <mergeCell ref="F30:G30"/>
    <mergeCell ref="F31:G31"/>
    <mergeCell ref="B42:E42"/>
    <mergeCell ref="B40:E40"/>
    <mergeCell ref="F32:G32"/>
    <mergeCell ref="F28:G28"/>
    <mergeCell ref="C22:D22"/>
    <mergeCell ref="C23:D23"/>
    <mergeCell ref="B14:B15"/>
    <mergeCell ref="B27:B28"/>
    <mergeCell ref="C28:D28"/>
    <mergeCell ref="C14:D14"/>
    <mergeCell ref="C15:D15"/>
    <mergeCell ref="C19:D19"/>
    <mergeCell ref="C20:D20"/>
    <mergeCell ref="C21:D21"/>
    <mergeCell ref="C16:D16"/>
    <mergeCell ref="C17:D17"/>
    <mergeCell ref="C18:D18"/>
    <mergeCell ref="B49:E49"/>
    <mergeCell ref="B55:E55"/>
    <mergeCell ref="B44:E44"/>
    <mergeCell ref="B54:E54"/>
    <mergeCell ref="B52:E52"/>
    <mergeCell ref="B53:E53"/>
    <mergeCell ref="B51:E51"/>
    <mergeCell ref="B50:E50"/>
    <mergeCell ref="B48:E48"/>
    <mergeCell ref="B47:E47"/>
    <mergeCell ref="B88:G88"/>
    <mergeCell ref="B87:G87"/>
    <mergeCell ref="B80:E80"/>
    <mergeCell ref="B56:E56"/>
    <mergeCell ref="B57:E57"/>
    <mergeCell ref="B58:E58"/>
    <mergeCell ref="B59:E59"/>
    <mergeCell ref="B60:E60"/>
    <mergeCell ref="B61:E61"/>
    <mergeCell ref="B63:E63"/>
    <mergeCell ref="B64:E64"/>
    <mergeCell ref="B82:E82"/>
    <mergeCell ref="B79:E79"/>
    <mergeCell ref="B85:E85"/>
    <mergeCell ref="B71:E71"/>
    <mergeCell ref="B78:E78"/>
    <mergeCell ref="B5:G5"/>
    <mergeCell ref="B11:G11"/>
    <mergeCell ref="B10:G10"/>
    <mergeCell ref="B8:F8"/>
    <mergeCell ref="B6:F6"/>
    <mergeCell ref="B83:E83"/>
    <mergeCell ref="B84:E84"/>
    <mergeCell ref="B62:E62"/>
    <mergeCell ref="B65:E65"/>
    <mergeCell ref="B66:E66"/>
    <mergeCell ref="B68:E68"/>
    <mergeCell ref="B67:E67"/>
    <mergeCell ref="B81:E81"/>
    <mergeCell ref="B76:E76"/>
    <mergeCell ref="B73:E73"/>
    <mergeCell ref="B72:E72"/>
    <mergeCell ref="B74:E74"/>
    <mergeCell ref="B75:E75"/>
    <mergeCell ref="B77:E77"/>
  </mergeCells>
  <conditionalFormatting sqref="B69:F70 B48:E68 B71:E85">
    <cfRule type="expression" dxfId="317" priority="17">
      <formula>IF($I48=TRUE,FALSE,TRUE)</formula>
    </cfRule>
  </conditionalFormatting>
  <dataValidations count="8">
    <dataValidation type="list" allowBlank="1" showInputMessage="1" showErrorMessage="1" sqref="F7" xr:uid="{00000000-0002-0000-1900-000000000000}">
      <formula1>"Yes,No"</formula1>
    </dataValidation>
    <dataValidation type="list" allowBlank="1" showInputMessage="1" showErrorMessage="1" sqref="G6 G8 F9" xr:uid="{00000000-0002-0000-1900-000001000000}">
      <formula1>"Yes,No,N/A"</formula1>
    </dataValidation>
    <dataValidation type="list" allowBlank="1" showInputMessage="1" showErrorMessage="1" sqref="B16:B23 B30:B34" xr:uid="{00000000-0002-0000-1900-000002000000}">
      <formula1>BuildingIDLookup</formula1>
    </dataValidation>
    <dataValidation type="list" allowBlank="1" showInputMessage="1" showErrorMessage="1" sqref="D30" xr:uid="{00000000-0002-0000-1900-000003000000}">
      <formula1>IF($C30="Primary HVAC System",BaselineHVACSystems,BaselineSecondarySystems)</formula1>
    </dataValidation>
    <dataValidation type="list" allowBlank="1" showErrorMessage="1" sqref="F40:F44 F47:F68 F71:F85" xr:uid="{00000000-0002-0000-1900-000004000000}">
      <formula1>"Yes, No,N/A"</formula1>
    </dataValidation>
    <dataValidation type="list" allowBlank="1" showInputMessage="1" showErrorMessage="1" sqref="E19:F23" xr:uid="{00000000-0002-0000-1900-000005000000}">
      <formula1>FuelTypes</formula1>
    </dataValidation>
    <dataValidation type="list" allowBlank="1" showInputMessage="1" showErrorMessage="1" sqref="C30:C34" xr:uid="{00000000-0002-0000-1900-000006000000}">
      <formula1>DD_GH_BaseSysList</formula1>
    </dataValidation>
    <dataValidation type="list" allowBlank="1" showInputMessage="1" showErrorMessage="1" sqref="D31:D33" xr:uid="{00000000-0002-0000-1900-000007000000}">
      <formula1>All_Sys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9224" r:id="rId5" name="Button 8">
              <controlPr defaultSize="0" print="0" autoFill="0" autoPict="0" macro="[0]!addB">
                <anchor moveWithCells="1">
                  <from>
                    <xdr:col>1</xdr:col>
                    <xdr:colOff>38100</xdr:colOff>
                    <xdr:row>34</xdr:row>
                    <xdr:rowOff>114300</xdr:rowOff>
                  </from>
                  <to>
                    <xdr:col>2</xdr:col>
                    <xdr:colOff>358140</xdr:colOff>
                    <xdr:row>34</xdr:row>
                    <xdr:rowOff>381000</xdr:rowOff>
                  </to>
                </anchor>
              </controlPr>
            </control>
          </mc:Choice>
        </mc:AlternateContent>
        <mc:AlternateContent xmlns:mc="http://schemas.openxmlformats.org/markup-compatibility/2006">
          <mc:Choice Requires="x14">
            <control shapeId="9302" r:id="rId6" name="Button 86">
              <controlPr defaultSize="0" print="0" autoFill="0" autoPict="0" macro="[0]!addA">
                <anchor moveWithCells="1">
                  <from>
                    <xdr:col>1</xdr:col>
                    <xdr:colOff>22860</xdr:colOff>
                    <xdr:row>23</xdr:row>
                    <xdr:rowOff>137160</xdr:rowOff>
                  </from>
                  <to>
                    <xdr:col>2</xdr:col>
                    <xdr:colOff>327660</xdr:colOff>
                    <xdr:row>24</xdr:row>
                    <xdr:rowOff>60960</xdr:rowOff>
                  </to>
                </anchor>
              </controlPr>
            </control>
          </mc:Choice>
        </mc:AlternateContent>
        <mc:AlternateContent xmlns:mc="http://schemas.openxmlformats.org/markup-compatibility/2006">
          <mc:Choice Requires="x14">
            <control shapeId="9479" r:id="rId7" name="Button 263">
              <controlPr defaultSize="0" print="0" autoFill="0" autoPict="0" macro="[0]!DeleteSome">
                <anchor moveWithCells="1">
                  <from>
                    <xdr:col>2</xdr:col>
                    <xdr:colOff>632460</xdr:colOff>
                    <xdr:row>34</xdr:row>
                    <xdr:rowOff>129540</xdr:rowOff>
                  </from>
                  <to>
                    <xdr:col>3</xdr:col>
                    <xdr:colOff>213360</xdr:colOff>
                    <xdr:row>34</xdr:row>
                    <xdr:rowOff>403860</xdr:rowOff>
                  </to>
                </anchor>
              </controlPr>
            </control>
          </mc:Choice>
        </mc:AlternateContent>
        <mc:AlternateContent xmlns:mc="http://schemas.openxmlformats.org/markup-compatibility/2006">
          <mc:Choice Requires="x14">
            <control shapeId="9480" r:id="rId8" name="Button 264">
              <controlPr defaultSize="0" print="0" autoFill="0" autoPict="0" macro="[0]!DeleteSome">
                <anchor moveWithCells="1">
                  <from>
                    <xdr:col>2</xdr:col>
                    <xdr:colOff>632460</xdr:colOff>
                    <xdr:row>23</xdr:row>
                    <xdr:rowOff>137160</xdr:rowOff>
                  </from>
                  <to>
                    <xdr:col>3</xdr:col>
                    <xdr:colOff>213360</xdr:colOff>
                    <xdr:row>24</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IF('General Information'!$S$53="Gas",DropdownData!$EA$3:$EA$9,DropdownData!$EB$3:$EB$9)</xm:f>
          </x14:formula1>
          <xm:sqref>D34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0">
    <tabColor theme="0" tint="-0.249977111117893"/>
  </sheetPr>
  <dimension ref="A1:BO102"/>
  <sheetViews>
    <sheetView showGridLines="0" zoomScale="90" zoomScaleNormal="90" workbookViewId="0">
      <selection activeCell="I10" sqref="I10:K10"/>
    </sheetView>
  </sheetViews>
  <sheetFormatPr defaultColWidth="12.69921875" defaultRowHeight="13.2" outlineLevelCol="1" x14ac:dyDescent="0.25"/>
  <cols>
    <col min="1" max="1" width="2.69921875" style="339" customWidth="1"/>
    <col min="2" max="2" width="15.796875" style="396" customWidth="1"/>
    <col min="3" max="3" width="24.296875" style="339" customWidth="1"/>
    <col min="4" max="4" width="35.296875" style="339" customWidth="1"/>
    <col min="5" max="5" width="1" style="339" customWidth="1"/>
    <col min="6" max="6" width="0.796875" style="2210" customWidth="1"/>
    <col min="7" max="7" width="10.5" style="952" customWidth="1"/>
    <col min="8" max="8" width="0.796875" style="1657" customWidth="1"/>
    <col min="9" max="9" width="20" style="952" customWidth="1"/>
    <col min="10" max="10" width="21.796875" style="1657" customWidth="1"/>
    <col min="11" max="11" width="17" style="952" customWidth="1"/>
    <col min="12" max="12" width="0.69921875" style="1653" customWidth="1"/>
    <col min="13" max="14" width="0.796875" style="1728" customWidth="1"/>
    <col min="15" max="15" width="20" style="1726" customWidth="1"/>
    <col min="16" max="16" width="21.796875" style="1729" customWidth="1"/>
    <col min="17" max="17" width="18.69921875" style="1726" customWidth="1"/>
    <col min="18" max="18" width="1.19921875" style="1728" customWidth="1"/>
    <col min="19" max="19" width="12.69921875" style="1" hidden="1" customWidth="1" outlineLevel="1"/>
    <col min="20" max="20" width="2.69921875" style="1" customWidth="1" collapsed="1"/>
    <col min="21" max="21" width="2.69921875" style="1" customWidth="1"/>
    <col min="22" max="22" width="71.5" style="33" customWidth="1"/>
    <col min="23" max="23" width="6.69921875" style="1" customWidth="1"/>
    <col min="24" max="30" width="12.69921875" style="1725" customWidth="1"/>
    <col min="31" max="39" width="12.69921875" style="1" customWidth="1"/>
    <col min="40" max="40" width="20" style="1726" hidden="1" customWidth="1"/>
    <col min="41" max="41" width="21.796875" style="1729" hidden="1" customWidth="1"/>
    <col min="42" max="42" width="18.69921875" style="1726" hidden="1" customWidth="1"/>
    <col min="43" max="43" width="1" style="1728" hidden="1" customWidth="1"/>
    <col min="44" max="44" width="18.69921875" style="1725" customWidth="1"/>
    <col min="45" max="45" width="12.69921875" style="1725" customWidth="1"/>
    <col min="46" max="55" width="12.69921875" style="1" customWidth="1"/>
    <col min="56" max="16384" width="12.69921875" style="339"/>
  </cols>
  <sheetData>
    <row r="1" spans="1:58" s="347" customFormat="1" x14ac:dyDescent="0.25">
      <c r="A1" s="360"/>
      <c r="B1" s="360"/>
      <c r="C1" s="359"/>
      <c r="D1" s="359"/>
      <c r="E1" s="359"/>
      <c r="F1" s="1409"/>
      <c r="G1" s="359"/>
      <c r="H1" s="276"/>
      <c r="I1" s="359"/>
      <c r="J1" s="359"/>
      <c r="K1" s="359"/>
      <c r="L1" s="1409"/>
      <c r="M1" s="1700"/>
      <c r="N1" s="1700"/>
      <c r="O1" s="1699"/>
      <c r="P1" s="1699"/>
      <c r="Q1" s="1699"/>
      <c r="R1" s="1700"/>
      <c r="S1" s="42"/>
      <c r="T1" s="42"/>
      <c r="U1" s="42"/>
      <c r="V1" s="33"/>
      <c r="W1" s="42"/>
      <c r="X1" s="1698"/>
      <c r="Y1" s="1698"/>
      <c r="Z1" s="1698"/>
      <c r="AA1" s="1698"/>
      <c r="AB1" s="1698"/>
      <c r="AC1" s="1698"/>
      <c r="AD1" s="1698"/>
      <c r="AE1" s="42"/>
      <c r="AF1" s="42"/>
      <c r="AG1" s="42"/>
      <c r="AH1" s="42"/>
      <c r="AI1" s="42"/>
      <c r="AJ1" s="42"/>
      <c r="AK1" s="42"/>
      <c r="AL1" s="42"/>
      <c r="AM1" s="42"/>
      <c r="AN1" s="1699"/>
      <c r="AO1" s="1699"/>
      <c r="AP1" s="1699"/>
      <c r="AQ1" s="1700"/>
      <c r="AR1" s="1698"/>
      <c r="AS1" s="1698"/>
      <c r="AT1" s="42"/>
      <c r="AU1" s="42"/>
      <c r="AV1" s="42"/>
      <c r="AW1" s="42"/>
      <c r="AX1" s="42"/>
      <c r="AY1" s="42"/>
      <c r="AZ1" s="42"/>
      <c r="BA1" s="42"/>
      <c r="BB1" s="42"/>
      <c r="BC1" s="42"/>
    </row>
    <row r="2" spans="1:58" s="347" customFormat="1" ht="24.75" customHeight="1" x14ac:dyDescent="0.25">
      <c r="A2" s="360"/>
      <c r="B2" s="30" t="s">
        <v>2892</v>
      </c>
      <c r="C2" s="359"/>
      <c r="D2" s="359"/>
      <c r="E2" s="359"/>
      <c r="F2" s="2213"/>
      <c r="G2" s="948"/>
      <c r="H2" s="276"/>
      <c r="I2" s="359"/>
      <c r="J2" s="359"/>
      <c r="K2" s="948"/>
      <c r="L2" s="1409"/>
      <c r="M2" s="1700"/>
      <c r="N2" s="1700"/>
      <c r="O2" s="1699"/>
      <c r="P2" s="1699"/>
      <c r="Q2" s="1699"/>
      <c r="R2" s="1700"/>
      <c r="S2" s="42"/>
      <c r="T2" s="42"/>
      <c r="U2" s="42"/>
      <c r="V2" s="33"/>
      <c r="W2" s="42"/>
      <c r="X2" s="1698"/>
      <c r="Y2" s="1698"/>
      <c r="Z2" s="1698"/>
      <c r="AA2" s="1698"/>
      <c r="AB2" s="1698"/>
      <c r="AC2" s="1698"/>
      <c r="AD2" s="1698"/>
      <c r="AE2" s="42"/>
      <c r="AF2" s="42"/>
      <c r="AG2" s="42"/>
      <c r="AH2" s="42"/>
      <c r="AI2" s="42"/>
      <c r="AJ2" s="42"/>
      <c r="AK2" s="42"/>
      <c r="AL2" s="42"/>
      <c r="AM2" s="42"/>
      <c r="AN2" s="1699"/>
      <c r="AO2" s="1699"/>
      <c r="AP2" s="1699"/>
      <c r="AQ2" s="1700"/>
      <c r="AR2" s="1698"/>
      <c r="AS2" s="1698"/>
      <c r="AT2" s="42"/>
      <c r="AU2" s="42"/>
      <c r="AV2" s="42"/>
      <c r="AW2" s="42"/>
      <c r="AX2" s="42"/>
      <c r="AY2" s="42"/>
      <c r="AZ2" s="42"/>
      <c r="BA2" s="42"/>
      <c r="BB2" s="42"/>
      <c r="BC2" s="42"/>
    </row>
    <row r="3" spans="1:58" s="347" customFormat="1" ht="15" customHeight="1" x14ac:dyDescent="0.25">
      <c r="A3" s="360"/>
      <c r="B3" s="360"/>
      <c r="C3" s="359"/>
      <c r="D3" s="359"/>
      <c r="E3" s="359"/>
      <c r="F3" s="1409"/>
      <c r="G3" s="359"/>
      <c r="H3" s="276"/>
      <c r="I3" s="359"/>
      <c r="J3" s="359"/>
      <c r="K3" s="359"/>
      <c r="L3" s="1409"/>
      <c r="M3" s="1700"/>
      <c r="N3" s="1700"/>
      <c r="O3" s="1699"/>
      <c r="P3" s="1699"/>
      <c r="Q3" s="1699"/>
      <c r="R3" s="1700"/>
      <c r="S3" s="42"/>
      <c r="T3" s="42"/>
      <c r="U3" s="42"/>
      <c r="V3" s="33"/>
      <c r="W3" s="42"/>
      <c r="X3" s="1698"/>
      <c r="Y3" s="1698"/>
      <c r="Z3" s="1698"/>
      <c r="AA3" s="1698"/>
      <c r="AB3" s="1698"/>
      <c r="AC3" s="1698"/>
      <c r="AD3" s="1698"/>
      <c r="AE3" s="42"/>
      <c r="AF3" s="42"/>
      <c r="AG3" s="42"/>
      <c r="AH3" s="42"/>
      <c r="AI3" s="42"/>
      <c r="AJ3" s="42"/>
      <c r="AK3" s="42"/>
      <c r="AL3" s="42"/>
      <c r="AM3" s="42"/>
      <c r="AN3" s="1699"/>
      <c r="AO3" s="1699"/>
      <c r="AP3" s="1699"/>
      <c r="AQ3" s="1700"/>
      <c r="AR3" s="1698"/>
      <c r="AS3" s="1698"/>
      <c r="AT3" s="42"/>
      <c r="AU3" s="42"/>
      <c r="AV3" s="42"/>
      <c r="AW3" s="42"/>
      <c r="AX3" s="42"/>
      <c r="AY3" s="42"/>
      <c r="AZ3" s="42"/>
      <c r="BA3" s="42"/>
      <c r="BB3" s="42"/>
      <c r="BC3" s="42"/>
    </row>
    <row r="4" spans="1:58" ht="12" customHeight="1" x14ac:dyDescent="0.25">
      <c r="H4" s="1653"/>
      <c r="J4" s="952"/>
      <c r="M4" s="1703"/>
      <c r="N4" s="1703"/>
      <c r="O4" s="1702"/>
      <c r="P4" s="1704"/>
      <c r="Q4" s="952"/>
      <c r="R4" s="1703"/>
      <c r="S4" s="1703"/>
      <c r="V4" s="652"/>
      <c r="X4" s="1703"/>
      <c r="Y4" s="1701"/>
      <c r="Z4" s="1701"/>
      <c r="AA4" s="1701"/>
      <c r="AB4" s="1701"/>
      <c r="AC4" s="1701"/>
      <c r="AD4" s="1701"/>
      <c r="AE4" s="1701"/>
      <c r="AF4" s="1701"/>
      <c r="AG4" s="1701"/>
      <c r="AN4" s="1702"/>
      <c r="AO4" s="1704"/>
      <c r="AP4" s="952"/>
      <c r="AQ4" s="1703"/>
      <c r="AR4" s="1702"/>
      <c r="AS4" s="952"/>
      <c r="BD4" s="1"/>
      <c r="BE4" s="1"/>
      <c r="BF4" s="1"/>
    </row>
    <row r="5" spans="1:58" s="387" customFormat="1" ht="57.75" customHeight="1" x14ac:dyDescent="0.25">
      <c r="B5" s="3509" t="s">
        <v>2894</v>
      </c>
      <c r="C5" s="3509"/>
      <c r="D5" s="3509"/>
      <c r="E5" s="3509"/>
      <c r="F5" s="3509"/>
      <c r="G5" s="3509"/>
      <c r="H5" s="3509"/>
      <c r="I5" s="3509"/>
      <c r="J5" s="3509"/>
      <c r="K5" s="3509"/>
      <c r="L5" s="1551"/>
      <c r="M5" s="1707"/>
      <c r="N5" s="1707"/>
      <c r="O5" s="1708"/>
      <c r="P5" s="1709"/>
      <c r="Q5" s="1550"/>
      <c r="R5" s="1707"/>
      <c r="S5" s="1707"/>
      <c r="T5" s="35"/>
      <c r="U5" s="35"/>
      <c r="V5" s="197"/>
      <c r="W5" s="35"/>
      <c r="X5" s="1707"/>
      <c r="Y5" s="1705"/>
      <c r="Z5" s="1705"/>
      <c r="AA5" s="1705"/>
      <c r="AB5" s="1705"/>
      <c r="AC5" s="1705"/>
      <c r="AD5" s="1705"/>
      <c r="AE5" s="1705"/>
      <c r="AF5" s="1705"/>
      <c r="AG5" s="1705"/>
      <c r="AH5" s="35"/>
      <c r="AI5" s="35"/>
      <c r="AJ5" s="35"/>
      <c r="AK5" s="35"/>
      <c r="AL5" s="35"/>
      <c r="AM5" s="35"/>
      <c r="AN5" s="1708"/>
      <c r="AO5" s="1709"/>
      <c r="AP5" s="1550"/>
      <c r="AQ5" s="1707"/>
      <c r="AR5" s="1706"/>
      <c r="AS5" s="1550"/>
      <c r="AT5" s="35"/>
      <c r="AU5" s="35"/>
      <c r="AV5" s="35"/>
      <c r="AW5" s="35"/>
      <c r="AX5" s="35"/>
      <c r="AY5" s="35"/>
      <c r="AZ5" s="35"/>
      <c r="BA5" s="35"/>
      <c r="BB5" s="35"/>
      <c r="BC5" s="35"/>
      <c r="BD5" s="35"/>
      <c r="BE5" s="35"/>
      <c r="BF5" s="35"/>
    </row>
    <row r="6" spans="1:58" s="347" customFormat="1" ht="7.5" customHeight="1" x14ac:dyDescent="0.25">
      <c r="C6" s="1492"/>
      <c r="D6" s="1492"/>
      <c r="E6" s="1492"/>
      <c r="F6" s="2211"/>
      <c r="G6" s="953"/>
      <c r="H6" s="1654"/>
      <c r="I6" s="1511"/>
      <c r="J6" s="1511"/>
      <c r="K6" s="1511"/>
      <c r="L6" s="1654"/>
      <c r="M6" s="1710"/>
      <c r="N6" s="1710"/>
      <c r="O6" s="2037"/>
      <c r="P6" s="1711"/>
      <c r="Q6" s="1511"/>
      <c r="R6" s="1710"/>
      <c r="S6" s="1710"/>
      <c r="T6" s="42"/>
      <c r="U6" s="42"/>
      <c r="V6" s="33"/>
      <c r="W6" s="42"/>
      <c r="X6" s="1710"/>
      <c r="Y6" s="1698"/>
      <c r="Z6" s="1698"/>
      <c r="AA6" s="1698"/>
      <c r="AB6" s="1698"/>
      <c r="AC6" s="1698"/>
      <c r="AD6" s="1698"/>
      <c r="AE6" s="1698"/>
      <c r="AF6" s="1698"/>
      <c r="AG6" s="1698"/>
      <c r="AH6" s="42"/>
      <c r="AI6" s="42"/>
      <c r="AJ6" s="42"/>
      <c r="AK6" s="42"/>
      <c r="AL6" s="42"/>
      <c r="AM6" s="42"/>
      <c r="AN6" s="2037"/>
      <c r="AO6" s="1711"/>
      <c r="AP6" s="1511"/>
      <c r="AQ6" s="1710"/>
      <c r="AR6" s="2037"/>
      <c r="AS6" s="1511"/>
      <c r="AT6" s="42"/>
      <c r="AU6" s="42"/>
      <c r="AV6" s="42"/>
      <c r="AW6" s="42"/>
      <c r="AX6" s="42"/>
      <c r="AY6" s="42"/>
      <c r="AZ6" s="42"/>
      <c r="BA6" s="42"/>
      <c r="BB6" s="42"/>
      <c r="BC6" s="42"/>
      <c r="BD6" s="42"/>
      <c r="BE6" s="42"/>
      <c r="BF6" s="42"/>
    </row>
    <row r="7" spans="1:58" s="347" customFormat="1" ht="57.75" customHeight="1" x14ac:dyDescent="0.25">
      <c r="B7" s="48" t="s">
        <v>2402</v>
      </c>
      <c r="F7" s="2211"/>
      <c r="G7" s="1346"/>
      <c r="H7" s="32"/>
      <c r="I7" s="3784"/>
      <c r="J7" s="3784"/>
      <c r="K7" s="3784"/>
      <c r="L7" s="3784"/>
      <c r="M7" s="1711"/>
      <c r="N7" s="2209"/>
      <c r="O7" s="3767"/>
      <c r="P7" s="3767"/>
      <c r="Q7" s="3767"/>
      <c r="R7" s="3767"/>
      <c r="S7" s="42"/>
      <c r="T7" s="42"/>
      <c r="U7" s="42"/>
      <c r="V7" s="33"/>
      <c r="W7" s="42"/>
      <c r="X7" s="1698"/>
      <c r="Y7" s="1698"/>
      <c r="Z7" s="1698"/>
      <c r="AA7" s="1698"/>
      <c r="AB7" s="1698"/>
      <c r="AC7" s="1698"/>
      <c r="AD7" s="1698"/>
      <c r="AE7" s="42"/>
      <c r="AF7" s="42"/>
      <c r="AG7" s="42"/>
      <c r="AH7" s="42"/>
      <c r="AI7" s="42"/>
      <c r="AJ7" s="42"/>
      <c r="AK7" s="42"/>
      <c r="AL7" s="42"/>
      <c r="AM7" s="42"/>
      <c r="AN7" s="3767"/>
      <c r="AO7" s="3767"/>
      <c r="AP7" s="3767"/>
      <c r="AQ7" s="3767"/>
      <c r="AR7" s="1698"/>
      <c r="AS7" s="1698"/>
      <c r="AT7" s="42"/>
      <c r="AU7" s="42"/>
      <c r="AV7" s="42"/>
      <c r="AW7" s="42"/>
      <c r="AX7" s="42"/>
      <c r="AY7" s="42"/>
      <c r="AZ7" s="42"/>
      <c r="BA7" s="42"/>
      <c r="BB7" s="42"/>
      <c r="BC7" s="42"/>
    </row>
    <row r="8" spans="1:58" s="42" customFormat="1" ht="23.25" hidden="1" customHeight="1" x14ac:dyDescent="0.25">
      <c r="B8" s="2081"/>
      <c r="C8" s="1467"/>
      <c r="D8" s="1467"/>
      <c r="E8" s="1467"/>
      <c r="F8" s="2229"/>
      <c r="G8" s="1476"/>
      <c r="H8" s="1655"/>
      <c r="I8" s="1476" t="s">
        <v>272</v>
      </c>
      <c r="J8" s="1476"/>
      <c r="K8" s="1475" t="s">
        <v>2311</v>
      </c>
      <c r="L8" s="2193" t="s">
        <v>2309</v>
      </c>
      <c r="M8" s="1713"/>
      <c r="N8" s="1713"/>
      <c r="O8" s="1713" t="s">
        <v>272</v>
      </c>
      <c r="P8" s="1713"/>
      <c r="Q8" s="1712" t="s">
        <v>2311</v>
      </c>
      <c r="R8" s="2227" t="s">
        <v>2309</v>
      </c>
      <c r="V8" s="33"/>
      <c r="X8" s="1698"/>
      <c r="Y8" s="1698"/>
      <c r="Z8" s="1698"/>
      <c r="AA8" s="1698"/>
      <c r="AB8" s="1698"/>
      <c r="AC8" s="1698"/>
      <c r="AD8" s="1698"/>
      <c r="AN8" s="1713" t="s">
        <v>272</v>
      </c>
      <c r="AO8" s="1713"/>
      <c r="AP8" s="1712" t="s">
        <v>2311</v>
      </c>
      <c r="AQ8" s="2227" t="s">
        <v>2309</v>
      </c>
      <c r="AR8" s="1698"/>
      <c r="AS8" s="1698"/>
    </row>
    <row r="9" spans="1:58" s="387" customFormat="1" ht="69" customHeight="1" x14ac:dyDescent="0.25">
      <c r="A9" s="1511"/>
      <c r="B9" s="2203" t="s">
        <v>0</v>
      </c>
      <c r="C9" s="2201"/>
      <c r="D9" s="2202" t="str">
        <f>'General Information'!H49&amp;" - Baseline System Helpful Notes"</f>
        <v xml:space="preserve"> - Baseline System Helpful Notes</v>
      </c>
      <c r="E9" s="2855"/>
      <c r="F9" s="1410"/>
      <c r="G9" s="1826" t="s">
        <v>2956</v>
      </c>
      <c r="H9" s="1526"/>
      <c r="I9" s="2205" t="str">
        <f>"Baseline"&amp;"-"&amp;'General Information'!$H$49</f>
        <v>Baseline-</v>
      </c>
      <c r="J9" s="3430" t="str">
        <f>"Prescriptive Requirement of "&amp;'General Information'!H55&amp;" Applicable to App. G Baseline"</f>
        <v>Prescriptive Requirement of ASHRAE 90.1-2016 Applicable to App. G Baseline</v>
      </c>
      <c r="K9" s="3432"/>
      <c r="L9" s="2977"/>
      <c r="M9" s="1716"/>
      <c r="N9" s="1716"/>
      <c r="O9" s="2204" t="str">
        <f>"Baseline"&amp;" - "&amp;'General Information'!$H$49</f>
        <v xml:space="preserve">Baseline - </v>
      </c>
      <c r="P9" s="3433" t="str">
        <f>"Prescriptive Requirement of "&amp;'General Information'!$R$7&amp;" Applicable to App. G Baseline"</f>
        <v>Prescriptive Requirement of ASHRAE 90.1-2016 Applicable to App. G Baseline</v>
      </c>
      <c r="Q9" s="3430" t="s">
        <v>143</v>
      </c>
      <c r="R9" s="1716"/>
      <c r="S9" s="35"/>
      <c r="T9" s="35"/>
      <c r="U9" s="1326"/>
      <c r="V9" s="1497" t="s">
        <v>1635</v>
      </c>
      <c r="W9" s="35"/>
      <c r="X9" s="1714"/>
      <c r="Y9" s="1714"/>
      <c r="Z9" s="1714"/>
      <c r="AA9" s="1714"/>
      <c r="AB9" s="1714"/>
      <c r="AC9" s="1714"/>
      <c r="AD9" s="1714"/>
      <c r="AE9" s="35"/>
      <c r="AF9" s="35"/>
      <c r="AG9" s="35"/>
      <c r="AH9" s="35"/>
      <c r="AI9" s="35"/>
      <c r="AJ9" s="35"/>
      <c r="AK9" s="35"/>
      <c r="AL9" s="35"/>
      <c r="AM9" s="35"/>
      <c r="AN9" s="2204" t="str">
        <f>"Baseline"&amp;" - "&amp;'General Information'!$H$49</f>
        <v xml:space="preserve">Baseline - </v>
      </c>
      <c r="AO9" s="3433" t="str">
        <f>"Prescriptive Requirement of "&amp;'General Information'!$R$7&amp;" Applicable to App. G Baseline"</f>
        <v>Prescriptive Requirement of ASHRAE 90.1-2016 Applicable to App. G Baseline</v>
      </c>
      <c r="AP9" s="3430" t="s">
        <v>143</v>
      </c>
      <c r="AQ9" s="1716"/>
      <c r="AR9" s="1714"/>
      <c r="AS9" s="1714"/>
      <c r="AT9" s="35"/>
      <c r="AU9" s="35"/>
      <c r="AV9" s="35"/>
      <c r="AW9" s="35"/>
      <c r="AX9" s="35"/>
      <c r="AY9" s="35"/>
      <c r="AZ9" s="35"/>
      <c r="BA9" s="35"/>
      <c r="BB9" s="35"/>
      <c r="BC9" s="35"/>
    </row>
    <row r="10" spans="1:58" s="387" customFormat="1" ht="37.200000000000003" customHeight="1" x14ac:dyDescent="0.25">
      <c r="A10" s="1511"/>
      <c r="B10" s="3780" t="s">
        <v>1087</v>
      </c>
      <c r="C10" s="3781"/>
      <c r="D10" s="2186" t="s">
        <v>2955</v>
      </c>
      <c r="E10" s="2362"/>
      <c r="F10" s="1786"/>
      <c r="G10" s="1334" t="s">
        <v>2214</v>
      </c>
      <c r="H10" s="1525"/>
      <c r="I10" s="3768"/>
      <c r="J10" s="3769"/>
      <c r="K10" s="3770"/>
      <c r="L10" s="2978"/>
      <c r="M10" s="2254"/>
      <c r="N10" s="2254"/>
      <c r="O10" s="3768"/>
      <c r="P10" s="3769" t="str">
        <f>IF(O10="","",O10&amp;" Prescriptive Requirement")</f>
        <v/>
      </c>
      <c r="Q10" s="3770"/>
      <c r="R10" s="2254"/>
      <c r="S10" s="2255"/>
      <c r="T10" s="2255"/>
      <c r="U10" s="2255"/>
      <c r="V10" s="2151"/>
      <c r="W10" s="2246"/>
      <c r="X10" s="2248"/>
      <c r="Y10" s="2248"/>
      <c r="Z10" s="2248"/>
      <c r="AA10" s="2248"/>
      <c r="AB10" s="2248"/>
      <c r="AC10" s="2248"/>
      <c r="AD10" s="2248"/>
      <c r="AE10" s="2246"/>
      <c r="AF10" s="2246"/>
      <c r="AG10" s="2246"/>
      <c r="AH10" s="2246"/>
      <c r="AI10" s="2246"/>
      <c r="AJ10" s="2246"/>
      <c r="AK10" s="2246"/>
      <c r="AL10" s="2246"/>
      <c r="AM10" s="2246"/>
      <c r="AN10" s="3768"/>
      <c r="AO10" s="3769" t="str">
        <f>IF(AN10="","",AN10&amp;" Prescriptive Requirement")</f>
        <v/>
      </c>
      <c r="AP10" s="3770"/>
      <c r="AQ10" s="2254"/>
      <c r="AR10" s="2248"/>
      <c r="AS10" s="2248"/>
      <c r="AT10" s="35"/>
      <c r="AU10" s="35"/>
      <c r="AV10" s="35"/>
      <c r="AW10" s="35"/>
      <c r="AX10" s="35"/>
      <c r="AY10" s="35"/>
      <c r="AZ10" s="35"/>
      <c r="BA10" s="35"/>
      <c r="BB10" s="35"/>
      <c r="BC10" s="35"/>
    </row>
    <row r="11" spans="1:58" s="387" customFormat="1" ht="46.2" customHeight="1" x14ac:dyDescent="0.25">
      <c r="B11" s="3780" t="s">
        <v>345</v>
      </c>
      <c r="C11" s="3781"/>
      <c r="D11" s="2186" t="s">
        <v>2958</v>
      </c>
      <c r="E11" s="2362"/>
      <c r="F11" s="2214"/>
      <c r="G11" s="1334" t="s">
        <v>2214</v>
      </c>
      <c r="H11" s="1402"/>
      <c r="I11" s="3771"/>
      <c r="J11" s="3772"/>
      <c r="K11" s="3773"/>
      <c r="L11" s="2978" t="str">
        <f>IF(I11="","",VLOOKUP(I11,'HVAC Lookup'!$H$10:$J$22,3,FALSE))</f>
        <v/>
      </c>
      <c r="M11" s="2254" t="str">
        <f>IF(J11="","",VLOOKUP(J11,'HVAC Lookup'!$H$10:$J$22,3,FALSE))</f>
        <v/>
      </c>
      <c r="N11" s="2254" t="e">
        <f>IF(#REF!="","",VLOOKUP(#REF!,'HVAC Lookup'!$H$10:$J$22,3,FALSE))</f>
        <v>#REF!</v>
      </c>
      <c r="O11" s="3771"/>
      <c r="P11" s="3772" t="str">
        <f>IF(O11="","",O11)</f>
        <v/>
      </c>
      <c r="Q11" s="3773"/>
      <c r="R11" s="2254" t="str">
        <f>IF(O11="","",VLOOKUP(O11,'HVAC Lookup'!$H$10:$J$22,3,FALSE))</f>
        <v/>
      </c>
      <c r="S11" s="2256"/>
      <c r="T11" s="2256"/>
      <c r="U11" s="2257"/>
      <c r="V11" s="2151"/>
      <c r="W11" s="2252"/>
      <c r="X11" s="2248"/>
      <c r="Y11" s="2248"/>
      <c r="Z11" s="2248"/>
      <c r="AA11" s="2248"/>
      <c r="AB11" s="2248"/>
      <c r="AC11" s="2248"/>
      <c r="AD11" s="2248"/>
      <c r="AE11" s="2246"/>
      <c r="AF11" s="2246"/>
      <c r="AG11" s="2246"/>
      <c r="AH11" s="2246"/>
      <c r="AI11" s="2246"/>
      <c r="AJ11" s="2246"/>
      <c r="AK11" s="2246"/>
      <c r="AL11" s="2246"/>
      <c r="AM11" s="2246"/>
      <c r="AN11" s="3771"/>
      <c r="AO11" s="3772" t="str">
        <f>IF(AN11="","",AN11)</f>
        <v/>
      </c>
      <c r="AP11" s="3773"/>
      <c r="AQ11" s="2254" t="str">
        <f>IF(AN11="","",VLOOKUP(AN11,'HVAC Lookup'!$H$10:$J$22,3,FALSE))</f>
        <v/>
      </c>
      <c r="AR11" s="2258"/>
      <c r="AS11" s="2248"/>
      <c r="AT11" s="35"/>
      <c r="AU11" s="35"/>
      <c r="AV11" s="35"/>
      <c r="AW11" s="35"/>
      <c r="AX11" s="35"/>
      <c r="AY11" s="35"/>
      <c r="AZ11" s="35"/>
      <c r="BA11" s="35"/>
      <c r="BB11" s="35"/>
      <c r="BC11" s="35"/>
    </row>
    <row r="12" spans="1:58" s="387" customFormat="1" ht="30" customHeight="1" x14ac:dyDescent="0.25">
      <c r="B12" s="3780" t="s">
        <v>344</v>
      </c>
      <c r="C12" s="3781"/>
      <c r="D12" s="2186" t="s">
        <v>2953</v>
      </c>
      <c r="E12" s="2362"/>
      <c r="F12" s="2214"/>
      <c r="G12" s="1334" t="s">
        <v>2214</v>
      </c>
      <c r="H12" s="1402"/>
      <c r="I12" s="3771"/>
      <c r="J12" s="3772"/>
      <c r="K12" s="3773"/>
      <c r="L12" s="2978"/>
      <c r="M12" s="2254"/>
      <c r="N12" s="2254"/>
      <c r="O12" s="3771"/>
      <c r="P12" s="3772" t="str">
        <f>IF(O12="","",O12)</f>
        <v/>
      </c>
      <c r="Q12" s="3773"/>
      <c r="R12" s="2254"/>
      <c r="S12" s="2256"/>
      <c r="T12" s="2256"/>
      <c r="U12" s="2257"/>
      <c r="V12" s="2151"/>
      <c r="W12" s="2252"/>
      <c r="X12" s="2248"/>
      <c r="Y12" s="2248"/>
      <c r="Z12" s="2248"/>
      <c r="AA12" s="2248"/>
      <c r="AB12" s="2248"/>
      <c r="AC12" s="2248"/>
      <c r="AD12" s="2248"/>
      <c r="AE12" s="2246"/>
      <c r="AF12" s="2246"/>
      <c r="AG12" s="2246"/>
      <c r="AH12" s="2246"/>
      <c r="AI12" s="2246"/>
      <c r="AJ12" s="2246"/>
      <c r="AK12" s="2246"/>
      <c r="AL12" s="2246"/>
      <c r="AM12" s="2246"/>
      <c r="AN12" s="3771"/>
      <c r="AO12" s="3772" t="str">
        <f>IF(AN12="","",AN12)</f>
        <v/>
      </c>
      <c r="AP12" s="3773"/>
      <c r="AQ12" s="2254"/>
      <c r="AR12" s="2258"/>
      <c r="AS12" s="2248"/>
      <c r="AT12" s="35"/>
      <c r="AU12" s="35"/>
      <c r="AV12" s="35"/>
      <c r="AW12" s="35"/>
      <c r="AX12" s="35"/>
      <c r="AY12" s="35"/>
      <c r="AZ12" s="35"/>
      <c r="BA12" s="35"/>
      <c r="BB12" s="35"/>
      <c r="BC12" s="35"/>
    </row>
    <row r="13" spans="1:58" s="387" customFormat="1" ht="43.5" customHeight="1" x14ac:dyDescent="0.25">
      <c r="B13" s="3780" t="s">
        <v>343</v>
      </c>
      <c r="C13" s="3781"/>
      <c r="D13" s="2186" t="s">
        <v>2954</v>
      </c>
      <c r="E13" s="2362"/>
      <c r="F13" s="2214"/>
      <c r="G13" s="1334" t="s">
        <v>2214</v>
      </c>
      <c r="H13" s="1402"/>
      <c r="I13" s="3762"/>
      <c r="J13" s="3763"/>
      <c r="K13" s="3764"/>
      <c r="L13" s="2979">
        <f>IFERROR((IF(K14="kBtu/h",I14,IF(K14="tons",I14*DropdownData!$G$8,IF(K14="kW",I14*DropdownData!$G$2,IF(K14="Btuh",I14/1000))))),"")</f>
        <v>0</v>
      </c>
      <c r="M13" s="2191"/>
      <c r="N13" s="2191"/>
      <c r="O13" s="3762"/>
      <c r="P13" s="3763" t="str">
        <f>IF(O13="","",O13)</f>
        <v/>
      </c>
      <c r="Q13" s="3764"/>
      <c r="R13" s="1786">
        <f>IFERROR((IF(Q14="kBtu/h",O14,IF(Q14="tons",O14*DropdownData!$G$8,IF(Q14="kW",O14*DropdownData!$G$2,IF(Q14="Btuh",O14/1000))))),"")</f>
        <v>0</v>
      </c>
      <c r="S13" s="43"/>
      <c r="T13" s="43"/>
      <c r="U13" s="803"/>
      <c r="V13" s="2151"/>
      <c r="W13" s="623"/>
      <c r="X13" s="1714"/>
      <c r="Y13" s="1714"/>
      <c r="Z13" s="1714"/>
      <c r="AA13" s="1714"/>
      <c r="AB13" s="1714"/>
      <c r="AC13" s="1714"/>
      <c r="AD13" s="1714"/>
      <c r="AE13" s="35"/>
      <c r="AF13" s="35"/>
      <c r="AG13" s="35"/>
      <c r="AH13" s="35"/>
      <c r="AI13" s="35"/>
      <c r="AJ13" s="35"/>
      <c r="AK13" s="35"/>
      <c r="AL13" s="35"/>
      <c r="AM13" s="35"/>
      <c r="AN13" s="3762"/>
      <c r="AO13" s="3763" t="str">
        <f>IF(AN13="","",AN13)</f>
        <v/>
      </c>
      <c r="AP13" s="3764"/>
      <c r="AQ13" s="1786">
        <f>IFERROR((IF(AP14="kBtu/h",AN14,IF(AP14="tons",AN14*DropdownData!$G$8,IF(AP14="kW",AN14*DropdownData!$G$2,IF(AP14="Btuh",AN14/1000))))),"")</f>
        <v>0</v>
      </c>
      <c r="AR13" s="2226"/>
      <c r="AS13" s="1714"/>
      <c r="AT13" s="35"/>
      <c r="AU13" s="35"/>
      <c r="AV13" s="35"/>
      <c r="AW13" s="35"/>
      <c r="AX13" s="35"/>
      <c r="AY13" s="35"/>
      <c r="AZ13" s="35"/>
      <c r="BA13" s="35"/>
      <c r="BB13" s="35"/>
      <c r="BC13" s="35"/>
    </row>
    <row r="14" spans="1:58" s="387" customFormat="1" ht="51" x14ac:dyDescent="0.25">
      <c r="B14" s="3460" t="s">
        <v>322</v>
      </c>
      <c r="C14" s="3460"/>
      <c r="D14" s="1790" t="s">
        <v>1512</v>
      </c>
      <c r="E14" s="2995">
        <f>SUMIF(H8:AM8,"BL_Units",H13:AM13)</f>
        <v>0</v>
      </c>
      <c r="F14" s="2215"/>
      <c r="G14" s="1334" t="str">
        <f>CONCATENATE(ROUND(SUMIF($I$8:$JV$8,"Baseline",I14:JV14),2)," ",K14)</f>
        <v>0 kBtu/h</v>
      </c>
      <c r="H14" s="1411"/>
      <c r="I14" s="1945"/>
      <c r="J14" s="2951" t="str">
        <f>IF(I14="","",I14)</f>
        <v/>
      </c>
      <c r="K14" s="1349" t="str">
        <f>IF(SI_IP_Units="IP","kBtu/h","kW")</f>
        <v>kBtu/h</v>
      </c>
      <c r="L14" s="2980" t="str">
        <f>IFERROR((IF(K14="kBtu/h",I14*1000,IF(K14="tons",I14*DropdownData!$G$8*1000,IF(K14="kW",I14*DropdownData!$G$2*1000,IF(K14="Btuh",I14)))))/I13,"")</f>
        <v/>
      </c>
      <c r="M14" s="1786" t="str">
        <f>IFERROR((IF(K14="kBtu/h",I14*1000,IF(K14="tons",I14*DropdownData!$G$8*1000,IF(K14="kW",I14*DropdownData!$G$2*1000,IF(K14="Btuh",I14)))))/I13,"")</f>
        <v/>
      </c>
      <c r="N14" s="1786" t="str">
        <f>IFERROR((IF(#REF!="kBtu/h",#REF!*1000,IF(#REF!="tons",#REF!*DropdownData!$G$8*1000,IF(#REF!="kW",#REF!*DropdownData!$G$2*1000,IF(#REF!="Btuh",#REF!)))))/#REF!,"")</f>
        <v/>
      </c>
      <c r="O14" s="1944"/>
      <c r="P14" s="2782" t="str">
        <f>IF(O14="","",O14)</f>
        <v/>
      </c>
      <c r="Q14" s="2225" t="str">
        <f>IF(SI_IP_Units="IP","kBtu/h","kW")</f>
        <v>kBtu/h</v>
      </c>
      <c r="R14" s="1786" t="str">
        <f>IFERROR((IF(Q14="kBtu/h",O14*1000,IF(Q14="tons",O14*DropdownData!$G$8*1000,IF(Q14="kW",O14*DropdownData!$G$2*1000,IF(Q14="Btuh",O14)))))/O13,"")</f>
        <v/>
      </c>
      <c r="S14" s="43"/>
      <c r="T14" s="43"/>
      <c r="U14" s="803"/>
      <c r="V14" s="2151"/>
      <c r="W14" s="623"/>
      <c r="X14" s="1714"/>
      <c r="Y14" s="1714"/>
      <c r="Z14" s="1714"/>
      <c r="AA14" s="1714"/>
      <c r="AB14" s="1714"/>
      <c r="AC14" s="1714"/>
      <c r="AD14" s="1714"/>
      <c r="AE14" s="35"/>
      <c r="AF14" s="35"/>
      <c r="AG14" s="35"/>
      <c r="AH14" s="35"/>
      <c r="AI14" s="35"/>
      <c r="AJ14" s="35"/>
      <c r="AK14" s="35"/>
      <c r="AL14" s="35"/>
      <c r="AM14" s="35"/>
      <c r="AN14" s="1944"/>
      <c r="AO14" s="2782" t="str">
        <f>IF(AN14="","",AN14)</f>
        <v/>
      </c>
      <c r="AP14" s="2225" t="str">
        <f>IF(SI_IP_Units="IP","kBtu/h","kW")</f>
        <v>kBtu/h</v>
      </c>
      <c r="AQ14" s="1786" t="str">
        <f>IFERROR((IF(AP14="kBtu/h",AN14*1000,IF(AP14="tons",AN14*DropdownData!$G$8*1000,IF(AP14="kW",AN14*DropdownData!$G$2*1000,IF(AP14="Btuh",AN14)))))/AN13,"")</f>
        <v/>
      </c>
      <c r="AR14" s="2226"/>
      <c r="AS14" s="1714"/>
      <c r="AT14" s="35"/>
      <c r="AU14" s="35"/>
      <c r="AV14" s="35"/>
      <c r="AW14" s="35"/>
      <c r="AX14" s="35"/>
      <c r="AY14" s="35"/>
      <c r="AZ14" s="35"/>
      <c r="BA14" s="35"/>
      <c r="BB14" s="35"/>
      <c r="BC14" s="35"/>
    </row>
    <row r="15" spans="1:58" s="387" customFormat="1" ht="127.5" customHeight="1" x14ac:dyDescent="0.25">
      <c r="B15" s="3774" t="s">
        <v>2451</v>
      </c>
      <c r="C15" s="2080" t="s">
        <v>2452</v>
      </c>
      <c r="D15" s="1791" t="s">
        <v>2453</v>
      </c>
      <c r="E15" s="2857"/>
      <c r="F15" s="2216"/>
      <c r="G15" s="1334" t="s">
        <v>2214</v>
      </c>
      <c r="H15" s="1404"/>
      <c r="I15" s="1689"/>
      <c r="J15" s="1693" t="str">
        <f>IF(I15="","",I15)</f>
        <v/>
      </c>
      <c r="K15" s="1722" t="s">
        <v>2214</v>
      </c>
      <c r="L15" s="2979">
        <f>IF(SI_IP_Units="IP",IF(L14&lt;7000,7000,IF(L14&gt;15000,15000,L14)),IF(L14&lt;2.1,2.1,IF(L14&gt;4.4,4.4,L14)))</f>
        <v>15000</v>
      </c>
      <c r="M15" s="2191"/>
      <c r="N15" s="2191"/>
      <c r="O15" s="1696"/>
      <c r="P15" s="1695" t="str">
        <f>IF(O15="","",O15)</f>
        <v/>
      </c>
      <c r="Q15" s="1722" t="s">
        <v>2214</v>
      </c>
      <c r="R15" s="1786">
        <f>IF(SI_IP_Units="IP",IF(R14&lt;7000,7000,IF(R14&gt;15000,15000,R14)),IF(R14&lt;2.1,2.1,IF(R14&gt;4.4,4.4,R14)))</f>
        <v>15000</v>
      </c>
      <c r="S15" s="43"/>
      <c r="T15" s="43"/>
      <c r="U15" s="803"/>
      <c r="V15" s="2151"/>
      <c r="W15" s="623"/>
      <c r="X15" s="1714"/>
      <c r="Y15" s="1714"/>
      <c r="Z15" s="1714"/>
      <c r="AA15" s="1714"/>
      <c r="AB15" s="1714"/>
      <c r="AC15" s="1714"/>
      <c r="AD15" s="1714"/>
      <c r="AE15" s="35"/>
      <c r="AF15" s="35"/>
      <c r="AG15" s="35"/>
      <c r="AH15" s="35"/>
      <c r="AI15" s="35"/>
      <c r="AJ15" s="35"/>
      <c r="AK15" s="35"/>
      <c r="AL15" s="35"/>
      <c r="AM15" s="35"/>
      <c r="AN15" s="1696"/>
      <c r="AO15" s="1695" t="str">
        <f>IF(AN15="","",AN15)</f>
        <v/>
      </c>
      <c r="AP15" s="1722" t="s">
        <v>2214</v>
      </c>
      <c r="AQ15" s="1786">
        <f>IF(SI_IP_Units="IP",IF(AQ14&lt;7000,7000,IF(AQ14&gt;15000,15000,AQ14)),IF(AQ14&lt;2.1,2.1,IF(AQ14&gt;4.4,4.4,AQ14)))</f>
        <v>15000</v>
      </c>
      <c r="AR15" s="2226"/>
      <c r="AS15" s="1714"/>
      <c r="AT15" s="35"/>
      <c r="AU15" s="35"/>
      <c r="AV15" s="35"/>
      <c r="AW15" s="35"/>
      <c r="AX15" s="35"/>
      <c r="AY15" s="35"/>
      <c r="AZ15" s="35"/>
      <c r="BA15" s="35"/>
      <c r="BB15" s="35"/>
      <c r="BC15" s="35"/>
    </row>
    <row r="16" spans="1:58" s="387" customFormat="1" ht="30.6" x14ac:dyDescent="0.25">
      <c r="B16" s="3774"/>
      <c r="C16" s="2080" t="s">
        <v>323</v>
      </c>
      <c r="D16" s="1790" t="s">
        <v>1513</v>
      </c>
      <c r="E16" s="2856"/>
      <c r="F16" s="2038"/>
      <c r="G16" s="1334" t="s">
        <v>2214</v>
      </c>
      <c r="H16" s="1405"/>
      <c r="I16" s="1688" t="str">
        <f>IFERROR(IF(I11="System 1 - PTAC",IF(SI_IP_Units="IP",12.5-(0.213*(L15)/1000),3.66-(0.213*(L15))),IF(I11="System 2 - PTHP",IF(SI_IP_Units="IP",12.3-(0.213*(L15)/1000),3.6-(0.213*(L15))),IF(ISERROR(VLOOKUP(I11&amp;I15,'HVAC Lookup'!$AC$9:$AD$30,2,FALSE))=TRUE,"",VLOOKUP(I11&amp;I15,'HVAC Lookup'!$AC$9:$AD$30,2,FALSE)))),"-")</f>
        <v/>
      </c>
      <c r="J16" s="1693" t="str">
        <f>IFERROR(IF(I11="System 1 - PTAC",IF(SI_IP_Units="IP",12.5-(0.213*(L15)/1000),4.1-(0.3*(L15))),IF(I11="System 2 - PTHP",IF(SI_IP_Units="IP",12.3-(0.213*(L15)/1000),4.1-(0.3*(L15))),IF(ISERROR(VLOOKUP(I11&amp;I15,'HVAC Lookup'!$AC$9:$AP$30,6,FALSE))=TRUE,"",VLOOKUP(I11&amp;I15,'HVAC Lookup'!$AC$9:$AP$30,6,FALSE)))),"-")</f>
        <v/>
      </c>
      <c r="K16" s="2187" t="str">
        <f>IF(I11="","-",IF(ISERROR(VLOOKUP(I11&amp;I15,'HVAC Lookup'!$AC$8:$AG$30,3,FALSE))=TRUE,"",VLOOKUP(I11&amp;I15,'HVAC Lookup'!$AC$8:$AG$30,3,FALSE)))</f>
        <v>-</v>
      </c>
      <c r="L16" s="2979" t="str">
        <f>IFERROR(I17*L14*I13,"")</f>
        <v/>
      </c>
      <c r="M16" s="2191"/>
      <c r="N16" s="2191"/>
      <c r="O16" s="1721" t="str">
        <f>IFERROR(IF(O11="System 1 - PTAC",IF(SI_IP_Units="IP",12.5-(0.213*(R15)/1000),3.66-(0.213*(R15))),IF(O11="System 2 - PTHP",IF(SI_IP_Units="IP",12.3-(0.213*(R15)/1000),3.6-(0.213*(R15))),IF(ISERROR(VLOOKUP(O11&amp;O15,'HVAC Lookup'!$AC$9:$AD$30,2,FALSE))=TRUE,"",VLOOKUP(O11&amp;O15,'HVAC Lookup'!$AC$9:$AD$30,2,FALSE)))),"-")</f>
        <v/>
      </c>
      <c r="P16" s="1695" t="str">
        <f>IFERROR(IF(R11=1,IF(SI_IP_Units="IP",12.5-(0.213*(R15)/1000),4.1-(0.3*(R15))),IF(R11=2,IF(SI_IP_Units="IP",12.3-(0.213*(R15)/1000),4.1-(0.3*(R15))),IF(ISERROR(VLOOKUP(O11&amp;O15,'HVAC Lookup'!$AC$9:$AK$30,6,FALSE))=TRUE,"",VLOOKUP(O11&amp;O15,'HVAC Lookup'!$AC$9:$AK$30,6,FALSE)))),"-")</f>
        <v/>
      </c>
      <c r="Q16" s="2223" t="str">
        <f>IF(O11="","-",IF(ISERROR(VLOOKUP(O11&amp;O15,'HVAC Lookup'!$AC$8:$AG$30,3,FALSE))=TRUE,"",VLOOKUP(O11&amp;O15,'HVAC Lookup'!$AC$8:$AG$30,3,FALSE)))</f>
        <v>-</v>
      </c>
      <c r="R16" s="1786"/>
      <c r="S16" s="43"/>
      <c r="T16" s="43"/>
      <c r="U16" s="803"/>
      <c r="V16" s="2151"/>
      <c r="W16" s="623"/>
      <c r="X16" s="1714"/>
      <c r="Y16" s="1714"/>
      <c r="Z16" s="1714"/>
      <c r="AA16" s="1714"/>
      <c r="AB16" s="1714"/>
      <c r="AC16" s="1714"/>
      <c r="AD16" s="1714"/>
      <c r="AE16" s="35"/>
      <c r="AF16" s="35"/>
      <c r="AG16" s="35"/>
      <c r="AH16" s="35"/>
      <c r="AI16" s="35"/>
      <c r="AJ16" s="35"/>
      <c r="AK16" s="35"/>
      <c r="AL16" s="35"/>
      <c r="AM16" s="35"/>
      <c r="AN16" s="1721" t="str">
        <f>IFERROR(IF(AN11="System 1 - PTAC",IF(SI_IP_Units="IP",12.5-(0.213*(AQ15)/1000),3.66-(0.213*(AQ15))),IF(AN11="System 2 - PTHP",IF(SI_IP_Units="IP",12.3-(0.213*(AQ15)/1000),3.6-(0.213*(AQ15))),IF(ISERROR(VLOOKUP(AN11&amp;AN15,'HVAC Lookup'!$AC$9:$AD$30,2,FALSE))=TRUE,"",VLOOKUP(AN11&amp;AN15,'HVAC Lookup'!$AC$9:$AD$30,2,FALSE)))),"-")</f>
        <v/>
      </c>
      <c r="AO16" s="1695" t="str">
        <f>IFERROR(IF(AQ11=1,IF(SI_IP_Units="IP",12.5-(0.213*(AQ15)/1000),4.1-(0.3*(AQ15))),IF(AQ11=2,IF(SI_IP_Units="IP",12.3-(0.213*(AQ15)/1000),4.1-(0.3*(AQ15))),IF(ISERROR(VLOOKUP(AN11&amp;AN15,'HVAC Lookup'!$AC$9:$AK$30,6,FALSE))=TRUE,"",VLOOKUP(AN11&amp;AN15,'HVAC Lookup'!$AC$9:$AK$30,6,FALSE)))),"-")</f>
        <v/>
      </c>
      <c r="AP16" s="2223" t="str">
        <f>IF(AN11="","-",IF(ISERROR(VLOOKUP(AN11&amp;AN15,'HVAC Lookup'!$AC$8:$AG$30,3,FALSE))=TRUE,"",VLOOKUP(AN11&amp;AN15,'HVAC Lookup'!$AC$8:$AG$30,3,FALSE)))</f>
        <v>-</v>
      </c>
      <c r="AQ16" s="1786"/>
      <c r="AR16" s="2226"/>
      <c r="AS16" s="1714"/>
      <c r="AT16" s="35"/>
      <c r="AU16" s="35"/>
      <c r="AV16" s="35"/>
      <c r="AW16" s="35"/>
      <c r="AX16" s="35"/>
      <c r="AY16" s="35"/>
      <c r="AZ16" s="35"/>
      <c r="BA16" s="35"/>
      <c r="BB16" s="35"/>
      <c r="BC16" s="35"/>
    </row>
    <row r="17" spans="1:55" s="387" customFormat="1" x14ac:dyDescent="0.25">
      <c r="B17" s="3774"/>
      <c r="C17" s="2080" t="s">
        <v>2280</v>
      </c>
      <c r="D17" s="1790" t="s">
        <v>2337</v>
      </c>
      <c r="E17" s="2856"/>
      <c r="F17" s="2038"/>
      <c r="G17" s="1334" t="str">
        <f>IFERROR(ROUND((SUMPRODUCT(--($H$8:JZ$8="Baseline"),$H14:JZ14,$H17:JZ17))/(SUMIFS($H14:JZ14,$H$8:JZ$8, "Baseline",$H17:JZ17,"&gt;0")),2)&amp;" COP","N/A")</f>
        <v>N/A</v>
      </c>
      <c r="H17" s="1405"/>
      <c r="I17" s="1688" t="str">
        <f>IFERROR(IF(I16="","",IF(SI_IP_Units="IP",IF(K16="EER",(0.0000000784)*I16*(MIN(I14/I13,760))+0.338*I16,(-0.0076*I16^2+0.3796*I16)),IF(K16="COP",(0.000913)*I16*(MIN(I14/I13,223))+1.15*I16,(-0.0885*I16^2+1.295*I16)))),"-")</f>
        <v/>
      </c>
      <c r="J17" s="2206" t="str">
        <f>IFERROR(IF(J16="","",IF(SI_IP_Units="IP",IF(K16="EER",(0.0000000784)*J16*(MIN(I14/I13,760))+0.338*J16,(-0.0076*J16^2+0.3796*J16)),IF(K16="COP",(0.000913)*J16*(MIN(I14/I13,223))+1.15*J16,(-0.0885*J16^2+1.295*J16)))),"-")</f>
        <v/>
      </c>
      <c r="K17" s="2187" t="s">
        <v>645</v>
      </c>
      <c r="L17" s="2981" t="str">
        <f>IFERROR(I17,"")</f>
        <v/>
      </c>
      <c r="M17" s="2191"/>
      <c r="N17" s="2191"/>
      <c r="O17" s="1721" t="str">
        <f>IFERROR(IF(O16="","",IF(SI_IP_Units="IP",IF(Q16="EER",(0.0000000784)*O16*(MIN(O14/O13,760))+0.338*O16,(-0.0076*O16^2+0.3796*O16)),IF(Q16="COP",(0.000913)*O16*(MIN(O14/O13,223))+1.15*O16,(-0.0885*O16^2+1.295*O16)))),"-")</f>
        <v/>
      </c>
      <c r="P17" s="1721" t="str">
        <f>IFERROR(IF(P16="","",IF(SI_IP_Units="IP",IF(Q16="EER",(0.0000000784)*P16*(MIN(O14/O13,760))+0.338*P16,(-0.0076*P16^2+0.3796*P16)),IF(Q16="COP",(0.000913)*P16*(MIN(O14/O13,223))+1.15*P16,(-0.0885*P16^2+1.295*P16)))),"-")</f>
        <v/>
      </c>
      <c r="Q17" s="2223" t="s">
        <v>645</v>
      </c>
      <c r="R17" s="1656" t="str">
        <f>IFERROR(O17,"")</f>
        <v/>
      </c>
      <c r="S17" s="43"/>
      <c r="T17" s="43"/>
      <c r="U17" s="803"/>
      <c r="V17" s="2151"/>
      <c r="W17" s="623"/>
      <c r="X17" s="1714"/>
      <c r="Y17" s="1714"/>
      <c r="Z17" s="1714"/>
      <c r="AA17" s="1714"/>
      <c r="AB17" s="1714"/>
      <c r="AC17" s="1714"/>
      <c r="AD17" s="1714"/>
      <c r="AE17" s="35"/>
      <c r="AF17" s="35"/>
      <c r="AG17" s="35"/>
      <c r="AH17" s="35"/>
      <c r="AI17" s="35"/>
      <c r="AJ17" s="35"/>
      <c r="AK17" s="35"/>
      <c r="AL17" s="35"/>
      <c r="AM17" s="35"/>
      <c r="AN17" s="1721" t="str">
        <f>IFERROR(IF(AN16="","",IF(SI_IP_Units="IP",IF(AP16="EER",(0.0000000784)*AN16*(MIN(AN14/AN13,760))+0.338*AN16,(-0.0076*AN16^2+0.3796*AN16)),IF(AP16="COP",(0.000913)*AN16*(MIN(AN14/AN13,223))+1.15*AN16,(-0.0885*AN16^2+1.295*AN16)))),"-")</f>
        <v/>
      </c>
      <c r="AO17" s="1721" t="str">
        <f>IFERROR(IF(AO16="","",IF(SI_IP_Units="IP",IF(AP16="EER",(0.0000000784)*AO16*(MIN(AN14/AN13,760))+0.338*AO16,(-0.0076*AO16^2+0.3796*AO16)),IF(AP16="COP",(0.000913)*AO16*(MIN(AN14/AN13,223))+1.15*AO16,(-0.0885*AO16^2+1.295*AO16)))),"-")</f>
        <v/>
      </c>
      <c r="AP17" s="2223" t="s">
        <v>645</v>
      </c>
      <c r="AQ17" s="1656" t="str">
        <f>IFERROR(AN17,"")</f>
        <v/>
      </c>
      <c r="AR17" s="2226"/>
      <c r="AS17" s="1714"/>
      <c r="AT17" s="35"/>
      <c r="AU17" s="35"/>
      <c r="AV17" s="35"/>
      <c r="AW17" s="35"/>
      <c r="AX17" s="35"/>
      <c r="AY17" s="35"/>
      <c r="AZ17" s="35"/>
      <c r="BA17" s="35"/>
      <c r="BB17" s="35"/>
      <c r="BC17" s="35"/>
    </row>
    <row r="18" spans="1:55" s="387" customFormat="1" ht="64.5" customHeight="1" x14ac:dyDescent="0.25">
      <c r="B18" s="3774"/>
      <c r="C18" s="2080" t="s">
        <v>324</v>
      </c>
      <c r="D18" s="1790" t="s">
        <v>2957</v>
      </c>
      <c r="E18" s="2856"/>
      <c r="F18" s="2038"/>
      <c r="G18" s="1334" t="s">
        <v>2214</v>
      </c>
      <c r="H18" s="1405"/>
      <c r="I18" s="1688" t="str">
        <f>IF(ISERROR(VLOOKUP(I11&amp;I15,'HVAC Lookup'!$AC$8:$AF$30,4,FALSE))=TRUE,"",VLOOKUP(I11&amp;I15,'HVAC Lookup'!$AC$8:$AF$30,4,FALSE))</f>
        <v/>
      </c>
      <c r="J18" s="1693" t="str">
        <f>IFERROR(IF(OR(L11=1,L11=2),"",IFERROR(VLOOKUP(I11&amp;I15,'HVAC Lookup'!$AC$9:$AP$30,8,FALSE),"")),"-")</f>
        <v/>
      </c>
      <c r="K18" s="2187" t="str">
        <f>IF(I11="","-",IF(ISERROR(VLOOKUP(I11&amp;I15,'HVAC Lookup'!$AC$8:$AG$30,5,FALSE))=TRUE,"",VLOOKUP(I11&amp;I15,'HVAC Lookup'!$AC$8:$AG$30,5,FALSE)))</f>
        <v>-</v>
      </c>
      <c r="L18" s="2979">
        <f>IFERROR(I14*I17/#REF!,0)</f>
        <v>0</v>
      </c>
      <c r="M18" s="2191"/>
      <c r="N18" s="2191"/>
      <c r="O18" s="1721" t="str">
        <f>IF(ISERROR(VLOOKUP(O11&amp;O15,'HVAC Lookup'!$AC$8:$AF$30,4,FALSE))=TRUE,"",VLOOKUP(O11&amp;O15,'HVAC Lookup'!$AC$8:$AF$30,4,FALSE))</f>
        <v/>
      </c>
      <c r="P18" s="1695" t="str">
        <f>IFERROR(IF(OR(R11=1,R11=2),"",IFERROR(VLOOKUP(O11&amp;O15,'HVAC Lookup'!$AC$9:$AK$30,8,FALSE),"")),"-")</f>
        <v/>
      </c>
      <c r="Q18" s="2223" t="str">
        <f>IF(O11="","-",IF(ISERROR(VLOOKUP(O11&amp;O15,'HVAC Lookup'!$AC$8:$AG$30,5,FALSE))=TRUE,"",VLOOKUP(O11&amp;O15,'HVAC Lookup'!$AC$8:$AG$30,5,FALSE)))</f>
        <v>-</v>
      </c>
      <c r="R18" s="1786">
        <f>IFERROR(O14*O17/#REF!,0)</f>
        <v>0</v>
      </c>
      <c r="S18" s="43"/>
      <c r="T18" s="43"/>
      <c r="U18" s="803"/>
      <c r="V18" s="2151"/>
      <c r="W18" s="623"/>
      <c r="X18" s="1714"/>
      <c r="Y18" s="1714"/>
      <c r="Z18" s="1714"/>
      <c r="AA18" s="1714"/>
      <c r="AB18" s="1714"/>
      <c r="AC18" s="1714"/>
      <c r="AD18" s="1714"/>
      <c r="AE18" s="35"/>
      <c r="AF18" s="35"/>
      <c r="AG18" s="35"/>
      <c r="AH18" s="35"/>
      <c r="AI18" s="35"/>
      <c r="AJ18" s="35"/>
      <c r="AK18" s="35"/>
      <c r="AL18" s="35"/>
      <c r="AM18" s="35"/>
      <c r="AN18" s="1721" t="str">
        <f>IF(ISERROR(VLOOKUP(AN11&amp;AN15,'HVAC Lookup'!$AC$8:$AF$30,4,FALSE))=TRUE,"",VLOOKUP(AN11&amp;AN15,'HVAC Lookup'!$AC$8:$AF$30,4,FALSE))</f>
        <v/>
      </c>
      <c r="AO18" s="1695" t="str">
        <f>IFERROR(IF(OR(AQ11=1,AQ11=2),"",IFERROR(VLOOKUP(AN11&amp;AN15,'HVAC Lookup'!$AC$9:$AK$30,8,FALSE),"")),"-")</f>
        <v/>
      </c>
      <c r="AP18" s="2223" t="str">
        <f>IF(AN11="","-",IF(ISERROR(VLOOKUP(AN11&amp;AN15,'HVAC Lookup'!$AC$8:$AG$30,5,FALSE))=TRUE,"",VLOOKUP(AN11&amp;AN15,'HVAC Lookup'!$AC$8:$AG$30,5,FALSE)))</f>
        <v>-</v>
      </c>
      <c r="AQ18" s="1786">
        <f>IFERROR(AN14*AN17/#REF!,0)</f>
        <v>0</v>
      </c>
      <c r="AR18" s="2226"/>
      <c r="AS18" s="1714"/>
      <c r="AT18" s="35"/>
      <c r="AU18" s="35"/>
      <c r="AV18" s="35"/>
      <c r="AW18" s="35"/>
      <c r="AX18" s="35"/>
      <c r="AY18" s="35"/>
      <c r="AZ18" s="35"/>
      <c r="BA18" s="35"/>
      <c r="BB18" s="35"/>
      <c r="BC18" s="35"/>
    </row>
    <row r="19" spans="1:55" s="387" customFormat="1" ht="65.25" customHeight="1" x14ac:dyDescent="0.25">
      <c r="B19" s="3782" t="s">
        <v>325</v>
      </c>
      <c r="C19" s="3783"/>
      <c r="D19" s="2862" t="s">
        <v>1514</v>
      </c>
      <c r="E19" s="2856"/>
      <c r="F19" s="2215"/>
      <c r="G19" s="2863" t="str">
        <f>CONCATENATE(TEXT(IFERROR(SUMIF($G$8:$JV$8,"Baseline",$G19:$JV19),"-"),"#")," ",K19)</f>
        <v xml:space="preserve"> kW</v>
      </c>
      <c r="H19" s="1403"/>
      <c r="I19" s="2864"/>
      <c r="J19" s="2952" t="str">
        <f>IF(I19="","",I19)</f>
        <v/>
      </c>
      <c r="K19" s="2865" t="s">
        <v>207</v>
      </c>
      <c r="L19" s="2982" t="str">
        <f>IFERROR(IF(K19="kBtu/h",I19,IF(K19="tons",I19*DropdownData!J13,IF(K19="kW",I19*DropdownData!J7,IF(K19="Btuh",I19/DropdownData!J11)))),"")</f>
        <v/>
      </c>
      <c r="M19" s="2191"/>
      <c r="N19" s="2191"/>
      <c r="O19" s="1944"/>
      <c r="P19" s="2782" t="str">
        <f>IF(O19="","",O19)</f>
        <v/>
      </c>
      <c r="Q19" s="2547" t="str">
        <f>K19</f>
        <v>kW</v>
      </c>
      <c r="R19" s="1720"/>
      <c r="S19" s="43"/>
      <c r="T19" s="43"/>
      <c r="U19" s="803"/>
      <c r="V19" s="2151"/>
      <c r="W19" s="623"/>
      <c r="X19" s="1714"/>
      <c r="Y19" s="1714"/>
      <c r="Z19" s="1714"/>
      <c r="AA19" s="1714"/>
      <c r="AB19" s="1714"/>
      <c r="AC19" s="1714"/>
      <c r="AD19" s="1714"/>
      <c r="AE19" s="35"/>
      <c r="AF19" s="35"/>
      <c r="AG19" s="35"/>
      <c r="AH19" s="35"/>
      <c r="AI19" s="35"/>
      <c r="AJ19" s="35"/>
      <c r="AK19" s="35"/>
      <c r="AL19" s="35"/>
      <c r="AM19" s="35"/>
      <c r="AN19" s="1944"/>
      <c r="AO19" s="2782" t="str">
        <f>IF(AN19="","",AN19)</f>
        <v/>
      </c>
      <c r="AP19" s="2547" t="str">
        <f>$K19</f>
        <v>kW</v>
      </c>
      <c r="AQ19" s="1720"/>
      <c r="AR19" s="2226"/>
      <c r="AS19" s="1714"/>
      <c r="AT19" s="35"/>
      <c r="AU19" s="35"/>
      <c r="AV19" s="35"/>
      <c r="AW19" s="35"/>
      <c r="AX19" s="35"/>
      <c r="AY19" s="35"/>
      <c r="AZ19" s="35"/>
      <c r="BA19" s="35"/>
      <c r="BB19" s="35"/>
      <c r="BC19" s="35"/>
    </row>
    <row r="20" spans="1:55" s="387" customFormat="1" ht="65.25" customHeight="1" x14ac:dyDescent="0.25">
      <c r="B20" s="1198" t="s">
        <v>3389</v>
      </c>
      <c r="C20" s="1198"/>
      <c r="D20" s="2871" t="s">
        <v>3390</v>
      </c>
      <c r="E20" s="2872"/>
      <c r="F20" s="2872"/>
      <c r="G20" s="2873"/>
      <c r="H20" s="2874"/>
      <c r="I20" s="1944"/>
      <c r="J20" s="2782"/>
      <c r="K20" s="1722" t="s">
        <v>2214</v>
      </c>
      <c r="L20" s="2982"/>
      <c r="M20" s="2191"/>
      <c r="N20" s="2191"/>
      <c r="O20" s="1944"/>
      <c r="P20" s="2782"/>
      <c r="Q20" s="1722" t="s">
        <v>2214</v>
      </c>
      <c r="R20" s="1720"/>
      <c r="S20" s="43"/>
      <c r="T20" s="43"/>
      <c r="U20" s="803"/>
      <c r="V20" s="2151"/>
      <c r="W20" s="623"/>
      <c r="X20" s="1714"/>
      <c r="Y20" s="1714"/>
      <c r="Z20" s="1714"/>
      <c r="AA20" s="1714"/>
      <c r="AB20" s="1714"/>
      <c r="AC20" s="1714"/>
      <c r="AD20" s="1714"/>
      <c r="AE20" s="35"/>
      <c r="AF20" s="35"/>
      <c r="AG20" s="35"/>
      <c r="AH20" s="35"/>
      <c r="AI20" s="35"/>
      <c r="AJ20" s="35"/>
      <c r="AK20" s="35"/>
      <c r="AL20" s="35"/>
      <c r="AM20" s="35"/>
      <c r="AN20" s="1944"/>
      <c r="AO20" s="2782"/>
      <c r="AP20" s="1722" t="s">
        <v>2214</v>
      </c>
      <c r="AQ20" s="1720"/>
      <c r="AR20" s="2226"/>
      <c r="AS20" s="1714"/>
      <c r="AT20" s="35"/>
      <c r="AU20" s="35"/>
      <c r="AV20" s="35"/>
      <c r="AW20" s="35"/>
      <c r="AX20" s="35"/>
      <c r="AY20" s="35"/>
      <c r="AZ20" s="35"/>
      <c r="BA20" s="35"/>
      <c r="BB20" s="35"/>
      <c r="BC20" s="35"/>
    </row>
    <row r="21" spans="1:55" s="387" customFormat="1" ht="54.75" hidden="1" customHeight="1" x14ac:dyDescent="0.25">
      <c r="B21" s="2866" t="s">
        <v>2454</v>
      </c>
      <c r="C21" s="2866" t="s">
        <v>2455</v>
      </c>
      <c r="D21" s="2867" t="s">
        <v>2338</v>
      </c>
      <c r="E21" s="2857"/>
      <c r="F21" s="2216"/>
      <c r="G21" s="2868" t="s">
        <v>2214</v>
      </c>
      <c r="H21" s="1404"/>
      <c r="I21" s="2869"/>
      <c r="J21" s="2953" t="str">
        <f>IF(I21="","",I21)</f>
        <v/>
      </c>
      <c r="K21" s="2870" t="s">
        <v>2214</v>
      </c>
      <c r="L21" s="2979"/>
      <c r="M21" s="2191"/>
      <c r="N21" s="2191"/>
      <c r="O21" s="1696"/>
      <c r="P21" s="1695" t="str">
        <f>IF(O21="","",O21)</f>
        <v/>
      </c>
      <c r="Q21" s="1722" t="s">
        <v>2214</v>
      </c>
      <c r="R21" s="2191"/>
      <c r="S21" s="43"/>
      <c r="T21" s="43"/>
      <c r="U21" s="803"/>
      <c r="V21" s="2151"/>
      <c r="W21" s="623"/>
      <c r="X21" s="1714"/>
      <c r="Y21" s="1714"/>
      <c r="Z21" s="1714"/>
      <c r="AA21" s="1714"/>
      <c r="AB21" s="1714"/>
      <c r="AC21" s="1714"/>
      <c r="AD21" s="1714"/>
      <c r="AE21" s="35"/>
      <c r="AF21" s="35"/>
      <c r="AG21" s="35"/>
      <c r="AH21" s="35"/>
      <c r="AI21" s="35"/>
      <c r="AJ21" s="35"/>
      <c r="AK21" s="35"/>
      <c r="AL21" s="35"/>
      <c r="AM21" s="35"/>
      <c r="AN21" s="1696"/>
      <c r="AO21" s="1695" t="str">
        <f>IF(AN21="","",AN21)</f>
        <v/>
      </c>
      <c r="AP21" s="1722" t="s">
        <v>2214</v>
      </c>
      <c r="AQ21" s="2191"/>
      <c r="AR21" s="2226"/>
      <c r="AS21" s="1714"/>
      <c r="AT21" s="35"/>
      <c r="AU21" s="35"/>
      <c r="AV21" s="35"/>
      <c r="AW21" s="35"/>
      <c r="AX21" s="35"/>
      <c r="AY21" s="35"/>
      <c r="AZ21" s="35"/>
      <c r="BA21" s="35"/>
      <c r="BB21" s="35"/>
      <c r="BC21" s="35"/>
    </row>
    <row r="22" spans="1:55" s="387" customFormat="1" ht="53.25" customHeight="1" x14ac:dyDescent="0.25">
      <c r="B22" s="2866" t="s">
        <v>2454</v>
      </c>
      <c r="C22" s="2080" t="s">
        <v>326</v>
      </c>
      <c r="D22" s="1791" t="s">
        <v>1515</v>
      </c>
      <c r="E22" s="2857"/>
      <c r="F22" s="2038"/>
      <c r="G22" s="1334" t="s">
        <v>2214</v>
      </c>
      <c r="H22" s="1405"/>
      <c r="I22" s="1688" t="str">
        <f>IF(I15="N/A","N/A",IF(L11=2,IF(SI_IP_Units="IP",3.2-(0.026*L15/1000),3.2-(0.026*3.412*L15)),IF(L11=3,80%,IF(L11=4,IFERROR(VLOOKUP(I11&amp;I15,'HVAC Lookup'!$AC$33:$AD$60,2,FALSE),""),"NA"))))</f>
        <v>NA</v>
      </c>
      <c r="J22" s="2954" t="str">
        <f>IF(I15="N/A","N/A",IF(L11=2,IF(SI_IP_Units="IP",3.7-(0.052*L15/1000),3.7-(0.052*3.412*L15)),IF(L11=3,80%,IF(L11=4,IFERROR(VLOOKUP(I11&amp;I15,'HVAC Lookup'!$AC$33:$AM$60,5,FALSE),""),"NA"))))</f>
        <v>NA</v>
      </c>
      <c r="K22" s="1722" t="str">
        <f>IF(I15="N/A","N/A",IF(L11=2,"COP",IF(L11=3,"Et or Ec",IF(L11=4,IFERROR(VLOOKUP(I11&amp;I15,'HVAC Lookup'!$AC$33:$AM$60,3,FALSE),""),"NA"))))</f>
        <v>NA</v>
      </c>
      <c r="L22" s="2979"/>
      <c r="M22" s="2191"/>
      <c r="N22" s="2191"/>
      <c r="O22" s="1721" t="str">
        <f>IF(O15="N/A","N/A",IF(R11=2,IF(SI_IP_Units="IP",3.2-(0.026*R15/1000),3.2-(0.026*3.412*R15)),IF(R11=3,80%,IF(R11=4,IFERROR(VLOOKUP(O11&amp;O15,'HVAC Lookup'!$AC$33:$AD$60,2,FALSE),""),"NA"))))</f>
        <v>NA</v>
      </c>
      <c r="P22" s="2954" t="str">
        <f>IF(O15="N/A","N/A",IF(R11=2,IF(SI_IP_Units="IP",3.7-(0.052*R15/1000),3.7-(0.052*3.412*R15)),IF(R11=3,80%,IF(R11=4,IFERROR(VLOOKUP(O11&amp;O15,'HVAC Lookup'!$AC$33:$AM$60,5,FALSE),""),"NA"))))</f>
        <v>NA</v>
      </c>
      <c r="Q22" s="1722" t="str">
        <f>IF(O15="N/A","N/A",IF(R11=2,"COP",IF(R11=3,"Et or Ec",IF(R11=4,IFERROR(VLOOKUP(O11&amp;O15,'HVAC Lookup'!$AC$33:$AM$60,3,FALSE),""),"NA"))))</f>
        <v>NA</v>
      </c>
      <c r="R22" s="2191"/>
      <c r="S22" s="43"/>
      <c r="T22" s="43"/>
      <c r="U22" s="803"/>
      <c r="V22" s="2151"/>
      <c r="W22" s="623"/>
      <c r="X22" s="1714"/>
      <c r="Y22" s="1714"/>
      <c r="Z22" s="1714"/>
      <c r="AA22" s="1714"/>
      <c r="AB22" s="1714"/>
      <c r="AC22" s="1714"/>
      <c r="AD22" s="1714"/>
      <c r="AE22" s="35"/>
      <c r="AF22" s="35"/>
      <c r="AG22" s="35"/>
      <c r="AH22" s="35"/>
      <c r="AI22" s="35"/>
      <c r="AJ22" s="35"/>
      <c r="AK22" s="35"/>
      <c r="AL22" s="35"/>
      <c r="AM22" s="35"/>
      <c r="AN22" s="1721" t="str">
        <f>IF(AN15="N/A","N/A",IF(AQ11=2,IF(SI_IP_Units="IP",3.2-(0.026*AQ15/1000),3.2-(0.026*3.412*AQ15)),IF(AQ11=3,80%,IF(AQ11=4,IFERROR(VLOOKUP(AN11&amp;AN15,'HVAC Lookup'!$AC$33:$AD$60,2,FALSE),""),"NA"))))</f>
        <v>NA</v>
      </c>
      <c r="AO22" s="2954" t="str">
        <f>IF(AN15="N/A","N/A",IF(AQ11=2,IF(SI_IP_Units="IP",3.7-(0.052*AQ15/1000),3.7-(0.052*3.412*AQ15)),IF(AQ11=3,80%,IF(AQ11=4,IFERROR(VLOOKUP(AN11&amp;AN15,'HVAC Lookup'!$AC$33:$AM$60,5,FALSE),""),"NA"))))</f>
        <v>NA</v>
      </c>
      <c r="AP22" s="1722" t="str">
        <f>IF(AN15="N/A","N/A",IF(AQ11=2,"COP",IF(AQ11=3,"Et or Ec",IF(AQ11=4,IFERROR(VLOOKUP(AN11&amp;AN15,'HVAC Lookup'!$AC$33:$AM$60,3,FALSE),""),"NA"))))</f>
        <v>NA</v>
      </c>
      <c r="AQ22" s="2191"/>
      <c r="AR22" s="2226"/>
      <c r="AS22" s="1714"/>
      <c r="AT22" s="35"/>
      <c r="AU22" s="35"/>
      <c r="AV22" s="35"/>
      <c r="AW22" s="35"/>
      <c r="AX22" s="35"/>
      <c r="AY22" s="35"/>
      <c r="AZ22" s="35"/>
      <c r="BA22" s="35"/>
      <c r="BB22" s="35"/>
      <c r="BC22" s="35"/>
    </row>
    <row r="23" spans="1:55" s="387" customFormat="1" ht="27.75" customHeight="1" x14ac:dyDescent="0.25">
      <c r="B23" s="2042" t="s">
        <v>327</v>
      </c>
      <c r="C23" s="2080"/>
      <c r="D23" s="1791" t="s">
        <v>2124</v>
      </c>
      <c r="E23" s="2857"/>
      <c r="F23" s="2217"/>
      <c r="G23" s="1334" t="s">
        <v>2214</v>
      </c>
      <c r="H23" s="1405"/>
      <c r="I23" s="2206" t="str">
        <f>IF(L11="","",IF(OR(L11=1,L11=2,L11=3,L11=4,L11=9,L11=10,L11=12,L11=13),"Constant Volume",IF(L11=11,"Variable Volume controlled per G3.1.3.17 (reset to minimum flow at 50% cooling load, and maintained at minimum flow during heating mode","Variable Volume")))</f>
        <v/>
      </c>
      <c r="J23" s="1721" t="str">
        <f>IF('General Information'!$R$55=2007,"Not Supported","Based on 90.1 2016 Table 6.5.3.2.1")</f>
        <v>Based on 90.1 2016 Table 6.5.3.2.1</v>
      </c>
      <c r="K23" s="2546" t="s">
        <v>2214</v>
      </c>
      <c r="L23" s="2979"/>
      <c r="M23" s="2191"/>
      <c r="N23" s="2191"/>
      <c r="O23" s="2547" t="str">
        <f>IF(R11="","",IF(OR(R11=1,R11=2,R11=3,R11=4,R11=9,R11=10,R11=12,R11=13),"Constant Volume","Variable Volume"))</f>
        <v/>
      </c>
      <c r="P23" s="1721" t="str">
        <f>IF('General Information'!$R$55=2007,"Not Supported","Based on 90.1 2016 Table 6.5.3.2.1")</f>
        <v>Based on 90.1 2016 Table 6.5.3.2.1</v>
      </c>
      <c r="Q23" s="2548" t="s">
        <v>2214</v>
      </c>
      <c r="R23" s="2191"/>
      <c r="S23" s="43"/>
      <c r="T23" s="43"/>
      <c r="U23" s="803"/>
      <c r="V23" s="2151"/>
      <c r="W23" s="623"/>
      <c r="X23" s="1714"/>
      <c r="Y23" s="1714"/>
      <c r="Z23" s="1714"/>
      <c r="AA23" s="1714"/>
      <c r="AB23" s="1714"/>
      <c r="AC23" s="1714"/>
      <c r="AD23" s="1714"/>
      <c r="AE23" s="35"/>
      <c r="AF23" s="35"/>
      <c r="AG23" s="35"/>
      <c r="AH23" s="35"/>
      <c r="AI23" s="35"/>
      <c r="AJ23" s="35"/>
      <c r="AK23" s="35"/>
      <c r="AL23" s="35"/>
      <c r="AM23" s="35"/>
      <c r="AN23" s="2547" t="str">
        <f>IF(AQ11="","",IF(OR(AQ11=1,AQ11=2,AQ11=3,AQ11=4,AQ11=9,AQ11=10,AQ11=12,AQ11=13),"Constant Volume","Variable Volume"))</f>
        <v/>
      </c>
      <c r="AO23" s="1721" t="str">
        <f>IF('General Information'!$R$55=2007,"Not Supported","Based on 90.1 2016 Table 6.5.3.2.1")</f>
        <v>Based on 90.1 2016 Table 6.5.3.2.1</v>
      </c>
      <c r="AP23" s="2548" t="s">
        <v>2214</v>
      </c>
      <c r="AQ23" s="2191"/>
      <c r="AR23" s="2226"/>
      <c r="AS23" s="1714"/>
      <c r="AT23" s="35"/>
      <c r="AU23" s="35"/>
      <c r="AV23" s="35"/>
      <c r="AW23" s="35"/>
      <c r="AX23" s="35"/>
      <c r="AY23" s="35"/>
      <c r="AZ23" s="35"/>
      <c r="BA23" s="35"/>
      <c r="BB23" s="35"/>
      <c r="BC23" s="35"/>
    </row>
    <row r="24" spans="1:55" s="387" customFormat="1" ht="48" customHeight="1" x14ac:dyDescent="0.25">
      <c r="B24" s="2042" t="s">
        <v>328</v>
      </c>
      <c r="C24" s="2080"/>
      <c r="D24" s="1791" t="s">
        <v>2125</v>
      </c>
      <c r="E24" s="2857" t="str">
        <f>TEXT(SUMIF($G$8:$JV$8, "Baseline", $G24:$JV24),"#,##0")</f>
        <v>0</v>
      </c>
      <c r="F24" s="2215"/>
      <c r="G24" s="1334" t="str">
        <f>TEXT(SUMIF($G$8:$JZ$8,"Baseline",$G24:$JZ24),"#")&amp;IF(SI_IP_Units="IP"," CFM"," L/s")</f>
        <v xml:space="preserve"> CFM</v>
      </c>
      <c r="H24" s="1403"/>
      <c r="I24" s="1945"/>
      <c r="J24" s="2953" t="str">
        <f>IF(I24="","","N/A")</f>
        <v/>
      </c>
      <c r="K24" s="1697" t="str">
        <f>IF('General Information'!$R$14="IP","CFM","L/s")</f>
        <v>CFM</v>
      </c>
      <c r="L24" s="2979"/>
      <c r="M24" s="2191"/>
      <c r="N24" s="2191"/>
      <c r="O24" s="1944"/>
      <c r="P24" s="2958" t="str">
        <f>IF(O24="","","N/A")</f>
        <v/>
      </c>
      <c r="Q24" s="2224" t="str">
        <f>IF('General Information'!$R$14="IP","CFM","L/s")</f>
        <v>CFM</v>
      </c>
      <c r="R24" s="2191"/>
      <c r="S24" s="43"/>
      <c r="T24" s="43"/>
      <c r="U24" s="803"/>
      <c r="V24" s="2151"/>
      <c r="W24" s="623"/>
      <c r="X24" s="1714"/>
      <c r="Y24" s="1714"/>
      <c r="Z24" s="1714"/>
      <c r="AA24" s="1714"/>
      <c r="AB24" s="1714"/>
      <c r="AC24" s="1714"/>
      <c r="AD24" s="1714"/>
      <c r="AE24" s="35"/>
      <c r="AF24" s="35"/>
      <c r="AG24" s="35"/>
      <c r="AH24" s="35"/>
      <c r="AI24" s="35"/>
      <c r="AJ24" s="35"/>
      <c r="AK24" s="35"/>
      <c r="AL24" s="35"/>
      <c r="AM24" s="35"/>
      <c r="AN24" s="1944"/>
      <c r="AO24" s="2958" t="str">
        <f>IF(AN24="","","N/A")</f>
        <v/>
      </c>
      <c r="AP24" s="2224" t="str">
        <f>IF('General Information'!$R$14="IP","CFM","L/s")</f>
        <v>CFM</v>
      </c>
      <c r="AQ24" s="2191"/>
      <c r="AR24" s="2226"/>
      <c r="AS24" s="1714"/>
      <c r="AT24" s="35"/>
      <c r="AU24" s="35"/>
      <c r="AV24" s="35"/>
      <c r="AW24" s="35"/>
      <c r="AX24" s="35"/>
      <c r="AY24" s="35"/>
      <c r="AZ24" s="35"/>
      <c r="BA24" s="35"/>
      <c r="BB24" s="35"/>
      <c r="BC24" s="35"/>
    </row>
    <row r="25" spans="1:55" s="387" customFormat="1" ht="63.75" customHeight="1" x14ac:dyDescent="0.25">
      <c r="B25" s="2042" t="s">
        <v>329</v>
      </c>
      <c r="C25" s="2080"/>
      <c r="D25" s="1791" t="s">
        <v>2234</v>
      </c>
      <c r="E25" s="2857" t="str">
        <f>TEXT(SUMIF($G$8:$JV$8, "Baseline", $G25:$JV25),"#,##0")</f>
        <v>0</v>
      </c>
      <c r="F25" s="2215"/>
      <c r="G25" s="1334" t="str">
        <f>TEXT(SUMIF($G$8:$JZ$8,"Baseline",$G25:$JZ25),"#")&amp;IF(SI_IP_Units="IP"," CFM"," L/s")</f>
        <v xml:space="preserve"> CFM</v>
      </c>
      <c r="H25" s="1403"/>
      <c r="I25" s="1945"/>
      <c r="J25" s="2954" t="str">
        <f>IF(I25="","","N/A")</f>
        <v/>
      </c>
      <c r="K25" s="1697" t="str">
        <f>IF('General Information'!$R$14="IP","CFM","L/s")</f>
        <v>CFM</v>
      </c>
      <c r="L25" s="2979"/>
      <c r="M25" s="2191"/>
      <c r="N25" s="2191"/>
      <c r="O25" s="1944"/>
      <c r="P25" s="2959" t="str">
        <f>IF(O25="","","N/A")</f>
        <v/>
      </c>
      <c r="Q25" s="2224" t="str">
        <f>IF('General Information'!$R$14="IP","CFM","L/s")</f>
        <v>CFM</v>
      </c>
      <c r="R25" s="2191"/>
      <c r="S25" s="43"/>
      <c r="T25" s="43"/>
      <c r="U25" s="803"/>
      <c r="V25" s="2151"/>
      <c r="W25" s="623"/>
      <c r="X25" s="1714"/>
      <c r="Y25" s="1714"/>
      <c r="Z25" s="1714"/>
      <c r="AA25" s="1714"/>
      <c r="AB25" s="1714"/>
      <c r="AC25" s="1714"/>
      <c r="AD25" s="1714"/>
      <c r="AE25" s="35"/>
      <c r="AF25" s="35"/>
      <c r="AG25" s="35"/>
      <c r="AH25" s="35"/>
      <c r="AI25" s="35"/>
      <c r="AJ25" s="35"/>
      <c r="AK25" s="35"/>
      <c r="AL25" s="35"/>
      <c r="AM25" s="35"/>
      <c r="AN25" s="1944"/>
      <c r="AO25" s="2959" t="str">
        <f>IF(AN25="","","N/A")</f>
        <v/>
      </c>
      <c r="AP25" s="2224" t="str">
        <f>IF('General Information'!$R$14="IP","CFM","L/s")</f>
        <v>CFM</v>
      </c>
      <c r="AQ25" s="2191"/>
      <c r="AR25" s="2226"/>
      <c r="AS25" s="1714"/>
      <c r="AT25" s="35"/>
      <c r="AU25" s="35"/>
      <c r="AV25" s="35"/>
      <c r="AW25" s="35"/>
      <c r="AX25" s="35"/>
      <c r="AY25" s="35"/>
      <c r="AZ25" s="35"/>
      <c r="BA25" s="35"/>
      <c r="BB25" s="35"/>
      <c r="BC25" s="35"/>
    </row>
    <row r="26" spans="1:55" s="387" customFormat="1" ht="40.799999999999997" x14ac:dyDescent="0.25">
      <c r="B26" s="2042" t="s">
        <v>330</v>
      </c>
      <c r="C26" s="2080"/>
      <c r="D26" s="1791" t="str">
        <f>CONCATENATE("Required for systems with outdoor air capacity greater than",IF(SI_IP_Units="IP"," 3,000 cfm serving areas with an average design capacity exceeding 100 people per 1,000 square foot"," 1,400 L/s serving areas with an average design capacity exceeding 100 people per 93 square meters"), " per Section G3.1.2.5")</f>
        <v>Required for systems with outdoor air capacity greater than 3,000 cfm serving areas with an average design capacity exceeding 100 people per 1,000 square foot per Section G3.1.2.5</v>
      </c>
      <c r="E26" s="2857"/>
      <c r="F26" s="2217"/>
      <c r="G26" s="1334" t="s">
        <v>2214</v>
      </c>
      <c r="H26" s="1405"/>
      <c r="I26" s="1687"/>
      <c r="J26" s="1721" t="str">
        <f>IF('General Information'!$R$55=2007,"Not Supported","Based on 90.1 2016 Section 6.4.3.8")</f>
        <v>Based on 90.1 2016 Section 6.4.3.8</v>
      </c>
      <c r="K26" s="2545" t="s">
        <v>2214</v>
      </c>
      <c r="L26" s="2983" t="str">
        <f>IF(I26="","",IF(I26="No",0,1))</f>
        <v/>
      </c>
      <c r="M26" s="2191"/>
      <c r="N26" s="2191"/>
      <c r="O26" s="2222"/>
      <c r="P26" s="1721" t="str">
        <f>IF('General Information'!$R$55=2007,"Not Supported","Based on 90.1 2016 Section 6.4.3.8")</f>
        <v>Based on 90.1 2016 Section 6.4.3.8</v>
      </c>
      <c r="Q26" s="1723" t="s">
        <v>2214</v>
      </c>
      <c r="R26" s="1720"/>
      <c r="S26" s="43"/>
      <c r="T26" s="43"/>
      <c r="U26" s="803"/>
      <c r="V26" s="2151"/>
      <c r="W26" s="623"/>
      <c r="X26" s="1714"/>
      <c r="Y26" s="1714"/>
      <c r="Z26" s="1714"/>
      <c r="AA26" s="1714"/>
      <c r="AB26" s="1714"/>
      <c r="AC26" s="1714"/>
      <c r="AD26" s="1714"/>
      <c r="AE26" s="35"/>
      <c r="AF26" s="35"/>
      <c r="AG26" s="35"/>
      <c r="AH26" s="35"/>
      <c r="AI26" s="35"/>
      <c r="AJ26" s="35"/>
      <c r="AK26" s="35"/>
      <c r="AL26" s="35"/>
      <c r="AM26" s="35"/>
      <c r="AN26" s="2222"/>
      <c r="AO26" s="1721" t="str">
        <f>IF('General Information'!$R$55=2007,"Not Supported","Based on 90.1 2016 Section 6.4.3.8")</f>
        <v>Based on 90.1 2016 Section 6.4.3.8</v>
      </c>
      <c r="AP26" s="1723" t="s">
        <v>2214</v>
      </c>
      <c r="AQ26" s="1720"/>
      <c r="AR26" s="2226"/>
      <c r="AS26" s="1714"/>
      <c r="AT26" s="35"/>
      <c r="AU26" s="35"/>
      <c r="AV26" s="35"/>
      <c r="AW26" s="35"/>
      <c r="AX26" s="35"/>
      <c r="AY26" s="35"/>
      <c r="AZ26" s="35"/>
      <c r="BA26" s="35"/>
      <c r="BB26" s="35"/>
      <c r="BC26" s="35"/>
    </row>
    <row r="27" spans="1:55" s="387" customFormat="1" ht="80.25" customHeight="1" x14ac:dyDescent="0.25">
      <c r="B27" s="2042" t="s">
        <v>704</v>
      </c>
      <c r="C27" s="2080"/>
      <c r="D27" s="1791" t="s">
        <v>3391</v>
      </c>
      <c r="E27" s="2857"/>
      <c r="F27" s="2038"/>
      <c r="G27" s="1334" t="s">
        <v>2214</v>
      </c>
      <c r="H27" s="1405"/>
      <c r="I27" s="1687"/>
      <c r="J27" s="1721" t="str">
        <f>IF('General Information'!$R$55=2007,"Not Supported","Based on 90.1 2016 Section 6.5.1")</f>
        <v>Based on 90.1 2016 Section 6.5.1</v>
      </c>
      <c r="K27" s="2877" t="str">
        <f>IF(SI_IP_Units="IP","°F","°C")</f>
        <v>°F</v>
      </c>
      <c r="L27" s="2979"/>
      <c r="M27" s="2191"/>
      <c r="N27" s="2191"/>
      <c r="O27" s="1696"/>
      <c r="P27" s="1721" t="str">
        <f>IF('General Information'!$R$55=2007,"Not Supported","Based on 90.1 2016 Section 6.5.1")</f>
        <v>Based on 90.1 2016 Section 6.5.1</v>
      </c>
      <c r="Q27" s="2877" t="str">
        <f>IF(SI_IP_Units="IP","°F","°C")</f>
        <v>°F</v>
      </c>
      <c r="R27" s="2878"/>
      <c r="S27" s="43"/>
      <c r="T27" s="43"/>
      <c r="U27" s="803"/>
      <c r="V27" s="2151"/>
      <c r="W27" s="623"/>
      <c r="X27" s="1714"/>
      <c r="Y27" s="1714"/>
      <c r="Z27" s="1714"/>
      <c r="AA27" s="1714"/>
      <c r="AB27" s="1714"/>
      <c r="AC27" s="1714"/>
      <c r="AD27" s="1714"/>
      <c r="AE27" s="35"/>
      <c r="AF27" s="35"/>
      <c r="AG27" s="35"/>
      <c r="AH27" s="35"/>
      <c r="AI27" s="35"/>
      <c r="AJ27" s="35"/>
      <c r="AK27" s="35"/>
      <c r="AL27" s="35"/>
      <c r="AM27" s="35"/>
      <c r="AN27" s="1696"/>
      <c r="AO27" s="1721" t="str">
        <f>IF('General Information'!$R$55=2007,"Not Supported","Based on 90.1 2016 Section 6.5.1")</f>
        <v>Based on 90.1 2016 Section 6.5.1</v>
      </c>
      <c r="AP27" s="2877" t="str">
        <f>IF(SI_IP_Units="IP","°F","°C")</f>
        <v>°F</v>
      </c>
      <c r="AQ27" s="2878"/>
      <c r="AR27" s="2226"/>
      <c r="AS27" s="1714" t="str">
        <f>IF(SI_IP_Units="IP","EcoTempIP","EcoTempSI")</f>
        <v>EcoTempIP</v>
      </c>
      <c r="AT27" s="35"/>
      <c r="AU27" s="35"/>
      <c r="AV27" s="35"/>
      <c r="AW27" s="35"/>
      <c r="AX27" s="35"/>
      <c r="AY27" s="35"/>
      <c r="AZ27" s="35"/>
      <c r="BA27" s="35"/>
      <c r="BB27" s="35"/>
      <c r="BC27" s="35"/>
    </row>
    <row r="28" spans="1:55" s="387" customFormat="1" ht="71.25" customHeight="1" x14ac:dyDescent="0.25">
      <c r="B28" s="2042" t="s">
        <v>331</v>
      </c>
      <c r="C28" s="2080"/>
      <c r="D28" s="1790" t="s">
        <v>3392</v>
      </c>
      <c r="E28" s="2856"/>
      <c r="F28" s="2217"/>
      <c r="G28" s="1334" t="s">
        <v>2214</v>
      </c>
      <c r="H28" s="1405"/>
      <c r="I28" s="2206" t="str">
        <f>IF(5&lt;=L11&lt;=8,concatenante("Supply air temperature reset of ",IF(SI_IP_Units="IP","5 °F","2.3 °C")," under minimum cooling load conditions"),IF(L11=11, "Supply air temperature controlled per G3.1.3.17","Not Required"))</f>
        <v>Not Required</v>
      </c>
      <c r="J28" s="1721" t="str">
        <f>IF('General Information'!$R$55=2007,"Not Supported","Based on 90.1 2016 Section 6.5.3.5")</f>
        <v>Based on 90.1 2016 Section 6.5.3.5</v>
      </c>
      <c r="K28" s="1334" t="s">
        <v>2214</v>
      </c>
      <c r="L28" s="2979">
        <f>IF(I28="Not Required",0,1)</f>
        <v>0</v>
      </c>
      <c r="M28" s="2191"/>
      <c r="N28" s="2191"/>
      <c r="O28" s="1721" t="str">
        <f>IF(5&lt;=R11&lt;=8,concatenante("Supply air temperature reset of ",IF(SI_IP_Units="IP","5 °F","2.3 °C")," under minimum cooling load conditions"),IF(R11=11, "Supply air temperature controlled per G3.1.3.17","Not Required"))</f>
        <v>Not Required</v>
      </c>
      <c r="P28" s="1721" t="str">
        <f>IF('General Information'!$R$55=2007,"Not Supported","Based on 90.1 2016 Section 6.5.3.5")</f>
        <v>Based on 90.1 2016 Section 6.5.3.5</v>
      </c>
      <c r="Q28" s="2549" t="s">
        <v>2214</v>
      </c>
      <c r="R28" s="1786"/>
      <c r="S28" s="43"/>
      <c r="T28" s="43"/>
      <c r="U28" s="803"/>
      <c r="V28" s="2151"/>
      <c r="W28" s="623"/>
      <c r="X28" s="1714"/>
      <c r="Y28" s="1714"/>
      <c r="Z28" s="1714"/>
      <c r="AA28" s="1714"/>
      <c r="AB28" s="1714"/>
      <c r="AC28" s="1714"/>
      <c r="AD28" s="1714"/>
      <c r="AE28" s="35"/>
      <c r="AF28" s="35"/>
      <c r="AG28" s="35"/>
      <c r="AH28" s="35"/>
      <c r="AI28" s="35"/>
      <c r="AJ28" s="35"/>
      <c r="AK28" s="35"/>
      <c r="AL28" s="35"/>
      <c r="AM28" s="35"/>
      <c r="AN28" s="1721" t="str">
        <f>IF(5&lt;=AQ11&lt;=8,concatenante("Supply air temperature reset of ",IF(SI_IP_Units="IP","5 °F","2.3 °C")," under minimum cooling load conditions"),IF(AQ11=11, "Supply air temperature controlled per G3.1.3.17","Not Required"))</f>
        <v>Not Required</v>
      </c>
      <c r="AO28" s="1721" t="str">
        <f>IF('General Information'!$R$55=2007,"Not Supported","Based on 90.1 2016 Section 6.5.3.5")</f>
        <v>Based on 90.1 2016 Section 6.5.3.5</v>
      </c>
      <c r="AP28" s="2549" t="s">
        <v>2214</v>
      </c>
      <c r="AQ28" s="1786"/>
      <c r="AR28" s="2226"/>
      <c r="AS28" s="1714"/>
      <c r="AT28" s="35"/>
      <c r="AU28" s="35"/>
      <c r="AV28" s="35"/>
      <c r="AW28" s="35"/>
      <c r="AX28" s="35"/>
      <c r="AY28" s="35"/>
      <c r="AZ28" s="35"/>
      <c r="BA28" s="35"/>
      <c r="BB28" s="35"/>
      <c r="BC28" s="35"/>
    </row>
    <row r="29" spans="1:55" s="387" customFormat="1" ht="92.4" x14ac:dyDescent="0.25">
      <c r="B29" s="3778" t="s">
        <v>2444</v>
      </c>
      <c r="C29" s="2080" t="s">
        <v>948</v>
      </c>
      <c r="D29" s="1791" t="s">
        <v>3393</v>
      </c>
      <c r="E29" s="2857"/>
      <c r="F29" s="2217"/>
      <c r="G29" s="1334" t="s">
        <v>2214</v>
      </c>
      <c r="H29" s="1405"/>
      <c r="I29" s="1687"/>
      <c r="J29" s="1721" t="str">
        <f>IF('General Information'!$R$55=2007,"Not Supported","Based on 90.1 2016 Section 6.5.6")</f>
        <v>Based on 90.1 2016 Section 6.5.6</v>
      </c>
      <c r="K29" s="1334" t="s">
        <v>2214</v>
      </c>
      <c r="L29" s="2983">
        <f>IF(I29="No",0,1)</f>
        <v>1</v>
      </c>
      <c r="M29" s="2191"/>
      <c r="N29" s="2191"/>
      <c r="O29" s="2222"/>
      <c r="P29" s="1721" t="str">
        <f>IF('General Information'!$R$55=2007,"Not Supported","Based on 90.1 2016 Section 6.5.6")</f>
        <v>Based on 90.1 2016 Section 6.5.6</v>
      </c>
      <c r="Q29" s="2549" t="s">
        <v>2214</v>
      </c>
      <c r="R29" s="1720"/>
      <c r="S29" s="43"/>
      <c r="T29" s="43"/>
      <c r="U29" s="803"/>
      <c r="V29" s="2151"/>
      <c r="W29" s="623"/>
      <c r="X29" s="1714"/>
      <c r="Y29" s="1714"/>
      <c r="Z29" s="1714"/>
      <c r="AA29" s="1714"/>
      <c r="AB29" s="1714"/>
      <c r="AC29" s="1714"/>
      <c r="AD29" s="1714"/>
      <c r="AE29" s="35"/>
      <c r="AF29" s="35"/>
      <c r="AG29" s="35"/>
      <c r="AH29" s="35"/>
      <c r="AI29" s="35"/>
      <c r="AJ29" s="35"/>
      <c r="AK29" s="35"/>
      <c r="AL29" s="35"/>
      <c r="AM29" s="35"/>
      <c r="AN29" s="2222"/>
      <c r="AO29" s="1721" t="str">
        <f>IF('General Information'!$R$55=2007,"Not Supported","Based on 90.1 2016 Section 6.5.6")</f>
        <v>Based on 90.1 2016 Section 6.5.6</v>
      </c>
      <c r="AP29" s="2549" t="s">
        <v>2214</v>
      </c>
      <c r="AQ29" s="1720"/>
      <c r="AR29" s="2226"/>
      <c r="AS29" s="1714"/>
      <c r="AT29" s="35"/>
      <c r="AU29" s="35"/>
      <c r="AV29" s="35"/>
      <c r="AW29" s="35"/>
      <c r="AX29" s="35"/>
      <c r="AY29" s="35"/>
      <c r="AZ29" s="35"/>
      <c r="BA29" s="35"/>
      <c r="BB29" s="35"/>
      <c r="BC29" s="35"/>
    </row>
    <row r="30" spans="1:55" ht="64.5" customHeight="1" x14ac:dyDescent="0.25">
      <c r="A30" s="387"/>
      <c r="B30" s="3778"/>
      <c r="C30" s="2080" t="s">
        <v>2456</v>
      </c>
      <c r="D30" s="1790" t="s">
        <v>2457</v>
      </c>
      <c r="E30" s="2856"/>
      <c r="F30" s="2217"/>
      <c r="G30" s="1334" t="s">
        <v>2214</v>
      </c>
      <c r="H30" s="1405"/>
      <c r="I30" s="2875" t="str">
        <f>IF(I29="Yes",50%,"N/A")</f>
        <v>N/A</v>
      </c>
      <c r="J30" s="1721" t="str">
        <f>IF('General Information'!$R$55=2007,"Not Supported","Based on 90.1 2016 Section 6.5.6")</f>
        <v>Based on 90.1 2016 Section 6.5.6</v>
      </c>
      <c r="K30" s="1334" t="s">
        <v>2214</v>
      </c>
      <c r="L30" s="2983">
        <f>IF(I29="Yes",0,1)</f>
        <v>1</v>
      </c>
      <c r="M30" s="2191"/>
      <c r="N30" s="2191"/>
      <c r="O30" s="2876" t="str">
        <f>IF(O29="Yes",50%,"N/A")</f>
        <v>N/A</v>
      </c>
      <c r="P30" s="1721" t="str">
        <f>IF('General Information'!$R$55=2007,"Not Supported","Based on 90.1 2016 Section 6.5.6")</f>
        <v>Based on 90.1 2016 Section 6.5.6</v>
      </c>
      <c r="Q30" s="2544" t="s">
        <v>2214</v>
      </c>
      <c r="R30" s="1720"/>
      <c r="S30" s="43"/>
      <c r="T30" s="43"/>
      <c r="U30" s="803"/>
      <c r="V30" s="2151"/>
      <c r="W30" s="623"/>
      <c r="AN30" s="2876" t="str">
        <f>IF(AN29="Yes",50%,"N/A")</f>
        <v>N/A</v>
      </c>
      <c r="AO30" s="1721" t="str">
        <f>IF('General Information'!$R$55=2007,"Not Supported","Based on 90.1 2016 Section 6.5.6")</f>
        <v>Based on 90.1 2016 Section 6.5.6</v>
      </c>
      <c r="AP30" s="2544" t="s">
        <v>2214</v>
      </c>
      <c r="AQ30" s="1720"/>
      <c r="AR30" s="2226"/>
    </row>
    <row r="31" spans="1:55" s="387" customFormat="1" ht="41.25" customHeight="1" x14ac:dyDescent="0.25">
      <c r="B31" s="3779" t="s">
        <v>271</v>
      </c>
      <c r="C31" s="2080" t="s">
        <v>332</v>
      </c>
      <c r="D31" s="3776" t="s">
        <v>2458</v>
      </c>
      <c r="E31" s="2995" t="e">
        <f>F31/F34</f>
        <v>#DIV/0!</v>
      </c>
      <c r="F31" s="2996">
        <f>SUMIF($G$8:$JV$8, "Baseline", $G31:$JV31)</f>
        <v>0</v>
      </c>
      <c r="G31" s="1327" t="str">
        <f>SUMIF($G$8:$JV$8, "Baseline", $G31:$JV31)&amp;" kW"</f>
        <v>0 kW</v>
      </c>
      <c r="H31" s="1406"/>
      <c r="I31" s="1969"/>
      <c r="J31" s="2955" t="str">
        <f t="shared" ref="J31:J35" si="0">IF(I31="","",I31)</f>
        <v/>
      </c>
      <c r="K31" s="2189" t="s">
        <v>207</v>
      </c>
      <c r="L31" s="2979" t="e">
        <f>I31/I34</f>
        <v>#DIV/0!</v>
      </c>
      <c r="M31" s="2191"/>
      <c r="N31" s="2191"/>
      <c r="O31" s="1971"/>
      <c r="P31" s="2960" t="str">
        <f t="shared" ref="P31:P35" si="1">IF(O31="","",O31)</f>
        <v/>
      </c>
      <c r="Q31" s="1693" t="s">
        <v>207</v>
      </c>
      <c r="R31" s="1786" t="e">
        <f>O31/O34</f>
        <v>#DIV/0!</v>
      </c>
      <c r="S31" s="43"/>
      <c r="T31" s="43"/>
      <c r="U31" s="803"/>
      <c r="V31" s="2151"/>
      <c r="W31" s="623"/>
      <c r="X31" s="1714"/>
      <c r="Y31" s="1714"/>
      <c r="Z31" s="1714"/>
      <c r="AA31" s="1714"/>
      <c r="AB31" s="1714"/>
      <c r="AC31" s="1714"/>
      <c r="AD31" s="1714"/>
      <c r="AE31" s="35"/>
      <c r="AF31" s="35"/>
      <c r="AG31" s="35"/>
      <c r="AH31" s="35"/>
      <c r="AI31" s="35"/>
      <c r="AJ31" s="35"/>
      <c r="AK31" s="35"/>
      <c r="AL31" s="35"/>
      <c r="AM31" s="35"/>
      <c r="AN31" s="1971"/>
      <c r="AO31" s="2960" t="str">
        <f t="shared" ref="AO31:AO35" si="2">IF(AN31="","",AN31)</f>
        <v/>
      </c>
      <c r="AP31" s="1693" t="s">
        <v>207</v>
      </c>
      <c r="AQ31" s="1786" t="e">
        <f>AN31/AN34</f>
        <v>#DIV/0!</v>
      </c>
      <c r="AR31" s="2226"/>
      <c r="AS31" s="1714"/>
      <c r="AT31" s="35"/>
      <c r="AU31" s="35"/>
      <c r="AV31" s="35"/>
      <c r="AW31" s="35"/>
      <c r="AX31" s="35"/>
      <c r="AY31" s="35"/>
      <c r="AZ31" s="35"/>
      <c r="BA31" s="35"/>
      <c r="BB31" s="35"/>
      <c r="BC31" s="35"/>
    </row>
    <row r="32" spans="1:55" s="387" customFormat="1" ht="41.25" customHeight="1" x14ac:dyDescent="0.25">
      <c r="B32" s="3779"/>
      <c r="C32" s="2080" t="s">
        <v>333</v>
      </c>
      <c r="D32" s="3776"/>
      <c r="E32" s="2856" t="e">
        <f>F32/F34</f>
        <v>#DIV/0!</v>
      </c>
      <c r="F32" s="2996">
        <f>SUMIF($G$8:$JV$8, "Baseline", $G32:$JV32)</f>
        <v>0</v>
      </c>
      <c r="G32" s="1327" t="str">
        <f>SUMIF($G$8:$JV$8, "Baseline", $G32:$JV32)&amp;" kW"</f>
        <v>0 kW</v>
      </c>
      <c r="H32" s="1406"/>
      <c r="I32" s="1969"/>
      <c r="J32" s="2956" t="str">
        <f t="shared" si="0"/>
        <v/>
      </c>
      <c r="K32" s="2189" t="s">
        <v>207</v>
      </c>
      <c r="L32" s="2979" t="e">
        <f>I32/I34</f>
        <v>#DIV/0!</v>
      </c>
      <c r="M32" s="2191"/>
      <c r="N32" s="2191"/>
      <c r="O32" s="1971"/>
      <c r="P32" s="2221" t="str">
        <f t="shared" si="1"/>
        <v/>
      </c>
      <c r="Q32" s="1693" t="s">
        <v>207</v>
      </c>
      <c r="R32" s="1786" t="e">
        <f>O32/O34</f>
        <v>#DIV/0!</v>
      </c>
      <c r="S32" s="43"/>
      <c r="T32" s="43"/>
      <c r="U32" s="803"/>
      <c r="V32" s="2151"/>
      <c r="W32" s="623"/>
      <c r="X32" s="1714"/>
      <c r="Y32" s="1714"/>
      <c r="Z32" s="1714"/>
      <c r="AA32" s="1714"/>
      <c r="AB32" s="1714"/>
      <c r="AC32" s="1714"/>
      <c r="AD32" s="1714"/>
      <c r="AE32" s="35"/>
      <c r="AF32" s="35"/>
      <c r="AG32" s="35"/>
      <c r="AH32" s="35"/>
      <c r="AI32" s="35"/>
      <c r="AJ32" s="35"/>
      <c r="AK32" s="35"/>
      <c r="AL32" s="35"/>
      <c r="AM32" s="35"/>
      <c r="AN32" s="1971"/>
      <c r="AO32" s="2221" t="str">
        <f t="shared" si="2"/>
        <v/>
      </c>
      <c r="AP32" s="1693" t="s">
        <v>207</v>
      </c>
      <c r="AQ32" s="1786" t="e">
        <f>AN32/AN34</f>
        <v>#DIV/0!</v>
      </c>
      <c r="AR32" s="2226"/>
      <c r="AS32" s="1714"/>
      <c r="AT32" s="35"/>
      <c r="AU32" s="35"/>
      <c r="AV32" s="35"/>
      <c r="AW32" s="35"/>
      <c r="AX32" s="35"/>
      <c r="AY32" s="35"/>
      <c r="AZ32" s="35"/>
      <c r="BA32" s="35"/>
      <c r="BB32" s="35"/>
      <c r="BC32" s="35"/>
    </row>
    <row r="33" spans="2:55" s="387" customFormat="1" ht="41.25" customHeight="1" x14ac:dyDescent="0.25">
      <c r="B33" s="3779"/>
      <c r="C33" s="2080" t="s">
        <v>334</v>
      </c>
      <c r="D33" s="3776"/>
      <c r="E33" s="2856" t="e">
        <f>F33/F34</f>
        <v>#DIV/0!</v>
      </c>
      <c r="F33" s="2996">
        <f>SUMIF($G$8:$JV$8, "Baseline", $G33:$JV33)</f>
        <v>0</v>
      </c>
      <c r="G33" s="1327" t="str">
        <f>SUMIF($G$8:$JV$8, "Baseline", $G33:$JV33)&amp;" kW"</f>
        <v>0 kW</v>
      </c>
      <c r="H33" s="1406"/>
      <c r="I33" s="1969"/>
      <c r="J33" s="2956" t="str">
        <f t="shared" si="0"/>
        <v/>
      </c>
      <c r="K33" s="2189" t="s">
        <v>207</v>
      </c>
      <c r="L33" s="2979" t="e">
        <f>I33/I34</f>
        <v>#DIV/0!</v>
      </c>
      <c r="M33" s="2191"/>
      <c r="N33" s="2191"/>
      <c r="O33" s="1971"/>
      <c r="P33" s="2221" t="str">
        <f t="shared" si="1"/>
        <v/>
      </c>
      <c r="Q33" s="1693" t="s">
        <v>207</v>
      </c>
      <c r="R33" s="1786" t="e">
        <f>O33/O34</f>
        <v>#DIV/0!</v>
      </c>
      <c r="S33" s="43"/>
      <c r="T33" s="43"/>
      <c r="U33" s="803"/>
      <c r="V33" s="2151"/>
      <c r="W33" s="623"/>
      <c r="X33" s="1714"/>
      <c r="Y33" s="1714"/>
      <c r="Z33" s="1714"/>
      <c r="AA33" s="1714"/>
      <c r="AB33" s="1714"/>
      <c r="AC33" s="1714"/>
      <c r="AD33" s="1714"/>
      <c r="AE33" s="35"/>
      <c r="AF33" s="35"/>
      <c r="AG33" s="35"/>
      <c r="AH33" s="35"/>
      <c r="AI33" s="35"/>
      <c r="AJ33" s="35"/>
      <c r="AK33" s="35"/>
      <c r="AL33" s="35"/>
      <c r="AM33" s="35"/>
      <c r="AN33" s="1971"/>
      <c r="AO33" s="2221" t="str">
        <f t="shared" si="2"/>
        <v/>
      </c>
      <c r="AP33" s="1693" t="s">
        <v>207</v>
      </c>
      <c r="AQ33" s="1786" t="e">
        <f>AN33/AN34</f>
        <v>#DIV/0!</v>
      </c>
      <c r="AR33" s="2226"/>
      <c r="AS33" s="1714"/>
      <c r="AT33" s="35"/>
      <c r="AU33" s="35"/>
      <c r="AV33" s="35"/>
      <c r="AW33" s="35"/>
      <c r="AX33" s="35"/>
      <c r="AY33" s="35"/>
      <c r="AZ33" s="35"/>
      <c r="BA33" s="35"/>
      <c r="BB33" s="35"/>
      <c r="BC33" s="35"/>
    </row>
    <row r="34" spans="2:55" s="387" customFormat="1" ht="41.25" customHeight="1" x14ac:dyDescent="0.25">
      <c r="B34" s="3779"/>
      <c r="C34" s="2080" t="s">
        <v>335</v>
      </c>
      <c r="D34" s="3776"/>
      <c r="E34" s="2856"/>
      <c r="F34" s="2996">
        <f>SUMIF($G$8:$JV$8, "Baseline", $G34:$JV34)</f>
        <v>0</v>
      </c>
      <c r="G34" s="1327" t="str">
        <f>SUMIF($G$8:$JV$8, "Baseline", $G34:$JV34)&amp;" kW"</f>
        <v>0 kW</v>
      </c>
      <c r="H34" s="1406"/>
      <c r="I34" s="2219">
        <f>SUM(I31:I33)</f>
        <v>0</v>
      </c>
      <c r="J34" s="2956">
        <f t="shared" si="0"/>
        <v>0</v>
      </c>
      <c r="K34" s="2189" t="s">
        <v>207</v>
      </c>
      <c r="L34" s="2979"/>
      <c r="M34" s="2191"/>
      <c r="N34" s="2191"/>
      <c r="O34" s="2220">
        <f>SUM(O31:O33)</f>
        <v>0</v>
      </c>
      <c r="P34" s="2221">
        <f t="shared" si="1"/>
        <v>0</v>
      </c>
      <c r="Q34" s="1693" t="s">
        <v>207</v>
      </c>
      <c r="R34" s="2191"/>
      <c r="S34" s="43"/>
      <c r="T34" s="43"/>
      <c r="U34" s="803"/>
      <c r="V34" s="2151"/>
      <c r="W34" s="623"/>
      <c r="X34" s="1714"/>
      <c r="Y34" s="1714"/>
      <c r="Z34" s="1714"/>
      <c r="AA34" s="1714"/>
      <c r="AB34" s="1714"/>
      <c r="AC34" s="1714"/>
      <c r="AD34" s="1714"/>
      <c r="AE34" s="35"/>
      <c r="AF34" s="35"/>
      <c r="AG34" s="35"/>
      <c r="AH34" s="35"/>
      <c r="AI34" s="35"/>
      <c r="AJ34" s="35"/>
      <c r="AK34" s="35"/>
      <c r="AL34" s="35"/>
      <c r="AM34" s="35"/>
      <c r="AN34" s="2220">
        <f>SUM(AN31:AN33)</f>
        <v>0</v>
      </c>
      <c r="AO34" s="2221">
        <f t="shared" si="2"/>
        <v>0</v>
      </c>
      <c r="AP34" s="1693" t="s">
        <v>207</v>
      </c>
      <c r="AQ34" s="2191"/>
      <c r="AR34" s="2226"/>
      <c r="AS34" s="1714"/>
      <c r="AT34" s="35"/>
      <c r="AU34" s="35"/>
      <c r="AV34" s="35"/>
      <c r="AW34" s="35"/>
      <c r="AX34" s="35"/>
      <c r="AY34" s="35"/>
      <c r="AZ34" s="35"/>
      <c r="BA34" s="35"/>
      <c r="BB34" s="35"/>
      <c r="BC34" s="35"/>
    </row>
    <row r="35" spans="2:55" s="387" customFormat="1" ht="41.25" customHeight="1" x14ac:dyDescent="0.25">
      <c r="B35" s="3779"/>
      <c r="C35" s="2080" t="s">
        <v>336</v>
      </c>
      <c r="D35" s="3776"/>
      <c r="E35" s="2856"/>
      <c r="F35" s="2216"/>
      <c r="G35" s="1327" t="str">
        <f>ROUND(SUMIF($G$8:$JV$8, "Baseline", $G35:$JV35),0)&amp;" kW"</f>
        <v>0 kW</v>
      </c>
      <c r="H35" s="1404"/>
      <c r="I35" s="2219" t="str">
        <f>IF(ISERROR(1/I$24),"",IF(VLOOKUP(I$11,Fanslookup,13,FALSE)=1,(IF(SI_IP_Units="SI",VLOOKUP((VLOOKUP(I$11,Fanslookup,12,FALSE)*I$24+I$62),Motor_Horsepower_Nominal_Efficiency_SI,4,TRUE)*(VLOOKUP(I$11,Fanslookup,12,FALSE)*I$24+I$62),VLOOKUP((VLOOKUP(I$11,Fanslookup,11,FALSE)*I$24+I$62),Motor_Horsepower_Nominal_Efficiency_IP,5,TRUE)*(VLOOKUP(I$11,Fanslookup,11,FALSE)*I$24+I$62))),(IF(SI_IP_Units="IP",VLOOKUP(I$11,Fanslookup,11,FALSE),VLOOKUP(I$11,Fanslookup,12,FALSE))*I$24+VLOOKUP(I$11,Fanslookup,15,FALSE)*I$63*I$64)))</f>
        <v/>
      </c>
      <c r="J35" s="2956" t="str">
        <f t="shared" si="0"/>
        <v/>
      </c>
      <c r="K35" s="2189" t="s">
        <v>207</v>
      </c>
      <c r="L35" s="2979"/>
      <c r="M35" s="2191"/>
      <c r="N35" s="2191"/>
      <c r="O35" s="2221" t="str">
        <f>IF(ISERROR(1/O$24),"",IF(VLOOKUP(O$11,Fanslookup,13,FALSE)=1,(IF(SI_IP_Units="SI",VLOOKUP((VLOOKUP(O$11,Fanslookup,12,FALSE)*O$24+O$62),Motor_Horsepower_Nominal_Efficiency_SI,4,TRUE)*(VLOOKUP(O$11,Fanslookup,12,FALSE)*O$24+O$62),VLOOKUP((VLOOKUP(O$11,Fanslookup,11,FALSE)*O$24+O$62),Motor_Horsepower_Nominal_Efficiency_IP,5,TRUE)*(VLOOKUP(O$11,Fanslookup,11,FALSE)*O$24+O$62))),(IF(SI_IP_Units="IP",VLOOKUP(O$11,Fanslookup,11,FALSE),VLOOKUP(O$11,Fanslookup,12,FALSE))*O$24+VLOOKUP(O$11,Fanslookup,15,FALSE)*O$63*O$64)))</f>
        <v/>
      </c>
      <c r="P35" s="2221" t="str">
        <f t="shared" si="1"/>
        <v/>
      </c>
      <c r="Q35" s="1693" t="s">
        <v>207</v>
      </c>
      <c r="R35" s="2191"/>
      <c r="S35" s="43"/>
      <c r="T35" s="43"/>
      <c r="U35" s="803"/>
      <c r="V35" s="2151"/>
      <c r="W35" s="623"/>
      <c r="X35" s="1714"/>
      <c r="Y35" s="1714"/>
      <c r="Z35" s="1714"/>
      <c r="AA35" s="1714"/>
      <c r="AB35" s="1714"/>
      <c r="AC35" s="1714"/>
      <c r="AD35" s="1714"/>
      <c r="AE35" s="35"/>
      <c r="AF35" s="35"/>
      <c r="AG35" s="35"/>
      <c r="AH35" s="35"/>
      <c r="AI35" s="35"/>
      <c r="AJ35" s="35"/>
      <c r="AK35" s="35"/>
      <c r="AL35" s="35"/>
      <c r="AM35" s="35"/>
      <c r="AN35" s="2221" t="str">
        <f>IF(ISERROR(1/AN$24),"",IF(VLOOKUP(AN$11,Fanslookup,13,FALSE)=1,(IF(SI_IP_Units="SI",VLOOKUP((VLOOKUP(AN$11,Fanslookup,12,FALSE)*AN$24+AN$62),Motor_Horsepower_Nominal_Efficiency_SI,4,TRUE)*(VLOOKUP(AN$11,Fanslookup,12,FALSE)*AN$24+AN$62),VLOOKUP((VLOOKUP(AN$11,Fanslookup,11,FALSE)*AN$24+AN$62),Motor_Horsepower_Nominal_Efficiency_IP,5,TRUE)*(VLOOKUP(AN$11,Fanslookup,11,FALSE)*AN$24+AN$62))),(IF(SI_IP_Units="IP",VLOOKUP(AN$11,Fanslookup,11,FALSE),VLOOKUP(AN$11,Fanslookup,12,FALSE))*AN$24+VLOOKUP(AN$11,Fanslookup,15,FALSE)*AN$63*AN$64)))</f>
        <v/>
      </c>
      <c r="AO35" s="2221" t="str">
        <f t="shared" si="2"/>
        <v/>
      </c>
      <c r="AP35" s="1693" t="s">
        <v>207</v>
      </c>
      <c r="AQ35" s="2191"/>
      <c r="AR35" s="2226"/>
      <c r="AS35" s="1714"/>
      <c r="AT35" s="35"/>
      <c r="AU35" s="35"/>
      <c r="AV35" s="35"/>
      <c r="AW35" s="35"/>
      <c r="AX35" s="35"/>
      <c r="AY35" s="35"/>
      <c r="AZ35" s="35"/>
      <c r="BA35" s="35"/>
      <c r="BB35" s="35"/>
      <c r="BC35" s="35"/>
    </row>
    <row r="36" spans="2:55" s="387" customFormat="1" ht="51" customHeight="1" x14ac:dyDescent="0.25">
      <c r="B36" s="3774" t="s">
        <v>2278</v>
      </c>
      <c r="C36" s="3775" t="s">
        <v>2960</v>
      </c>
      <c r="D36" s="3777" t="s">
        <v>1516</v>
      </c>
      <c r="E36" s="2858"/>
      <c r="F36" s="2038"/>
      <c r="G36" s="3785" t="s">
        <v>2214</v>
      </c>
      <c r="H36" s="1405"/>
      <c r="I36" s="1970"/>
      <c r="J36" s="2957" t="str">
        <f>IF(I36="","",I36)</f>
        <v/>
      </c>
      <c r="K36" s="2207" t="str">
        <f>IF('General Information'!$R$14="IP","CFMD: cfm","CFMD: L/s")</f>
        <v>CFMD: cfm</v>
      </c>
      <c r="L36" s="3786"/>
      <c r="M36" s="3765"/>
      <c r="N36" s="3765"/>
      <c r="O36" s="1780"/>
      <c r="P36" s="2961" t="str">
        <f>IF(O36="","",O36)</f>
        <v/>
      </c>
      <c r="Q36" s="2225" t="str">
        <f>IF('General Information'!$R$14="IP","CFMD: cfm","CFMD: L/s")</f>
        <v>CFMD: cfm</v>
      </c>
      <c r="R36" s="3765"/>
      <c r="S36" s="624"/>
      <c r="T36" s="43"/>
      <c r="U36" s="803"/>
      <c r="V36" s="2151"/>
      <c r="W36" s="623"/>
      <c r="X36" s="1714"/>
      <c r="Y36" s="1714"/>
      <c r="Z36" s="1714"/>
      <c r="AA36" s="1714"/>
      <c r="AB36" s="1714"/>
      <c r="AC36" s="1714"/>
      <c r="AD36" s="1714"/>
      <c r="AE36" s="35"/>
      <c r="AF36" s="35"/>
      <c r="AG36" s="35"/>
      <c r="AH36" s="35"/>
      <c r="AI36" s="35"/>
      <c r="AJ36" s="35"/>
      <c r="AK36" s="35"/>
      <c r="AL36" s="35"/>
      <c r="AM36" s="35"/>
      <c r="AN36" s="1780"/>
      <c r="AO36" s="2961" t="str">
        <f>IF(AN36="","",AN36)</f>
        <v/>
      </c>
      <c r="AP36" s="2225" t="str">
        <f>IF('General Information'!$R$14="IP","CFMD: cfm","CFMD: L/s")</f>
        <v>CFMD: cfm</v>
      </c>
      <c r="AQ36" s="3765"/>
      <c r="AR36" s="2226"/>
      <c r="AS36" s="1714"/>
      <c r="AT36" s="35"/>
      <c r="AU36" s="35"/>
      <c r="AV36" s="35"/>
      <c r="AW36" s="35"/>
      <c r="AX36" s="35"/>
      <c r="AY36" s="35"/>
      <c r="AZ36" s="35"/>
      <c r="BA36" s="35"/>
      <c r="BB36" s="35"/>
      <c r="BC36" s="35"/>
    </row>
    <row r="37" spans="2:55" s="387" customFormat="1" ht="51" customHeight="1" x14ac:dyDescent="0.25">
      <c r="B37" s="3774"/>
      <c r="C37" s="3775"/>
      <c r="D37" s="3777"/>
      <c r="E37" s="2858"/>
      <c r="F37" s="2038"/>
      <c r="G37" s="3785"/>
      <c r="H37" s="1405"/>
      <c r="I37" s="1691" t="str">
        <f>IF(L$11=1,"n/a",IF(L$11=2,"n/a",""))</f>
        <v/>
      </c>
      <c r="J37" s="1693" t="str">
        <f t="shared" ref="J37:J63" si="3">IF(I37="","",I37)</f>
        <v/>
      </c>
      <c r="K37" s="2207" t="str">
        <f>IF('General Information'!$R$14="IP","Adjustment: in. w. c.","Adjustment: Pa")</f>
        <v>Adjustment: in. w. c.</v>
      </c>
      <c r="L37" s="3786"/>
      <c r="M37" s="3765"/>
      <c r="N37" s="3765"/>
      <c r="O37" s="2212" t="str">
        <f>IF(R$11=1,"n/a",IF(R$11=2,"n/a",""))</f>
        <v/>
      </c>
      <c r="P37" s="1695" t="str">
        <f t="shared" ref="P37:P63" si="4">IF(O37="","",O37)</f>
        <v/>
      </c>
      <c r="Q37" s="2225" t="str">
        <f>IF('General Information'!$R$14="IP","Adjustment: in. w. c.","Adjustment: Pa")</f>
        <v>Adjustment: in. w. c.</v>
      </c>
      <c r="R37" s="3765"/>
      <c r="S37" s="954" t="str">
        <f>IF('General Information'!$R$14="IP","IP","SI")</f>
        <v>IP</v>
      </c>
      <c r="T37" s="44"/>
      <c r="U37" s="803"/>
      <c r="V37" s="2151"/>
      <c r="W37" s="623"/>
      <c r="X37" s="1714"/>
      <c r="Y37" s="1714"/>
      <c r="Z37" s="1714"/>
      <c r="AA37" s="1714"/>
      <c r="AB37" s="1714"/>
      <c r="AC37" s="1714"/>
      <c r="AD37" s="1714"/>
      <c r="AE37" s="35"/>
      <c r="AF37" s="35"/>
      <c r="AG37" s="35"/>
      <c r="AH37" s="35"/>
      <c r="AI37" s="35"/>
      <c r="AJ37" s="35"/>
      <c r="AK37" s="35"/>
      <c r="AL37" s="35"/>
      <c r="AM37" s="35"/>
      <c r="AN37" s="2212" t="str">
        <f>IF(AQ$11=1,"n/a",IF(AQ$11=2,"n/a",""))</f>
        <v/>
      </c>
      <c r="AO37" s="1695" t="str">
        <f t="shared" ref="AO37:AO63" si="5">IF(AN37="","",AN37)</f>
        <v/>
      </c>
      <c r="AP37" s="2225" t="str">
        <f>IF('General Information'!$R$14="IP","Adjustment: in. w. c.","Adjustment: Pa")</f>
        <v>Adjustment: in. w. c.</v>
      </c>
      <c r="AQ37" s="3765"/>
      <c r="AR37" s="2226"/>
      <c r="AS37" s="1714"/>
      <c r="AT37" s="35"/>
      <c r="AU37" s="35"/>
      <c r="AV37" s="35"/>
      <c r="AW37" s="35"/>
      <c r="AX37" s="35"/>
      <c r="AY37" s="35"/>
      <c r="AZ37" s="35"/>
      <c r="BA37" s="35"/>
      <c r="BB37" s="35"/>
      <c r="BC37" s="35"/>
    </row>
    <row r="38" spans="2:55" s="387" customFormat="1" x14ac:dyDescent="0.25">
      <c r="B38" s="3774"/>
      <c r="C38" s="3775" t="s">
        <v>213</v>
      </c>
      <c r="D38" s="3777" t="s">
        <v>1517</v>
      </c>
      <c r="E38" s="2858"/>
      <c r="F38" s="2038"/>
      <c r="G38" s="3785"/>
      <c r="H38" s="1405"/>
      <c r="I38" s="1970"/>
      <c r="J38" s="2957" t="str">
        <f t="shared" si="3"/>
        <v/>
      </c>
      <c r="K38" s="2207" t="str">
        <f>IF('General Information'!$R$14="IP","CFMD: cfm","CFMD: L/s")</f>
        <v>CFMD: cfm</v>
      </c>
      <c r="L38" s="3786"/>
      <c r="M38" s="3765"/>
      <c r="N38" s="3765"/>
      <c r="O38" s="1780"/>
      <c r="P38" s="2961" t="str">
        <f t="shared" si="4"/>
        <v/>
      </c>
      <c r="Q38" s="2225" t="str">
        <f>IF('General Information'!$R$14="IP","CFMD: cfm","CFMD: L/s")</f>
        <v>CFMD: cfm</v>
      </c>
      <c r="R38" s="3765"/>
      <c r="S38" s="626">
        <f>IF($S$37="SI",125,0.5)</f>
        <v>0.5</v>
      </c>
      <c r="T38" s="44"/>
      <c r="U38" s="803"/>
      <c r="V38" s="2151"/>
      <c r="W38" s="623"/>
      <c r="X38" s="1714"/>
      <c r="Y38" s="1714"/>
      <c r="Z38" s="1714"/>
      <c r="AA38" s="1714"/>
      <c r="AB38" s="1714"/>
      <c r="AC38" s="1714"/>
      <c r="AD38" s="1714"/>
      <c r="AE38" s="35"/>
      <c r="AF38" s="35"/>
      <c r="AG38" s="35"/>
      <c r="AH38" s="35"/>
      <c r="AI38" s="35"/>
      <c r="AJ38" s="35"/>
      <c r="AK38" s="35"/>
      <c r="AL38" s="35"/>
      <c r="AM38" s="35"/>
      <c r="AN38" s="1780"/>
      <c r="AO38" s="2961" t="str">
        <f t="shared" si="5"/>
        <v/>
      </c>
      <c r="AP38" s="2225" t="str">
        <f>IF('General Information'!$R$14="IP","CFMD: cfm","CFMD: L/s")</f>
        <v>CFMD: cfm</v>
      </c>
      <c r="AQ38" s="3765"/>
      <c r="AR38" s="2226"/>
      <c r="AS38" s="1714"/>
      <c r="AT38" s="35"/>
      <c r="AU38" s="35"/>
      <c r="AV38" s="35"/>
      <c r="AW38" s="35"/>
      <c r="AX38" s="35"/>
      <c r="AY38" s="35"/>
      <c r="AZ38" s="35"/>
      <c r="BA38" s="35"/>
      <c r="BB38" s="35"/>
      <c r="BC38" s="35"/>
    </row>
    <row r="39" spans="2:55" s="387" customFormat="1" x14ac:dyDescent="0.25">
      <c r="B39" s="3774"/>
      <c r="C39" s="3775"/>
      <c r="D39" s="3777"/>
      <c r="E39" s="2858"/>
      <c r="F39" s="2038"/>
      <c r="G39" s="3785"/>
      <c r="H39" s="1405"/>
      <c r="I39" s="1691"/>
      <c r="J39" s="1693" t="str">
        <f t="shared" si="3"/>
        <v/>
      </c>
      <c r="K39" s="2207" t="str">
        <f>IF('General Information'!$R$14="IP","Adjustment: in. w. c.","Adjustment: Pa")</f>
        <v>Adjustment: in. w. c.</v>
      </c>
      <c r="L39" s="3786"/>
      <c r="M39" s="3765"/>
      <c r="N39" s="3765"/>
      <c r="O39" s="2212"/>
      <c r="P39" s="1695" t="str">
        <f t="shared" si="4"/>
        <v/>
      </c>
      <c r="Q39" s="2225" t="str">
        <f>IF('General Information'!$R$14="IP","Adjustment: in. w. c.","Adjustment: Pa")</f>
        <v>Adjustment: in. w. c.</v>
      </c>
      <c r="R39" s="3765"/>
      <c r="S39" s="626">
        <f>IF($S$37="SI",535,2.15)</f>
        <v>2.15</v>
      </c>
      <c r="T39" s="44"/>
      <c r="U39" s="803"/>
      <c r="V39" s="2151"/>
      <c r="W39" s="623"/>
      <c r="X39" s="1714"/>
      <c r="Y39" s="1714"/>
      <c r="Z39" s="1714"/>
      <c r="AA39" s="1714"/>
      <c r="AB39" s="1714"/>
      <c r="AC39" s="1714"/>
      <c r="AD39" s="1714"/>
      <c r="AE39" s="35"/>
      <c r="AF39" s="35"/>
      <c r="AG39" s="35"/>
      <c r="AH39" s="35"/>
      <c r="AI39" s="35"/>
      <c r="AJ39" s="35"/>
      <c r="AK39" s="35"/>
      <c r="AL39" s="35"/>
      <c r="AM39" s="35"/>
      <c r="AN39" s="2212" t="str">
        <f>IF(OR(AQ$11=1,AQ$11=2),"n/a",IF('General Information'!$R$14="IP","0.5","125"))</f>
        <v>0.5</v>
      </c>
      <c r="AO39" s="1695" t="str">
        <f t="shared" si="5"/>
        <v>0.5</v>
      </c>
      <c r="AP39" s="2225" t="str">
        <f>IF('General Information'!$R$14="IP","Adjustment: in. w. c.","Adjustment: Pa")</f>
        <v>Adjustment: in. w. c.</v>
      </c>
      <c r="AQ39" s="3765"/>
      <c r="AR39" s="2226"/>
      <c r="AS39" s="1714"/>
      <c r="AT39" s="35"/>
      <c r="AU39" s="35"/>
      <c r="AV39" s="35"/>
      <c r="AW39" s="35"/>
      <c r="AX39" s="35"/>
      <c r="AY39" s="35"/>
      <c r="AZ39" s="35"/>
      <c r="BA39" s="35"/>
      <c r="BB39" s="35"/>
      <c r="BC39" s="35"/>
    </row>
    <row r="40" spans="2:55" s="387" customFormat="1" x14ac:dyDescent="0.25">
      <c r="B40" s="3774"/>
      <c r="C40" s="3775" t="s">
        <v>267</v>
      </c>
      <c r="D40" s="3777" t="s">
        <v>1518</v>
      </c>
      <c r="E40" s="2858"/>
      <c r="F40" s="2038"/>
      <c r="G40" s="3785"/>
      <c r="H40" s="1405"/>
      <c r="I40" s="1970"/>
      <c r="J40" s="2957" t="str">
        <f t="shared" si="3"/>
        <v/>
      </c>
      <c r="K40" s="2207" t="str">
        <f>IF('General Information'!$R$14="IP","CFMD: cfm","CFMD: L/s")</f>
        <v>CFMD: cfm</v>
      </c>
      <c r="L40" s="3786"/>
      <c r="M40" s="3765"/>
      <c r="N40" s="3765"/>
      <c r="O40" s="1780"/>
      <c r="P40" s="2961" t="str">
        <f t="shared" si="4"/>
        <v/>
      </c>
      <c r="Q40" s="2225" t="str">
        <f>IF('General Information'!$R$14="IP","CFMD: cfm","CFMD: L/s")</f>
        <v>CFMD: cfm</v>
      </c>
      <c r="R40" s="3765"/>
      <c r="S40" s="625"/>
      <c r="T40" s="43"/>
      <c r="U40" s="803"/>
      <c r="V40" s="2151"/>
      <c r="W40" s="623"/>
      <c r="X40" s="1714"/>
      <c r="Y40" s="1714"/>
      <c r="Z40" s="1714"/>
      <c r="AA40" s="1714"/>
      <c r="AB40" s="1714"/>
      <c r="AC40" s="1714"/>
      <c r="AD40" s="1714"/>
      <c r="AE40" s="35"/>
      <c r="AF40" s="35"/>
      <c r="AG40" s="35"/>
      <c r="AH40" s="35"/>
      <c r="AI40" s="35"/>
      <c r="AJ40" s="35"/>
      <c r="AK40" s="35"/>
      <c r="AL40" s="35"/>
      <c r="AM40" s="35"/>
      <c r="AN40" s="1780"/>
      <c r="AO40" s="2961" t="str">
        <f t="shared" si="5"/>
        <v/>
      </c>
      <c r="AP40" s="2225" t="str">
        <f>IF('General Information'!$R$14="IP","CFMD: cfm","CFMD: L/s")</f>
        <v>CFMD: cfm</v>
      </c>
      <c r="AQ40" s="3765"/>
      <c r="AR40" s="2226"/>
      <c r="AS40" s="1714"/>
      <c r="AT40" s="35"/>
      <c r="AU40" s="35"/>
      <c r="AV40" s="35"/>
      <c r="AW40" s="35"/>
      <c r="AX40" s="35"/>
      <c r="AY40" s="35"/>
      <c r="AZ40" s="35"/>
      <c r="BA40" s="35"/>
      <c r="BB40" s="35"/>
      <c r="BC40" s="35"/>
    </row>
    <row r="41" spans="2:55" s="387" customFormat="1" x14ac:dyDescent="0.25">
      <c r="B41" s="3774"/>
      <c r="C41" s="3775"/>
      <c r="D41" s="3777"/>
      <c r="E41" s="2858"/>
      <c r="F41" s="2038"/>
      <c r="G41" s="3785"/>
      <c r="H41" s="1405"/>
      <c r="I41" s="1691"/>
      <c r="J41" s="1693" t="str">
        <f t="shared" si="3"/>
        <v/>
      </c>
      <c r="K41" s="2207" t="str">
        <f>IF('General Information'!$R$14="IP","Adjustment: in. w. c.","Adjustment: Pa")</f>
        <v>Adjustment: in. w. c.</v>
      </c>
      <c r="L41" s="3786"/>
      <c r="M41" s="3765"/>
      <c r="N41" s="3765"/>
      <c r="O41" s="2212"/>
      <c r="P41" s="1695" t="str">
        <f t="shared" si="4"/>
        <v/>
      </c>
      <c r="Q41" s="2225" t="str">
        <f>IF('General Information'!$R$14="IP","Adjustment: in. w. c.","Adjustment: Pa")</f>
        <v>Adjustment: in. w. c.</v>
      </c>
      <c r="R41" s="3765"/>
      <c r="S41" s="43"/>
      <c r="T41" s="43"/>
      <c r="U41" s="803"/>
      <c r="V41" s="2151"/>
      <c r="W41" s="623"/>
      <c r="X41" s="1714"/>
      <c r="Y41" s="1714"/>
      <c r="Z41" s="1714"/>
      <c r="AA41" s="1714"/>
      <c r="AB41" s="1714"/>
      <c r="AC41" s="1714"/>
      <c r="AD41" s="1714"/>
      <c r="AE41" s="35"/>
      <c r="AF41" s="35"/>
      <c r="AG41" s="35"/>
      <c r="AH41" s="35"/>
      <c r="AI41" s="35"/>
      <c r="AJ41" s="35"/>
      <c r="AK41" s="35"/>
      <c r="AL41" s="35"/>
      <c r="AM41" s="35"/>
      <c r="AN41" s="2212" t="str">
        <f>IF(AQ$11=1,"n/a",IF(AQ$11=2,"n/a",""))</f>
        <v/>
      </c>
      <c r="AO41" s="1695" t="str">
        <f t="shared" si="5"/>
        <v/>
      </c>
      <c r="AP41" s="2225" t="str">
        <f>IF('General Information'!$R$14="IP","Adjustment: in. w. c.","Adjustment: Pa")</f>
        <v>Adjustment: in. w. c.</v>
      </c>
      <c r="AQ41" s="3765"/>
      <c r="AR41" s="2226"/>
      <c r="AS41" s="1714"/>
      <c r="AT41" s="35"/>
      <c r="AU41" s="35"/>
      <c r="AV41" s="35"/>
      <c r="AW41" s="35"/>
      <c r="AX41" s="35"/>
      <c r="AY41" s="35"/>
      <c r="AZ41" s="35"/>
      <c r="BA41" s="35"/>
      <c r="BB41" s="35"/>
      <c r="BC41" s="35"/>
    </row>
    <row r="42" spans="2:55" s="387" customFormat="1" x14ac:dyDescent="0.25">
      <c r="B42" s="3774"/>
      <c r="C42" s="3775" t="s">
        <v>337</v>
      </c>
      <c r="D42" s="3777" t="s">
        <v>1519</v>
      </c>
      <c r="E42" s="2858"/>
      <c r="F42" s="2038"/>
      <c r="G42" s="3785"/>
      <c r="H42" s="1405"/>
      <c r="I42" s="1970"/>
      <c r="J42" s="2957" t="str">
        <f t="shared" si="3"/>
        <v/>
      </c>
      <c r="K42" s="2207" t="str">
        <f>IF('General Information'!$R$14="IP","CFMD: cfm","CFMD: L/s")</f>
        <v>CFMD: cfm</v>
      </c>
      <c r="L42" s="3786"/>
      <c r="M42" s="3765"/>
      <c r="N42" s="3765"/>
      <c r="O42" s="1780"/>
      <c r="P42" s="2961" t="str">
        <f t="shared" si="4"/>
        <v/>
      </c>
      <c r="Q42" s="2225" t="str">
        <f>IF('General Information'!$R$14="IP","CFMD: cfm","CFMD: L/s")</f>
        <v>CFMD: cfm</v>
      </c>
      <c r="R42" s="3765"/>
      <c r="S42" s="43"/>
      <c r="T42" s="43"/>
      <c r="U42" s="803"/>
      <c r="V42" s="2151"/>
      <c r="W42" s="623"/>
      <c r="X42" s="1714"/>
      <c r="Y42" s="1714"/>
      <c r="Z42" s="1714"/>
      <c r="AA42" s="1714"/>
      <c r="AB42" s="1714"/>
      <c r="AC42" s="1714"/>
      <c r="AD42" s="1714"/>
      <c r="AE42" s="35"/>
      <c r="AF42" s="35"/>
      <c r="AG42" s="35"/>
      <c r="AH42" s="35"/>
      <c r="AI42" s="35"/>
      <c r="AJ42" s="35"/>
      <c r="AK42" s="35"/>
      <c r="AL42" s="35"/>
      <c r="AM42" s="35"/>
      <c r="AN42" s="1780"/>
      <c r="AO42" s="2961" t="str">
        <f t="shared" si="5"/>
        <v/>
      </c>
      <c r="AP42" s="2225" t="str">
        <f>IF('General Information'!$R$14="IP","CFMD: cfm","CFMD: L/s")</f>
        <v>CFMD: cfm</v>
      </c>
      <c r="AQ42" s="3765"/>
      <c r="AR42" s="2226"/>
      <c r="AS42" s="1714"/>
      <c r="AT42" s="35"/>
      <c r="AU42" s="35"/>
      <c r="AV42" s="35"/>
      <c r="AW42" s="35"/>
      <c r="AX42" s="35"/>
      <c r="AY42" s="35"/>
      <c r="AZ42" s="35"/>
      <c r="BA42" s="35"/>
      <c r="BB42" s="35"/>
      <c r="BC42" s="35"/>
    </row>
    <row r="43" spans="2:55" s="387" customFormat="1" x14ac:dyDescent="0.25">
      <c r="B43" s="3774"/>
      <c r="C43" s="3775"/>
      <c r="D43" s="3777"/>
      <c r="E43" s="2858"/>
      <c r="F43" s="2038"/>
      <c r="G43" s="3785"/>
      <c r="H43" s="1405"/>
      <c r="I43" s="1691"/>
      <c r="J43" s="1693" t="str">
        <f t="shared" si="3"/>
        <v/>
      </c>
      <c r="K43" s="2207" t="str">
        <f>IF('General Information'!$R$14="IP","Adjustment: in. w. c.","Adjustment: Pa")</f>
        <v>Adjustment: in. w. c.</v>
      </c>
      <c r="L43" s="3786"/>
      <c r="M43" s="3765"/>
      <c r="N43" s="3765"/>
      <c r="O43" s="2212"/>
      <c r="P43" s="1695" t="str">
        <f t="shared" si="4"/>
        <v/>
      </c>
      <c r="Q43" s="2225" t="str">
        <f>IF('General Information'!$R$14="IP","Adjustment: in. w. c.","Adjustment: Pa")</f>
        <v>Adjustment: in. w. c.</v>
      </c>
      <c r="R43" s="3765"/>
      <c r="S43" s="43"/>
      <c r="T43" s="43"/>
      <c r="U43" s="803"/>
      <c r="V43" s="2151"/>
      <c r="W43" s="623"/>
      <c r="X43" s="1714"/>
      <c r="Y43" s="1714"/>
      <c r="Z43" s="1714"/>
      <c r="AA43" s="1714"/>
      <c r="AB43" s="1714"/>
      <c r="AC43" s="1714"/>
      <c r="AD43" s="1714"/>
      <c r="AE43" s="35"/>
      <c r="AF43" s="35"/>
      <c r="AG43" s="35"/>
      <c r="AH43" s="35"/>
      <c r="AI43" s="35"/>
      <c r="AJ43" s="35"/>
      <c r="AK43" s="35"/>
      <c r="AL43" s="35"/>
      <c r="AM43" s="35"/>
      <c r="AN43" s="2212" t="str">
        <f>IF(OR(AQ$11=1,AQ$11=2),"n/a",IF('General Information'!$R$14="IP","0.5","125"))</f>
        <v>0.5</v>
      </c>
      <c r="AO43" s="1695" t="str">
        <f t="shared" si="5"/>
        <v>0.5</v>
      </c>
      <c r="AP43" s="2225" t="str">
        <f>IF('General Information'!$R$14="IP","Adjustment: in. w. c.","Adjustment: Pa")</f>
        <v>Adjustment: in. w. c.</v>
      </c>
      <c r="AQ43" s="3765"/>
      <c r="AR43" s="2226"/>
      <c r="AS43" s="1714"/>
      <c r="AT43" s="35"/>
      <c r="AU43" s="35"/>
      <c r="AV43" s="35"/>
      <c r="AW43" s="35"/>
      <c r="AX43" s="35"/>
      <c r="AY43" s="35"/>
      <c r="AZ43" s="35"/>
      <c r="BA43" s="35"/>
      <c r="BB43" s="35"/>
      <c r="BC43" s="35"/>
    </row>
    <row r="44" spans="2:55" s="387" customFormat="1" x14ac:dyDescent="0.25">
      <c r="B44" s="3774"/>
      <c r="C44" s="3775" t="s">
        <v>338</v>
      </c>
      <c r="D44" s="3777" t="s">
        <v>1520</v>
      </c>
      <c r="E44" s="2858"/>
      <c r="F44" s="2038"/>
      <c r="G44" s="3785"/>
      <c r="H44" s="1405"/>
      <c r="I44" s="1970"/>
      <c r="J44" s="2957" t="str">
        <f t="shared" si="3"/>
        <v/>
      </c>
      <c r="K44" s="2207" t="str">
        <f>IF('General Information'!$R$14="IP","CFMD: cfm","CFMD: L/s")</f>
        <v>CFMD: cfm</v>
      </c>
      <c r="L44" s="3786"/>
      <c r="M44" s="3765"/>
      <c r="N44" s="3765"/>
      <c r="O44" s="1780"/>
      <c r="P44" s="2961" t="str">
        <f t="shared" si="4"/>
        <v/>
      </c>
      <c r="Q44" s="2225" t="str">
        <f>IF('General Information'!$R$14="IP","CFMD: cfm","CFMD: L/s")</f>
        <v>CFMD: cfm</v>
      </c>
      <c r="R44" s="3765"/>
      <c r="S44" s="43"/>
      <c r="T44" s="43"/>
      <c r="U44" s="803"/>
      <c r="V44" s="2151"/>
      <c r="W44" s="623"/>
      <c r="X44" s="1714"/>
      <c r="Y44" s="1714"/>
      <c r="Z44" s="1714"/>
      <c r="AA44" s="1714"/>
      <c r="AB44" s="1714"/>
      <c r="AC44" s="1714"/>
      <c r="AD44" s="1714"/>
      <c r="AE44" s="35"/>
      <c r="AF44" s="35"/>
      <c r="AG44" s="35"/>
      <c r="AH44" s="35"/>
      <c r="AI44" s="35"/>
      <c r="AJ44" s="35"/>
      <c r="AK44" s="35"/>
      <c r="AL44" s="35"/>
      <c r="AM44" s="35"/>
      <c r="AN44" s="1780"/>
      <c r="AO44" s="2961" t="str">
        <f t="shared" si="5"/>
        <v/>
      </c>
      <c r="AP44" s="2225" t="str">
        <f>IF('General Information'!$R$14="IP","CFMD: cfm","CFMD: L/s")</f>
        <v>CFMD: cfm</v>
      </c>
      <c r="AQ44" s="3765"/>
      <c r="AR44" s="2226"/>
      <c r="AS44" s="1714"/>
      <c r="AT44" s="35"/>
      <c r="AU44" s="35"/>
      <c r="AV44" s="35"/>
      <c r="AW44" s="35"/>
      <c r="AX44" s="35"/>
      <c r="AY44" s="35"/>
      <c r="AZ44" s="35"/>
      <c r="BA44" s="35"/>
      <c r="BB44" s="35"/>
      <c r="BC44" s="35"/>
    </row>
    <row r="45" spans="2:55" s="387" customFormat="1" x14ac:dyDescent="0.25">
      <c r="B45" s="3774"/>
      <c r="C45" s="3775"/>
      <c r="D45" s="3777"/>
      <c r="E45" s="2858"/>
      <c r="F45" s="2038"/>
      <c r="G45" s="3785"/>
      <c r="H45" s="1405"/>
      <c r="I45" s="1691"/>
      <c r="J45" s="1693" t="str">
        <f t="shared" si="3"/>
        <v/>
      </c>
      <c r="K45" s="2207" t="str">
        <f>IF('General Information'!$R$14="IP","Adjustment: in. w. c.","Adjustment: Pa")</f>
        <v>Adjustment: in. w. c.</v>
      </c>
      <c r="L45" s="3786"/>
      <c r="M45" s="3765"/>
      <c r="N45" s="3765"/>
      <c r="O45" s="2212"/>
      <c r="P45" s="1695" t="str">
        <f t="shared" si="4"/>
        <v/>
      </c>
      <c r="Q45" s="2225" t="str">
        <f>IF('General Information'!$R$14="IP","Adjustment: in. w. c.","Adjustment: Pa")</f>
        <v>Adjustment: in. w. c.</v>
      </c>
      <c r="R45" s="3765"/>
      <c r="S45" s="43"/>
      <c r="T45" s="43"/>
      <c r="U45" s="803"/>
      <c r="V45" s="2151"/>
      <c r="W45" s="623"/>
      <c r="X45" s="1714"/>
      <c r="Y45" s="1714"/>
      <c r="Z45" s="1714"/>
      <c r="AA45" s="1714"/>
      <c r="AB45" s="1714"/>
      <c r="AC45" s="1714"/>
      <c r="AD45" s="1714"/>
      <c r="AE45" s="35"/>
      <c r="AF45" s="35"/>
      <c r="AG45" s="35"/>
      <c r="AH45" s="35"/>
      <c r="AI45" s="35"/>
      <c r="AJ45" s="35"/>
      <c r="AK45" s="35"/>
      <c r="AL45" s="35"/>
      <c r="AM45" s="35"/>
      <c r="AN45" s="2212" t="str">
        <f>IF(OR(AQ$11=1,AQ$11=2),"n/a",IF('General Information'!$R$14="IP","0.9","225"))</f>
        <v>0.9</v>
      </c>
      <c r="AO45" s="1695" t="str">
        <f t="shared" si="5"/>
        <v>0.9</v>
      </c>
      <c r="AP45" s="2225" t="str">
        <f>IF('General Information'!$R$14="IP","Adjustment: in. w. c.","Adjustment: Pa")</f>
        <v>Adjustment: in. w. c.</v>
      </c>
      <c r="AQ45" s="3765"/>
      <c r="AR45" s="2226"/>
      <c r="AS45" s="1714"/>
      <c r="AT45" s="35"/>
      <c r="AU45" s="35"/>
      <c r="AV45" s="35"/>
      <c r="AW45" s="35"/>
      <c r="AX45" s="35"/>
      <c r="AY45" s="35"/>
      <c r="AZ45" s="35"/>
      <c r="BA45" s="35"/>
      <c r="BB45" s="35"/>
      <c r="BC45" s="35"/>
    </row>
    <row r="46" spans="2:55" s="387" customFormat="1" ht="19.5" customHeight="1" x14ac:dyDescent="0.25">
      <c r="B46" s="3774"/>
      <c r="C46" s="3775" t="s">
        <v>339</v>
      </c>
      <c r="D46" s="3777" t="s">
        <v>1521</v>
      </c>
      <c r="E46" s="2858"/>
      <c r="F46" s="2038"/>
      <c r="G46" s="3785"/>
      <c r="H46" s="1405"/>
      <c r="I46" s="1970"/>
      <c r="J46" s="2957" t="str">
        <f t="shared" si="3"/>
        <v/>
      </c>
      <c r="K46" s="2207" t="str">
        <f>IF('General Information'!$R$14="IP","CFMD: cfm","CFMD: L/s")</f>
        <v>CFMD: cfm</v>
      </c>
      <c r="L46" s="3786"/>
      <c r="M46" s="3765"/>
      <c r="N46" s="3765"/>
      <c r="O46" s="1780"/>
      <c r="P46" s="2961" t="str">
        <f t="shared" si="4"/>
        <v/>
      </c>
      <c r="Q46" s="2225" t="str">
        <f>IF('General Information'!$R$14="IP","CFMD: cfm","CFMD: L/s")</f>
        <v>CFMD: cfm</v>
      </c>
      <c r="R46" s="3765"/>
      <c r="S46" s="43"/>
      <c r="T46" s="43"/>
      <c r="U46" s="803"/>
      <c r="V46" s="2151"/>
      <c r="W46" s="623"/>
      <c r="X46" s="1714"/>
      <c r="Y46" s="1714"/>
      <c r="Z46" s="1714"/>
      <c r="AA46" s="1714"/>
      <c r="AB46" s="1714"/>
      <c r="AC46" s="1714"/>
      <c r="AD46" s="1714"/>
      <c r="AE46" s="35"/>
      <c r="AF46" s="35"/>
      <c r="AG46" s="35"/>
      <c r="AH46" s="35"/>
      <c r="AI46" s="35"/>
      <c r="AJ46" s="35"/>
      <c r="AK46" s="35"/>
      <c r="AL46" s="35"/>
      <c r="AM46" s="35"/>
      <c r="AN46" s="1780"/>
      <c r="AO46" s="2961" t="str">
        <f t="shared" si="5"/>
        <v/>
      </c>
      <c r="AP46" s="2225" t="str">
        <f>IF('General Information'!$R$14="IP","CFMD: cfm","CFMD: L/s")</f>
        <v>CFMD: cfm</v>
      </c>
      <c r="AQ46" s="3765"/>
      <c r="AR46" s="2226"/>
      <c r="AS46" s="1714"/>
      <c r="AT46" s="35"/>
      <c r="AU46" s="35"/>
      <c r="AV46" s="35"/>
      <c r="AW46" s="35"/>
      <c r="AX46" s="35"/>
      <c r="AY46" s="35"/>
      <c r="AZ46" s="35"/>
      <c r="BA46" s="35"/>
      <c r="BB46" s="35"/>
      <c r="BC46" s="35"/>
    </row>
    <row r="47" spans="2:55" s="387" customFormat="1" ht="19.5" customHeight="1" x14ac:dyDescent="0.25">
      <c r="B47" s="3774"/>
      <c r="C47" s="3775"/>
      <c r="D47" s="3777"/>
      <c r="E47" s="2858"/>
      <c r="F47" s="2038"/>
      <c r="G47" s="3785"/>
      <c r="H47" s="1405"/>
      <c r="I47" s="1691" t="str">
        <f>IF(L$11=1,"n/a",IF(L$11=2,"n/a",""))</f>
        <v/>
      </c>
      <c r="J47" s="1693" t="str">
        <f t="shared" si="3"/>
        <v/>
      </c>
      <c r="K47" s="2207" t="str">
        <f>IF('General Information'!$R$14="IP","Adjustment: in. w. c.","Adjustment: Pa")</f>
        <v>Adjustment: in. w. c.</v>
      </c>
      <c r="L47" s="3786"/>
      <c r="M47" s="3765"/>
      <c r="N47" s="3765"/>
      <c r="O47" s="2212"/>
      <c r="P47" s="1695" t="str">
        <f t="shared" si="4"/>
        <v/>
      </c>
      <c r="Q47" s="2225" t="str">
        <f>IF('General Information'!$R$14="IP","Adjustment: in. w. c.","Adjustment: Pa")</f>
        <v>Adjustment: in. w. c.</v>
      </c>
      <c r="R47" s="3765"/>
      <c r="S47" s="43"/>
      <c r="T47" s="43"/>
      <c r="U47" s="803"/>
      <c r="V47" s="2151"/>
      <c r="W47" s="623"/>
      <c r="X47" s="1714"/>
      <c r="Y47" s="1714"/>
      <c r="Z47" s="1714"/>
      <c r="AA47" s="1714"/>
      <c r="AB47" s="1714"/>
      <c r="AC47" s="1714"/>
      <c r="AD47" s="1714"/>
      <c r="AE47" s="35"/>
      <c r="AF47" s="35"/>
      <c r="AG47" s="35"/>
      <c r="AH47" s="35"/>
      <c r="AI47" s="35"/>
      <c r="AJ47" s="35"/>
      <c r="AK47" s="35"/>
      <c r="AL47" s="35"/>
      <c r="AM47" s="35"/>
      <c r="AN47" s="2212" t="str">
        <f>IF(AQ$11=1,"n/a",IF(AQ$11=2,"n/a",""))</f>
        <v/>
      </c>
      <c r="AO47" s="1695" t="str">
        <f t="shared" si="5"/>
        <v/>
      </c>
      <c r="AP47" s="2225" t="str">
        <f>IF('General Information'!$R$14="IP","Adjustment: in. w. c.","Adjustment: Pa")</f>
        <v>Adjustment: in. w. c.</v>
      </c>
      <c r="AQ47" s="3765"/>
      <c r="AR47" s="2226"/>
      <c r="AS47" s="1714"/>
      <c r="AT47" s="35"/>
      <c r="AU47" s="35"/>
      <c r="AV47" s="35"/>
      <c r="AW47" s="35"/>
      <c r="AX47" s="35"/>
      <c r="AY47" s="35"/>
      <c r="AZ47" s="35"/>
      <c r="BA47" s="35"/>
      <c r="BB47" s="35"/>
      <c r="BC47" s="35"/>
    </row>
    <row r="48" spans="2:55" s="387" customFormat="1" x14ac:dyDescent="0.25">
      <c r="B48" s="3774"/>
      <c r="C48" s="3775" t="s">
        <v>214</v>
      </c>
      <c r="D48" s="3777" t="s">
        <v>1522</v>
      </c>
      <c r="E48" s="2858"/>
      <c r="F48" s="2038"/>
      <c r="G48" s="3785"/>
      <c r="H48" s="1405"/>
      <c r="I48" s="1970"/>
      <c r="J48" s="2957" t="str">
        <f t="shared" si="3"/>
        <v/>
      </c>
      <c r="K48" s="2207" t="str">
        <f>IF('General Information'!$R$14="IP","CFMD: cfm","CFMD: L/s")</f>
        <v>CFMD: cfm</v>
      </c>
      <c r="L48" s="3786"/>
      <c r="M48" s="3765"/>
      <c r="N48" s="3765"/>
      <c r="O48" s="1780"/>
      <c r="P48" s="2961" t="str">
        <f t="shared" si="4"/>
        <v/>
      </c>
      <c r="Q48" s="2225" t="str">
        <f>IF('General Information'!$R$14="IP","CFMD: cfm","CFMD: L/s")</f>
        <v>CFMD: cfm</v>
      </c>
      <c r="R48" s="3765"/>
      <c r="S48" s="43"/>
      <c r="T48" s="43"/>
      <c r="U48" s="803"/>
      <c r="V48" s="2151"/>
      <c r="W48" s="623"/>
      <c r="X48" s="1714"/>
      <c r="Y48" s="1714"/>
      <c r="Z48" s="1714"/>
      <c r="AA48" s="1714"/>
      <c r="AB48" s="1714"/>
      <c r="AC48" s="1714"/>
      <c r="AD48" s="1714"/>
      <c r="AE48" s="35"/>
      <c r="AF48" s="35"/>
      <c r="AG48" s="35"/>
      <c r="AH48" s="35"/>
      <c r="AI48" s="35"/>
      <c r="AJ48" s="35"/>
      <c r="AK48" s="35"/>
      <c r="AL48" s="35"/>
      <c r="AM48" s="35"/>
      <c r="AN48" s="1780"/>
      <c r="AO48" s="2961" t="str">
        <f t="shared" si="5"/>
        <v/>
      </c>
      <c r="AP48" s="2225" t="str">
        <f>IF('General Information'!$R$14="IP","CFMD: cfm","CFMD: L/s")</f>
        <v>CFMD: cfm</v>
      </c>
      <c r="AQ48" s="3765"/>
      <c r="AR48" s="2226"/>
      <c r="AS48" s="1714"/>
      <c r="AT48" s="35"/>
      <c r="AU48" s="35"/>
      <c r="AV48" s="35"/>
      <c r="AW48" s="35"/>
      <c r="AX48" s="35"/>
      <c r="AY48" s="35"/>
      <c r="AZ48" s="35"/>
      <c r="BA48" s="35"/>
      <c r="BB48" s="35"/>
      <c r="BC48" s="35"/>
    </row>
    <row r="49" spans="2:67" s="387" customFormat="1" x14ac:dyDescent="0.25">
      <c r="B49" s="3774"/>
      <c r="C49" s="3775"/>
      <c r="D49" s="3777"/>
      <c r="E49" s="2858"/>
      <c r="F49" s="2038"/>
      <c r="G49" s="3785"/>
      <c r="H49" s="1405"/>
      <c r="I49" s="1691" t="str">
        <f>IF(L$11=1,"n/a",IF(L$11=2,"n/a",""))</f>
        <v/>
      </c>
      <c r="J49" s="1693" t="str">
        <f t="shared" si="3"/>
        <v/>
      </c>
      <c r="K49" s="2207" t="str">
        <f>IF('General Information'!$R$14="IP","Adjustment: in. w. c.","Adjustment: Pa")</f>
        <v>Adjustment: in. w. c.</v>
      </c>
      <c r="L49" s="3786"/>
      <c r="M49" s="3765"/>
      <c r="N49" s="3765"/>
      <c r="O49" s="2212"/>
      <c r="P49" s="1695" t="str">
        <f t="shared" si="4"/>
        <v/>
      </c>
      <c r="Q49" s="2225" t="str">
        <f>IF('General Information'!$R$14="IP","Adjustment: in. w. c.","Adjustment: Pa")</f>
        <v>Adjustment: in. w. c.</v>
      </c>
      <c r="R49" s="3765"/>
      <c r="S49" s="43"/>
      <c r="T49" s="43"/>
      <c r="U49" s="803"/>
      <c r="V49" s="2151"/>
      <c r="W49" s="623"/>
      <c r="X49" s="1714"/>
      <c r="Y49" s="1714"/>
      <c r="Z49" s="1714"/>
      <c r="AA49" s="1714"/>
      <c r="AB49" s="1714"/>
      <c r="AC49" s="1714"/>
      <c r="AD49" s="1714"/>
      <c r="AE49" s="35"/>
      <c r="AF49" s="35"/>
      <c r="AG49" s="35"/>
      <c r="AH49" s="35"/>
      <c r="AI49" s="35"/>
      <c r="AJ49" s="35"/>
      <c r="AK49" s="35"/>
      <c r="AL49" s="35"/>
      <c r="AM49" s="35"/>
      <c r="AN49" s="2212" t="str">
        <f>IF(AQ$11=1,"n/a",IF(AQ$11=2,"n/a",""))</f>
        <v/>
      </c>
      <c r="AO49" s="1695" t="str">
        <f t="shared" si="5"/>
        <v/>
      </c>
      <c r="AP49" s="2225" t="str">
        <f>IF('General Information'!$R$14="IP","Adjustment: in. w. c.","Adjustment: Pa")</f>
        <v>Adjustment: in. w. c.</v>
      </c>
      <c r="AQ49" s="3765"/>
      <c r="AR49" s="2226"/>
      <c r="AS49" s="1714"/>
      <c r="AT49" s="35"/>
      <c r="AU49" s="35"/>
      <c r="AV49" s="35"/>
      <c r="AW49" s="35"/>
      <c r="AX49" s="35"/>
      <c r="AY49" s="35"/>
      <c r="AZ49" s="35"/>
      <c r="BA49" s="35"/>
      <c r="BB49" s="35"/>
      <c r="BC49" s="35"/>
    </row>
    <row r="50" spans="2:67" s="387" customFormat="1" x14ac:dyDescent="0.25">
      <c r="B50" s="3774"/>
      <c r="C50" s="3775" t="s">
        <v>268</v>
      </c>
      <c r="D50" s="3777" t="s">
        <v>1523</v>
      </c>
      <c r="E50" s="2858"/>
      <c r="F50" s="2038"/>
      <c r="G50" s="3785"/>
      <c r="H50" s="1405"/>
      <c r="I50" s="1970"/>
      <c r="J50" s="2957" t="str">
        <f t="shared" si="3"/>
        <v/>
      </c>
      <c r="K50" s="2207" t="str">
        <f>IF('General Information'!$R$14="IP","CFMD: cfm","CFMD: L/s")</f>
        <v>CFMD: cfm</v>
      </c>
      <c r="L50" s="3786"/>
      <c r="M50" s="3765"/>
      <c r="N50" s="3765"/>
      <c r="O50" s="1780"/>
      <c r="P50" s="2961" t="str">
        <f t="shared" si="4"/>
        <v/>
      </c>
      <c r="Q50" s="2225" t="str">
        <f>IF('General Information'!$R$14="IP","CFMD: cfm","CFMD: L/s")</f>
        <v>CFMD: cfm</v>
      </c>
      <c r="R50" s="3765"/>
      <c r="S50" s="43"/>
      <c r="T50" s="43"/>
      <c r="U50" s="803"/>
      <c r="V50" s="2151"/>
      <c r="W50" s="623"/>
      <c r="X50" s="1714"/>
      <c r="Y50" s="1714"/>
      <c r="Z50" s="1714"/>
      <c r="AA50" s="1714"/>
      <c r="AB50" s="1714"/>
      <c r="AC50" s="1714"/>
      <c r="AD50" s="1714"/>
      <c r="AE50" s="35"/>
      <c r="AF50" s="35"/>
      <c r="AG50" s="35"/>
      <c r="AH50" s="35"/>
      <c r="AI50" s="35"/>
      <c r="AJ50" s="35"/>
      <c r="AK50" s="35"/>
      <c r="AL50" s="35"/>
      <c r="AM50" s="35"/>
      <c r="AN50" s="1780"/>
      <c r="AO50" s="2961" t="str">
        <f t="shared" si="5"/>
        <v/>
      </c>
      <c r="AP50" s="2225" t="str">
        <f>IF('General Information'!$R$14="IP","CFMD: cfm","CFMD: L/s")</f>
        <v>CFMD: cfm</v>
      </c>
      <c r="AQ50" s="3765"/>
      <c r="AR50" s="2226"/>
      <c r="AS50" s="1714"/>
      <c r="AT50" s="35"/>
      <c r="AU50" s="35"/>
      <c r="AV50" s="35"/>
      <c r="AW50" s="35"/>
      <c r="AX50" s="35"/>
      <c r="AY50" s="35"/>
      <c r="AZ50" s="35"/>
      <c r="BA50" s="35"/>
      <c r="BB50" s="35"/>
      <c r="BC50" s="35"/>
    </row>
    <row r="51" spans="2:67" s="387" customFormat="1" x14ac:dyDescent="0.25">
      <c r="B51" s="3774"/>
      <c r="C51" s="3775"/>
      <c r="D51" s="3777"/>
      <c r="E51" s="2858"/>
      <c r="F51" s="2038"/>
      <c r="G51" s="3785"/>
      <c r="H51" s="1405"/>
      <c r="I51" s="1691" t="str">
        <f>IF(L$11=1,"n/a",IF(L$11=2,"n/a",""))</f>
        <v/>
      </c>
      <c r="J51" s="1693" t="str">
        <f t="shared" si="3"/>
        <v/>
      </c>
      <c r="K51" s="2207" t="str">
        <f>IF('General Information'!$R$14="IP","Adjustment: in. w. c.","Adjustment: Pa")</f>
        <v>Adjustment: in. w. c.</v>
      </c>
      <c r="L51" s="3786"/>
      <c r="M51" s="3765"/>
      <c r="N51" s="3765"/>
      <c r="O51" s="2212"/>
      <c r="P51" s="1695" t="str">
        <f t="shared" si="4"/>
        <v/>
      </c>
      <c r="Q51" s="2225" t="str">
        <f>IF('General Information'!$R$14="IP","Adjustment: in. w. c.","Adjustment: Pa")</f>
        <v>Adjustment: in. w. c.</v>
      </c>
      <c r="R51" s="3765"/>
      <c r="S51" s="43"/>
      <c r="T51" s="43"/>
      <c r="U51" s="803"/>
      <c r="V51" s="2151"/>
      <c r="W51" s="623"/>
      <c r="X51" s="1714"/>
      <c r="Y51" s="1714"/>
      <c r="Z51" s="1714"/>
      <c r="AA51" s="1714"/>
      <c r="AB51" s="1714"/>
      <c r="AC51" s="1714"/>
      <c r="AD51" s="1714"/>
      <c r="AE51" s="35"/>
      <c r="AF51" s="35"/>
      <c r="AG51" s="35"/>
      <c r="AH51" s="35"/>
      <c r="AI51" s="35"/>
      <c r="AJ51" s="35"/>
      <c r="AK51" s="35"/>
      <c r="AL51" s="35"/>
      <c r="AM51" s="35"/>
      <c r="AN51" s="2212" t="str">
        <f>IF(AQ$11=1,"n/a",IF(AQ$11=2,"n/a",""))</f>
        <v/>
      </c>
      <c r="AO51" s="1695" t="str">
        <f t="shared" si="5"/>
        <v/>
      </c>
      <c r="AP51" s="2225" t="str">
        <f>IF('General Information'!$R$14="IP","Adjustment: in. w. c.","Adjustment: Pa")</f>
        <v>Adjustment: in. w. c.</v>
      </c>
      <c r="AQ51" s="3765"/>
      <c r="AR51" s="2226"/>
      <c r="AS51" s="1714"/>
      <c r="AT51" s="35"/>
      <c r="AU51" s="35"/>
      <c r="AV51" s="35"/>
      <c r="AW51" s="35"/>
      <c r="AX51" s="35"/>
      <c r="AY51" s="35"/>
      <c r="AZ51" s="35"/>
      <c r="BA51" s="35"/>
      <c r="BB51" s="35"/>
      <c r="BC51" s="35"/>
    </row>
    <row r="52" spans="2:67" s="387" customFormat="1" ht="36.450000000000003" customHeight="1" x14ac:dyDescent="0.25">
      <c r="B52" s="3774"/>
      <c r="C52" s="3775" t="s">
        <v>2961</v>
      </c>
      <c r="D52" s="3777" t="s">
        <v>2980</v>
      </c>
      <c r="E52" s="2858"/>
      <c r="F52" s="2038"/>
      <c r="G52" s="3785"/>
      <c r="H52" s="1405"/>
      <c r="I52" s="1970"/>
      <c r="J52" s="2957" t="str">
        <f t="shared" si="3"/>
        <v/>
      </c>
      <c r="K52" s="2207" t="str">
        <f>IF('General Information'!$R$14="IP","CFMD: cfm","CFMD: L/s")</f>
        <v>CFMD: cfm</v>
      </c>
      <c r="L52" s="3786"/>
      <c r="M52" s="3765"/>
      <c r="N52" s="3765"/>
      <c r="O52" s="1780"/>
      <c r="P52" s="2961" t="str">
        <f t="shared" si="4"/>
        <v/>
      </c>
      <c r="Q52" s="2225" t="str">
        <f>IF('General Information'!$R$14="IP","CFMD: cfm","CFMD: L/s")</f>
        <v>CFMD: cfm</v>
      </c>
      <c r="R52" s="3765"/>
      <c r="S52" s="43"/>
      <c r="T52" s="43"/>
      <c r="U52" s="803"/>
      <c r="V52" s="2151"/>
      <c r="W52" s="623"/>
      <c r="X52" s="1714"/>
      <c r="Y52" s="1714"/>
      <c r="Z52" s="1714"/>
      <c r="AA52" s="1714"/>
      <c r="AB52" s="1714"/>
      <c r="AC52" s="1714"/>
      <c r="AD52" s="1714"/>
      <c r="AE52" s="35"/>
      <c r="AF52" s="35"/>
      <c r="AG52" s="35"/>
      <c r="AH52" s="35"/>
      <c r="AI52" s="35"/>
      <c r="AJ52" s="35"/>
      <c r="AK52" s="35"/>
      <c r="AL52" s="35"/>
      <c r="AM52" s="35"/>
      <c r="AN52" s="1780"/>
      <c r="AO52" s="2961" t="str">
        <f t="shared" si="5"/>
        <v/>
      </c>
      <c r="AP52" s="2225" t="str">
        <f>IF('General Information'!$R$14="IP","CFMD: cfm","CFMD: L/s")</f>
        <v>CFMD: cfm</v>
      </c>
      <c r="AQ52" s="3765"/>
      <c r="AR52" s="2226"/>
      <c r="AS52" s="1714"/>
      <c r="AT52" s="35"/>
      <c r="AU52" s="35"/>
      <c r="AV52" s="35"/>
      <c r="AW52" s="35"/>
      <c r="AX52" s="35"/>
      <c r="AY52" s="35"/>
      <c r="AZ52" s="35"/>
      <c r="BA52" s="35"/>
      <c r="BB52" s="35"/>
      <c r="BC52" s="35"/>
    </row>
    <row r="53" spans="2:67" s="387" customFormat="1" ht="36.450000000000003" customHeight="1" x14ac:dyDescent="0.25">
      <c r="B53" s="3774"/>
      <c r="C53" s="3775"/>
      <c r="D53" s="3777"/>
      <c r="E53" s="2858"/>
      <c r="F53" s="2038"/>
      <c r="G53" s="3785"/>
      <c r="H53" s="1405"/>
      <c r="I53" s="1691"/>
      <c r="J53" s="1693" t="str">
        <f t="shared" si="3"/>
        <v/>
      </c>
      <c r="K53" s="2207" t="str">
        <f>IF('General Information'!$R$14="IP","Adjustment: in. w. c.","Adjustment: Pa")</f>
        <v>Adjustment: in. w. c.</v>
      </c>
      <c r="L53" s="3786"/>
      <c r="M53" s="3765"/>
      <c r="N53" s="3765"/>
      <c r="O53" s="1691"/>
      <c r="P53" s="1695" t="str">
        <f t="shared" si="4"/>
        <v/>
      </c>
      <c r="Q53" s="2225" t="str">
        <f>IF('General Information'!$R$14="IP","Adjustment: in. w. c.","Adjustment: Pa")</f>
        <v>Adjustment: in. w. c.</v>
      </c>
      <c r="R53" s="3765"/>
      <c r="S53" s="43"/>
      <c r="T53" s="43"/>
      <c r="U53" s="803"/>
      <c r="V53" s="2151"/>
      <c r="W53" s="623"/>
      <c r="X53" s="1714"/>
      <c r="Y53" s="1714"/>
      <c r="Z53" s="1714"/>
      <c r="AA53" s="1714"/>
      <c r="AB53" s="1714"/>
      <c r="AC53" s="1714"/>
      <c r="AD53" s="1714"/>
      <c r="AE53" s="35"/>
      <c r="AF53" s="35"/>
      <c r="AG53" s="35"/>
      <c r="AH53" s="35"/>
      <c r="AI53" s="35"/>
      <c r="AJ53" s="35"/>
      <c r="AK53" s="35"/>
      <c r="AL53" s="35"/>
      <c r="AM53" s="35"/>
      <c r="AN53" s="1691" t="str">
        <f>IF(OR(AQ$11=1,AQ$11=2),"n/a",IF('General Information'!$R$14="IP","1.2","300"))</f>
        <v>1.2</v>
      </c>
      <c r="AO53" s="1695" t="str">
        <f t="shared" si="5"/>
        <v>1.2</v>
      </c>
      <c r="AP53" s="2225" t="str">
        <f>IF('General Information'!$R$14="IP","Adjustment: in. w. c.","Adjustment: Pa")</f>
        <v>Adjustment: in. w. c.</v>
      </c>
      <c r="AQ53" s="3765"/>
      <c r="AR53" s="2226"/>
      <c r="AS53" s="1714"/>
      <c r="AT53" s="35"/>
      <c r="AU53" s="35"/>
      <c r="AV53" s="35"/>
      <c r="AW53" s="35"/>
      <c r="AX53" s="35"/>
      <c r="AY53" s="35"/>
      <c r="AZ53" s="35"/>
      <c r="BA53" s="35"/>
      <c r="BB53" s="35"/>
      <c r="BC53" s="35"/>
    </row>
    <row r="54" spans="2:67" s="387" customFormat="1" ht="23.55" customHeight="1" x14ac:dyDescent="0.25">
      <c r="B54" s="3774"/>
      <c r="C54" s="3775" t="s">
        <v>215</v>
      </c>
      <c r="D54" s="3777" t="s">
        <v>1524</v>
      </c>
      <c r="E54" s="2858"/>
      <c r="F54" s="2038"/>
      <c r="G54" s="3785"/>
      <c r="H54" s="1405"/>
      <c r="I54" s="1970"/>
      <c r="J54" s="2957" t="str">
        <f t="shared" si="3"/>
        <v/>
      </c>
      <c r="K54" s="2207" t="str">
        <f>IF('General Information'!$R$14="IP","CFMD: cfm","CFMD: L/s")</f>
        <v>CFMD: cfm</v>
      </c>
      <c r="L54" s="3786"/>
      <c r="M54" s="3765"/>
      <c r="N54" s="3765"/>
      <c r="O54" s="1780"/>
      <c r="P54" s="2961" t="str">
        <f t="shared" si="4"/>
        <v/>
      </c>
      <c r="Q54" s="2225" t="str">
        <f>IF('General Information'!$R$14="IP","CFMD: cfm","CFMD: L/s")</f>
        <v>CFMD: cfm</v>
      </c>
      <c r="R54" s="3765"/>
      <c r="S54" s="43"/>
      <c r="T54" s="43"/>
      <c r="U54" s="803"/>
      <c r="V54" s="2151"/>
      <c r="W54" s="623"/>
      <c r="X54" s="1714"/>
      <c r="Y54" s="1714"/>
      <c r="Z54" s="1714"/>
      <c r="AA54" s="1714"/>
      <c r="AB54" s="1714"/>
      <c r="AC54" s="1714"/>
      <c r="AD54" s="1714"/>
      <c r="AE54" s="35"/>
      <c r="AF54" s="35"/>
      <c r="AG54" s="35"/>
      <c r="AH54" s="35"/>
      <c r="AI54" s="35"/>
      <c r="AJ54" s="35"/>
      <c r="AK54" s="35"/>
      <c r="AL54" s="35"/>
      <c r="AM54" s="35"/>
      <c r="AN54" s="1780"/>
      <c r="AO54" s="2961" t="str">
        <f t="shared" si="5"/>
        <v/>
      </c>
      <c r="AP54" s="2225" t="str">
        <f>IF('General Information'!$R$14="IP","CFMD: cfm","CFMD: L/s")</f>
        <v>CFMD: cfm</v>
      </c>
      <c r="AQ54" s="3765"/>
      <c r="AR54" s="2226"/>
      <c r="AS54" s="1714"/>
      <c r="AT54" s="35"/>
      <c r="AU54" s="35"/>
      <c r="AV54" s="35"/>
      <c r="AW54" s="35"/>
      <c r="AX54" s="35"/>
      <c r="AY54" s="35"/>
      <c r="AZ54" s="35"/>
      <c r="BA54" s="35"/>
      <c r="BB54" s="35"/>
      <c r="BC54" s="35"/>
    </row>
    <row r="55" spans="2:67" s="387" customFormat="1" ht="23.55" customHeight="1" x14ac:dyDescent="0.25">
      <c r="B55" s="3774"/>
      <c r="C55" s="3775"/>
      <c r="D55" s="3777"/>
      <c r="E55" s="2858"/>
      <c r="F55" s="2038"/>
      <c r="G55" s="3785"/>
      <c r="H55" s="1405"/>
      <c r="I55" s="1691" t="str">
        <f>IF(L$11=1,"n/a",IF(L$11=2,"n/a",""))</f>
        <v/>
      </c>
      <c r="J55" s="1693" t="str">
        <f t="shared" si="3"/>
        <v/>
      </c>
      <c r="K55" s="2207" t="str">
        <f>IF('General Information'!$R$14="IP","Adjustment: in. w. c.","Adjustment: Pa")</f>
        <v>Adjustment: in. w. c.</v>
      </c>
      <c r="L55" s="3786"/>
      <c r="M55" s="3765"/>
      <c r="N55" s="3765"/>
      <c r="O55" s="2212"/>
      <c r="P55" s="1695" t="str">
        <f t="shared" si="4"/>
        <v/>
      </c>
      <c r="Q55" s="2225" t="str">
        <f>IF('General Information'!$R$14="IP","Adjustment: in. w. c.","Adjustment: Pa")</f>
        <v>Adjustment: in. w. c.</v>
      </c>
      <c r="R55" s="3765"/>
      <c r="S55" s="43"/>
      <c r="T55" s="43"/>
      <c r="U55" s="803"/>
      <c r="V55" s="2151"/>
      <c r="W55" s="623"/>
      <c r="X55" s="1714"/>
      <c r="Y55" s="1714"/>
      <c r="Z55" s="1714"/>
      <c r="AA55" s="1714"/>
      <c r="AB55" s="1714"/>
      <c r="AC55" s="1714"/>
      <c r="AD55" s="1714"/>
      <c r="AE55" s="35"/>
      <c r="AF55" s="35"/>
      <c r="AG55" s="35"/>
      <c r="AH55" s="35"/>
      <c r="AI55" s="35"/>
      <c r="AJ55" s="35"/>
      <c r="AK55" s="35"/>
      <c r="AL55" s="35"/>
      <c r="AM55" s="35"/>
      <c r="AN55" s="2212" t="str">
        <f>IF(AQ$11=1,"n/a",IF(AQ$11=2,"n/a",""))</f>
        <v/>
      </c>
      <c r="AO55" s="1695" t="str">
        <f t="shared" si="5"/>
        <v/>
      </c>
      <c r="AP55" s="2225" t="str">
        <f>IF('General Information'!$R$14="IP","Adjustment: in. w. c.","Adjustment: Pa")</f>
        <v>Adjustment: in. w. c.</v>
      </c>
      <c r="AQ55" s="3765"/>
      <c r="AR55" s="2226"/>
      <c r="AS55" s="1714"/>
      <c r="AT55" s="35"/>
      <c r="AU55" s="35"/>
      <c r="AV55" s="35"/>
      <c r="AW55" s="35"/>
      <c r="AX55" s="35"/>
      <c r="AY55" s="35"/>
      <c r="AZ55" s="35"/>
      <c r="BA55" s="35"/>
      <c r="BB55" s="35"/>
      <c r="BC55" s="35"/>
    </row>
    <row r="56" spans="2:67" s="387" customFormat="1" x14ac:dyDescent="0.25">
      <c r="B56" s="3774"/>
      <c r="C56" s="3775" t="s">
        <v>340</v>
      </c>
      <c r="D56" s="3777" t="s">
        <v>1525</v>
      </c>
      <c r="E56" s="2858"/>
      <c r="F56" s="2038"/>
      <c r="G56" s="3785"/>
      <c r="H56" s="1405"/>
      <c r="I56" s="1970"/>
      <c r="J56" s="2957" t="str">
        <f t="shared" si="3"/>
        <v/>
      </c>
      <c r="K56" s="2207" t="str">
        <f>IF('General Information'!$R$14="IP","CFMD: cfm","CFMD: L/s")</f>
        <v>CFMD: cfm</v>
      </c>
      <c r="L56" s="3786"/>
      <c r="M56" s="3765"/>
      <c r="N56" s="3765"/>
      <c r="O56" s="1780"/>
      <c r="P56" s="2961" t="str">
        <f t="shared" si="4"/>
        <v/>
      </c>
      <c r="Q56" s="2225" t="str">
        <f>IF('General Information'!$R$14="IP","CFMD: cfm","CFMD: L/s")</f>
        <v>CFMD: cfm</v>
      </c>
      <c r="R56" s="3765"/>
      <c r="S56" s="43"/>
      <c r="T56" s="43"/>
      <c r="U56" s="803"/>
      <c r="V56" s="2151"/>
      <c r="W56" s="623"/>
      <c r="X56" s="1714"/>
      <c r="Y56" s="1714"/>
      <c r="Z56" s="1714"/>
      <c r="AA56" s="1714"/>
      <c r="AB56" s="1714"/>
      <c r="AC56" s="1714"/>
      <c r="AD56" s="1714"/>
      <c r="AE56" s="35"/>
      <c r="AF56" s="35"/>
      <c r="AG56" s="35"/>
      <c r="AH56" s="35"/>
      <c r="AI56" s="35"/>
      <c r="AJ56" s="35"/>
      <c r="AK56" s="35"/>
      <c r="AL56" s="35"/>
      <c r="AM56" s="35"/>
      <c r="AN56" s="1780"/>
      <c r="AO56" s="2961" t="str">
        <f t="shared" si="5"/>
        <v/>
      </c>
      <c r="AP56" s="2225" t="str">
        <f>IF('General Information'!$R$14="IP","CFMD: cfm","CFMD: L/s")</f>
        <v>CFMD: cfm</v>
      </c>
      <c r="AQ56" s="3765"/>
      <c r="AR56" s="2226"/>
      <c r="AS56" s="1714"/>
      <c r="AT56" s="35"/>
      <c r="AU56" s="35"/>
      <c r="AV56" s="35"/>
      <c r="AW56" s="35"/>
      <c r="AX56" s="35"/>
      <c r="AY56" s="35"/>
      <c r="AZ56" s="35"/>
      <c r="BA56" s="35"/>
      <c r="BB56" s="35"/>
      <c r="BC56" s="35"/>
    </row>
    <row r="57" spans="2:67" s="387" customFormat="1" x14ac:dyDescent="0.25">
      <c r="B57" s="3774"/>
      <c r="C57" s="3775"/>
      <c r="D57" s="3777"/>
      <c r="E57" s="2858"/>
      <c r="F57" s="2038"/>
      <c r="G57" s="3785"/>
      <c r="H57" s="1405"/>
      <c r="I57" s="1691"/>
      <c r="J57" s="1693" t="str">
        <f t="shared" si="3"/>
        <v/>
      </c>
      <c r="K57" s="2207" t="str">
        <f>IF('General Information'!$R$14="IP","Adjustment: in. w. c.","Adjustment: Pa")</f>
        <v>Adjustment: in. w. c.</v>
      </c>
      <c r="L57" s="3786"/>
      <c r="M57" s="3765"/>
      <c r="N57" s="3765"/>
      <c r="O57" s="2212"/>
      <c r="P57" s="1695" t="str">
        <f t="shared" si="4"/>
        <v/>
      </c>
      <c r="Q57" s="2225" t="str">
        <f>IF('General Information'!$R$14="IP","Adjustment: in. w. c.","Adjustment: Pa")</f>
        <v>Adjustment: in. w. c.</v>
      </c>
      <c r="R57" s="3765"/>
      <c r="S57" s="43"/>
      <c r="T57" s="43"/>
      <c r="U57" s="803"/>
      <c r="V57" s="2151"/>
      <c r="W57" s="623"/>
      <c r="X57" s="1714"/>
      <c r="Y57" s="1714"/>
      <c r="Z57" s="1714"/>
      <c r="AA57" s="1714"/>
      <c r="AB57" s="1714"/>
      <c r="AC57" s="1714"/>
      <c r="AD57" s="1714"/>
      <c r="AE57" s="35"/>
      <c r="AF57" s="35"/>
      <c r="AG57" s="35"/>
      <c r="AH57" s="35"/>
      <c r="AI57" s="35"/>
      <c r="AJ57" s="35"/>
      <c r="AK57" s="35"/>
      <c r="AL57" s="35"/>
      <c r="AM57" s="35"/>
      <c r="AN57" s="2212" t="str">
        <f>IF(OR(AQ$11=1,AQ$11=2),"n/a",IF('General Information'!$R$14="IP","0.15","38"))</f>
        <v>0.15</v>
      </c>
      <c r="AO57" s="1695" t="str">
        <f t="shared" si="5"/>
        <v>0.15</v>
      </c>
      <c r="AP57" s="2225" t="str">
        <f>IF('General Information'!$R$14="IP","Adjustment: in. w. c.","Adjustment: Pa")</f>
        <v>Adjustment: in. w. c.</v>
      </c>
      <c r="AQ57" s="3765"/>
      <c r="AR57" s="2226"/>
      <c r="AS57" s="1714"/>
      <c r="AT57" s="35"/>
      <c r="AU57" s="35"/>
      <c r="AV57" s="35"/>
      <c r="AW57" s="35"/>
      <c r="AX57" s="35"/>
      <c r="AY57" s="35"/>
      <c r="AZ57" s="35"/>
      <c r="BA57" s="35"/>
      <c r="BB57" s="35"/>
      <c r="BC57" s="35"/>
    </row>
    <row r="58" spans="2:67" s="387" customFormat="1" x14ac:dyDescent="0.25">
      <c r="B58" s="3774"/>
      <c r="C58" s="3775" t="s">
        <v>269</v>
      </c>
      <c r="D58" s="3777" t="s">
        <v>1526</v>
      </c>
      <c r="E58" s="2858"/>
      <c r="F58" s="2038"/>
      <c r="G58" s="3785"/>
      <c r="H58" s="1405"/>
      <c r="I58" s="1970"/>
      <c r="J58" s="2957" t="str">
        <f t="shared" si="3"/>
        <v/>
      </c>
      <c r="K58" s="2207" t="str">
        <f>IF('General Information'!$R$14="IP","CFMD: cfm","CFMD: L/s")</f>
        <v>CFMD: cfm</v>
      </c>
      <c r="L58" s="3786"/>
      <c r="M58" s="3765"/>
      <c r="N58" s="3765"/>
      <c r="O58" s="1780"/>
      <c r="P58" s="2961" t="str">
        <f t="shared" si="4"/>
        <v/>
      </c>
      <c r="Q58" s="2225" t="str">
        <f>IF('General Information'!$R$14="IP","CFMD: cfm","CFMD: L/s")</f>
        <v>CFMD: cfm</v>
      </c>
      <c r="R58" s="3765"/>
      <c r="S58" s="43"/>
      <c r="T58" s="43"/>
      <c r="U58" s="803"/>
      <c r="V58" s="2151"/>
      <c r="W58" s="623"/>
      <c r="X58" s="1714"/>
      <c r="Y58" s="1714"/>
      <c r="Z58" s="1714"/>
      <c r="AA58" s="1714"/>
      <c r="AB58" s="1714"/>
      <c r="AC58" s="1714"/>
      <c r="AD58" s="1714"/>
      <c r="AE58" s="35"/>
      <c r="AF58" s="35"/>
      <c r="AG58" s="35"/>
      <c r="AH58" s="35"/>
      <c r="AI58" s="35"/>
      <c r="AJ58" s="35"/>
      <c r="AK58" s="35"/>
      <c r="AL58" s="35"/>
      <c r="AM58" s="35"/>
      <c r="AN58" s="1780"/>
      <c r="AO58" s="2961" t="str">
        <f t="shared" si="5"/>
        <v/>
      </c>
      <c r="AP58" s="2225" t="str">
        <f>IF('General Information'!$R$14="IP","CFMD: cfm","CFMD: L/s")</f>
        <v>CFMD: cfm</v>
      </c>
      <c r="AQ58" s="3765"/>
      <c r="AR58" s="2226"/>
      <c r="AS58" s="1714"/>
      <c r="AT58" s="35"/>
      <c r="AU58" s="35"/>
      <c r="AV58" s="35"/>
      <c r="AW58" s="35"/>
      <c r="AX58" s="35"/>
      <c r="AY58" s="35"/>
      <c r="AZ58" s="35"/>
      <c r="BA58" s="35"/>
      <c r="BB58" s="35"/>
      <c r="BC58" s="35"/>
    </row>
    <row r="59" spans="2:67" s="387" customFormat="1" x14ac:dyDescent="0.25">
      <c r="B59" s="3774"/>
      <c r="C59" s="3775"/>
      <c r="D59" s="3777"/>
      <c r="E59" s="2858"/>
      <c r="F59" s="2038"/>
      <c r="G59" s="3785"/>
      <c r="H59" s="1405"/>
      <c r="I59" s="1691"/>
      <c r="J59" s="1693" t="str">
        <f t="shared" si="3"/>
        <v/>
      </c>
      <c r="K59" s="2207" t="str">
        <f>IF('General Information'!$R$14="IP","Adjustment: in. w. c.","Adjustment: Pa")</f>
        <v>Adjustment: in. w. c.</v>
      </c>
      <c r="L59" s="3786"/>
      <c r="M59" s="3765"/>
      <c r="N59" s="3765"/>
      <c r="O59" s="2212"/>
      <c r="P59" s="1695" t="str">
        <f t="shared" si="4"/>
        <v/>
      </c>
      <c r="Q59" s="2225" t="str">
        <f>IF('General Information'!$R$14="IP","Adjustment: in. w. c.","Adjustment: Pa")</f>
        <v>Adjustment: in. w. c.</v>
      </c>
      <c r="R59" s="3765"/>
      <c r="S59" s="43"/>
      <c r="T59" s="43"/>
      <c r="U59" s="803"/>
      <c r="V59" s="2151"/>
      <c r="W59" s="623"/>
      <c r="X59" s="1714"/>
      <c r="Y59" s="1714"/>
      <c r="Z59" s="1714"/>
      <c r="AA59" s="1714"/>
      <c r="AB59" s="1714"/>
      <c r="AC59" s="1714"/>
      <c r="AD59" s="1714"/>
      <c r="AE59" s="35"/>
      <c r="AF59" s="35"/>
      <c r="AG59" s="35"/>
      <c r="AH59" s="35"/>
      <c r="AI59" s="35"/>
      <c r="AJ59" s="35"/>
      <c r="AK59" s="35"/>
      <c r="AL59" s="35"/>
      <c r="AM59" s="35"/>
      <c r="AN59" s="2212" t="str">
        <f>IF(OR(AQ$11=1,AQ$11=2),"n/a",IF('General Information'!$R$14="IP","0.35","85"))</f>
        <v>0.35</v>
      </c>
      <c r="AO59" s="1695" t="str">
        <f t="shared" si="5"/>
        <v>0.35</v>
      </c>
      <c r="AP59" s="2225" t="str">
        <f>IF('General Information'!$R$14="IP","Adjustment: in. w. c.","Adjustment: Pa")</f>
        <v>Adjustment: in. w. c.</v>
      </c>
      <c r="AQ59" s="3765"/>
      <c r="AR59" s="2226"/>
      <c r="AS59" s="1714"/>
      <c r="AT59" s="35"/>
      <c r="AU59" s="35"/>
      <c r="AV59" s="35"/>
      <c r="AW59" s="35"/>
      <c r="AX59" s="35"/>
      <c r="AY59" s="35"/>
      <c r="AZ59" s="35"/>
      <c r="BA59" s="35"/>
      <c r="BB59" s="35"/>
      <c r="BC59" s="35"/>
    </row>
    <row r="60" spans="2:67" s="387" customFormat="1" ht="27" customHeight="1" x14ac:dyDescent="0.25">
      <c r="B60" s="3774"/>
      <c r="C60" s="3775" t="s">
        <v>270</v>
      </c>
      <c r="D60" s="3777" t="s">
        <v>1527</v>
      </c>
      <c r="E60" s="2858"/>
      <c r="F60" s="2038"/>
      <c r="G60" s="3785"/>
      <c r="H60" s="1405"/>
      <c r="I60" s="1970"/>
      <c r="J60" s="2957" t="str">
        <f t="shared" si="3"/>
        <v/>
      </c>
      <c r="K60" s="2207" t="str">
        <f>IF('General Information'!$R$14="IP","CFMD: cfm","CFMD: L/s")</f>
        <v>CFMD: cfm</v>
      </c>
      <c r="L60" s="3786"/>
      <c r="M60" s="3765"/>
      <c r="N60" s="3765"/>
      <c r="O60" s="1780"/>
      <c r="P60" s="2961" t="str">
        <f t="shared" si="4"/>
        <v/>
      </c>
      <c r="Q60" s="2225" t="str">
        <f>IF('General Information'!$R$14="IP","CFMD: cfm","CFMD: L/s")</f>
        <v>CFMD: cfm</v>
      </c>
      <c r="R60" s="3765"/>
      <c r="S60" s="43"/>
      <c r="T60" s="43"/>
      <c r="U60" s="803"/>
      <c r="V60" s="2151"/>
      <c r="W60" s="623"/>
      <c r="X60" s="1714"/>
      <c r="Y60" s="1714"/>
      <c r="Z60" s="1714"/>
      <c r="AA60" s="1714"/>
      <c r="AB60" s="1714"/>
      <c r="AC60" s="1714"/>
      <c r="AD60" s="1714"/>
      <c r="AE60" s="35"/>
      <c r="AF60" s="35"/>
      <c r="AG60" s="35"/>
      <c r="AH60" s="35"/>
      <c r="AI60" s="35"/>
      <c r="AJ60" s="35"/>
      <c r="AK60" s="35"/>
      <c r="AL60" s="35"/>
      <c r="AM60" s="35"/>
      <c r="AN60" s="1780"/>
      <c r="AO60" s="2961" t="str">
        <f t="shared" si="5"/>
        <v/>
      </c>
      <c r="AP60" s="2225" t="str">
        <f>IF('General Information'!$R$14="IP","CFMD: cfm","CFMD: L/s")</f>
        <v>CFMD: cfm</v>
      </c>
      <c r="AQ60" s="3765"/>
      <c r="AR60" s="2226"/>
      <c r="AS60" s="1714"/>
      <c r="AT60" s="35"/>
      <c r="AU60" s="35"/>
      <c r="AV60" s="35"/>
      <c r="AW60" s="35"/>
      <c r="AX60" s="35"/>
      <c r="AY60" s="35"/>
      <c r="AZ60" s="35"/>
      <c r="BA60" s="35"/>
      <c r="BB60" s="35"/>
      <c r="BC60" s="35"/>
    </row>
    <row r="61" spans="2:67" s="387" customFormat="1" ht="27" customHeight="1" x14ac:dyDescent="0.25">
      <c r="B61" s="3774"/>
      <c r="C61" s="3775"/>
      <c r="D61" s="3777"/>
      <c r="E61" s="2858"/>
      <c r="F61" s="2038"/>
      <c r="G61" s="3785"/>
      <c r="H61" s="1405"/>
      <c r="I61" s="1691" t="str">
        <f>IF(L$11=1,"n/a",IF(L$11=2,"n/a",""))</f>
        <v/>
      </c>
      <c r="J61" s="1693" t="str">
        <f t="shared" si="3"/>
        <v/>
      </c>
      <c r="K61" s="2207" t="str">
        <f>IF('General Information'!$R$14="IP","Adjustment: in. w. c.","Adjustment: Pa")</f>
        <v>Adjustment: in. w. c.</v>
      </c>
      <c r="L61" s="3786"/>
      <c r="M61" s="3765"/>
      <c r="N61" s="3765"/>
      <c r="O61" s="2212" t="str">
        <f>IF(R$11=1,"n/a",IF(R$11=2,"n/a",""))</f>
        <v/>
      </c>
      <c r="P61" s="1695" t="str">
        <f t="shared" si="4"/>
        <v/>
      </c>
      <c r="Q61" s="2225" t="str">
        <f>IF('General Information'!$R$14="IP","Adjustment: in. w. c.","Adjustment: Pa")</f>
        <v>Adjustment: in. w. c.</v>
      </c>
      <c r="R61" s="3765"/>
      <c r="S61" s="43"/>
      <c r="T61" s="43"/>
      <c r="U61" s="803"/>
      <c r="V61" s="2151"/>
      <c r="W61" s="623"/>
      <c r="X61" s="1714"/>
      <c r="Y61" s="1714"/>
      <c r="Z61" s="1714"/>
      <c r="AA61" s="1714"/>
      <c r="AB61" s="1714"/>
      <c r="AC61" s="1714"/>
      <c r="AD61" s="1714"/>
      <c r="AE61" s="35"/>
      <c r="AF61" s="35"/>
      <c r="AG61" s="35"/>
      <c r="AH61" s="35"/>
      <c r="AI61" s="35"/>
      <c r="AJ61" s="35"/>
      <c r="AK61" s="35"/>
      <c r="AL61" s="35"/>
      <c r="AM61" s="35"/>
      <c r="AN61" s="2212" t="str">
        <f>IF(AQ$11=1,"n/a",IF(AQ$11=2,"n/a",""))</f>
        <v/>
      </c>
      <c r="AO61" s="1695" t="str">
        <f t="shared" si="5"/>
        <v/>
      </c>
      <c r="AP61" s="2225" t="str">
        <f>IF('General Information'!$R$14="IP","Adjustment: in. w. c.","Adjustment: Pa")</f>
        <v>Adjustment: in. w. c.</v>
      </c>
      <c r="AQ61" s="3765"/>
      <c r="AR61" s="2226"/>
      <c r="AS61" s="1714"/>
      <c r="AT61" s="35"/>
      <c r="AU61" s="35"/>
      <c r="AV61" s="35"/>
      <c r="AW61" s="35"/>
      <c r="AX61" s="35"/>
      <c r="AY61" s="35"/>
      <c r="AZ61" s="35"/>
      <c r="BA61" s="35"/>
      <c r="BB61" s="35"/>
      <c r="BC61" s="35"/>
    </row>
    <row r="62" spans="2:67" s="387" customFormat="1" ht="26.4" x14ac:dyDescent="0.25">
      <c r="B62" s="3774"/>
      <c r="C62" s="2080" t="s">
        <v>2459</v>
      </c>
      <c r="D62" s="1790"/>
      <c r="E62" s="2856"/>
      <c r="F62" s="2038"/>
      <c r="G62" s="3785"/>
      <c r="H62" s="1405"/>
      <c r="I62" s="1690">
        <f>IFERROR((IFERROR(I36*I37,"0")+IFERROR(I38*I39,"0")+IFERROR(I40*I41,"0")+IFERROR(I42*I43,"0")+IFERROR(I44*I45,"0")+IFERROR(I46*I47,"0")+IFERROR(I48*I49,"0")+IFERROR(I50*I51,"0")+IFERROR(I52*I53,"0")+IFERROR(I54*I55,"0")+IFERROR(I56*I57,"0")+IFERROR(I58*I59,"0")+IFERROR(I60*I61,"0"))/IF('General Information'!$R$14="IP",4131,650000),"-")</f>
        <v>0</v>
      </c>
      <c r="J62" s="1693">
        <f t="shared" si="3"/>
        <v>0</v>
      </c>
      <c r="K62" s="2208" t="str">
        <f>IF('General Information'!$R$14="IP","bhp","kWi")</f>
        <v>bhp</v>
      </c>
      <c r="L62" s="3786"/>
      <c r="M62" s="3765"/>
      <c r="N62" s="3765"/>
      <c r="O62" s="1695">
        <f>IFERROR((IFERROR(O36*O37,"0")+IFERROR(O38*O39,"0")+IFERROR(O40*O41,"0")+IFERROR(O42*O43,"0")+IFERROR(O44*O45,"0")+IFERROR(O46*O47,"0")+IFERROR(O48*O49,"0")+IFERROR(O50*O51,"0")+IFERROR(O52*O53,"0")+IFERROR(O54*O55,"0")+IFERROR(O56*O57,"0")+IFERROR(O58*O59,"0")+IFERROR(O60*O61,"0"))/IF('General Information'!$R$14="IP",4131,650000),"-")</f>
        <v>0</v>
      </c>
      <c r="P62" s="1695">
        <f t="shared" si="4"/>
        <v>0</v>
      </c>
      <c r="Q62" s="2224" t="str">
        <f>IF('General Information'!$R$14="IP","bhp","kWi")</f>
        <v>bhp</v>
      </c>
      <c r="R62" s="3765"/>
      <c r="S62" s="43"/>
      <c r="T62" s="43"/>
      <c r="U62" s="803"/>
      <c r="V62" s="2151"/>
      <c r="W62" s="623"/>
      <c r="X62" s="1714"/>
      <c r="Y62" s="1714"/>
      <c r="Z62" s="1714"/>
      <c r="AA62" s="1714"/>
      <c r="AB62" s="1714"/>
      <c r="AC62" s="1714"/>
      <c r="AD62" s="1714"/>
      <c r="AE62" s="35"/>
      <c r="AF62" s="35"/>
      <c r="AG62" s="35"/>
      <c r="AH62" s="35"/>
      <c r="AI62" s="35"/>
      <c r="AJ62" s="35"/>
      <c r="AK62" s="35"/>
      <c r="AL62" s="35"/>
      <c r="AM62" s="35"/>
      <c r="AN62" s="1695">
        <f>IFERROR((IFERROR(AN36*AN37,"0")+IFERROR(AN38*AN39,"0")+IFERROR(AN40*AN41,"0")+IFERROR(AN42*AN43,"0")+IFERROR(AN44*AN45,"0")+IFERROR(AN46*AN47,"0")+IFERROR(AN48*AN49,"0")+IFERROR(AN50*AN51,"0")+IFERROR(AN52*AN53,"0")+IFERROR(AN54*AN55,"0")+IFERROR(AN56*AN57,"0")+IFERROR(AN58*AN59,"0")+IFERROR(AN60*AN61,"0"))/IF('General Information'!$R$14="IP",4131,650000),"-")</f>
        <v>0</v>
      </c>
      <c r="AO62" s="1695">
        <f t="shared" si="5"/>
        <v>0</v>
      </c>
      <c r="AP62" s="2224" t="str">
        <f>IF('General Information'!$R$14="IP","bhp","kWi")</f>
        <v>bhp</v>
      </c>
      <c r="AQ62" s="3765"/>
      <c r="AR62" s="2226"/>
      <c r="AS62" s="1714"/>
      <c r="AT62" s="35"/>
      <c r="AU62" s="35"/>
      <c r="AV62" s="35"/>
      <c r="AW62" s="35"/>
      <c r="AX62" s="35"/>
      <c r="AY62" s="35"/>
      <c r="AZ62" s="35"/>
      <c r="BA62" s="35"/>
      <c r="BB62" s="35"/>
      <c r="BC62" s="35"/>
    </row>
    <row r="63" spans="2:67" ht="27" customHeight="1" x14ac:dyDescent="0.25">
      <c r="B63" s="3774" t="s">
        <v>884</v>
      </c>
      <c r="C63" s="3775" t="s">
        <v>885</v>
      </c>
      <c r="D63" s="3777" t="s">
        <v>1528</v>
      </c>
      <c r="E63" s="2858"/>
      <c r="F63" s="2038"/>
      <c r="G63" s="3785"/>
      <c r="H63" s="1405"/>
      <c r="I63" s="1970"/>
      <c r="J63" s="2957" t="str">
        <f t="shared" si="3"/>
        <v/>
      </c>
      <c r="K63" s="2207" t="str">
        <f>IF('General Information'!$R$14="IP","cfm","L/s")</f>
        <v>cfm</v>
      </c>
      <c r="L63" s="3786"/>
      <c r="M63" s="3765"/>
      <c r="N63" s="3765"/>
      <c r="O63" s="1780"/>
      <c r="P63" s="2961" t="str">
        <f t="shared" si="4"/>
        <v/>
      </c>
      <c r="Q63" s="2225" t="str">
        <f>IF('General Information'!$R$14="IP","cfm","L/s")</f>
        <v>cfm</v>
      </c>
      <c r="R63" s="3765"/>
      <c r="S63" s="43"/>
      <c r="T63" s="43"/>
      <c r="U63" s="803"/>
      <c r="V63" s="2151"/>
      <c r="W63" s="623"/>
      <c r="AE63" s="1725"/>
      <c r="AF63" s="1725"/>
      <c r="AG63" s="1725"/>
      <c r="AH63" s="1725"/>
      <c r="AI63" s="1725"/>
      <c r="AJ63" s="1725"/>
      <c r="AK63" s="1725"/>
      <c r="AL63" s="1725"/>
      <c r="AM63" s="1725"/>
      <c r="AN63" s="1780"/>
      <c r="AO63" s="2961" t="str">
        <f t="shared" si="5"/>
        <v/>
      </c>
      <c r="AP63" s="2225" t="str">
        <f>IF('General Information'!$R$14="IP","cfm","L/s")</f>
        <v>cfm</v>
      </c>
      <c r="AQ63" s="3765"/>
      <c r="AR63" s="2226"/>
      <c r="AT63" s="1725"/>
      <c r="AU63" s="1725"/>
      <c r="AV63" s="1725"/>
      <c r="AW63" s="1725"/>
      <c r="AX63" s="1725"/>
      <c r="AY63" s="1725"/>
      <c r="AZ63" s="1725"/>
      <c r="BA63" s="1725"/>
      <c r="BB63" s="1725"/>
      <c r="BC63" s="1725"/>
      <c r="BD63" s="1725"/>
      <c r="BE63" s="1725"/>
      <c r="BF63" s="1725"/>
      <c r="BG63" s="1725"/>
      <c r="BH63" s="1725"/>
      <c r="BI63" s="1725"/>
      <c r="BJ63" s="1725"/>
      <c r="BK63" s="1725"/>
      <c r="BL63" s="1725"/>
      <c r="BM63" s="1725"/>
      <c r="BN63" s="1725"/>
      <c r="BO63" s="1725"/>
    </row>
    <row r="64" spans="2:67" s="387" customFormat="1" ht="27" customHeight="1" x14ac:dyDescent="0.25">
      <c r="B64" s="3774"/>
      <c r="C64" s="3775"/>
      <c r="D64" s="3777"/>
      <c r="E64" s="2859"/>
      <c r="F64" s="1412"/>
      <c r="G64" s="3785"/>
      <c r="H64" s="1407"/>
      <c r="I64" s="1692" t="str">
        <f>IF('General Information'!$R$14="IP","0.000054","0.000114")</f>
        <v>0.000054</v>
      </c>
      <c r="J64" s="2783"/>
      <c r="K64" s="2207" t="str">
        <f>"fan power per " &amp; K63 &amp; " (kW)"</f>
        <v>fan power per cfm (kW)</v>
      </c>
      <c r="L64" s="3787"/>
      <c r="M64" s="3766"/>
      <c r="N64" s="3766"/>
      <c r="O64" s="1724" t="str">
        <f>IF('General Information'!$R$14="IP","0.000054","0.000114")</f>
        <v>0.000054</v>
      </c>
      <c r="P64" s="1696"/>
      <c r="Q64" s="2225" t="str">
        <f>"fan power per " &amp; Q63 &amp; " (kW)"</f>
        <v>fan power per cfm (kW)</v>
      </c>
      <c r="R64" s="3766"/>
      <c r="S64" s="43"/>
      <c r="T64" s="43"/>
      <c r="U64" s="803"/>
      <c r="V64" s="2151"/>
      <c r="W64" s="623"/>
      <c r="X64" s="1714"/>
      <c r="Y64" s="1714"/>
      <c r="Z64" s="1725"/>
      <c r="AA64" s="1725"/>
      <c r="AB64" s="1725"/>
      <c r="AC64" s="1725"/>
      <c r="AD64" s="1725"/>
      <c r="AE64" s="1725"/>
      <c r="AF64" s="1725"/>
      <c r="AG64" s="1725"/>
      <c r="AH64" s="1725"/>
      <c r="AI64" s="1725"/>
      <c r="AJ64" s="1725"/>
      <c r="AK64" s="1725"/>
      <c r="AL64" s="1725"/>
      <c r="AM64" s="1725"/>
      <c r="AN64" s="1724" t="str">
        <f>IF('General Information'!$R$14="IP","0.000054","0.000114")</f>
        <v>0.000054</v>
      </c>
      <c r="AO64" s="1696"/>
      <c r="AP64" s="2225" t="str">
        <f>"fan power per " &amp; AP63 &amp; " (kW)"</f>
        <v>fan power per cfm (kW)</v>
      </c>
      <c r="AQ64" s="3766"/>
      <c r="AR64" s="2226"/>
      <c r="AS64" s="1714"/>
      <c r="AT64" s="1725"/>
      <c r="AU64" s="1725"/>
      <c r="AV64" s="1725"/>
      <c r="AW64" s="1725"/>
      <c r="AX64" s="1725"/>
      <c r="AY64" s="1725"/>
      <c r="AZ64" s="1725"/>
      <c r="BA64" s="1725"/>
      <c r="BB64" s="1725"/>
      <c r="BC64" s="1725"/>
      <c r="BD64" s="1725"/>
      <c r="BE64" s="1725"/>
      <c r="BF64" s="1725"/>
      <c r="BG64" s="1725"/>
      <c r="BH64" s="1725"/>
      <c r="BI64" s="1725"/>
      <c r="BJ64" s="1725"/>
      <c r="BK64" s="1725"/>
      <c r="BL64" s="1725"/>
      <c r="BM64" s="1725"/>
      <c r="BN64" s="1725"/>
      <c r="BO64" s="1725"/>
    </row>
    <row r="65" spans="2:67" s="387" customFormat="1" ht="13.95" hidden="1" customHeight="1" x14ac:dyDescent="0.25">
      <c r="B65" s="396"/>
      <c r="C65" s="1697" t="s">
        <v>2896</v>
      </c>
      <c r="D65" s="339"/>
      <c r="E65" s="339"/>
      <c r="F65" s="1411"/>
      <c r="G65" s="1697">
        <f>SUMIF($G$8:$KE$8, "Baseline", $G65:$KE65)</f>
        <v>0</v>
      </c>
      <c r="H65" s="1405"/>
      <c r="I65" s="1697">
        <f>IF(I23="Constant Volume",I34,0)</f>
        <v>0</v>
      </c>
      <c r="K65" s="1333" t="s">
        <v>207</v>
      </c>
      <c r="L65" s="1413"/>
      <c r="M65" s="1727"/>
      <c r="N65" s="1727"/>
      <c r="O65" s="1697">
        <f>IF(O23="Constant Volume",O34,0)</f>
        <v>0</v>
      </c>
      <c r="P65" s="1705"/>
      <c r="R65" s="1728"/>
      <c r="S65" s="1727"/>
      <c r="T65" s="1715"/>
      <c r="U65" s="1705"/>
      <c r="V65" s="33"/>
      <c r="W65" s="1715"/>
      <c r="X65" s="1"/>
      <c r="Y65" s="1715"/>
      <c r="Z65" s="1725"/>
      <c r="AA65" s="1725"/>
      <c r="AB65" s="1725"/>
      <c r="AC65" s="1725"/>
      <c r="AD65" s="1725"/>
      <c r="AE65" s="1725"/>
      <c r="AF65" s="1725"/>
      <c r="AG65" s="1725"/>
      <c r="AH65" s="1725"/>
      <c r="AI65" s="1725"/>
      <c r="AJ65" s="1725"/>
      <c r="AK65" s="1725"/>
      <c r="AL65" s="1725"/>
      <c r="AM65" s="1725"/>
      <c r="AN65" s="1697">
        <f>IF(AN23="Constant Volume",AN34,0)</f>
        <v>0</v>
      </c>
      <c r="AO65" s="1705"/>
      <c r="AQ65" s="1728"/>
      <c r="AR65" s="1"/>
      <c r="AS65" s="32"/>
      <c r="AT65" s="1725"/>
      <c r="AU65" s="1725"/>
      <c r="AV65" s="1725"/>
      <c r="AW65" s="1725"/>
      <c r="AX65" s="1725"/>
      <c r="AY65" s="1725"/>
      <c r="AZ65" s="1725"/>
      <c r="BA65" s="1725"/>
      <c r="BB65" s="1725"/>
      <c r="BC65" s="1725"/>
      <c r="BD65" s="1725"/>
      <c r="BE65" s="1725"/>
      <c r="BF65" s="1725"/>
      <c r="BG65" s="1725"/>
      <c r="BH65" s="1725"/>
      <c r="BI65" s="1725"/>
      <c r="BJ65" s="1725"/>
      <c r="BK65" s="1725"/>
      <c r="BL65" s="1725"/>
      <c r="BM65" s="1725"/>
      <c r="BN65" s="1725"/>
      <c r="BO65" s="1725"/>
    </row>
    <row r="66" spans="2:67" ht="34.200000000000003" hidden="1" customHeight="1" x14ac:dyDescent="0.25">
      <c r="C66" s="1697" t="s">
        <v>2895</v>
      </c>
      <c r="F66" s="1411"/>
      <c r="G66" s="1697">
        <f>SUMIF($G$8:$KE$8, "Baseline", $G66:$KE66)</f>
        <v>0</v>
      </c>
      <c r="H66" s="1407"/>
      <c r="I66" s="1697">
        <f>IF(I23="Variable Volume",I34,0)</f>
        <v>0</v>
      </c>
      <c r="J66" s="952"/>
      <c r="K66" s="1333" t="s">
        <v>207</v>
      </c>
      <c r="O66" s="1697">
        <f>IF(O23="Variable Volume",O34,0)</f>
        <v>0</v>
      </c>
      <c r="Q66" s="952"/>
      <c r="S66" s="1728"/>
      <c r="T66" s="1726"/>
      <c r="U66" s="1729"/>
      <c r="W66" s="1726"/>
      <c r="X66" s="1"/>
      <c r="Y66" s="1726"/>
      <c r="AE66" s="1725"/>
      <c r="AF66" s="1725"/>
      <c r="AG66" s="1725"/>
      <c r="AH66" s="1725"/>
      <c r="AI66" s="1725"/>
      <c r="AJ66" s="1725"/>
      <c r="AK66" s="1725"/>
      <c r="AL66" s="1725"/>
      <c r="AM66" s="1725"/>
      <c r="AN66" s="1697">
        <f>IF(AN23="Variable Volume",AN34,0)</f>
        <v>0</v>
      </c>
      <c r="AP66" s="952"/>
      <c r="AR66" s="1"/>
      <c r="AS66" s="32"/>
      <c r="AT66" s="1725"/>
      <c r="AU66" s="1725"/>
      <c r="AV66" s="1725"/>
      <c r="AW66" s="1725"/>
      <c r="AX66" s="1725"/>
      <c r="AY66" s="1725"/>
      <c r="AZ66" s="1725"/>
      <c r="BA66" s="1725"/>
      <c r="BB66" s="1725"/>
      <c r="BC66" s="1725"/>
      <c r="BD66" s="1725"/>
      <c r="BE66" s="1725"/>
      <c r="BF66" s="1725"/>
      <c r="BG66" s="1725"/>
      <c r="BH66" s="1725"/>
      <c r="BI66" s="1725"/>
      <c r="BJ66" s="1725"/>
      <c r="BK66" s="1725"/>
      <c r="BL66" s="1725"/>
      <c r="BM66" s="1725"/>
      <c r="BN66" s="1725"/>
      <c r="BO66" s="1725"/>
    </row>
    <row r="67" spans="2:67" x14ac:dyDescent="0.25">
      <c r="AE67" s="1725"/>
      <c r="AF67" s="1725"/>
      <c r="AG67" s="1725"/>
      <c r="AH67" s="1725"/>
      <c r="AI67" s="1725"/>
      <c r="AJ67" s="1725"/>
      <c r="AK67" s="1725"/>
      <c r="AL67" s="1725"/>
      <c r="AM67" s="1725"/>
      <c r="AT67" s="1725"/>
      <c r="AU67" s="1725"/>
      <c r="AV67" s="1725"/>
      <c r="AW67" s="1725"/>
      <c r="AX67" s="1725"/>
      <c r="AY67" s="1725"/>
      <c r="AZ67" s="1725"/>
      <c r="BA67" s="1725"/>
      <c r="BB67" s="1725"/>
      <c r="BC67" s="1725"/>
      <c r="BD67" s="1725"/>
      <c r="BE67" s="1725"/>
      <c r="BF67" s="1725"/>
      <c r="BG67" s="1725"/>
      <c r="BH67" s="1725"/>
      <c r="BI67" s="1725"/>
      <c r="BJ67" s="1725"/>
      <c r="BK67" s="1725"/>
      <c r="BL67" s="1725"/>
      <c r="BM67" s="1725"/>
      <c r="BN67" s="1725"/>
      <c r="BO67" s="1725"/>
    </row>
    <row r="70" spans="2:67" x14ac:dyDescent="0.25">
      <c r="I70" s="2239"/>
    </row>
    <row r="71" spans="2:67" x14ac:dyDescent="0.25">
      <c r="I71" s="2239"/>
    </row>
    <row r="72" spans="2:67" x14ac:dyDescent="0.25">
      <c r="I72" s="2239"/>
    </row>
    <row r="95" spans="2:11" x14ac:dyDescent="0.25">
      <c r="B95" s="2082"/>
      <c r="C95" s="938"/>
      <c r="D95" s="942"/>
      <c r="E95" s="942"/>
      <c r="F95" s="2218"/>
      <c r="G95" s="949"/>
      <c r="H95" s="1658"/>
      <c r="K95" s="949"/>
    </row>
    <row r="96" spans="2:11" x14ac:dyDescent="0.25">
      <c r="B96" s="2082"/>
      <c r="C96" s="938"/>
      <c r="D96" s="943"/>
      <c r="E96" s="943"/>
      <c r="F96" s="2218"/>
      <c r="G96" s="950"/>
      <c r="H96" s="1658"/>
      <c r="K96" s="950"/>
    </row>
    <row r="97" spans="2:11" x14ac:dyDescent="0.25">
      <c r="B97" s="2082"/>
      <c r="C97" s="938"/>
      <c r="D97" s="943"/>
      <c r="E97" s="943"/>
      <c r="F97" s="2218"/>
      <c r="G97" s="950"/>
      <c r="H97" s="1658"/>
      <c r="K97" s="950"/>
    </row>
    <row r="98" spans="2:11" x14ac:dyDescent="0.25">
      <c r="B98" s="2082"/>
      <c r="C98" s="938"/>
      <c r="D98" s="943"/>
      <c r="E98" s="943"/>
      <c r="F98" s="2218"/>
      <c r="G98" s="950"/>
      <c r="H98" s="1658"/>
      <c r="K98" s="950"/>
    </row>
    <row r="99" spans="2:11" x14ac:dyDescent="0.25">
      <c r="B99" s="2082"/>
      <c r="C99" s="938"/>
      <c r="D99" s="943"/>
      <c r="E99" s="943"/>
      <c r="F99" s="2218"/>
      <c r="G99" s="950"/>
      <c r="H99" s="1658"/>
      <c r="K99" s="950"/>
    </row>
    <row r="100" spans="2:11" x14ac:dyDescent="0.25">
      <c r="B100" s="2082"/>
      <c r="C100" s="938"/>
      <c r="D100" s="943"/>
      <c r="E100" s="943"/>
      <c r="F100" s="2218"/>
      <c r="G100" s="950"/>
      <c r="H100" s="1658"/>
      <c r="K100" s="950"/>
    </row>
    <row r="101" spans="2:11" x14ac:dyDescent="0.25">
      <c r="B101" s="2082"/>
      <c r="C101" s="938"/>
      <c r="D101" s="943"/>
      <c r="E101" s="943"/>
      <c r="F101" s="2218"/>
      <c r="G101" s="950"/>
      <c r="H101" s="1658"/>
      <c r="K101" s="950"/>
    </row>
    <row r="102" spans="2:11" x14ac:dyDescent="0.25">
      <c r="B102" s="2082"/>
      <c r="C102" s="938"/>
      <c r="D102" s="943"/>
      <c r="E102" s="943"/>
      <c r="F102" s="2218"/>
      <c r="G102" s="950"/>
      <c r="H102" s="1658"/>
      <c r="K102" s="950"/>
    </row>
  </sheetData>
  <sheetProtection algorithmName="SHA-512" hashValue="zFZjBkTWmL3touL+FLG8bbJ/YIysCPjbT044fNJ9wDfl7JyFkBeSF36eD1lngvZ/h4w5NeqTLy4MnCurtL4Qog==" saltValue="1FaZi4gu/A/PXKrES+Vd4Q==" spinCount="100000" sheet="1" objects="1" scenarios="1"/>
  <customSheetViews>
    <customSheetView guid="{75D6F8CE-A4F4-4FDD-BA92-7996F9E19FA9}" scale="90" showGridLines="0" hiddenColumns="1">
      <pane xSplit="8" topLeftCell="I1" activePane="topRight" state="frozen"/>
      <selection pane="topRight" activeCell="B5" sqref="B5:H5"/>
      <pageMargins left="0.25" right="0.25" top="0.75" bottom="0.75" header="0.3" footer="0.3"/>
      <pageSetup scale="75" orientation="portrait" verticalDpi="1200" r:id="rId1"/>
      <headerFooter>
        <oddFooter>&amp;LTable 1.4 - Air-Side HVAC System Schedule</oddFooter>
      </headerFooter>
    </customSheetView>
  </customSheetViews>
  <mergeCells count="65">
    <mergeCell ref="I7:L7"/>
    <mergeCell ref="G36:G64"/>
    <mergeCell ref="L36:L64"/>
    <mergeCell ref="AQ36:AQ64"/>
    <mergeCell ref="N36:N64"/>
    <mergeCell ref="M36:M64"/>
    <mergeCell ref="AN7:AQ7"/>
    <mergeCell ref="I10:K10"/>
    <mergeCell ref="I11:K11"/>
    <mergeCell ref="I12:K12"/>
    <mergeCell ref="I13:K13"/>
    <mergeCell ref="AN10:AP10"/>
    <mergeCell ref="AN11:AP11"/>
    <mergeCell ref="AN12:AP12"/>
    <mergeCell ref="AN13:AP13"/>
    <mergeCell ref="AO9:AP9"/>
    <mergeCell ref="D46:D47"/>
    <mergeCell ref="D38:D39"/>
    <mergeCell ref="D42:D43"/>
    <mergeCell ref="D44:D45"/>
    <mergeCell ref="D63:D64"/>
    <mergeCell ref="D58:D59"/>
    <mergeCell ref="D60:D61"/>
    <mergeCell ref="D48:D49"/>
    <mergeCell ref="D50:D51"/>
    <mergeCell ref="D52:D53"/>
    <mergeCell ref="D56:D57"/>
    <mergeCell ref="B10:C10"/>
    <mergeCell ref="B11:C11"/>
    <mergeCell ref="B12:C12"/>
    <mergeCell ref="B13:C13"/>
    <mergeCell ref="C63:C64"/>
    <mergeCell ref="C38:C39"/>
    <mergeCell ref="C40:C41"/>
    <mergeCell ref="C58:C59"/>
    <mergeCell ref="C56:C57"/>
    <mergeCell ref="C52:C53"/>
    <mergeCell ref="C50:C51"/>
    <mergeCell ref="C36:C37"/>
    <mergeCell ref="B15:B18"/>
    <mergeCell ref="B14:C14"/>
    <mergeCell ref="B19:C19"/>
    <mergeCell ref="B5:K5"/>
    <mergeCell ref="J9:K9"/>
    <mergeCell ref="B63:B64"/>
    <mergeCell ref="C60:C61"/>
    <mergeCell ref="C54:C55"/>
    <mergeCell ref="D31:D35"/>
    <mergeCell ref="C42:C43"/>
    <mergeCell ref="C44:C45"/>
    <mergeCell ref="D54:D55"/>
    <mergeCell ref="D40:D41"/>
    <mergeCell ref="D36:D37"/>
    <mergeCell ref="B29:B30"/>
    <mergeCell ref="B31:B35"/>
    <mergeCell ref="B36:B62"/>
    <mergeCell ref="C46:C47"/>
    <mergeCell ref="C48:C49"/>
    <mergeCell ref="O13:Q13"/>
    <mergeCell ref="R36:R64"/>
    <mergeCell ref="O7:R7"/>
    <mergeCell ref="P9:Q9"/>
    <mergeCell ref="O10:Q10"/>
    <mergeCell ref="O11:Q11"/>
    <mergeCell ref="O12:Q12"/>
  </mergeCells>
  <conditionalFormatting sqref="I30 AN30 AP30">
    <cfRule type="expression" dxfId="316" priority="429">
      <formula>IF(I$29="Yes",TRUE,FALSE)</formula>
    </cfRule>
  </conditionalFormatting>
  <conditionalFormatting sqref="I37 AN41 AN47 AN49 AN51 AN55 AN61 AN39 AN43 AN45 AN57 AN59 AN37">
    <cfRule type="expression" dxfId="315" priority="400">
      <formula>IF(L$11=1,FALSE,IF(L$11=2,FALSE,TRUE))</formula>
    </cfRule>
  </conditionalFormatting>
  <conditionalFormatting sqref="I41">
    <cfRule type="expression" dxfId="314" priority="399">
      <formula>IF(L$11=1,FALSE,IF(L$11=2,FALSE,TRUE))</formula>
    </cfRule>
  </conditionalFormatting>
  <conditionalFormatting sqref="I47">
    <cfRule type="expression" dxfId="313" priority="398">
      <formula>IF(L$11=1,FALSE,IF(L$11=2,FALSE,TRUE))</formula>
    </cfRule>
  </conditionalFormatting>
  <conditionalFormatting sqref="I49">
    <cfRule type="expression" dxfId="312" priority="397">
      <formula>IF(L$11=1,FALSE,IF(L$11=2,FALSE,TRUE))</formula>
    </cfRule>
  </conditionalFormatting>
  <conditionalFormatting sqref="I51">
    <cfRule type="expression" dxfId="311" priority="396">
      <formula>IF(L$11=1,FALSE,IF(L$11=2,FALSE,TRUE))</formula>
    </cfRule>
  </conditionalFormatting>
  <conditionalFormatting sqref="I39">
    <cfRule type="expression" dxfId="310" priority="391">
      <formula>IF(L$11=1,FALSE,IF(L$11=2,FALSE,TRUE))</formula>
    </cfRule>
  </conditionalFormatting>
  <conditionalFormatting sqref="I55">
    <cfRule type="expression" dxfId="309" priority="393">
      <formula>IF(L$11=1,FALSE,IF(L$11=2,FALSE,TRUE))</formula>
    </cfRule>
  </conditionalFormatting>
  <conditionalFormatting sqref="I61">
    <cfRule type="expression" dxfId="308" priority="392">
      <formula>IF(L$11=1,FALSE,IF(L$11=2,FALSE,TRUE))</formula>
    </cfRule>
  </conditionalFormatting>
  <conditionalFormatting sqref="I43">
    <cfRule type="expression" dxfId="307" priority="390">
      <formula>IF(L$11=1,FALSE,IF(L$11=2,FALSE,TRUE))</formula>
    </cfRule>
  </conditionalFormatting>
  <conditionalFormatting sqref="I45">
    <cfRule type="expression" dxfId="306" priority="389">
      <formula>IF(L$11=1,FALSE,IF(L$11=2,FALSE,TRUE))</formula>
    </cfRule>
  </conditionalFormatting>
  <conditionalFormatting sqref="I57">
    <cfRule type="expression" dxfId="305" priority="388">
      <formula>IF(L$11=1,FALSE,IF(L$11=2,FALSE,TRUE))</formula>
    </cfRule>
  </conditionalFormatting>
  <conditionalFormatting sqref="I59">
    <cfRule type="expression" dxfId="304" priority="387">
      <formula>IF(L$11=1,FALSE,IF(L$11=2,FALSE,TRUE))</formula>
    </cfRule>
  </conditionalFormatting>
  <conditionalFormatting sqref="I53">
    <cfRule type="expression" dxfId="303" priority="79">
      <formula>IF(L$11=1,FALSE,IF(L$11=2,FALSE,TRUE))</formula>
    </cfRule>
  </conditionalFormatting>
  <conditionalFormatting sqref="AN53">
    <cfRule type="expression" dxfId="302" priority="70">
      <formula>IF(AQ$11=1,FALSE,IF(AQ$11=2,FALSE,TRUE))</formula>
    </cfRule>
  </conditionalFormatting>
  <conditionalFormatting sqref="O30 Q30">
    <cfRule type="expression" dxfId="301" priority="18">
      <formula>IF(O$29="Yes",TRUE,FALSE)</formula>
    </cfRule>
  </conditionalFormatting>
  <conditionalFormatting sqref="O41 O47 O49 O51 O55 O61 O39 O43 O45 O57 O59 O37">
    <cfRule type="expression" dxfId="300" priority="17">
      <formula>IF(R$11=1,FALSE,IF(R$11=2,FALSE,TRUE))</formula>
    </cfRule>
  </conditionalFormatting>
  <conditionalFormatting sqref="O53">
    <cfRule type="expression" dxfId="299" priority="16">
      <formula>IF(R$11=1,FALSE,IF(R$11=2,FALSE,TRUE))</formula>
    </cfRule>
  </conditionalFormatting>
  <dataValidations xWindow="736" yWindow="623" count="14">
    <dataValidation allowBlank="1" showErrorMessage="1" prompt="Describe all pressure drop adjustments used in the Baseline fan power calculations for this HVAC system (or this group of simiar systems), including the devices and corresponding pressure drop adjustments (example: fully ducted return - 0.5 in. w.c.)" sqref="I62 I35 AN35 AN62 O35 O62" xr:uid="{00000000-0002-0000-1A00-000000000000}"/>
    <dataValidation type="list" allowBlank="1" showInputMessage="1" showErrorMessage="1" sqref="I29 AN29 O29" xr:uid="{00000000-0002-0000-1A00-000001000000}">
      <formula1>"No,Yes"</formula1>
    </dataValidation>
    <dataValidation operator="greaterThanOrEqual" allowBlank="1" error="Please enter the value only (without any labels)" prompt="Enter the modeled outdoor airflow for this Baseline HVAC system (or the total outdoor airflow for this group of similar systems) in units of cfm (example: 650)" sqref="AP24:AP25 K24:K25 M24:N25 Q24:Q25" xr:uid="{00000000-0002-0000-1A00-000002000000}"/>
    <dataValidation allowBlank="1" sqref="I23 AN23 K27 AP27 O23 Q27" xr:uid="{00000000-0002-0000-1A00-000003000000}"/>
    <dataValidation type="list" operator="greaterThanOrEqual" allowBlank="1" error="Please enter the value only (without any labels)" prompt="_x000a__x000a__x000a_" sqref="M19:N21 K19 AP19 M15:N15" xr:uid="{00000000-0002-0000-1A00-000004000000}">
      <formula1>"kBtu/h, tons, kW, Btuh"</formula1>
    </dataValidation>
    <dataValidation type="list" allowBlank="1" showInputMessage="1" showErrorMessage="1" sqref="I10 AN10 O10" xr:uid="{00000000-0002-0000-1A00-000005000000}">
      <formula1>BuildingIDLookupAlt</formula1>
    </dataValidation>
    <dataValidation type="list" allowBlank="1" showInputMessage="1" sqref="I26 AN26 O26" xr:uid="{00000000-0002-0000-1A00-000006000000}">
      <formula1>"No,Yes"</formula1>
    </dataValidation>
    <dataValidation allowBlank="1" showInputMessage="1" sqref="K15:K16 K18 AP18 AP15:AP16 K20:K22 M16:N16 M22:N22 I28 AP20:AP22 AN28 M18:N18 Q18 Q15:Q16 Q20:Q22 O28" xr:uid="{00000000-0002-0000-1A00-000007000000}"/>
    <dataValidation type="list" allowBlank="1" showInputMessage="1" sqref="I27 AN27 O27" xr:uid="{00000000-0002-0000-1A00-000008000000}">
      <formula1>INDIRECT($AS$27)</formula1>
    </dataValidation>
    <dataValidation type="list" allowBlank="1" showInputMessage="1" showErrorMessage="1" sqref="I15 AN15 O15" xr:uid="{00000000-0002-0000-1A00-000009000000}">
      <formula1>IF(I$11="","",IF(OR(I$11="System 1 - PTAC",I$11="System 2 - PTHP"),PTRanges,IF(I$11="System 4 - PSZ-HP",PSZHPRanges,IF(OR(I$11="System 3 - PSZ-AC",I$11="System 5 - Packaged VAV with Reheat"),Sys_3_5_Ranges,""))))</formula1>
    </dataValidation>
    <dataValidation type="list" allowBlank="1" sqref="M27:N27" xr:uid="{00000000-0002-0000-1A00-00000A000000}">
      <formula1>"°F,°C"</formula1>
    </dataValidation>
    <dataValidation type="list" allowBlank="1" showInputMessage="1" showErrorMessage="1" sqref="I21 AN21 O21" xr:uid="{00000000-0002-0000-1A00-00000B000000}">
      <formula1>IF($L$11="","",IF(L11=1,Sys1H,IF(L11=3,Sys3H,IF(L11=5,Sys5H,IF(L11=7,Sys7H,IF(L11=9,Sys9H,IF(L11=12,Sys12H,"N/A")))))))</formula1>
    </dataValidation>
    <dataValidation operator="greaterThanOrEqual" allowBlank="1" error="Please enter the value only (without any labels)" prompt="_x000a__x000a__x000a_" sqref="AP14:AQ14 K14 M14:N14 Q19 Q14:R14" xr:uid="{00000000-0002-0000-1A00-00000C000000}"/>
    <dataValidation type="list" allowBlank="1" showInputMessage="1" showErrorMessage="1" sqref="I11:K11 AN11:AP11 O11:Q11" xr:uid="{00000000-0002-0000-1A00-00000D000000}">
      <formula1>BaselineHVACModeled</formula1>
    </dataValidation>
  </dataValidations>
  <pageMargins left="0.25" right="0.25" top="0.75" bottom="0.75" header="0.3" footer="0.3"/>
  <pageSetup scale="75" orientation="portrait" verticalDpi="1200" r:id="rId2"/>
  <headerFooter>
    <oddFooter>&amp;LTable 1.4 - Air-Side HVAC System Schedule</oddFooter>
  </headerFooter>
  <ignoredErrors>
    <ignoredError sqref="Q19"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10270" r:id="rId5" name="Button 30">
              <controlPr defaultSize="0" print="0" autoFill="0" autoPict="0" macro="[0]!AddSpaceBaseline">
                <anchor moveWithCells="1" sizeWithCells="1">
                  <from>
                    <xdr:col>6</xdr:col>
                    <xdr:colOff>137160</xdr:colOff>
                    <xdr:row>6</xdr:row>
                    <xdr:rowOff>60960</xdr:rowOff>
                  </from>
                  <to>
                    <xdr:col>6</xdr:col>
                    <xdr:colOff>1013460</xdr:colOff>
                    <xdr:row>6</xdr:row>
                    <xdr:rowOff>670560</xdr:rowOff>
                  </to>
                </anchor>
              </controlPr>
            </control>
          </mc:Choice>
        </mc:AlternateContent>
        <mc:AlternateContent xmlns:mc="http://schemas.openxmlformats.org/markup-compatibility/2006">
          <mc:Choice Requires="x14">
            <control shapeId="15704" r:id="rId6" name="Button 1368">
              <controlPr defaultSize="0" print="0" autoFill="0" autoPict="0" macro="[0]!DeleteAirColumn">
                <anchor moveWithCells="1" sizeWithCells="1">
                  <from>
                    <xdr:col>39</xdr:col>
                    <xdr:colOff>0</xdr:colOff>
                    <xdr:row>6</xdr:row>
                    <xdr:rowOff>396240</xdr:rowOff>
                  </from>
                  <to>
                    <xdr:col>42</xdr:col>
                    <xdr:colOff>60960</xdr:colOff>
                    <xdr:row>6</xdr:row>
                    <xdr:rowOff>708660</xdr:rowOff>
                  </to>
                </anchor>
              </controlPr>
            </control>
          </mc:Choice>
        </mc:AlternateContent>
        <mc:AlternateContent xmlns:mc="http://schemas.openxmlformats.org/markup-compatibility/2006">
          <mc:Choice Requires="x14">
            <control shapeId="15721" r:id="rId7" name="Button 1385">
              <controlPr defaultSize="0" print="0" autoFill="0" autoPict="0" macro="[0]!DeleteAirColumn">
                <anchor moveWithCells="1" sizeWithCells="1">
                  <from>
                    <xdr:col>14</xdr:col>
                    <xdr:colOff>0</xdr:colOff>
                    <xdr:row>6</xdr:row>
                    <xdr:rowOff>396240</xdr:rowOff>
                  </from>
                  <to>
                    <xdr:col>17</xdr:col>
                    <xdr:colOff>60960</xdr:colOff>
                    <xdr:row>6</xdr:row>
                    <xdr:rowOff>708660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2">
    <tabColor theme="0" tint="-0.249977111117893"/>
  </sheetPr>
  <dimension ref="A1:AZ67"/>
  <sheetViews>
    <sheetView showGridLines="0" zoomScaleNormal="100" workbookViewId="0">
      <selection activeCell="I10" sqref="I10:L10"/>
    </sheetView>
  </sheetViews>
  <sheetFormatPr defaultColWidth="12.69921875" defaultRowHeight="13.8" outlineLevelCol="1" x14ac:dyDescent="0.25"/>
  <cols>
    <col min="1" max="1" width="2.296875" style="339" customWidth="1"/>
    <col min="2" max="2" width="34.5" style="339" customWidth="1"/>
    <col min="3" max="3" width="30.796875" style="339" customWidth="1"/>
    <col min="4" max="4" width="0.69921875" style="2237" customWidth="1"/>
    <col min="5" max="5" width="4.69921875" style="952" hidden="1" customWidth="1"/>
    <col min="6" max="6" width="10.19921875" style="952" customWidth="1"/>
    <col min="7" max="7" width="1" style="1653" customWidth="1"/>
    <col min="8" max="8" width="1" style="2235" customWidth="1"/>
    <col min="9" max="9" width="20.796875" style="387" customWidth="1"/>
    <col min="10" max="10" width="11.69921875" style="387" customWidth="1"/>
    <col min="11" max="11" width="8.69921875" style="387" customWidth="1"/>
    <col min="12" max="12" width="9" style="387" customWidth="1"/>
    <col min="13" max="13" width="1" style="1654" customWidth="1"/>
    <col min="14" max="14" width="2.69921875" style="1" hidden="1" customWidth="1"/>
    <col min="15" max="15" width="4.19921875" style="1" hidden="1" customWidth="1" outlineLevel="1"/>
    <col min="16" max="16" width="2.69921875" style="1" customWidth="1" collapsed="1"/>
    <col min="17" max="17" width="2.69921875" style="1" customWidth="1"/>
    <col min="18" max="18" width="71.5" style="33" customWidth="1"/>
    <col min="19" max="19" width="8.69921875" style="1" customWidth="1"/>
    <col min="20" max="25" width="12.69921875" customWidth="1"/>
    <col min="26" max="33" width="12.69921875" style="1725" customWidth="1"/>
    <col min="34" max="40" width="12.69921875" style="1" customWidth="1"/>
    <col min="41" max="41" width="20.796875" style="387" hidden="1" customWidth="1"/>
    <col min="42" max="42" width="11.69921875" style="387" hidden="1" customWidth="1"/>
    <col min="43" max="43" width="8.69921875" style="387" hidden="1" customWidth="1"/>
    <col min="44" max="44" width="9" style="387" hidden="1" customWidth="1"/>
    <col min="45" max="45" width="0.69921875" style="1728" hidden="1" customWidth="1"/>
    <col min="46" max="46" width="12.69921875" style="1725" customWidth="1"/>
    <col min="47" max="48" width="12.69921875" style="1" customWidth="1"/>
    <col min="49" max="52" width="12.69921875" style="1"/>
    <col min="53" max="16384" width="12.69921875" style="339"/>
  </cols>
  <sheetData>
    <row r="1" spans="1:52" s="347" customFormat="1" ht="13.2" x14ac:dyDescent="0.25">
      <c r="A1" s="360"/>
      <c r="B1" s="360"/>
      <c r="C1" s="359"/>
      <c r="D1" s="1409"/>
      <c r="E1" s="359"/>
      <c r="F1" s="359"/>
      <c r="G1" s="1409"/>
      <c r="H1" s="1409"/>
      <c r="I1" s="359"/>
      <c r="J1" s="359"/>
      <c r="K1" s="359"/>
      <c r="L1" s="359"/>
      <c r="M1" s="1409"/>
      <c r="N1" s="42"/>
      <c r="O1" s="42"/>
      <c r="P1" s="42"/>
      <c r="Q1" s="42"/>
      <c r="R1" s="33"/>
      <c r="S1" s="42"/>
      <c r="Z1" s="1698"/>
      <c r="AA1" s="1698"/>
      <c r="AB1" s="1698"/>
      <c r="AC1" s="1698"/>
      <c r="AD1" s="1698"/>
      <c r="AE1" s="1698"/>
      <c r="AF1" s="1698"/>
      <c r="AG1" s="1698"/>
      <c r="AH1" s="42"/>
      <c r="AI1" s="42"/>
      <c r="AJ1" s="42"/>
      <c r="AK1" s="42"/>
      <c r="AL1" s="42"/>
      <c r="AM1" s="42"/>
      <c r="AN1" s="42"/>
      <c r="AO1" s="359"/>
      <c r="AP1" s="359"/>
      <c r="AQ1" s="359"/>
      <c r="AR1" s="359"/>
      <c r="AS1" s="1700"/>
      <c r="AT1" s="1698"/>
      <c r="AU1" s="42"/>
      <c r="AV1" s="42"/>
      <c r="AW1" s="42"/>
      <c r="AX1" s="42"/>
      <c r="AY1" s="42"/>
      <c r="AZ1" s="42"/>
    </row>
    <row r="2" spans="1:52" s="347" customFormat="1" ht="24.75" customHeight="1" x14ac:dyDescent="0.25">
      <c r="A2" s="360"/>
      <c r="B2" s="30" t="s">
        <v>2893</v>
      </c>
      <c r="C2" s="359"/>
      <c r="D2" s="2236"/>
      <c r="E2" s="948"/>
      <c r="F2" s="948"/>
      <c r="G2" s="1409"/>
      <c r="H2" s="1409"/>
      <c r="I2" s="359"/>
      <c r="J2" s="948"/>
      <c r="K2" s="359"/>
      <c r="L2" s="359"/>
      <c r="M2" s="1409"/>
      <c r="N2" s="42"/>
      <c r="O2" s="42"/>
      <c r="P2" s="42"/>
      <c r="Q2" s="42"/>
      <c r="R2" s="33"/>
      <c r="S2" s="42"/>
      <c r="Z2" s="1698"/>
      <c r="AA2" s="1698"/>
      <c r="AB2" s="1698"/>
      <c r="AC2" s="1698"/>
      <c r="AD2" s="1698"/>
      <c r="AE2" s="1698"/>
      <c r="AF2" s="1698"/>
      <c r="AG2" s="1698"/>
      <c r="AH2" s="42"/>
      <c r="AI2" s="42"/>
      <c r="AJ2" s="42"/>
      <c r="AK2" s="42"/>
      <c r="AL2" s="42"/>
      <c r="AM2" s="42"/>
      <c r="AN2" s="42"/>
      <c r="AO2" s="359"/>
      <c r="AP2" s="948"/>
      <c r="AQ2" s="359"/>
      <c r="AR2" s="359"/>
      <c r="AS2" s="1700"/>
      <c r="AT2" s="1698"/>
      <c r="AU2" s="42"/>
      <c r="AV2" s="42"/>
      <c r="AW2" s="42"/>
      <c r="AX2" s="42"/>
      <c r="AY2" s="42"/>
      <c r="AZ2" s="42"/>
    </row>
    <row r="3" spans="1:52" s="347" customFormat="1" ht="15" customHeight="1" x14ac:dyDescent="0.25">
      <c r="A3" s="360"/>
      <c r="B3" s="360"/>
      <c r="C3" s="359"/>
      <c r="D3" s="1409"/>
      <c r="E3" s="359"/>
      <c r="F3" s="359"/>
      <c r="G3" s="1409"/>
      <c r="H3" s="1409"/>
      <c r="I3" s="359"/>
      <c r="J3" s="359"/>
      <c r="K3" s="359"/>
      <c r="L3" s="359"/>
      <c r="M3" s="1409"/>
      <c r="N3" s="42"/>
      <c r="O3" s="42"/>
      <c r="P3" s="42"/>
      <c r="Q3" s="42"/>
      <c r="R3" s="33"/>
      <c r="S3" s="42"/>
      <c r="Z3" s="1698"/>
      <c r="AA3" s="1698"/>
      <c r="AB3" s="1698"/>
      <c r="AC3" s="1698"/>
      <c r="AD3" s="1698"/>
      <c r="AE3" s="1698"/>
      <c r="AF3" s="1698"/>
      <c r="AG3" s="1698"/>
      <c r="AH3" s="42"/>
      <c r="AI3" s="42"/>
      <c r="AJ3" s="42"/>
      <c r="AK3" s="42"/>
      <c r="AL3" s="42"/>
      <c r="AM3" s="42"/>
      <c r="AN3" s="42"/>
      <c r="AO3" s="359"/>
      <c r="AP3" s="359"/>
      <c r="AQ3" s="359"/>
      <c r="AR3" s="359"/>
      <c r="AS3" s="1700"/>
      <c r="AT3" s="1698"/>
      <c r="AU3" s="42"/>
      <c r="AV3" s="42"/>
      <c r="AW3" s="42"/>
      <c r="AX3" s="42"/>
      <c r="AY3" s="42"/>
      <c r="AZ3" s="42"/>
    </row>
    <row r="4" spans="1:52" ht="12" customHeight="1" x14ac:dyDescent="0.25">
      <c r="E4" s="1587"/>
      <c r="T4" s="339"/>
      <c r="U4" s="339"/>
      <c r="V4" s="339"/>
      <c r="W4" s="339"/>
      <c r="X4" s="339"/>
      <c r="Y4" s="339"/>
      <c r="Z4" s="1701"/>
      <c r="AA4" s="1701"/>
      <c r="AB4" s="1701"/>
      <c r="AC4" s="1701"/>
      <c r="AD4" s="1701"/>
      <c r="AE4" s="1701"/>
      <c r="AF4" s="1701"/>
      <c r="AG4" s="1701"/>
      <c r="AS4" s="1703"/>
      <c r="AT4" s="1701"/>
    </row>
    <row r="5" spans="1:52" s="387" customFormat="1" ht="77.25" customHeight="1" x14ac:dyDescent="0.25">
      <c r="B5" s="3509" t="s">
        <v>3443</v>
      </c>
      <c r="C5" s="3509"/>
      <c r="D5" s="3509"/>
      <c r="E5" s="3509"/>
      <c r="F5" s="3509"/>
      <c r="G5" s="3509"/>
      <c r="H5" s="3509"/>
      <c r="I5" s="3509"/>
      <c r="J5" s="3509"/>
      <c r="K5" s="3509"/>
      <c r="L5" s="3509"/>
      <c r="M5" s="2196"/>
      <c r="N5" s="35"/>
      <c r="O5" s="35"/>
      <c r="P5" s="35"/>
      <c r="Q5" s="35"/>
      <c r="R5" s="1521"/>
      <c r="S5" s="35"/>
      <c r="Z5" s="1705"/>
      <c r="AA5" s="1705"/>
      <c r="AB5" s="1705"/>
      <c r="AC5" s="1705"/>
      <c r="AD5" s="1705"/>
      <c r="AE5" s="1705"/>
      <c r="AF5" s="1705"/>
      <c r="AG5" s="1705"/>
      <c r="AH5" s="35"/>
      <c r="AI5" s="35"/>
      <c r="AJ5" s="35"/>
      <c r="AK5" s="35"/>
      <c r="AL5" s="35"/>
      <c r="AM5" s="35"/>
      <c r="AN5" s="35"/>
      <c r="AO5" s="2195"/>
      <c r="AP5" s="1511"/>
      <c r="AQ5" s="2195"/>
      <c r="AR5" s="2195"/>
      <c r="AS5" s="1707"/>
      <c r="AT5" s="1705"/>
      <c r="AU5" s="35"/>
      <c r="AV5" s="35"/>
      <c r="AW5" s="35"/>
      <c r="AX5" s="35"/>
      <c r="AY5" s="35"/>
      <c r="AZ5" s="35"/>
    </row>
    <row r="6" spans="1:52" s="347" customFormat="1" ht="7.5" customHeight="1" x14ac:dyDescent="0.25">
      <c r="C6" s="1492"/>
      <c r="D6" s="2211"/>
      <c r="E6" s="1511"/>
      <c r="F6" s="953"/>
      <c r="G6" s="1654"/>
      <c r="H6" s="1654"/>
      <c r="I6" s="1511"/>
      <c r="J6" s="1511"/>
      <c r="K6" s="1511"/>
      <c r="L6" s="1511"/>
      <c r="M6" s="1654"/>
      <c r="N6" s="42"/>
      <c r="O6" s="42"/>
      <c r="P6" s="42"/>
      <c r="Q6" s="42"/>
      <c r="R6" s="33"/>
      <c r="S6" s="42"/>
      <c r="Z6" s="1698"/>
      <c r="AA6" s="1698"/>
      <c r="AB6" s="1698"/>
      <c r="AC6" s="1698"/>
      <c r="AD6" s="1698"/>
      <c r="AE6" s="1698"/>
      <c r="AF6" s="1698"/>
      <c r="AG6" s="1698"/>
      <c r="AH6" s="42"/>
      <c r="AI6" s="42"/>
      <c r="AJ6" s="42"/>
      <c r="AK6" s="42"/>
      <c r="AL6" s="42"/>
      <c r="AM6" s="42"/>
      <c r="AN6" s="42"/>
      <c r="AO6" s="1511"/>
      <c r="AP6" s="1511"/>
      <c r="AQ6" s="1511"/>
      <c r="AR6" s="1511"/>
      <c r="AS6" s="1710"/>
      <c r="AT6" s="1698"/>
      <c r="AU6" s="42"/>
      <c r="AV6" s="42"/>
      <c r="AW6" s="42"/>
      <c r="AX6" s="42"/>
      <c r="AY6" s="42"/>
      <c r="AZ6" s="42"/>
    </row>
    <row r="7" spans="1:52" s="347" customFormat="1" ht="49.5" customHeight="1" x14ac:dyDescent="0.25">
      <c r="B7" s="196" t="s">
        <v>2402</v>
      </c>
      <c r="D7" s="2211"/>
      <c r="E7" s="1511"/>
      <c r="F7" s="1511"/>
      <c r="G7" s="1654"/>
      <c r="H7" s="1654"/>
      <c r="I7" s="2195"/>
      <c r="J7" s="1511"/>
      <c r="K7" s="1511"/>
      <c r="L7" s="1511"/>
      <c r="M7" s="1654"/>
      <c r="N7" s="42"/>
      <c r="O7" s="42"/>
      <c r="P7" s="42"/>
      <c r="Q7" s="42"/>
      <c r="R7" s="33"/>
      <c r="S7" s="42"/>
      <c r="Z7" s="1698"/>
      <c r="AA7" s="1698"/>
      <c r="AB7" s="1698"/>
      <c r="AC7" s="1698"/>
      <c r="AD7" s="1698"/>
      <c r="AE7" s="1698"/>
      <c r="AF7" s="1698"/>
      <c r="AG7" s="1698"/>
      <c r="AH7" s="42"/>
      <c r="AI7" s="42"/>
      <c r="AJ7" s="42"/>
      <c r="AK7" s="42"/>
      <c r="AL7" s="42"/>
      <c r="AM7" s="42"/>
      <c r="AN7" s="42"/>
      <c r="AO7" s="3767"/>
      <c r="AP7" s="3767"/>
      <c r="AQ7" s="3767"/>
      <c r="AR7" s="3767"/>
      <c r="AS7" s="3767"/>
      <c r="AT7" s="1698"/>
      <c r="AU7" s="42"/>
      <c r="AV7" s="42"/>
      <c r="AW7" s="42"/>
      <c r="AX7" s="42"/>
      <c r="AY7" s="42"/>
      <c r="AZ7" s="42"/>
    </row>
    <row r="8" spans="1:52" s="2271" customFormat="1" ht="25.5" hidden="1" customHeight="1" x14ac:dyDescent="0.25">
      <c r="B8" s="2272"/>
      <c r="C8" s="2273"/>
      <c r="D8" s="2273"/>
      <c r="E8" s="2274"/>
      <c r="F8" s="2274"/>
      <c r="G8" s="2275"/>
      <c r="H8" s="2276"/>
      <c r="I8" s="2277" t="s">
        <v>273</v>
      </c>
      <c r="J8" s="2274" t="s">
        <v>2311</v>
      </c>
      <c r="K8" s="2277"/>
      <c r="L8" s="2277"/>
      <c r="M8" s="2274" t="s">
        <v>2310</v>
      </c>
      <c r="R8" s="2279"/>
      <c r="Z8" s="2280"/>
      <c r="AA8" s="2280"/>
      <c r="AB8" s="2280"/>
      <c r="AC8" s="2280"/>
      <c r="AD8" s="2280"/>
      <c r="AE8" s="2280"/>
      <c r="AF8" s="2280"/>
      <c r="AG8" s="2280"/>
      <c r="AO8" s="2277" t="s">
        <v>273</v>
      </c>
      <c r="AP8" s="2274" t="s">
        <v>2311</v>
      </c>
      <c r="AQ8" s="2277"/>
      <c r="AR8" s="2277"/>
      <c r="AS8" s="2278" t="s">
        <v>2310</v>
      </c>
      <c r="AT8" s="2280"/>
    </row>
    <row r="9" spans="1:52" s="387" customFormat="1" ht="43.5" customHeight="1" x14ac:dyDescent="0.25">
      <c r="A9" s="1511"/>
      <c r="B9" s="1526" t="s">
        <v>0</v>
      </c>
      <c r="C9" s="1500" t="str">
        <f>'General Information'!H49&amp;" - Proposed System Helpful Notes"</f>
        <v xml:space="preserve"> - Proposed System Helpful Notes</v>
      </c>
      <c r="D9" s="2234"/>
      <c r="E9" s="2185" t="s">
        <v>143</v>
      </c>
      <c r="F9" s="1826" t="s">
        <v>2956</v>
      </c>
      <c r="G9" s="1410"/>
      <c r="H9" s="2234"/>
      <c r="I9" s="3788" t="s">
        <v>2951</v>
      </c>
      <c r="J9" s="3788"/>
      <c r="K9" s="2199" t="s">
        <v>2610</v>
      </c>
      <c r="L9" s="2190" t="s">
        <v>2544</v>
      </c>
      <c r="M9" s="2234"/>
      <c r="N9" s="35"/>
      <c r="O9" s="35"/>
      <c r="P9" s="35"/>
      <c r="Q9" s="1326"/>
      <c r="R9" s="1497" t="s">
        <v>1635</v>
      </c>
      <c r="S9" s="35"/>
      <c r="Z9" s="1714"/>
      <c r="AA9" s="1714"/>
      <c r="AB9" s="1714"/>
      <c r="AC9" s="1714"/>
      <c r="AD9" s="1714"/>
      <c r="AE9" s="1714"/>
      <c r="AF9" s="1714"/>
      <c r="AG9" s="1714"/>
      <c r="AH9" s="35"/>
      <c r="AI9" s="35"/>
      <c r="AJ9" s="35"/>
      <c r="AK9" s="35"/>
      <c r="AL9" s="35"/>
      <c r="AM9" s="35"/>
      <c r="AN9" s="35"/>
      <c r="AO9" s="3788" t="s">
        <v>2951</v>
      </c>
      <c r="AP9" s="3788"/>
      <c r="AQ9" s="2199" t="s">
        <v>2610</v>
      </c>
      <c r="AR9" s="2190" t="s">
        <v>2544</v>
      </c>
      <c r="AS9" s="1717"/>
      <c r="AT9" s="1714"/>
      <c r="AU9" s="35"/>
      <c r="AV9" s="35"/>
      <c r="AW9" s="35"/>
      <c r="AX9" s="35"/>
      <c r="AY9" s="35"/>
      <c r="AZ9" s="35"/>
    </row>
    <row r="10" spans="1:52" s="387" customFormat="1" ht="46.5" customHeight="1" x14ac:dyDescent="0.25">
      <c r="A10" s="1511"/>
      <c r="B10" s="1694" t="s">
        <v>1087</v>
      </c>
      <c r="C10" s="2186" t="s">
        <v>2955</v>
      </c>
      <c r="D10" s="2233"/>
      <c r="E10" s="2184"/>
      <c r="F10" s="2039" t="s">
        <v>2214</v>
      </c>
      <c r="G10" s="1786"/>
      <c r="H10" s="2233"/>
      <c r="I10" s="3771"/>
      <c r="J10" s="3772"/>
      <c r="K10" s="3772"/>
      <c r="L10" s="3773"/>
      <c r="M10" s="2244"/>
      <c r="N10" s="2246"/>
      <c r="O10" s="2246"/>
      <c r="P10" s="2246"/>
      <c r="Q10" s="2246"/>
      <c r="R10" s="2151"/>
      <c r="S10" s="2246"/>
      <c r="T10" s="2247"/>
      <c r="U10" s="2247"/>
      <c r="V10" s="2247"/>
      <c r="W10" s="2247"/>
      <c r="X10" s="2247"/>
      <c r="Y10" s="2247"/>
      <c r="Z10" s="2248"/>
      <c r="AA10" s="2248"/>
      <c r="AB10" s="2248"/>
      <c r="AC10" s="2248"/>
      <c r="AD10" s="2248"/>
      <c r="AE10" s="2248"/>
      <c r="AF10" s="2248"/>
      <c r="AG10" s="2248"/>
      <c r="AH10" s="2246"/>
      <c r="AI10" s="2246"/>
      <c r="AJ10" s="2246"/>
      <c r="AK10" s="2246"/>
      <c r="AL10" s="2246"/>
      <c r="AM10" s="2246"/>
      <c r="AN10" s="2246"/>
      <c r="AO10" s="3771"/>
      <c r="AP10" s="3772" t="s">
        <v>266</v>
      </c>
      <c r="AQ10" s="3772"/>
      <c r="AR10" s="3773"/>
      <c r="AS10" s="2245"/>
      <c r="AT10" s="2248"/>
      <c r="AU10" s="2246"/>
      <c r="AV10" s="1233"/>
      <c r="AW10" s="35"/>
      <c r="AX10" s="35"/>
      <c r="AY10" s="35"/>
      <c r="AZ10" s="35"/>
    </row>
    <row r="11" spans="1:52" s="387" customFormat="1" ht="35.25" customHeight="1" x14ac:dyDescent="0.25">
      <c r="B11" s="1695" t="s">
        <v>345</v>
      </c>
      <c r="C11" s="2186" t="s">
        <v>2952</v>
      </c>
      <c r="D11" s="2214"/>
      <c r="E11" s="2184"/>
      <c r="F11" s="2039" t="s">
        <v>2214</v>
      </c>
      <c r="G11" s="1786"/>
      <c r="H11" s="2233"/>
      <c r="I11" s="3771"/>
      <c r="J11" s="3772"/>
      <c r="K11" s="3772"/>
      <c r="L11" s="3773"/>
      <c r="M11" s="2270"/>
      <c r="N11" s="2249"/>
      <c r="O11" s="2250"/>
      <c r="P11" s="2250"/>
      <c r="Q11" s="2251"/>
      <c r="R11" s="2151"/>
      <c r="S11" s="2252"/>
      <c r="T11" s="2247"/>
      <c r="U11" s="2247"/>
      <c r="V11" s="2247"/>
      <c r="W11" s="2247"/>
      <c r="X11" s="2247"/>
      <c r="Y11" s="2247"/>
      <c r="Z11" s="2248"/>
      <c r="AA11" s="2248"/>
      <c r="AB11" s="2248"/>
      <c r="AC11" s="2248"/>
      <c r="AD11" s="2248"/>
      <c r="AE11" s="2248"/>
      <c r="AF11" s="2248"/>
      <c r="AG11" s="2248"/>
      <c r="AH11" s="2246"/>
      <c r="AI11" s="2246"/>
      <c r="AJ11" s="2246"/>
      <c r="AK11" s="2246"/>
      <c r="AL11" s="2246"/>
      <c r="AM11" s="2246"/>
      <c r="AN11" s="2246"/>
      <c r="AO11" s="3771"/>
      <c r="AP11" s="3772" t="s">
        <v>266</v>
      </c>
      <c r="AQ11" s="3772"/>
      <c r="AR11" s="3773"/>
      <c r="AS11" s="2245"/>
      <c r="AT11" s="2253"/>
      <c r="AU11" s="2246"/>
      <c r="AV11" s="1233"/>
      <c r="AW11" s="35"/>
      <c r="AX11" s="35"/>
      <c r="AY11" s="35"/>
      <c r="AZ11" s="35"/>
    </row>
    <row r="12" spans="1:52" s="387" customFormat="1" ht="33.75" customHeight="1" x14ac:dyDescent="0.25">
      <c r="B12" s="1695" t="s">
        <v>344</v>
      </c>
      <c r="C12" s="2186" t="s">
        <v>2953</v>
      </c>
      <c r="D12" s="2214"/>
      <c r="E12" s="2184"/>
      <c r="F12" s="2039" t="s">
        <v>2214</v>
      </c>
      <c r="G12" s="1786"/>
      <c r="H12" s="2233"/>
      <c r="I12" s="3771"/>
      <c r="J12" s="3772"/>
      <c r="K12" s="3772"/>
      <c r="L12" s="3773"/>
      <c r="M12" s="2244"/>
      <c r="N12" s="2249"/>
      <c r="O12" s="2250"/>
      <c r="P12" s="2250"/>
      <c r="Q12" s="2251"/>
      <c r="R12" s="2151"/>
      <c r="S12" s="2252"/>
      <c r="T12" s="2247"/>
      <c r="U12" s="2247"/>
      <c r="V12" s="2247"/>
      <c r="W12" s="2247"/>
      <c r="X12" s="2247"/>
      <c r="Y12" s="2247"/>
      <c r="Z12" s="2248"/>
      <c r="AA12" s="2248"/>
      <c r="AB12" s="2248"/>
      <c r="AC12" s="2248"/>
      <c r="AD12" s="2248"/>
      <c r="AE12" s="2248"/>
      <c r="AF12" s="2248"/>
      <c r="AG12" s="2248"/>
      <c r="AH12" s="2246"/>
      <c r="AI12" s="2246"/>
      <c r="AJ12" s="2246"/>
      <c r="AK12" s="2246"/>
      <c r="AL12" s="2246"/>
      <c r="AM12" s="2246"/>
      <c r="AN12" s="2246"/>
      <c r="AO12" s="3771"/>
      <c r="AP12" s="3772" t="s">
        <v>266</v>
      </c>
      <c r="AQ12" s="3772"/>
      <c r="AR12" s="3773"/>
      <c r="AS12" s="2245"/>
      <c r="AT12" s="2253"/>
      <c r="AU12" s="2246"/>
      <c r="AV12" s="1233"/>
      <c r="AW12" s="35"/>
      <c r="AX12" s="35"/>
      <c r="AY12" s="35"/>
      <c r="AZ12" s="35"/>
    </row>
    <row r="13" spans="1:52" s="387" customFormat="1" ht="45.75" customHeight="1" x14ac:dyDescent="0.25">
      <c r="B13" s="1695" t="s">
        <v>343</v>
      </c>
      <c r="C13" s="2186" t="s">
        <v>2954</v>
      </c>
      <c r="D13" s="2214"/>
      <c r="E13" s="2184"/>
      <c r="F13" s="2039" t="s">
        <v>2214</v>
      </c>
      <c r="G13" s="1786"/>
      <c r="H13" s="2233"/>
      <c r="I13" s="3762"/>
      <c r="J13" s="3763"/>
      <c r="K13" s="3763"/>
      <c r="L13" s="3764"/>
      <c r="M13" s="2228">
        <f>IFERROR(IF(J14="kBtu/h",I14,IF(J14="tons",I14*DropdownData!$G$8,IF(J14="kW",I14*DropdownData!$G$2,IF(J14="Btuh",I14/1000)))),"")</f>
        <v>0</v>
      </c>
      <c r="N13" s="44"/>
      <c r="O13" s="43"/>
      <c r="P13" s="43"/>
      <c r="Q13" s="803"/>
      <c r="R13" s="2151"/>
      <c r="S13" s="623"/>
      <c r="Z13" s="1714"/>
      <c r="AA13" s="1714"/>
      <c r="AB13" s="1714"/>
      <c r="AC13" s="1714"/>
      <c r="AD13" s="1714"/>
      <c r="AE13" s="1714"/>
      <c r="AF13" s="1714"/>
      <c r="AG13" s="1714"/>
      <c r="AH13" s="35"/>
      <c r="AI13" s="35"/>
      <c r="AJ13" s="35"/>
      <c r="AK13" s="35"/>
      <c r="AL13" s="35"/>
      <c r="AM13" s="35"/>
      <c r="AN13" s="35"/>
      <c r="AO13" s="3762"/>
      <c r="AP13" s="3763" t="s">
        <v>266</v>
      </c>
      <c r="AQ13" s="3763"/>
      <c r="AR13" s="3764"/>
      <c r="AS13" s="2228">
        <f>IFERROR(IF(AP14="kBtu/h",AO14,IF(AP14="tons",AO14*DropdownData!$G$8,IF(AP14="kW",AO14*DropdownData!$G$2,IF(AP14="Btuh",AO14/1000)))),"")</f>
        <v>0</v>
      </c>
      <c r="AT13" s="1719"/>
      <c r="AU13" s="35"/>
      <c r="AV13" s="35"/>
      <c r="AW13" s="35"/>
      <c r="AX13" s="35"/>
      <c r="AY13" s="35"/>
      <c r="AZ13" s="35"/>
    </row>
    <row r="14" spans="1:52" s="387" customFormat="1" ht="63" customHeight="1" x14ac:dyDescent="0.25">
      <c r="B14" s="1245" t="s">
        <v>322</v>
      </c>
      <c r="C14" s="2178" t="s">
        <v>2933</v>
      </c>
      <c r="D14" s="2230">
        <f>(IFERROR((SUMIF($F$8:$JS$8,"Prop_Units",$F13:$JS13)),"-"))</f>
        <v>0</v>
      </c>
      <c r="E14" s="2039" t="s">
        <v>1948</v>
      </c>
      <c r="F14" s="1334" t="str">
        <f>CONCATENATE(TEXT(ROUND(IFERROR((SUMIF($F$8:$JN$8,"Proposed", $F14:$JN14)),"-"),0),"#")," ",J14)</f>
        <v xml:space="preserve"> kBtu/h</v>
      </c>
      <c r="G14" s="1411">
        <f>D14</f>
        <v>0</v>
      </c>
      <c r="H14" s="2233"/>
      <c r="I14" s="1944"/>
      <c r="J14" s="1349" t="str">
        <f>IF(SI_IP_Units="IP","kBtu/h","kW")</f>
        <v>kBtu/h</v>
      </c>
      <c r="K14" s="1837"/>
      <c r="L14" s="1837"/>
      <c r="M14" s="2228">
        <f>IFERROR(IF(J14="kBtu/h",I14*1000,IF(J14="tons",I14*DropdownData!$G$8*1000,IF(J14="kW",I14*DropdownData!$G$2*1000,IF(J14="Btuh",I14)))),"")</f>
        <v>0</v>
      </c>
      <c r="N14" s="44"/>
      <c r="O14" s="43"/>
      <c r="P14" s="43"/>
      <c r="Q14" s="803"/>
      <c r="R14" s="2151"/>
      <c r="S14" s="623"/>
      <c r="Z14" s="1714"/>
      <c r="AA14" s="1714"/>
      <c r="AB14" s="1714"/>
      <c r="AC14" s="1714"/>
      <c r="AD14" s="1714"/>
      <c r="AE14" s="1714"/>
      <c r="AF14" s="1714"/>
      <c r="AG14" s="1714"/>
      <c r="AH14" s="35"/>
      <c r="AI14" s="35"/>
      <c r="AJ14" s="35"/>
      <c r="AK14" s="35"/>
      <c r="AL14" s="35"/>
      <c r="AM14" s="35"/>
      <c r="AN14" s="35"/>
      <c r="AO14" s="1944"/>
      <c r="AP14" s="1515" t="str">
        <f>IF(SI_IP_Units="IP","kBtu/h","kW")</f>
        <v>kBtu/h</v>
      </c>
      <c r="AQ14" s="1837"/>
      <c r="AR14" s="1837"/>
      <c r="AS14" s="1411">
        <f>IFERROR(IF(AP14="kBtu/h",AO14*1000,IF(AP14="tons",AO14*DropdownData!$G$8*1000,IF(AP14="kW",AO14*DropdownData!$G$2*1000,IF(AP14="Btuh",AO14)))),"")</f>
        <v>0</v>
      </c>
      <c r="AT14" s="1719"/>
      <c r="AU14" s="35"/>
      <c r="AV14" s="35"/>
      <c r="AW14" s="35"/>
      <c r="AX14" s="35"/>
      <c r="AY14" s="35"/>
      <c r="AZ14" s="35"/>
    </row>
    <row r="15" spans="1:52" s="387" customFormat="1" ht="38.700000000000003" customHeight="1" x14ac:dyDescent="0.25">
      <c r="B15" s="1245" t="s">
        <v>323</v>
      </c>
      <c r="C15" s="2178" t="s">
        <v>2932</v>
      </c>
      <c r="D15" s="2214"/>
      <c r="E15" s="1331"/>
      <c r="F15" s="2192" t="str">
        <f>IFERROR(CONCATENATE(ROUND((SUMPRODUCT(--($G$8:N$8="Proposed"),$G14:N14,$G15:N15))/(SUMIF($G$8:N$8, "Proposed", $G14:N14)),2)," ",J15),"N/A")</f>
        <v>N/A</v>
      </c>
      <c r="G15" s="1786"/>
      <c r="H15" s="2233"/>
      <c r="I15" s="1696"/>
      <c r="J15" s="2187" t="str">
        <f>IF(SI_IP_Units="IP","EER","COP")</f>
        <v>EER</v>
      </c>
      <c r="K15" s="1837"/>
      <c r="L15" s="1837"/>
      <c r="M15" s="2233">
        <f>IFERROR(I15*M14,"")</f>
        <v>0</v>
      </c>
      <c r="N15" s="44"/>
      <c r="O15" s="43"/>
      <c r="P15" s="43"/>
      <c r="Q15" s="803"/>
      <c r="R15" s="2151"/>
      <c r="S15" s="623"/>
      <c r="Z15" s="1714"/>
      <c r="AA15" s="1714"/>
      <c r="AB15" s="1714"/>
      <c r="AC15" s="1714"/>
      <c r="AD15" s="1714"/>
      <c r="AE15" s="1714"/>
      <c r="AF15" s="1714"/>
      <c r="AG15" s="1714"/>
      <c r="AH15" s="35"/>
      <c r="AI15" s="35"/>
      <c r="AJ15" s="35"/>
      <c r="AK15" s="35"/>
      <c r="AL15" s="35"/>
      <c r="AM15" s="35"/>
      <c r="AN15" s="35"/>
      <c r="AO15" s="1696"/>
      <c r="AP15" s="2187" t="str">
        <f>IF(SI_IP_Units="IP","EER","COP")</f>
        <v>EER</v>
      </c>
      <c r="AQ15" s="1837"/>
      <c r="AR15" s="1837"/>
      <c r="AS15" s="1786">
        <f>IFERROR(AO15*AS14,"")</f>
        <v>0</v>
      </c>
      <c r="AT15" s="1719"/>
      <c r="AU15" s="35"/>
      <c r="AV15" s="35"/>
      <c r="AW15" s="35"/>
      <c r="AX15" s="35"/>
      <c r="AY15" s="35"/>
      <c r="AZ15" s="35"/>
    </row>
    <row r="16" spans="1:52" s="387" customFormat="1" ht="121.5" customHeight="1" x14ac:dyDescent="0.25">
      <c r="B16" s="1245" t="s">
        <v>2280</v>
      </c>
      <c r="C16" s="2178" t="s">
        <v>2950</v>
      </c>
      <c r="D16" s="2214"/>
      <c r="E16" s="2039"/>
      <c r="F16" s="2192" t="str">
        <f>IFERROR(ROUND((SUMPRODUCT(--($G$8:N$8="Proposed"),$G14:N14,$G16:N16))/(SUMIFS($G14:SP14,$G$8:N$8, "Proposed",$G16:N16,"&gt;0")),2)&amp;" COP","N/A")</f>
        <v>N/A</v>
      </c>
      <c r="G16" s="1656"/>
      <c r="H16" s="2233"/>
      <c r="I16" s="1696"/>
      <c r="J16" s="2187" t="s">
        <v>645</v>
      </c>
      <c r="K16" s="1837"/>
      <c r="L16" s="1837"/>
      <c r="M16" s="2233"/>
      <c r="N16" s="44"/>
      <c r="O16" s="43"/>
      <c r="P16" s="43"/>
      <c r="Q16" s="803"/>
      <c r="R16" s="2151"/>
      <c r="S16" s="623"/>
      <c r="Z16" s="1714"/>
      <c r="AA16" s="1714"/>
      <c r="AB16" s="1714"/>
      <c r="AC16" s="1714"/>
      <c r="AD16" s="1714"/>
      <c r="AE16" s="1714"/>
      <c r="AF16" s="1714"/>
      <c r="AG16" s="1714"/>
      <c r="AH16" s="35"/>
      <c r="AI16" s="35"/>
      <c r="AJ16" s="35"/>
      <c r="AK16" s="35"/>
      <c r="AL16" s="35"/>
      <c r="AM16" s="35"/>
      <c r="AN16" s="35"/>
      <c r="AO16" s="1696"/>
      <c r="AP16" s="2187" t="s">
        <v>645</v>
      </c>
      <c r="AQ16" s="1837"/>
      <c r="AR16" s="1837"/>
      <c r="AS16" s="1786"/>
      <c r="AT16" s="1719"/>
      <c r="AU16" s="35"/>
      <c r="AV16" s="35"/>
      <c r="AW16" s="35"/>
      <c r="AX16" s="35"/>
      <c r="AY16" s="35"/>
      <c r="AZ16" s="35"/>
    </row>
    <row r="17" spans="1:52" s="387" customFormat="1" ht="84" customHeight="1" x14ac:dyDescent="0.25">
      <c r="B17" s="1245" t="s">
        <v>324</v>
      </c>
      <c r="C17" s="2178" t="s">
        <v>3409</v>
      </c>
      <c r="D17" s="2214"/>
      <c r="E17" s="1331"/>
      <c r="F17" s="2039" t="s">
        <v>2214</v>
      </c>
      <c r="G17" s="1786"/>
      <c r="H17" s="2233"/>
      <c r="I17" s="1696"/>
      <c r="J17" s="1721" t="str">
        <f>IF(SI_IP_Units="IP","IEER","ICOP")</f>
        <v>IEER</v>
      </c>
      <c r="K17" s="1837"/>
      <c r="L17" s="1837"/>
      <c r="M17" s="2233">
        <f>I17</f>
        <v>0</v>
      </c>
      <c r="N17" s="44"/>
      <c r="O17" s="43"/>
      <c r="P17" s="43"/>
      <c r="Q17" s="803"/>
      <c r="R17" s="2151"/>
      <c r="S17" s="623"/>
      <c r="Z17" s="1714"/>
      <c r="AA17" s="1714"/>
      <c r="AB17" s="1714"/>
      <c r="AC17" s="1714"/>
      <c r="AD17" s="1714"/>
      <c r="AE17" s="1714"/>
      <c r="AF17" s="1714"/>
      <c r="AG17" s="1714"/>
      <c r="AH17" s="35"/>
      <c r="AI17" s="35"/>
      <c r="AJ17" s="35"/>
      <c r="AK17" s="35"/>
      <c r="AL17" s="35"/>
      <c r="AM17" s="35"/>
      <c r="AN17" s="35"/>
      <c r="AO17" s="1696"/>
      <c r="AP17" s="1721" t="str">
        <f>IF(SI_IP_Units="IP","IEER","ICOP")</f>
        <v>IEER</v>
      </c>
      <c r="AQ17" s="1837"/>
      <c r="AR17" s="1837"/>
      <c r="AS17" s="2200"/>
      <c r="AT17" s="1719"/>
      <c r="AU17" s="35"/>
      <c r="AV17" s="35"/>
      <c r="AW17" s="35"/>
      <c r="AX17" s="35"/>
      <c r="AY17" s="35"/>
      <c r="AZ17" s="35"/>
    </row>
    <row r="18" spans="1:52" s="387" customFormat="1" ht="44.25" customHeight="1" x14ac:dyDescent="0.25">
      <c r="B18" s="1245" t="s">
        <v>325</v>
      </c>
      <c r="C18" s="2178" t="s">
        <v>2931</v>
      </c>
      <c r="D18" s="2230" t="str">
        <f>TEXT(ROUND(IFERROR(SUMIF($F$8:$JS$8,"Prop_Units", $F18:$JS18),"-"),0),"#,##0")</f>
        <v>0</v>
      </c>
      <c r="E18" s="2039"/>
      <c r="F18" s="2194" t="str">
        <f>TEXT(ROUND(IFERROR(SUMIF($F$8:$JS$8,"Proposed", $F18:$JS18),"-"),0),"#")&amp;" "&amp;J18</f>
        <v xml:space="preserve"> kW</v>
      </c>
      <c r="G18" s="1411"/>
      <c r="H18" s="2233"/>
      <c r="I18" s="1944"/>
      <c r="J18" s="1515" t="s">
        <v>207</v>
      </c>
      <c r="K18" s="1837"/>
      <c r="L18" s="1837"/>
      <c r="M18" s="1411">
        <f>IFERROR(IF(J18="kBtu/h",I18,IF(J18="tons",I18*DropdownData!U13,IF(J18="kW",I18*DropdownData!U7,IF(J18="Btuh",I18/DropdownData!U11)))),"")</f>
        <v>0</v>
      </c>
      <c r="N18" s="44"/>
      <c r="O18" s="43"/>
      <c r="P18" s="43"/>
      <c r="Q18" s="803"/>
      <c r="R18" s="2151"/>
      <c r="S18" s="623"/>
      <c r="Z18" s="1714"/>
      <c r="AA18" s="1714"/>
      <c r="AB18" s="1714"/>
      <c r="AC18" s="1714"/>
      <c r="AD18" s="1714"/>
      <c r="AE18" s="1714"/>
      <c r="AF18" s="1714"/>
      <c r="AG18" s="1714"/>
      <c r="AH18" s="35"/>
      <c r="AI18" s="35"/>
      <c r="AJ18" s="35"/>
      <c r="AK18" s="35"/>
      <c r="AL18" s="35"/>
      <c r="AM18" s="35"/>
      <c r="AN18" s="35"/>
      <c r="AO18" s="1944"/>
      <c r="AP18" s="1349" t="str">
        <f>$J$18</f>
        <v>kW</v>
      </c>
      <c r="AQ18" s="1837"/>
      <c r="AR18" s="1837"/>
      <c r="AS18" s="1720">
        <f>IFERROR(IF(AP18="kBtu/h",AO18,IF(AP18="tons",AO18*DropdownData!AU13,IF(AP18="kW",AO18*DropdownData!AU7,IF(AP18="Btuh",AO18/DropdownData!AU11)))),"")</f>
        <v>0</v>
      </c>
      <c r="AT18" s="1719"/>
      <c r="AU18" s="35"/>
      <c r="AV18" s="35"/>
      <c r="AW18" s="35"/>
      <c r="AX18" s="35"/>
      <c r="AY18" s="35"/>
      <c r="AZ18" s="35"/>
    </row>
    <row r="19" spans="1:52" s="387" customFormat="1" ht="49.5" customHeight="1" x14ac:dyDescent="0.25">
      <c r="B19" s="1245" t="s">
        <v>326</v>
      </c>
      <c r="C19" s="2083" t="s">
        <v>2934</v>
      </c>
      <c r="D19" s="2214"/>
      <c r="E19" s="1331"/>
      <c r="F19" s="2039" t="s">
        <v>2214</v>
      </c>
      <c r="G19" s="1786"/>
      <c r="H19" s="2233"/>
      <c r="I19" s="1696"/>
      <c r="J19" s="1498" t="s">
        <v>645</v>
      </c>
      <c r="K19" s="1837"/>
      <c r="L19" s="1837"/>
      <c r="M19" s="2233"/>
      <c r="N19" s="44"/>
      <c r="O19" s="43"/>
      <c r="P19" s="43"/>
      <c r="Q19" s="803"/>
      <c r="R19" s="2151"/>
      <c r="S19" s="623"/>
      <c r="Z19" s="1714"/>
      <c r="AA19" s="1714"/>
      <c r="AB19" s="1714"/>
      <c r="AC19" s="1714"/>
      <c r="AD19" s="1714"/>
      <c r="AE19" s="1714"/>
      <c r="AF19" s="1714"/>
      <c r="AG19" s="1714"/>
      <c r="AH19" s="35"/>
      <c r="AI19" s="35"/>
      <c r="AJ19" s="35"/>
      <c r="AK19" s="35"/>
      <c r="AL19" s="35"/>
      <c r="AM19" s="35"/>
      <c r="AN19" s="35"/>
      <c r="AO19" s="1696"/>
      <c r="AP19" s="1498" t="s">
        <v>645</v>
      </c>
      <c r="AQ19" s="1837"/>
      <c r="AR19" s="1837"/>
      <c r="AS19" s="2200"/>
      <c r="AT19" s="1719"/>
      <c r="AU19" s="35"/>
      <c r="AV19" s="35"/>
      <c r="AW19" s="35"/>
      <c r="AX19" s="35"/>
      <c r="AY19" s="35"/>
      <c r="AZ19" s="35"/>
    </row>
    <row r="20" spans="1:52" s="387" customFormat="1" ht="54" customHeight="1" x14ac:dyDescent="0.25">
      <c r="B20" s="1245" t="s">
        <v>327</v>
      </c>
      <c r="C20" s="2083" t="s">
        <v>3410</v>
      </c>
      <c r="D20" s="2231"/>
      <c r="E20" s="1331"/>
      <c r="F20" s="2039" t="s">
        <v>2214</v>
      </c>
      <c r="G20" s="1786"/>
      <c r="H20" s="2233"/>
      <c r="I20" s="3789"/>
      <c r="J20" s="3789"/>
      <c r="K20" s="1837"/>
      <c r="L20" s="1837"/>
      <c r="M20" s="2233"/>
      <c r="N20" s="44"/>
      <c r="O20" s="43"/>
      <c r="P20" s="43"/>
      <c r="Q20" s="803"/>
      <c r="R20" s="2151"/>
      <c r="S20" s="623"/>
      <c r="Z20" s="1714"/>
      <c r="AA20" s="1714"/>
      <c r="AB20" s="1714"/>
      <c r="AC20" s="1714"/>
      <c r="AD20" s="1714"/>
      <c r="AE20" s="1714"/>
      <c r="AF20" s="1714"/>
      <c r="AG20" s="1714"/>
      <c r="AH20" s="35"/>
      <c r="AI20" s="35"/>
      <c r="AJ20" s="35"/>
      <c r="AK20" s="35"/>
      <c r="AL20" s="35"/>
      <c r="AM20" s="35"/>
      <c r="AN20" s="35"/>
      <c r="AO20" s="3789"/>
      <c r="AP20" s="3789"/>
      <c r="AQ20" s="1837"/>
      <c r="AR20" s="1837"/>
      <c r="AS20" s="2200"/>
      <c r="AT20" s="1719"/>
      <c r="AU20" s="35"/>
      <c r="AV20" s="35"/>
      <c r="AW20" s="35"/>
      <c r="AX20" s="35"/>
      <c r="AY20" s="35"/>
      <c r="AZ20" s="35"/>
    </row>
    <row r="21" spans="1:52" s="387" customFormat="1" ht="44.25" customHeight="1" x14ac:dyDescent="0.25">
      <c r="B21" s="1245" t="s">
        <v>2945</v>
      </c>
      <c r="C21" s="2083" t="s">
        <v>2946</v>
      </c>
      <c r="D21" s="2231"/>
      <c r="E21" s="1331"/>
      <c r="F21" s="2039" t="s">
        <v>2214</v>
      </c>
      <c r="G21" s="1786"/>
      <c r="H21" s="2233"/>
      <c r="I21" s="3789"/>
      <c r="J21" s="3789"/>
      <c r="K21" s="1837"/>
      <c r="L21" s="1837"/>
      <c r="M21" s="2233"/>
      <c r="N21" s="44"/>
      <c r="O21" s="43"/>
      <c r="P21" s="43"/>
      <c r="Q21" s="803"/>
      <c r="R21" s="2151"/>
      <c r="S21" s="623"/>
      <c r="Z21" s="1714"/>
      <c r="AA21" s="1714"/>
      <c r="AB21" s="1714"/>
      <c r="AC21" s="1714"/>
      <c r="AD21" s="1714"/>
      <c r="AE21" s="1714"/>
      <c r="AF21" s="1714"/>
      <c r="AG21" s="1714"/>
      <c r="AH21" s="35"/>
      <c r="AI21" s="35"/>
      <c r="AJ21" s="35"/>
      <c r="AK21" s="35"/>
      <c r="AL21" s="35"/>
      <c r="AM21" s="35"/>
      <c r="AN21" s="35"/>
      <c r="AO21" s="3789"/>
      <c r="AP21" s="3789"/>
      <c r="AQ21" s="1837"/>
      <c r="AR21" s="1837"/>
      <c r="AS21" s="2200"/>
      <c r="AT21" s="1719"/>
      <c r="AU21" s="35"/>
      <c r="AV21" s="35"/>
      <c r="AW21" s="35"/>
      <c r="AX21" s="35"/>
      <c r="AY21" s="35"/>
      <c r="AZ21" s="35"/>
    </row>
    <row r="22" spans="1:52" s="387" customFormat="1" ht="22.5" customHeight="1" x14ac:dyDescent="0.25">
      <c r="B22" s="1245" t="s">
        <v>328</v>
      </c>
      <c r="C22" s="2083" t="s">
        <v>2935</v>
      </c>
      <c r="D22" s="2230" t="str">
        <f>TEXT(ROUND(SUMIF($F$8:$JS$8, "Proposed", $F22:$JS22),0),"#,##0")</f>
        <v>0</v>
      </c>
      <c r="E22" s="1330"/>
      <c r="F22" s="1327" t="str">
        <f>TEXT(ROUND(SUMIF($F$8:$JS$8, "Proposed", $F22:$JS22),0),"#")&amp;" "&amp;IF('General Information'!$R$14="IP","CFM","L/s")</f>
        <v xml:space="preserve"> CFM</v>
      </c>
      <c r="G22" s="1786"/>
      <c r="H22" s="2233"/>
      <c r="I22" s="1944"/>
      <c r="J22" s="1865" t="str">
        <f>IF('General Information'!$R$14="IP","CFM","L/s")</f>
        <v>CFM</v>
      </c>
      <c r="K22" s="1837"/>
      <c r="L22" s="1837"/>
      <c r="M22" s="2233"/>
      <c r="N22" s="44"/>
      <c r="O22" s="43"/>
      <c r="P22" s="43"/>
      <c r="Q22" s="803"/>
      <c r="R22" s="2151"/>
      <c r="S22" s="623"/>
      <c r="Z22" s="1714"/>
      <c r="AA22" s="1714"/>
      <c r="AB22" s="1714"/>
      <c r="AC22" s="1714"/>
      <c r="AD22" s="1714"/>
      <c r="AE22" s="1714"/>
      <c r="AF22" s="1714"/>
      <c r="AG22" s="1714"/>
      <c r="AH22" s="35"/>
      <c r="AI22" s="35"/>
      <c r="AJ22" s="35"/>
      <c r="AK22" s="35"/>
      <c r="AL22" s="35"/>
      <c r="AM22" s="35"/>
      <c r="AN22" s="35"/>
      <c r="AO22" s="1944"/>
      <c r="AP22" s="1865" t="str">
        <f>IF('General Information'!$R$14="IP","CFM","L/s")</f>
        <v>CFM</v>
      </c>
      <c r="AQ22" s="1837"/>
      <c r="AR22" s="1837"/>
      <c r="AS22" s="2200"/>
      <c r="AT22" s="1719"/>
      <c r="AU22" s="35"/>
      <c r="AV22" s="35"/>
      <c r="AW22" s="35"/>
      <c r="AX22" s="35"/>
      <c r="AY22" s="35"/>
      <c r="AZ22" s="35"/>
    </row>
    <row r="23" spans="1:52" s="387" customFormat="1" ht="21.75" customHeight="1" x14ac:dyDescent="0.25">
      <c r="B23" s="1245" t="s">
        <v>329</v>
      </c>
      <c r="C23" s="2083" t="s">
        <v>2936</v>
      </c>
      <c r="D23" s="2230" t="str">
        <f>TEXT(ROUND(SUMIF($F$8:$JS$8, "Proposed", $F23:$JS23),0),"#,##0")</f>
        <v>0</v>
      </c>
      <c r="E23" s="1330"/>
      <c r="F23" s="1327" t="str">
        <f>TEXT(ROUND(SUMIF($F$8:$JS$8, "Proposed", $F23:$JS23),0),"#")&amp;" "&amp;IF('General Information'!$R$14="IP","CFM","L/s")</f>
        <v xml:space="preserve"> CFM</v>
      </c>
      <c r="G23" s="1786"/>
      <c r="H23" s="2233"/>
      <c r="I23" s="1944"/>
      <c r="J23" s="1865" t="str">
        <f>IF('General Information'!$R$14="IP","CFM","L/s")</f>
        <v>CFM</v>
      </c>
      <c r="K23" s="1837"/>
      <c r="L23" s="1837"/>
      <c r="M23" s="2233"/>
      <c r="N23" s="44"/>
      <c r="O23" s="43"/>
      <c r="P23" s="43"/>
      <c r="Q23" s="803"/>
      <c r="R23" s="2151"/>
      <c r="S23" s="623"/>
      <c r="Z23" s="1714"/>
      <c r="AA23" s="1714"/>
      <c r="AB23" s="1714"/>
      <c r="AC23" s="1714"/>
      <c r="AD23" s="1714"/>
      <c r="AE23" s="1714"/>
      <c r="AF23" s="1714"/>
      <c r="AG23" s="1714"/>
      <c r="AH23" s="35"/>
      <c r="AI23" s="35"/>
      <c r="AJ23" s="35"/>
      <c r="AK23" s="35"/>
      <c r="AL23" s="35"/>
      <c r="AM23" s="35"/>
      <c r="AN23" s="35"/>
      <c r="AO23" s="1944"/>
      <c r="AP23" s="1865" t="str">
        <f>IF('General Information'!$R$14="IP","CFM","L/s")</f>
        <v>CFM</v>
      </c>
      <c r="AQ23" s="1837"/>
      <c r="AR23" s="1837"/>
      <c r="AS23" s="2200"/>
      <c r="AT23" s="1719"/>
      <c r="AU23" s="35"/>
      <c r="AV23" s="35"/>
      <c r="AW23" s="35"/>
      <c r="AX23" s="35"/>
      <c r="AY23" s="35"/>
      <c r="AZ23" s="35"/>
    </row>
    <row r="24" spans="1:52" s="387" customFormat="1" ht="43.5" customHeight="1" x14ac:dyDescent="0.25">
      <c r="B24" s="1245" t="s">
        <v>2947</v>
      </c>
      <c r="C24" s="2083" t="s">
        <v>3411</v>
      </c>
      <c r="D24" s="2231"/>
      <c r="E24" s="1331"/>
      <c r="F24" s="2039" t="s">
        <v>2214</v>
      </c>
      <c r="G24" s="2038"/>
      <c r="H24" s="2233"/>
      <c r="I24" s="3789"/>
      <c r="J24" s="3789"/>
      <c r="K24" s="1837"/>
      <c r="L24" s="1837"/>
      <c r="M24" s="2038" t="str">
        <f>IF(I24="","",IF(I24="No",0,1))</f>
        <v/>
      </c>
      <c r="N24" s="44"/>
      <c r="O24" s="43"/>
      <c r="P24" s="43"/>
      <c r="Q24" s="803"/>
      <c r="R24" s="2151"/>
      <c r="S24" s="623"/>
      <c r="Z24" s="1714"/>
      <c r="AA24" s="1714"/>
      <c r="AB24" s="1714"/>
      <c r="AC24" s="1714"/>
      <c r="AD24" s="1714"/>
      <c r="AE24" s="1714"/>
      <c r="AF24" s="1714"/>
      <c r="AG24" s="1714"/>
      <c r="AH24" s="35"/>
      <c r="AI24" s="35"/>
      <c r="AJ24" s="35"/>
      <c r="AK24" s="35"/>
      <c r="AL24" s="35"/>
      <c r="AM24" s="35"/>
      <c r="AN24" s="35"/>
      <c r="AO24" s="3789"/>
      <c r="AP24" s="3789"/>
      <c r="AQ24" s="1837"/>
      <c r="AR24" s="1837"/>
      <c r="AS24" s="1720" t="str">
        <f>IF(AO24="","",IF(AO24="No",0,1))</f>
        <v/>
      </c>
      <c r="AT24" s="1719"/>
      <c r="AU24" s="35"/>
      <c r="AV24" s="35"/>
      <c r="AW24" s="35"/>
      <c r="AX24" s="35"/>
      <c r="AY24" s="35"/>
      <c r="AZ24" s="35"/>
    </row>
    <row r="25" spans="1:52" s="387" customFormat="1" ht="44.25" customHeight="1" x14ac:dyDescent="0.25">
      <c r="B25" s="1245" t="s">
        <v>2948</v>
      </c>
      <c r="C25" s="2083" t="s">
        <v>2949</v>
      </c>
      <c r="D25" s="2231"/>
      <c r="E25" s="1331"/>
      <c r="F25" s="2039" t="s">
        <v>2214</v>
      </c>
      <c r="G25" s="1786"/>
      <c r="H25" s="2233"/>
      <c r="I25" s="3789"/>
      <c r="J25" s="3789"/>
      <c r="K25" s="1837"/>
      <c r="L25" s="1837"/>
      <c r="M25" s="2233"/>
      <c r="N25" s="44"/>
      <c r="O25" s="43"/>
      <c r="P25" s="43"/>
      <c r="Q25" s="803"/>
      <c r="R25" s="2151"/>
      <c r="S25" s="623"/>
      <c r="Z25" s="1714"/>
      <c r="AA25" s="1714"/>
      <c r="AB25" s="1714"/>
      <c r="AC25" s="1714"/>
      <c r="AD25" s="1714"/>
      <c r="AE25" s="1714"/>
      <c r="AF25" s="1714"/>
      <c r="AG25" s="1714"/>
      <c r="AH25" s="35"/>
      <c r="AI25" s="35"/>
      <c r="AJ25" s="35"/>
      <c r="AK25" s="35"/>
      <c r="AL25" s="35"/>
      <c r="AM25" s="35"/>
      <c r="AN25" s="35"/>
      <c r="AO25" s="3789"/>
      <c r="AP25" s="3789"/>
      <c r="AQ25" s="1837"/>
      <c r="AR25" s="1837"/>
      <c r="AS25" s="2200"/>
      <c r="AT25" s="1719"/>
      <c r="AU25" s="35"/>
      <c r="AV25" s="35"/>
      <c r="AW25" s="35"/>
      <c r="AX25" s="35"/>
      <c r="AY25" s="35"/>
      <c r="AZ25" s="35"/>
    </row>
    <row r="26" spans="1:52" s="387" customFormat="1" ht="60" customHeight="1" x14ac:dyDescent="0.25">
      <c r="B26" s="1245" t="s">
        <v>704</v>
      </c>
      <c r="C26" s="2083" t="s">
        <v>2937</v>
      </c>
      <c r="D26" s="2214"/>
      <c r="E26" s="1331"/>
      <c r="F26" s="2039" t="s">
        <v>2214</v>
      </c>
      <c r="G26" s="1786"/>
      <c r="H26" s="2233"/>
      <c r="I26" s="3789"/>
      <c r="J26" s="3789"/>
      <c r="K26" s="1837"/>
      <c r="L26" s="1837"/>
      <c r="M26" s="2233"/>
      <c r="N26" s="44"/>
      <c r="O26" s="43"/>
      <c r="P26" s="43"/>
      <c r="Q26" s="803"/>
      <c r="R26" s="2151"/>
      <c r="S26" s="623"/>
      <c r="Z26" s="1714"/>
      <c r="AA26" s="1714"/>
      <c r="AB26" s="1714"/>
      <c r="AC26" s="1714"/>
      <c r="AD26" s="1714"/>
      <c r="AE26" s="1714"/>
      <c r="AF26" s="1714"/>
      <c r="AG26" s="1714"/>
      <c r="AH26" s="35"/>
      <c r="AI26" s="35"/>
      <c r="AJ26" s="35"/>
      <c r="AK26" s="35"/>
      <c r="AL26" s="35"/>
      <c r="AM26" s="35"/>
      <c r="AN26" s="35"/>
      <c r="AO26" s="3789"/>
      <c r="AP26" s="3789"/>
      <c r="AQ26" s="1837"/>
      <c r="AR26" s="1837"/>
      <c r="AS26" s="2200"/>
      <c r="AT26" s="1719"/>
      <c r="AU26" s="35"/>
      <c r="AV26" s="35"/>
      <c r="AW26" s="35"/>
      <c r="AX26" s="35"/>
      <c r="AY26" s="35"/>
      <c r="AZ26" s="35"/>
    </row>
    <row r="27" spans="1:52" s="387" customFormat="1" ht="20.399999999999999" x14ac:dyDescent="0.25">
      <c r="B27" s="1245" t="s">
        <v>331</v>
      </c>
      <c r="C27" s="2178" t="s">
        <v>2938</v>
      </c>
      <c r="D27" s="2231"/>
      <c r="E27" s="1331"/>
      <c r="F27" s="2039" t="s">
        <v>2214</v>
      </c>
      <c r="G27" s="1786"/>
      <c r="H27" s="2233"/>
      <c r="I27" s="3789"/>
      <c r="J27" s="3789"/>
      <c r="K27" s="1837"/>
      <c r="L27" s="1837"/>
      <c r="M27" s="2233"/>
      <c r="N27" s="44"/>
      <c r="O27" s="43"/>
      <c r="P27" s="43"/>
      <c r="Q27" s="803"/>
      <c r="R27" s="2151"/>
      <c r="S27" s="623"/>
      <c r="Z27" s="1714"/>
      <c r="AA27" s="1714"/>
      <c r="AB27" s="1714"/>
      <c r="AC27" s="1714"/>
      <c r="AD27" s="1714"/>
      <c r="AE27" s="1714"/>
      <c r="AF27" s="1714"/>
      <c r="AG27" s="1714"/>
      <c r="AH27" s="35"/>
      <c r="AI27" s="35"/>
      <c r="AJ27" s="35"/>
      <c r="AK27" s="35"/>
      <c r="AL27" s="35"/>
      <c r="AM27" s="35"/>
      <c r="AN27" s="35"/>
      <c r="AO27" s="3789"/>
      <c r="AP27" s="3789"/>
      <c r="AQ27" s="1837"/>
      <c r="AR27" s="1837"/>
      <c r="AS27" s="2200"/>
      <c r="AT27" s="1719"/>
      <c r="AU27" s="35"/>
      <c r="AV27" s="35"/>
      <c r="AW27" s="35"/>
      <c r="AX27" s="35"/>
      <c r="AY27" s="35"/>
      <c r="AZ27" s="35"/>
    </row>
    <row r="28" spans="1:52" s="387" customFormat="1" ht="90.45" customHeight="1" x14ac:dyDescent="0.25">
      <c r="B28" s="1245" t="s">
        <v>2939</v>
      </c>
      <c r="C28" s="2083" t="s">
        <v>2942</v>
      </c>
      <c r="D28" s="2231"/>
      <c r="E28" s="1331"/>
      <c r="F28" s="2039" t="s">
        <v>2214</v>
      </c>
      <c r="G28" s="2038"/>
      <c r="H28" s="2233"/>
      <c r="I28" s="3789"/>
      <c r="J28" s="3789"/>
      <c r="K28" s="1837"/>
      <c r="L28" s="1837"/>
      <c r="M28" s="2038">
        <f>IF(I28="None",0,1)</f>
        <v>1</v>
      </c>
      <c r="N28" s="44"/>
      <c r="O28" s="43"/>
      <c r="P28" s="43"/>
      <c r="Q28" s="803"/>
      <c r="R28" s="2151"/>
      <c r="S28" s="623"/>
      <c r="Z28" s="1714"/>
      <c r="AA28" s="1714"/>
      <c r="AB28" s="1714"/>
      <c r="AC28" s="1714"/>
      <c r="AD28" s="1714"/>
      <c r="AE28" s="1714"/>
      <c r="AF28" s="1714"/>
      <c r="AG28" s="1714"/>
      <c r="AH28" s="35"/>
      <c r="AI28" s="35"/>
      <c r="AJ28" s="35"/>
      <c r="AK28" s="35"/>
      <c r="AL28" s="35"/>
      <c r="AM28" s="35"/>
      <c r="AN28" s="35"/>
      <c r="AO28" s="3789"/>
      <c r="AP28" s="3789"/>
      <c r="AQ28" s="1837"/>
      <c r="AR28" s="1837"/>
      <c r="AS28" s="1720">
        <f>IF(AO28="None",0,1)</f>
        <v>1</v>
      </c>
      <c r="AT28" s="1719"/>
      <c r="AU28" s="35"/>
      <c r="AV28" s="35"/>
      <c r="AW28" s="35"/>
      <c r="AX28" s="35"/>
      <c r="AY28" s="35"/>
      <c r="AZ28" s="35"/>
    </row>
    <row r="29" spans="1:52" ht="55.5" customHeight="1" x14ac:dyDescent="0.25">
      <c r="A29" s="387"/>
      <c r="B29" s="1245" t="s">
        <v>2940</v>
      </c>
      <c r="C29" s="2178" t="s">
        <v>2941</v>
      </c>
      <c r="D29" s="2231"/>
      <c r="E29" s="1332"/>
      <c r="F29" s="2039" t="s">
        <v>2214</v>
      </c>
      <c r="G29" s="2038"/>
      <c r="H29" s="2233"/>
      <c r="I29" s="1971"/>
      <c r="J29" s="2188" t="s">
        <v>949</v>
      </c>
      <c r="K29" s="1837"/>
      <c r="L29" s="1837"/>
      <c r="M29" s="2038">
        <f>IF(I28="None",1,0)</f>
        <v>0</v>
      </c>
      <c r="N29" s="44"/>
      <c r="O29" s="43"/>
      <c r="P29" s="43"/>
      <c r="Q29" s="803"/>
      <c r="R29" s="2151"/>
      <c r="S29" s="623"/>
      <c r="AO29" s="1971"/>
      <c r="AP29" s="2188" t="s">
        <v>949</v>
      </c>
      <c r="AQ29" s="1837"/>
      <c r="AR29" s="1837"/>
      <c r="AS29" s="2038">
        <f>IF(AO28="None",1,0)</f>
        <v>0</v>
      </c>
      <c r="AT29" s="1719"/>
    </row>
    <row r="30" spans="1:52" s="387" customFormat="1" ht="43.5" customHeight="1" x14ac:dyDescent="0.25">
      <c r="B30" s="1245" t="s">
        <v>332</v>
      </c>
      <c r="C30" s="3790" t="s">
        <v>2944</v>
      </c>
      <c r="D30" s="2232" t="e">
        <f>E30/E33</f>
        <v>#DIV/0!</v>
      </c>
      <c r="E30" s="1333">
        <f>ROUND(SUMIF($F$8:$JS$8, "Proposed", $F30:$JS30),0)</f>
        <v>0</v>
      </c>
      <c r="F30" s="1328" t="str">
        <f>ROUND(SUMIF($F$8:$JS$8, "Proposed", $F30:$JS30),0)&amp;" kW"</f>
        <v>0 kW</v>
      </c>
      <c r="G30" s="1786"/>
      <c r="H30" s="2233"/>
      <c r="I30" s="1971"/>
      <c r="J30" s="2189" t="s">
        <v>207</v>
      </c>
      <c r="K30" s="1837"/>
      <c r="L30" s="1837"/>
      <c r="M30" s="2233" t="e">
        <f>I30/I33</f>
        <v>#DIV/0!</v>
      </c>
      <c r="N30" s="44"/>
      <c r="O30" s="43"/>
      <c r="P30" s="43"/>
      <c r="Q30" s="803"/>
      <c r="R30" s="2151"/>
      <c r="S30" s="623"/>
      <c r="Z30" s="1714"/>
      <c r="AA30" s="1714"/>
      <c r="AB30" s="1714"/>
      <c r="AC30" s="1714"/>
      <c r="AD30" s="1714"/>
      <c r="AE30" s="1714"/>
      <c r="AF30" s="1714"/>
      <c r="AG30" s="1714"/>
      <c r="AH30" s="35"/>
      <c r="AI30" s="35"/>
      <c r="AJ30" s="35"/>
      <c r="AK30" s="35"/>
      <c r="AL30" s="35"/>
      <c r="AM30" s="35"/>
      <c r="AN30" s="35"/>
      <c r="AO30" s="1971"/>
      <c r="AP30" s="2189" t="s">
        <v>207</v>
      </c>
      <c r="AQ30" s="1837"/>
      <c r="AR30" s="1837"/>
      <c r="AS30" s="2233" t="e">
        <f>AO30/AO33</f>
        <v>#DIV/0!</v>
      </c>
      <c r="AT30" s="1719"/>
      <c r="AU30" s="35"/>
      <c r="AV30" s="35"/>
      <c r="AW30" s="35"/>
      <c r="AX30" s="35"/>
      <c r="AY30" s="35"/>
      <c r="AZ30" s="35"/>
    </row>
    <row r="31" spans="1:52" s="387" customFormat="1" ht="43.5" customHeight="1" x14ac:dyDescent="0.25">
      <c r="B31" s="1245" t="s">
        <v>333</v>
      </c>
      <c r="C31" s="3791"/>
      <c r="D31" s="2232" t="e">
        <f>E31/E33</f>
        <v>#DIV/0!</v>
      </c>
      <c r="E31" s="1333">
        <f>ROUND(SUMIF($F$8:$JS$8, "Proposed", $F31:$JS31),1)</f>
        <v>0</v>
      </c>
      <c r="F31" s="1328" t="str">
        <f>ROUND(SUMIF($F$8:$JS$8, "Proposed", $F31:$JS31),1)&amp;" kW"</f>
        <v>0 kW</v>
      </c>
      <c r="G31" s="1786"/>
      <c r="H31" s="2233"/>
      <c r="I31" s="1971"/>
      <c r="J31" s="2189" t="s">
        <v>207</v>
      </c>
      <c r="K31" s="1837"/>
      <c r="L31" s="1837"/>
      <c r="M31" s="2233" t="e">
        <f>I31/I33</f>
        <v>#DIV/0!</v>
      </c>
      <c r="N31" s="44"/>
      <c r="O31" s="43"/>
      <c r="P31" s="43"/>
      <c r="Q31" s="803"/>
      <c r="R31" s="2151"/>
      <c r="S31" s="623"/>
      <c r="Z31" s="1714"/>
      <c r="AA31" s="1714"/>
      <c r="AB31" s="1714"/>
      <c r="AC31" s="1714"/>
      <c r="AD31" s="1714"/>
      <c r="AE31" s="1714"/>
      <c r="AF31" s="1714"/>
      <c r="AG31" s="1714"/>
      <c r="AH31" s="35"/>
      <c r="AI31" s="35"/>
      <c r="AJ31" s="35"/>
      <c r="AK31" s="35"/>
      <c r="AL31" s="35"/>
      <c r="AM31" s="35"/>
      <c r="AN31" s="35"/>
      <c r="AO31" s="1971"/>
      <c r="AP31" s="2189" t="s">
        <v>207</v>
      </c>
      <c r="AQ31" s="1837"/>
      <c r="AR31" s="1837"/>
      <c r="AS31" s="2233" t="e">
        <f>AO31/AO33</f>
        <v>#DIV/0!</v>
      </c>
      <c r="AT31" s="1719"/>
      <c r="AU31" s="35"/>
      <c r="AV31" s="35"/>
      <c r="AW31" s="35"/>
      <c r="AX31" s="35"/>
      <c r="AY31" s="35"/>
      <c r="AZ31" s="35"/>
    </row>
    <row r="32" spans="1:52" s="387" customFormat="1" ht="43.5" customHeight="1" x14ac:dyDescent="0.25">
      <c r="B32" s="1245" t="s">
        <v>334</v>
      </c>
      <c r="C32" s="3792"/>
      <c r="D32" s="2232" t="e">
        <f>E32/E33</f>
        <v>#DIV/0!</v>
      </c>
      <c r="E32" s="1333">
        <f>ROUND(SUMIF($F$8:$JS$8, "Proposed", $F32:$JS32),1)</f>
        <v>0</v>
      </c>
      <c r="F32" s="1328" t="str">
        <f>ROUND(SUMIF($F$8:$JS$8, "Proposed", $F32:$JS32),1)&amp;" kW"</f>
        <v>0 kW</v>
      </c>
      <c r="G32" s="1786"/>
      <c r="H32" s="2233"/>
      <c r="I32" s="1971"/>
      <c r="J32" s="2189" t="s">
        <v>207</v>
      </c>
      <c r="K32" s="1837"/>
      <c r="L32" s="1837"/>
      <c r="M32" s="2233" t="e">
        <f>I32/I33</f>
        <v>#DIV/0!</v>
      </c>
      <c r="N32" s="44"/>
      <c r="O32" s="43"/>
      <c r="P32" s="43"/>
      <c r="Q32" s="803"/>
      <c r="R32" s="2151"/>
      <c r="S32" s="623"/>
      <c r="Z32" s="1714"/>
      <c r="AA32" s="1714"/>
      <c r="AB32" s="1714"/>
      <c r="AC32" s="1714"/>
      <c r="AD32" s="1714"/>
      <c r="AE32" s="1714"/>
      <c r="AF32" s="1714"/>
      <c r="AG32" s="1714"/>
      <c r="AH32" s="35"/>
      <c r="AI32" s="35"/>
      <c r="AJ32" s="35"/>
      <c r="AK32" s="35"/>
      <c r="AL32" s="35"/>
      <c r="AM32" s="35"/>
      <c r="AN32" s="35"/>
      <c r="AO32" s="1971"/>
      <c r="AP32" s="2189" t="s">
        <v>207</v>
      </c>
      <c r="AQ32" s="1837"/>
      <c r="AR32" s="1837"/>
      <c r="AS32" s="2233" t="e">
        <f>AO32/AO33</f>
        <v>#DIV/0!</v>
      </c>
      <c r="AT32" s="1719"/>
      <c r="AU32" s="35"/>
      <c r="AV32" s="35"/>
      <c r="AW32" s="35"/>
      <c r="AX32" s="35"/>
      <c r="AY32" s="35"/>
      <c r="AZ32" s="35"/>
    </row>
    <row r="33" spans="2:52" s="387" customFormat="1" ht="43.5" customHeight="1" x14ac:dyDescent="0.25">
      <c r="B33" s="1245" t="s">
        <v>335</v>
      </c>
      <c r="C33" s="2178" t="s">
        <v>2943</v>
      </c>
      <c r="D33" s="2232">
        <f>ROUND(SUMIF($F$8:$JS$8, "Proposed", $F33:$JS33),0)</f>
        <v>0</v>
      </c>
      <c r="E33" s="1333">
        <f>ROUND(SUMIF($F$8:$JS$8, "Proposed", $F33:$JS33),0)</f>
        <v>0</v>
      </c>
      <c r="F33" s="1328" t="str">
        <f>ROUND(SUMIF($F$8:$JS$8, "Proposed", $F33:$JS33),0)&amp;" kW"</f>
        <v>0 kW</v>
      </c>
      <c r="G33" s="1786"/>
      <c r="H33" s="2233"/>
      <c r="I33" s="1697">
        <f>SUM(I30:I32)</f>
        <v>0</v>
      </c>
      <c r="J33" s="2189" t="s">
        <v>207</v>
      </c>
      <c r="K33" s="1837"/>
      <c r="L33" s="1837"/>
      <c r="M33" s="2233"/>
      <c r="N33" s="44"/>
      <c r="O33" s="43"/>
      <c r="P33" s="43"/>
      <c r="Q33" s="803"/>
      <c r="R33" s="2151"/>
      <c r="S33" s="623"/>
      <c r="Z33" s="1714"/>
      <c r="AA33" s="1714"/>
      <c r="AB33" s="1714"/>
      <c r="AC33" s="1714"/>
      <c r="AD33" s="1714"/>
      <c r="AE33" s="1714"/>
      <c r="AF33" s="1714"/>
      <c r="AG33" s="1714"/>
      <c r="AH33" s="35"/>
      <c r="AI33" s="35"/>
      <c r="AJ33" s="35"/>
      <c r="AK33" s="35"/>
      <c r="AL33" s="35"/>
      <c r="AM33" s="35"/>
      <c r="AN33" s="35"/>
      <c r="AO33" s="1697">
        <f>SUM(AO30:AO32)</f>
        <v>0</v>
      </c>
      <c r="AP33" s="2189" t="s">
        <v>207</v>
      </c>
      <c r="AQ33" s="1837"/>
      <c r="AR33" s="1837"/>
      <c r="AS33" s="2200"/>
      <c r="AT33" s="1719"/>
      <c r="AU33" s="35"/>
      <c r="AV33" s="35"/>
      <c r="AW33" s="35"/>
      <c r="AX33" s="35"/>
      <c r="AY33" s="35"/>
      <c r="AZ33" s="35"/>
    </row>
    <row r="34" spans="2:52" s="387" customFormat="1" ht="24.75" hidden="1" customHeight="1" x14ac:dyDescent="0.25">
      <c r="C34" s="339"/>
      <c r="D34" s="2232"/>
      <c r="E34" s="1333" t="s">
        <v>207</v>
      </c>
      <c r="F34" s="1697">
        <f>SUMIF($F$8:$JS$8, "Proposed", $F34:$JS34)</f>
        <v>0</v>
      </c>
      <c r="G34" s="1413"/>
      <c r="H34" s="2233"/>
      <c r="I34" s="1697">
        <f>IF(I20="Constant Volume",I33,0)</f>
        <v>0</v>
      </c>
      <c r="J34" s="1333" t="s">
        <v>207</v>
      </c>
      <c r="M34" s="1654"/>
      <c r="N34" s="1"/>
      <c r="O34" s="1"/>
      <c r="P34" s="1"/>
      <c r="Q34" s="1"/>
      <c r="R34" s="33"/>
      <c r="S34" s="1"/>
      <c r="Z34" s="1714"/>
      <c r="AA34" s="1714"/>
      <c r="AB34" s="1714"/>
      <c r="AC34" s="1714"/>
      <c r="AD34" s="1714"/>
      <c r="AE34" s="1714"/>
      <c r="AF34" s="1714"/>
      <c r="AG34" s="1714"/>
      <c r="AH34" s="35"/>
      <c r="AI34" s="35"/>
      <c r="AJ34" s="35"/>
      <c r="AK34" s="35"/>
      <c r="AL34" s="35"/>
      <c r="AM34" s="35"/>
      <c r="AN34" s="35"/>
      <c r="AO34" s="1697">
        <f>IF(AO20="Constant Volume",AO33,0)</f>
        <v>0</v>
      </c>
      <c r="AP34" s="1333"/>
      <c r="AS34" s="1727"/>
      <c r="AT34" s="1714"/>
      <c r="AU34" s="35"/>
      <c r="AV34" s="35"/>
      <c r="AW34" s="35"/>
      <c r="AX34" s="35"/>
      <c r="AY34" s="35"/>
      <c r="AZ34" s="35"/>
    </row>
    <row r="35" spans="2:52" ht="22.5" hidden="1" customHeight="1" x14ac:dyDescent="0.25">
      <c r="D35" s="2232"/>
      <c r="E35" s="2289" t="s">
        <v>207</v>
      </c>
      <c r="F35" s="2290">
        <f>SUMIF($F$8:$JS$8, "Proposed", $F35:$JS35)</f>
        <v>0</v>
      </c>
      <c r="H35" s="2233"/>
      <c r="I35" s="2290">
        <f>IF(I20="Variable Volume",I33,0)</f>
        <v>0</v>
      </c>
      <c r="J35" s="2289" t="s">
        <v>207</v>
      </c>
      <c r="AO35" s="2290">
        <f>IF(AO20="Variable Volume",AO33,0)</f>
        <v>0</v>
      </c>
      <c r="AP35" s="2289"/>
    </row>
    <row r="36" spans="2:52" x14ac:dyDescent="0.25">
      <c r="Z36" s="1701"/>
      <c r="AA36" s="1701"/>
      <c r="AB36" s="1701"/>
      <c r="AC36" s="1701"/>
      <c r="AD36" s="1701"/>
      <c r="AE36" s="1701"/>
      <c r="AF36" s="1701"/>
      <c r="AG36" s="1701"/>
      <c r="AS36" s="2291"/>
      <c r="AT36" s="1701"/>
    </row>
    <row r="60" spans="2:42" x14ac:dyDescent="0.25">
      <c r="B60" s="942"/>
      <c r="C60" s="942"/>
      <c r="D60" s="2238"/>
      <c r="E60" s="949"/>
      <c r="F60" s="949"/>
      <c r="J60" s="2197"/>
      <c r="AP60" s="2197"/>
    </row>
    <row r="61" spans="2:42" x14ac:dyDescent="0.25">
      <c r="B61" s="942"/>
      <c r="C61" s="943"/>
      <c r="D61" s="2238"/>
      <c r="E61" s="950"/>
      <c r="F61" s="949"/>
      <c r="J61" s="2198"/>
      <c r="AP61" s="2198"/>
    </row>
    <row r="62" spans="2:42" x14ac:dyDescent="0.25">
      <c r="B62" s="942"/>
      <c r="C62" s="943"/>
      <c r="D62" s="2238"/>
      <c r="E62" s="950"/>
      <c r="F62" s="949"/>
      <c r="J62" s="2198"/>
      <c r="AP62" s="2198"/>
    </row>
    <row r="63" spans="2:42" x14ac:dyDescent="0.25">
      <c r="B63" s="942"/>
      <c r="C63" s="943"/>
      <c r="D63" s="2238"/>
      <c r="E63" s="950"/>
      <c r="F63" s="949"/>
      <c r="J63" s="2198"/>
      <c r="AP63" s="2198"/>
    </row>
    <row r="64" spans="2:42" x14ac:dyDescent="0.25">
      <c r="B64" s="942"/>
      <c r="C64" s="943"/>
      <c r="D64" s="2238"/>
      <c r="E64" s="950"/>
      <c r="F64" s="949"/>
      <c r="J64" s="2198"/>
      <c r="AP64" s="2198"/>
    </row>
    <row r="65" spans="2:42" x14ac:dyDescent="0.25">
      <c r="B65" s="942"/>
      <c r="C65" s="943"/>
      <c r="D65" s="2238"/>
      <c r="E65" s="950"/>
      <c r="F65" s="949"/>
      <c r="J65" s="2198"/>
      <c r="AP65" s="2198"/>
    </row>
    <row r="66" spans="2:42" x14ac:dyDescent="0.25">
      <c r="B66" s="942"/>
      <c r="C66" s="943"/>
      <c r="D66" s="2238"/>
      <c r="E66" s="950"/>
      <c r="F66" s="949"/>
      <c r="J66" s="2198"/>
      <c r="AP66" s="2198"/>
    </row>
    <row r="67" spans="2:42" x14ac:dyDescent="0.25">
      <c r="B67" s="942"/>
      <c r="C67" s="943"/>
      <c r="D67" s="2238"/>
      <c r="E67" s="950"/>
      <c r="F67" s="949"/>
      <c r="J67" s="2198"/>
      <c r="AP67" s="2198"/>
    </row>
  </sheetData>
  <sheetProtection algorithmName="SHA-512" hashValue="CfMlQQ9Gbr7K4/NDlL1b9lniHB+t7eIUp71ABH28ondhMvdNPNTdLoHoQavmfvi8UyXqD3RmpRYM64/u58fDcg==" saltValue="TkUNQ9hlYEe1wgccWADV1Q==" spinCount="100000" sheet="1" objects="1" scenarios="1"/>
  <mergeCells count="27">
    <mergeCell ref="AO28:AP28"/>
    <mergeCell ref="AO26:AP26"/>
    <mergeCell ref="AO27:AP27"/>
    <mergeCell ref="AO11:AR11"/>
    <mergeCell ref="AO12:AR12"/>
    <mergeCell ref="AO13:AR13"/>
    <mergeCell ref="AO21:AP21"/>
    <mergeCell ref="AO24:AP24"/>
    <mergeCell ref="C30:C32"/>
    <mergeCell ref="I20:J20"/>
    <mergeCell ref="I21:J21"/>
    <mergeCell ref="I24:J24"/>
    <mergeCell ref="I25:J25"/>
    <mergeCell ref="I27:J27"/>
    <mergeCell ref="I28:J28"/>
    <mergeCell ref="I26:J26"/>
    <mergeCell ref="AO7:AS7"/>
    <mergeCell ref="AO10:AR10"/>
    <mergeCell ref="AO9:AP9"/>
    <mergeCell ref="AO25:AP25"/>
    <mergeCell ref="AO20:AP20"/>
    <mergeCell ref="I10:L10"/>
    <mergeCell ref="I11:L11"/>
    <mergeCell ref="I12:L12"/>
    <mergeCell ref="I13:L13"/>
    <mergeCell ref="B5:L5"/>
    <mergeCell ref="I9:J9"/>
  </mergeCells>
  <dataValidations count="18">
    <dataValidation type="list" allowBlank="1" showInputMessage="1" showErrorMessage="1" sqref="I20 AO20" xr:uid="{00000000-0002-0000-1B00-000000000000}">
      <formula1>"Constant Volume,Variable Volume"</formula1>
    </dataValidation>
    <dataValidation allowBlank="1" showInputMessage="1" showErrorMessage="1" prompt="Reference specific place in the submitted design documents (e.g. drawing &amp; detail number) where relevant parameters are listed to support review." sqref="K9 AQ9" xr:uid="{00000000-0002-0000-1B00-000001000000}"/>
    <dataValidation allowBlank="1" showInputMessage="1" showErrorMessage="1" prompt="To ensure units are consistent with ASHRAE 90.1, please use the below formulas:_x000a__x000a_EER = [(Net Cooling Btu/h)/(Total Input Power W)]_x000a__x000a_Net Cooling Btu/h = [(Gross Cooling Btu/h) - (Supply Fan Power Btu/h)]" sqref="I15:J15 AO15:AP15" xr:uid="{00000000-0002-0000-1B00-000002000000}"/>
    <dataValidation operator="greaterThanOrEqual" allowBlank="1" error="Please enter the value only (without any labels)" prompt="_x000a__x000a__x000a_" sqref="E18 E14 AP14 J14 AP18" xr:uid="{00000000-0002-0000-1B00-000003000000}"/>
    <dataValidation type="list" allowBlank="1" showInputMessage="1" showErrorMessage="1" sqref="AO11:AP11 I11" xr:uid="{00000000-0002-0000-1B00-000004000000}">
      <formula1>OFFSET(ProposedHVACModeled,1,0,ROWS(ProposedHVACModeled)-1,1)</formula1>
    </dataValidation>
    <dataValidation type="list" allowBlank="1" showInputMessage="1" showErrorMessage="1" sqref="AO10:AP10 I10" xr:uid="{00000000-0002-0000-1B00-000005000000}">
      <formula1>IF(MultipleBuildingsExist="YES",OFFSET(MBD_BSTotal_Index,1,0,ROWS(MBD_BSTotal_Index)-1,1), OFFSET(MBD_BSTotal_Index,2,0,ROWS(MBD_BSTotal_Index)-2,1))</formula1>
    </dataValidation>
    <dataValidation allowBlank="1" showInputMessage="1" sqref="I26:I27 AO26:AO27" xr:uid="{00000000-0002-0000-1B00-000006000000}"/>
    <dataValidation type="list" allowBlank="1" showInputMessage="1" sqref="I24 AO24" xr:uid="{00000000-0002-0000-1B00-000007000000}">
      <formula1>"No,Yes"</formula1>
    </dataValidation>
    <dataValidation type="list" operator="greaterThanOrEqual" allowBlank="1" error="Please enter the value only (without any labels)" prompt="_x000a__x000a__x000a_" sqref="J18" xr:uid="{00000000-0002-0000-1B00-000008000000}">
      <formula1>"kBtu/h, tons, kW, Btuh"</formula1>
    </dataValidation>
    <dataValidation type="list" allowBlank="1" showInputMessage="1" sqref="AP19 J19" xr:uid="{00000000-0002-0000-1B00-000009000000}">
      <formula1>"COP,HSPF,AFUE,%Et,%Ec"</formula1>
    </dataValidation>
    <dataValidation type="list" allowBlank="1" showInputMessage="1" sqref="J15 AP15" xr:uid="{00000000-0002-0000-1B00-00000A000000}">
      <formula1>"IEER,IPLV"</formula1>
    </dataValidation>
    <dataValidation type="list" allowBlank="1" showInputMessage="1" sqref="J15 AP15" xr:uid="{00000000-0002-0000-1B00-00000B000000}">
      <formula1>"EER,SEER,COP"</formula1>
    </dataValidation>
    <dataValidation operator="greaterThanOrEqual" allowBlank="1" error="Please enter the value only (without any labels)" prompt="Enter the modeled outdoor airflow for this Baseline HVAC system (or the total outdoor airflow for this group of similar systems) in units of cfm (example: 650)" sqref="E22:E23 J22:J23 AP22:AP23" xr:uid="{00000000-0002-0000-1B00-00000C000000}"/>
    <dataValidation allowBlank="1" showInputMessage="1" showErrorMessage="1" promptTitle="Note:" prompt="Unitary cooling part load efficiency is the total cooling capacity weighted average EER. " sqref="F15" xr:uid="{00000000-0002-0000-1B00-00000D000000}"/>
    <dataValidation allowBlank="1" showErrorMessage="1" prompt="Please remove the Supply Fan Energy form the COP using the below formulas:_x000a__x000a_COPnfcooling = [(Gross Cooling Btu/h)/((Total Input Power W - Indoor Fan Power W)*3.413 Btu/h*W)]_x000a__x000a_Indoor Fan Power W = [(Gross Cooling Btu/h - Net Cooling Btu/h)/(3.413 Btu/h*W)]" sqref="I16:J16 AO16:AP16" xr:uid="{00000000-0002-0000-1B00-00000E000000}"/>
    <dataValidation type="list" allowBlank="1" showInputMessage="1" showErrorMessage="1" sqref="I21 AO21" xr:uid="{00000000-0002-0000-1B00-00000F000000}">
      <formula1>"Running Continuously,Cycling with Load"</formula1>
    </dataValidation>
    <dataValidation type="list" allowBlank="1" showInputMessage="1" sqref="I25 AO25" xr:uid="{00000000-0002-0000-1B00-000010000000}">
      <formula1>"None,OA Temperature,OA Enthalpy"</formula1>
    </dataValidation>
    <dataValidation type="list" allowBlank="1" showInputMessage="1" showErrorMessage="1" sqref="I28 AO28" xr:uid="{00000000-0002-0000-1B00-000011000000}">
      <formula1>"None,Heat Exchanger,Runaround Coil,Recovery Wheel,Other"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6417" r:id="rId3" name="Button 1">
              <controlPr defaultSize="0" print="0" autoFill="0" autoPict="0" macro="[0]!AddSpaceProposed">
                <anchor moveWithCells="1" sizeWithCells="1">
                  <from>
                    <xdr:col>5</xdr:col>
                    <xdr:colOff>114300</xdr:colOff>
                    <xdr:row>5</xdr:row>
                    <xdr:rowOff>76200</xdr:rowOff>
                  </from>
                  <to>
                    <xdr:col>5</xdr:col>
                    <xdr:colOff>1028700</xdr:colOff>
                    <xdr:row>6</xdr:row>
                    <xdr:rowOff>556260</xdr:rowOff>
                  </to>
                </anchor>
              </controlPr>
            </control>
          </mc:Choice>
        </mc:AlternateContent>
        <mc:AlternateContent xmlns:mc="http://schemas.openxmlformats.org/markup-compatibility/2006">
          <mc:Choice Requires="x14">
            <control shapeId="316422" r:id="rId4" name="Button 6">
              <controlPr defaultSize="0" print="0" autoFill="0" autoPict="0" macro="[0]!DeleteAirColumn">
                <anchor moveWithCells="1" sizeWithCells="1">
                  <from>
                    <xdr:col>40</xdr:col>
                    <xdr:colOff>99060</xdr:colOff>
                    <xdr:row>6</xdr:row>
                    <xdr:rowOff>358140</xdr:rowOff>
                  </from>
                  <to>
                    <xdr:col>43</xdr:col>
                    <xdr:colOff>624840</xdr:colOff>
                    <xdr:row>6</xdr:row>
                    <xdr:rowOff>594360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1">
    <tabColor theme="0" tint="-0.249977111117893"/>
  </sheetPr>
  <dimension ref="A1:AA179"/>
  <sheetViews>
    <sheetView showGridLines="0" zoomScale="90" zoomScaleNormal="90" workbookViewId="0">
      <selection activeCell="J10" sqref="J10"/>
    </sheetView>
  </sheetViews>
  <sheetFormatPr defaultColWidth="12.69921875" defaultRowHeight="13.2" x14ac:dyDescent="0.25"/>
  <cols>
    <col min="1" max="1" width="1.796875" style="1" customWidth="1"/>
    <col min="2" max="2" width="35.19921875" style="195" customWidth="1"/>
    <col min="3" max="3" width="61.296875" style="195" customWidth="1"/>
    <col min="4" max="4" width="1.19921875" style="195" customWidth="1"/>
    <col min="5" max="5" width="13.296875" style="195" customWidth="1"/>
    <col min="6" max="6" width="1.19921875" style="195" customWidth="1"/>
    <col min="7" max="7" width="31.19921875" style="35" customWidth="1"/>
    <col min="8" max="9" width="0.69921875" style="35" customWidth="1"/>
    <col min="10" max="10" width="31.19921875" style="35" customWidth="1"/>
    <col min="11" max="11" width="8.796875" style="35" customWidth="1"/>
    <col min="12" max="12" width="1.19921875" style="35" customWidth="1"/>
    <col min="13" max="13" width="31.19921875" style="35" customWidth="1"/>
    <col min="14" max="14" width="10.69921875" style="35" customWidth="1"/>
    <col min="15" max="16" width="2.69921875" style="195" customWidth="1"/>
    <col min="17" max="17" width="50.69921875" style="2152" customWidth="1"/>
    <col min="18" max="18" width="12.69921875" style="195" customWidth="1"/>
    <col min="19" max="20" width="12.69921875" style="195" hidden="1" customWidth="1"/>
    <col min="21" max="27" width="11.19921875" style="195" hidden="1" customWidth="1"/>
    <col min="28" max="65" width="11.19921875" style="195" customWidth="1"/>
    <col min="66" max="16384" width="12.69921875" style="195"/>
  </cols>
  <sheetData>
    <row r="1" spans="1:27" s="34" customFormat="1" x14ac:dyDescent="0.25">
      <c r="A1" s="193"/>
      <c r="B1" s="194"/>
      <c r="C1" s="194"/>
      <c r="D1" s="194"/>
      <c r="E1" s="194"/>
      <c r="F1" s="194"/>
      <c r="G1" s="276"/>
      <c r="H1" s="276"/>
      <c r="I1" s="276"/>
      <c r="J1" s="276"/>
      <c r="K1" s="276"/>
      <c r="L1" s="32"/>
      <c r="M1" s="32"/>
      <c r="N1" s="32"/>
      <c r="Q1" s="2152"/>
      <c r="S1" s="1827"/>
      <c r="T1" s="1827"/>
      <c r="U1" s="1827"/>
      <c r="V1" s="1827"/>
    </row>
    <row r="2" spans="1:27" s="34" customFormat="1" ht="24.75" customHeight="1" x14ac:dyDescent="0.25">
      <c r="A2" s="193"/>
      <c r="B2" s="30" t="s">
        <v>850</v>
      </c>
      <c r="C2" s="30"/>
      <c r="D2" s="194"/>
      <c r="E2" s="16"/>
      <c r="F2" s="194"/>
      <c r="G2" s="276"/>
      <c r="H2" s="1232"/>
      <c r="I2" s="1232"/>
      <c r="J2" s="1232"/>
      <c r="K2" s="1232"/>
      <c r="L2" s="32"/>
      <c r="M2" s="32"/>
      <c r="N2" s="32"/>
      <c r="Q2" s="2152"/>
      <c r="S2" s="1827"/>
      <c r="T2" s="1827"/>
      <c r="U2" s="1827"/>
      <c r="V2" s="1827"/>
    </row>
    <row r="3" spans="1:27" s="34" customFormat="1" ht="15" customHeight="1" x14ac:dyDescent="0.25">
      <c r="A3" s="193"/>
      <c r="B3" s="194"/>
      <c r="C3" s="194"/>
      <c r="D3" s="194"/>
      <c r="E3" s="194"/>
      <c r="F3" s="194"/>
      <c r="G3" s="276"/>
      <c r="H3" s="276"/>
      <c r="I3" s="276"/>
      <c r="J3" s="276"/>
      <c r="K3" s="276"/>
      <c r="L3" s="32"/>
      <c r="M3" s="32"/>
      <c r="N3" s="32"/>
      <c r="Q3" s="2152"/>
      <c r="S3" s="1827"/>
      <c r="T3" s="1827"/>
      <c r="U3" s="1827"/>
      <c r="V3" s="1827"/>
    </row>
    <row r="4" spans="1:27" s="339" customFormat="1" ht="20.25" customHeight="1" x14ac:dyDescent="0.25">
      <c r="G4" s="35"/>
      <c r="H4" s="35"/>
      <c r="I4" s="35"/>
      <c r="J4" s="35"/>
      <c r="K4" s="35"/>
      <c r="L4" s="35"/>
      <c r="M4" s="35"/>
      <c r="N4" s="35"/>
      <c r="Q4" s="1521"/>
    </row>
    <row r="5" spans="1:27" s="387" customFormat="1" ht="56.25" customHeight="1" x14ac:dyDescent="0.25">
      <c r="A5" s="35"/>
      <c r="B5" s="3444" t="s">
        <v>933</v>
      </c>
      <c r="C5" s="3444"/>
      <c r="D5" s="3444"/>
      <c r="E5" s="3444"/>
      <c r="F5" s="3444"/>
      <c r="G5" s="3444"/>
      <c r="H5" s="891"/>
      <c r="I5" s="891"/>
      <c r="J5" s="35"/>
      <c r="K5" s="35"/>
      <c r="L5" s="35"/>
      <c r="M5" s="35"/>
      <c r="N5" s="35"/>
      <c r="Q5" s="1521"/>
    </row>
    <row r="6" spans="1:27" s="347" customFormat="1" ht="15" customHeight="1" x14ac:dyDescent="0.25">
      <c r="B6" s="1492"/>
      <c r="C6" s="1492"/>
      <c r="D6" s="1492"/>
      <c r="E6" s="1492"/>
      <c r="F6" s="1492"/>
      <c r="G6" s="299"/>
      <c r="H6" s="299"/>
      <c r="I6" s="299"/>
      <c r="J6" s="299"/>
      <c r="K6" s="299"/>
      <c r="L6" s="32"/>
      <c r="M6" s="32"/>
      <c r="N6" s="32"/>
      <c r="Q6" s="1521"/>
      <c r="S6" s="396"/>
      <c r="T6" s="396"/>
      <c r="U6" s="396"/>
      <c r="V6" s="396"/>
    </row>
    <row r="7" spans="1:27" s="347" customFormat="1" ht="27.75" customHeight="1" x14ac:dyDescent="0.25">
      <c r="B7" s="196" t="s">
        <v>240</v>
      </c>
      <c r="C7" s="196"/>
      <c r="E7" s="9"/>
      <c r="G7" s="32"/>
      <c r="H7" s="1233"/>
      <c r="I7" s="1233"/>
      <c r="J7" s="1233"/>
      <c r="K7" s="1233"/>
      <c r="L7" s="32"/>
      <c r="M7" s="32"/>
      <c r="N7" s="32"/>
      <c r="Q7" s="1521"/>
      <c r="S7" s="396"/>
      <c r="T7" s="396"/>
      <c r="U7" s="396"/>
      <c r="V7" s="396"/>
    </row>
    <row r="8" spans="1:27" s="339" customFormat="1" ht="14.55" customHeight="1" x14ac:dyDescent="0.25">
      <c r="A8" s="32"/>
      <c r="B8" s="7"/>
      <c r="C8" s="7"/>
      <c r="G8" s="35"/>
      <c r="H8" s="35"/>
      <c r="I8" s="35"/>
      <c r="J8" s="35"/>
      <c r="K8" s="35"/>
      <c r="L8" s="35"/>
      <c r="M8" s="32"/>
      <c r="N8" s="1179"/>
      <c r="Q8" s="1521"/>
    </row>
    <row r="9" spans="1:27" s="347" customFormat="1" ht="34.200000000000003" customHeight="1" x14ac:dyDescent="0.25">
      <c r="B9" s="7" t="s">
        <v>2403</v>
      </c>
      <c r="D9" s="9"/>
      <c r="E9" s="9"/>
      <c r="F9" s="3794" t="str">
        <f>"Baseline"&amp;"-"&amp;'General Information'!$H$49</f>
        <v>Baseline-</v>
      </c>
      <c r="G9" s="3795"/>
      <c r="H9" s="3794"/>
      <c r="I9" s="3796" t="s">
        <v>2682</v>
      </c>
      <c r="J9" s="3799"/>
      <c r="K9" s="3799"/>
      <c r="L9" s="1876"/>
      <c r="M9" s="3800" t="str">
        <f>"Prescriptive Requirement of "&amp;'General Information'!H55&amp;" Applicable to App. G Baseline"</f>
        <v>Prescriptive Requirement of ASHRAE 90.1-2016 Applicable to App. G Baseline</v>
      </c>
      <c r="N9" s="3390" t="s">
        <v>2544</v>
      </c>
      <c r="Q9" s="3433" t="s">
        <v>1635</v>
      </c>
      <c r="S9" s="396"/>
      <c r="T9" s="396"/>
      <c r="U9" s="396"/>
      <c r="V9" s="396"/>
    </row>
    <row r="10" spans="1:27" s="387" customFormat="1" ht="34.200000000000003" customHeight="1" x14ac:dyDescent="0.25">
      <c r="A10" s="35"/>
      <c r="B10" s="1507" t="s">
        <v>0</v>
      </c>
      <c r="C10" s="1500" t="str">
        <f>CONCATENATE('General Information'!H49&amp;" - Baseline Systems Helpful Notes")</f>
        <v xml:space="preserve"> - Baseline Systems Helpful Notes</v>
      </c>
      <c r="D10" s="1526"/>
      <c r="E10" s="1414" t="s">
        <v>143</v>
      </c>
      <c r="F10" s="1526"/>
      <c r="G10" s="1338">
        <f>'1 - Multiple Buildings Details'!B24</f>
        <v>0</v>
      </c>
      <c r="H10" s="1420"/>
      <c r="I10" s="1421"/>
      <c r="J10" s="947"/>
      <c r="K10" s="1878" t="s">
        <v>2610</v>
      </c>
      <c r="L10" s="1408"/>
      <c r="M10" s="3800"/>
      <c r="N10" s="3392"/>
      <c r="Q10" s="3433"/>
    </row>
    <row r="11" spans="1:27" s="387" customFormat="1" ht="87" customHeight="1" x14ac:dyDescent="0.25">
      <c r="A11" s="35"/>
      <c r="B11" s="677" t="s">
        <v>321</v>
      </c>
      <c r="C11" s="1415" t="s">
        <v>1529</v>
      </c>
      <c r="D11" s="1541"/>
      <c r="E11" s="1335" t="s">
        <v>266</v>
      </c>
      <c r="F11" s="1417"/>
      <c r="G11" s="1339" t="str">
        <f>IF(G13="","",IF(G13&lt;=300,1,IF(G13&lt;600,2,MAX(2,TRUNC((G13-1)/800,0)+1))))&amp;IF(G13="","",IF(G13&lt;600," water-cooled screw"," water-cooled centrifugal"))</f>
        <v/>
      </c>
      <c r="H11" s="1422"/>
      <c r="I11" s="1423"/>
      <c r="J11" s="1498"/>
      <c r="K11" s="1639"/>
      <c r="L11" s="1408"/>
      <c r="M11" s="1542" t="str">
        <f>IF('General Information'!$R$55=2007,"Not Supported",IF(M13="","",IF(M13&lt;=300,1,IF(M13&lt;600,2,MAX(2,TRUNC((M13-1)/800,0)+1))))&amp;IF(M13="","",IF(M13&lt;600," water-cooled screw"," water-cooled centrifugal")))</f>
        <v/>
      </c>
      <c r="N11" s="1498"/>
      <c r="Q11" s="1802"/>
      <c r="S11" s="1823" t="s">
        <v>2539</v>
      </c>
      <c r="T11" s="1823">
        <f>N11</f>
        <v>0</v>
      </c>
      <c r="U11"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11"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c r="Z11" s="1802">
        <f>SUM(X:X)</f>
        <v>0</v>
      </c>
      <c r="AA11" s="352" t="s">
        <v>2909</v>
      </c>
    </row>
    <row r="12" spans="1:27" s="387" customFormat="1" ht="51" customHeight="1" x14ac:dyDescent="0.25">
      <c r="A12" s="35"/>
      <c r="B12" s="677" t="s">
        <v>320</v>
      </c>
      <c r="C12" s="1415" t="s">
        <v>1530</v>
      </c>
      <c r="D12" s="1543"/>
      <c r="E12" s="1336" t="s">
        <v>828</v>
      </c>
      <c r="F12" s="1418"/>
      <c r="G12" s="2120"/>
      <c r="H12" s="2121"/>
      <c r="I12" s="2122"/>
      <c r="J12" s="2123"/>
      <c r="K12" s="1639"/>
      <c r="L12" s="1408"/>
      <c r="M12" s="2135" t="str">
        <f>IF(G12="","",G12)</f>
        <v/>
      </c>
      <c r="N12" s="1498"/>
      <c r="Q12" s="1802"/>
      <c r="S12" s="1823" t="s">
        <v>2539</v>
      </c>
      <c r="T12" s="1823">
        <f t="shared" ref="T12:T29" si="0">N12</f>
        <v>0</v>
      </c>
      <c r="U12"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12"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c r="Z12" s="1802">
        <f>SUM(Y:Y)</f>
        <v>0</v>
      </c>
      <c r="AA12" s="352" t="s">
        <v>2910</v>
      </c>
    </row>
    <row r="13" spans="1:27" s="387" customFormat="1" ht="15" customHeight="1" x14ac:dyDescent="0.25">
      <c r="A13" s="35"/>
      <c r="B13" s="677" t="s">
        <v>319</v>
      </c>
      <c r="C13" s="1415" t="s">
        <v>1531</v>
      </c>
      <c r="D13" s="1543"/>
      <c r="E13" s="1337" t="str">
        <f>IF(SI_IP_Units="IP","tons","kW")</f>
        <v>tons</v>
      </c>
      <c r="F13" s="1418"/>
      <c r="G13" s="1687"/>
      <c r="H13" s="2124"/>
      <c r="I13" s="2125"/>
      <c r="J13" s="1696"/>
      <c r="K13" s="1639"/>
      <c r="L13" s="1408"/>
      <c r="M13" s="1742" t="str">
        <f>IF(G13="","",G13)</f>
        <v/>
      </c>
      <c r="N13" s="1498"/>
      <c r="Q13" s="1802"/>
      <c r="S13" s="1823" t="s">
        <v>2539</v>
      </c>
      <c r="T13" s="1823">
        <f t="shared" si="0"/>
        <v>0</v>
      </c>
      <c r="U13"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13"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row>
    <row r="14" spans="1:27" s="387" customFormat="1" x14ac:dyDescent="0.25">
      <c r="A14" s="35"/>
      <c r="B14" s="677" t="s">
        <v>318</v>
      </c>
      <c r="C14" s="1415" t="s">
        <v>2126</v>
      </c>
      <c r="D14" s="1543"/>
      <c r="E14" s="1337" t="str">
        <f>IF(SI_IP_Units="IP","FL kW/Ton","FL COP")</f>
        <v>FL kW/Ton</v>
      </c>
      <c r="F14" s="1418"/>
      <c r="G14" s="2126" t="str">
        <f>IFERROR(IF(G13="","",IF(SI_IP_Units="IP",IF(G13&lt;150,0.79,IF(G13&lt;600,0.718,0.576)),IF(G13&lt;528,4.45,IF(G13&lt;1055,4.9,6.1)))),"")</f>
        <v/>
      </c>
      <c r="H14" s="2124"/>
      <c r="I14" s="2125"/>
      <c r="J14" s="1696"/>
      <c r="K14" s="1639"/>
      <c r="L14" s="1408"/>
      <c r="M14" s="1742" t="str">
        <f>IF('General Information'!$R$55=2007,"Not Supported",IF('General Information'!$R$55=2013,IFERROR(IF(M13="","",IF(M13&lt;75,0.75,IF(M13&lt;150,0.72,IF(M13&lt;300,0.66,IF(OR(M13&gt;600,M13=600),0.56,0.61))))),""),IFERROR(IF(M13="","",IF(M13&lt;75,0.78,IF(M13&lt;150,0.775,IF(M13&lt;300,0.68,IF(OR(M13&gt;300,M13=300),0.57,0.576))))),"")))</f>
        <v/>
      </c>
      <c r="N14" s="1498"/>
      <c r="Q14" s="1802"/>
      <c r="S14" s="1823" t="s">
        <v>2539</v>
      </c>
      <c r="T14" s="1823">
        <f t="shared" si="0"/>
        <v>0</v>
      </c>
      <c r="U14"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14"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row>
    <row r="15" spans="1:27" s="387" customFormat="1" x14ac:dyDescent="0.25">
      <c r="A15" s="35"/>
      <c r="B15" s="677" t="s">
        <v>317</v>
      </c>
      <c r="C15" s="1416" t="s">
        <v>2127</v>
      </c>
      <c r="D15" s="1543"/>
      <c r="E15" s="1337" t="str">
        <f>IF(SI_IP_Units="IP","IPLV kW/Ton","IPLV.SI COP")</f>
        <v>IPLV kW/Ton</v>
      </c>
      <c r="F15" s="1418"/>
      <c r="G15" s="2127" t="str">
        <f>IFERROR(IF(G14="","",IF(SI_IP_Units="IP",IF(G14&lt;150,0.676,IF(G14&lt;600,0.629,0.549)),IF(G14&lt;528,5.2,IF(G14&lt;1055,4.9,6.4)))),"")</f>
        <v/>
      </c>
      <c r="H15" s="2124"/>
      <c r="I15" s="2125"/>
      <c r="J15" s="2128"/>
      <c r="K15" s="1639"/>
      <c r="L15" s="1408"/>
      <c r="M15" s="1544" t="str">
        <f>IF('General Information'!$R$55=2007,"Not Supported",IF('General Information'!$R$55=2013,IFERROR(IF(M13="","",IF(M13&lt;75,0.6,IF(M13&lt;150,0.56,IF(M13&lt;300,0.54,IF(OR(M13&gt;600,M13=600),0.5,0.52))))),""),IFERROR(IF(M13="","",IF(M13&lt;75,0.63,IF(M13&lt;150,0.615,IF(M13&lt;300,0.58,IF(OR(M13&gt;300,M13=300),0.54,0.58))))),"")))</f>
        <v/>
      </c>
      <c r="N15" s="1498"/>
      <c r="Q15" s="1802"/>
      <c r="S15" s="1823" t="s">
        <v>2539</v>
      </c>
      <c r="T15" s="1823">
        <f t="shared" si="0"/>
        <v>0</v>
      </c>
      <c r="U15"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15"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row>
    <row r="16" spans="1:27" s="387" customFormat="1" ht="34.200000000000003" customHeight="1" x14ac:dyDescent="0.25">
      <c r="A16" s="35"/>
      <c r="B16" s="677" t="s">
        <v>316</v>
      </c>
      <c r="C16" s="1415" t="s">
        <v>1885</v>
      </c>
      <c r="D16" s="1543"/>
      <c r="E16" s="1336" t="str">
        <f>IF(SI_IP_Units="IP","°F","°C")</f>
        <v>°F</v>
      </c>
      <c r="F16" s="1418"/>
      <c r="G16" s="1329"/>
      <c r="H16" s="1422"/>
      <c r="I16" s="1423"/>
      <c r="J16" s="1498"/>
      <c r="K16" s="1639"/>
      <c r="L16" s="1408"/>
      <c r="M16" s="1347"/>
      <c r="N16" s="1498"/>
      <c r="Q16" s="1802"/>
      <c r="S16" s="1823" t="s">
        <v>2539</v>
      </c>
      <c r="T16" s="1823">
        <f t="shared" si="0"/>
        <v>0</v>
      </c>
      <c r="U16"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16"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row>
    <row r="17" spans="1:25" s="387" customFormat="1" ht="30.6" x14ac:dyDescent="0.25">
      <c r="A17" s="35"/>
      <c r="B17" s="677" t="s">
        <v>274</v>
      </c>
      <c r="C17" s="1415" t="s">
        <v>1884</v>
      </c>
      <c r="D17" s="1543"/>
      <c r="E17" s="1336" t="str">
        <f>IF(SI_IP_Units="IP","°F","°C")</f>
        <v>°F</v>
      </c>
      <c r="F17" s="1418"/>
      <c r="G17" s="1329"/>
      <c r="H17" s="1422"/>
      <c r="I17" s="1423"/>
      <c r="J17" s="1498"/>
      <c r="K17" s="1639"/>
      <c r="L17" s="1408"/>
      <c r="M17" s="1347"/>
      <c r="N17" s="1498"/>
      <c r="Q17" s="1802"/>
      <c r="S17" s="1823" t="s">
        <v>2539</v>
      </c>
      <c r="T17" s="1823">
        <f t="shared" si="0"/>
        <v>0</v>
      </c>
      <c r="U17"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17"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row>
    <row r="18" spans="1:25" s="387" customFormat="1" ht="75.75" customHeight="1" x14ac:dyDescent="0.25">
      <c r="A18" s="35"/>
      <c r="B18" s="677" t="s">
        <v>315</v>
      </c>
      <c r="C18" s="1415" t="s">
        <v>2128</v>
      </c>
      <c r="D18" s="1543"/>
      <c r="E18" s="1335" t="s">
        <v>266</v>
      </c>
      <c r="F18" s="1418"/>
      <c r="G18" s="1687"/>
      <c r="H18" s="1739"/>
      <c r="I18" s="1740"/>
      <c r="J18" s="1696"/>
      <c r="K18" s="1639"/>
      <c r="L18" s="1741"/>
      <c r="M18" s="1689"/>
      <c r="N18" s="1498"/>
      <c r="Q18" s="1802"/>
      <c r="S18" s="1823" t="s">
        <v>2539</v>
      </c>
      <c r="T18" s="1823">
        <f t="shared" si="0"/>
        <v>0</v>
      </c>
      <c r="U18"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18"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row>
    <row r="19" spans="1:25" s="387" customFormat="1" ht="54.75" customHeight="1" x14ac:dyDescent="0.25">
      <c r="A19" s="35"/>
      <c r="B19" s="677" t="s">
        <v>314</v>
      </c>
      <c r="C19" s="1415" t="s">
        <v>1886</v>
      </c>
      <c r="D19" s="1543"/>
      <c r="E19" s="1335" t="s">
        <v>266</v>
      </c>
      <c r="F19" s="1418"/>
      <c r="G19" s="1687"/>
      <c r="H19" s="1739"/>
      <c r="I19" s="1740"/>
      <c r="J19" s="1696"/>
      <c r="K19" s="1639"/>
      <c r="L19" s="1741"/>
      <c r="M19" s="1689"/>
      <c r="N19" s="1498"/>
      <c r="Q19" s="1802"/>
      <c r="S19" s="1823" t="s">
        <v>2539</v>
      </c>
      <c r="T19" s="1823">
        <f t="shared" si="0"/>
        <v>0</v>
      </c>
      <c r="U19"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19"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row>
    <row r="20" spans="1:25" s="387" customFormat="1" ht="42.75" customHeight="1" x14ac:dyDescent="0.25">
      <c r="A20" s="35"/>
      <c r="B20" s="677" t="s">
        <v>829</v>
      </c>
      <c r="C20" s="1415" t="s">
        <v>1887</v>
      </c>
      <c r="D20" s="1543"/>
      <c r="E20" s="1336" t="s">
        <v>144</v>
      </c>
      <c r="F20" s="1418"/>
      <c r="G20" s="1836"/>
      <c r="H20" s="1739"/>
      <c r="I20" s="1740"/>
      <c r="J20" s="1837"/>
      <c r="K20" s="1639"/>
      <c r="L20" s="1741"/>
      <c r="M20" s="1838"/>
      <c r="N20" s="1498"/>
      <c r="Q20" s="1802"/>
      <c r="S20" s="1823" t="s">
        <v>2539</v>
      </c>
      <c r="T20" s="1823">
        <f t="shared" si="0"/>
        <v>0</v>
      </c>
      <c r="U20"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20"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row>
    <row r="21" spans="1:25" s="387" customFormat="1" ht="50.25" customHeight="1" x14ac:dyDescent="0.25">
      <c r="A21" s="35"/>
      <c r="B21" s="677" t="s">
        <v>3024</v>
      </c>
      <c r="C21" s="1415" t="s">
        <v>3427</v>
      </c>
      <c r="D21" s="1543"/>
      <c r="E21" s="1523" t="s">
        <v>207</v>
      </c>
      <c r="F21" s="1418"/>
      <c r="G21" s="2129"/>
      <c r="H21" s="2130"/>
      <c r="I21" s="2131"/>
      <c r="J21" s="1958"/>
      <c r="K21" s="1639"/>
      <c r="L21" s="1408"/>
      <c r="M21" s="1347"/>
      <c r="N21" s="1498"/>
      <c r="Q21" s="1802"/>
      <c r="S21" s="1823" t="s">
        <v>2539</v>
      </c>
      <c r="T21" s="1823">
        <f t="shared" si="0"/>
        <v>0</v>
      </c>
      <c r="U21"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21"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c r="X21" s="1802">
        <f>IF(E21="kW",G21,"")</f>
        <v>0</v>
      </c>
      <c r="Y21" s="1802">
        <f>IF(E21="kW",J21,"")</f>
        <v>0</v>
      </c>
    </row>
    <row r="22" spans="1:25" s="387" customFormat="1" x14ac:dyDescent="0.25">
      <c r="A22" s="35"/>
      <c r="B22" s="677" t="s">
        <v>816</v>
      </c>
      <c r="C22" s="1415" t="s">
        <v>1532</v>
      </c>
      <c r="D22" s="1543"/>
      <c r="E22" s="1336" t="str">
        <f>IF('General Information'!$R$14="IP","gpm","L/s")</f>
        <v>gpm</v>
      </c>
      <c r="F22" s="1418"/>
      <c r="G22" s="2132"/>
      <c r="H22" s="2133"/>
      <c r="I22" s="2134"/>
      <c r="J22" s="1781"/>
      <c r="K22" s="1639"/>
      <c r="L22" s="1741"/>
      <c r="M22" s="1689"/>
      <c r="N22" s="1498"/>
      <c r="Q22" s="1802"/>
      <c r="S22" s="1823" t="s">
        <v>2539</v>
      </c>
      <c r="T22" s="1823">
        <f t="shared" si="0"/>
        <v>0</v>
      </c>
      <c r="U22"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22"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row>
    <row r="23" spans="1:25" s="387" customFormat="1" ht="22.5" customHeight="1" x14ac:dyDescent="0.25">
      <c r="A23" s="35"/>
      <c r="B23" s="677" t="s">
        <v>817</v>
      </c>
      <c r="C23" s="1415" t="s">
        <v>1533</v>
      </c>
      <c r="D23" s="1543"/>
      <c r="E23" s="1335" t="s">
        <v>266</v>
      </c>
      <c r="F23" s="1418"/>
      <c r="G23" s="1687"/>
      <c r="H23" s="1739"/>
      <c r="I23" s="1740"/>
      <c r="J23" s="1696"/>
      <c r="K23" s="1639"/>
      <c r="L23" s="1741"/>
      <c r="M23" s="1689"/>
      <c r="N23" s="1498"/>
      <c r="Q23" s="1802"/>
      <c r="S23" s="1823" t="s">
        <v>2539</v>
      </c>
      <c r="T23" s="1823">
        <f t="shared" si="0"/>
        <v>0</v>
      </c>
      <c r="U23"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23"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row>
    <row r="24" spans="1:25" s="387" customFormat="1" ht="49.95" customHeight="1" x14ac:dyDescent="0.25">
      <c r="A24" s="35"/>
      <c r="B24" s="677" t="s">
        <v>818</v>
      </c>
      <c r="C24" s="1415" t="s">
        <v>1888</v>
      </c>
      <c r="D24" s="1543"/>
      <c r="E24" s="1336" t="s">
        <v>144</v>
      </c>
      <c r="F24" s="1418"/>
      <c r="G24" s="1836"/>
      <c r="H24" s="1739"/>
      <c r="I24" s="1740"/>
      <c r="J24" s="1837"/>
      <c r="K24" s="1639"/>
      <c r="L24" s="1741"/>
      <c r="M24" s="1838"/>
      <c r="N24" s="1498"/>
      <c r="Q24" s="1802"/>
      <c r="S24" s="1823" t="s">
        <v>2539</v>
      </c>
      <c r="T24" s="1823">
        <f t="shared" si="0"/>
        <v>0</v>
      </c>
      <c r="U24"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24"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row>
    <row r="25" spans="1:25" s="387" customFormat="1" ht="73.5" customHeight="1" x14ac:dyDescent="0.25">
      <c r="A25" s="35"/>
      <c r="B25" s="677" t="s">
        <v>3025</v>
      </c>
      <c r="C25" s="1415" t="s">
        <v>3428</v>
      </c>
      <c r="D25" s="1543"/>
      <c r="E25" s="1523" t="s">
        <v>207</v>
      </c>
      <c r="F25" s="1418"/>
      <c r="G25" s="2129"/>
      <c r="H25" s="1739"/>
      <c r="I25" s="1740"/>
      <c r="J25" s="2129"/>
      <c r="K25" s="1639"/>
      <c r="L25" s="1741"/>
      <c r="M25" s="1689"/>
      <c r="N25" s="1498"/>
      <c r="Q25" s="1802"/>
      <c r="S25" s="1823" t="s">
        <v>2539</v>
      </c>
      <c r="T25" s="1823">
        <f t="shared" si="0"/>
        <v>0</v>
      </c>
      <c r="U25"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25"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c r="X25" s="1802">
        <f>IF(E25="kW",G25,"")</f>
        <v>0</v>
      </c>
      <c r="Y25" s="1802">
        <f>IF(E25="kW",J25,"")</f>
        <v>0</v>
      </c>
    </row>
    <row r="26" spans="1:25" s="387" customFormat="1" ht="26.4" x14ac:dyDescent="0.25">
      <c r="A26" s="35"/>
      <c r="B26" s="677" t="s">
        <v>819</v>
      </c>
      <c r="C26" s="1415" t="s">
        <v>1532</v>
      </c>
      <c r="D26" s="1543"/>
      <c r="E26" s="1336" t="str">
        <f>IF('General Information'!$R$14="IP","gpm","L/s")</f>
        <v>gpm</v>
      </c>
      <c r="F26" s="1418"/>
      <c r="G26" s="2132"/>
      <c r="H26" s="1739"/>
      <c r="I26" s="1740"/>
      <c r="J26" s="2129"/>
      <c r="K26" s="1639"/>
      <c r="L26" s="1741"/>
      <c r="M26" s="1689"/>
      <c r="N26" s="1498"/>
      <c r="Q26" s="1802"/>
      <c r="S26" s="1823" t="s">
        <v>2539</v>
      </c>
      <c r="T26" s="1823">
        <f t="shared" si="0"/>
        <v>0</v>
      </c>
      <c r="U26"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26"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row>
    <row r="27" spans="1:25" s="387" customFormat="1" ht="25.95" customHeight="1" x14ac:dyDescent="0.25">
      <c r="A27" s="35"/>
      <c r="B27" s="677" t="s">
        <v>820</v>
      </c>
      <c r="C27" s="1415" t="s">
        <v>1534</v>
      </c>
      <c r="D27" s="1543"/>
      <c r="E27" s="1335" t="s">
        <v>266</v>
      </c>
      <c r="F27" s="1418"/>
      <c r="G27" s="1687"/>
      <c r="H27" s="1739"/>
      <c r="I27" s="1740"/>
      <c r="J27" s="1718"/>
      <c r="K27" s="1639"/>
      <c r="L27" s="1741"/>
      <c r="M27" s="1689"/>
      <c r="N27" s="1498"/>
      <c r="Q27" s="1802"/>
      <c r="S27" s="1823" t="s">
        <v>2539</v>
      </c>
      <c r="T27" s="1823">
        <f t="shared" si="0"/>
        <v>0</v>
      </c>
      <c r="U27"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27"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row>
    <row r="28" spans="1:25" s="387" customFormat="1" x14ac:dyDescent="0.25">
      <c r="A28" s="35"/>
      <c r="B28" s="677" t="s">
        <v>313</v>
      </c>
      <c r="C28" s="1415" t="s">
        <v>1949</v>
      </c>
      <c r="D28" s="1543"/>
      <c r="E28" s="1335" t="s">
        <v>266</v>
      </c>
      <c r="F28" s="1418"/>
      <c r="G28" s="1687"/>
      <c r="H28" s="1739"/>
      <c r="I28" s="1740"/>
      <c r="J28" s="1696"/>
      <c r="K28" s="1639"/>
      <c r="L28" s="1741"/>
      <c r="M28" s="1689"/>
      <c r="N28" s="1498"/>
      <c r="Q28" s="1802"/>
      <c r="S28" s="1823" t="s">
        <v>2539</v>
      </c>
      <c r="T28" s="1823">
        <f t="shared" si="0"/>
        <v>0</v>
      </c>
      <c r="U28"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28"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row>
    <row r="29" spans="1:25" s="387" customFormat="1" x14ac:dyDescent="0.25">
      <c r="A29" s="35"/>
      <c r="B29" s="677" t="s">
        <v>312</v>
      </c>
      <c r="C29" s="1415" t="s">
        <v>1949</v>
      </c>
      <c r="D29" s="1545"/>
      <c r="E29" s="1335" t="s">
        <v>266</v>
      </c>
      <c r="F29" s="1419"/>
      <c r="G29" s="1687"/>
      <c r="H29" s="1743"/>
      <c r="I29" s="1744"/>
      <c r="J29" s="1696"/>
      <c r="K29" s="1639"/>
      <c r="L29" s="1745"/>
      <c r="M29" s="1689"/>
      <c r="N29" s="1498"/>
      <c r="Q29" s="1802"/>
      <c r="S29" s="1823" t="s">
        <v>2539</v>
      </c>
      <c r="T29" s="1823">
        <f t="shared" si="0"/>
        <v>0</v>
      </c>
      <c r="U29" s="1823" t="str">
        <f>G11&amp;" chiller(s) with capacity of "&amp;G13&amp;" "&amp;E13&amp;" and efficiency of "&amp;G14&amp;" "&amp;E14&amp;" and "&amp;G15&amp;" "&amp;E15&amp;". This is a "&amp;G19&amp;" CHW loop configuration with "&amp;G20&amp;" CHW pumps with pump power of "&amp;G21&amp;" "&amp;E21&amp;" and pump flow of "&amp;G22&amp;" gpm with "&amp;G23&amp;", pump control."</f>
        <v xml:space="preserve"> chiller(s) with capacity of  tons and efficiency of  FL kW/Ton and  IPLV kW/Ton. This is a  CHW loop configuration with  CHW pumps with pump power of  kW and pump flow of  gpm with , pump control.</v>
      </c>
      <c r="V29" s="1823" t="str">
        <f>J11&amp;" chiller(s) with capacity of "&amp;J13&amp;" "&amp;E13&amp;" and efficiency of "&amp;J14&amp;" "&amp;E14&amp;" and "&amp;J15&amp;" "&amp;E15&amp;". This is a "&amp;J19&amp;" CHW loop configuration with "&amp;J20&amp;" CHW pumps with pump power of "&amp;J21&amp;" "&amp;E21&amp;" and pump flow of "&amp;J22&amp;" gpm with "&amp;J23&amp;", pump control."</f>
        <v xml:space="preserve"> chiller(s) with capacity of  tons and efficiency of  FL kW/Ton and  IPLV kW/Ton. This is a  CHW loop configuration with  CHW pumps with pump power of  kW and pump flow of  gpm with , pump control.</v>
      </c>
    </row>
    <row r="30" spans="1:25" s="866" customFormat="1" ht="21" customHeight="1" x14ac:dyDescent="0.25">
      <c r="G30" s="1546"/>
      <c r="H30" s="1546"/>
      <c r="I30" s="1546"/>
      <c r="J30" s="1546"/>
      <c r="K30" s="1546"/>
      <c r="L30" s="1546"/>
      <c r="M30" s="1546"/>
      <c r="N30" s="1546"/>
      <c r="Q30" s="1609"/>
    </row>
    <row r="31" spans="1:25" s="866" customFormat="1" ht="3.75" customHeight="1" x14ac:dyDescent="0.25">
      <c r="G31" s="1546"/>
      <c r="H31" s="1546"/>
      <c r="I31" s="1546"/>
      <c r="J31" s="1546"/>
      <c r="K31" s="1546"/>
      <c r="L31" s="1546"/>
      <c r="M31" s="1546"/>
      <c r="N31" s="1546"/>
      <c r="Q31" s="1609"/>
    </row>
    <row r="32" spans="1:25" s="866" customFormat="1" ht="21.45" customHeight="1" x14ac:dyDescent="0.25">
      <c r="G32" s="1546"/>
      <c r="H32" s="1546"/>
      <c r="I32" s="1546"/>
      <c r="J32" s="1546"/>
      <c r="K32" s="1546"/>
      <c r="L32" s="1546"/>
      <c r="M32" s="32"/>
      <c r="N32" s="1179"/>
      <c r="Q32" s="1609"/>
    </row>
    <row r="33" spans="1:25" s="347" customFormat="1" ht="34.200000000000003" customHeight="1" x14ac:dyDescent="0.25">
      <c r="B33" s="7" t="s">
        <v>2404</v>
      </c>
      <c r="C33" s="7"/>
      <c r="D33" s="9"/>
      <c r="E33" s="9"/>
      <c r="F33" s="3794" t="str">
        <f>"Baseline"&amp;"-"&amp;'General Information'!$H$49</f>
        <v>Baseline-</v>
      </c>
      <c r="G33" s="3795"/>
      <c r="H33" s="3794"/>
      <c r="I33" s="3796" t="s">
        <v>2682</v>
      </c>
      <c r="J33" s="3799"/>
      <c r="K33" s="3465"/>
      <c r="L33" s="1876"/>
      <c r="M33" s="3797" t="str">
        <f>"Prescriptive Requirement of "&amp;'General Information'!H55&amp;" Applicable to App. G Baseline"</f>
        <v>Prescriptive Requirement of ASHRAE 90.1-2016 Applicable to App. G Baseline</v>
      </c>
      <c r="N33" s="3390" t="s">
        <v>2544</v>
      </c>
      <c r="Q33" s="1521"/>
      <c r="S33" s="396"/>
      <c r="T33" s="396"/>
      <c r="U33" s="396"/>
      <c r="V33" s="396"/>
    </row>
    <row r="34" spans="1:25" s="387" customFormat="1" ht="34.200000000000003" customHeight="1" x14ac:dyDescent="0.25">
      <c r="A34" s="35"/>
      <c r="B34" s="1507" t="s">
        <v>0</v>
      </c>
      <c r="C34" s="1500" t="str">
        <f>$C$10</f>
        <v xml:space="preserve"> - Baseline Systems Helpful Notes</v>
      </c>
      <c r="D34" s="1526"/>
      <c r="E34" s="1414" t="s">
        <v>143</v>
      </c>
      <c r="F34" s="1526"/>
      <c r="G34" s="1338">
        <f>G10</f>
        <v>0</v>
      </c>
      <c r="H34" s="1420"/>
      <c r="I34" s="1421"/>
      <c r="J34" s="947" t="s">
        <v>1305</v>
      </c>
      <c r="K34" s="1878" t="s">
        <v>2610</v>
      </c>
      <c r="L34" s="1408"/>
      <c r="M34" s="3798"/>
      <c r="N34" s="3392"/>
      <c r="Q34" s="1521"/>
    </row>
    <row r="35" spans="1:25" s="387" customFormat="1" ht="20.7" customHeight="1" x14ac:dyDescent="0.25">
      <c r="A35" s="35"/>
      <c r="B35" s="677" t="s">
        <v>311</v>
      </c>
      <c r="C35" s="1415" t="s">
        <v>1535</v>
      </c>
      <c r="D35" s="1543"/>
      <c r="E35" s="1336" t="s">
        <v>144</v>
      </c>
      <c r="F35" s="1418"/>
      <c r="G35" s="1836"/>
      <c r="H35" s="1739"/>
      <c r="I35" s="1740"/>
      <c r="J35" s="1837"/>
      <c r="K35" s="1639"/>
      <c r="L35" s="1741"/>
      <c r="M35" s="1838"/>
      <c r="N35" s="1498"/>
      <c r="Q35" s="1802"/>
      <c r="S35" s="1823" t="s">
        <v>2540</v>
      </c>
      <c r="T35" s="1823">
        <f>N35</f>
        <v>0</v>
      </c>
      <c r="U35" s="1823" t="str">
        <f>G35&amp;" Cooling tower(s), or fluid cooler(s), with fan power of "&amp;G36&amp;" "&amp;E36&amp;" and "&amp;G37&amp;" control. The CW leaving temperature is "&amp;G38&amp;" (F) with a CW dela T of "&amp;G39&amp;" (F) and reset parameters include: "&amp;G40&amp;". There are "&amp;G41&amp;" CW pump with pump power of "&amp;G42&amp;" "&amp;E42&amp;", pump flow of "&amp;G43&amp;" gpm and "&amp;G44&amp;" control."</f>
        <v xml:space="preserve"> Cooling tower(s), or fluid cooler(s), with fan power of  kW and  control. The CW leaving temperature is  (F) with a CW dela T of  (F) and reset parameters include: . There are  CW pump with pump power of  kW, pump flow of  gpm and  control.</v>
      </c>
      <c r="V35" s="1823" t="str">
        <f>J35&amp;" Cooling tower(s), or fluid cooler(s), with fan power of "&amp;J36&amp;" "&amp;E36&amp;" and "&amp;J37&amp;" control. The CW leaving temperature is "&amp;J38&amp;" (F) with a CW dela T of "&amp;J39&amp;" (F) and reset parameters include: "&amp;J40&amp;". There are "&amp;J41&amp;" CW pump with pump power of "&amp;J42&amp;" "&amp;E42&amp;", pump flow of "&amp;J43&amp;" gpm and "&amp;J44&amp;" control."</f>
        <v xml:space="preserve"> Cooling tower(s), or fluid cooler(s), with fan power of  kW and  control. The CW leaving temperature is  (F) with a CW dela T of  (F) and reset parameters include: . There are  CW pump with pump power of  kW, pump flow of  gpm and  control.</v>
      </c>
    </row>
    <row r="36" spans="1:25" s="387" customFormat="1" ht="20.7" customHeight="1" x14ac:dyDescent="0.25">
      <c r="A36" s="35"/>
      <c r="B36" s="677" t="s">
        <v>310</v>
      </c>
      <c r="C36" s="1415" t="s">
        <v>2129</v>
      </c>
      <c r="D36" s="1543"/>
      <c r="E36" s="1523" t="s">
        <v>207</v>
      </c>
      <c r="F36" s="1418"/>
      <c r="G36" s="1687"/>
      <c r="H36" s="1739"/>
      <c r="I36" s="1740"/>
      <c r="J36" s="1696"/>
      <c r="K36" s="1639"/>
      <c r="L36" s="1741"/>
      <c r="M36" s="1689"/>
      <c r="N36" s="1498"/>
      <c r="Q36" s="1802"/>
      <c r="S36" s="1823" t="s">
        <v>2540</v>
      </c>
      <c r="T36" s="1823">
        <f t="shared" ref="T36:T44" si="1">N36</f>
        <v>0</v>
      </c>
      <c r="U36" s="1823" t="str">
        <f>G35&amp;" Cooling tower(s), or fluid cooler(s), with fan power of "&amp;G36&amp;" "&amp;E36&amp;" and "&amp;G37&amp;" control. The CW leaving temperature is "&amp;G38&amp;" (F) with a CW dela T of "&amp;G39&amp;" (F) and reset parameters include: "&amp;G40&amp;". There are "&amp;G41&amp;" CW pump with pump power of "&amp;G42&amp;" "&amp;E42&amp;", pump flow of "&amp;G43&amp;" gpm and "&amp;G44&amp;" control."</f>
        <v xml:space="preserve"> Cooling tower(s), or fluid cooler(s), with fan power of  kW and  control. The CW leaving temperature is  (F) with a CW dela T of  (F) and reset parameters include: . There are  CW pump with pump power of  kW, pump flow of  gpm and  control.</v>
      </c>
      <c r="V36" s="1823" t="str">
        <f>J35&amp;" Cooling tower(s), or fluid cooler(s), with fan power of "&amp;J36&amp;" "&amp;E36&amp;" and "&amp;J37&amp;" control. The CW leaving temperature is "&amp;J38&amp;" (F) with a CW dela T of "&amp;J39&amp;" (F) and reset parameters include: "&amp;J40&amp;". There are "&amp;J41&amp;" CW pump with pump power of "&amp;J42&amp;" "&amp;E42&amp;", pump flow of "&amp;J43&amp;" gpm and "&amp;J44&amp;" control."</f>
        <v xml:space="preserve"> Cooling tower(s), or fluid cooler(s), with fan power of  kW and  control. The CW leaving temperature is  (F) with a CW dela T of  (F) and reset parameters include: . There are  CW pump with pump power of  kW, pump flow of  gpm and  control.</v>
      </c>
    </row>
    <row r="37" spans="1:25" s="387" customFormat="1" ht="20.7" customHeight="1" x14ac:dyDescent="0.25">
      <c r="A37" s="35"/>
      <c r="B37" s="677" t="s">
        <v>309</v>
      </c>
      <c r="C37" s="1415" t="s">
        <v>2130</v>
      </c>
      <c r="D37" s="1543"/>
      <c r="E37" s="1335" t="s">
        <v>266</v>
      </c>
      <c r="F37" s="1418"/>
      <c r="G37" s="1687"/>
      <c r="H37" s="1739"/>
      <c r="I37" s="1740"/>
      <c r="J37" s="1696"/>
      <c r="K37" s="1639"/>
      <c r="L37" s="1741"/>
      <c r="M37" s="1689"/>
      <c r="N37" s="1498"/>
      <c r="Q37" s="1802"/>
      <c r="S37" s="1823" t="s">
        <v>2540</v>
      </c>
      <c r="T37" s="1823">
        <f t="shared" si="1"/>
        <v>0</v>
      </c>
      <c r="U37" s="1823" t="str">
        <f>G35&amp;" Cooling tower(s), or fluid cooler(s), with fan power of "&amp;G36&amp;" "&amp;E36&amp;" and "&amp;G37&amp;" control. The CW leaving temperature is "&amp;G38&amp;" (F) with a CW dela T of "&amp;G39&amp;" (F) and reset parameters include: "&amp;G40&amp;". There are "&amp;G41&amp;" CW pump with pump power of "&amp;G42&amp;" "&amp;E42&amp;", pump flow of "&amp;G43&amp;" gpm and "&amp;G44&amp;" control."</f>
        <v xml:space="preserve"> Cooling tower(s), or fluid cooler(s), with fan power of  kW and  control. The CW leaving temperature is  (F) with a CW dela T of  (F) and reset parameters include: . There are  CW pump with pump power of  kW, pump flow of  gpm and  control.</v>
      </c>
      <c r="V37" s="1823" t="str">
        <f>J35&amp;" Cooling tower(s), or fluid cooler(s), with fan power of "&amp;J36&amp;" "&amp;E36&amp;" and "&amp;J37&amp;" control. The CW leaving temperature is "&amp;J38&amp;" (F) with a CW dela T of "&amp;J39&amp;" (F) and reset parameters include: "&amp;J40&amp;". There are "&amp;J41&amp;" CW pump with pump power of "&amp;J42&amp;" "&amp;E42&amp;", pump flow of "&amp;J43&amp;" gpm and "&amp;J44&amp;" control."</f>
        <v xml:space="preserve"> Cooling tower(s), or fluid cooler(s), with fan power of  kW and  control. The CW leaving temperature is  (F) with a CW dela T of  (F) and reset parameters include: . There are  CW pump with pump power of  kW, pump flow of  gpm and  control.</v>
      </c>
    </row>
    <row r="38" spans="1:25" s="387" customFormat="1" ht="22.5" customHeight="1" x14ac:dyDescent="0.25">
      <c r="A38" s="35"/>
      <c r="B38" s="677" t="s">
        <v>308</v>
      </c>
      <c r="C38" s="1416" t="s">
        <v>1844</v>
      </c>
      <c r="D38" s="1543"/>
      <c r="E38" s="1336" t="str">
        <f>IF('General Information'!$R$14="IP","°F","°C")</f>
        <v>°F</v>
      </c>
      <c r="F38" s="1418"/>
      <c r="G38" s="1329"/>
      <c r="H38" s="1422"/>
      <c r="I38" s="1423"/>
      <c r="J38" s="1498"/>
      <c r="K38" s="1639"/>
      <c r="L38" s="1408"/>
      <c r="M38" s="1347"/>
      <c r="N38" s="1498"/>
      <c r="Q38" s="1802"/>
      <c r="S38" s="1823" t="s">
        <v>2540</v>
      </c>
      <c r="T38" s="1823">
        <f t="shared" si="1"/>
        <v>0</v>
      </c>
      <c r="U38" s="1823" t="str">
        <f>G35&amp;" Cooling tower(s), or fluid cooler(s), with fan power of "&amp;G36&amp;" "&amp;E36&amp;" and "&amp;G37&amp;" control. The CW leaving temperature is "&amp;G38&amp;" (F) with a CW dela T of "&amp;G39&amp;" (F) and reset parameters include: "&amp;G40&amp;". There are "&amp;G41&amp;" CW pump with pump power of "&amp;G42&amp;" "&amp;E42&amp;", pump flow of "&amp;G43&amp;" gpm and "&amp;G44&amp;" control."</f>
        <v xml:space="preserve"> Cooling tower(s), or fluid cooler(s), with fan power of  kW and  control. The CW leaving temperature is  (F) with a CW dela T of  (F) and reset parameters include: . There are  CW pump with pump power of  kW, pump flow of  gpm and  control.</v>
      </c>
      <c r="V38" s="1823" t="str">
        <f>J35&amp;" Cooling tower(s), or fluid cooler(s), with fan power of "&amp;J36&amp;" "&amp;E36&amp;" and "&amp;J37&amp;" control. The CW leaving temperature is "&amp;J38&amp;" (F) with a CW dela T of "&amp;J39&amp;" (F) and reset parameters include: "&amp;J40&amp;". There are "&amp;J41&amp;" CW pump with pump power of "&amp;J42&amp;" "&amp;E42&amp;", pump flow of "&amp;J43&amp;" gpm and "&amp;J44&amp;" control."</f>
        <v xml:space="preserve"> Cooling tower(s), or fluid cooler(s), with fan power of  kW and  control. The CW leaving temperature is  (F) with a CW dela T of  (F) and reset parameters include: . There are  CW pump with pump power of  kW, pump flow of  gpm and  control.</v>
      </c>
    </row>
    <row r="39" spans="1:25" s="387" customFormat="1" ht="20.7" customHeight="1" x14ac:dyDescent="0.25">
      <c r="A39" s="35"/>
      <c r="B39" s="677" t="s">
        <v>145</v>
      </c>
      <c r="C39" s="1415" t="s">
        <v>1536</v>
      </c>
      <c r="D39" s="1543"/>
      <c r="E39" s="1336" t="str">
        <f>IF('General Information'!$R$14="IP","°F","°C")</f>
        <v>°F</v>
      </c>
      <c r="F39" s="1418"/>
      <c r="G39" s="2129"/>
      <c r="H39" s="1422"/>
      <c r="I39" s="1423"/>
      <c r="J39" s="1498"/>
      <c r="K39" s="1639"/>
      <c r="L39" s="1408"/>
      <c r="M39" s="1347"/>
      <c r="N39" s="1498"/>
      <c r="Q39" s="1802"/>
      <c r="S39" s="1823" t="s">
        <v>2540</v>
      </c>
      <c r="T39" s="1823">
        <f t="shared" si="1"/>
        <v>0</v>
      </c>
      <c r="U39" s="1823" t="str">
        <f>G35&amp;" Cooling tower(s), or fluid cooler(s), with fan power of "&amp;G36&amp;" "&amp;E36&amp;" and "&amp;G37&amp;" control. The CW leaving temperature is "&amp;G38&amp;" (F) with a CW dela T of "&amp;G39&amp;" (F) and reset parameters include: "&amp;G40&amp;". There are "&amp;G41&amp;" CW pump with pump power of "&amp;G42&amp;" "&amp;E42&amp;", pump flow of "&amp;G43&amp;" gpm and "&amp;G44&amp;" control."</f>
        <v xml:space="preserve"> Cooling tower(s), or fluid cooler(s), with fan power of  kW and  control. The CW leaving temperature is  (F) with a CW dela T of  (F) and reset parameters include: . There are  CW pump with pump power of  kW, pump flow of  gpm and  control.</v>
      </c>
      <c r="V39" s="1823" t="str">
        <f>J35&amp;" Cooling tower(s), or fluid cooler(s), with fan power of "&amp;J36&amp;" "&amp;E36&amp;" and "&amp;J37&amp;" control. The CW leaving temperature is "&amp;J38&amp;" (F) with a CW dela T of "&amp;J39&amp;" (F) and reset parameters include: "&amp;J40&amp;". There are "&amp;J41&amp;" CW pump with pump power of "&amp;J42&amp;" "&amp;E42&amp;", pump flow of "&amp;J43&amp;" gpm and "&amp;J44&amp;" control."</f>
        <v xml:space="preserve"> Cooling tower(s), or fluid cooler(s), with fan power of  kW and  control. The CW leaving temperature is  (F) with a CW dela T of  (F) and reset parameters include: . There are  CW pump with pump power of  kW, pump flow of  gpm and  control.</v>
      </c>
    </row>
    <row r="40" spans="1:25" s="387" customFormat="1" ht="36" customHeight="1" x14ac:dyDescent="0.25">
      <c r="A40" s="35"/>
      <c r="B40" s="677" t="s">
        <v>307</v>
      </c>
      <c r="C40" s="1415" t="s">
        <v>3426</v>
      </c>
      <c r="D40" s="1543"/>
      <c r="E40" s="1335" t="s">
        <v>266</v>
      </c>
      <c r="F40" s="1418"/>
      <c r="G40" s="1687"/>
      <c r="H40" s="1739"/>
      <c r="I40" s="1740"/>
      <c r="J40" s="1696"/>
      <c r="K40" s="1639"/>
      <c r="L40" s="1741"/>
      <c r="M40" s="1689"/>
      <c r="N40" s="1498"/>
      <c r="Q40" s="1802"/>
      <c r="S40" s="1823" t="s">
        <v>2540</v>
      </c>
      <c r="T40" s="1823">
        <f t="shared" si="1"/>
        <v>0</v>
      </c>
      <c r="U40" s="1823" t="str">
        <f>G35&amp;" Cooling tower(s), or fluid cooler(s), with fan power of "&amp;G36&amp;" "&amp;E36&amp;" and "&amp;G37&amp;" control. The CW leaving temperature is "&amp;G38&amp;" (F) with a CW dela T of "&amp;G39&amp;" (F) and reset parameters include: "&amp;G40&amp;". There are "&amp;G41&amp;" CW pump with pump power of "&amp;G42&amp;" "&amp;E42&amp;", pump flow of "&amp;G43&amp;" gpm and "&amp;G44&amp;" control."</f>
        <v xml:space="preserve"> Cooling tower(s), or fluid cooler(s), with fan power of  kW and  control. The CW leaving temperature is  (F) with a CW dela T of  (F) and reset parameters include: . There are  CW pump with pump power of  kW, pump flow of  gpm and  control.</v>
      </c>
      <c r="V40" s="1823" t="str">
        <f>J35&amp;" Cooling tower(s), or fluid cooler(s), with fan power of "&amp;J36&amp;" "&amp;E36&amp;" and "&amp;J37&amp;" control. The CW leaving temperature is "&amp;J38&amp;" (F) with a CW dela T of "&amp;J39&amp;" (F) and reset parameters include: "&amp;J40&amp;". There are "&amp;J41&amp;" CW pump with pump power of "&amp;J42&amp;" "&amp;E42&amp;", pump flow of "&amp;J43&amp;" gpm and "&amp;J44&amp;" control."</f>
        <v xml:space="preserve"> Cooling tower(s), or fluid cooler(s), with fan power of  kW and  control. The CW leaving temperature is  (F) with a CW dela T of  (F) and reset parameters include: . There are  CW pump with pump power of  kW, pump flow of  gpm and  control.</v>
      </c>
    </row>
    <row r="41" spans="1:25" s="387" customFormat="1" ht="20.7" customHeight="1" x14ac:dyDescent="0.25">
      <c r="A41" s="35"/>
      <c r="B41" s="677" t="s">
        <v>306</v>
      </c>
      <c r="C41" s="1415" t="s">
        <v>1537</v>
      </c>
      <c r="D41" s="1543"/>
      <c r="E41" s="1336" t="s">
        <v>144</v>
      </c>
      <c r="F41" s="1418"/>
      <c r="G41" s="1836"/>
      <c r="H41" s="1739"/>
      <c r="I41" s="1740"/>
      <c r="J41" s="1837"/>
      <c r="K41" s="1639"/>
      <c r="L41" s="1741"/>
      <c r="M41" s="1838"/>
      <c r="N41" s="1498"/>
      <c r="Q41" s="1802"/>
      <c r="S41" s="1823" t="s">
        <v>2540</v>
      </c>
      <c r="T41" s="1823">
        <f t="shared" si="1"/>
        <v>0</v>
      </c>
      <c r="U41" s="1823" t="str">
        <f>G35&amp;" Cooling tower(s), or fluid cooler(s), with fan power of "&amp;G36&amp;" "&amp;E36&amp;" and "&amp;G37&amp;" control. The CW leaving temperature is "&amp;G38&amp;" (F) with a CW dela T of "&amp;G39&amp;" (F) and reset parameters include: "&amp;G40&amp;". There are "&amp;G41&amp;" CW pump with pump power of "&amp;G42&amp;" "&amp;E42&amp;", pump flow of "&amp;G43&amp;" gpm and "&amp;G44&amp;" control."</f>
        <v xml:space="preserve"> Cooling tower(s), or fluid cooler(s), with fan power of  kW and  control. The CW leaving temperature is  (F) with a CW dela T of  (F) and reset parameters include: . There are  CW pump with pump power of  kW, pump flow of  gpm and  control.</v>
      </c>
      <c r="V41" s="1823" t="str">
        <f>J35&amp;" Cooling tower(s), or fluid cooler(s), with fan power of "&amp;J36&amp;" "&amp;E36&amp;" and "&amp;J37&amp;" control. The CW leaving temperature is "&amp;J38&amp;" (F) with a CW dela T of "&amp;J39&amp;" (F) and reset parameters include: "&amp;J40&amp;". There are "&amp;J41&amp;" CW pump with pump power of "&amp;J42&amp;" "&amp;E42&amp;", pump flow of "&amp;J43&amp;" gpm and "&amp;J44&amp;" control."</f>
        <v xml:space="preserve"> Cooling tower(s), or fluid cooler(s), with fan power of  kW and  control. The CW leaving temperature is  (F) with a CW dela T of  (F) and reset parameters include: . There are  CW pump with pump power of  kW, pump flow of  gpm and  control.</v>
      </c>
    </row>
    <row r="42" spans="1:25" s="387" customFormat="1" ht="20.7" customHeight="1" x14ac:dyDescent="0.25">
      <c r="A42" s="35"/>
      <c r="B42" s="677" t="s">
        <v>3026</v>
      </c>
      <c r="C42" s="1415" t="s">
        <v>1889</v>
      </c>
      <c r="D42" s="1543"/>
      <c r="E42" s="1523" t="s">
        <v>207</v>
      </c>
      <c r="F42" s="1418"/>
      <c r="G42" s="1687"/>
      <c r="H42" s="1739"/>
      <c r="I42" s="1740"/>
      <c r="J42" s="1696"/>
      <c r="K42" s="1639"/>
      <c r="L42" s="1741"/>
      <c r="M42" s="1689"/>
      <c r="N42" s="1498"/>
      <c r="Q42" s="1802"/>
      <c r="S42" s="1823" t="s">
        <v>2540</v>
      </c>
      <c r="T42" s="1823">
        <f t="shared" si="1"/>
        <v>0</v>
      </c>
      <c r="U42" s="1823" t="str">
        <f>G35&amp;" Cooling tower(s), or fluid cooler(s), with fan power of "&amp;G36&amp;" "&amp;E36&amp;" and "&amp;G37&amp;" control. The CW leaving temperature is "&amp;G38&amp;" (F) with a CW dela T of "&amp;G39&amp;" (F) and reset parameters include: "&amp;G40&amp;". There are "&amp;G41&amp;" CW pump with pump power of "&amp;G42&amp;" "&amp;E42&amp;", pump flow of "&amp;G43&amp;" gpm and "&amp;G44&amp;" control."</f>
        <v xml:space="preserve"> Cooling tower(s), or fluid cooler(s), with fan power of  kW and  control. The CW leaving temperature is  (F) with a CW dela T of  (F) and reset parameters include: . There are  CW pump with pump power of  kW, pump flow of  gpm and  control.</v>
      </c>
      <c r="V42" s="1823" t="str">
        <f>J35&amp;" Cooling tower(s), or fluid cooler(s), with fan power of "&amp;J36&amp;" "&amp;E36&amp;" and "&amp;J37&amp;" control. The CW leaving temperature is "&amp;J38&amp;" (F) with a CW dela T of "&amp;J39&amp;" (F) and reset parameters include: "&amp;J40&amp;". There are "&amp;J41&amp;" CW pump with pump power of "&amp;J42&amp;" "&amp;E42&amp;", pump flow of "&amp;J43&amp;" gpm and "&amp;J44&amp;" control."</f>
        <v xml:space="preserve"> Cooling tower(s), or fluid cooler(s), with fan power of  kW and  control. The CW leaving temperature is  (F) with a CW dela T of  (F) and reset parameters include: . There are  CW pump with pump power of  kW, pump flow of  gpm and  control.</v>
      </c>
      <c r="X42" s="1802">
        <f>IF(E42="kW",G42,"")</f>
        <v>0</v>
      </c>
      <c r="Y42" s="1802">
        <f>IF(E42="kW",J42,"")</f>
        <v>0</v>
      </c>
    </row>
    <row r="43" spans="1:25" s="387" customFormat="1" ht="20.7" customHeight="1" x14ac:dyDescent="0.25">
      <c r="A43" s="35"/>
      <c r="B43" s="677" t="s">
        <v>305</v>
      </c>
      <c r="C43" s="1415" t="s">
        <v>1538</v>
      </c>
      <c r="D43" s="1543"/>
      <c r="E43" s="1336" t="str">
        <f>IF('General Information'!$R$14="IP","gpm","L/s")</f>
        <v>gpm</v>
      </c>
      <c r="F43" s="1418"/>
      <c r="G43" s="1687"/>
      <c r="H43" s="1739"/>
      <c r="I43" s="1740"/>
      <c r="J43" s="1696"/>
      <c r="K43" s="1639"/>
      <c r="L43" s="1741"/>
      <c r="M43" s="1689"/>
      <c r="N43" s="1498"/>
      <c r="Q43" s="1802"/>
      <c r="S43" s="1823" t="s">
        <v>2540</v>
      </c>
      <c r="T43" s="1823">
        <f t="shared" si="1"/>
        <v>0</v>
      </c>
      <c r="U43" s="1823" t="str">
        <f>G35&amp;" Cooling tower(s), or fluid cooler(s), with fan power of "&amp;G36&amp;" "&amp;E36&amp;" and "&amp;G37&amp;" control. The CW leaving temperature is "&amp;G38&amp;" (F) with a CW dela T of "&amp;G39&amp;" (F) and reset parameters include: "&amp;G40&amp;". There are "&amp;G41&amp;" CW pump with pump power of "&amp;G42&amp;" "&amp;E42&amp;", pump flow of "&amp;G43&amp;" gpm and "&amp;G44&amp;" control."</f>
        <v xml:space="preserve"> Cooling tower(s), or fluid cooler(s), with fan power of  kW and  control. The CW leaving temperature is  (F) with a CW dela T of  (F) and reset parameters include: . There are  CW pump with pump power of  kW, pump flow of  gpm and  control.</v>
      </c>
      <c r="V43" s="1823" t="str">
        <f>J35&amp;" Cooling tower(s), or fluid cooler(s), with fan power of "&amp;J36&amp;" "&amp;E36&amp;" and "&amp;J37&amp;" control. The CW leaving temperature is "&amp;J38&amp;" (F) with a CW dela T of "&amp;J39&amp;" (F) and reset parameters include: "&amp;J40&amp;". There are "&amp;J41&amp;" CW pump with pump power of "&amp;J42&amp;" "&amp;E42&amp;", pump flow of "&amp;J43&amp;" gpm and "&amp;J44&amp;" control."</f>
        <v xml:space="preserve"> Cooling tower(s), or fluid cooler(s), with fan power of  kW and  control. The CW leaving temperature is  (F) with a CW dela T of  (F) and reset parameters include: . There are  CW pump with pump power of  kW, pump flow of  gpm and  control.</v>
      </c>
    </row>
    <row r="44" spans="1:25" s="387" customFormat="1" ht="20.7" customHeight="1" x14ac:dyDescent="0.25">
      <c r="A44" s="35"/>
      <c r="B44" s="677" t="s">
        <v>304</v>
      </c>
      <c r="C44" s="1415" t="s">
        <v>1539</v>
      </c>
      <c r="D44" s="1545"/>
      <c r="E44" s="1335" t="s">
        <v>266</v>
      </c>
      <c r="F44" s="1419"/>
      <c r="G44" s="1687"/>
      <c r="H44" s="1743"/>
      <c r="I44" s="1744"/>
      <c r="J44" s="1696"/>
      <c r="K44" s="1639"/>
      <c r="L44" s="1745"/>
      <c r="M44" s="1689"/>
      <c r="N44" s="1498"/>
      <c r="Q44" s="1802"/>
      <c r="S44" s="1823" t="s">
        <v>2540</v>
      </c>
      <c r="T44" s="1823">
        <f t="shared" si="1"/>
        <v>0</v>
      </c>
      <c r="U44" s="1823" t="str">
        <f>G35&amp;" Cooling tower(s), or fluid cooler(s), with fan power of "&amp;G36&amp;" "&amp;E36&amp;" and "&amp;G37&amp;" control. The CW leaving temperature is "&amp;G38&amp;" (F) with a CW dela T of "&amp;G39&amp;" (F) and reset parameters include: "&amp;G40&amp;". There are "&amp;G41&amp;" CW pump with pump power of "&amp;G42&amp;" "&amp;E42&amp;", pump flow of "&amp;G43&amp;" gpm and "&amp;G44&amp;" control."</f>
        <v xml:space="preserve"> Cooling tower(s), or fluid cooler(s), with fan power of  kW and  control. The CW leaving temperature is  (F) with a CW dela T of  (F) and reset parameters include: . There are  CW pump with pump power of  kW, pump flow of  gpm and  control.</v>
      </c>
      <c r="V44" s="1823" t="str">
        <f>J35&amp;" Cooling tower(s), or fluid cooler(s), with fan power of "&amp;J36&amp;" "&amp;E36&amp;" and "&amp;J37&amp;" control. The CW leaving temperature is "&amp;J38&amp;" (F) with a CW dela T of "&amp;J39&amp;" (F) and reset parameters include: "&amp;J40&amp;". There are "&amp;J41&amp;" CW pump with pump power of "&amp;J42&amp;" "&amp;E42&amp;", pump flow of "&amp;J43&amp;" gpm and "&amp;J44&amp;" control."</f>
        <v xml:space="preserve"> Cooling tower(s), or fluid cooler(s), with fan power of  kW and  control. The CW leaving temperature is  (F) with a CW dela T of  (F) and reset parameters include: . There are  CW pump with pump power of  kW, pump flow of  gpm and  control.</v>
      </c>
    </row>
    <row r="45" spans="1:25" s="866" customFormat="1" ht="21" customHeight="1" x14ac:dyDescent="0.25">
      <c r="G45" s="1546"/>
      <c r="H45" s="1546"/>
      <c r="I45" s="1546"/>
      <c r="J45" s="1546"/>
      <c r="K45" s="1546"/>
      <c r="L45" s="1546"/>
      <c r="M45" s="1546"/>
      <c r="N45" s="1546"/>
      <c r="Q45" s="1609"/>
    </row>
    <row r="46" spans="1:25" s="866" customFormat="1" ht="57" customHeight="1" x14ac:dyDescent="0.25">
      <c r="G46" s="1546"/>
      <c r="H46" s="1546"/>
      <c r="I46" s="1546"/>
      <c r="J46" s="1546"/>
      <c r="K46" s="1546"/>
      <c r="L46" s="1546"/>
      <c r="M46" s="32"/>
      <c r="N46" s="1179"/>
      <c r="Q46" s="1609"/>
    </row>
    <row r="47" spans="1:25" s="347" customFormat="1" ht="34.200000000000003" customHeight="1" x14ac:dyDescent="0.25">
      <c r="B47" s="7" t="s">
        <v>2405</v>
      </c>
      <c r="C47" s="7"/>
      <c r="D47" s="9"/>
      <c r="E47" s="9"/>
      <c r="F47" s="3794" t="str">
        <f>"Baseline"&amp;"-"&amp;'General Information'!$H$49</f>
        <v>Baseline-</v>
      </c>
      <c r="G47" s="3795"/>
      <c r="H47" s="3794"/>
      <c r="I47" s="3796" t="s">
        <v>2682</v>
      </c>
      <c r="J47" s="3799"/>
      <c r="K47" s="3465"/>
      <c r="L47" s="1876"/>
      <c r="M47" s="3797" t="str">
        <f>"Prescriptive Requirement of "&amp;'General Information'!H55&amp;" Applicable to App. G Baseline"</f>
        <v>Prescriptive Requirement of ASHRAE 90.1-2016 Applicable to App. G Baseline</v>
      </c>
      <c r="N47" s="3390" t="s">
        <v>2544</v>
      </c>
      <c r="Q47" s="1521"/>
      <c r="S47" s="396"/>
      <c r="T47" s="396"/>
      <c r="U47" s="396"/>
      <c r="V47" s="396"/>
    </row>
    <row r="48" spans="1:25" s="387" customFormat="1" ht="34.200000000000003" customHeight="1" x14ac:dyDescent="0.25">
      <c r="A48" s="35"/>
      <c r="B48" s="1507" t="s">
        <v>0</v>
      </c>
      <c r="C48" s="1500" t="str">
        <f>$C$10</f>
        <v xml:space="preserve"> - Baseline Systems Helpful Notes</v>
      </c>
      <c r="D48" s="1424"/>
      <c r="E48" s="1497" t="s">
        <v>143</v>
      </c>
      <c r="F48" s="1526"/>
      <c r="G48" s="1338">
        <f>G10</f>
        <v>0</v>
      </c>
      <c r="H48" s="1420"/>
      <c r="I48" s="1425"/>
      <c r="J48" s="947"/>
      <c r="K48" s="1878" t="s">
        <v>2610</v>
      </c>
      <c r="L48" s="1408"/>
      <c r="M48" s="3798"/>
      <c r="N48" s="3392"/>
      <c r="Q48" s="1521"/>
    </row>
    <row r="49" spans="1:25" s="387" customFormat="1" ht="39.75" customHeight="1" x14ac:dyDescent="0.25">
      <c r="A49" s="35"/>
      <c r="B49" s="677" t="s">
        <v>289</v>
      </c>
      <c r="C49" s="1415" t="s">
        <v>1540</v>
      </c>
      <c r="D49" s="1547"/>
      <c r="E49" s="237" t="s">
        <v>266</v>
      </c>
      <c r="F49" s="1418"/>
      <c r="G49" s="1687"/>
      <c r="H49" s="1739"/>
      <c r="I49" s="1746"/>
      <c r="J49" s="1780"/>
      <c r="K49" s="1639"/>
      <c r="L49" s="1741"/>
      <c r="M49" s="1742" t="str">
        <f>IF(G49="","",G49)</f>
        <v/>
      </c>
      <c r="N49" s="1498"/>
      <c r="Q49" s="1802"/>
      <c r="S49" s="1823" t="s">
        <v>2541</v>
      </c>
      <c r="T49" s="1823">
        <f>N49</f>
        <v>0</v>
      </c>
      <c r="U49"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49"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row>
    <row r="50" spans="1:25" s="387" customFormat="1" ht="49.5" customHeight="1" x14ac:dyDescent="0.25">
      <c r="A50" s="35"/>
      <c r="B50" s="677" t="s">
        <v>290</v>
      </c>
      <c r="C50" s="1415" t="s">
        <v>1541</v>
      </c>
      <c r="D50" s="1547"/>
      <c r="E50" s="1246" t="s">
        <v>828</v>
      </c>
      <c r="F50" s="1418"/>
      <c r="G50" s="2120"/>
      <c r="H50" s="1739"/>
      <c r="I50" s="1746"/>
      <c r="J50" s="1696"/>
      <c r="K50" s="1639"/>
      <c r="L50" s="1741"/>
      <c r="M50" s="1742" t="str">
        <f>IF(G50="","",G50)</f>
        <v/>
      </c>
      <c r="N50" s="1498"/>
      <c r="Q50" s="1802"/>
      <c r="S50" s="1823" t="s">
        <v>2541</v>
      </c>
      <c r="T50" s="1823">
        <f t="shared" ref="T50:T65" si="2">N50</f>
        <v>0</v>
      </c>
      <c r="U50"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50"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row>
    <row r="51" spans="1:25" s="387" customFormat="1" x14ac:dyDescent="0.25">
      <c r="A51" s="35"/>
      <c r="B51" s="677" t="s">
        <v>291</v>
      </c>
      <c r="C51" s="1415" t="s">
        <v>1542</v>
      </c>
      <c r="D51" s="1547"/>
      <c r="E51" s="1246" t="s">
        <v>539</v>
      </c>
      <c r="F51" s="1418"/>
      <c r="G51" s="1687"/>
      <c r="H51" s="1739"/>
      <c r="I51" s="1746"/>
      <c r="J51" s="1696"/>
      <c r="K51" s="1639"/>
      <c r="L51" s="1741"/>
      <c r="M51" s="1742" t="str">
        <f>IF(G51="","",G51)</f>
        <v/>
      </c>
      <c r="N51" s="1498"/>
      <c r="Q51" s="1802"/>
      <c r="S51" s="1823" t="s">
        <v>2541</v>
      </c>
      <c r="T51" s="1823">
        <f t="shared" si="2"/>
        <v>0</v>
      </c>
      <c r="U51"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51"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row>
    <row r="52" spans="1:25" s="387" customFormat="1" x14ac:dyDescent="0.25">
      <c r="A52" s="35"/>
      <c r="B52" s="677" t="s">
        <v>292</v>
      </c>
      <c r="C52" s="1415" t="s">
        <v>2131</v>
      </c>
      <c r="D52" s="1547"/>
      <c r="E52" s="1149" t="s">
        <v>2415</v>
      </c>
      <c r="F52" s="1418"/>
      <c r="G52" s="1339" t="str">
        <f>IFERROR(IF(G51="","",IF(SI_IP_Units="IP",IF(G51/LEFT(G49,1)&lt;300,"80% AFUE",IF(G51/LEFT(G49,1)&lt;=2500,"75% Et","80% Ec")),IF(G51&lt;300,"80% AFUE",IF(G51&lt;=733,"75% Et","80% Ec")))),"")</f>
        <v/>
      </c>
      <c r="H52" s="1422"/>
      <c r="I52" s="1426"/>
      <c r="J52" s="1498"/>
      <c r="K52" s="1639"/>
      <c r="L52" s="1427"/>
      <c r="M52" s="1542" t="str">
        <f>IF('General Information'!$R$55=2007,"Not Supported",IF('General Information'!$R$55=2013,IFERROR(IF(M51="","",IF(M51/LEFT(M49,1)&lt;300,"82% AFUE",IF(M51/LEFT(M49,1)&lt;=2500,"80% Et","82% Ec"))),""),IFERROR(IF(M51="","",IF(M51/LEFT(M49,1)&lt;300,"80% AFUE",IF(M51/LEFT(M49,1)&lt;=2500,"80% Et","82% Ec"))),"")))</f>
        <v/>
      </c>
      <c r="N52" s="1498"/>
      <c r="Q52" s="1802"/>
      <c r="S52" s="1823" t="s">
        <v>2541</v>
      </c>
      <c r="T52" s="1823">
        <f t="shared" si="2"/>
        <v>0</v>
      </c>
      <c r="U52"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52"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row>
    <row r="53" spans="1:25" s="387" customFormat="1" ht="40.5" customHeight="1" x14ac:dyDescent="0.25">
      <c r="A53" s="35"/>
      <c r="B53" s="677" t="s">
        <v>293</v>
      </c>
      <c r="C53" s="1415" t="s">
        <v>1890</v>
      </c>
      <c r="D53" s="1547"/>
      <c r="E53" s="1246" t="str">
        <f>IF('General Information'!$R$14="IP","°F","°C")</f>
        <v>°F</v>
      </c>
      <c r="F53" s="1418"/>
      <c r="G53" s="1329"/>
      <c r="H53" s="1422"/>
      <c r="I53" s="1426"/>
      <c r="J53" s="1498"/>
      <c r="K53" s="1639"/>
      <c r="L53" s="1408"/>
      <c r="M53" s="1542" t="str">
        <f>IF('General Information'!$R$55=2007,"Not Supported",IF(G53="","",IF('General Information'!$R$14="IP","180°F","82.2°C")))</f>
        <v/>
      </c>
      <c r="N53" s="1498"/>
      <c r="Q53" s="1802"/>
      <c r="S53" s="1823" t="s">
        <v>2541</v>
      </c>
      <c r="T53" s="1823">
        <f t="shared" si="2"/>
        <v>0</v>
      </c>
      <c r="U53"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53"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row>
    <row r="54" spans="1:25" s="387" customFormat="1" ht="43.5" customHeight="1" x14ac:dyDescent="0.25">
      <c r="A54" s="35"/>
      <c r="B54" s="677" t="s">
        <v>146</v>
      </c>
      <c r="C54" s="1415" t="s">
        <v>1891</v>
      </c>
      <c r="D54" s="1547"/>
      <c r="E54" s="1246" t="str">
        <f>IF('General Information'!$R$14="IP","°F","°C")</f>
        <v>°F</v>
      </c>
      <c r="F54" s="1418"/>
      <c r="G54" s="1329"/>
      <c r="H54" s="1422"/>
      <c r="I54" s="1426"/>
      <c r="J54" s="1498"/>
      <c r="K54" s="1639"/>
      <c r="L54" s="1408"/>
      <c r="M54" s="1542" t="str">
        <f>IF('General Information'!$R$55=2007,"Not Supported",IF(G54="","",IF('General Information'!$R$14="IP","50°F","27.8°C")))</f>
        <v/>
      </c>
      <c r="N54" s="1498"/>
      <c r="Q54" s="1802"/>
      <c r="S54" s="1823" t="s">
        <v>2541</v>
      </c>
      <c r="T54" s="1823">
        <f t="shared" si="2"/>
        <v>0</v>
      </c>
      <c r="U54"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54"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row>
    <row r="55" spans="1:25" s="352" customFormat="1" ht="63" customHeight="1" x14ac:dyDescent="0.25">
      <c r="A55" s="197"/>
      <c r="B55" s="677" t="s">
        <v>294</v>
      </c>
      <c r="C55" s="1415" t="s">
        <v>1892</v>
      </c>
      <c r="D55" s="1547"/>
      <c r="E55" s="237" t="s">
        <v>266</v>
      </c>
      <c r="F55" s="1418"/>
      <c r="G55" s="1687"/>
      <c r="H55" s="1739"/>
      <c r="I55" s="1746"/>
      <c r="J55" s="1498"/>
      <c r="K55" s="1639"/>
      <c r="L55" s="1741"/>
      <c r="M55" s="1742" t="str">
        <f>IF('General Information'!$Q$51=2007,"Not Supported",IF(G55="","","180°F (83°C) at OA temps &lt;= 20°F (-7°C) and 150°F (66°C) at OA temps &gt; 50°F (10°C)  and ramped linearly between 180°F (83°C) and 150°F (66°C) at OA temps between 20°F(-7°C) and 50°F (10°C)"))</f>
        <v/>
      </c>
      <c r="N55" s="1498"/>
      <c r="Q55" s="1802"/>
      <c r="S55" s="1823" t="s">
        <v>2541</v>
      </c>
      <c r="T55" s="1823">
        <f t="shared" si="2"/>
        <v>0</v>
      </c>
      <c r="U55"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55"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row>
    <row r="56" spans="1:25" s="387" customFormat="1" ht="53.25" customHeight="1" x14ac:dyDescent="0.25">
      <c r="A56" s="35"/>
      <c r="B56" s="677" t="s">
        <v>295</v>
      </c>
      <c r="C56" s="1415" t="s">
        <v>1893</v>
      </c>
      <c r="D56" s="1547"/>
      <c r="E56" s="237" t="s">
        <v>266</v>
      </c>
      <c r="F56" s="1418"/>
      <c r="G56" s="1687"/>
      <c r="H56" s="1739"/>
      <c r="I56" s="1746"/>
      <c r="J56" s="1696"/>
      <c r="K56" s="1639"/>
      <c r="L56" s="1741"/>
      <c r="M56" s="1742" t="str">
        <f>IF('General Information'!$R$55=2007,"Not Supported",IF(G55="","","Primary-only"))</f>
        <v/>
      </c>
      <c r="N56" s="1498"/>
      <c r="Q56" s="1802"/>
      <c r="S56" s="1823" t="s">
        <v>2541</v>
      </c>
      <c r="T56" s="1823">
        <f t="shared" si="2"/>
        <v>0</v>
      </c>
      <c r="U56"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56"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row>
    <row r="57" spans="1:25" s="387" customFormat="1" ht="30.6" x14ac:dyDescent="0.25">
      <c r="A57" s="35"/>
      <c r="B57" s="677" t="s">
        <v>821</v>
      </c>
      <c r="C57" s="1415" t="s">
        <v>1894</v>
      </c>
      <c r="D57" s="1547"/>
      <c r="E57" s="1246" t="s">
        <v>144</v>
      </c>
      <c r="F57" s="1418"/>
      <c r="G57" s="1836"/>
      <c r="H57" s="1739"/>
      <c r="I57" s="1746"/>
      <c r="J57" s="1837"/>
      <c r="K57" s="1639"/>
      <c r="L57" s="1741"/>
      <c r="M57" s="1839" t="str">
        <f>IF('General Information'!$R$55=2007,"Not Supported",IF(G55="","","1"))</f>
        <v/>
      </c>
      <c r="N57" s="1498"/>
      <c r="Q57" s="1802"/>
      <c r="S57" s="1823" t="s">
        <v>2541</v>
      </c>
      <c r="T57" s="1823">
        <f t="shared" si="2"/>
        <v>0</v>
      </c>
      <c r="U57"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57"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row>
    <row r="58" spans="1:25" s="387" customFormat="1" ht="36.75" customHeight="1" x14ac:dyDescent="0.25">
      <c r="A58" s="35"/>
      <c r="B58" s="677" t="s">
        <v>3027</v>
      </c>
      <c r="C58" s="1415" t="s">
        <v>1895</v>
      </c>
      <c r="D58" s="1547"/>
      <c r="E58" s="1517" t="s">
        <v>207</v>
      </c>
      <c r="F58" s="1418"/>
      <c r="G58" s="1687"/>
      <c r="H58" s="1739"/>
      <c r="I58" s="1746"/>
      <c r="J58" s="1696"/>
      <c r="K58" s="1639"/>
      <c r="L58" s="1741"/>
      <c r="M58" s="1742" t="str">
        <f>IF('General Information'!$R$55=2007,"Not Supported",IF(G55="","","19 W/gpm"))</f>
        <v/>
      </c>
      <c r="N58" s="1498"/>
      <c r="Q58" s="1802"/>
      <c r="S58" s="1823" t="s">
        <v>2541</v>
      </c>
      <c r="T58" s="1823">
        <f t="shared" si="2"/>
        <v>0</v>
      </c>
      <c r="U58"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58"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c r="X58" s="1802">
        <f>IF(E58="kW",G58,"")</f>
        <v>0</v>
      </c>
      <c r="Y58" s="1802">
        <f>IF(E58="kW",J58,"")</f>
        <v>0</v>
      </c>
    </row>
    <row r="59" spans="1:25" s="387" customFormat="1" ht="27" customHeight="1" x14ac:dyDescent="0.25">
      <c r="A59" s="35"/>
      <c r="B59" s="677" t="s">
        <v>822</v>
      </c>
      <c r="C59" s="1415" t="s">
        <v>1543</v>
      </c>
      <c r="D59" s="1547"/>
      <c r="E59" s="1246" t="str">
        <f>IF('General Information'!$R$14="IP","gpm","L/s")</f>
        <v>gpm</v>
      </c>
      <c r="F59" s="1418"/>
      <c r="G59" s="1687"/>
      <c r="H59" s="1739"/>
      <c r="I59" s="1746"/>
      <c r="J59" s="1696"/>
      <c r="K59" s="1639"/>
      <c r="L59" s="1741"/>
      <c r="M59" s="1747" t="s">
        <v>266</v>
      </c>
      <c r="N59" s="1498"/>
      <c r="Q59" s="1802"/>
      <c r="S59" s="1823" t="s">
        <v>2541</v>
      </c>
      <c r="T59" s="1823">
        <f t="shared" si="2"/>
        <v>0</v>
      </c>
      <c r="U59"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59"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row>
    <row r="60" spans="1:25" s="387" customFormat="1" ht="22.5" customHeight="1" x14ac:dyDescent="0.25">
      <c r="A60" s="35"/>
      <c r="B60" s="677" t="s">
        <v>823</v>
      </c>
      <c r="C60" s="1415" t="s">
        <v>1544</v>
      </c>
      <c r="D60" s="1547"/>
      <c r="E60" s="237" t="s">
        <v>266</v>
      </c>
      <c r="F60" s="1418"/>
      <c r="G60" s="1687"/>
      <c r="H60" s="1739"/>
      <c r="I60" s="1746"/>
      <c r="J60" s="1781"/>
      <c r="K60" s="1639"/>
      <c r="L60" s="1741"/>
      <c r="M60" s="1742" t="str">
        <f>IF('General Information'!$R$55=2007,"Not Supported",IF(G60="","",IF(GI_BldgArea&lt;120000,"Riding the Pump Curve","Variable-Speed Drives")))</f>
        <v/>
      </c>
      <c r="N60" s="1498"/>
      <c r="Q60" s="1802"/>
      <c r="S60" s="1823" t="s">
        <v>2541</v>
      </c>
      <c r="T60" s="1823">
        <f t="shared" si="2"/>
        <v>0</v>
      </c>
      <c r="U60"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60"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row>
    <row r="61" spans="1:25" s="387" customFormat="1" ht="26.4" x14ac:dyDescent="0.25">
      <c r="A61" s="35"/>
      <c r="B61" s="677" t="s">
        <v>824</v>
      </c>
      <c r="C61" s="1415" t="s">
        <v>1545</v>
      </c>
      <c r="D61" s="1547"/>
      <c r="E61" s="1246" t="s">
        <v>144</v>
      </c>
      <c r="F61" s="1418"/>
      <c r="G61" s="1836"/>
      <c r="H61" s="2136"/>
      <c r="I61" s="2137"/>
      <c r="J61" s="1837"/>
      <c r="K61" s="1639"/>
      <c r="L61" s="1741"/>
      <c r="M61" s="1838"/>
      <c r="N61" s="1498"/>
      <c r="Q61" s="1802"/>
      <c r="S61" s="1823" t="s">
        <v>2541</v>
      </c>
      <c r="T61" s="1823">
        <f t="shared" si="2"/>
        <v>0</v>
      </c>
      <c r="U61"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61"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row>
    <row r="62" spans="1:25" s="387" customFormat="1" ht="26.4" x14ac:dyDescent="0.25">
      <c r="A62" s="35"/>
      <c r="B62" s="677" t="s">
        <v>825</v>
      </c>
      <c r="C62" s="1415" t="s">
        <v>1545</v>
      </c>
      <c r="D62" s="1547"/>
      <c r="E62" s="237" t="s">
        <v>266</v>
      </c>
      <c r="F62" s="1418"/>
      <c r="G62" s="1687"/>
      <c r="H62" s="1739"/>
      <c r="I62" s="1746"/>
      <c r="J62" s="1696"/>
      <c r="K62" s="1639"/>
      <c r="L62" s="1741"/>
      <c r="M62" s="1689"/>
      <c r="N62" s="1498"/>
      <c r="Q62" s="1802"/>
      <c r="S62" s="1823" t="s">
        <v>2541</v>
      </c>
      <c r="T62" s="1823">
        <f t="shared" si="2"/>
        <v>0</v>
      </c>
      <c r="U62"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62"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c r="X62" s="1802" t="str">
        <f>IF(E62="kW",G62,"")</f>
        <v/>
      </c>
      <c r="Y62" s="1802" t="str">
        <f>IF(E62="kW",J62,"")</f>
        <v/>
      </c>
    </row>
    <row r="63" spans="1:25" s="387" customFormat="1" ht="26.4" x14ac:dyDescent="0.25">
      <c r="A63" s="35"/>
      <c r="B63" s="677" t="s">
        <v>2412</v>
      </c>
      <c r="C63" s="1415" t="s">
        <v>1545</v>
      </c>
      <c r="D63" s="1547"/>
      <c r="E63" s="237" t="s">
        <v>266</v>
      </c>
      <c r="F63" s="1418"/>
      <c r="G63" s="1687"/>
      <c r="H63" s="1739"/>
      <c r="I63" s="1746"/>
      <c r="J63" s="1696"/>
      <c r="K63" s="1639"/>
      <c r="L63" s="1741"/>
      <c r="M63" s="1689"/>
      <c r="N63" s="1498"/>
      <c r="Q63" s="1802"/>
      <c r="S63" s="1823" t="s">
        <v>2541</v>
      </c>
      <c r="T63" s="1823">
        <f t="shared" si="2"/>
        <v>0</v>
      </c>
      <c r="U63"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63"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row>
    <row r="64" spans="1:25" s="387" customFormat="1" ht="26.4" x14ac:dyDescent="0.25">
      <c r="A64" s="35"/>
      <c r="B64" s="677" t="s">
        <v>826</v>
      </c>
      <c r="C64" s="1415" t="s">
        <v>1545</v>
      </c>
      <c r="D64" s="1547"/>
      <c r="E64" s="237" t="s">
        <v>266</v>
      </c>
      <c r="F64" s="1418"/>
      <c r="G64" s="1687"/>
      <c r="H64" s="1739"/>
      <c r="I64" s="1746"/>
      <c r="J64" s="1696"/>
      <c r="K64" s="1639"/>
      <c r="L64" s="1741"/>
      <c r="M64" s="1689"/>
      <c r="N64" s="1498"/>
      <c r="Q64" s="1802"/>
      <c r="S64" s="1823" t="s">
        <v>2541</v>
      </c>
      <c r="T64" s="1823">
        <f t="shared" si="2"/>
        <v>0</v>
      </c>
      <c r="U64"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64"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row>
    <row r="65" spans="1:22" s="387" customFormat="1" ht="26.4" x14ac:dyDescent="0.25">
      <c r="A65" s="35"/>
      <c r="B65" s="677" t="s">
        <v>827</v>
      </c>
      <c r="C65" s="1415" t="s">
        <v>1545</v>
      </c>
      <c r="D65" s="1548"/>
      <c r="E65" s="237" t="s">
        <v>266</v>
      </c>
      <c r="F65" s="1419"/>
      <c r="G65" s="1687"/>
      <c r="H65" s="1743"/>
      <c r="I65" s="1748"/>
      <c r="J65" s="1696"/>
      <c r="K65" s="1639"/>
      <c r="L65" s="1745"/>
      <c r="M65" s="1689"/>
      <c r="N65" s="1498"/>
      <c r="Q65" s="1802"/>
      <c r="S65" s="1823" t="s">
        <v>2541</v>
      </c>
      <c r="T65" s="1823">
        <f t="shared" si="2"/>
        <v>0</v>
      </c>
      <c r="U65" s="1823" t="str">
        <f>G49&amp;" with capacity of "&amp;G51&amp;" "&amp;E51&amp;" and efficiency of "&amp;G52&amp;". The HHW supply temp is "&amp;G53&amp;" (F) with a HHW delta T of "&amp;G54&amp;" (F). The HHW temp reset parameters are as follows: "&amp;G55&amp;". The HHW loop configuration is "&amp;G56&amp;" with "&amp;G57&amp;" pump(s) with pump power of "&amp;G58&amp;" "&amp;E58&amp;" and pump flow of "&amp;G59&amp;" gpm. The pump conrol is "&amp;G60&amp;"."</f>
        <v xml:space="preserve"> with capacity of  MBH and efficiency of . The HHW supply temp is  (F) with a HHW delta T of  (F). The HHW temp reset parameters are as follows: . The HHW loop configuration is  with  pump(s) with pump power of  kW and pump flow of  gpm. The pump conrol is .</v>
      </c>
      <c r="V65" s="1823" t="str">
        <f>J49&amp;" with capacity of "&amp;J51&amp;" "&amp;E51&amp;" and efficiency of "&amp;J52&amp;". The HHW supply temp is "&amp;J53&amp;" (F) with a HHW delta T of "&amp;J54&amp;" (F). The HHW temp reset parameters are as follows: "&amp;J55&amp;". The HHW loop configuration is "&amp;J56&amp;" with "&amp;J57&amp;" pump(s) with pump power of "&amp;J58&amp;" "&amp;E58&amp;" and pump flow of "&amp;J59&amp;" gpm. The pump conrol is "&amp;J60&amp;"."</f>
        <v xml:space="preserve"> with capacity of  MBH and efficiency of . The HHW supply temp is  (F) with a HHW delta T of  (F). The HHW temp reset parameters are as follows: . The HHW loop configuration is  with  pump(s) with pump power of  kW and pump flow of  gpm. The pump conrol is .</v>
      </c>
    </row>
    <row r="66" spans="1:22" s="866" customFormat="1" ht="13.8" x14ac:dyDescent="0.25">
      <c r="G66" s="1546"/>
      <c r="H66" s="1546"/>
      <c r="I66" s="1546"/>
      <c r="J66" s="1546"/>
      <c r="K66" s="1546"/>
      <c r="L66" s="1546"/>
      <c r="M66" s="1546"/>
      <c r="N66" s="1546"/>
      <c r="Q66" s="1609"/>
    </row>
    <row r="67" spans="1:22" s="866" customFormat="1" ht="13.8" x14ac:dyDescent="0.25">
      <c r="G67" s="1546"/>
      <c r="H67" s="1546"/>
      <c r="I67" s="1546"/>
      <c r="J67" s="1546"/>
      <c r="K67" s="1546"/>
      <c r="L67" s="1546"/>
      <c r="M67" s="32"/>
      <c r="N67" s="1179"/>
      <c r="Q67" s="1609"/>
    </row>
    <row r="68" spans="1:22" s="347" customFormat="1" ht="34.200000000000003" customHeight="1" x14ac:dyDescent="0.25">
      <c r="B68" s="7" t="s">
        <v>2406</v>
      </c>
      <c r="C68" s="7"/>
      <c r="D68" s="9"/>
      <c r="E68" s="9"/>
      <c r="F68" s="3794" t="str">
        <f>"Baseline"&amp;"-"&amp;'General Information'!$H$49</f>
        <v>Baseline-</v>
      </c>
      <c r="G68" s="3795"/>
      <c r="H68" s="3794"/>
      <c r="I68" s="3796" t="s">
        <v>2682</v>
      </c>
      <c r="J68" s="3799"/>
      <c r="K68" s="3465"/>
      <c r="L68" s="1876"/>
      <c r="M68" s="3797" t="str">
        <f>"Prescriptive Requirement of "&amp;'General Information'!H55&amp;" Applicable to App. G Baseline"</f>
        <v>Prescriptive Requirement of ASHRAE 90.1-2016 Applicable to App. G Baseline</v>
      </c>
      <c r="N68" s="3390" t="s">
        <v>2544</v>
      </c>
      <c r="Q68" s="1521"/>
      <c r="S68" s="396"/>
      <c r="T68" s="396"/>
      <c r="U68" s="396"/>
      <c r="V68" s="396"/>
    </row>
    <row r="69" spans="1:22" s="387" customFormat="1" ht="34.200000000000003" customHeight="1" x14ac:dyDescent="0.25">
      <c r="A69" s="35"/>
      <c r="B69" s="1507" t="s">
        <v>0</v>
      </c>
      <c r="C69" s="1500" t="str">
        <f>$C$10</f>
        <v xml:space="preserve"> - Baseline Systems Helpful Notes</v>
      </c>
      <c r="D69" s="1526"/>
      <c r="E69" s="1414" t="s">
        <v>143</v>
      </c>
      <c r="F69" s="1526"/>
      <c r="G69" s="1338">
        <f>G10</f>
        <v>0</v>
      </c>
      <c r="H69" s="1420"/>
      <c r="I69" s="1421"/>
      <c r="J69" s="947" t="s">
        <v>1305</v>
      </c>
      <c r="K69" s="1878" t="s">
        <v>2610</v>
      </c>
      <c r="L69" s="1408"/>
      <c r="M69" s="3798"/>
      <c r="N69" s="3392"/>
      <c r="Q69" s="1521"/>
    </row>
    <row r="70" spans="1:22" s="387" customFormat="1" ht="32.549999999999997" customHeight="1" x14ac:dyDescent="0.25">
      <c r="A70" s="35"/>
      <c r="B70" s="677" t="s">
        <v>281</v>
      </c>
      <c r="C70" s="1415" t="s">
        <v>1546</v>
      </c>
      <c r="D70" s="1543"/>
      <c r="E70" s="1335" t="s">
        <v>266</v>
      </c>
      <c r="F70" s="1418"/>
      <c r="G70" s="1723"/>
      <c r="H70" s="1749"/>
      <c r="I70" s="1750"/>
      <c r="J70" s="1780"/>
      <c r="K70" s="1639"/>
      <c r="L70" s="1741"/>
      <c r="M70" s="1970"/>
      <c r="N70" s="1498"/>
      <c r="Q70" s="1802"/>
      <c r="S70" s="1823" t="s">
        <v>2542</v>
      </c>
      <c r="T70" s="1823">
        <f>N70</f>
        <v>0</v>
      </c>
      <c r="U70" s="1823" t="s">
        <v>2511</v>
      </c>
      <c r="V70" s="1823" t="str">
        <f>J70&amp;" geothermal system with the following parameters: "&amp;B71&amp;": "&amp;J71&amp;", "&amp;B72&amp;": "&amp;J72&amp;" (F), "&amp;B73&amp;": "&amp;J73&amp;" (F), "&amp;B74&amp;": "&amp;J74&amp;" (F), "&amp;B75&amp;": "&amp;J75&amp;" (F), "&amp;B76&amp;": "&amp;J76&amp;" (F), "&amp;B77&amp;": "&amp;J77&amp;", "&amp;B78&amp;": "&amp;J78&amp;", "&amp;B79&amp;": "&amp;J79&amp;", "&amp;B80&amp;": "&amp;J80&amp;", "&amp;B81&amp;": "&amp;J81&amp;", "&amp;B82&amp;": "&amp;J82&amp;", "&amp;B83&amp;": "&amp;J83&amp;"."</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71" spans="1:22" s="387" customFormat="1" ht="32.549999999999997" customHeight="1" x14ac:dyDescent="0.25">
      <c r="A71" s="35"/>
      <c r="B71" s="677" t="s">
        <v>282</v>
      </c>
      <c r="C71" s="1415" t="s">
        <v>1547</v>
      </c>
      <c r="D71" s="1543"/>
      <c r="E71" s="1335" t="s">
        <v>266</v>
      </c>
      <c r="F71" s="1418"/>
      <c r="G71" s="1723"/>
      <c r="H71" s="1749"/>
      <c r="I71" s="1750"/>
      <c r="J71" s="1780"/>
      <c r="K71" s="1639"/>
      <c r="L71" s="1741"/>
      <c r="M71" s="1970"/>
      <c r="N71" s="1498"/>
      <c r="Q71" s="1802"/>
      <c r="S71" s="1823" t="s">
        <v>2542</v>
      </c>
      <c r="T71" s="1823">
        <f t="shared" ref="T71:T83" si="3">N71</f>
        <v>0</v>
      </c>
      <c r="U71" s="1823" t="s">
        <v>2511</v>
      </c>
      <c r="V71" s="1823" t="str">
        <f>J70&amp;" geothermal system with the following parameters: "&amp;B71&amp;": "&amp;J71&amp;", "&amp;B72&amp;": "&amp;J72&amp;" (F), "&amp;B73&amp;": "&amp;J73&amp;" (F), "&amp;B74&amp;": "&amp;J74&amp;" (F), "&amp;B75&amp;": "&amp;J75&amp;" (F), "&amp;B76&amp;": "&amp;J76&amp;" (F), "&amp;B77&amp;": "&amp;J77&amp;", "&amp;B78&amp;": "&amp;J78&amp;", "&amp;B79&amp;": "&amp;J79&amp;", "&amp;B80&amp;": "&amp;J80&amp;", "&amp;B81&amp;": "&amp;J81&amp;", "&amp;B82&amp;": "&amp;J82&amp;", "&amp;B83&amp;": "&amp;J83&amp;"."</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72" spans="1:22" s="387" customFormat="1" ht="32.549999999999997" customHeight="1" x14ac:dyDescent="0.25">
      <c r="A72" s="35"/>
      <c r="B72" s="677" t="s">
        <v>225</v>
      </c>
      <c r="C72" s="1415" t="s">
        <v>1548</v>
      </c>
      <c r="D72" s="1543"/>
      <c r="E72" s="1336" t="str">
        <f>IF('General Information'!$R$14="IP","°F","°C")</f>
        <v>°F</v>
      </c>
      <c r="F72" s="1418"/>
      <c r="G72" s="1723"/>
      <c r="H72" s="1749"/>
      <c r="I72" s="1750"/>
      <c r="J72" s="1780"/>
      <c r="K72" s="1639"/>
      <c r="L72" s="1741"/>
      <c r="M72" s="1970"/>
      <c r="N72" s="1498"/>
      <c r="Q72" s="1802"/>
      <c r="S72" s="1823" t="s">
        <v>2542</v>
      </c>
      <c r="T72" s="1823">
        <f t="shared" si="3"/>
        <v>0</v>
      </c>
      <c r="U72" s="1823" t="s">
        <v>2511</v>
      </c>
      <c r="V72" s="1823" t="str">
        <f>J70&amp;" geothermal system with the following parameters: "&amp;B71&amp;": "&amp;J71&amp;", "&amp;B72&amp;": "&amp;J72&amp;" (F), "&amp;B73&amp;": "&amp;J73&amp;" (F), "&amp;B74&amp;": "&amp;J74&amp;" (F), "&amp;B75&amp;": "&amp;J75&amp;" (F), "&amp;B76&amp;": "&amp;J76&amp;" (F), "&amp;B77&amp;": "&amp;J77&amp;", "&amp;B78&amp;": "&amp;J78&amp;", "&amp;B79&amp;": "&amp;J79&amp;", "&amp;B80&amp;": "&amp;J80&amp;", "&amp;B81&amp;": "&amp;J81&amp;", "&amp;B82&amp;": "&amp;J82&amp;", "&amp;B83&amp;": "&amp;J83&amp;"."</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73" spans="1:22" s="387" customFormat="1" ht="32.549999999999997" customHeight="1" x14ac:dyDescent="0.25">
      <c r="A73" s="35"/>
      <c r="B73" s="677" t="s">
        <v>226</v>
      </c>
      <c r="C73" s="1415" t="s">
        <v>1549</v>
      </c>
      <c r="D73" s="1543"/>
      <c r="E73" s="1336" t="str">
        <f>IF('General Information'!$R$14="IP","°F","°C")</f>
        <v>°F</v>
      </c>
      <c r="F73" s="1418"/>
      <c r="G73" s="1723"/>
      <c r="H73" s="1749"/>
      <c r="I73" s="1750"/>
      <c r="J73" s="1780"/>
      <c r="K73" s="1639"/>
      <c r="L73" s="1741"/>
      <c r="M73" s="1970"/>
      <c r="N73" s="1498"/>
      <c r="Q73" s="1802"/>
      <c r="S73" s="1823" t="s">
        <v>2542</v>
      </c>
      <c r="T73" s="1823">
        <f t="shared" si="3"/>
        <v>0</v>
      </c>
      <c r="U73" s="1823" t="s">
        <v>2511</v>
      </c>
      <c r="V73" s="1823" t="str">
        <f>J70&amp;" geothermal system with the following parameters: "&amp;B71&amp;": "&amp;J71&amp;", "&amp;B72&amp;": "&amp;J72&amp;" (F), "&amp;B73&amp;": "&amp;J73&amp;" (F), "&amp;B74&amp;": "&amp;J74&amp;" (F), "&amp;B75&amp;": "&amp;J75&amp;" (F), "&amp;B76&amp;": "&amp;J76&amp;" (F), "&amp;B77&amp;": "&amp;J77&amp;", "&amp;B78&amp;": "&amp;J78&amp;", "&amp;B79&amp;": "&amp;J79&amp;", "&amp;B80&amp;": "&amp;J80&amp;", "&amp;B81&amp;": "&amp;J81&amp;", "&amp;B82&amp;": "&amp;J82&amp;", "&amp;B83&amp;": "&amp;J83&amp;"."</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74" spans="1:22" s="387" customFormat="1" ht="32.549999999999997" customHeight="1" x14ac:dyDescent="0.25">
      <c r="A74" s="35"/>
      <c r="B74" s="677" t="s">
        <v>223</v>
      </c>
      <c r="C74" s="1415"/>
      <c r="D74" s="1543"/>
      <c r="E74" s="1336" t="str">
        <f>IF('General Information'!$R$14="IP","°F","°C")</f>
        <v>°F</v>
      </c>
      <c r="F74" s="1418"/>
      <c r="G74" s="1723"/>
      <c r="H74" s="1749"/>
      <c r="I74" s="1750"/>
      <c r="J74" s="1780"/>
      <c r="K74" s="1639"/>
      <c r="L74" s="1741"/>
      <c r="M74" s="1970"/>
      <c r="N74" s="1498"/>
      <c r="Q74" s="1802"/>
      <c r="S74" s="1823" t="s">
        <v>2542</v>
      </c>
      <c r="T74" s="1823">
        <f t="shared" si="3"/>
        <v>0</v>
      </c>
      <c r="U74" s="1823" t="s">
        <v>2511</v>
      </c>
      <c r="V74" s="1823" t="str">
        <f>J70&amp;" geothermal system with the following parameters: "&amp;B71&amp;": "&amp;J71&amp;", "&amp;B72&amp;": "&amp;J72&amp;" (F), "&amp;B73&amp;": "&amp;J73&amp;" (F), "&amp;B74&amp;": "&amp;J74&amp;" (F), "&amp;B75&amp;": "&amp;J75&amp;" (F), "&amp;B76&amp;": "&amp;J76&amp;" (F), "&amp;B77&amp;": "&amp;J77&amp;", "&amp;B78&amp;": "&amp;J78&amp;", "&amp;B79&amp;": "&amp;J79&amp;", "&amp;B80&amp;": "&amp;J80&amp;", "&amp;B81&amp;": "&amp;J81&amp;", "&amp;B82&amp;": "&amp;J82&amp;", "&amp;B83&amp;": "&amp;J83&amp;"."</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75" spans="1:22" s="387" customFormat="1" ht="32.549999999999997" customHeight="1" x14ac:dyDescent="0.25">
      <c r="A75" s="35"/>
      <c r="B75" s="677" t="s">
        <v>224</v>
      </c>
      <c r="C75" s="1415"/>
      <c r="D75" s="1543"/>
      <c r="E75" s="1336" t="str">
        <f>IF('General Information'!$R$14="IP","°F","°C")</f>
        <v>°F</v>
      </c>
      <c r="F75" s="1418"/>
      <c r="G75" s="1723"/>
      <c r="H75" s="1749"/>
      <c r="I75" s="1750"/>
      <c r="J75" s="1780"/>
      <c r="K75" s="1639"/>
      <c r="L75" s="1741"/>
      <c r="M75" s="1970"/>
      <c r="N75" s="1498"/>
      <c r="Q75" s="1802"/>
      <c r="S75" s="1823" t="s">
        <v>2542</v>
      </c>
      <c r="T75" s="1823">
        <f t="shared" si="3"/>
        <v>0</v>
      </c>
      <c r="U75" s="1823" t="s">
        <v>2511</v>
      </c>
      <c r="V75" s="1823" t="str">
        <f>J70&amp;" geothermal system with the following parameters: "&amp;B71&amp;": "&amp;J71&amp;", "&amp;B72&amp;": "&amp;J72&amp;" (F), "&amp;B73&amp;": "&amp;J73&amp;" (F), "&amp;B74&amp;": "&amp;J74&amp;" (F), "&amp;B75&amp;": "&amp;J75&amp;" (F), "&amp;B76&amp;": "&amp;J76&amp;" (F), "&amp;B77&amp;": "&amp;J77&amp;", "&amp;B78&amp;": "&amp;J78&amp;", "&amp;B79&amp;": "&amp;J79&amp;", "&amp;B80&amp;": "&amp;J80&amp;", "&amp;B81&amp;": "&amp;J81&amp;", "&amp;B82&amp;": "&amp;J82&amp;", "&amp;B83&amp;": "&amp;J83&amp;"."</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76" spans="1:22" s="387" customFormat="1" ht="32.549999999999997" customHeight="1" x14ac:dyDescent="0.25">
      <c r="A76" s="35"/>
      <c r="B76" s="677" t="s">
        <v>228</v>
      </c>
      <c r="C76" s="1415" t="s">
        <v>1550</v>
      </c>
      <c r="D76" s="1543"/>
      <c r="E76" s="1336" t="str">
        <f>IF('General Information'!$R$14="IP","°F","°C")</f>
        <v>°F</v>
      </c>
      <c r="F76" s="1418"/>
      <c r="G76" s="1723"/>
      <c r="H76" s="1749"/>
      <c r="I76" s="1750"/>
      <c r="J76" s="1780"/>
      <c r="K76" s="1639"/>
      <c r="L76" s="1741"/>
      <c r="M76" s="1970"/>
      <c r="N76" s="1498"/>
      <c r="Q76" s="1802"/>
      <c r="S76" s="1823" t="s">
        <v>2542</v>
      </c>
      <c r="T76" s="1823">
        <f t="shared" si="3"/>
        <v>0</v>
      </c>
      <c r="U76" s="1823" t="s">
        <v>2511</v>
      </c>
      <c r="V76" s="1823" t="str">
        <f>J70&amp;" geothermal system with the following parameters: "&amp;B71&amp;": "&amp;J71&amp;", "&amp;B72&amp;": "&amp;J72&amp;" (F), "&amp;B73&amp;": "&amp;J73&amp;" (F), "&amp;B74&amp;": "&amp;J74&amp;" (F), "&amp;B75&amp;": "&amp;J75&amp;" (F), "&amp;B76&amp;": "&amp;J76&amp;" (F), "&amp;B77&amp;": "&amp;J77&amp;", "&amp;B78&amp;": "&amp;J78&amp;", "&amp;B79&amp;": "&amp;J79&amp;", "&amp;B80&amp;": "&amp;J80&amp;", "&amp;B81&amp;": "&amp;J81&amp;", "&amp;B82&amp;": "&amp;J82&amp;", "&amp;B83&amp;": "&amp;J83&amp;"."</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77" spans="1:22" s="387" customFormat="1" ht="32.549999999999997" customHeight="1" x14ac:dyDescent="0.25">
      <c r="A77" s="35"/>
      <c r="B77" s="677" t="s">
        <v>227</v>
      </c>
      <c r="C77" s="1415" t="s">
        <v>1551</v>
      </c>
      <c r="D77" s="1543"/>
      <c r="E77" s="1335" t="s">
        <v>266</v>
      </c>
      <c r="F77" s="1418"/>
      <c r="G77" s="1723"/>
      <c r="H77" s="1749"/>
      <c r="I77" s="1750"/>
      <c r="J77" s="1780"/>
      <c r="K77" s="1639"/>
      <c r="L77" s="1741"/>
      <c r="M77" s="1970"/>
      <c r="N77" s="1498"/>
      <c r="Q77" s="1802"/>
      <c r="S77" s="1823" t="s">
        <v>2542</v>
      </c>
      <c r="T77" s="1823">
        <f t="shared" si="3"/>
        <v>0</v>
      </c>
      <c r="U77" s="1823" t="s">
        <v>2511</v>
      </c>
      <c r="V77" s="1823" t="str">
        <f>J70&amp;" geothermal system with the following parameters: "&amp;B71&amp;": "&amp;J71&amp;", "&amp;B72&amp;": "&amp;J72&amp;" (F), "&amp;B73&amp;": "&amp;J73&amp;" (F), "&amp;B74&amp;": "&amp;J74&amp;" (F), "&amp;B75&amp;": "&amp;J75&amp;" (F), "&amp;B76&amp;": "&amp;J76&amp;" (F), "&amp;B77&amp;": "&amp;J77&amp;", "&amp;B78&amp;": "&amp;J78&amp;", "&amp;B79&amp;": "&amp;J79&amp;", "&amp;B80&amp;": "&amp;J80&amp;", "&amp;B81&amp;": "&amp;J81&amp;", "&amp;B82&amp;": "&amp;J82&amp;", "&amp;B83&amp;": "&amp;J83&amp;"."</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78" spans="1:22" s="387" customFormat="1" ht="32.549999999999997" customHeight="1" x14ac:dyDescent="0.25">
      <c r="A78" s="35"/>
      <c r="B78" s="677" t="s">
        <v>283</v>
      </c>
      <c r="C78" s="1415"/>
      <c r="D78" s="1543"/>
      <c r="E78" s="1335" t="s">
        <v>266</v>
      </c>
      <c r="F78" s="1418"/>
      <c r="G78" s="1723"/>
      <c r="H78" s="1749"/>
      <c r="I78" s="1750"/>
      <c r="J78" s="1780"/>
      <c r="K78" s="1639"/>
      <c r="L78" s="1741"/>
      <c r="M78" s="1970"/>
      <c r="N78" s="1498"/>
      <c r="Q78" s="1802"/>
      <c r="S78" s="1823" t="s">
        <v>2542</v>
      </c>
      <c r="T78" s="1823">
        <f t="shared" si="3"/>
        <v>0</v>
      </c>
      <c r="U78" s="1823" t="s">
        <v>2511</v>
      </c>
      <c r="V78" s="1823" t="str">
        <f>J70&amp;" geothermal system with the following parameters: "&amp;B71&amp;": "&amp;J71&amp;", "&amp;B72&amp;": "&amp;J72&amp;" (F), "&amp;B73&amp;": "&amp;J73&amp;" (F), "&amp;B74&amp;": "&amp;J74&amp;" (F), "&amp;B75&amp;": "&amp;J75&amp;" (F), "&amp;B76&amp;": "&amp;J76&amp;" (F), "&amp;B77&amp;": "&amp;J77&amp;", "&amp;B78&amp;": "&amp;J78&amp;", "&amp;B79&amp;": "&amp;J79&amp;", "&amp;B80&amp;": "&amp;J80&amp;", "&amp;B81&amp;": "&amp;J81&amp;", "&amp;B82&amp;": "&amp;J82&amp;", "&amp;B83&amp;": "&amp;J83&amp;"."</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79" spans="1:22" s="387" customFormat="1" ht="32.549999999999997" customHeight="1" x14ac:dyDescent="0.25">
      <c r="A79" s="35"/>
      <c r="B79" s="677" t="s">
        <v>284</v>
      </c>
      <c r="C79" s="1415" t="s">
        <v>1552</v>
      </c>
      <c r="D79" s="1543"/>
      <c r="E79" s="1336" t="s">
        <v>144</v>
      </c>
      <c r="F79" s="1418"/>
      <c r="G79" s="1840"/>
      <c r="H79" s="1749"/>
      <c r="I79" s="1750"/>
      <c r="J79" s="1780"/>
      <c r="K79" s="1639"/>
      <c r="L79" s="1741"/>
      <c r="M79" s="1970"/>
      <c r="N79" s="1498"/>
      <c r="Q79" s="1802"/>
      <c r="S79" s="1823" t="s">
        <v>2542</v>
      </c>
      <c r="T79" s="1823">
        <f t="shared" si="3"/>
        <v>0</v>
      </c>
      <c r="U79" s="1823" t="s">
        <v>2511</v>
      </c>
      <c r="V79" s="1823" t="str">
        <f>J70&amp;" geothermal system with the following parameters: "&amp;B71&amp;": "&amp;J71&amp;", "&amp;B72&amp;": "&amp;J72&amp;" (F), "&amp;B73&amp;": "&amp;J73&amp;" (F), "&amp;B74&amp;": "&amp;J74&amp;" (F), "&amp;B75&amp;": "&amp;J75&amp;" (F), "&amp;B76&amp;": "&amp;J76&amp;" (F), "&amp;B77&amp;": "&amp;J77&amp;", "&amp;B78&amp;": "&amp;J78&amp;", "&amp;B79&amp;": "&amp;J79&amp;", "&amp;B80&amp;": "&amp;J80&amp;", "&amp;B81&amp;": "&amp;J81&amp;", "&amp;B82&amp;": "&amp;J82&amp;", "&amp;B83&amp;": "&amp;J83&amp;"."</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80" spans="1:22" s="387" customFormat="1" ht="32.549999999999997" customHeight="1" x14ac:dyDescent="0.25">
      <c r="A80" s="35"/>
      <c r="B80" s="677" t="s">
        <v>285</v>
      </c>
      <c r="C80" s="1415"/>
      <c r="D80" s="1543"/>
      <c r="E80" s="1335" t="s">
        <v>266</v>
      </c>
      <c r="F80" s="1418"/>
      <c r="G80" s="1723"/>
      <c r="H80" s="1749"/>
      <c r="I80" s="1750"/>
      <c r="J80" s="1780"/>
      <c r="K80" s="1639"/>
      <c r="L80" s="1741"/>
      <c r="M80" s="1970"/>
      <c r="N80" s="1498"/>
      <c r="Q80" s="1802"/>
      <c r="S80" s="1823" t="s">
        <v>2542</v>
      </c>
      <c r="T80" s="1823">
        <f t="shared" si="3"/>
        <v>0</v>
      </c>
      <c r="U80" s="1823" t="s">
        <v>2511</v>
      </c>
      <c r="V80" s="1823" t="str">
        <f>J70&amp;" geothermal system with the following parameters: "&amp;B71&amp;": "&amp;J71&amp;", "&amp;B72&amp;": "&amp;J72&amp;" (F), "&amp;B73&amp;": "&amp;J73&amp;" (F), "&amp;B74&amp;": "&amp;J74&amp;" (F), "&amp;B75&amp;": "&amp;J75&amp;" (F), "&amp;B76&amp;": "&amp;J76&amp;" (F), "&amp;B77&amp;": "&amp;J77&amp;", "&amp;B78&amp;": "&amp;J78&amp;", "&amp;B79&amp;": "&amp;J79&amp;", "&amp;B80&amp;": "&amp;J80&amp;", "&amp;B81&amp;": "&amp;J81&amp;", "&amp;B82&amp;": "&amp;J82&amp;", "&amp;B83&amp;": "&amp;J83&amp;"."</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81" spans="1:25" s="387" customFormat="1" ht="32.549999999999997" customHeight="1" x14ac:dyDescent="0.25">
      <c r="A81" s="35"/>
      <c r="B81" s="677" t="s">
        <v>286</v>
      </c>
      <c r="C81" s="1415"/>
      <c r="D81" s="1543"/>
      <c r="E81" s="1335" t="s">
        <v>266</v>
      </c>
      <c r="F81" s="1418"/>
      <c r="G81" s="1723"/>
      <c r="H81" s="1749"/>
      <c r="I81" s="1750"/>
      <c r="J81" s="1780"/>
      <c r="K81" s="1639"/>
      <c r="L81" s="1741"/>
      <c r="M81" s="1970"/>
      <c r="N81" s="1498"/>
      <c r="Q81" s="1802"/>
      <c r="S81" s="1823" t="s">
        <v>2542</v>
      </c>
      <c r="T81" s="1823">
        <f t="shared" si="3"/>
        <v>0</v>
      </c>
      <c r="U81" s="1823" t="s">
        <v>2511</v>
      </c>
      <c r="V81" s="1823" t="str">
        <f>J70&amp;" geothermal system with the following parameters: "&amp;B71&amp;": "&amp;J71&amp;", "&amp;B72&amp;": "&amp;J72&amp;" (F), "&amp;B73&amp;": "&amp;J73&amp;" (F), "&amp;B74&amp;": "&amp;J74&amp;" (F), "&amp;B75&amp;": "&amp;J75&amp;" (F), "&amp;B76&amp;": "&amp;J76&amp;" (F), "&amp;B77&amp;": "&amp;J77&amp;", "&amp;B78&amp;": "&amp;J78&amp;", "&amp;B79&amp;": "&amp;J79&amp;", "&amp;B80&amp;": "&amp;J80&amp;", "&amp;B81&amp;": "&amp;J81&amp;", "&amp;B82&amp;": "&amp;J82&amp;", "&amp;B83&amp;": "&amp;J83&amp;"."</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c r="X81" s="1802" t="str">
        <f>IF(E81="kW",G81,"")</f>
        <v/>
      </c>
      <c r="Y81" s="1802" t="str">
        <f>IF(E81="kW",J81,"")</f>
        <v/>
      </c>
    </row>
    <row r="82" spans="1:25" s="387" customFormat="1" ht="32.549999999999997" customHeight="1" x14ac:dyDescent="0.25">
      <c r="A82" s="35"/>
      <c r="B82" s="677" t="s">
        <v>287</v>
      </c>
      <c r="C82" s="1415"/>
      <c r="D82" s="1543"/>
      <c r="E82" s="1335" t="s">
        <v>266</v>
      </c>
      <c r="F82" s="1418"/>
      <c r="G82" s="1723"/>
      <c r="H82" s="1749"/>
      <c r="I82" s="1750"/>
      <c r="J82" s="1780"/>
      <c r="K82" s="1639"/>
      <c r="L82" s="1741"/>
      <c r="M82" s="1970"/>
      <c r="N82" s="1498"/>
      <c r="Q82" s="1802"/>
      <c r="S82" s="1823" t="s">
        <v>2542</v>
      </c>
      <c r="T82" s="1823">
        <f t="shared" si="3"/>
        <v>0</v>
      </c>
      <c r="U82" s="1823" t="s">
        <v>2511</v>
      </c>
      <c r="V82" s="1823" t="str">
        <f>J70&amp;" geothermal system with the following parameters: "&amp;B71&amp;": "&amp;J71&amp;", "&amp;B72&amp;": "&amp;J72&amp;" (F), "&amp;B73&amp;": "&amp;J73&amp;" (F), "&amp;B74&amp;": "&amp;J74&amp;" (F), "&amp;B75&amp;": "&amp;J75&amp;" (F), "&amp;B76&amp;": "&amp;J76&amp;" (F), "&amp;B77&amp;": "&amp;J77&amp;", "&amp;B78&amp;": "&amp;J78&amp;", "&amp;B79&amp;": "&amp;J79&amp;", "&amp;B80&amp;": "&amp;J80&amp;", "&amp;B81&amp;": "&amp;J81&amp;", "&amp;B82&amp;": "&amp;J82&amp;", "&amp;B83&amp;": "&amp;J83&amp;"."</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83" spans="1:25" s="387" customFormat="1" ht="36" customHeight="1" x14ac:dyDescent="0.25">
      <c r="A83" s="35"/>
      <c r="B83" s="677" t="s">
        <v>288</v>
      </c>
      <c r="C83" s="1415" t="s">
        <v>1553</v>
      </c>
      <c r="D83" s="1545"/>
      <c r="E83" s="1335" t="s">
        <v>266</v>
      </c>
      <c r="F83" s="1419"/>
      <c r="G83" s="1723"/>
      <c r="H83" s="1751"/>
      <c r="I83" s="1752"/>
      <c r="J83" s="1780"/>
      <c r="K83" s="1639"/>
      <c r="L83" s="1745"/>
      <c r="M83" s="1970"/>
      <c r="N83" s="1498"/>
      <c r="Q83" s="1802"/>
      <c r="S83" s="1823" t="s">
        <v>2542</v>
      </c>
      <c r="T83" s="1823">
        <f t="shared" si="3"/>
        <v>0</v>
      </c>
      <c r="U83" s="1823" t="s">
        <v>2511</v>
      </c>
      <c r="V83" s="1823" t="str">
        <f>J70&amp;" geothermal system with the following parameters: "&amp;B71&amp;": "&amp;J71&amp;", "&amp;B72&amp;": "&amp;J72&amp;" (F), "&amp;B73&amp;": "&amp;J73&amp;" (F), "&amp;B74&amp;": "&amp;J74&amp;" (F), "&amp;B75&amp;": "&amp;J75&amp;" (F), "&amp;B76&amp;": "&amp;J76&amp;" (F), "&amp;B77&amp;": "&amp;J77&amp;", "&amp;B78&amp;": "&amp;J78&amp;", "&amp;B79&amp;": "&amp;J79&amp;", "&amp;B80&amp;": "&amp;J80&amp;", "&amp;B81&amp;": "&amp;J81&amp;", "&amp;B82&amp;": "&amp;J82&amp;", "&amp;B83&amp;": "&amp;J83&amp;"."</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84" spans="1:25" s="866" customFormat="1" ht="21" customHeight="1" x14ac:dyDescent="0.25">
      <c r="G84" s="1546"/>
      <c r="H84" s="1546"/>
      <c r="I84" s="1546"/>
      <c r="J84" s="1546"/>
      <c r="K84" s="1546"/>
      <c r="L84" s="1546"/>
      <c r="M84" s="1546"/>
      <c r="N84" s="1546"/>
      <c r="Q84" s="1609"/>
    </row>
    <row r="85" spans="1:25" s="866" customFormat="1" ht="57" customHeight="1" x14ac:dyDescent="0.25">
      <c r="G85" s="1546"/>
      <c r="H85" s="1546"/>
      <c r="I85" s="1546"/>
      <c r="J85" s="1546"/>
      <c r="K85" s="1546"/>
      <c r="L85" s="1546"/>
      <c r="M85" s="32"/>
      <c r="N85" s="1179"/>
      <c r="Q85" s="1609"/>
    </row>
    <row r="86" spans="1:25" s="347" customFormat="1" ht="34.200000000000003" customHeight="1" x14ac:dyDescent="0.25">
      <c r="B86" s="7" t="s">
        <v>2407</v>
      </c>
      <c r="C86" s="7"/>
      <c r="D86" s="9"/>
      <c r="E86" s="9"/>
      <c r="F86" s="3794" t="str">
        <f>"Baseline"&amp;"-"&amp;'General Information'!$H$49</f>
        <v>Baseline-</v>
      </c>
      <c r="G86" s="3795"/>
      <c r="H86" s="3794"/>
      <c r="I86" s="3796" t="s">
        <v>2682</v>
      </c>
      <c r="J86" s="3799"/>
      <c r="K86" s="3465"/>
      <c r="L86" s="1876"/>
      <c r="M86" s="3797" t="str">
        <f>"Prescriptive Requirement of "&amp;'General Information'!H55&amp;" Applicable to App. G Baseline"</f>
        <v>Prescriptive Requirement of ASHRAE 90.1-2016 Applicable to App. G Baseline</v>
      </c>
      <c r="N86" s="3390" t="s">
        <v>2544</v>
      </c>
      <c r="Q86" s="1521"/>
      <c r="S86" s="396"/>
      <c r="T86" s="396"/>
      <c r="U86" s="396"/>
      <c r="V86" s="396"/>
    </row>
    <row r="87" spans="1:25" s="387" customFormat="1" ht="34.200000000000003" customHeight="1" x14ac:dyDescent="0.25">
      <c r="A87" s="35"/>
      <c r="B87" s="1507" t="s">
        <v>0</v>
      </c>
      <c r="C87" s="1500" t="str">
        <f>$C$10</f>
        <v xml:space="preserve"> - Baseline Systems Helpful Notes</v>
      </c>
      <c r="D87" s="1526"/>
      <c r="E87" s="1414" t="s">
        <v>143</v>
      </c>
      <c r="F87" s="1526"/>
      <c r="G87" s="1338">
        <f>G10</f>
        <v>0</v>
      </c>
      <c r="H87" s="1420"/>
      <c r="I87" s="1421"/>
      <c r="J87" s="947" t="s">
        <v>1305</v>
      </c>
      <c r="K87" s="1878" t="s">
        <v>2610</v>
      </c>
      <c r="L87" s="1408"/>
      <c r="M87" s="3798"/>
      <c r="N87" s="3392"/>
      <c r="Q87" s="1521"/>
    </row>
    <row r="88" spans="1:25" s="387" customFormat="1" ht="31.2" customHeight="1" x14ac:dyDescent="0.25">
      <c r="A88" s="35"/>
      <c r="B88" s="1549" t="s">
        <v>303</v>
      </c>
      <c r="C88" s="1428"/>
      <c r="D88" s="1543"/>
      <c r="E88" s="3011" t="s">
        <v>266</v>
      </c>
      <c r="F88" s="1418"/>
      <c r="G88" s="1723"/>
      <c r="H88" s="1749"/>
      <c r="I88" s="1750"/>
      <c r="J88" s="1696"/>
      <c r="K88" s="1639"/>
      <c r="L88" s="1741"/>
      <c r="M88" s="1689"/>
      <c r="N88" s="1498"/>
      <c r="Q88" s="1802"/>
      <c r="S88" s="1823" t="s">
        <v>2543</v>
      </c>
      <c r="T88" s="1823">
        <f>N88</f>
        <v>0</v>
      </c>
      <c r="U88" s="1823" t="s">
        <v>2511</v>
      </c>
      <c r="V88" s="1823" t="str">
        <f>J88&amp;" generator with the following parameters: "&amp;B89&amp;": "&amp;J89&amp;", "&amp;B90&amp;": "&amp;J90&amp;", "&amp;B91&amp;": "&amp;J91&amp;", "&amp;B92&amp;": "&amp;J92&amp;", "&amp;B93&amp;": "&amp;J93&amp;", "&amp;B94&amp;": "&amp;J94&amp;", "&amp;B95&amp;": "&amp;J95&amp;", "&amp;B96&amp;": "&amp;J96&amp;", "&amp;B97&amp;": "&amp;J97&amp;"."</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89" spans="1:25" s="387" customFormat="1" ht="31.2" customHeight="1" x14ac:dyDescent="0.25">
      <c r="A89" s="35"/>
      <c r="B89" s="1549" t="s">
        <v>218</v>
      </c>
      <c r="C89" s="1428"/>
      <c r="D89" s="1547"/>
      <c r="E89" s="2187" t="s">
        <v>144</v>
      </c>
      <c r="F89" s="3010"/>
      <c r="G89" s="1723"/>
      <c r="H89" s="1749"/>
      <c r="I89" s="1750"/>
      <c r="J89" s="1696"/>
      <c r="K89" s="1639"/>
      <c r="L89" s="1741"/>
      <c r="M89" s="1689"/>
      <c r="N89" s="1498"/>
      <c r="Q89" s="1802"/>
      <c r="S89" s="1823" t="s">
        <v>2543</v>
      </c>
      <c r="T89" s="1823">
        <f t="shared" ref="T89:T97" si="4">N89</f>
        <v>0</v>
      </c>
      <c r="U89" s="1823" t="s">
        <v>2511</v>
      </c>
      <c r="V89" s="1823" t="str">
        <f>J88&amp;" generator with the following parameters: "&amp;B89&amp;": "&amp;J89&amp;", "&amp;B90&amp;": "&amp;J90&amp;", "&amp;B91&amp;": "&amp;J91&amp;", "&amp;B92&amp;": "&amp;J92&amp;", "&amp;B93&amp;": "&amp;J93&amp;", "&amp;B94&amp;": "&amp;J94&amp;", "&amp;B95&amp;": "&amp;J95&amp;", "&amp;B96&amp;": "&amp;J96&amp;", "&amp;B97&amp;": "&amp;J97&amp;"."</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90" spans="1:25" s="387" customFormat="1" ht="31.2" customHeight="1" x14ac:dyDescent="0.25">
      <c r="A90" s="35"/>
      <c r="B90" s="1549" t="s">
        <v>219</v>
      </c>
      <c r="C90" s="1428"/>
      <c r="D90" s="1547"/>
      <c r="E90" s="2187" t="s">
        <v>207</v>
      </c>
      <c r="F90" s="3010"/>
      <c r="G90" s="1723"/>
      <c r="H90" s="1749"/>
      <c r="I90" s="1750"/>
      <c r="J90" s="1696"/>
      <c r="K90" s="1639"/>
      <c r="L90" s="1741"/>
      <c r="M90" s="1689"/>
      <c r="N90" s="1498"/>
      <c r="Q90" s="1802"/>
      <c r="S90" s="1823" t="s">
        <v>2543</v>
      </c>
      <c r="T90" s="1823">
        <f t="shared" si="4"/>
        <v>0</v>
      </c>
      <c r="U90" s="1823" t="s">
        <v>2511</v>
      </c>
      <c r="V90" s="1823" t="str">
        <f>J88&amp;" generator with the following parameters: "&amp;B89&amp;": "&amp;J89&amp;", "&amp;B90&amp;": "&amp;J90&amp;", "&amp;B91&amp;": "&amp;J91&amp;", "&amp;B92&amp;": "&amp;J92&amp;", "&amp;B93&amp;": "&amp;J93&amp;", "&amp;B94&amp;": "&amp;J94&amp;", "&amp;B95&amp;": "&amp;J95&amp;", "&amp;B96&amp;": "&amp;J96&amp;", "&amp;B97&amp;": "&amp;J97&amp;"."</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91" spans="1:25" s="387" customFormat="1" ht="31.2" customHeight="1" x14ac:dyDescent="0.25">
      <c r="A91" s="35"/>
      <c r="B91" s="1549" t="s">
        <v>296</v>
      </c>
      <c r="C91" s="1428"/>
      <c r="D91" s="1547"/>
      <c r="E91" s="2187" t="s">
        <v>2415</v>
      </c>
      <c r="F91" s="3010"/>
      <c r="G91" s="1723"/>
      <c r="H91" s="1749"/>
      <c r="I91" s="1750"/>
      <c r="J91" s="1696"/>
      <c r="K91" s="1639"/>
      <c r="L91" s="1741"/>
      <c r="M91" s="1689"/>
      <c r="N91" s="1498"/>
      <c r="Q91" s="1802"/>
      <c r="S91" s="1823" t="s">
        <v>2543</v>
      </c>
      <c r="T91" s="1823">
        <f t="shared" si="4"/>
        <v>0</v>
      </c>
      <c r="U91" s="1823" t="s">
        <v>2511</v>
      </c>
      <c r="V91" s="1823" t="str">
        <f>J88&amp;" generator with the following parameters: "&amp;B89&amp;": "&amp;J89&amp;", "&amp;B90&amp;": "&amp;J90&amp;", "&amp;B91&amp;": "&amp;J91&amp;", "&amp;B92&amp;": "&amp;J92&amp;", "&amp;B93&amp;": "&amp;J93&amp;", "&amp;B94&amp;": "&amp;J94&amp;", "&amp;B95&amp;": "&amp;J95&amp;", "&amp;B96&amp;": "&amp;J96&amp;", "&amp;B97&amp;": "&amp;J97&amp;"."</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92" spans="1:25" s="387" customFormat="1" ht="31.2" customHeight="1" x14ac:dyDescent="0.25">
      <c r="A92" s="35"/>
      <c r="B92" s="1549" t="s">
        <v>297</v>
      </c>
      <c r="C92" s="1428"/>
      <c r="D92" s="1547"/>
      <c r="E92" s="2187" t="s">
        <v>2415</v>
      </c>
      <c r="F92" s="3010"/>
      <c r="G92" s="1723"/>
      <c r="H92" s="1749"/>
      <c r="I92" s="1750"/>
      <c r="J92" s="1696"/>
      <c r="K92" s="1639"/>
      <c r="L92" s="1741"/>
      <c r="M92" s="1689"/>
      <c r="N92" s="1498"/>
      <c r="Q92" s="1802"/>
      <c r="S92" s="1823" t="s">
        <v>2543</v>
      </c>
      <c r="T92" s="1823">
        <f t="shared" si="4"/>
        <v>0</v>
      </c>
      <c r="U92" s="1823" t="s">
        <v>2511</v>
      </c>
      <c r="V92" s="1823" t="str">
        <f>J88&amp;" generator with the following parameters: "&amp;B89&amp;": "&amp;J89&amp;", "&amp;B90&amp;": "&amp;J90&amp;", "&amp;B91&amp;": "&amp;J91&amp;", "&amp;B92&amp;": "&amp;J92&amp;", "&amp;B93&amp;": "&amp;J93&amp;", "&amp;B94&amp;": "&amp;J94&amp;", "&amp;B95&amp;": "&amp;J95&amp;", "&amp;B96&amp;": "&amp;J96&amp;", "&amp;B97&amp;": "&amp;J97&amp;"."</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93" spans="1:25" s="387" customFormat="1" ht="31.2" customHeight="1" x14ac:dyDescent="0.25">
      <c r="A93" s="35"/>
      <c r="B93" s="1549" t="s">
        <v>298</v>
      </c>
      <c r="C93" s="1428"/>
      <c r="D93" s="1543"/>
      <c r="E93" s="3012" t="s">
        <v>266</v>
      </c>
      <c r="F93" s="1418"/>
      <c r="G93" s="1723"/>
      <c r="H93" s="1749"/>
      <c r="I93" s="1750"/>
      <c r="J93" s="1696"/>
      <c r="K93" s="1639"/>
      <c r="L93" s="1741"/>
      <c r="M93" s="1689"/>
      <c r="N93" s="1498"/>
      <c r="Q93" s="1802"/>
      <c r="S93" s="1823" t="s">
        <v>2543</v>
      </c>
      <c r="T93" s="1823">
        <f t="shared" si="4"/>
        <v>0</v>
      </c>
      <c r="U93" s="1823" t="s">
        <v>2511</v>
      </c>
      <c r="V93" s="1823" t="str">
        <f>J88&amp;" generator with the following parameters: "&amp;B89&amp;": "&amp;J89&amp;", "&amp;B90&amp;": "&amp;J90&amp;", "&amp;B91&amp;": "&amp;J91&amp;", "&amp;B92&amp;": "&amp;J92&amp;", "&amp;B93&amp;": "&amp;J93&amp;", "&amp;B94&amp;": "&amp;J94&amp;", "&amp;B95&amp;": "&amp;J95&amp;", "&amp;B96&amp;": "&amp;J96&amp;", "&amp;B97&amp;": "&amp;J97&amp;"."</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94" spans="1:25" s="387" customFormat="1" ht="31.2" customHeight="1" x14ac:dyDescent="0.25">
      <c r="A94" s="35"/>
      <c r="B94" s="1549" t="s">
        <v>299</v>
      </c>
      <c r="C94" s="1428"/>
      <c r="D94" s="1543"/>
      <c r="E94" s="1335" t="s">
        <v>266</v>
      </c>
      <c r="F94" s="1418"/>
      <c r="G94" s="1723"/>
      <c r="H94" s="1749"/>
      <c r="I94" s="1750"/>
      <c r="J94" s="1696"/>
      <c r="K94" s="1639"/>
      <c r="L94" s="1741"/>
      <c r="M94" s="1689"/>
      <c r="N94" s="1498"/>
      <c r="Q94" s="1802"/>
      <c r="S94" s="1823" t="s">
        <v>2543</v>
      </c>
      <c r="T94" s="1823">
        <f t="shared" si="4"/>
        <v>0</v>
      </c>
      <c r="U94" s="1823" t="s">
        <v>2511</v>
      </c>
      <c r="V94" s="1823" t="str">
        <f>J88&amp;" generator with the following parameters: "&amp;B89&amp;": "&amp;J89&amp;", "&amp;B90&amp;": "&amp;J90&amp;", "&amp;B91&amp;": "&amp;J91&amp;", "&amp;B92&amp;": "&amp;J92&amp;", "&amp;B93&amp;": "&amp;J93&amp;", "&amp;B94&amp;": "&amp;J94&amp;", "&amp;B95&amp;": "&amp;J95&amp;", "&amp;B96&amp;": "&amp;J96&amp;", "&amp;B97&amp;": "&amp;J97&amp;"."</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95" spans="1:25" s="387" customFormat="1" ht="37.950000000000003" customHeight="1" x14ac:dyDescent="0.25">
      <c r="A95" s="35"/>
      <c r="B95" s="1549" t="s">
        <v>300</v>
      </c>
      <c r="C95" s="1428"/>
      <c r="D95" s="1543"/>
      <c r="E95" s="1335" t="s">
        <v>266</v>
      </c>
      <c r="F95" s="1418"/>
      <c r="G95" s="1723"/>
      <c r="H95" s="1749"/>
      <c r="I95" s="1750"/>
      <c r="J95" s="1696"/>
      <c r="K95" s="1639"/>
      <c r="L95" s="1741"/>
      <c r="M95" s="1689"/>
      <c r="N95" s="1498"/>
      <c r="Q95" s="1802"/>
      <c r="S95" s="1823" t="s">
        <v>2543</v>
      </c>
      <c r="T95" s="1823">
        <f t="shared" si="4"/>
        <v>0</v>
      </c>
      <c r="U95" s="1823" t="s">
        <v>2511</v>
      </c>
      <c r="V95" s="1823" t="str">
        <f>J88&amp;" generator with the following parameters: "&amp;B89&amp;": "&amp;J89&amp;", "&amp;B90&amp;": "&amp;J90&amp;", "&amp;B91&amp;": "&amp;J91&amp;", "&amp;B92&amp;": "&amp;J92&amp;", "&amp;B93&amp;": "&amp;J93&amp;", "&amp;B94&amp;": "&amp;J94&amp;", "&amp;B95&amp;": "&amp;J95&amp;", "&amp;B96&amp;": "&amp;J96&amp;", "&amp;B97&amp;": "&amp;J97&amp;"."</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96" spans="1:25" s="387" customFormat="1" ht="31.2" customHeight="1" x14ac:dyDescent="0.25">
      <c r="A96" s="35"/>
      <c r="B96" s="1549" t="s">
        <v>301</v>
      </c>
      <c r="C96" s="1428"/>
      <c r="D96" s="1543"/>
      <c r="E96" s="1335" t="s">
        <v>266</v>
      </c>
      <c r="F96" s="1418"/>
      <c r="G96" s="1723"/>
      <c r="H96" s="1749"/>
      <c r="I96" s="1750"/>
      <c r="J96" s="1696"/>
      <c r="K96" s="1639"/>
      <c r="L96" s="1741"/>
      <c r="M96" s="1689"/>
      <c r="N96" s="1498"/>
      <c r="Q96" s="1802"/>
      <c r="S96" s="1823" t="s">
        <v>2543</v>
      </c>
      <c r="T96" s="1823">
        <f t="shared" si="4"/>
        <v>0</v>
      </c>
      <c r="U96" s="1823" t="s">
        <v>2511</v>
      </c>
      <c r="V96" s="1823" t="str">
        <f>J88&amp;" generator with the following parameters: "&amp;B89&amp;": "&amp;J89&amp;", "&amp;B90&amp;": "&amp;J90&amp;", "&amp;B91&amp;": "&amp;J91&amp;", "&amp;B92&amp;": "&amp;J92&amp;", "&amp;B93&amp;": "&amp;J93&amp;", "&amp;B94&amp;": "&amp;J94&amp;", "&amp;B95&amp;": "&amp;J95&amp;", "&amp;B96&amp;": "&amp;J96&amp;", "&amp;B97&amp;": "&amp;J97&amp;"."</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97" spans="1:22" s="387" customFormat="1" ht="31.2" customHeight="1" x14ac:dyDescent="0.25">
      <c r="A97" s="35"/>
      <c r="B97" s="1549" t="s">
        <v>302</v>
      </c>
      <c r="C97" s="1428"/>
      <c r="D97" s="1545"/>
      <c r="E97" s="1335" t="s">
        <v>266</v>
      </c>
      <c r="F97" s="1419"/>
      <c r="G97" s="1723"/>
      <c r="H97" s="1751"/>
      <c r="I97" s="1752"/>
      <c r="J97" s="1696"/>
      <c r="K97" s="1639"/>
      <c r="L97" s="1745"/>
      <c r="M97" s="1689"/>
      <c r="N97" s="1498"/>
      <c r="Q97" s="1802"/>
      <c r="S97" s="1823" t="s">
        <v>2543</v>
      </c>
      <c r="T97" s="1823">
        <f t="shared" si="4"/>
        <v>0</v>
      </c>
      <c r="U97" s="1823" t="s">
        <v>2511</v>
      </c>
      <c r="V97" s="1823" t="str">
        <f>J88&amp;" generator with the following parameters: "&amp;B89&amp;": "&amp;J89&amp;", "&amp;B90&amp;": "&amp;J90&amp;", "&amp;B91&amp;": "&amp;J91&amp;", "&amp;B92&amp;": "&amp;J92&amp;", "&amp;B93&amp;": "&amp;J93&amp;", "&amp;B94&amp;": "&amp;J94&amp;", "&amp;B95&amp;": "&amp;J95&amp;", "&amp;B96&amp;": "&amp;J96&amp;", "&amp;B97&amp;": "&amp;J97&amp;"."</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98" spans="1:22" s="866" customFormat="1" ht="21" customHeight="1" x14ac:dyDescent="0.25">
      <c r="G98" s="1546"/>
      <c r="H98" s="1546"/>
      <c r="I98" s="1546"/>
      <c r="J98" s="1546"/>
      <c r="K98" s="1546"/>
      <c r="L98" s="1546"/>
      <c r="M98" s="1546"/>
      <c r="N98" s="1546"/>
      <c r="Q98" s="1609"/>
    </row>
    <row r="99" spans="1:22" s="866" customFormat="1" ht="63.75" customHeight="1" x14ac:dyDescent="0.25">
      <c r="G99" s="1546"/>
      <c r="H99" s="1546"/>
      <c r="I99" s="1546"/>
      <c r="J99" s="1546"/>
      <c r="K99" s="1546"/>
      <c r="L99" s="1546"/>
      <c r="M99" s="32"/>
      <c r="N99" s="1179"/>
      <c r="Q99" s="1609"/>
    </row>
    <row r="100" spans="1:22" s="347" customFormat="1" ht="34.200000000000003" customHeight="1" x14ac:dyDescent="0.25">
      <c r="B100" s="7" t="s">
        <v>2408</v>
      </c>
      <c r="C100" s="7"/>
      <c r="D100" s="9"/>
      <c r="E100" s="9"/>
      <c r="F100" s="3794" t="str">
        <f>"Baseline"&amp;"-"&amp;'General Information'!$H$49</f>
        <v>Baseline-</v>
      </c>
      <c r="G100" s="3795"/>
      <c r="H100" s="3794"/>
      <c r="I100" s="3796" t="s">
        <v>2682</v>
      </c>
      <c r="J100" s="3799"/>
      <c r="K100" s="3465"/>
      <c r="L100" s="1876"/>
      <c r="M100" s="3797" t="str">
        <f>"Prescriptive Requirement of "&amp;'General Information'!H55&amp;" Applicable to App. G Baseline"</f>
        <v>Prescriptive Requirement of ASHRAE 90.1-2016 Applicable to App. G Baseline</v>
      </c>
      <c r="N100" s="3390" t="s">
        <v>2544</v>
      </c>
      <c r="Q100" s="1521"/>
      <c r="S100" s="396"/>
      <c r="T100" s="396"/>
      <c r="U100" s="396"/>
      <c r="V100" s="396"/>
    </row>
    <row r="101" spans="1:22" s="387" customFormat="1" ht="34.200000000000003" customHeight="1" x14ac:dyDescent="0.25">
      <c r="A101" s="35"/>
      <c r="B101" s="3466" t="s">
        <v>0</v>
      </c>
      <c r="C101" s="3796"/>
      <c r="D101" s="1526"/>
      <c r="E101" s="1414" t="s">
        <v>143</v>
      </c>
      <c r="F101" s="1526"/>
      <c r="G101" s="1338">
        <f>G10</f>
        <v>0</v>
      </c>
      <c r="H101" s="1420"/>
      <c r="I101" s="1421"/>
      <c r="J101" s="947" t="s">
        <v>1305</v>
      </c>
      <c r="K101" s="1878" t="s">
        <v>2610</v>
      </c>
      <c r="L101" s="1408"/>
      <c r="M101" s="3798"/>
      <c r="N101" s="3392"/>
      <c r="Q101" s="1521"/>
    </row>
    <row r="102" spans="1:22" s="387" customFormat="1" ht="21" customHeight="1" x14ac:dyDescent="0.25">
      <c r="A102" s="35"/>
      <c r="B102" s="3464" t="s">
        <v>346</v>
      </c>
      <c r="C102" s="3793"/>
      <c r="D102" s="1543"/>
      <c r="E102" s="1248"/>
      <c r="F102" s="1418"/>
      <c r="G102" s="1687"/>
      <c r="H102" s="1739"/>
      <c r="I102" s="1828"/>
      <c r="J102" s="1696"/>
      <c r="K102" s="1639"/>
      <c r="L102" s="1741"/>
      <c r="M102" s="1689"/>
      <c r="N102" s="1498"/>
      <c r="Q102" s="1802"/>
    </row>
    <row r="103" spans="1:22" s="387" customFormat="1" ht="21" customHeight="1" x14ac:dyDescent="0.25">
      <c r="A103" s="35"/>
      <c r="B103" s="3464" t="s">
        <v>346</v>
      </c>
      <c r="C103" s="3793"/>
      <c r="D103" s="1543"/>
      <c r="E103" s="1248"/>
      <c r="F103" s="1418"/>
      <c r="G103" s="1687"/>
      <c r="H103" s="1739"/>
      <c r="I103" s="1828"/>
      <c r="J103" s="1696"/>
      <c r="K103" s="1639"/>
      <c r="L103" s="1741"/>
      <c r="M103" s="1689"/>
      <c r="N103" s="1498"/>
      <c r="Q103" s="1802"/>
    </row>
    <row r="104" spans="1:22" s="387" customFormat="1" ht="21" customHeight="1" x14ac:dyDescent="0.25">
      <c r="A104" s="35"/>
      <c r="B104" s="3464" t="s">
        <v>346</v>
      </c>
      <c r="C104" s="3793"/>
      <c r="D104" s="1543"/>
      <c r="E104" s="1248"/>
      <c r="F104" s="1418"/>
      <c r="G104" s="1687"/>
      <c r="H104" s="1739"/>
      <c r="I104" s="1828"/>
      <c r="J104" s="1696"/>
      <c r="K104" s="1639"/>
      <c r="L104" s="1741"/>
      <c r="M104" s="1689"/>
      <c r="N104" s="1498"/>
      <c r="Q104" s="1802"/>
    </row>
    <row r="105" spans="1:22" s="387" customFormat="1" ht="21" customHeight="1" x14ac:dyDescent="0.25">
      <c r="A105" s="35"/>
      <c r="B105" s="3464" t="s">
        <v>346</v>
      </c>
      <c r="C105" s="3793"/>
      <c r="D105" s="1543"/>
      <c r="E105" s="1248"/>
      <c r="F105" s="1418"/>
      <c r="G105" s="1687"/>
      <c r="H105" s="1739"/>
      <c r="I105" s="1828"/>
      <c r="J105" s="1696"/>
      <c r="K105" s="1639"/>
      <c r="L105" s="1741"/>
      <c r="M105" s="1689"/>
      <c r="N105" s="1498"/>
      <c r="Q105" s="1802"/>
    </row>
    <row r="106" spans="1:22" s="387" customFormat="1" ht="21" customHeight="1" x14ac:dyDescent="0.25">
      <c r="A106" s="35"/>
      <c r="B106" s="3464" t="s">
        <v>346</v>
      </c>
      <c r="C106" s="3793"/>
      <c r="D106" s="1543"/>
      <c r="E106" s="1248"/>
      <c r="F106" s="1418"/>
      <c r="G106" s="1687"/>
      <c r="H106" s="1739"/>
      <c r="I106" s="1828"/>
      <c r="J106" s="1696"/>
      <c r="K106" s="1639"/>
      <c r="L106" s="1741"/>
      <c r="M106" s="1689"/>
      <c r="N106" s="1498"/>
      <c r="Q106" s="1802"/>
    </row>
    <row r="107" spans="1:22" s="387" customFormat="1" ht="21" customHeight="1" x14ac:dyDescent="0.25">
      <c r="A107" s="35"/>
      <c r="B107" s="3464" t="s">
        <v>346</v>
      </c>
      <c r="C107" s="3793"/>
      <c r="D107" s="1545"/>
      <c r="E107" s="1248"/>
      <c r="F107" s="1419"/>
      <c r="G107" s="1687"/>
      <c r="H107" s="1743"/>
      <c r="I107" s="1829"/>
      <c r="J107" s="1696"/>
      <c r="K107" s="1639"/>
      <c r="L107" s="1745"/>
      <c r="M107" s="1689"/>
      <c r="N107" s="1498"/>
      <c r="Q107" s="1802"/>
    </row>
    <row r="108" spans="1:22" s="339" customFormat="1" x14ac:dyDescent="0.25">
      <c r="A108" s="1"/>
      <c r="G108" s="35"/>
      <c r="H108" s="35"/>
      <c r="I108" s="35"/>
      <c r="J108" s="35"/>
      <c r="K108" s="35"/>
      <c r="L108" s="35"/>
      <c r="M108" s="35"/>
      <c r="N108" s="35"/>
      <c r="Q108" s="1521"/>
    </row>
    <row r="109" spans="1:22" s="339" customFormat="1" x14ac:dyDescent="0.25">
      <c r="A109" s="1"/>
      <c r="G109" s="35"/>
      <c r="H109" s="35"/>
      <c r="I109" s="35"/>
      <c r="J109" s="35"/>
      <c r="K109" s="35"/>
      <c r="L109" s="35"/>
      <c r="M109" s="35"/>
      <c r="N109" s="35"/>
      <c r="Q109" s="1521"/>
    </row>
    <row r="110" spans="1:22" s="339" customFormat="1" x14ac:dyDescent="0.25">
      <c r="A110" s="1"/>
      <c r="G110" s="35"/>
      <c r="H110" s="35"/>
      <c r="I110" s="35"/>
      <c r="J110" s="35"/>
      <c r="K110" s="35"/>
      <c r="L110" s="35"/>
      <c r="M110" s="35"/>
      <c r="N110" s="35"/>
      <c r="Q110" s="1521"/>
    </row>
    <row r="111" spans="1:22" s="339" customFormat="1" x14ac:dyDescent="0.25">
      <c r="A111" s="1"/>
      <c r="G111" s="35"/>
      <c r="H111" s="35"/>
      <c r="I111" s="35"/>
      <c r="J111" s="35"/>
      <c r="K111" s="35"/>
      <c r="L111" s="35"/>
      <c r="M111" s="35"/>
      <c r="N111" s="35"/>
      <c r="Q111" s="1521"/>
    </row>
    <row r="112" spans="1:22" s="339" customFormat="1" x14ac:dyDescent="0.25">
      <c r="A112" s="1"/>
      <c r="G112" s="35"/>
      <c r="H112" s="35"/>
      <c r="I112" s="35"/>
      <c r="J112" s="35"/>
      <c r="K112" s="35"/>
      <c r="L112" s="35"/>
      <c r="M112" s="35"/>
      <c r="N112" s="35"/>
      <c r="Q112" s="1521"/>
    </row>
    <row r="113" spans="1:17" s="339" customFormat="1" x14ac:dyDescent="0.25">
      <c r="A113" s="1"/>
      <c r="G113" s="35"/>
      <c r="H113" s="35"/>
      <c r="I113" s="35"/>
      <c r="J113" s="35"/>
      <c r="K113" s="35"/>
      <c r="L113" s="35"/>
      <c r="M113" s="35"/>
      <c r="N113" s="35"/>
      <c r="Q113" s="1521"/>
    </row>
    <row r="114" spans="1:17" s="339" customFormat="1" x14ac:dyDescent="0.25">
      <c r="A114" s="1"/>
      <c r="G114" s="35"/>
      <c r="H114" s="35"/>
      <c r="I114" s="35"/>
      <c r="J114" s="35"/>
      <c r="K114" s="35"/>
      <c r="L114" s="35"/>
      <c r="M114" s="35"/>
      <c r="N114" s="35"/>
      <c r="Q114" s="1521"/>
    </row>
    <row r="115" spans="1:17" s="339" customFormat="1" x14ac:dyDescent="0.25">
      <c r="A115" s="1"/>
      <c r="G115" s="35"/>
      <c r="H115" s="35"/>
      <c r="I115" s="35"/>
      <c r="J115" s="35"/>
      <c r="K115" s="35"/>
      <c r="L115" s="35"/>
      <c r="M115" s="35"/>
      <c r="N115" s="35"/>
      <c r="Q115" s="1521"/>
    </row>
    <row r="116" spans="1:17" s="339" customFormat="1" x14ac:dyDescent="0.25">
      <c r="A116" s="1"/>
      <c r="G116" s="35"/>
      <c r="H116" s="35"/>
      <c r="I116" s="35"/>
      <c r="J116" s="35"/>
      <c r="K116" s="35"/>
      <c r="L116" s="35"/>
      <c r="M116" s="35"/>
      <c r="N116" s="35"/>
      <c r="Q116" s="1521"/>
    </row>
    <row r="117" spans="1:17" s="339" customFormat="1" x14ac:dyDescent="0.25">
      <c r="A117" s="1"/>
      <c r="G117" s="35"/>
      <c r="H117" s="35"/>
      <c r="I117" s="35"/>
      <c r="J117" s="35"/>
      <c r="K117" s="35"/>
      <c r="L117" s="35"/>
      <c r="M117" s="35"/>
      <c r="N117" s="35"/>
      <c r="Q117" s="1521"/>
    </row>
    <row r="118" spans="1:17" s="339" customFormat="1" x14ac:dyDescent="0.25">
      <c r="A118" s="1"/>
      <c r="G118" s="35"/>
      <c r="H118" s="35"/>
      <c r="I118" s="35"/>
      <c r="J118" s="35"/>
      <c r="K118" s="35"/>
      <c r="L118" s="35"/>
      <c r="M118" s="35"/>
      <c r="N118" s="35"/>
      <c r="Q118" s="1521"/>
    </row>
    <row r="119" spans="1:17" s="339" customFormat="1" x14ac:dyDescent="0.25">
      <c r="A119" s="1"/>
      <c r="G119" s="35"/>
      <c r="H119" s="35"/>
      <c r="I119" s="35"/>
      <c r="J119" s="35"/>
      <c r="K119" s="35"/>
      <c r="L119" s="35"/>
      <c r="M119" s="35"/>
      <c r="N119" s="35"/>
      <c r="Q119" s="1521"/>
    </row>
    <row r="120" spans="1:17" s="339" customFormat="1" x14ac:dyDescent="0.25">
      <c r="A120" s="1"/>
      <c r="G120" s="35"/>
      <c r="H120" s="35"/>
      <c r="I120" s="35"/>
      <c r="J120" s="35"/>
      <c r="K120" s="35"/>
      <c r="L120" s="35"/>
      <c r="M120" s="35"/>
      <c r="N120" s="35"/>
      <c r="Q120" s="1521"/>
    </row>
    <row r="121" spans="1:17" s="339" customFormat="1" x14ac:dyDescent="0.25">
      <c r="A121" s="1"/>
      <c r="G121" s="35"/>
      <c r="H121" s="35"/>
      <c r="I121" s="35"/>
      <c r="J121" s="35"/>
      <c r="K121" s="35"/>
      <c r="L121" s="35"/>
      <c r="M121" s="35"/>
      <c r="N121" s="35"/>
      <c r="Q121" s="1521"/>
    </row>
    <row r="122" spans="1:17" s="339" customFormat="1" x14ac:dyDescent="0.25">
      <c r="A122" s="1"/>
      <c r="G122" s="35"/>
      <c r="H122" s="35"/>
      <c r="I122" s="35"/>
      <c r="J122" s="35"/>
      <c r="K122" s="35"/>
      <c r="L122" s="35"/>
      <c r="M122" s="35"/>
      <c r="N122" s="35"/>
      <c r="Q122" s="1521"/>
    </row>
    <row r="123" spans="1:17" s="339" customFormat="1" x14ac:dyDescent="0.25">
      <c r="A123" s="1"/>
      <c r="G123" s="35"/>
      <c r="H123" s="35"/>
      <c r="I123" s="35"/>
      <c r="J123" s="35"/>
      <c r="K123" s="35"/>
      <c r="L123" s="35"/>
      <c r="M123" s="35"/>
      <c r="N123" s="35"/>
      <c r="Q123" s="1521"/>
    </row>
    <row r="124" spans="1:17" s="339" customFormat="1" x14ac:dyDescent="0.25">
      <c r="A124" s="1"/>
      <c r="G124" s="35"/>
      <c r="H124" s="35"/>
      <c r="I124" s="35"/>
      <c r="J124" s="35"/>
      <c r="K124" s="35"/>
      <c r="L124" s="35"/>
      <c r="M124" s="35"/>
      <c r="N124" s="35"/>
      <c r="Q124" s="1521"/>
    </row>
    <row r="125" spans="1:17" s="339" customFormat="1" x14ac:dyDescent="0.25">
      <c r="A125" s="1"/>
      <c r="G125" s="35"/>
      <c r="H125" s="35"/>
      <c r="I125" s="35"/>
      <c r="J125" s="35"/>
      <c r="K125" s="35"/>
      <c r="L125" s="35"/>
      <c r="M125" s="35"/>
      <c r="N125" s="35"/>
      <c r="Q125" s="1521"/>
    </row>
    <row r="126" spans="1:17" s="339" customFormat="1" x14ac:dyDescent="0.25">
      <c r="A126" s="1"/>
      <c r="G126" s="35"/>
      <c r="H126" s="35"/>
      <c r="I126" s="35"/>
      <c r="J126" s="35"/>
      <c r="K126" s="35"/>
      <c r="L126" s="35"/>
      <c r="M126" s="35"/>
      <c r="N126" s="35"/>
      <c r="Q126" s="1521"/>
    </row>
    <row r="127" spans="1:17" s="339" customFormat="1" x14ac:dyDescent="0.25">
      <c r="A127" s="1"/>
      <c r="G127" s="35"/>
      <c r="H127" s="35"/>
      <c r="I127" s="35"/>
      <c r="J127" s="35"/>
      <c r="K127" s="35"/>
      <c r="L127" s="35"/>
      <c r="M127" s="35"/>
      <c r="N127" s="35"/>
      <c r="Q127" s="1521"/>
    </row>
    <row r="128" spans="1:17" s="339" customFormat="1" x14ac:dyDescent="0.25">
      <c r="A128" s="1"/>
      <c r="G128" s="35"/>
      <c r="H128" s="35"/>
      <c r="I128" s="35"/>
      <c r="J128" s="35"/>
      <c r="K128" s="35"/>
      <c r="L128" s="35"/>
      <c r="M128" s="35"/>
      <c r="N128" s="35"/>
      <c r="Q128" s="1521"/>
    </row>
    <row r="129" spans="1:17" s="339" customFormat="1" x14ac:dyDescent="0.25">
      <c r="A129" s="1"/>
      <c r="G129" s="35"/>
      <c r="H129" s="35"/>
      <c r="I129" s="35"/>
      <c r="J129" s="35"/>
      <c r="K129" s="35"/>
      <c r="L129" s="35"/>
      <c r="M129" s="35"/>
      <c r="N129" s="35"/>
      <c r="Q129" s="1521"/>
    </row>
    <row r="130" spans="1:17" s="339" customFormat="1" x14ac:dyDescent="0.25">
      <c r="A130" s="1"/>
      <c r="G130" s="35"/>
      <c r="H130" s="35"/>
      <c r="I130" s="35"/>
      <c r="J130" s="35"/>
      <c r="K130" s="35"/>
      <c r="L130" s="35"/>
      <c r="M130" s="35"/>
      <c r="N130" s="35"/>
      <c r="Q130" s="1521"/>
    </row>
    <row r="131" spans="1:17" s="339" customFormat="1" x14ac:dyDescent="0.25">
      <c r="A131" s="1"/>
      <c r="G131" s="35"/>
      <c r="H131" s="35"/>
      <c r="I131" s="35"/>
      <c r="J131" s="35"/>
      <c r="K131" s="35"/>
      <c r="L131" s="35"/>
      <c r="M131" s="35"/>
      <c r="N131" s="35"/>
      <c r="Q131" s="1521"/>
    </row>
    <row r="132" spans="1:17" s="339" customFormat="1" x14ac:dyDescent="0.25">
      <c r="A132" s="1"/>
      <c r="G132" s="35"/>
      <c r="H132" s="35"/>
      <c r="I132" s="35"/>
      <c r="J132" s="35"/>
      <c r="K132" s="35"/>
      <c r="L132" s="35"/>
      <c r="M132" s="35"/>
      <c r="N132" s="35"/>
      <c r="Q132" s="1521"/>
    </row>
    <row r="133" spans="1:17" s="339" customFormat="1" x14ac:dyDescent="0.25">
      <c r="A133" s="1"/>
      <c r="G133" s="35"/>
      <c r="H133" s="35"/>
      <c r="I133" s="35"/>
      <c r="J133" s="35"/>
      <c r="K133" s="35"/>
      <c r="L133" s="35"/>
      <c r="M133" s="35"/>
      <c r="N133" s="35"/>
      <c r="Q133" s="1521"/>
    </row>
    <row r="134" spans="1:17" s="339" customFormat="1" x14ac:dyDescent="0.25">
      <c r="A134" s="1"/>
      <c r="G134" s="35"/>
      <c r="H134" s="35"/>
      <c r="I134" s="35"/>
      <c r="J134" s="35"/>
      <c r="K134" s="35"/>
      <c r="L134" s="35"/>
      <c r="M134" s="35"/>
      <c r="N134" s="35"/>
      <c r="Q134" s="1521"/>
    </row>
    <row r="135" spans="1:17" s="339" customFormat="1" x14ac:dyDescent="0.25">
      <c r="A135" s="1"/>
      <c r="G135" s="35"/>
      <c r="H135" s="35"/>
      <c r="I135" s="35"/>
      <c r="J135" s="35"/>
      <c r="K135" s="35"/>
      <c r="L135" s="35"/>
      <c r="M135" s="35"/>
      <c r="N135" s="35"/>
      <c r="Q135" s="1521"/>
    </row>
    <row r="136" spans="1:17" s="339" customFormat="1" x14ac:dyDescent="0.25">
      <c r="A136" s="1"/>
      <c r="G136" s="35"/>
      <c r="H136" s="35"/>
      <c r="I136" s="35"/>
      <c r="J136" s="35"/>
      <c r="K136" s="35"/>
      <c r="L136" s="35"/>
      <c r="M136" s="35"/>
      <c r="N136" s="35"/>
      <c r="Q136" s="1521"/>
    </row>
    <row r="137" spans="1:17" s="339" customFormat="1" x14ac:dyDescent="0.25">
      <c r="A137" s="1"/>
      <c r="G137" s="35"/>
      <c r="H137" s="35"/>
      <c r="I137" s="35"/>
      <c r="J137" s="35"/>
      <c r="K137" s="35"/>
      <c r="L137" s="35"/>
      <c r="M137" s="35"/>
      <c r="N137" s="35"/>
      <c r="Q137" s="1521"/>
    </row>
    <row r="138" spans="1:17" s="339" customFormat="1" x14ac:dyDescent="0.25">
      <c r="A138" s="1"/>
      <c r="G138" s="35"/>
      <c r="H138" s="35"/>
      <c r="I138" s="35"/>
      <c r="J138" s="35"/>
      <c r="K138" s="35"/>
      <c r="L138" s="35"/>
      <c r="M138" s="35"/>
      <c r="N138" s="35"/>
      <c r="Q138" s="1521"/>
    </row>
    <row r="139" spans="1:17" s="339" customFormat="1" x14ac:dyDescent="0.25">
      <c r="A139" s="1"/>
      <c r="G139" s="35"/>
      <c r="H139" s="35"/>
      <c r="I139" s="35"/>
      <c r="J139" s="35"/>
      <c r="K139" s="35"/>
      <c r="L139" s="35"/>
      <c r="M139" s="35"/>
      <c r="N139" s="35"/>
      <c r="Q139" s="1521"/>
    </row>
    <row r="140" spans="1:17" s="339" customFormat="1" x14ac:dyDescent="0.25">
      <c r="A140" s="1"/>
      <c r="G140" s="35"/>
      <c r="H140" s="35"/>
      <c r="I140" s="35"/>
      <c r="J140" s="35"/>
      <c r="K140" s="35"/>
      <c r="L140" s="35"/>
      <c r="M140" s="35"/>
      <c r="N140" s="35"/>
      <c r="Q140" s="1521"/>
    </row>
    <row r="141" spans="1:17" s="339" customFormat="1" x14ac:dyDescent="0.25">
      <c r="A141" s="1"/>
      <c r="G141" s="35"/>
      <c r="H141" s="35"/>
      <c r="I141" s="35"/>
      <c r="J141" s="35"/>
      <c r="K141" s="35"/>
      <c r="L141" s="35"/>
      <c r="M141" s="35"/>
      <c r="N141" s="35"/>
      <c r="Q141" s="1521"/>
    </row>
    <row r="142" spans="1:17" s="339" customFormat="1" x14ac:dyDescent="0.25">
      <c r="A142" s="1"/>
      <c r="G142" s="35"/>
      <c r="H142" s="35"/>
      <c r="I142" s="35"/>
      <c r="J142" s="35"/>
      <c r="K142" s="35"/>
      <c r="L142" s="35"/>
      <c r="M142" s="35"/>
      <c r="N142" s="35"/>
      <c r="Q142" s="1521"/>
    </row>
    <row r="143" spans="1:17" s="339" customFormat="1" x14ac:dyDescent="0.25">
      <c r="A143" s="1"/>
      <c r="G143" s="35"/>
      <c r="H143" s="35"/>
      <c r="I143" s="35"/>
      <c r="J143" s="35"/>
      <c r="K143" s="35"/>
      <c r="L143" s="35"/>
      <c r="M143" s="35"/>
      <c r="N143" s="35"/>
      <c r="Q143" s="1521"/>
    </row>
    <row r="144" spans="1:17" s="339" customFormat="1" x14ac:dyDescent="0.25">
      <c r="A144" s="1"/>
      <c r="G144" s="35"/>
      <c r="H144" s="35"/>
      <c r="I144" s="35"/>
      <c r="J144" s="35"/>
      <c r="K144" s="35"/>
      <c r="L144" s="35"/>
      <c r="M144" s="35"/>
      <c r="N144" s="35"/>
      <c r="Q144" s="1521"/>
    </row>
    <row r="145" spans="1:17" s="339" customFormat="1" x14ac:dyDescent="0.25">
      <c r="A145" s="1"/>
      <c r="G145" s="35"/>
      <c r="H145" s="35"/>
      <c r="I145" s="35"/>
      <c r="J145" s="35"/>
      <c r="K145" s="35"/>
      <c r="L145" s="35"/>
      <c r="M145" s="35"/>
      <c r="N145" s="35"/>
      <c r="Q145" s="1521"/>
    </row>
    <row r="146" spans="1:17" s="339" customFormat="1" x14ac:dyDescent="0.25">
      <c r="A146" s="1"/>
      <c r="G146" s="35"/>
      <c r="H146" s="35"/>
      <c r="I146" s="35"/>
      <c r="J146" s="35"/>
      <c r="K146" s="35"/>
      <c r="L146" s="35"/>
      <c r="M146" s="35"/>
      <c r="N146" s="35"/>
      <c r="Q146" s="1521"/>
    </row>
    <row r="147" spans="1:17" s="339" customFormat="1" x14ac:dyDescent="0.25">
      <c r="A147" s="1"/>
      <c r="G147" s="35"/>
      <c r="H147" s="35"/>
      <c r="I147" s="35"/>
      <c r="J147" s="35"/>
      <c r="K147" s="35"/>
      <c r="L147" s="35"/>
      <c r="M147" s="35"/>
      <c r="N147" s="35"/>
      <c r="Q147" s="1521"/>
    </row>
    <row r="148" spans="1:17" s="339" customFormat="1" x14ac:dyDescent="0.25">
      <c r="A148" s="1"/>
      <c r="G148" s="35"/>
      <c r="H148" s="35"/>
      <c r="I148" s="35"/>
      <c r="J148" s="35"/>
      <c r="K148" s="35"/>
      <c r="L148" s="35"/>
      <c r="M148" s="35"/>
      <c r="N148" s="35"/>
      <c r="Q148" s="1521"/>
    </row>
    <row r="149" spans="1:17" s="339" customFormat="1" x14ac:dyDescent="0.25">
      <c r="A149" s="1"/>
      <c r="G149" s="35"/>
      <c r="H149" s="35"/>
      <c r="I149" s="35"/>
      <c r="J149" s="35"/>
      <c r="K149" s="35"/>
      <c r="L149" s="35"/>
      <c r="M149" s="35"/>
      <c r="N149" s="35"/>
      <c r="Q149" s="1521"/>
    </row>
    <row r="150" spans="1:17" s="339" customFormat="1" x14ac:dyDescent="0.25">
      <c r="A150" s="1"/>
      <c r="G150" s="35"/>
      <c r="H150" s="35"/>
      <c r="I150" s="35"/>
      <c r="J150" s="35"/>
      <c r="K150" s="35"/>
      <c r="L150" s="35"/>
      <c r="M150" s="35"/>
      <c r="N150" s="35"/>
      <c r="Q150" s="1521"/>
    </row>
    <row r="151" spans="1:17" s="339" customFormat="1" x14ac:dyDescent="0.25">
      <c r="A151" s="1"/>
      <c r="G151" s="35"/>
      <c r="H151" s="35"/>
      <c r="I151" s="35"/>
      <c r="J151" s="35"/>
      <c r="K151" s="35"/>
      <c r="L151" s="35"/>
      <c r="M151" s="35"/>
      <c r="N151" s="35"/>
      <c r="Q151" s="1521"/>
    </row>
    <row r="152" spans="1:17" s="339" customFormat="1" x14ac:dyDescent="0.25">
      <c r="A152" s="1"/>
      <c r="G152" s="35"/>
      <c r="H152" s="35"/>
      <c r="I152" s="35"/>
      <c r="J152" s="35"/>
      <c r="K152" s="35"/>
      <c r="L152" s="35"/>
      <c r="M152" s="35"/>
      <c r="N152" s="35"/>
      <c r="Q152" s="1521"/>
    </row>
    <row r="153" spans="1:17" s="339" customFormat="1" x14ac:dyDescent="0.25">
      <c r="A153" s="1"/>
      <c r="G153" s="35"/>
      <c r="H153" s="35"/>
      <c r="I153" s="35"/>
      <c r="J153" s="35"/>
      <c r="K153" s="35"/>
      <c r="L153" s="35"/>
      <c r="M153" s="35"/>
      <c r="N153" s="35"/>
      <c r="Q153" s="1521"/>
    </row>
    <row r="154" spans="1:17" s="339" customFormat="1" x14ac:dyDescent="0.25">
      <c r="A154" s="1"/>
      <c r="G154" s="35"/>
      <c r="H154" s="35"/>
      <c r="I154" s="35"/>
      <c r="J154" s="35"/>
      <c r="K154" s="35"/>
      <c r="L154" s="35"/>
      <c r="M154" s="35"/>
      <c r="N154" s="35"/>
      <c r="Q154" s="1521"/>
    </row>
    <row r="155" spans="1:17" s="339" customFormat="1" x14ac:dyDescent="0.25">
      <c r="A155" s="1"/>
      <c r="G155" s="35"/>
      <c r="H155" s="35"/>
      <c r="I155" s="35"/>
      <c r="J155" s="35"/>
      <c r="K155" s="35"/>
      <c r="L155" s="35"/>
      <c r="M155" s="35"/>
      <c r="N155" s="35"/>
      <c r="Q155" s="1521"/>
    </row>
    <row r="156" spans="1:17" s="339" customFormat="1" x14ac:dyDescent="0.25">
      <c r="A156" s="1"/>
      <c r="G156" s="35"/>
      <c r="H156" s="35"/>
      <c r="I156" s="35"/>
      <c r="J156" s="35"/>
      <c r="K156" s="35"/>
      <c r="L156" s="35"/>
      <c r="M156" s="35"/>
      <c r="N156" s="35"/>
      <c r="Q156" s="1521"/>
    </row>
    <row r="157" spans="1:17" s="339" customFormat="1" x14ac:dyDescent="0.25">
      <c r="A157" s="1"/>
      <c r="G157" s="35"/>
      <c r="H157" s="35"/>
      <c r="I157" s="35"/>
      <c r="J157" s="35"/>
      <c r="K157" s="35"/>
      <c r="L157" s="35"/>
      <c r="M157" s="35"/>
      <c r="N157" s="35"/>
      <c r="Q157" s="1521"/>
    </row>
    <row r="158" spans="1:17" s="339" customFormat="1" x14ac:dyDescent="0.25">
      <c r="A158" s="1"/>
      <c r="G158" s="35"/>
      <c r="H158" s="35"/>
      <c r="I158" s="35"/>
      <c r="J158" s="35"/>
      <c r="K158" s="35"/>
      <c r="L158" s="35"/>
      <c r="M158" s="35"/>
      <c r="N158" s="35"/>
      <c r="Q158" s="1521"/>
    </row>
    <row r="159" spans="1:17" s="339" customFormat="1" x14ac:dyDescent="0.25">
      <c r="A159" s="1"/>
      <c r="G159" s="35"/>
      <c r="H159" s="35"/>
      <c r="I159" s="35"/>
      <c r="J159" s="35"/>
      <c r="K159" s="35"/>
      <c r="L159" s="35"/>
      <c r="M159" s="35"/>
      <c r="N159" s="35"/>
      <c r="Q159" s="1521"/>
    </row>
    <row r="160" spans="1:17" s="339" customFormat="1" x14ac:dyDescent="0.25">
      <c r="A160" s="1"/>
      <c r="G160" s="35"/>
      <c r="H160" s="35"/>
      <c r="I160" s="35"/>
      <c r="J160" s="35"/>
      <c r="K160" s="35"/>
      <c r="L160" s="35"/>
      <c r="M160" s="35"/>
      <c r="N160" s="35"/>
      <c r="Q160" s="1521"/>
    </row>
    <row r="161" spans="1:17" s="339" customFormat="1" x14ac:dyDescent="0.25">
      <c r="A161" s="1"/>
      <c r="G161" s="35"/>
      <c r="H161" s="35"/>
      <c r="I161" s="35"/>
      <c r="J161" s="35"/>
      <c r="K161" s="35"/>
      <c r="L161" s="35"/>
      <c r="M161" s="35"/>
      <c r="N161" s="35"/>
      <c r="Q161" s="1521"/>
    </row>
    <row r="162" spans="1:17" s="339" customFormat="1" x14ac:dyDescent="0.25">
      <c r="A162" s="1"/>
      <c r="G162" s="35"/>
      <c r="H162" s="35"/>
      <c r="I162" s="35"/>
      <c r="J162" s="35"/>
      <c r="K162" s="35"/>
      <c r="L162" s="35"/>
      <c r="M162" s="35"/>
      <c r="N162" s="35"/>
      <c r="Q162" s="1521"/>
    </row>
    <row r="163" spans="1:17" s="339" customFormat="1" x14ac:dyDescent="0.25">
      <c r="A163" s="1"/>
      <c r="G163" s="35"/>
      <c r="H163" s="35"/>
      <c r="I163" s="35"/>
      <c r="J163" s="35"/>
      <c r="K163" s="35"/>
      <c r="L163" s="35"/>
      <c r="M163" s="35"/>
      <c r="N163" s="35"/>
      <c r="Q163" s="1521"/>
    </row>
    <row r="164" spans="1:17" s="339" customFormat="1" x14ac:dyDescent="0.25">
      <c r="A164" s="1"/>
      <c r="G164" s="35"/>
      <c r="H164" s="35"/>
      <c r="I164" s="35"/>
      <c r="J164" s="35"/>
      <c r="K164" s="35"/>
      <c r="L164" s="35"/>
      <c r="M164" s="35"/>
      <c r="N164" s="35"/>
      <c r="Q164" s="1521"/>
    </row>
    <row r="165" spans="1:17" s="339" customFormat="1" x14ac:dyDescent="0.25">
      <c r="A165" s="1"/>
      <c r="G165" s="35"/>
      <c r="H165" s="35"/>
      <c r="I165" s="35"/>
      <c r="J165" s="35"/>
      <c r="K165" s="35"/>
      <c r="L165" s="35"/>
      <c r="M165" s="35"/>
      <c r="N165" s="35"/>
      <c r="Q165" s="1521"/>
    </row>
    <row r="166" spans="1:17" s="339" customFormat="1" x14ac:dyDescent="0.25">
      <c r="A166" s="1"/>
      <c r="G166" s="35"/>
      <c r="H166" s="35"/>
      <c r="I166" s="35"/>
      <c r="J166" s="35"/>
      <c r="K166" s="35"/>
      <c r="L166" s="35"/>
      <c r="M166" s="35"/>
      <c r="N166" s="35"/>
      <c r="Q166" s="1521"/>
    </row>
    <row r="167" spans="1:17" s="339" customFormat="1" x14ac:dyDescent="0.25">
      <c r="A167" s="1"/>
      <c r="G167" s="35"/>
      <c r="H167" s="35"/>
      <c r="I167" s="35"/>
      <c r="J167" s="35"/>
      <c r="K167" s="35"/>
      <c r="L167" s="35"/>
      <c r="M167" s="35"/>
      <c r="N167" s="35"/>
      <c r="Q167" s="1521"/>
    </row>
    <row r="168" spans="1:17" s="339" customFormat="1" x14ac:dyDescent="0.25">
      <c r="A168" s="1"/>
      <c r="G168" s="35"/>
      <c r="H168" s="35"/>
      <c r="I168" s="35"/>
      <c r="J168" s="35"/>
      <c r="K168" s="35"/>
      <c r="L168" s="35"/>
      <c r="M168" s="35"/>
      <c r="N168" s="35"/>
      <c r="Q168" s="1521"/>
    </row>
    <row r="169" spans="1:17" s="339" customFormat="1" x14ac:dyDescent="0.25">
      <c r="A169" s="1"/>
      <c r="G169" s="35"/>
      <c r="H169" s="35"/>
      <c r="I169" s="35"/>
      <c r="J169" s="35"/>
      <c r="K169" s="35"/>
      <c r="L169" s="35"/>
      <c r="M169" s="35"/>
      <c r="N169" s="35"/>
      <c r="Q169" s="1521"/>
    </row>
    <row r="170" spans="1:17" s="339" customFormat="1" x14ac:dyDescent="0.25">
      <c r="A170" s="1"/>
      <c r="G170" s="35"/>
      <c r="H170" s="35"/>
      <c r="I170" s="35"/>
      <c r="J170" s="35"/>
      <c r="K170" s="35"/>
      <c r="L170" s="35"/>
      <c r="M170" s="35"/>
      <c r="N170" s="35"/>
      <c r="Q170" s="1521"/>
    </row>
    <row r="171" spans="1:17" s="339" customFormat="1" x14ac:dyDescent="0.25">
      <c r="A171" s="1"/>
      <c r="G171" s="35"/>
      <c r="H171" s="35"/>
      <c r="I171" s="35"/>
      <c r="J171" s="35"/>
      <c r="K171" s="35"/>
      <c r="L171" s="35"/>
      <c r="M171" s="35"/>
      <c r="N171" s="35"/>
      <c r="Q171" s="1521"/>
    </row>
    <row r="172" spans="1:17" s="339" customFormat="1" x14ac:dyDescent="0.25">
      <c r="A172" s="1"/>
      <c r="G172" s="35"/>
      <c r="H172" s="35"/>
      <c r="I172" s="35"/>
      <c r="J172" s="35"/>
      <c r="K172" s="35"/>
      <c r="L172" s="35"/>
      <c r="M172" s="35"/>
      <c r="N172" s="35"/>
      <c r="Q172" s="1521"/>
    </row>
    <row r="173" spans="1:17" s="339" customFormat="1" x14ac:dyDescent="0.25">
      <c r="A173" s="1"/>
      <c r="G173" s="35"/>
      <c r="H173" s="35"/>
      <c r="I173" s="35"/>
      <c r="J173" s="35"/>
      <c r="K173" s="35"/>
      <c r="L173" s="35"/>
      <c r="M173" s="35"/>
      <c r="N173" s="35"/>
      <c r="Q173" s="1521"/>
    </row>
    <row r="174" spans="1:17" s="339" customFormat="1" x14ac:dyDescent="0.25">
      <c r="A174" s="1"/>
      <c r="G174" s="35"/>
      <c r="H174" s="35"/>
      <c r="I174" s="35"/>
      <c r="J174" s="35"/>
      <c r="K174" s="35"/>
      <c r="L174" s="35"/>
      <c r="M174" s="35"/>
      <c r="N174" s="35"/>
      <c r="Q174" s="1521"/>
    </row>
    <row r="175" spans="1:17" s="339" customFormat="1" x14ac:dyDescent="0.25">
      <c r="A175" s="1"/>
      <c r="G175" s="35"/>
      <c r="H175" s="35"/>
      <c r="I175" s="35"/>
      <c r="J175" s="35"/>
      <c r="K175" s="35"/>
      <c r="L175" s="35"/>
      <c r="M175" s="35"/>
      <c r="N175" s="35"/>
      <c r="Q175" s="1521"/>
    </row>
    <row r="176" spans="1:17" s="339" customFormat="1" x14ac:dyDescent="0.25">
      <c r="A176" s="1"/>
      <c r="G176" s="35"/>
      <c r="H176" s="35"/>
      <c r="I176" s="35"/>
      <c r="J176" s="35"/>
      <c r="K176" s="35"/>
      <c r="L176" s="35"/>
      <c r="M176" s="35"/>
      <c r="N176" s="35"/>
      <c r="Q176" s="1521"/>
    </row>
    <row r="177" spans="1:17" s="339" customFormat="1" x14ac:dyDescent="0.25">
      <c r="A177" s="1"/>
      <c r="G177" s="35"/>
      <c r="H177" s="35"/>
      <c r="I177" s="35"/>
      <c r="J177" s="35"/>
      <c r="K177" s="35"/>
      <c r="L177" s="35"/>
      <c r="M177" s="35"/>
      <c r="N177" s="35"/>
      <c r="Q177" s="1521"/>
    </row>
    <row r="178" spans="1:17" s="339" customFormat="1" x14ac:dyDescent="0.25">
      <c r="A178" s="1"/>
      <c r="G178" s="35"/>
      <c r="H178" s="35"/>
      <c r="I178" s="35"/>
      <c r="J178" s="35"/>
      <c r="K178" s="35"/>
      <c r="L178" s="35"/>
      <c r="M178" s="35"/>
      <c r="N178" s="35"/>
      <c r="Q178" s="1521"/>
    </row>
    <row r="179" spans="1:17" s="339" customFormat="1" x14ac:dyDescent="0.25">
      <c r="A179" s="1"/>
      <c r="G179" s="35"/>
      <c r="H179" s="35"/>
      <c r="I179" s="35"/>
      <c r="J179" s="35"/>
      <c r="K179" s="35"/>
      <c r="L179" s="35"/>
      <c r="M179" s="35"/>
      <c r="N179" s="35"/>
      <c r="Q179" s="1521"/>
    </row>
  </sheetData>
  <sheetProtection algorithmName="SHA-512" hashValue="v+0WqvgRA5cFL7ArQ/+etgfwRIuP8ZxQUxMv8fCLBg6llBjABa/tBP9SoC1yWDD7nIpCeZ2OCr/TtHf7d1lhSQ==" saltValue="vfAomTJHItEnz8K6KpjzJw==" spinCount="100000" sheet="1" objects="1" scenarios="1"/>
  <customSheetViews>
    <customSheetView guid="{75D6F8CE-A4F4-4FDD-BA92-7996F9E19FA9}" scale="90" showGridLines="0">
      <selection activeCell="K12" sqref="K12"/>
      <rowBreaks count="1" manualBreakCount="1">
        <brk id="64" max="8" man="1"/>
      </rowBreaks>
      <pageMargins left="0.25" right="0.25" top="0.75" bottom="0.75" header="0.3" footer="0.3"/>
      <pageSetup scale="63" orientation="portrait" verticalDpi="1200" r:id="rId1"/>
    </customSheetView>
  </customSheetViews>
  <mergeCells count="33">
    <mergeCell ref="I86:K86"/>
    <mergeCell ref="M9:M10"/>
    <mergeCell ref="N9:N10"/>
    <mergeCell ref="M100:M101"/>
    <mergeCell ref="N100:N101"/>
    <mergeCell ref="M68:M69"/>
    <mergeCell ref="N68:N69"/>
    <mergeCell ref="I100:K100"/>
    <mergeCell ref="Q9:Q10"/>
    <mergeCell ref="B101:C101"/>
    <mergeCell ref="F33:H33"/>
    <mergeCell ref="M33:M34"/>
    <mergeCell ref="N33:N34"/>
    <mergeCell ref="F47:H47"/>
    <mergeCell ref="M47:M48"/>
    <mergeCell ref="N47:N48"/>
    <mergeCell ref="F68:H68"/>
    <mergeCell ref="F86:H86"/>
    <mergeCell ref="M86:M87"/>
    <mergeCell ref="N86:N87"/>
    <mergeCell ref="I9:K9"/>
    <mergeCell ref="I33:K33"/>
    <mergeCell ref="I47:K47"/>
    <mergeCell ref="I68:K68"/>
    <mergeCell ref="B102:C102"/>
    <mergeCell ref="B105:C105"/>
    <mergeCell ref="B106:C106"/>
    <mergeCell ref="B107:C107"/>
    <mergeCell ref="B5:G5"/>
    <mergeCell ref="F9:H9"/>
    <mergeCell ref="B103:C103"/>
    <mergeCell ref="B104:C104"/>
    <mergeCell ref="F100:H100"/>
  </mergeCells>
  <dataValidations count="27">
    <dataValidation allowBlank="1" showInputMessage="1" sqref="E57 E35 E41 E20 E38:E39 E17 E24 E43 E26 E22 E72:E76 E79 E61 E53:E54 E59 G11 J60:J61 E51 G102:G107 K49:K65 K70:K83 K88:K97 K12:K29 K35:K44 J49 J11:K11 J102:K107" xr:uid="{00000000-0002-0000-1C00-000000000000}"/>
    <dataValidation type="list" allowBlank="1" showInputMessage="1" sqref="E58 E42 E25" xr:uid="{00000000-0002-0000-1C00-000001000000}">
      <formula1>"kW, HP, BHP, W/gpm, other (specify)"</formula1>
    </dataValidation>
    <dataValidation type="list" allowBlank="1" showInputMessage="1" sqref="E52" xr:uid="{00000000-0002-0000-1C00-000002000000}">
      <formula1>"%, AFUE, other (specify)"</formula1>
    </dataValidation>
    <dataValidation type="list" allowBlank="1" showInputMessage="1" sqref="E36" xr:uid="{00000000-0002-0000-1C00-000003000000}">
      <formula1>"kW, HP, BHP, gpm/HP, hp/gpm, W/gpm, other (specify)"</formula1>
    </dataValidation>
    <dataValidation type="list" allowBlank="1" showInputMessage="1" sqref="E21" xr:uid="{00000000-0002-0000-1C00-000004000000}">
      <formula1>"W/gpm,kW"</formula1>
    </dataValidation>
    <dataValidation operator="greaterThanOrEqual" allowBlank="1" showInputMessage="1" error="Please enter the value only (without any labels)" sqref="E13" xr:uid="{00000000-0002-0000-1C00-000005000000}"/>
    <dataValidation type="list" allowBlank="1" showInputMessage="1" sqref="G60" xr:uid="{00000000-0002-0000-1C00-000006000000}">
      <formula1>"Riding the pump curve,Variable speed"</formula1>
    </dataValidation>
    <dataValidation type="list" allowBlank="1" showInputMessage="1" showErrorMessage="1" sqref="G16" xr:uid="{00000000-0002-0000-1C00-000007000000}">
      <formula1>"44,6.7"</formula1>
    </dataValidation>
    <dataValidation type="list" allowBlank="1" showInputMessage="1" showErrorMessage="1" sqref="G17" xr:uid="{00000000-0002-0000-1C00-000008000000}">
      <formula1>"12,6.3"</formula1>
    </dataValidation>
    <dataValidation type="list" allowBlank="1" showInputMessage="1" sqref="G18" xr:uid="{00000000-0002-0000-1C00-000009000000}">
      <formula1>"44°F (7°C) at 80°F (27°C) and above, 54°F (12°C)  at 60°F (16°C) and below and ramped linearly between 44°F (7°C) and 54°F (12°C)  between 80°F (27°C) and 60°F (16°C),Load reset up to 54°F  (12°C),matching proposed CHW Reset  "</formula1>
    </dataValidation>
    <dataValidation type="list" allowBlank="1" showInputMessage="1" sqref="G19" xr:uid="{00000000-0002-0000-1C00-00000A000000}">
      <formula1>"Primary/secondary"</formula1>
    </dataValidation>
    <dataValidation type="list" allowBlank="1" showInputMessage="1" sqref="G23" xr:uid="{00000000-0002-0000-1C00-00000B000000}">
      <formula1>"Constant Speed - each primary pump interlocked with associated chiller, No primary pumps modeled"</formula1>
    </dataValidation>
    <dataValidation type="list" allowBlank="1" showInputMessage="1" showErrorMessage="1" sqref="G27" xr:uid="{00000000-0002-0000-1C00-00000C000000}">
      <formula1>"Riding the pump curve, Variable speed"</formula1>
    </dataValidation>
    <dataValidation type="list" allowBlank="1" showInputMessage="1" showErrorMessage="1" sqref="G37" xr:uid="{00000000-0002-0000-1C00-00000D000000}">
      <formula1>"Variable-speed axial fans"</formula1>
    </dataValidation>
    <dataValidation type="list" allowBlank="1" showInputMessage="1" sqref="G39" xr:uid="{00000000-0002-0000-1C00-00000E000000}">
      <formula1>"10°, 5.6°"</formula1>
    </dataValidation>
    <dataValidation type="list" allowBlank="1" showInputMessage="1" showErrorMessage="1" sqref="G44" xr:uid="{00000000-0002-0000-1C00-00000F000000}">
      <formula1>"Riding the pump curve"</formula1>
    </dataValidation>
    <dataValidation type="list" allowBlank="1" showInputMessage="1" showErrorMessage="1" sqref="G49" xr:uid="{00000000-0002-0000-1C00-000010000000}">
      <formula1>"1 natural draft hot water boiler, 2 equally-sized natural draft hot water boilers, N/A (purchased heat),N/A"</formula1>
    </dataValidation>
    <dataValidation type="list" allowBlank="1" showInputMessage="1" sqref="G53" xr:uid="{00000000-0002-0000-1C00-000011000000}">
      <formula1>"180,82"</formula1>
    </dataValidation>
    <dataValidation type="list" allowBlank="1" showInputMessage="1" showErrorMessage="1" sqref="G54" xr:uid="{00000000-0002-0000-1C00-000012000000}">
      <formula1>"50"</formula1>
    </dataValidation>
    <dataValidation type="list" allowBlank="1" showInputMessage="1" sqref="G55" xr:uid="{00000000-0002-0000-1C00-000013000000}">
      <formula1>"180°F (83°C) at OA temps &lt;= 20°F (-7°C) and 150°F (66°C) at OA temps &gt; 50°F (10°C)  and ramped linearly between 180°F (83°C) and 150°F (66°C) at OA temps between 20°F(-7°C) and 50°F (10°C),Reset based on Purchased Loop conditions"</formula1>
    </dataValidation>
    <dataValidation type="list" allowBlank="1" showInputMessage="1" showErrorMessage="1" sqref="G56" xr:uid="{00000000-0002-0000-1C00-000014000000}">
      <formula1>"Primary-only"</formula1>
    </dataValidation>
    <dataValidation type="list" allowBlank="1" showInputMessage="1" sqref="G57" xr:uid="{00000000-0002-0000-1C00-000015000000}">
      <formula1>"1"</formula1>
    </dataValidation>
    <dataValidation type="list" allowBlank="1" showInputMessage="1" sqref="J19" xr:uid="{00000000-0002-0000-1C00-000016000000}">
      <formula1>"Primary-only, Primary/secondary,Building Distribution Pumps Only"</formula1>
    </dataValidation>
    <dataValidation type="list" allowBlank="1" showInputMessage="1" sqref="J23" xr:uid="{00000000-0002-0000-1C00-000017000000}">
      <formula1>"Constant flow - each primary pump interlocked with associated chiller, Variable Primary with Variable Speed Drives"</formula1>
    </dataValidation>
    <dataValidation type="list" allowBlank="1" showInputMessage="1" showErrorMessage="1" sqref="J34 J101 J87 J69 J48" xr:uid="{00000000-0002-0000-1C00-000018000000}">
      <formula1>BuildingIDLookup</formula1>
    </dataValidation>
    <dataValidation allowBlank="1" showInputMessage="1" prompt="Reference specific place in the submitted design documents (e.g. drawing &amp; detail number) where relevant parameters are listed to support review." sqref="K10 K34 K48 K69 K87 K101" xr:uid="{00000000-0002-0000-1C00-000019000000}"/>
    <dataValidation type="list" allowBlank="1" showErrorMessage="1" sqref="J10" xr:uid="{00000000-0002-0000-1C00-00001A000000}">
      <formula1>BuildingIDLookup</formula1>
    </dataValidation>
  </dataValidations>
  <pageMargins left="0.25" right="0.25" top="0.75" bottom="0.75" header="0.3" footer="0.3"/>
  <pageSetup scale="63" orientation="portrait" verticalDpi="1200" r:id="rId2"/>
  <rowBreaks count="1" manualBreakCount="1">
    <brk id="69" max="8" man="1"/>
  </rowBreaks>
  <drawing r:id="rId3"/>
  <legacyDrawing r:id="rId4"/>
  <mc:AlternateContent xmlns:mc="http://schemas.openxmlformats.org/markup-compatibility/2006">
    <mc:Choice Requires="x14">
      <controls>
        <mc:AlternateContent xmlns:mc="http://schemas.openxmlformats.org/markup-compatibility/2006">
          <mc:Choice Requires="x14">
            <control shapeId="11487" r:id="rId5" name="Button 223">
              <controlPr defaultSize="0" print="0" autoFill="0" autoPict="0" macro="[0]!AddProposedHVACColumnsToRange">
                <anchor moveWithCells="1">
                  <from>
                    <xdr:col>1</xdr:col>
                    <xdr:colOff>2834640</xdr:colOff>
                    <xdr:row>5</xdr:row>
                    <xdr:rowOff>137160</xdr:rowOff>
                  </from>
                  <to>
                    <xdr:col>2</xdr:col>
                    <xdr:colOff>1737360</xdr:colOff>
                    <xdr:row>6</xdr:row>
                    <xdr:rowOff>251460</xdr:rowOff>
                  </to>
                </anchor>
              </controlPr>
            </control>
          </mc:Choice>
        </mc:AlternateContent>
        <mc:AlternateContent xmlns:mc="http://schemas.openxmlformats.org/markup-compatibility/2006">
          <mc:Choice Requires="x14">
            <control shapeId="11491" r:id="rId6" name="Button 227">
              <controlPr defaultSize="0" print="0" autoFill="0" autoPict="0" macro="[0]!DeleteProposedHVACColumnsToRange">
                <anchor moveWithCells="1">
                  <from>
                    <xdr:col>2</xdr:col>
                    <xdr:colOff>1584960</xdr:colOff>
                    <xdr:row>5</xdr:row>
                    <xdr:rowOff>137160</xdr:rowOff>
                  </from>
                  <to>
                    <xdr:col>2</xdr:col>
                    <xdr:colOff>3337560</xdr:colOff>
                    <xdr:row>6</xdr:row>
                    <xdr:rowOff>251460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53">
    <tabColor theme="6" tint="-0.249977111117893"/>
  </sheetPr>
  <dimension ref="A1:L21"/>
  <sheetViews>
    <sheetView showGridLines="0" zoomScaleNormal="100" workbookViewId="0"/>
  </sheetViews>
  <sheetFormatPr defaultColWidth="7.796875" defaultRowHeight="13.2" x14ac:dyDescent="0.25"/>
  <cols>
    <col min="1" max="1" width="7.19921875" style="2306" customWidth="1"/>
    <col min="2" max="2" width="40.69921875" style="2302" customWidth="1"/>
    <col min="3" max="3" width="15.69921875" style="2302" customWidth="1"/>
    <col min="4" max="4" width="17.796875" style="2302" customWidth="1"/>
    <col min="5" max="5" width="17.69921875" style="2302" customWidth="1"/>
    <col min="6" max="6" width="17.796875" style="2302" customWidth="1"/>
    <col min="7" max="7" width="26.19921875" style="2302" customWidth="1"/>
    <col min="8" max="8" width="12.796875" style="2302" customWidth="1"/>
    <col min="9" max="9" width="7.796875" style="2302"/>
    <col min="10" max="10" width="8.69921875" style="2302" bestFit="1" customWidth="1"/>
    <col min="11" max="16384" width="7.796875" style="2302"/>
  </cols>
  <sheetData>
    <row r="1" spans="1:12" s="961" customFormat="1" ht="27.6" x14ac:dyDescent="0.25">
      <c r="A1" s="2293"/>
      <c r="B1" s="2294"/>
      <c r="C1" s="3801" t="s">
        <v>3056</v>
      </c>
      <c r="D1" s="3802"/>
      <c r="E1" s="3802"/>
      <c r="F1" s="3803"/>
      <c r="G1" s="2293"/>
    </row>
    <row r="2" spans="1:12" s="2297" customFormat="1" ht="22.8" x14ac:dyDescent="0.25">
      <c r="A2" s="2295"/>
      <c r="B2" s="2296"/>
      <c r="C2" s="3804" t="s">
        <v>3057</v>
      </c>
      <c r="D2" s="3805"/>
      <c r="E2" s="3805"/>
      <c r="F2" s="3806"/>
      <c r="G2" s="2295"/>
    </row>
    <row r="3" spans="1:12" s="961" customFormat="1" ht="17.399999999999999" x14ac:dyDescent="0.3">
      <c r="A3" s="2298"/>
      <c r="B3" s="2299"/>
      <c r="C3" s="3807" t="s">
        <v>3058</v>
      </c>
      <c r="D3" s="3808"/>
      <c r="E3" s="3808"/>
      <c r="F3" s="3809"/>
      <c r="G3" s="2298"/>
    </row>
    <row r="4" spans="1:12" s="961" customFormat="1" ht="17.399999999999999" x14ac:dyDescent="0.3">
      <c r="A4" s="2300"/>
      <c r="G4" s="2298"/>
    </row>
    <row r="5" spans="1:12" s="961" customFormat="1" ht="16.5" customHeight="1" x14ac:dyDescent="0.3">
      <c r="B5" s="2301" t="s">
        <v>3059</v>
      </c>
      <c r="C5" s="2302"/>
      <c r="D5" s="2302"/>
      <c r="E5" s="2301"/>
    </row>
    <row r="6" spans="1:12" s="961" customFormat="1" ht="15" customHeight="1" x14ac:dyDescent="0.35">
      <c r="B6" s="2303" t="s">
        <v>3060</v>
      </c>
      <c r="C6" s="2304"/>
      <c r="D6" s="2304"/>
      <c r="E6" s="2304"/>
      <c r="F6" s="2302"/>
      <c r="G6" s="2305"/>
    </row>
    <row r="7" spans="1:12" s="961" customFormat="1" ht="43.2" customHeight="1" x14ac:dyDescent="0.25">
      <c r="A7" s="2306"/>
      <c r="B7" s="3810" t="s">
        <v>3086</v>
      </c>
      <c r="C7" s="3810"/>
      <c r="D7" s="3810"/>
      <c r="E7" s="3810"/>
      <c r="F7" s="3810"/>
      <c r="G7" s="3810"/>
      <c r="H7" s="2318"/>
    </row>
    <row r="8" spans="1:12" s="961" customFormat="1" ht="3.45" hidden="1" customHeight="1" x14ac:dyDescent="0.25">
      <c r="A8" s="2306"/>
      <c r="B8" s="2319"/>
      <c r="C8" s="2319"/>
      <c r="D8" s="2319"/>
      <c r="E8" s="2319"/>
      <c r="F8" s="2319"/>
      <c r="G8" s="2319"/>
      <c r="H8" s="2318"/>
    </row>
    <row r="9" spans="1:12" s="961" customFormat="1" ht="3.45" hidden="1" customHeight="1" x14ac:dyDescent="0.25">
      <c r="A9" s="2306"/>
      <c r="B9" s="2306"/>
      <c r="C9" s="2306"/>
      <c r="D9" s="2306"/>
      <c r="E9" s="2306"/>
      <c r="F9" s="2306"/>
      <c r="G9" s="2306"/>
      <c r="H9" s="2306"/>
      <c r="I9" s="2306"/>
      <c r="J9" s="2306"/>
    </row>
    <row r="10" spans="1:12" ht="3.45" hidden="1" customHeight="1" x14ac:dyDescent="0.25"/>
    <row r="11" spans="1:12" ht="3.45" hidden="1" customHeight="1" x14ac:dyDescent="0.25"/>
    <row r="12" spans="1:12" s="2314" customFormat="1" x14ac:dyDescent="0.25">
      <c r="A12" s="2313"/>
      <c r="D12" s="2315"/>
      <c r="E12" s="2315"/>
      <c r="F12" s="2315"/>
      <c r="I12" s="2302"/>
      <c r="J12" s="2302"/>
      <c r="K12" s="2302"/>
      <c r="L12" s="2302"/>
    </row>
    <row r="13" spans="1:12" s="2317" customFormat="1" ht="22.8" x14ac:dyDescent="0.25">
      <c r="A13" s="2316"/>
      <c r="B13" s="2312" t="s">
        <v>2469</v>
      </c>
      <c r="C13" s="2323">
        <f>GI_Project_Name</f>
        <v>0</v>
      </c>
      <c r="D13" s="2311" t="s">
        <v>3061</v>
      </c>
      <c r="E13" s="2311" t="s">
        <v>3062</v>
      </c>
      <c r="F13" s="2311" t="s">
        <v>3085</v>
      </c>
      <c r="G13" s="2321" t="s">
        <v>3084</v>
      </c>
    </row>
    <row r="14" spans="1:12" s="2317" customFormat="1" x14ac:dyDescent="0.25">
      <c r="A14" s="2316"/>
      <c r="B14" s="2312" t="s">
        <v>3063</v>
      </c>
      <c r="C14" s="2324">
        <f>'General Information'!$E$20</f>
        <v>0</v>
      </c>
      <c r="D14" s="2324">
        <f>'General Information'!$F$20</f>
        <v>0</v>
      </c>
      <c r="E14" s="2324">
        <f>'General Information'!$G$20</f>
        <v>0</v>
      </c>
      <c r="F14" s="2324">
        <f>'General Information'!$H$20</f>
        <v>0</v>
      </c>
      <c r="G14" s="2324">
        <f>'General Information'!$I$20</f>
        <v>0</v>
      </c>
    </row>
    <row r="15" spans="1:12" s="2317" customFormat="1" x14ac:dyDescent="0.25">
      <c r="A15" s="2316"/>
      <c r="B15" s="2312" t="s">
        <v>3064</v>
      </c>
      <c r="C15" s="2324">
        <f>'General Information'!$E$21</f>
        <v>0</v>
      </c>
      <c r="D15" s="2324">
        <f>'General Information'!$F$21</f>
        <v>0</v>
      </c>
      <c r="E15" s="2324">
        <f>'General Information'!$G$21</f>
        <v>0</v>
      </c>
      <c r="F15" s="2324">
        <f>'General Information'!$H$21</f>
        <v>0</v>
      </c>
      <c r="G15" s="2324">
        <f>'General Information'!$I$21</f>
        <v>0</v>
      </c>
    </row>
    <row r="16" spans="1:12" s="2317" customFormat="1" x14ac:dyDescent="0.25">
      <c r="A16" s="2316"/>
      <c r="B16" s="2312" t="s">
        <v>3065</v>
      </c>
      <c r="C16" s="2324">
        <f>'General Information'!$E$22</f>
        <v>0</v>
      </c>
      <c r="D16" s="2324">
        <f>'General Information'!$F$22</f>
        <v>0</v>
      </c>
      <c r="E16" s="2324">
        <f>'General Information'!$G$22</f>
        <v>0</v>
      </c>
      <c r="F16" s="2324">
        <f>'General Information'!$H$22</f>
        <v>0</v>
      </c>
      <c r="G16" s="2324">
        <f>'General Information'!$I$22</f>
        <v>0</v>
      </c>
    </row>
    <row r="17" spans="1:12" s="2317" customFormat="1" x14ac:dyDescent="0.25">
      <c r="A17" s="2316"/>
      <c r="B17" s="2312" t="s">
        <v>3066</v>
      </c>
      <c r="C17" s="2325">
        <f>BuildingArea</f>
        <v>0</v>
      </c>
      <c r="D17" s="2327"/>
      <c r="E17" s="2327"/>
      <c r="F17" s="2327"/>
      <c r="G17" s="2327"/>
    </row>
    <row r="18" spans="1:12" s="2317" customFormat="1" x14ac:dyDescent="0.25">
      <c r="A18" s="2316"/>
      <c r="B18" s="2312" t="s">
        <v>3067</v>
      </c>
      <c r="C18" s="2326">
        <f>'General Information'!J36</f>
        <v>0</v>
      </c>
      <c r="D18" s="2327"/>
      <c r="E18" s="2327"/>
      <c r="F18" s="2327"/>
      <c r="G18" s="2327"/>
    </row>
    <row r="19" spans="1:12" s="2317" customFormat="1" x14ac:dyDescent="0.25">
      <c r="A19" s="2316"/>
      <c r="B19" s="2312" t="s">
        <v>3068</v>
      </c>
      <c r="C19" s="2326">
        <f>'General Information'!K36</f>
        <v>0</v>
      </c>
      <c r="D19" s="2327"/>
      <c r="E19" s="2327"/>
      <c r="F19" s="2327"/>
      <c r="G19" s="2327"/>
    </row>
    <row r="20" spans="1:12" s="2317" customFormat="1" x14ac:dyDescent="0.25">
      <c r="A20" s="2316"/>
      <c r="B20" s="2312" t="s">
        <v>3069</v>
      </c>
      <c r="C20" s="2325">
        <f>IF(MultipleBuildingsExist="No",1,'1 - Multiple Buildings Details'!F32)</f>
        <v>1</v>
      </c>
      <c r="D20" s="2327"/>
      <c r="E20" s="2327"/>
      <c r="F20" s="2327"/>
      <c r="G20" s="2327"/>
    </row>
    <row r="21" spans="1:12" s="2314" customFormat="1" x14ac:dyDescent="0.25">
      <c r="A21" s="2313"/>
      <c r="B21" s="2313"/>
      <c r="C21" s="2313"/>
      <c r="D21" s="2313"/>
      <c r="E21" s="2315"/>
      <c r="F21" s="2315"/>
      <c r="K21" s="2302"/>
      <c r="L21" s="2302"/>
    </row>
  </sheetData>
  <sheetProtection algorithmName="SHA-512" hashValue="JK2fappomnPtTJuPh4rdduq1myn4xhk9UT8q+aAtzCg91KppzpIg8XCZ8JHxXwlp6k08hH9bYewXZoA9jEQVAw==" saltValue="HmGHd2Byv33gF5h5LzyMZw==" spinCount="100000" sheet="1" objects="1" scenarios="1"/>
  <mergeCells count="4">
    <mergeCell ref="C1:F1"/>
    <mergeCell ref="C2:F2"/>
    <mergeCell ref="C3:F3"/>
    <mergeCell ref="B7:G7"/>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6">
    <tabColor theme="4" tint="0.39997558519241921"/>
  </sheetPr>
  <dimension ref="A1:BX56"/>
  <sheetViews>
    <sheetView showGridLines="0" zoomScale="90" zoomScaleNormal="90" workbookViewId="0">
      <selection activeCell="A8" sqref="A8"/>
    </sheetView>
  </sheetViews>
  <sheetFormatPr defaultColWidth="9" defaultRowHeight="13.2" x14ac:dyDescent="0.25"/>
  <cols>
    <col min="1" max="1" width="19.796875" style="961" customWidth="1"/>
    <col min="2" max="2" width="10.296875" style="961" customWidth="1"/>
    <col min="3" max="3" width="5.69921875" style="961" customWidth="1"/>
    <col min="4" max="4" width="8.796875" style="961" customWidth="1"/>
    <col min="5" max="5" width="7.69921875" style="961" customWidth="1"/>
    <col min="6" max="6" width="12.5" style="961" customWidth="1"/>
    <col min="7" max="7" width="12.796875" style="961" customWidth="1"/>
    <col min="8" max="8" width="14.19921875" style="961" customWidth="1"/>
    <col min="9" max="9" width="22.5" style="961" customWidth="1"/>
    <col min="10" max="10" width="24.796875" style="961" customWidth="1"/>
    <col min="11" max="11" width="16.296875" style="961" customWidth="1"/>
    <col min="12" max="12" width="11.19921875" style="961" customWidth="1"/>
    <col min="13" max="13" width="8.19921875" style="961" customWidth="1"/>
    <col min="14" max="14" width="9.69921875" style="961" customWidth="1"/>
    <col min="15" max="15" width="10.5" style="961" customWidth="1"/>
    <col min="16" max="16" width="10.296875" style="961" customWidth="1"/>
    <col min="17" max="17" width="9" style="961" customWidth="1"/>
    <col min="18" max="18" width="10" style="961" customWidth="1"/>
    <col min="19" max="19" width="12" style="961" customWidth="1"/>
    <col min="20" max="20" width="10.296875" style="961" customWidth="1"/>
    <col min="21" max="21" width="17.296875" style="961" customWidth="1"/>
    <col min="22" max="22" width="14.69921875" style="961" customWidth="1"/>
    <col min="23" max="23" width="10.69921875" style="961" customWidth="1"/>
    <col min="24" max="24" width="11.796875" style="961" customWidth="1"/>
    <col min="25" max="25" width="11.19921875" style="961" customWidth="1"/>
    <col min="26" max="26" width="8.19921875" style="961" customWidth="1"/>
    <col min="27" max="27" width="8.296875" style="961" customWidth="1"/>
    <col min="28" max="28" width="10.5" style="961" customWidth="1"/>
    <col min="29" max="29" width="10.296875" style="961" customWidth="1"/>
    <col min="30" max="30" width="9" style="961" customWidth="1"/>
    <col min="31" max="31" width="10" style="961" customWidth="1"/>
    <col min="32" max="32" width="12" style="961" customWidth="1"/>
    <col min="33" max="33" width="10.296875" style="961" customWidth="1"/>
    <col min="34" max="34" width="17.296875" style="961" customWidth="1"/>
    <col min="35" max="35" width="14.69921875" style="961" customWidth="1"/>
    <col min="36" max="36" width="10.69921875" style="961" customWidth="1"/>
    <col min="37" max="37" width="11.19921875" style="961" customWidth="1"/>
    <col min="38" max="38" width="8.19921875" style="961" customWidth="1"/>
    <col min="39" max="39" width="8.296875" style="961" customWidth="1"/>
    <col min="40" max="40" width="10.5" style="961" customWidth="1"/>
    <col min="41" max="41" width="10.296875" style="961" customWidth="1"/>
    <col min="42" max="42" width="9" style="961" customWidth="1"/>
    <col min="43" max="43" width="10" style="961" customWidth="1"/>
    <col min="44" max="44" width="12" style="961" customWidth="1"/>
    <col min="45" max="45" width="10.296875" style="961" customWidth="1"/>
    <col min="46" max="46" width="17.296875" style="961" customWidth="1"/>
    <col min="47" max="47" width="14.69921875" style="961" customWidth="1"/>
    <col min="48" max="48" width="10.69921875" style="961" customWidth="1"/>
    <col min="49" max="49" width="7.69921875" style="961" customWidth="1"/>
    <col min="50" max="50" width="11.19921875" style="961" customWidth="1"/>
    <col min="51" max="51" width="8.19921875" style="961" customWidth="1"/>
    <col min="52" max="52" width="8.296875" style="961" customWidth="1"/>
    <col min="53" max="53" width="10.5" style="961" customWidth="1"/>
    <col min="54" max="54" width="10.296875" style="961" customWidth="1"/>
    <col min="55" max="55" width="9" style="961" customWidth="1"/>
    <col min="56" max="56" width="10" style="961" customWidth="1"/>
    <col min="57" max="57" width="12" style="961" customWidth="1"/>
    <col min="58" max="58" width="10.296875" style="961" customWidth="1"/>
    <col min="59" max="59" width="17.296875" style="961" customWidth="1"/>
    <col min="60" max="60" width="14.69921875" style="961" customWidth="1"/>
    <col min="61" max="61" width="10.69921875" style="961" customWidth="1"/>
    <col min="62" max="62" width="8.5" style="961" customWidth="1"/>
    <col min="63" max="63" width="9" style="961" customWidth="1"/>
    <col min="64" max="64" width="7.69921875" style="961" customWidth="1"/>
    <col min="65" max="65" width="9" style="961" customWidth="1"/>
    <col min="66" max="66" width="11.19921875" style="961" customWidth="1"/>
    <col min="67" max="67" width="9.69921875" style="961" customWidth="1"/>
    <col min="68" max="68" width="8" style="961" customWidth="1"/>
    <col min="69" max="69" width="9.296875" style="961" customWidth="1"/>
    <col min="70" max="70" width="8.5" style="961" customWidth="1"/>
    <col min="71" max="71" width="17" style="961" customWidth="1"/>
    <col min="72" max="72" width="12.296875" style="961" customWidth="1"/>
    <col min="73" max="73" width="9.796875" style="961" customWidth="1"/>
    <col min="74" max="74" width="17" style="961" customWidth="1"/>
    <col min="75" max="75" width="14.19921875" style="961" customWidth="1"/>
    <col min="76" max="76" width="14.296875" style="961" customWidth="1"/>
    <col min="77" max="77" width="9" style="961" customWidth="1"/>
    <col min="78" max="16384" width="9" style="961"/>
  </cols>
  <sheetData>
    <row r="1" spans="1:76" s="354" customFormat="1" ht="13.8" x14ac:dyDescent="0.25">
      <c r="A1" s="331"/>
      <c r="B1" s="359"/>
      <c r="C1" s="359"/>
      <c r="D1" s="359"/>
      <c r="E1" s="359"/>
      <c r="F1" s="360"/>
      <c r="G1" s="360"/>
      <c r="H1" s="359"/>
      <c r="I1" s="359"/>
      <c r="J1" s="359"/>
      <c r="K1" s="359"/>
      <c r="L1" s="359"/>
      <c r="M1" s="359"/>
      <c r="N1" s="359"/>
      <c r="O1" s="359"/>
      <c r="P1" s="359"/>
      <c r="Q1" s="359"/>
      <c r="R1" s="360"/>
      <c r="S1" s="359"/>
      <c r="T1" s="359"/>
      <c r="U1" s="359"/>
      <c r="V1" s="359"/>
      <c r="W1" s="359"/>
      <c r="X1" s="359"/>
      <c r="Y1" s="359"/>
      <c r="Z1" s="359"/>
      <c r="AA1" s="359"/>
      <c r="AB1" s="660"/>
    </row>
    <row r="2" spans="1:76" s="354" customFormat="1" ht="25.2" x14ac:dyDescent="0.25">
      <c r="A2" s="964" t="s">
        <v>2055</v>
      </c>
      <c r="B2" s="15"/>
      <c r="C2" s="15"/>
      <c r="D2" s="15"/>
      <c r="E2" s="15"/>
      <c r="F2" s="15"/>
      <c r="G2" s="15"/>
      <c r="H2" s="15"/>
      <c r="I2" s="15"/>
      <c r="J2" s="15"/>
      <c r="K2" s="15"/>
      <c r="L2" s="15"/>
      <c r="M2" s="15"/>
      <c r="N2" s="15"/>
      <c r="O2" s="15"/>
      <c r="P2" s="15"/>
      <c r="Q2" s="15"/>
      <c r="R2" s="15"/>
      <c r="S2" s="15"/>
      <c r="T2" s="15"/>
      <c r="U2" s="15"/>
      <c r="V2" s="15"/>
      <c r="W2" s="15"/>
      <c r="X2" s="15"/>
      <c r="Y2" s="15"/>
      <c r="Z2" s="15"/>
      <c r="AA2" s="15"/>
      <c r="AB2" s="660"/>
    </row>
    <row r="3" spans="1:76" s="354" customFormat="1" ht="13.8" x14ac:dyDescent="0.25">
      <c r="A3" s="331"/>
      <c r="B3" s="359"/>
      <c r="C3" s="359"/>
      <c r="D3" s="359"/>
      <c r="E3" s="359"/>
      <c r="F3" s="360"/>
      <c r="G3" s="360"/>
      <c r="H3" s="359"/>
      <c r="I3" s="359"/>
      <c r="J3" s="359"/>
      <c r="K3" s="359"/>
      <c r="L3" s="359"/>
      <c r="M3" s="359"/>
      <c r="N3" s="359"/>
      <c r="O3" s="359"/>
      <c r="P3" s="359"/>
      <c r="Q3" s="359"/>
      <c r="R3" s="360"/>
      <c r="S3" s="359"/>
      <c r="T3" s="359"/>
      <c r="U3" s="359"/>
      <c r="V3" s="359"/>
      <c r="W3" s="359"/>
      <c r="X3" s="359"/>
      <c r="Y3" s="359"/>
      <c r="Z3" s="359"/>
      <c r="AA3" s="359"/>
      <c r="AB3" s="660"/>
    </row>
    <row r="4" spans="1:76" ht="122.25" customHeight="1" x14ac:dyDescent="0.25">
      <c r="A4" s="3812" t="s">
        <v>2880</v>
      </c>
      <c r="B4" s="3812"/>
      <c r="C4" s="3812"/>
      <c r="D4" s="3812"/>
      <c r="E4" s="3812"/>
      <c r="F4" s="3812"/>
      <c r="G4" s="3812"/>
      <c r="H4" s="3812"/>
      <c r="I4" s="3812"/>
      <c r="J4" s="3812"/>
      <c r="K4" s="3812"/>
    </row>
    <row r="6" spans="1:76" s="1538" customFormat="1" ht="12" x14ac:dyDescent="0.25">
      <c r="A6" s="1535"/>
      <c r="B6" s="1536"/>
      <c r="C6" s="1537"/>
      <c r="L6" s="3811" t="s">
        <v>1983</v>
      </c>
      <c r="M6" s="3811"/>
      <c r="N6" s="3811"/>
      <c r="O6" s="3811"/>
      <c r="P6" s="3811"/>
      <c r="Q6" s="3811"/>
      <c r="R6" s="3811"/>
      <c r="S6" s="3811"/>
      <c r="T6" s="3811"/>
      <c r="U6" s="3811"/>
      <c r="V6" s="3811"/>
      <c r="W6" s="3811"/>
      <c r="X6" s="3811"/>
      <c r="Y6" s="3811" t="s">
        <v>1984</v>
      </c>
      <c r="Z6" s="3811"/>
      <c r="AA6" s="3811"/>
      <c r="AB6" s="3811"/>
      <c r="AC6" s="3811"/>
      <c r="AD6" s="3811"/>
      <c r="AE6" s="3811"/>
      <c r="AF6" s="3811"/>
      <c r="AG6" s="3811"/>
      <c r="AH6" s="3811"/>
      <c r="AI6" s="3811"/>
      <c r="AJ6" s="3811"/>
      <c r="AK6" s="3811" t="s">
        <v>1985</v>
      </c>
      <c r="AL6" s="3811"/>
      <c r="AM6" s="3811"/>
      <c r="AN6" s="3811"/>
      <c r="AO6" s="3811"/>
      <c r="AP6" s="3811"/>
      <c r="AQ6" s="3811"/>
      <c r="AR6" s="3811"/>
      <c r="AS6" s="3811"/>
      <c r="AT6" s="3811"/>
      <c r="AU6" s="3811"/>
      <c r="AV6" s="3811"/>
      <c r="AW6" s="3811"/>
      <c r="AX6" s="3811" t="s">
        <v>1986</v>
      </c>
      <c r="AY6" s="3811"/>
      <c r="AZ6" s="3811"/>
      <c r="BA6" s="3811"/>
      <c r="BB6" s="3811"/>
      <c r="BC6" s="3811"/>
      <c r="BD6" s="3811"/>
      <c r="BE6" s="3811"/>
      <c r="BF6" s="3811"/>
      <c r="BG6" s="3811"/>
      <c r="BH6" s="3811"/>
      <c r="BI6" s="3811"/>
      <c r="BJ6" s="3811"/>
      <c r="BK6" s="3811" t="s">
        <v>1987</v>
      </c>
      <c r="BL6" s="3811"/>
      <c r="BM6" s="3811" t="s">
        <v>1988</v>
      </c>
      <c r="BN6" s="3811"/>
      <c r="BO6" s="3811" t="s">
        <v>1989</v>
      </c>
      <c r="BP6" s="3811"/>
      <c r="BQ6" s="3811"/>
      <c r="BR6" s="3811"/>
      <c r="BS6" s="3811" t="s">
        <v>1990</v>
      </c>
      <c r="BT6" s="3811"/>
      <c r="BU6" s="3811"/>
      <c r="BV6" s="3811"/>
      <c r="BW6" s="3811"/>
      <c r="BX6" s="3811"/>
    </row>
    <row r="7" spans="1:76" s="1539" customFormat="1" ht="48" x14ac:dyDescent="0.25">
      <c r="A7" s="1539" t="s">
        <v>1991</v>
      </c>
      <c r="B7" s="1539" t="s">
        <v>1992</v>
      </c>
      <c r="C7" s="1539" t="s">
        <v>1993</v>
      </c>
      <c r="D7" s="1539" t="s">
        <v>1994</v>
      </c>
      <c r="E7" s="1539" t="s">
        <v>1995</v>
      </c>
      <c r="F7" s="1539" t="s">
        <v>1996</v>
      </c>
      <c r="G7" s="1539" t="s">
        <v>1997</v>
      </c>
      <c r="H7" s="1539" t="s">
        <v>1998</v>
      </c>
      <c r="I7" s="1539" t="s">
        <v>1999</v>
      </c>
      <c r="J7" s="1539" t="s">
        <v>2000</v>
      </c>
      <c r="K7" s="1539" t="s">
        <v>2001</v>
      </c>
      <c r="L7" s="1539" t="s">
        <v>2002</v>
      </c>
      <c r="M7" s="1539" t="s">
        <v>2003</v>
      </c>
      <c r="N7" s="1539" t="s">
        <v>2004</v>
      </c>
      <c r="O7" s="1539" t="s">
        <v>2005</v>
      </c>
      <c r="P7" s="1539" t="s">
        <v>2006</v>
      </c>
      <c r="Q7" s="1539" t="s">
        <v>2007</v>
      </c>
      <c r="R7" s="1539" t="s">
        <v>2008</v>
      </c>
      <c r="S7" s="1539" t="s">
        <v>2009</v>
      </c>
      <c r="T7" s="1539" t="s">
        <v>2010</v>
      </c>
      <c r="U7" s="1539" t="s">
        <v>2011</v>
      </c>
      <c r="V7" s="1539" t="s">
        <v>2012</v>
      </c>
      <c r="W7" s="1539" t="s">
        <v>2013</v>
      </c>
      <c r="X7" s="1539" t="s">
        <v>2014</v>
      </c>
      <c r="Y7" s="1539" t="s">
        <v>2015</v>
      </c>
      <c r="Z7" s="1539" t="s">
        <v>2016</v>
      </c>
      <c r="AA7" s="1539" t="s">
        <v>2017</v>
      </c>
      <c r="AB7" s="1539" t="s">
        <v>2018</v>
      </c>
      <c r="AC7" s="1539" t="s">
        <v>2019</v>
      </c>
      <c r="AD7" s="1539" t="s">
        <v>2020</v>
      </c>
      <c r="AE7" s="1539" t="s">
        <v>2021</v>
      </c>
      <c r="AF7" s="1539" t="s">
        <v>2022</v>
      </c>
      <c r="AG7" s="1539" t="s">
        <v>2023</v>
      </c>
      <c r="AH7" s="1539" t="s">
        <v>2024</v>
      </c>
      <c r="AI7" s="1539" t="s">
        <v>2025</v>
      </c>
      <c r="AJ7" s="1539" t="s">
        <v>2026</v>
      </c>
      <c r="AK7" s="1539" t="s">
        <v>2015</v>
      </c>
      <c r="AL7" s="1539" t="s">
        <v>2016</v>
      </c>
      <c r="AM7" s="1539" t="s">
        <v>2017</v>
      </c>
      <c r="AN7" s="1539" t="s">
        <v>2018</v>
      </c>
      <c r="AO7" s="1539" t="s">
        <v>2019</v>
      </c>
      <c r="AP7" s="1539" t="s">
        <v>2020</v>
      </c>
      <c r="AQ7" s="1539" t="s">
        <v>2021</v>
      </c>
      <c r="AR7" s="1539" t="s">
        <v>2022</v>
      </c>
      <c r="AS7" s="1539" t="s">
        <v>2023</v>
      </c>
      <c r="AT7" s="1539" t="s">
        <v>2024</v>
      </c>
      <c r="AU7" s="1539" t="s">
        <v>2025</v>
      </c>
      <c r="AV7" s="1539" t="s">
        <v>2026</v>
      </c>
      <c r="AW7" s="1539" t="s">
        <v>2027</v>
      </c>
      <c r="AX7" s="1539" t="s">
        <v>2028</v>
      </c>
      <c r="AY7" s="1539" t="s">
        <v>2029</v>
      </c>
      <c r="AZ7" s="1539" t="s">
        <v>2030</v>
      </c>
      <c r="BA7" s="1539" t="s">
        <v>2031</v>
      </c>
      <c r="BB7" s="1539" t="s">
        <v>2032</v>
      </c>
      <c r="BC7" s="1539" t="s">
        <v>2033</v>
      </c>
      <c r="BD7" s="1539" t="s">
        <v>2034</v>
      </c>
      <c r="BE7" s="1539" t="s">
        <v>2035</v>
      </c>
      <c r="BF7" s="1539" t="s">
        <v>2036</v>
      </c>
      <c r="BG7" s="1539" t="s">
        <v>2037</v>
      </c>
      <c r="BH7" s="1539" t="s">
        <v>2038</v>
      </c>
      <c r="BI7" s="1539" t="s">
        <v>2039</v>
      </c>
      <c r="BJ7" s="1539" t="s">
        <v>2040</v>
      </c>
      <c r="BK7" s="1539" t="s">
        <v>2041</v>
      </c>
      <c r="BL7" s="1539" t="s">
        <v>2042</v>
      </c>
      <c r="BM7" s="1539" t="s">
        <v>2043</v>
      </c>
      <c r="BN7" s="1539" t="s">
        <v>2044</v>
      </c>
      <c r="BO7" s="1539" t="s">
        <v>2045</v>
      </c>
      <c r="BP7" s="1539" t="s">
        <v>2046</v>
      </c>
      <c r="BQ7" s="1539" t="s">
        <v>2047</v>
      </c>
      <c r="BR7" s="1539" t="s">
        <v>2048</v>
      </c>
      <c r="BS7" s="1539" t="s">
        <v>2049</v>
      </c>
      <c r="BT7" s="1539" t="s">
        <v>2050</v>
      </c>
      <c r="BU7" s="1539" t="s">
        <v>2051</v>
      </c>
      <c r="BV7" s="1539" t="s">
        <v>2052</v>
      </c>
      <c r="BW7" s="1539" t="s">
        <v>2053</v>
      </c>
      <c r="BX7" s="1539" t="s">
        <v>2054</v>
      </c>
    </row>
    <row r="8" spans="1:76" s="1784" customFormat="1" ht="11.4" x14ac:dyDescent="0.25"/>
    <row r="9" spans="1:76" s="1784" customFormat="1" ht="11.4" x14ac:dyDescent="0.25"/>
    <row r="10" spans="1:76" s="1784" customFormat="1" ht="11.4" x14ac:dyDescent="0.25"/>
    <row r="11" spans="1:76" s="1784" customFormat="1" ht="11.4" x14ac:dyDescent="0.25"/>
    <row r="12" spans="1:76" s="1540" customFormat="1" ht="11.4" x14ac:dyDescent="0.2">
      <c r="A12" s="1540" t="str">
        <f>IF('[3]P4P - General Info'!C23="ASHRAE bEQ","Proposed Design","Average Baseline")</f>
        <v>Average Baseline</v>
      </c>
      <c r="K12" s="1540" t="str">
        <f t="shared" ref="K12:BX12" si="0">IF(K8="","",AVERAGE(K8:K11))</f>
        <v/>
      </c>
      <c r="L12" s="1540" t="str">
        <f t="shared" si="0"/>
        <v/>
      </c>
      <c r="M12" s="1540" t="str">
        <f t="shared" si="0"/>
        <v/>
      </c>
      <c r="N12" s="1540" t="str">
        <f t="shared" si="0"/>
        <v/>
      </c>
      <c r="O12" s="1540" t="str">
        <f t="shared" si="0"/>
        <v/>
      </c>
      <c r="P12" s="1540" t="str">
        <f t="shared" si="0"/>
        <v/>
      </c>
      <c r="Q12" s="1540" t="str">
        <f t="shared" si="0"/>
        <v/>
      </c>
      <c r="R12" s="1540" t="str">
        <f t="shared" si="0"/>
        <v/>
      </c>
      <c r="S12" s="1540" t="str">
        <f t="shared" si="0"/>
        <v/>
      </c>
      <c r="T12" s="1540" t="str">
        <f t="shared" si="0"/>
        <v/>
      </c>
      <c r="U12" s="1540" t="str">
        <f t="shared" si="0"/>
        <v/>
      </c>
      <c r="V12" s="1540" t="str">
        <f t="shared" si="0"/>
        <v/>
      </c>
      <c r="W12" s="1540" t="str">
        <f t="shared" si="0"/>
        <v/>
      </c>
      <c r="X12" s="1540" t="str">
        <f t="shared" si="0"/>
        <v/>
      </c>
      <c r="Y12" s="1540" t="str">
        <f t="shared" si="0"/>
        <v/>
      </c>
      <c r="Z12" s="1540" t="str">
        <f t="shared" si="0"/>
        <v/>
      </c>
      <c r="AA12" s="1540" t="str">
        <f t="shared" si="0"/>
        <v/>
      </c>
      <c r="AB12" s="1540" t="str">
        <f t="shared" si="0"/>
        <v/>
      </c>
      <c r="AC12" s="1540" t="str">
        <f t="shared" si="0"/>
        <v/>
      </c>
      <c r="AD12" s="1540" t="str">
        <f t="shared" si="0"/>
        <v/>
      </c>
      <c r="AE12" s="1540" t="str">
        <f t="shared" si="0"/>
        <v/>
      </c>
      <c r="AF12" s="1540" t="str">
        <f t="shared" si="0"/>
        <v/>
      </c>
      <c r="AG12" s="1540" t="str">
        <f t="shared" si="0"/>
        <v/>
      </c>
      <c r="AH12" s="1540" t="str">
        <f t="shared" si="0"/>
        <v/>
      </c>
      <c r="AI12" s="1540" t="str">
        <f t="shared" si="0"/>
        <v/>
      </c>
      <c r="AJ12" s="1540" t="str">
        <f t="shared" si="0"/>
        <v/>
      </c>
      <c r="AK12" s="1540" t="str">
        <f t="shared" si="0"/>
        <v/>
      </c>
      <c r="AL12" s="1540" t="str">
        <f t="shared" si="0"/>
        <v/>
      </c>
      <c r="AM12" s="1540" t="str">
        <f t="shared" si="0"/>
        <v/>
      </c>
      <c r="AN12" s="1540" t="str">
        <f t="shared" si="0"/>
        <v/>
      </c>
      <c r="AO12" s="1540" t="str">
        <f t="shared" si="0"/>
        <v/>
      </c>
      <c r="AP12" s="1540" t="str">
        <f t="shared" si="0"/>
        <v/>
      </c>
      <c r="AQ12" s="1540" t="str">
        <f t="shared" si="0"/>
        <v/>
      </c>
      <c r="AR12" s="1540" t="str">
        <f t="shared" si="0"/>
        <v/>
      </c>
      <c r="AS12" s="1540" t="str">
        <f t="shared" si="0"/>
        <v/>
      </c>
      <c r="AT12" s="1540" t="str">
        <f t="shared" si="0"/>
        <v/>
      </c>
      <c r="AU12" s="1540" t="str">
        <f t="shared" si="0"/>
        <v/>
      </c>
      <c r="AV12" s="1540" t="str">
        <f t="shared" si="0"/>
        <v/>
      </c>
      <c r="AW12" s="1540" t="str">
        <f t="shared" si="0"/>
        <v/>
      </c>
      <c r="AX12" s="1540" t="str">
        <f t="shared" si="0"/>
        <v/>
      </c>
      <c r="AY12" s="1540" t="str">
        <f t="shared" si="0"/>
        <v/>
      </c>
      <c r="AZ12" s="1540" t="str">
        <f t="shared" si="0"/>
        <v/>
      </c>
      <c r="BA12" s="1540" t="str">
        <f t="shared" si="0"/>
        <v/>
      </c>
      <c r="BB12" s="1540" t="str">
        <f t="shared" si="0"/>
        <v/>
      </c>
      <c r="BC12" s="1540" t="str">
        <f t="shared" si="0"/>
        <v/>
      </c>
      <c r="BD12" s="1540" t="str">
        <f t="shared" si="0"/>
        <v/>
      </c>
      <c r="BE12" s="1540" t="str">
        <f t="shared" si="0"/>
        <v/>
      </c>
      <c r="BF12" s="1540" t="str">
        <f t="shared" si="0"/>
        <v/>
      </c>
      <c r="BG12" s="1540" t="str">
        <f t="shared" si="0"/>
        <v/>
      </c>
      <c r="BH12" s="1540" t="str">
        <f t="shared" si="0"/>
        <v/>
      </c>
      <c r="BI12" s="1540" t="str">
        <f t="shared" si="0"/>
        <v/>
      </c>
      <c r="BJ12" s="1540" t="str">
        <f t="shared" si="0"/>
        <v/>
      </c>
      <c r="BK12" s="1540" t="str">
        <f t="shared" si="0"/>
        <v/>
      </c>
      <c r="BL12" s="1540" t="str">
        <f t="shared" si="0"/>
        <v/>
      </c>
      <c r="BM12" s="1540" t="str">
        <f t="shared" si="0"/>
        <v/>
      </c>
      <c r="BN12" s="1540" t="str">
        <f t="shared" si="0"/>
        <v/>
      </c>
      <c r="BO12" s="1540" t="str">
        <f t="shared" si="0"/>
        <v/>
      </c>
      <c r="BP12" s="1540" t="str">
        <f t="shared" si="0"/>
        <v/>
      </c>
      <c r="BQ12" s="1540" t="str">
        <f t="shared" si="0"/>
        <v/>
      </c>
      <c r="BR12" s="1540" t="str">
        <f t="shared" si="0"/>
        <v/>
      </c>
      <c r="BS12" s="1540" t="str">
        <f t="shared" si="0"/>
        <v/>
      </c>
      <c r="BT12" s="1540" t="str">
        <f t="shared" si="0"/>
        <v/>
      </c>
      <c r="BU12" s="1540" t="str">
        <f t="shared" si="0"/>
        <v/>
      </c>
      <c r="BV12" s="1540" t="str">
        <f t="shared" si="0"/>
        <v/>
      </c>
      <c r="BW12" s="1540" t="str">
        <f t="shared" si="0"/>
        <v/>
      </c>
      <c r="BX12" s="1540" t="str">
        <f t="shared" si="0"/>
        <v/>
      </c>
    </row>
    <row r="13" spans="1:76" s="1784" customFormat="1" ht="11.4" x14ac:dyDescent="0.25"/>
    <row r="15" spans="1:76" x14ac:dyDescent="0.25">
      <c r="A15" s="1805" t="s">
        <v>2489</v>
      </c>
    </row>
    <row r="16" spans="1:76" s="1784" customFormat="1" ht="11.4" x14ac:dyDescent="0.25"/>
    <row r="17" s="1784" customFormat="1" ht="11.4" x14ac:dyDescent="0.25"/>
    <row r="18" s="1784" customFormat="1" ht="11.4" x14ac:dyDescent="0.25"/>
    <row r="19" s="1784" customFormat="1" ht="11.4" x14ac:dyDescent="0.25"/>
    <row r="20" s="1784" customFormat="1" ht="11.4" x14ac:dyDescent="0.25"/>
    <row r="21" s="1784" customFormat="1" ht="11.4" x14ac:dyDescent="0.25"/>
    <row r="22" s="1784" customFormat="1" ht="11.4" x14ac:dyDescent="0.25"/>
    <row r="23" s="1784" customFormat="1" ht="11.4" x14ac:dyDescent="0.25"/>
    <row r="24" s="1784" customFormat="1" ht="11.4" x14ac:dyDescent="0.25"/>
    <row r="25" s="1784" customFormat="1" ht="11.4" x14ac:dyDescent="0.25"/>
    <row r="26" s="1784" customFormat="1" ht="11.4" x14ac:dyDescent="0.25"/>
    <row r="27" s="1784" customFormat="1" ht="11.4" x14ac:dyDescent="0.25"/>
    <row r="28" s="1784" customFormat="1" ht="11.4" x14ac:dyDescent="0.25"/>
    <row r="29" s="1784" customFormat="1" ht="11.4" x14ac:dyDescent="0.25"/>
    <row r="30" s="1784" customFormat="1" ht="11.4" x14ac:dyDescent="0.25"/>
    <row r="31" s="1784" customFormat="1" ht="11.4" x14ac:dyDescent="0.25"/>
    <row r="32" s="1784" customFormat="1" ht="11.4" x14ac:dyDescent="0.25"/>
    <row r="33" s="1784" customFormat="1" ht="11.4" x14ac:dyDescent="0.25"/>
    <row r="34" s="1784" customFormat="1" ht="11.4" x14ac:dyDescent="0.25"/>
    <row r="35" s="1784" customFormat="1" ht="11.4" x14ac:dyDescent="0.25"/>
    <row r="36" s="1784" customFormat="1" ht="11.4" x14ac:dyDescent="0.25"/>
    <row r="37" s="1784" customFormat="1" ht="11.4" x14ac:dyDescent="0.25"/>
    <row r="38" s="1784" customFormat="1" ht="11.4" x14ac:dyDescent="0.25"/>
    <row r="39" s="1784" customFormat="1" ht="11.4" x14ac:dyDescent="0.25"/>
    <row r="40" s="1784" customFormat="1" ht="11.4" x14ac:dyDescent="0.25"/>
    <row r="41" s="1784" customFormat="1" ht="11.4" x14ac:dyDescent="0.25"/>
    <row r="42" s="1784" customFormat="1" ht="11.4" x14ac:dyDescent="0.25"/>
    <row r="43" s="1784" customFormat="1" ht="11.4" x14ac:dyDescent="0.25"/>
    <row r="44" s="1784" customFormat="1" ht="11.4" x14ac:dyDescent="0.25"/>
    <row r="45" s="1784" customFormat="1" ht="11.4" x14ac:dyDescent="0.25"/>
    <row r="46" s="1784" customFormat="1" ht="11.4" x14ac:dyDescent="0.25"/>
    <row r="47" s="1784" customFormat="1" ht="11.4" x14ac:dyDescent="0.25"/>
    <row r="48" s="1784" customFormat="1" ht="11.4" x14ac:dyDescent="0.25"/>
    <row r="49" s="1784" customFormat="1" ht="11.4" x14ac:dyDescent="0.25"/>
    <row r="50" s="1784" customFormat="1" ht="11.4" x14ac:dyDescent="0.25"/>
    <row r="51" s="1784" customFormat="1" ht="11.4" x14ac:dyDescent="0.25"/>
    <row r="52" s="1784" customFormat="1" ht="11.4" x14ac:dyDescent="0.25"/>
    <row r="53" s="1784" customFormat="1" ht="11.4" x14ac:dyDescent="0.25"/>
    <row r="54" s="1784" customFormat="1" ht="11.4" x14ac:dyDescent="0.25"/>
    <row r="55" s="1784" customFormat="1" ht="11.4" x14ac:dyDescent="0.25"/>
    <row r="56" s="1784" customFormat="1" ht="11.4" x14ac:dyDescent="0.25"/>
  </sheetData>
  <sheetProtection algorithmName="SHA-512" hashValue="gAN42p0VPGiuaX1+A9gDAg1bxIaylyigcI/umGCrfVGeX2eXQeox9zKqy4dAiIMZTlK8IxjmzwO9QfXx3eEgpA==" saltValue="07zmWKvRBPQg8t9cFrI1aA==" spinCount="100000" sheet="1" objects="1" scenarios="1"/>
  <mergeCells count="9">
    <mergeCell ref="BM6:BN6"/>
    <mergeCell ref="BO6:BR6"/>
    <mergeCell ref="BS6:BX6"/>
    <mergeCell ref="A4:K4"/>
    <mergeCell ref="L6:X6"/>
    <mergeCell ref="Y6:AJ6"/>
    <mergeCell ref="AK6:AW6"/>
    <mergeCell ref="AX6:BJ6"/>
    <mergeCell ref="BK6:BL6"/>
  </mergeCell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5">
    <tabColor theme="5" tint="0.39997558519241921"/>
  </sheetPr>
  <dimension ref="A1:AK239"/>
  <sheetViews>
    <sheetView topLeftCell="A109" workbookViewId="0"/>
  </sheetViews>
  <sheetFormatPr defaultColWidth="9" defaultRowHeight="13.8" x14ac:dyDescent="0.25"/>
  <cols>
    <col min="1" max="1" width="6.796875" customWidth="1"/>
    <col min="2" max="2" width="35.69921875" customWidth="1"/>
    <col min="3" max="3" width="25.69921875" customWidth="1"/>
    <col min="4" max="5" width="59.69921875" customWidth="1"/>
  </cols>
  <sheetData>
    <row r="1" spans="1:37" s="354" customFormat="1" x14ac:dyDescent="0.25">
      <c r="A1" s="331"/>
      <c r="B1" s="359"/>
      <c r="C1" s="359"/>
      <c r="D1" s="359"/>
      <c r="E1" s="359"/>
      <c r="F1"/>
      <c r="G1"/>
      <c r="H1"/>
      <c r="I1"/>
      <c r="J1"/>
      <c r="K1"/>
      <c r="L1"/>
      <c r="M1"/>
      <c r="N1"/>
      <c r="O1"/>
      <c r="P1"/>
      <c r="Q1"/>
      <c r="R1"/>
      <c r="S1"/>
      <c r="T1"/>
      <c r="U1"/>
      <c r="V1"/>
      <c r="W1"/>
      <c r="X1"/>
      <c r="Y1"/>
      <c r="Z1"/>
      <c r="AA1"/>
      <c r="AB1"/>
      <c r="AC1"/>
      <c r="AD1"/>
      <c r="AE1"/>
      <c r="AF1"/>
      <c r="AG1"/>
      <c r="AH1"/>
      <c r="AI1"/>
      <c r="AJ1"/>
      <c r="AK1"/>
    </row>
    <row r="2" spans="1:37" s="354" customFormat="1" ht="25.2" x14ac:dyDescent="0.25">
      <c r="A2" s="964"/>
      <c r="B2" s="15" t="str">
        <f>GI_Project_Name&amp;" ECM Building Components"</f>
        <v xml:space="preserve"> ECM Building Components</v>
      </c>
      <c r="C2" s="15"/>
      <c r="D2" s="15"/>
      <c r="E2" s="15"/>
      <c r="F2"/>
      <c r="G2"/>
      <c r="H2"/>
      <c r="I2"/>
      <c r="J2"/>
      <c r="K2"/>
      <c r="L2"/>
      <c r="M2"/>
      <c r="N2"/>
      <c r="O2"/>
      <c r="P2"/>
      <c r="Q2"/>
      <c r="R2"/>
      <c r="S2"/>
      <c r="T2"/>
      <c r="U2"/>
      <c r="V2"/>
      <c r="W2"/>
      <c r="X2"/>
      <c r="Y2"/>
      <c r="Z2"/>
      <c r="AA2"/>
      <c r="AB2"/>
      <c r="AC2"/>
      <c r="AD2"/>
      <c r="AE2"/>
      <c r="AF2"/>
      <c r="AG2"/>
      <c r="AH2"/>
      <c r="AI2"/>
      <c r="AJ2"/>
      <c r="AK2"/>
    </row>
    <row r="3" spans="1:37" s="354" customFormat="1" x14ac:dyDescent="0.25">
      <c r="A3" s="331"/>
      <c r="B3" s="359"/>
      <c r="C3" s="359"/>
      <c r="D3" s="359"/>
      <c r="E3" s="359"/>
      <c r="F3"/>
      <c r="G3"/>
      <c r="H3"/>
      <c r="I3"/>
      <c r="J3"/>
      <c r="K3"/>
      <c r="L3"/>
      <c r="M3"/>
      <c r="N3"/>
      <c r="O3"/>
      <c r="P3"/>
      <c r="Q3"/>
      <c r="R3"/>
      <c r="S3"/>
      <c r="T3"/>
      <c r="U3"/>
      <c r="V3"/>
      <c r="W3"/>
      <c r="X3"/>
      <c r="Y3"/>
      <c r="Z3"/>
      <c r="AA3"/>
      <c r="AB3"/>
      <c r="AC3"/>
      <c r="AD3"/>
      <c r="AE3"/>
      <c r="AF3"/>
      <c r="AG3"/>
      <c r="AH3"/>
      <c r="AI3"/>
      <c r="AJ3"/>
      <c r="AK3"/>
    </row>
    <row r="5" spans="1:37" x14ac:dyDescent="0.25">
      <c r="B5" s="1810" t="s">
        <v>2494</v>
      </c>
      <c r="C5" s="1810" t="s">
        <v>2483</v>
      </c>
      <c r="D5" s="1810" t="s">
        <v>2492</v>
      </c>
      <c r="E5" s="1810" t="s">
        <v>2493</v>
      </c>
    </row>
    <row r="6" spans="1:37" ht="0.75" customHeight="1" x14ac:dyDescent="0.25">
      <c r="B6" s="1810"/>
      <c r="C6" s="1810"/>
      <c r="D6" s="1810"/>
      <c r="E6" s="1810"/>
    </row>
    <row r="7" spans="1:37" x14ac:dyDescent="0.25">
      <c r="B7" s="1811" t="s">
        <v>843</v>
      </c>
      <c r="C7" s="1811"/>
      <c r="D7" s="1811"/>
      <c r="E7" s="1811"/>
    </row>
    <row r="8" spans="1:37" x14ac:dyDescent="0.25">
      <c r="B8" s="1812" t="s">
        <v>2495</v>
      </c>
      <c r="C8" s="1813">
        <f>'4 - Shading and Fenestration'!M8</f>
        <v>0</v>
      </c>
      <c r="D8" s="1814" t="s">
        <v>2511</v>
      </c>
      <c r="E8" s="1814" t="s">
        <v>2511</v>
      </c>
    </row>
    <row r="9" spans="1:37" ht="20.399999999999999" x14ac:dyDescent="0.25">
      <c r="B9" s="1812" t="s">
        <v>2496</v>
      </c>
      <c r="C9" s="1813">
        <f>'4 - Shading and Fenestration'!M9</f>
        <v>0</v>
      </c>
      <c r="D9" s="1814" t="s">
        <v>2511</v>
      </c>
      <c r="E9" s="1814" t="s">
        <v>2511</v>
      </c>
    </row>
    <row r="10" spans="1:37" x14ac:dyDescent="0.25">
      <c r="B10" s="1812" t="s">
        <v>2497</v>
      </c>
      <c r="C10" s="1815">
        <f>'4 - Shading and Fenestration'!M34</f>
        <v>0</v>
      </c>
      <c r="D10" s="1814" t="str">
        <f ca="1">'4 - Shading and Fenestration'!C34&amp;": Building Area Type with "&amp;'4 - Shading and Fenestration'!G34&amp;" sq ft of Vertical Glazing on the "&amp;'4 - Shading and Fenestration'!D34&amp;" façade."</f>
        <v>: Building Area Type with - sq ft of Vertical Glazing on the North façade.</v>
      </c>
      <c r="E10" s="1814" t="str">
        <f>'4 - Shading and Fenestration'!C34&amp;": Building Area Type with "&amp;'4 - Shading and Fenestration'!J34&amp;" sq ft of Vertical Glazing on the "&amp;'4 - Shading and Fenestration'!D34&amp;" façade."</f>
        <v>: Building Area Type with  sq ft of Vertical Glazing on the North façade.</v>
      </c>
    </row>
    <row r="11" spans="1:37" x14ac:dyDescent="0.25">
      <c r="B11" s="1812" t="s">
        <v>2498</v>
      </c>
      <c r="C11" s="1815">
        <f>'4 - Shading and Fenestration'!M35</f>
        <v>0</v>
      </c>
      <c r="D11" s="1814" t="str">
        <f ca="1">'4 - Shading and Fenestration'!C35&amp;": Building Area Type with "&amp;'4 - Shading and Fenestration'!G35&amp;" sq ft of Vertical Glazing on the "&amp;'4 - Shading and Fenestration'!D35&amp;" façade."</f>
        <v>: Building Area Type with - sq ft of Vertical Glazing on the East façade.</v>
      </c>
      <c r="E11" s="1814" t="str">
        <f>'4 - Shading and Fenestration'!C35&amp;": Building Area Type with "&amp;'4 - Shading and Fenestration'!J35&amp;" sq ft of Vertical Glazing on the "&amp;'4 - Shading and Fenestration'!D35&amp;" façade."</f>
        <v>: Building Area Type with  sq ft of Vertical Glazing on the East façade.</v>
      </c>
    </row>
    <row r="12" spans="1:37" x14ac:dyDescent="0.25">
      <c r="B12" s="1812" t="s">
        <v>2499</v>
      </c>
      <c r="C12" s="1815">
        <f>'4 - Shading and Fenestration'!M36</f>
        <v>0</v>
      </c>
      <c r="D12" s="1814" t="str">
        <f ca="1">'4 - Shading and Fenestration'!C36&amp;": Building Area Type with "&amp;'4 - Shading and Fenestration'!G36&amp;" sq ft of Vertical Glazing on the "&amp;'4 - Shading and Fenestration'!D36&amp;" façade."</f>
        <v>: Building Area Type with - sq ft of Vertical Glazing on the South façade.</v>
      </c>
      <c r="E12" s="1814" t="str">
        <f>'4 - Shading and Fenestration'!C36&amp;": Building Area Type with "&amp;'4 - Shading and Fenestration'!J36&amp;" sq ft of Vertical Glazing on the "&amp;'4 - Shading and Fenestration'!D36&amp;" façade."</f>
        <v>: Building Area Type with  sq ft of Vertical Glazing on the South façade.</v>
      </c>
    </row>
    <row r="13" spans="1:37" x14ac:dyDescent="0.25">
      <c r="B13" s="1812" t="s">
        <v>2500</v>
      </c>
      <c r="C13" s="1815">
        <f>'4 - Shading and Fenestration'!M37</f>
        <v>0</v>
      </c>
      <c r="D13" s="1814" t="str">
        <f ca="1">'4 - Shading and Fenestration'!C37&amp;": Building Area Type with "&amp;'4 - Shading and Fenestration'!G37&amp;" sq ft of Vertical Glazing on the "&amp;'4 - Shading and Fenestration'!D37&amp;" façade."</f>
        <v>: Building Area Type with - sq ft of Vertical Glazing on the West façade.</v>
      </c>
      <c r="E13" s="1814" t="str">
        <f>'4 - Shading and Fenestration'!C37&amp;": Building Area Type with "&amp;'4 - Shading and Fenestration'!J37&amp;" sq ft of Vertical Glazing on the "&amp;'4 - Shading and Fenestration'!D37&amp;" façade."</f>
        <v>: Building Area Type with  sq ft of Vertical Glazing on the West façade.</v>
      </c>
    </row>
    <row r="14" spans="1:37" x14ac:dyDescent="0.25">
      <c r="B14" s="1812" t="s">
        <v>2501</v>
      </c>
      <c r="C14" s="1815">
        <f>'4 - Shading and Fenestration'!M43</f>
        <v>0</v>
      </c>
      <c r="D14" s="1814" t="str">
        <f ca="1">"Total of "&amp;'4 - Shading and Fenestration'!G43&amp;" sq ft of Vertical Glazing on the "&amp;"building façades."</f>
        <v>Total of 0 sq ft of Vertical Glazing on the building façades.</v>
      </c>
      <c r="E14" s="1814" t="str">
        <f ca="1">"Total of "&amp;'4 - Shading and Fenestration'!J43&amp;" sq ft of Vertical Glazing on the "&amp;"building façades."</f>
        <v>Total of 0 sq ft of Vertical Glazing on the building façades.</v>
      </c>
    </row>
    <row r="15" spans="1:37" ht="55.5" customHeight="1" x14ac:dyDescent="0.25">
      <c r="B15" s="1812" t="s">
        <v>2502</v>
      </c>
      <c r="C15" s="1813">
        <f>'4 - Shading and Fenestration'!R69</f>
        <v>0</v>
      </c>
      <c r="D15" s="1814" t="str">
        <f>"Vertical Glazing is"&amp;'4 - Shading and Fenestration'!F69&amp;", 
U-"&amp;'4 - Shading and Fenestration'!G69&amp;",  
SHGC-"&amp;'4 - Shading and Fenestration'!H69</f>
        <v>Vertical Glazing is, 
U-,  
SHGC-</v>
      </c>
      <c r="E15" s="1814" t="str">
        <f>'4 - Shading and Fenestration'!J69&amp;", 
U-"&amp;'4 - Shading and Fenestration'!K69&amp;",
SHGC-"&amp;'4 - Shading and Fenestration'!L69&amp;", 
VLT-"&amp;'4 - Shading and Fenestration'!M69</f>
        <v>, 
U-,
SHGC-, 
VLT-</v>
      </c>
    </row>
    <row r="16" spans="1:37" ht="55.5" customHeight="1" x14ac:dyDescent="0.25">
      <c r="B16" s="1812" t="s">
        <v>2503</v>
      </c>
      <c r="C16" s="1813">
        <f>'4 - Shading and Fenestration'!R78</f>
        <v>0</v>
      </c>
      <c r="D16" s="1814" t="str">
        <f>'4 - Shading and Fenestration'!F78&amp;" of the façade,
 U-"&amp;'4 - Shading and Fenestration'!G78&amp;",  
SHGC-"&amp;'4 - Shading and Fenestration'!H78</f>
        <v xml:space="preserve"> of the façade,
 U-,  
SHGC-</v>
      </c>
      <c r="E16" s="1814" t="str">
        <f>'4 - Shading and Fenestration'!J78&amp;", 
U-"&amp;'4 - Shading and Fenestration'!K78&amp;",
SHGC-"&amp;'4 - Shading and Fenestration'!L78&amp;", 
VLT-"&amp;'4 - Shading and Fenestration'!M78</f>
        <v>, 
U-,
SHGC-, 
VLT-</v>
      </c>
    </row>
    <row r="17" spans="2:5" x14ac:dyDescent="0.25">
      <c r="B17" s="1811" t="s">
        <v>842</v>
      </c>
      <c r="C17" s="1811"/>
      <c r="D17" s="1811"/>
      <c r="E17" s="1811"/>
    </row>
    <row r="18" spans="2:5" ht="48" customHeight="1" x14ac:dyDescent="0.25">
      <c r="B18" s="1812" t="s">
        <v>2504</v>
      </c>
      <c r="C18" s="1813">
        <f>'5 - Opaque Assemblies'!J36</f>
        <v>0</v>
      </c>
      <c r="D18" s="1814" t="e">
        <f>ROUND('5 - Opaque Assemblies'!F42,3)&amp;" "&amp;'5 - Opaque Assemblies'!B42&amp;",
 "&amp;ROUND('5 - Opaque Assemblies'!F43,3)&amp;" "&amp;'5 - Opaque Assemblies'!B43&amp;", 
"&amp;'5 - Opaque Assemblies'!F44&amp;" "&amp;'5 - Opaque Assemblies'!B44</f>
        <v>#VALUE!</v>
      </c>
      <c r="E18" s="1814" t="e">
        <f>ROUND('5 - Opaque Assemblies'!H42,3)&amp;" "&amp;'5 - Opaque Assemblies'!B42&amp;", 
"&amp;ROUND('5 - Opaque Assemblies'!H43,3)&amp;" "&amp;'5 - Opaque Assemblies'!B43&amp;", 
"&amp;'5 - Opaque Assemblies'!H44&amp;" "&amp;'5 - Opaque Assemblies'!B44</f>
        <v>#VALUE!</v>
      </c>
    </row>
    <row r="19" spans="2:5" ht="29.25" customHeight="1" x14ac:dyDescent="0.25">
      <c r="B19" s="1812" t="s">
        <v>2505</v>
      </c>
      <c r="C19" s="1813">
        <f>'5 - Opaque Assemblies'!R52</f>
        <v>0</v>
      </c>
      <c r="D19" s="1814" t="str">
        <f>'5 - Opaque Assemblies'!C52&amp;" construction, "&amp;'5 - Opaque Assemblies'!D52&amp;"; "&amp;'5 - Opaque Assemblies'!F52&amp;" and Solar Reflectance and Thermal Emittance of "&amp;'5 - Opaque Assemblies'!N52</f>
        <v xml:space="preserve">New construction, Residential;  and Solar Reflectance and Thermal Emittance of </v>
      </c>
      <c r="E19" s="1814" t="str">
        <f>'5 - Opaque Assemblies'!I52&amp;" with U-"&amp;'5 - Opaque Assemblies'!J52&amp;" and Solar Reflectance and Thermal Emmitance of "&amp;'5 - Opaque Assemblies'!O52</f>
        <v xml:space="preserve"> with U- and Solar Reflectance and Thermal Emmitance of </v>
      </c>
    </row>
    <row r="20" spans="2:5" ht="30" customHeight="1" x14ac:dyDescent="0.25">
      <c r="B20" s="1812" t="s">
        <v>2506</v>
      </c>
      <c r="C20" s="1813">
        <f>'5 - Opaque Assemblies'!O62</f>
        <v>0</v>
      </c>
      <c r="D20" s="1814" t="str">
        <f>'5 - Opaque Assemblies'!C62&amp;" construction, "&amp;'5 - Opaque Assemblies'!D62&amp;"; "&amp;'5 - Opaque Assemblies'!F62</f>
        <v xml:space="preserve"> construction, ; </v>
      </c>
      <c r="E20" s="1814" t="str">
        <f>'5 - Opaque Assemblies'!I62&amp;" with U-"&amp;'5 - Opaque Assemblies'!J62</f>
        <v xml:space="preserve"> with U-</v>
      </c>
    </row>
    <row r="21" spans="2:5" ht="26.25" customHeight="1" x14ac:dyDescent="0.25">
      <c r="B21" s="1812" t="s">
        <v>2507</v>
      </c>
      <c r="C21" s="1813">
        <f>'5 - Opaque Assemblies'!O72</f>
        <v>0</v>
      </c>
      <c r="D21" s="1814" t="str">
        <f>'5 - Opaque Assemblies'!C72&amp;" construction, "&amp;'5 - Opaque Assemblies'!D72&amp;"; "&amp;'5 - Opaque Assemblies'!F72</f>
        <v xml:space="preserve"> construction, ; </v>
      </c>
      <c r="E21" s="1814" t="str">
        <f>'5 - Opaque Assemblies'!I72&amp;" with C-"&amp;'5 - Opaque Assemblies'!J72</f>
        <v xml:space="preserve"> with C-</v>
      </c>
    </row>
    <row r="22" spans="2:5" x14ac:dyDescent="0.25">
      <c r="B22" s="1812" t="s">
        <v>2508</v>
      </c>
      <c r="C22" s="1813">
        <f>'5 - Opaque Assemblies'!O82</f>
        <v>0</v>
      </c>
      <c r="D22" s="1814" t="str">
        <f>'5 - Opaque Assemblies'!C82&amp;" construction, "&amp;'5 - Opaque Assemblies'!D82&amp;"; "&amp;'5 - Opaque Assemblies'!F82</f>
        <v xml:space="preserve"> construction, ; </v>
      </c>
      <c r="E22" s="1814" t="str">
        <f>'5 - Opaque Assemblies'!I82&amp;" with U-"&amp;'5 - Opaque Assemblies'!J82</f>
        <v xml:space="preserve"> with U-</v>
      </c>
    </row>
    <row r="23" spans="2:5" x14ac:dyDescent="0.25">
      <c r="B23" s="1812" t="s">
        <v>2509</v>
      </c>
      <c r="C23" s="1813">
        <f>'5 - Opaque Assemblies'!O92</f>
        <v>0</v>
      </c>
      <c r="D23" s="1814" t="str">
        <f>'5 - Opaque Assemblies'!C92&amp;" construction, "&amp;'5 - Opaque Assemblies'!D92&amp;"; "&amp;'5 - Opaque Assemblies'!F92</f>
        <v xml:space="preserve"> construction, ; </v>
      </c>
      <c r="E23" s="1814" t="str">
        <f>'5 - Opaque Assemblies'!I92&amp;" with F-"&amp;'5 - Opaque Assemblies'!J92</f>
        <v xml:space="preserve"> with F-</v>
      </c>
    </row>
    <row r="24" spans="2:5" x14ac:dyDescent="0.25">
      <c r="B24" s="1812" t="s">
        <v>2510</v>
      </c>
      <c r="C24" s="1813">
        <f>'5 - Opaque Assemblies'!O102</f>
        <v>0</v>
      </c>
      <c r="D24" s="1814" t="str">
        <f>'5 - Opaque Assemblies'!C102&amp;" construction, "&amp;'5 - Opaque Assemblies'!D102&amp;"; "&amp;'5 - Opaque Assemblies'!F102</f>
        <v xml:space="preserve"> construction, ; </v>
      </c>
      <c r="E24" s="1814" t="str">
        <f>'5 - Opaque Assemblies'!I102&amp;" with U-"&amp;'5 - Opaque Assemblies'!J102</f>
        <v xml:space="preserve"> with U-</v>
      </c>
    </row>
    <row r="25" spans="2:5" x14ac:dyDescent="0.25">
      <c r="B25" s="1811" t="s">
        <v>2531</v>
      </c>
      <c r="C25" s="1811"/>
      <c r="D25" s="1811"/>
      <c r="E25" s="1811"/>
    </row>
    <row r="26" spans="2:5" ht="29.25" customHeight="1" x14ac:dyDescent="0.25">
      <c r="B26" s="1812" t="s">
        <v>2532</v>
      </c>
      <c r="C26" s="1815">
        <f>'6b - General Lighting'!N27</f>
        <v>0</v>
      </c>
      <c r="D26" s="1814" t="str">
        <f>"Interior lighting power is calculated as "&amp;'6b - General Lighting'!F60&amp;" Watts and "&amp;'6b - General Lighting'!I60&amp;" w/sf, both without lighting controls. Including lighting controls, the lighting power is calculated as "&amp;'6b - General Lighting'!L60&amp;" Watts and "&amp;'6b - General Lighting'!K60&amp;" w/sf."</f>
        <v>Interior lighting power is calculated as 0 Watts and - w/sf, both without lighting controls. Including lighting controls, the lighting power is calculated as 0 Watts and - w/sf.</v>
      </c>
      <c r="E26" s="1814" t="str">
        <f>"Interior lighting power is calculated as "&amp;'6b - General Lighting'!E60&amp;" Watts and "&amp;'6b - General Lighting'!H60&amp;" w/sf"</f>
        <v>Interior lighting power is calculated as 0 Watts and - w/sf</v>
      </c>
    </row>
    <row r="27" spans="2:5" ht="20.25" customHeight="1" x14ac:dyDescent="0.25">
      <c r="B27" s="1812" t="s">
        <v>237</v>
      </c>
      <c r="C27" s="1815">
        <f>'6b - General Lighting'!U150</f>
        <v>0</v>
      </c>
      <c r="D27" s="1814" t="str">
        <f>"Lighting Power Allowance of "&amp;'6b - General Lighting'!J150&amp;" W"</f>
        <v>Lighting Power Allowance of 0 W</v>
      </c>
      <c r="E27" s="1814" t="str">
        <f>"Lighting Power Allowance of "&amp;'6b - General Lighting'!M150&amp;" W"</f>
        <v>Lighting Power Allowance of 0 W</v>
      </c>
    </row>
    <row r="28" spans="2:5" ht="16.2" customHeight="1" x14ac:dyDescent="0.25">
      <c r="B28" s="1812" t="str">
        <f>'6b - General Lighting'!B27&amp;" LPD and OS"</f>
        <v xml:space="preserve"> LPD and OS</v>
      </c>
      <c r="C28" s="1815">
        <f>'6b - General Lighting'!N27</f>
        <v>0</v>
      </c>
      <c r="D28" s="1814" t="str">
        <f>"The "&amp;'6b - General Lighting'!B27&amp;" LPD is "&amp;'6b - General Lighting'!I27</f>
        <v>The  LPD is -</v>
      </c>
      <c r="E28" s="1814" t="str">
        <f>"The "&amp;'6b - General Lighting'!B27&amp;" LPD is "&amp;'6b - General Lighting'!H27&amp;" without OS and "&amp;'6b - General Lighting'!K27&amp;" with OS."</f>
        <v>The  LPD is - without OS and - with OS.</v>
      </c>
    </row>
    <row r="29" spans="2:5" ht="16.2" customHeight="1" x14ac:dyDescent="0.25">
      <c r="B29" s="1812" t="str">
        <f>'6b - General Lighting'!B28&amp;" LPD and OS"</f>
        <v xml:space="preserve"> LPD and OS</v>
      </c>
      <c r="C29" s="1815">
        <f>'6b - General Lighting'!N28</f>
        <v>0</v>
      </c>
      <c r="D29" s="1814" t="str">
        <f>"The "&amp;'6b - General Lighting'!B28&amp;" LPD is "&amp;'6b - General Lighting'!I28</f>
        <v>The  LPD is -</v>
      </c>
      <c r="E29" s="1814" t="str">
        <f>"The "&amp;'6b - General Lighting'!B28&amp;" LPD is "&amp;'6b - General Lighting'!H28&amp;" without OS and "&amp;'6b - General Lighting'!K28&amp;" with OS."</f>
        <v>The  LPD is - without OS and - with OS.</v>
      </c>
    </row>
    <row r="30" spans="2:5" ht="16.2" customHeight="1" x14ac:dyDescent="0.25">
      <c r="B30" s="1812" t="str">
        <f>'6b - General Lighting'!B29&amp;" LPD and OS"</f>
        <v xml:space="preserve"> LPD and OS</v>
      </c>
      <c r="C30" s="1815">
        <f>'6b - General Lighting'!N29</f>
        <v>0</v>
      </c>
      <c r="D30" s="1814" t="str">
        <f>"The "&amp;'6b - General Lighting'!B29&amp;" LPD is "&amp;'6b - General Lighting'!I29</f>
        <v>The  LPD is -</v>
      </c>
      <c r="E30" s="1814" t="str">
        <f>"The "&amp;'6b - General Lighting'!B29&amp;" LPD is "&amp;'6b - General Lighting'!H29&amp;" without OS and "&amp;'6b - General Lighting'!K29&amp;" with OS."</f>
        <v>The  LPD is - without OS and - with OS.</v>
      </c>
    </row>
    <row r="31" spans="2:5" ht="16.2" customHeight="1" x14ac:dyDescent="0.25">
      <c r="B31" s="1812" t="str">
        <f>'6b - General Lighting'!B30&amp;" LPD and OS"</f>
        <v xml:space="preserve"> LPD and OS</v>
      </c>
      <c r="C31" s="1815">
        <f>'6b - General Lighting'!N30</f>
        <v>0</v>
      </c>
      <c r="D31" s="1814" t="str">
        <f>"The "&amp;'6b - General Lighting'!B30&amp;" LPD is "&amp;'6b - General Lighting'!I30</f>
        <v>The  LPD is -</v>
      </c>
      <c r="E31" s="1814" t="str">
        <f>"The "&amp;'6b - General Lighting'!B30&amp;" LPD is "&amp;'6b - General Lighting'!H30&amp;" without OS and "&amp;'6b - General Lighting'!K30&amp;" with OS."</f>
        <v>The  LPD is - without OS and - with OS.</v>
      </c>
    </row>
    <row r="32" spans="2:5" ht="16.2" customHeight="1" x14ac:dyDescent="0.25">
      <c r="B32" s="1812" t="str">
        <f>'6b - General Lighting'!B31&amp;" LPD and OS"</f>
        <v xml:space="preserve"> LPD and OS</v>
      </c>
      <c r="C32" s="1815">
        <f>'6b - General Lighting'!N31</f>
        <v>0</v>
      </c>
      <c r="D32" s="1814" t="str">
        <f>"The "&amp;'6b - General Lighting'!B31&amp;" LPD is "&amp;'6b - General Lighting'!I31</f>
        <v>The  LPD is -</v>
      </c>
      <c r="E32" s="1814" t="str">
        <f>"The "&amp;'6b - General Lighting'!B31&amp;" LPD is "&amp;'6b - General Lighting'!H31&amp;" without OS and "&amp;'6b - General Lighting'!K31&amp;" with OS."</f>
        <v>The  LPD is - without OS and - with OS.</v>
      </c>
    </row>
    <row r="33" spans="2:5" ht="16.2" customHeight="1" x14ac:dyDescent="0.25">
      <c r="B33" s="1812" t="str">
        <f>'6b - General Lighting'!B32&amp;" LPD and OS"</f>
        <v xml:space="preserve"> LPD and OS</v>
      </c>
      <c r="C33" s="1815">
        <f>'6b - General Lighting'!N32</f>
        <v>0</v>
      </c>
      <c r="D33" s="1814" t="str">
        <f>"The "&amp;'6b - General Lighting'!B32&amp;" LPD is "&amp;'6b - General Lighting'!I32</f>
        <v>The  LPD is -</v>
      </c>
      <c r="E33" s="1814" t="str">
        <f>"The "&amp;'6b - General Lighting'!B32&amp;" LPD is "&amp;'6b - General Lighting'!H32&amp;" without OS and "&amp;'6b - General Lighting'!K32&amp;" with OS."</f>
        <v>The  LPD is - without OS and - with OS.</v>
      </c>
    </row>
    <row r="34" spans="2:5" ht="16.2" customHeight="1" x14ac:dyDescent="0.25">
      <c r="B34" s="1812" t="str">
        <f>'6b - General Lighting'!B33&amp;" LPD and OS"</f>
        <v xml:space="preserve"> LPD and OS</v>
      </c>
      <c r="C34" s="1815">
        <f>'6b - General Lighting'!N33</f>
        <v>0</v>
      </c>
      <c r="D34" s="1814" t="str">
        <f>"The "&amp;'6b - General Lighting'!B33&amp;" LPD is "&amp;'6b - General Lighting'!I33</f>
        <v>The  LPD is -</v>
      </c>
      <c r="E34" s="1814" t="str">
        <f>"The "&amp;'6b - General Lighting'!B33&amp;" LPD is "&amp;'6b - General Lighting'!H33&amp;" without OS and "&amp;'6b - General Lighting'!K33&amp;" with OS."</f>
        <v>The  LPD is - without OS and - with OS.</v>
      </c>
    </row>
    <row r="35" spans="2:5" ht="16.2" customHeight="1" x14ac:dyDescent="0.25">
      <c r="B35" s="1812" t="str">
        <f>'6b - General Lighting'!B34&amp;" LPD and OS"</f>
        <v xml:space="preserve"> LPD and OS</v>
      </c>
      <c r="C35" s="1815">
        <f>'6b - General Lighting'!N34</f>
        <v>0</v>
      </c>
      <c r="D35" s="1814" t="str">
        <f>"The "&amp;'6b - General Lighting'!B34&amp;" LPD is "&amp;'6b - General Lighting'!I34</f>
        <v>The  LPD is -</v>
      </c>
      <c r="E35" s="1814" t="str">
        <f>"The "&amp;'6b - General Lighting'!B34&amp;" LPD is "&amp;'6b - General Lighting'!H34&amp;" without OS and "&amp;'6b - General Lighting'!K34&amp;" with OS."</f>
        <v>The  LPD is - without OS and - with OS.</v>
      </c>
    </row>
    <row r="36" spans="2:5" ht="16.2" customHeight="1" x14ac:dyDescent="0.25">
      <c r="B36" s="1812" t="str">
        <f>'6b - General Lighting'!B35&amp;" LPD and OS"</f>
        <v xml:space="preserve"> LPD and OS</v>
      </c>
      <c r="C36" s="1815">
        <f>'6b - General Lighting'!N35</f>
        <v>0</v>
      </c>
      <c r="D36" s="1814" t="str">
        <f>"The "&amp;'6b - General Lighting'!B35&amp;" LPD is "&amp;'6b - General Lighting'!I35</f>
        <v>The  LPD is -</v>
      </c>
      <c r="E36" s="1814" t="str">
        <f>"The "&amp;'6b - General Lighting'!B35&amp;" LPD is "&amp;'6b - General Lighting'!H35&amp;" without OS and "&amp;'6b - General Lighting'!K35&amp;" with OS."</f>
        <v>The  LPD is - without OS and - with OS.</v>
      </c>
    </row>
    <row r="37" spans="2:5" ht="16.2" customHeight="1" x14ac:dyDescent="0.25">
      <c r="B37" s="1812" t="str">
        <f>'6b - General Lighting'!B36&amp;" LPD and OS"</f>
        <v xml:space="preserve"> LPD and OS</v>
      </c>
      <c r="C37" s="1815">
        <f>'6b - General Lighting'!N36</f>
        <v>0</v>
      </c>
      <c r="D37" s="1814" t="str">
        <f>"The "&amp;'6b - General Lighting'!B36&amp;" LPD is "&amp;'6b - General Lighting'!I36</f>
        <v>The  LPD is -</v>
      </c>
      <c r="E37" s="1814" t="str">
        <f>"The "&amp;'6b - General Lighting'!B36&amp;" LPD is "&amp;'6b - General Lighting'!H36&amp;" without OS and "&amp;'6b - General Lighting'!K36&amp;" with OS."</f>
        <v>The  LPD is - without OS and - with OS.</v>
      </c>
    </row>
    <row r="38" spans="2:5" ht="16.2" customHeight="1" x14ac:dyDescent="0.25">
      <c r="B38" s="1812" t="str">
        <f>'6b - General Lighting'!B37&amp;" LPD and OS"</f>
        <v xml:space="preserve"> LPD and OS</v>
      </c>
      <c r="C38" s="1815">
        <f>'6b - General Lighting'!N37</f>
        <v>0</v>
      </c>
      <c r="D38" s="1814" t="str">
        <f>"The "&amp;'6b - General Lighting'!B37&amp;" LPD is "&amp;'6b - General Lighting'!I37</f>
        <v>The  LPD is -</v>
      </c>
      <c r="E38" s="1814" t="str">
        <f>"The "&amp;'6b - General Lighting'!B37&amp;" LPD is "&amp;'6b - General Lighting'!H37&amp;" without OS and "&amp;'6b - General Lighting'!K37&amp;" with OS."</f>
        <v>The  LPD is - without OS and - with OS.</v>
      </c>
    </row>
    <row r="39" spans="2:5" ht="16.2" customHeight="1" x14ac:dyDescent="0.25">
      <c r="B39" s="1812" t="str">
        <f>'6b - General Lighting'!B38&amp;" LPD and OS"</f>
        <v xml:space="preserve"> LPD and OS</v>
      </c>
      <c r="C39" s="1815">
        <f>'6b - General Lighting'!N38</f>
        <v>0</v>
      </c>
      <c r="D39" s="1814" t="str">
        <f>"The "&amp;'6b - General Lighting'!B38&amp;" LPD is "&amp;'6b - General Lighting'!I38</f>
        <v>The  LPD is -</v>
      </c>
      <c r="E39" s="1814" t="str">
        <f>"The "&amp;'6b - General Lighting'!B38&amp;" LPD is "&amp;'6b - General Lighting'!H38&amp;" without OS and "&amp;'6b - General Lighting'!K38&amp;" with OS."</f>
        <v>The  LPD is - without OS and - with OS.</v>
      </c>
    </row>
    <row r="40" spans="2:5" ht="16.2" customHeight="1" x14ac:dyDescent="0.25">
      <c r="B40" s="1812" t="str">
        <f>'6b - General Lighting'!B39&amp;" LPD and OS"</f>
        <v xml:space="preserve"> LPD and OS</v>
      </c>
      <c r="C40" s="1815">
        <f>'6b - General Lighting'!N39</f>
        <v>0</v>
      </c>
      <c r="D40" s="1814" t="str">
        <f>"The "&amp;'6b - General Lighting'!B39&amp;" LPD is "&amp;'6b - General Lighting'!I39</f>
        <v>The  LPD is -</v>
      </c>
      <c r="E40" s="1814" t="str">
        <f>"The "&amp;'6b - General Lighting'!B39&amp;" LPD is "&amp;'6b - General Lighting'!H39&amp;" without OS and "&amp;'6b - General Lighting'!K39&amp;" with OS."</f>
        <v>The  LPD is - without OS and - with OS.</v>
      </c>
    </row>
    <row r="41" spans="2:5" ht="16.2" customHeight="1" x14ac:dyDescent="0.25">
      <c r="B41" s="1812" t="str">
        <f>'6b - General Lighting'!B40&amp;" LPD and OS"</f>
        <v xml:space="preserve"> LPD and OS</v>
      </c>
      <c r="C41" s="1815">
        <f>'6b - General Lighting'!N40</f>
        <v>0</v>
      </c>
      <c r="D41" s="1814" t="str">
        <f>"The "&amp;'6b - General Lighting'!B40&amp;" LPD is "&amp;'6b - General Lighting'!I40</f>
        <v>The  LPD is -</v>
      </c>
      <c r="E41" s="1814" t="str">
        <f>"The "&amp;'6b - General Lighting'!B40&amp;" LPD is "&amp;'6b - General Lighting'!H40&amp;" without OS and "&amp;'6b - General Lighting'!K40&amp;" with OS."</f>
        <v>The  LPD is - without OS and - with OS.</v>
      </c>
    </row>
    <row r="42" spans="2:5" ht="16.2" customHeight="1" x14ac:dyDescent="0.25">
      <c r="B42" s="1812" t="str">
        <f>'6b - General Lighting'!B41&amp;" LPD and OS"</f>
        <v xml:space="preserve"> LPD and OS</v>
      </c>
      <c r="C42" s="1815">
        <f>'6b - General Lighting'!N41</f>
        <v>0</v>
      </c>
      <c r="D42" s="1814" t="str">
        <f>"The "&amp;'6b - General Lighting'!B41&amp;" LPD is "&amp;'6b - General Lighting'!I41</f>
        <v>The  LPD is -</v>
      </c>
      <c r="E42" s="1814" t="str">
        <f>"The "&amp;'6b - General Lighting'!B41&amp;" LPD is "&amp;'6b - General Lighting'!H41&amp;" without OS and "&amp;'6b - General Lighting'!K41&amp;" with OS."</f>
        <v>The  LPD is - without OS and - with OS.</v>
      </c>
    </row>
    <row r="43" spans="2:5" ht="16.2" customHeight="1" x14ac:dyDescent="0.25">
      <c r="B43" s="1812" t="str">
        <f>'6b - General Lighting'!B42&amp;" LPD and OS"</f>
        <v xml:space="preserve"> LPD and OS</v>
      </c>
      <c r="C43" s="1815">
        <f>'6b - General Lighting'!N42</f>
        <v>0</v>
      </c>
      <c r="D43" s="1814" t="str">
        <f>"The "&amp;'6b - General Lighting'!B42&amp;" LPD is "&amp;'6b - General Lighting'!I42</f>
        <v>The  LPD is -</v>
      </c>
      <c r="E43" s="1814" t="str">
        <f>"The "&amp;'6b - General Lighting'!B42&amp;" LPD is "&amp;'6b - General Lighting'!H42&amp;" without OS and "&amp;'6b - General Lighting'!K42&amp;" with OS."</f>
        <v>The  LPD is - without OS and - with OS.</v>
      </c>
    </row>
    <row r="44" spans="2:5" ht="16.2" customHeight="1" x14ac:dyDescent="0.25">
      <c r="B44" s="1812" t="str">
        <f>'6b - General Lighting'!B43&amp;" LPD and OS"</f>
        <v xml:space="preserve"> LPD and OS</v>
      </c>
      <c r="C44" s="1815">
        <f>'6b - General Lighting'!N43</f>
        <v>0</v>
      </c>
      <c r="D44" s="1814" t="str">
        <f>"The "&amp;'6b - General Lighting'!B43&amp;" LPD is "&amp;'6b - General Lighting'!I43</f>
        <v>The  LPD is -</v>
      </c>
      <c r="E44" s="1814" t="str">
        <f>"The "&amp;'6b - General Lighting'!B43&amp;" LPD is "&amp;'6b - General Lighting'!H43&amp;" without OS and "&amp;'6b - General Lighting'!K43&amp;" with OS."</f>
        <v>The  LPD is - without OS and - with OS.</v>
      </c>
    </row>
    <row r="45" spans="2:5" ht="16.2" customHeight="1" x14ac:dyDescent="0.25">
      <c r="B45" s="1812" t="str">
        <f>'6b - General Lighting'!B44&amp;" LPD and OS"</f>
        <v xml:space="preserve"> LPD and OS</v>
      </c>
      <c r="C45" s="1815">
        <f>'6b - General Lighting'!N44</f>
        <v>0</v>
      </c>
      <c r="D45" s="1814" t="str">
        <f>"The "&amp;'6b - General Lighting'!B44&amp;" LPD is "&amp;'6b - General Lighting'!I44</f>
        <v>The  LPD is -</v>
      </c>
      <c r="E45" s="1814" t="str">
        <f>"The "&amp;'6b - General Lighting'!B44&amp;" LPD is "&amp;'6b - General Lighting'!H44&amp;" without OS and "&amp;'6b - General Lighting'!K44&amp;" with OS."</f>
        <v>The  LPD is - without OS and - with OS.</v>
      </c>
    </row>
    <row r="46" spans="2:5" ht="16.2" customHeight="1" x14ac:dyDescent="0.25">
      <c r="B46" s="1812" t="str">
        <f>'6b - General Lighting'!B45&amp;" LPD and OS"</f>
        <v xml:space="preserve"> LPD and OS</v>
      </c>
      <c r="C46" s="1815">
        <f>'6b - General Lighting'!N45</f>
        <v>0</v>
      </c>
      <c r="D46" s="1814" t="str">
        <f>"The "&amp;'6b - General Lighting'!B45&amp;" LPD is "&amp;'6b - General Lighting'!I45</f>
        <v>The  LPD is -</v>
      </c>
      <c r="E46" s="1814" t="str">
        <f>"The "&amp;'6b - General Lighting'!B45&amp;" LPD is "&amp;'6b - General Lighting'!H45&amp;" without OS and "&amp;'6b - General Lighting'!K45&amp;" with OS."</f>
        <v>The  LPD is - without OS and - with OS.</v>
      </c>
    </row>
    <row r="47" spans="2:5" ht="16.2" customHeight="1" x14ac:dyDescent="0.25">
      <c r="B47" s="1812" t="str">
        <f>'6b - General Lighting'!B46&amp;" LPD and OS"</f>
        <v xml:space="preserve"> LPD and OS</v>
      </c>
      <c r="C47" s="1815">
        <f>'6b - General Lighting'!N46</f>
        <v>0</v>
      </c>
      <c r="D47" s="1814" t="str">
        <f>"The "&amp;'6b - General Lighting'!B46&amp;" LPD is "&amp;'6b - General Lighting'!I46</f>
        <v>The  LPD is -</v>
      </c>
      <c r="E47" s="1814" t="str">
        <f>"The "&amp;'6b - General Lighting'!B46&amp;" LPD is "&amp;'6b - General Lighting'!H46&amp;" without OS and "&amp;'6b - General Lighting'!K46&amp;" with OS."</f>
        <v>The  LPD is - without OS and - with OS.</v>
      </c>
    </row>
    <row r="48" spans="2:5" ht="16.2" customHeight="1" x14ac:dyDescent="0.25">
      <c r="B48" s="1812" t="str">
        <f>'6b - General Lighting'!B47&amp;" LPD and OS"</f>
        <v xml:space="preserve"> LPD and OS</v>
      </c>
      <c r="C48" s="1815">
        <f>'6b - General Lighting'!N47</f>
        <v>0</v>
      </c>
      <c r="D48" s="1814" t="str">
        <f>"The "&amp;'6b - General Lighting'!B47&amp;" LPD is "&amp;'6b - General Lighting'!I47</f>
        <v>The  LPD is -</v>
      </c>
      <c r="E48" s="1814" t="str">
        <f>"The "&amp;'6b - General Lighting'!B47&amp;" LPD is "&amp;'6b - General Lighting'!H47&amp;" without OS and "&amp;'6b - General Lighting'!K47&amp;" with OS."</f>
        <v>The  LPD is - without OS and - with OS.</v>
      </c>
    </row>
    <row r="49" spans="2:5" ht="16.2" customHeight="1" x14ac:dyDescent="0.25">
      <c r="B49" s="1812" t="str">
        <f>'6b - General Lighting'!B48&amp;" LPD and OS"</f>
        <v xml:space="preserve"> LPD and OS</v>
      </c>
      <c r="C49" s="1815">
        <f>'6b - General Lighting'!N48</f>
        <v>0</v>
      </c>
      <c r="D49" s="1814" t="str">
        <f>"The "&amp;'6b - General Lighting'!B48&amp;" LPD is "&amp;'6b - General Lighting'!I48</f>
        <v>The  LPD is -</v>
      </c>
      <c r="E49" s="1814" t="str">
        <f>"The "&amp;'6b - General Lighting'!B48&amp;" LPD is "&amp;'6b - General Lighting'!H48&amp;" without OS and "&amp;'6b - General Lighting'!K48&amp;" with OS."</f>
        <v>The  LPD is - without OS and - with OS.</v>
      </c>
    </row>
    <row r="50" spans="2:5" ht="16.2" customHeight="1" x14ac:dyDescent="0.25">
      <c r="B50" s="1812" t="str">
        <f>'6b - General Lighting'!B49&amp;" LPD and OS"</f>
        <v xml:space="preserve"> LPD and OS</v>
      </c>
      <c r="C50" s="1815">
        <f>'6b - General Lighting'!N49</f>
        <v>0</v>
      </c>
      <c r="D50" s="1814" t="str">
        <f>"The "&amp;'6b - General Lighting'!B49&amp;" LPD is "&amp;'6b - General Lighting'!I49</f>
        <v>The  LPD is -</v>
      </c>
      <c r="E50" s="1814" t="str">
        <f>"The "&amp;'6b - General Lighting'!B49&amp;" LPD is "&amp;'6b - General Lighting'!H49&amp;" without OS and "&amp;'6b - General Lighting'!K49&amp;" with OS."</f>
        <v>The  LPD is - without OS and - with OS.</v>
      </c>
    </row>
    <row r="51" spans="2:5" ht="16.2" customHeight="1" x14ac:dyDescent="0.25">
      <c r="B51" s="1812" t="str">
        <f>'6b - General Lighting'!B50&amp;" LPD and OS"</f>
        <v xml:space="preserve"> LPD and OS</v>
      </c>
      <c r="C51" s="1815">
        <f>'6b - General Lighting'!N50</f>
        <v>0</v>
      </c>
      <c r="D51" s="1814" t="str">
        <f>"The "&amp;'6b - General Lighting'!B50&amp;" LPD is "&amp;'6b - General Lighting'!I50</f>
        <v>The  LPD is -</v>
      </c>
      <c r="E51" s="1814" t="str">
        <f>"The "&amp;'6b - General Lighting'!B50&amp;" LPD is "&amp;'6b - General Lighting'!H50&amp;" without OS and "&amp;'6b - General Lighting'!K50&amp;" with OS."</f>
        <v>The  LPD is - without OS and - with OS.</v>
      </c>
    </row>
    <row r="52" spans="2:5" ht="16.2" customHeight="1" x14ac:dyDescent="0.25">
      <c r="B52" s="1812" t="str">
        <f>'6b - General Lighting'!B51&amp;" LPD and OS"</f>
        <v xml:space="preserve"> LPD and OS</v>
      </c>
      <c r="C52" s="1815">
        <f>'6b - General Lighting'!N51</f>
        <v>0</v>
      </c>
      <c r="D52" s="1814" t="str">
        <f>"The "&amp;'6b - General Lighting'!B51&amp;" LPD is "&amp;'6b - General Lighting'!I51</f>
        <v>The  LPD is -</v>
      </c>
      <c r="E52" s="1814" t="str">
        <f>"The "&amp;'6b - General Lighting'!B51&amp;" LPD is "&amp;'6b - General Lighting'!H51&amp;" without OS and "&amp;'6b - General Lighting'!K51&amp;" with OS."</f>
        <v>The  LPD is - without OS and - with OS.</v>
      </c>
    </row>
    <row r="53" spans="2:5" ht="16.2" customHeight="1" x14ac:dyDescent="0.25">
      <c r="B53" s="1812" t="str">
        <f>'6b - General Lighting'!B52&amp;" LPD and OS"</f>
        <v xml:space="preserve"> LPD and OS</v>
      </c>
      <c r="C53" s="1815">
        <f>'6b - General Lighting'!N52</f>
        <v>0</v>
      </c>
      <c r="D53" s="1814" t="str">
        <f>"The "&amp;'6b - General Lighting'!B52&amp;" LPD is "&amp;'6b - General Lighting'!I52</f>
        <v>The  LPD is -</v>
      </c>
      <c r="E53" s="1814" t="str">
        <f>"The "&amp;'6b - General Lighting'!B52&amp;" LPD is "&amp;'6b - General Lighting'!H52&amp;" without OS and "&amp;'6b - General Lighting'!K52&amp;" with OS."</f>
        <v>The  LPD is - without OS and - with OS.</v>
      </c>
    </row>
    <row r="54" spans="2:5" ht="16.2" customHeight="1" x14ac:dyDescent="0.25">
      <c r="B54" s="1812" t="str">
        <f>'6b - General Lighting'!B53&amp;" LPD and OS"</f>
        <v xml:space="preserve"> LPD and OS</v>
      </c>
      <c r="C54" s="1815">
        <f>'6b - General Lighting'!N53</f>
        <v>0</v>
      </c>
      <c r="D54" s="1814" t="str">
        <f>"The "&amp;'6b - General Lighting'!B53&amp;" LPD is "&amp;'6b - General Lighting'!I53</f>
        <v>The  LPD is -</v>
      </c>
      <c r="E54" s="1814" t="str">
        <f>"The "&amp;'6b - General Lighting'!B53&amp;" LPD is "&amp;'6b - General Lighting'!H53&amp;" without OS and "&amp;'6b - General Lighting'!K53&amp;" with OS."</f>
        <v>The  LPD is - without OS and - with OS.</v>
      </c>
    </row>
    <row r="55" spans="2:5" ht="16.2" customHeight="1" x14ac:dyDescent="0.25">
      <c r="B55" s="1812" t="str">
        <f>'6b - General Lighting'!B54&amp;" LPD and OS"</f>
        <v xml:space="preserve"> LPD and OS</v>
      </c>
      <c r="C55" s="1815">
        <f>'6b - General Lighting'!N54</f>
        <v>0</v>
      </c>
      <c r="D55" s="1814" t="str">
        <f>"The "&amp;'6b - General Lighting'!B54&amp;" LPD is "&amp;'6b - General Lighting'!I54</f>
        <v>The  LPD is -</v>
      </c>
      <c r="E55" s="1814" t="str">
        <f>"The "&amp;'6b - General Lighting'!B54&amp;" LPD is "&amp;'6b - General Lighting'!H54&amp;" without OS and "&amp;'6b - General Lighting'!K54&amp;" with OS."</f>
        <v>The  LPD is - without OS and - with OS.</v>
      </c>
    </row>
    <row r="56" spans="2:5" ht="16.2" customHeight="1" x14ac:dyDescent="0.25">
      <c r="B56" s="1812" t="str">
        <f>'6b - General Lighting'!B55&amp;" LPD and OS"</f>
        <v xml:space="preserve"> LPD and OS</v>
      </c>
      <c r="C56" s="1815">
        <f>'6b - General Lighting'!N55</f>
        <v>0</v>
      </c>
      <c r="D56" s="1814" t="str">
        <f>"The "&amp;'6b - General Lighting'!B55&amp;" LPD is "&amp;'6b - General Lighting'!I55</f>
        <v>The  LPD is -</v>
      </c>
      <c r="E56" s="1814" t="str">
        <f>"The "&amp;'6b - General Lighting'!B55&amp;" LPD is "&amp;'6b - General Lighting'!H55&amp;" without OS and "&amp;'6b - General Lighting'!K55&amp;" with OS."</f>
        <v>The  LPD is - without OS and - with OS.</v>
      </c>
    </row>
    <row r="57" spans="2:5" ht="16.2" customHeight="1" x14ac:dyDescent="0.25">
      <c r="B57" s="1812" t="str">
        <f>'6b - General Lighting'!B56&amp;" LPD and OS"</f>
        <v xml:space="preserve"> LPD and OS</v>
      </c>
      <c r="C57" s="1815">
        <f>'6b - General Lighting'!N56</f>
        <v>0</v>
      </c>
      <c r="D57" s="1814" t="str">
        <f>"The "&amp;'6b - General Lighting'!B56&amp;" LPD is "&amp;'6b - General Lighting'!I56</f>
        <v>The  LPD is -</v>
      </c>
      <c r="E57" s="1814" t="str">
        <f>"The "&amp;'6b - General Lighting'!B56&amp;" LPD is "&amp;'6b - General Lighting'!H56&amp;" without OS and "&amp;'6b - General Lighting'!K56&amp;" with OS."</f>
        <v>The  LPD is - without OS and - with OS.</v>
      </c>
    </row>
    <row r="58" spans="2:5" ht="16.2" customHeight="1" x14ac:dyDescent="0.25">
      <c r="B58" s="1812" t="str">
        <f>'6b - General Lighting'!B57&amp;" LPD and OS"</f>
        <v xml:space="preserve"> LPD and OS</v>
      </c>
      <c r="C58" s="1815">
        <f>'6b - General Lighting'!N57</f>
        <v>0</v>
      </c>
      <c r="D58" s="1814" t="str">
        <f>"The "&amp;'6b - General Lighting'!B57&amp;" LPD is "&amp;'6b - General Lighting'!I57</f>
        <v>The  LPD is -</v>
      </c>
      <c r="E58" s="1814" t="str">
        <f>"The "&amp;'6b - General Lighting'!B57&amp;" LPD is "&amp;'6b - General Lighting'!H57&amp;" without OS and "&amp;'6b - General Lighting'!K57&amp;" with OS."</f>
        <v>The  LPD is - without OS and - with OS.</v>
      </c>
    </row>
    <row r="59" spans="2:5" ht="16.2" customHeight="1" x14ac:dyDescent="0.25">
      <c r="B59" s="1812" t="str">
        <f>'6b - General Lighting'!B58&amp;" LPD and OS"</f>
        <v xml:space="preserve"> LPD and OS</v>
      </c>
      <c r="C59" s="1815">
        <f>'6b - General Lighting'!N58</f>
        <v>0</v>
      </c>
      <c r="D59" s="1814" t="str">
        <f>"The "&amp;'6b - General Lighting'!B58&amp;" LPD is "&amp;'6b - General Lighting'!I58</f>
        <v>The  LPD is -</v>
      </c>
      <c r="E59" s="1814" t="str">
        <f>"The "&amp;'6b - General Lighting'!B58&amp;" LPD is "&amp;'6b - General Lighting'!H58&amp;" without OS and "&amp;'6b - General Lighting'!K58&amp;" with OS."</f>
        <v>The  LPD is - without OS and - with OS.</v>
      </c>
    </row>
    <row r="60" spans="2:5" ht="16.2" customHeight="1" x14ac:dyDescent="0.25">
      <c r="B60" s="1812" t="str">
        <f>'6b - General Lighting'!B59&amp;" LPD and OS"</f>
        <v xml:space="preserve"> LPD and OS</v>
      </c>
      <c r="C60" s="1815">
        <f>'6b - General Lighting'!N59</f>
        <v>0</v>
      </c>
      <c r="D60" s="1814" t="str">
        <f>"The "&amp;'6b - General Lighting'!B59&amp;" LPD is "&amp;'6b - General Lighting'!I59</f>
        <v>The  LPD is -</v>
      </c>
      <c r="E60" s="1814" t="str">
        <f>"The "&amp;'6b - General Lighting'!B59&amp;" LPD is "&amp;'6b - General Lighting'!H59&amp;" without OS and "&amp;'6b - General Lighting'!K59&amp;" with OS."</f>
        <v>The  LPD is - without OS and - with OS.</v>
      </c>
    </row>
    <row r="61" spans="2:5" ht="16.2" customHeight="1" x14ac:dyDescent="0.25">
      <c r="B61" s="1812" t="str">
        <f>'6b - General Lighting'!B60&amp;" LPD and OS"</f>
        <v>Total LPD and OS</v>
      </c>
      <c r="C61" s="1815">
        <f>'6b - General Lighting'!N60</f>
        <v>0</v>
      </c>
      <c r="D61" s="1814" t="e">
        <f>"The "&amp;'6b - General Lighting'!B60&amp;" LPD is "&amp;ROUND('6b - General Lighting'!I60,3)</f>
        <v>#VALUE!</v>
      </c>
      <c r="E61" s="1814" t="e">
        <f>"The "&amp;'6b - General Lighting'!B60&amp;" LPD is "&amp;ROUND('6b - General Lighting'!H60,3)&amp;" without OS and "&amp;ROUND('6b - General Lighting'!K60,3)&amp;" with OS."</f>
        <v>#VALUE!</v>
      </c>
    </row>
    <row r="62" spans="2:5" ht="16.2" hidden="1" customHeight="1" x14ac:dyDescent="0.25">
      <c r="B62" s="1812" t="str">
        <f>'6b - General Lighting'!B61&amp;" LPD and OS"</f>
        <v xml:space="preserve"> LPD and OS</v>
      </c>
      <c r="C62" s="1815"/>
      <c r="D62" s="1814"/>
      <c r="E62" s="1814"/>
    </row>
    <row r="63" spans="2:5" ht="16.2" hidden="1" customHeight="1" x14ac:dyDescent="0.25">
      <c r="B63" s="1812" t="str">
        <f>'6b - General Lighting'!B62&amp;" LPD and OS"</f>
        <v xml:space="preserve"> LPD and OS</v>
      </c>
      <c r="C63" s="1815"/>
      <c r="D63" s="1814"/>
      <c r="E63" s="1814"/>
    </row>
    <row r="64" spans="2:5" ht="16.2" hidden="1" customHeight="1" x14ac:dyDescent="0.25">
      <c r="B64" s="1812" t="str">
        <f>'6b - General Lighting'!B63&amp;" LPD and OS"</f>
        <v xml:space="preserve"> LPD and OS</v>
      </c>
      <c r="C64" s="1815"/>
      <c r="D64" s="1814"/>
      <c r="E64" s="1814"/>
    </row>
    <row r="65" spans="2:5" ht="16.2" hidden="1" customHeight="1" x14ac:dyDescent="0.25">
      <c r="B65" s="1812" t="str">
        <f>'6b - General Lighting'!B64&amp;" LPD and OS"</f>
        <v xml:space="preserve"> LPD and OS</v>
      </c>
      <c r="C65" s="1815"/>
      <c r="D65" s="1814"/>
      <c r="E65" s="1814"/>
    </row>
    <row r="66" spans="2:5" ht="16.2" hidden="1" customHeight="1" x14ac:dyDescent="0.25">
      <c r="B66" s="1812" t="str">
        <f>'6b - General Lighting'!B65&amp;" LPD and OS"</f>
        <v xml:space="preserve"> LPD and OS</v>
      </c>
      <c r="C66" s="1815"/>
      <c r="D66" s="1814"/>
      <c r="E66" s="1814"/>
    </row>
    <row r="67" spans="2:5" ht="16.2" hidden="1" customHeight="1" x14ac:dyDescent="0.25">
      <c r="B67" s="1812" t="str">
        <f>'6b - General Lighting'!B66&amp;" LPD and OS"</f>
        <v xml:space="preserve"> LPD and OS</v>
      </c>
      <c r="C67" s="1815"/>
      <c r="D67" s="1814"/>
      <c r="E67" s="1814"/>
    </row>
    <row r="68" spans="2:5" ht="16.2" hidden="1" customHeight="1" x14ac:dyDescent="0.25">
      <c r="B68" s="1812" t="str">
        <f>'6b - General Lighting'!B67&amp;" LPD and OS"</f>
        <v xml:space="preserve"> LPD and OS</v>
      </c>
      <c r="C68" s="1815"/>
      <c r="D68" s="1814"/>
      <c r="E68" s="1814"/>
    </row>
    <row r="69" spans="2:5" ht="16.2" hidden="1" customHeight="1" x14ac:dyDescent="0.25">
      <c r="B69" s="1812" t="str">
        <f>'6b - General Lighting'!B68&amp;" LPD and OS"</f>
        <v xml:space="preserve"> LPD and OS</v>
      </c>
      <c r="C69" s="1815"/>
      <c r="D69" s="1814"/>
      <c r="E69" s="1814"/>
    </row>
    <row r="70" spans="2:5" ht="16.2" hidden="1" customHeight="1" x14ac:dyDescent="0.25">
      <c r="B70" s="1812" t="str">
        <f>'6b - General Lighting'!B69&amp;" LPD and OS"</f>
        <v xml:space="preserve"> LPD and OS</v>
      </c>
      <c r="C70" s="1815"/>
      <c r="D70" s="1814"/>
      <c r="E70" s="1814"/>
    </row>
    <row r="71" spans="2:5" ht="16.2" hidden="1" customHeight="1" x14ac:dyDescent="0.25">
      <c r="B71" s="1812" t="str">
        <f>'6b - General Lighting'!B70&amp;" LPD and OS"</f>
        <v xml:space="preserve"> LPD and OS</v>
      </c>
      <c r="C71" s="1815"/>
      <c r="D71" s="1814"/>
      <c r="E71" s="1814"/>
    </row>
    <row r="72" spans="2:5" ht="16.2" hidden="1" customHeight="1" x14ac:dyDescent="0.25">
      <c r="B72" s="1812" t="str">
        <f>'6b - General Lighting'!B71&amp;" LPD and OS"</f>
        <v xml:space="preserve"> LPD and OS</v>
      </c>
      <c r="C72" s="1815"/>
      <c r="D72" s="1814"/>
      <c r="E72" s="1814"/>
    </row>
    <row r="73" spans="2:5" ht="16.2" hidden="1" customHeight="1" x14ac:dyDescent="0.25">
      <c r="B73" s="1812" t="str">
        <f>'6b - General Lighting'!B72&amp;" LPD and OS"</f>
        <v xml:space="preserve"> LPD and OS</v>
      </c>
      <c r="C73" s="1815"/>
      <c r="D73" s="1814"/>
      <c r="E73" s="1814"/>
    </row>
    <row r="74" spans="2:5" ht="16.2" hidden="1" customHeight="1" x14ac:dyDescent="0.25">
      <c r="B74" s="1812" t="str">
        <f>'6b - General Lighting'!B73&amp;" LPD and OS"</f>
        <v xml:space="preserve"> LPD and OS</v>
      </c>
      <c r="C74" s="1815"/>
      <c r="D74" s="1814"/>
      <c r="E74" s="1814"/>
    </row>
    <row r="75" spans="2:5" ht="16.2" hidden="1" customHeight="1" x14ac:dyDescent="0.25">
      <c r="B75" s="1812" t="str">
        <f>'6b - General Lighting'!B74&amp;" LPD and OS"</f>
        <v xml:space="preserve"> LPD and OS</v>
      </c>
      <c r="C75" s="1815"/>
      <c r="D75" s="1814"/>
      <c r="E75" s="1814"/>
    </row>
    <row r="76" spans="2:5" ht="16.2" hidden="1" customHeight="1" x14ac:dyDescent="0.25">
      <c r="B76" s="1812" t="str">
        <f>'6b - General Lighting'!B75&amp;" LPD and OS"</f>
        <v xml:space="preserve"> LPD and OS</v>
      </c>
      <c r="C76" s="1815"/>
      <c r="D76" s="1814"/>
      <c r="E76" s="1814"/>
    </row>
    <row r="77" spans="2:5" ht="16.2" hidden="1" customHeight="1" x14ac:dyDescent="0.25">
      <c r="B77" s="1812" t="str">
        <f>'6b - General Lighting'!B76&amp;" LPD and OS"</f>
        <v xml:space="preserve"> LPD and OS</v>
      </c>
      <c r="C77" s="1815"/>
      <c r="D77" s="1814"/>
      <c r="E77" s="1814"/>
    </row>
    <row r="78" spans="2:5" ht="16.2" hidden="1" customHeight="1" x14ac:dyDescent="0.25">
      <c r="B78" s="1812" t="str">
        <f>'6b - General Lighting'!B77&amp;" LPD and OS"</f>
        <v xml:space="preserve"> LPD and OS</v>
      </c>
      <c r="C78" s="1815"/>
      <c r="D78" s="1814"/>
      <c r="E78" s="1814"/>
    </row>
    <row r="79" spans="2:5" ht="16.2" hidden="1" customHeight="1" x14ac:dyDescent="0.25">
      <c r="B79" s="1812" t="str">
        <f>'6b - General Lighting'!B78&amp;" LPD and OS"</f>
        <v xml:space="preserve"> LPD and OS</v>
      </c>
      <c r="C79" s="1815"/>
      <c r="D79" s="1814"/>
      <c r="E79" s="1814"/>
    </row>
    <row r="80" spans="2:5" ht="16.2" hidden="1" customHeight="1" x14ac:dyDescent="0.25">
      <c r="B80" s="1812" t="str">
        <f>'6b - General Lighting'!B79&amp;" LPD and OS"</f>
        <v xml:space="preserve"> LPD and OS</v>
      </c>
      <c r="C80" s="1815"/>
      <c r="D80" s="1814"/>
      <c r="E80" s="1814"/>
    </row>
    <row r="81" spans="2:5" ht="16.2" hidden="1" customHeight="1" x14ac:dyDescent="0.25">
      <c r="B81" s="1812" t="str">
        <f>'6b - General Lighting'!B80&amp;" LPD and OS"</f>
        <v xml:space="preserve"> LPD and OS</v>
      </c>
      <c r="C81" s="1815"/>
      <c r="D81" s="1814"/>
      <c r="E81" s="1814"/>
    </row>
    <row r="82" spans="2:5" ht="16.2" hidden="1" customHeight="1" x14ac:dyDescent="0.25">
      <c r="B82" s="1812" t="str">
        <f>'6b - General Lighting'!B81&amp;" LPD and OS"</f>
        <v xml:space="preserve"> LPD and OS</v>
      </c>
      <c r="C82" s="1815"/>
      <c r="D82" s="1814"/>
      <c r="E82" s="1814"/>
    </row>
    <row r="83" spans="2:5" ht="16.2" hidden="1" customHeight="1" x14ac:dyDescent="0.25">
      <c r="B83" s="1812" t="str">
        <f>'6b - General Lighting'!B82&amp;" LPD and OS"</f>
        <v xml:space="preserve"> LPD and OS</v>
      </c>
      <c r="C83" s="1815"/>
      <c r="D83" s="1814"/>
      <c r="E83" s="1814"/>
    </row>
    <row r="84" spans="2:5" ht="16.2" hidden="1" customHeight="1" x14ac:dyDescent="0.25">
      <c r="B84" s="1812" t="str">
        <f>'6b - General Lighting'!B83&amp;" LPD and OS"</f>
        <v xml:space="preserve"> LPD and OS</v>
      </c>
      <c r="C84" s="1815"/>
      <c r="D84" s="1814"/>
      <c r="E84" s="1814"/>
    </row>
    <row r="85" spans="2:5" ht="16.2" hidden="1" customHeight="1" x14ac:dyDescent="0.25">
      <c r="B85" s="1812" t="str">
        <f>'6b - General Lighting'!B84&amp;" LPD and OS"</f>
        <v xml:space="preserve"> LPD and OS</v>
      </c>
      <c r="C85" s="1815"/>
      <c r="D85" s="1814"/>
      <c r="E85" s="1814"/>
    </row>
    <row r="86" spans="2:5" ht="16.2" hidden="1" customHeight="1" x14ac:dyDescent="0.25">
      <c r="B86" s="1812" t="str">
        <f>'6b - General Lighting'!B85&amp;" LPD and OS"</f>
        <v xml:space="preserve"> LPD and OS</v>
      </c>
      <c r="C86" s="1815"/>
      <c r="D86" s="1814"/>
      <c r="E86" s="1814"/>
    </row>
    <row r="87" spans="2:5" ht="16.2" hidden="1" customHeight="1" x14ac:dyDescent="0.25">
      <c r="B87" s="1812" t="str">
        <f>'6b - General Lighting'!B86&amp;" LPD and OS"</f>
        <v xml:space="preserve"> LPD and OS</v>
      </c>
      <c r="C87" s="1815"/>
      <c r="D87" s="1814"/>
      <c r="E87" s="1814"/>
    </row>
    <row r="88" spans="2:5" ht="16.2" hidden="1" customHeight="1" x14ac:dyDescent="0.25">
      <c r="B88" s="1812" t="str">
        <f>'6b - General Lighting'!B87&amp;" LPD and OS"</f>
        <v xml:space="preserve"> LPD and OS</v>
      </c>
      <c r="C88" s="1815"/>
      <c r="D88" s="1814"/>
      <c r="E88" s="1814"/>
    </row>
    <row r="89" spans="2:5" ht="16.2" hidden="1" customHeight="1" x14ac:dyDescent="0.25">
      <c r="B89" s="1812" t="str">
        <f>'6b - General Lighting'!B88&amp;" LPD and OS"</f>
        <v xml:space="preserve"> LPD and OS</v>
      </c>
      <c r="C89" s="1815"/>
      <c r="D89" s="1814"/>
      <c r="E89" s="1814"/>
    </row>
    <row r="90" spans="2:5" ht="16.2" hidden="1" customHeight="1" x14ac:dyDescent="0.25">
      <c r="B90" s="1812" t="str">
        <f>'6b - General Lighting'!B89&amp;" LPD and OS"</f>
        <v xml:space="preserve"> LPD and OS</v>
      </c>
      <c r="C90" s="1815"/>
      <c r="D90" s="1814"/>
      <c r="E90" s="1814"/>
    </row>
    <row r="91" spans="2:5" ht="16.2" hidden="1" customHeight="1" x14ac:dyDescent="0.25">
      <c r="B91" s="1812" t="str">
        <f>'6b - General Lighting'!B90&amp;" LPD and OS"</f>
        <v xml:space="preserve"> LPD and OS</v>
      </c>
      <c r="C91" s="1815"/>
      <c r="D91" s="1814"/>
      <c r="E91" s="1814"/>
    </row>
    <row r="92" spans="2:5" ht="16.2" hidden="1" customHeight="1" x14ac:dyDescent="0.25">
      <c r="B92" s="1812" t="str">
        <f>'6b - General Lighting'!B91&amp;" LPD and OS"</f>
        <v xml:space="preserve"> LPD and OS</v>
      </c>
      <c r="C92" s="1815"/>
      <c r="D92" s="1814"/>
      <c r="E92" s="1814"/>
    </row>
    <row r="93" spans="2:5" ht="16.2" hidden="1" customHeight="1" x14ac:dyDescent="0.25">
      <c r="B93" s="1812" t="str">
        <f>'6b - General Lighting'!B92&amp;" LPD and OS"</f>
        <v xml:space="preserve"> LPD and OS</v>
      </c>
      <c r="C93" s="1815"/>
      <c r="D93" s="1814"/>
      <c r="E93" s="1814"/>
    </row>
    <row r="94" spans="2:5" ht="16.2" hidden="1" customHeight="1" x14ac:dyDescent="0.25">
      <c r="B94" s="1812" t="str">
        <f>'6b - General Lighting'!B93&amp;" LPD and OS"</f>
        <v xml:space="preserve"> LPD and OS</v>
      </c>
      <c r="C94" s="1815"/>
      <c r="D94" s="1814"/>
      <c r="E94" s="1814"/>
    </row>
    <row r="95" spans="2:5" ht="16.2" hidden="1" customHeight="1" x14ac:dyDescent="0.25">
      <c r="B95" s="1812" t="str">
        <f>'6b - General Lighting'!B94&amp;" LPD and OS"</f>
        <v xml:space="preserve"> LPD and OS</v>
      </c>
      <c r="C95" s="1815"/>
      <c r="D95" s="1814"/>
      <c r="E95" s="1814"/>
    </row>
    <row r="96" spans="2:5" ht="16.2" hidden="1" customHeight="1" x14ac:dyDescent="0.25">
      <c r="B96" s="1812" t="str">
        <f>'6b - General Lighting'!B95&amp;" LPD and OS"</f>
        <v xml:space="preserve"> LPD and OS</v>
      </c>
      <c r="C96" s="1815"/>
      <c r="D96" s="1814"/>
      <c r="E96" s="1814"/>
    </row>
    <row r="97" spans="2:5" ht="16.2" hidden="1" customHeight="1" x14ac:dyDescent="0.25">
      <c r="B97" s="1812" t="str">
        <f>'6b - General Lighting'!B96&amp;" LPD and OS"</f>
        <v xml:space="preserve"> LPD and OS</v>
      </c>
      <c r="C97" s="1815"/>
      <c r="D97" s="1814"/>
      <c r="E97" s="1814"/>
    </row>
    <row r="98" spans="2:5" ht="16.2" hidden="1" customHeight="1" x14ac:dyDescent="0.25">
      <c r="B98" s="1812" t="str">
        <f>'6b - General Lighting'!B97&amp;" LPD and OS"</f>
        <v xml:space="preserve"> LPD and OS</v>
      </c>
      <c r="C98" s="1815"/>
      <c r="D98" s="1814"/>
      <c r="E98" s="1814"/>
    </row>
    <row r="99" spans="2:5" x14ac:dyDescent="0.25">
      <c r="B99" s="1811" t="s">
        <v>844</v>
      </c>
      <c r="C99" s="1811"/>
      <c r="D99" s="1811"/>
      <c r="E99" s="1811"/>
    </row>
    <row r="100" spans="2:5" ht="20.25" customHeight="1" x14ac:dyDescent="0.25">
      <c r="B100" s="1812" t="e">
        <f>'7 - Process Loads'!#REF!</f>
        <v>#REF!</v>
      </c>
      <c r="C100" s="1813" t="e">
        <f>'7 - Process Loads'!#REF!</f>
        <v>#REF!</v>
      </c>
      <c r="D100" s="1814" t="e">
        <f>'7 - Process Loads'!#REF!</f>
        <v>#REF!</v>
      </c>
      <c r="E100" s="1814" t="e">
        <f>'7 - Process Loads'!#REF!</f>
        <v>#REF!</v>
      </c>
    </row>
    <row r="101" spans="2:5" ht="17.25" customHeight="1" x14ac:dyDescent="0.25">
      <c r="B101" s="1812" t="str">
        <f>'7 - Process Loads'!V21</f>
        <v>Building Average Equipment Power Density</v>
      </c>
      <c r="C101" s="1813" t="str">
        <f>'7 - Process Loads'!W21</f>
        <v>0</v>
      </c>
      <c r="D101" s="1814" t="str">
        <f>'7 - Process Loads'!X21</f>
        <v>&lt;User Entry&gt;</v>
      </c>
      <c r="E101" s="1814" t="str">
        <f>'7 - Process Loads'!Y21</f>
        <v xml:space="preserve"> Building Type with total building area of  sqft, and EPD of  w/sf. The equipment in this EPD includes .</v>
      </c>
    </row>
    <row r="102" spans="2:5" ht="17.25" customHeight="1" x14ac:dyDescent="0.25">
      <c r="B102" s="1812" t="e">
        <f>'7 - Process Loads'!#REF!</f>
        <v>#REF!</v>
      </c>
      <c r="C102" s="1813" t="e">
        <f>'7 - Process Loads'!#REF!</f>
        <v>#REF!</v>
      </c>
      <c r="D102" s="1814" t="e">
        <f>'7 - Process Loads'!#REF!</f>
        <v>#REF!</v>
      </c>
      <c r="E102" s="1814" t="e">
        <f>'7 - Process Loads'!#REF!</f>
        <v>#REF!</v>
      </c>
    </row>
    <row r="103" spans="2:5" ht="17.25" customHeight="1" x14ac:dyDescent="0.25">
      <c r="B103" s="1812" t="e">
        <f>'7 - Process Loads'!#REF!</f>
        <v>#REF!</v>
      </c>
      <c r="C103" s="1813" t="e">
        <f>'7 - Process Loads'!#REF!</f>
        <v>#REF!</v>
      </c>
      <c r="D103" s="1814" t="e">
        <f>'7 - Process Loads'!#REF!</f>
        <v>#REF!</v>
      </c>
      <c r="E103" s="1814" t="e">
        <f>'7 - Process Loads'!#REF!</f>
        <v>#REF!</v>
      </c>
    </row>
    <row r="104" spans="2:5" ht="17.25" customHeight="1" x14ac:dyDescent="0.25">
      <c r="B104" s="1812" t="e">
        <f>'7 - Process Loads'!#REF!</f>
        <v>#REF!</v>
      </c>
      <c r="C104" s="1813" t="e">
        <f>'7 - Process Loads'!#REF!</f>
        <v>#REF!</v>
      </c>
      <c r="D104" s="1814" t="e">
        <f>'7 - Process Loads'!#REF!</f>
        <v>#REF!</v>
      </c>
      <c r="E104" s="1814" t="e">
        <f>'7 - Process Loads'!#REF!</f>
        <v>#REF!</v>
      </c>
    </row>
    <row r="105" spans="2:5" ht="17.25" customHeight="1" x14ac:dyDescent="0.25">
      <c r="B105" s="1812" t="e">
        <f>'7 - Process Loads'!#REF!</f>
        <v>#REF!</v>
      </c>
      <c r="C105" s="1813" t="e">
        <f>'7 - Process Loads'!#REF!</f>
        <v>#REF!</v>
      </c>
      <c r="D105" s="1814" t="e">
        <f>'7 - Process Loads'!#REF!</f>
        <v>#REF!</v>
      </c>
      <c r="E105" s="1814" t="e">
        <f>'7 - Process Loads'!#REF!</f>
        <v>#REF!</v>
      </c>
    </row>
    <row r="106" spans="2:5" ht="17.25" customHeight="1" x14ac:dyDescent="0.25">
      <c r="B106" s="1812" t="str">
        <f>'7 - Process Loads'!V22</f>
        <v>Building Average Equipment Power Density</v>
      </c>
      <c r="C106" s="1813" t="str">
        <f>'7 - Process Loads'!W22</f>
        <v>0</v>
      </c>
      <c r="D106" s="1814" t="str">
        <f>'7 - Process Loads'!X22</f>
        <v>&lt;User Entry&gt;</v>
      </c>
      <c r="E106" s="1814" t="str">
        <f>'7 - Process Loads'!Y22</f>
        <v xml:space="preserve"> Building Type with total building area of  sqft, and EPD of  w/sf. The equipment in this EPD includes .</v>
      </c>
    </row>
    <row r="107" spans="2:5" ht="17.25" customHeight="1" x14ac:dyDescent="0.25">
      <c r="B107" s="1812">
        <f>'7 - Process Loads'!V29</f>
        <v>0</v>
      </c>
      <c r="C107" s="1813">
        <f>'7 - Process Loads'!W29</f>
        <v>0</v>
      </c>
      <c r="D107" s="1814">
        <f>'7 - Process Loads'!X29</f>
        <v>0</v>
      </c>
      <c r="E107" s="1814">
        <f>'7 - Process Loads'!Y29</f>
        <v>0</v>
      </c>
    </row>
    <row r="108" spans="2:5" ht="20.25" customHeight="1" x14ac:dyDescent="0.25">
      <c r="B108" s="1812">
        <f>'7 - Process Loads'!V30</f>
        <v>0</v>
      </c>
      <c r="C108" s="1813">
        <f>'7 - Process Loads'!W30</f>
        <v>0</v>
      </c>
      <c r="D108" s="1814">
        <f>'7 - Process Loads'!X30</f>
        <v>0</v>
      </c>
      <c r="E108" s="1814">
        <f>'7 - Process Loads'!Y30</f>
        <v>0</v>
      </c>
    </row>
    <row r="109" spans="2:5" ht="17.25" customHeight="1" x14ac:dyDescent="0.25">
      <c r="B109" s="1812" t="str">
        <f>'7 - Process Loads'!V38</f>
        <v>Space by Space Equipment Power Densities</v>
      </c>
      <c r="C109" s="1813" t="str">
        <f>'7 - Process Loads'!W38</f>
        <v>0</v>
      </c>
      <c r="D109" s="1814" t="str">
        <f>'7 - Process Loads'!X38</f>
        <v>&lt;User Entry&gt;</v>
      </c>
      <c r="E109" s="1814" t="str">
        <f>'7 - Process Loads'!Y38</f>
        <v xml:space="preserve"> Building Type with total building area of  sqft, and EPD of  w/sf. The equipment in this EPD includes .</v>
      </c>
    </row>
    <row r="110" spans="2:5" ht="17.25" customHeight="1" x14ac:dyDescent="0.25">
      <c r="B110" s="1812" t="e">
        <f>'7 - Process Loads'!#REF!</f>
        <v>#REF!</v>
      </c>
      <c r="C110" s="1813" t="e">
        <f>'7 - Process Loads'!#REF!</f>
        <v>#REF!</v>
      </c>
      <c r="D110" s="1814" t="e">
        <f>'7 - Process Loads'!#REF!</f>
        <v>#REF!</v>
      </c>
      <c r="E110" s="1814" t="e">
        <f>'7 - Process Loads'!#REF!</f>
        <v>#REF!</v>
      </c>
    </row>
    <row r="111" spans="2:5" ht="17.25" customHeight="1" x14ac:dyDescent="0.25">
      <c r="B111" s="1812" t="e">
        <f>'7 - Process Loads'!#REF!</f>
        <v>#REF!</v>
      </c>
      <c r="C111" s="1813" t="e">
        <f>'7 - Process Loads'!#REF!</f>
        <v>#REF!</v>
      </c>
      <c r="D111" s="1814" t="e">
        <f>'7 - Process Loads'!#REF!</f>
        <v>#REF!</v>
      </c>
      <c r="E111" s="1814" t="e">
        <f>'7 - Process Loads'!#REF!</f>
        <v>#REF!</v>
      </c>
    </row>
    <row r="112" spans="2:5" ht="17.25" customHeight="1" x14ac:dyDescent="0.25">
      <c r="B112" s="1812" t="e">
        <f>'7 - Process Loads'!#REF!</f>
        <v>#REF!</v>
      </c>
      <c r="C112" s="1813" t="e">
        <f>'7 - Process Loads'!#REF!</f>
        <v>#REF!</v>
      </c>
      <c r="D112" s="1814" t="e">
        <f>'7 - Process Loads'!#REF!</f>
        <v>#REF!</v>
      </c>
      <c r="E112" s="1814" t="e">
        <f>'7 - Process Loads'!#REF!</f>
        <v>#REF!</v>
      </c>
    </row>
    <row r="113" spans="2:5" ht="17.25" customHeight="1" x14ac:dyDescent="0.25">
      <c r="B113" s="1812" t="e">
        <f>'7 - Process Loads'!#REF!</f>
        <v>#REF!</v>
      </c>
      <c r="C113" s="1813" t="e">
        <f>'7 - Process Loads'!#REF!</f>
        <v>#REF!</v>
      </c>
      <c r="D113" s="1814" t="e">
        <f>'7 - Process Loads'!#REF!</f>
        <v>#REF!</v>
      </c>
      <c r="E113" s="1814" t="e">
        <f>'7 - Process Loads'!#REF!</f>
        <v>#REF!</v>
      </c>
    </row>
    <row r="114" spans="2:5" ht="17.25" customHeight="1" x14ac:dyDescent="0.25">
      <c r="B114" s="1812" t="str">
        <f>'7 - Process Loads'!V39</f>
        <v>Space by Space Equipment Power Densities</v>
      </c>
      <c r="C114" s="1813" t="str">
        <f>'7 - Process Loads'!W39</f>
        <v>0</v>
      </c>
      <c r="D114" s="1814" t="str">
        <f>'7 - Process Loads'!X39</f>
        <v>&lt;User Entry&gt;</v>
      </c>
      <c r="E114" s="1814" t="str">
        <f>'7 - Process Loads'!Y39</f>
        <v xml:space="preserve"> Building Type with total building area of  sqft, and EPD of  w/sf. The equipment in this EPD includes .</v>
      </c>
    </row>
    <row r="115" spans="2:5" ht="17.25" customHeight="1" x14ac:dyDescent="0.25">
      <c r="B115" s="1812" t="e">
        <f>'7 - Process Loads'!#REF!</f>
        <v>#REF!</v>
      </c>
      <c r="C115" s="1813" t="e">
        <f>'7 - Process Loads'!#REF!</f>
        <v>#REF!</v>
      </c>
      <c r="D115" s="1814" t="e">
        <f>'7 - Process Loads'!#REF!</f>
        <v>#REF!</v>
      </c>
      <c r="E115" s="1814" t="e">
        <f>'7 - Process Loads'!#REF!</f>
        <v>#REF!</v>
      </c>
    </row>
    <row r="116" spans="2:5" ht="17.25" customHeight="1" x14ac:dyDescent="0.25">
      <c r="B116" s="1812" t="e">
        <f>'7 - Process Loads'!#REF!</f>
        <v>#REF!</v>
      </c>
      <c r="C116" s="1813" t="e">
        <f>'7 - Process Loads'!#REF!</f>
        <v>#REF!</v>
      </c>
      <c r="D116" s="1814" t="e">
        <f>'7 - Process Loads'!#REF!</f>
        <v>#REF!</v>
      </c>
      <c r="E116" s="1814" t="e">
        <f>'7 - Process Loads'!#REF!</f>
        <v>#REF!</v>
      </c>
    </row>
    <row r="117" spans="2:5" ht="20.25" customHeight="1" x14ac:dyDescent="0.25">
      <c r="B117" s="1812" t="str">
        <f>'7 - Process Loads'!V92</f>
        <v>Non-Receptacle Process Equipment</v>
      </c>
      <c r="C117" s="1813" t="str">
        <f>'7 - Process Loads'!W92</f>
        <v>0</v>
      </c>
      <c r="D117" s="1814" t="str">
        <f>'7 - Process Loads'!X92</f>
        <v>&lt;User Entry&gt;</v>
      </c>
      <c r="E117" s="1814" t="str">
        <f>'7 - Process Loads'!Y92</f>
        <v>Non-Receptacle process equipment includes the following:  with an  energy source of  Btuh. The modeling parameters include: .</v>
      </c>
    </row>
    <row r="118" spans="2:5" ht="17.25" customHeight="1" x14ac:dyDescent="0.25">
      <c r="B118" s="1812" t="str">
        <f>'7 - Process Loads'!V93</f>
        <v>Non-Receptacle Process Equipment</v>
      </c>
      <c r="C118" s="1813" t="str">
        <f>'7 - Process Loads'!W93</f>
        <v>0</v>
      </c>
      <c r="D118" s="1814" t="str">
        <f>'7 - Process Loads'!X93</f>
        <v>&lt;User Entry&gt;</v>
      </c>
      <c r="E118" s="1814" t="str">
        <f>'7 - Process Loads'!Y93</f>
        <v>Non-Receptacle process equipment includes the following:  with an  energy source of  Btuh. The modeling parameters include: .</v>
      </c>
    </row>
    <row r="119" spans="2:5" ht="17.25" customHeight="1" x14ac:dyDescent="0.25">
      <c r="B119" s="1812" t="e">
        <f>'7 - Process Loads'!#REF!</f>
        <v>#REF!</v>
      </c>
      <c r="C119" s="1813" t="e">
        <f>'7 - Process Loads'!#REF!</f>
        <v>#REF!</v>
      </c>
      <c r="D119" s="1814" t="e">
        <f>'7 - Process Loads'!#REF!</f>
        <v>#REF!</v>
      </c>
      <c r="E119" s="1814" t="e">
        <f>'7 - Process Loads'!#REF!</f>
        <v>#REF!</v>
      </c>
    </row>
    <row r="120" spans="2:5" ht="17.25" customHeight="1" x14ac:dyDescent="0.25">
      <c r="B120" s="1812" t="e">
        <f>'7 - Process Loads'!#REF!</f>
        <v>#REF!</v>
      </c>
      <c r="C120" s="1813" t="e">
        <f>'7 - Process Loads'!#REF!</f>
        <v>#REF!</v>
      </c>
      <c r="D120" s="1814" t="e">
        <f>'7 - Process Loads'!#REF!</f>
        <v>#REF!</v>
      </c>
      <c r="E120" s="1814" t="e">
        <f>'7 - Process Loads'!#REF!</f>
        <v>#REF!</v>
      </c>
    </row>
    <row r="121" spans="2:5" ht="17.25" customHeight="1" x14ac:dyDescent="0.25">
      <c r="B121" s="1812" t="e">
        <f>'7 - Process Loads'!#REF!</f>
        <v>#REF!</v>
      </c>
      <c r="C121" s="1813" t="e">
        <f>'7 - Process Loads'!#REF!</f>
        <v>#REF!</v>
      </c>
      <c r="D121" s="1814" t="e">
        <f>'7 - Process Loads'!#REF!</f>
        <v>#REF!</v>
      </c>
      <c r="E121" s="1814" t="e">
        <f>'7 - Process Loads'!#REF!</f>
        <v>#REF!</v>
      </c>
    </row>
    <row r="122" spans="2:5" ht="17.25" customHeight="1" x14ac:dyDescent="0.25">
      <c r="B122" s="1812" t="e">
        <f>'7 - Process Loads'!#REF!</f>
        <v>#REF!</v>
      </c>
      <c r="C122" s="1813" t="e">
        <f>'7 - Process Loads'!#REF!</f>
        <v>#REF!</v>
      </c>
      <c r="D122" s="1814" t="e">
        <f>'7 - Process Loads'!#REF!</f>
        <v>#REF!</v>
      </c>
      <c r="E122" s="1814" t="e">
        <f>'7 - Process Loads'!#REF!</f>
        <v>#REF!</v>
      </c>
    </row>
    <row r="123" spans="2:5" ht="17.25" customHeight="1" x14ac:dyDescent="0.25">
      <c r="B123" s="1812" t="str">
        <f>'7 - Process Loads'!V94</f>
        <v>Non-Receptacle Process Equipment</v>
      </c>
      <c r="C123" s="1813" t="str">
        <f>'7 - Process Loads'!W94</f>
        <v>0</v>
      </c>
      <c r="D123" s="1814" t="str">
        <f>'7 - Process Loads'!X94</f>
        <v>&lt;User Entry&gt;</v>
      </c>
      <c r="E123" s="1814" t="str">
        <f>'7 - Process Loads'!Y94</f>
        <v>Non-Receptacle process equipment includes the following:  with an  energy source of  Btuh. The modeling parameters include: .</v>
      </c>
    </row>
    <row r="124" spans="2:5" ht="17.25" customHeight="1" x14ac:dyDescent="0.25">
      <c r="B124" s="1812" t="str">
        <f>'7 - Process Loads'!V95</f>
        <v>Non-Receptacle Process Equipment</v>
      </c>
      <c r="C124" s="1813" t="str">
        <f>'7 - Process Loads'!W95</f>
        <v>0</v>
      </c>
      <c r="D124" s="1814" t="str">
        <f>'7 - Process Loads'!X95</f>
        <v>&lt;User Entry&gt;</v>
      </c>
      <c r="E124" s="1814" t="str">
        <f>'7 - Process Loads'!Y95</f>
        <v>Non-Receptacle process equipment includes the following:  with an  energy source of  Btuh. The modeling parameters include: .</v>
      </c>
    </row>
    <row r="125" spans="2:5" ht="17.25" customHeight="1" x14ac:dyDescent="0.25">
      <c r="B125" s="1812">
        <f>'7 - Process Loads'!V103</f>
        <v>0</v>
      </c>
      <c r="C125" s="1813">
        <f>'7 - Process Loads'!W103</f>
        <v>0</v>
      </c>
      <c r="D125" s="1814">
        <f>'7 - Process Loads'!X103</f>
        <v>0</v>
      </c>
      <c r="E125" s="1814">
        <f>'7 - Process Loads'!Y103</f>
        <v>0</v>
      </c>
    </row>
    <row r="126" spans="2:5" x14ac:dyDescent="0.25">
      <c r="B126" s="1812">
        <f>'7 - Process Loads'!V104</f>
        <v>0</v>
      </c>
      <c r="C126" s="1813">
        <f>'7 - Process Loads'!W104</f>
        <v>0</v>
      </c>
      <c r="D126" s="1814">
        <f>'7 - Process Loads'!X104</f>
        <v>0</v>
      </c>
      <c r="E126" s="1814">
        <f>'7 - Process Loads'!Y104</f>
        <v>0</v>
      </c>
    </row>
    <row r="127" spans="2:5" x14ac:dyDescent="0.25">
      <c r="B127" s="1811" t="s">
        <v>238</v>
      </c>
      <c r="C127" s="1811"/>
      <c r="D127" s="1811"/>
      <c r="E127" s="1811"/>
    </row>
    <row r="128" spans="2:5" ht="31.2" x14ac:dyDescent="0.25">
      <c r="B128" s="1812" t="str">
        <f>'8 - Service Water Heating'!X14</f>
        <v>Service Water Heaters</v>
      </c>
      <c r="C128" s="1813">
        <f>'8 - Service Water Heating'!Y14</f>
        <v>0</v>
      </c>
      <c r="D128" s="1814" t="str">
        <f>'8 - Service Water Heating'!Z14</f>
        <v>SWH building area type based on:  with an  system with  fuel. The input rating is kW with an efficiency of . The storage temperature is - (F) with a peak hot water demand of . Condenser heat recovery: -. There are -  pump(s) woth a total pump power of Yes kW.</v>
      </c>
      <c r="E128" s="1814" t="str">
        <f>'8 - Service Water Heating'!AA14</f>
        <v>SWH building area type based on:  with an   system with  fuel. The input rating is kW with an efficiency of . The storage temperature is  (F) with a peak hot water demand of . Condenser heat recovery: . There are   pump(s) woth a total pump power of 0 kW.</v>
      </c>
    </row>
    <row r="129" spans="2:5" x14ac:dyDescent="0.25">
      <c r="B129" s="1812" t="str">
        <f>'8 - Service Water Heating'!X15</f>
        <v>Service Water Heaters</v>
      </c>
      <c r="C129" s="1813">
        <f>'8 - Service Water Heating'!Y15</f>
        <v>0</v>
      </c>
      <c r="D129" s="1814">
        <f>'8 - Service Water Heating'!Z15</f>
        <v>0</v>
      </c>
      <c r="E129" s="1814">
        <f>'8 - Service Water Heating'!AA15</f>
        <v>0</v>
      </c>
    </row>
    <row r="130" spans="2:5" x14ac:dyDescent="0.25">
      <c r="B130" s="1812" t="e">
        <f>'8 - Service Water Heating'!#REF!</f>
        <v>#REF!</v>
      </c>
      <c r="C130" s="1813" t="e">
        <f>'8 - Service Water Heating'!#REF!</f>
        <v>#REF!</v>
      </c>
      <c r="D130" s="1814" t="e">
        <f>'8 - Service Water Heating'!#REF!</f>
        <v>#REF!</v>
      </c>
      <c r="E130" s="1814" t="e">
        <f>'8 - Service Water Heating'!#REF!</f>
        <v>#REF!</v>
      </c>
    </row>
    <row r="131" spans="2:5" x14ac:dyDescent="0.25">
      <c r="B131" s="1812" t="str">
        <f>'8 - Service Water Heating'!X17</f>
        <v>Service Water Heaters</v>
      </c>
      <c r="C131" s="1813">
        <f>'8 - Service Water Heating'!Y17</f>
        <v>0</v>
      </c>
      <c r="D131" s="1814">
        <f>'8 - Service Water Heating'!Z17</f>
        <v>0</v>
      </c>
      <c r="E131" s="1814">
        <f>'8 - Service Water Heating'!AA17</f>
        <v>0</v>
      </c>
    </row>
    <row r="132" spans="2:5" x14ac:dyDescent="0.25">
      <c r="B132" s="1812" t="str">
        <f>'8 - Service Water Heating'!X18</f>
        <v>Service Water Heaters</v>
      </c>
      <c r="C132" s="1813">
        <f>'8 - Service Water Heating'!Y18</f>
        <v>0</v>
      </c>
      <c r="D132" s="1814">
        <f>'8 - Service Water Heating'!Z18</f>
        <v>0</v>
      </c>
      <c r="E132" s="1814">
        <f>'8 - Service Water Heating'!AA18</f>
        <v>0</v>
      </c>
    </row>
    <row r="133" spans="2:5" x14ac:dyDescent="0.25">
      <c r="B133" s="1812" t="str">
        <f>'8 - Service Water Heating'!X19</f>
        <v>Service Water Heaters</v>
      </c>
      <c r="C133" s="1813">
        <f>'8 - Service Water Heating'!Y19</f>
        <v>0</v>
      </c>
      <c r="D133" s="1814">
        <f>'8 - Service Water Heating'!Z19</f>
        <v>0</v>
      </c>
      <c r="E133" s="1814">
        <f>'8 - Service Water Heating'!AA19</f>
        <v>0</v>
      </c>
    </row>
    <row r="134" spans="2:5" x14ac:dyDescent="0.25">
      <c r="B134" s="1812" t="str">
        <f>'8 - Service Water Heating'!X21</f>
        <v>Service Water Heaters</v>
      </c>
      <c r="C134" s="1813">
        <f>'8 - Service Water Heating'!Y21</f>
        <v>0</v>
      </c>
      <c r="D134" s="1814">
        <f>'8 - Service Water Heating'!Z21</f>
        <v>0</v>
      </c>
      <c r="E134" s="1814">
        <f>'8 - Service Water Heating'!AA21</f>
        <v>0</v>
      </c>
    </row>
    <row r="135" spans="2:5" x14ac:dyDescent="0.25">
      <c r="B135" s="1812" t="str">
        <f>'8 - Service Water Heating'!X20</f>
        <v>Service Water Heaters</v>
      </c>
      <c r="C135" s="1813">
        <f>'8 - Service Water Heating'!Y20</f>
        <v>0</v>
      </c>
      <c r="D135" s="1814">
        <f>'8 - Service Water Heating'!Z20</f>
        <v>0</v>
      </c>
      <c r="E135" s="1814">
        <f>'8 - Service Water Heating'!AA20</f>
        <v>0</v>
      </c>
    </row>
    <row r="136" spans="2:5" x14ac:dyDescent="0.25">
      <c r="B136" s="1812" t="str">
        <f>'8 - Service Water Heating'!X23</f>
        <v>Service Water Heaters</v>
      </c>
      <c r="C136" s="1813">
        <f>'8 - Service Water Heating'!Y23</f>
        <v>0</v>
      </c>
      <c r="D136" s="1814">
        <f>'8 - Service Water Heating'!Z23</f>
        <v>0</v>
      </c>
      <c r="E136" s="1814">
        <f>'8 - Service Water Heating'!AA23</f>
        <v>0</v>
      </c>
    </row>
    <row r="137" spans="2:5" x14ac:dyDescent="0.25">
      <c r="B137" s="1812" t="str">
        <f>'8 - Service Water Heating'!X24</f>
        <v>Service Water Heaters</v>
      </c>
      <c r="C137" s="1813">
        <f>'8 - Service Water Heating'!Y24</f>
        <v>0</v>
      </c>
      <c r="D137" s="1814">
        <f>'8 - Service Water Heating'!Z24</f>
        <v>0</v>
      </c>
      <c r="E137" s="1814">
        <f>'8 - Service Water Heating'!AA24</f>
        <v>0</v>
      </c>
    </row>
    <row r="138" spans="2:5" x14ac:dyDescent="0.25">
      <c r="B138" s="1812" t="str">
        <f>'8 - Service Water Heating'!X25</f>
        <v>Service Water Heaters</v>
      </c>
      <c r="C138" s="1813">
        <f>'8 - Service Water Heating'!Y25</f>
        <v>0</v>
      </c>
      <c r="D138" s="1814">
        <f>'8 - Service Water Heating'!Z25</f>
        <v>0</v>
      </c>
      <c r="E138" s="1814">
        <f>'8 - Service Water Heating'!AA25</f>
        <v>0</v>
      </c>
    </row>
    <row r="139" spans="2:5" x14ac:dyDescent="0.25">
      <c r="B139" s="1812" t="str">
        <f>'8 - Service Water Heating'!X29</f>
        <v>Service Water Heaters</v>
      </c>
      <c r="C139" s="1813">
        <f>'8 - Service Water Heating'!Y29</f>
        <v>0</v>
      </c>
      <c r="D139" s="1814">
        <f>'8 - Service Water Heating'!Z29</f>
        <v>0</v>
      </c>
      <c r="E139" s="1814">
        <f>'8 - Service Water Heating'!AA29</f>
        <v>0</v>
      </c>
    </row>
    <row r="140" spans="2:5" x14ac:dyDescent="0.25">
      <c r="B140" s="1812" t="str">
        <f>'8 - Service Water Heating'!X31</f>
        <v>Service Water Heaters</v>
      </c>
      <c r="C140" s="1813">
        <f>'8 - Service Water Heating'!Y31</f>
        <v>0</v>
      </c>
      <c r="D140" s="1814">
        <f>'8 - Service Water Heating'!Z31</f>
        <v>0</v>
      </c>
      <c r="E140" s="1814">
        <f>'8 - Service Water Heating'!AA31</f>
        <v>0</v>
      </c>
    </row>
    <row r="141" spans="2:5" x14ac:dyDescent="0.25">
      <c r="B141" s="1812" t="str">
        <f>'8 - Service Water Heating'!X28</f>
        <v>Service Water Heaters</v>
      </c>
      <c r="C141" s="1813">
        <f>'8 - Service Water Heating'!Y28</f>
        <v>0</v>
      </c>
      <c r="D141" s="1814">
        <f>'8 - Service Water Heating'!Z28</f>
        <v>0</v>
      </c>
      <c r="E141" s="1814">
        <f>'8 - Service Water Heating'!AA28</f>
        <v>0</v>
      </c>
    </row>
    <row r="142" spans="2:5" x14ac:dyDescent="0.25">
      <c r="B142" s="1812">
        <f>'8 - Service Water Heating'!X33</f>
        <v>0</v>
      </c>
      <c r="C142" s="1813">
        <f>'8 - Service Water Heating'!Y33</f>
        <v>0</v>
      </c>
      <c r="D142" s="1814">
        <f>'8 - Service Water Heating'!Z33</f>
        <v>0</v>
      </c>
      <c r="E142" s="1814">
        <f>'8 - Service Water Heating'!AA33</f>
        <v>0</v>
      </c>
    </row>
    <row r="143" spans="2:5" x14ac:dyDescent="0.25">
      <c r="B143" s="1812">
        <f>'8 - Service Water Heating'!X34</f>
        <v>0</v>
      </c>
      <c r="C143" s="1813">
        <f>'8 - Service Water Heating'!Y34</f>
        <v>0</v>
      </c>
      <c r="D143" s="1814">
        <f>'8 - Service Water Heating'!Z34</f>
        <v>0</v>
      </c>
      <c r="E143" s="1814">
        <f>'8 - Service Water Heating'!AA34</f>
        <v>0</v>
      </c>
    </row>
    <row r="144" spans="2:5" x14ac:dyDescent="0.25">
      <c r="B144" s="1812">
        <f>'8 - Service Water Heating'!X35</f>
        <v>0</v>
      </c>
      <c r="C144" s="1813">
        <f>'8 - Service Water Heating'!Y35</f>
        <v>0</v>
      </c>
      <c r="D144" s="1814">
        <f>'8 - Service Water Heating'!Z35</f>
        <v>0</v>
      </c>
      <c r="E144" s="1814">
        <f>'8 - Service Water Heating'!AA35</f>
        <v>0</v>
      </c>
    </row>
    <row r="145" spans="2:5" x14ac:dyDescent="0.25">
      <c r="B145" s="1812">
        <f>'8 - Service Water Heating'!X36</f>
        <v>0</v>
      </c>
      <c r="C145" s="1813">
        <f>'8 - Service Water Heating'!Y36</f>
        <v>0</v>
      </c>
      <c r="D145" s="1814">
        <f>'8 - Service Water Heating'!Z36</f>
        <v>0</v>
      </c>
      <c r="E145" s="1814">
        <f>'8 - Service Water Heating'!AA36</f>
        <v>0</v>
      </c>
    </row>
    <row r="146" spans="2:5" x14ac:dyDescent="0.25">
      <c r="B146" s="1812">
        <f>'8 - Service Water Heating'!X37</f>
        <v>0</v>
      </c>
      <c r="C146" s="1813">
        <f>'8 - Service Water Heating'!Y37</f>
        <v>0</v>
      </c>
      <c r="D146" s="1814">
        <f>'8 - Service Water Heating'!Z37</f>
        <v>0</v>
      </c>
      <c r="E146" s="1814">
        <f>'8 - Service Water Heating'!AA37</f>
        <v>0</v>
      </c>
    </row>
    <row r="147" spans="2:5" x14ac:dyDescent="0.25">
      <c r="B147" s="1812">
        <f>'8 - Service Water Heating'!X38</f>
        <v>0</v>
      </c>
      <c r="C147" s="1813">
        <f>'8 - Service Water Heating'!Y38</f>
        <v>0</v>
      </c>
      <c r="D147" s="1814">
        <f>'8 - Service Water Heating'!Z38</f>
        <v>0</v>
      </c>
      <c r="E147" s="1814">
        <f>'8 - Service Water Heating'!AA38</f>
        <v>0</v>
      </c>
    </row>
    <row r="148" spans="2:5" x14ac:dyDescent="0.25">
      <c r="B148" s="1812">
        <f>'8 - Service Water Heating'!X39</f>
        <v>0</v>
      </c>
      <c r="C148" s="1813">
        <f>'8 - Service Water Heating'!Y39</f>
        <v>0</v>
      </c>
      <c r="D148" s="1814">
        <f>'8 - Service Water Heating'!Z39</f>
        <v>0</v>
      </c>
      <c r="E148" s="1814">
        <f>'8 - Service Water Heating'!AA39</f>
        <v>0</v>
      </c>
    </row>
    <row r="149" spans="2:5" x14ac:dyDescent="0.25">
      <c r="B149" s="1812">
        <f>'8 - Service Water Heating'!X40</f>
        <v>0</v>
      </c>
      <c r="C149" s="1813">
        <f>'8 - Service Water Heating'!Y40</f>
        <v>0</v>
      </c>
      <c r="D149" s="1814">
        <f>'8 - Service Water Heating'!Z40</f>
        <v>0</v>
      </c>
      <c r="E149" s="1814">
        <f>'8 - Service Water Heating'!AA40</f>
        <v>0</v>
      </c>
    </row>
    <row r="150" spans="2:5" x14ac:dyDescent="0.25">
      <c r="B150" s="1812">
        <f>'8 - Service Water Heating'!X41</f>
        <v>0</v>
      </c>
      <c r="C150" s="1813">
        <f>'8 - Service Water Heating'!Y41</f>
        <v>0</v>
      </c>
      <c r="D150" s="1814">
        <f>'8 - Service Water Heating'!Z41</f>
        <v>0</v>
      </c>
      <c r="E150" s="1814">
        <f>'8 - Service Water Heating'!AA41</f>
        <v>0</v>
      </c>
    </row>
    <row r="151" spans="2:5" x14ac:dyDescent="0.25">
      <c r="B151" s="1812">
        <f>'8 - Service Water Heating'!X42</f>
        <v>0</v>
      </c>
      <c r="C151" s="1813">
        <f>'8 - Service Water Heating'!Y42</f>
        <v>0</v>
      </c>
      <c r="D151" s="1814">
        <f>'8 - Service Water Heating'!Z42</f>
        <v>0</v>
      </c>
      <c r="E151" s="1814">
        <f>'8 - Service Water Heating'!AA42</f>
        <v>0</v>
      </c>
    </row>
    <row r="152" spans="2:5" x14ac:dyDescent="0.25">
      <c r="B152" s="1812">
        <f>'8 - Service Water Heating'!X43</f>
        <v>0</v>
      </c>
      <c r="C152" s="1813">
        <f>'8 - Service Water Heating'!Y43</f>
        <v>0</v>
      </c>
      <c r="D152" s="1814">
        <f>'8 - Service Water Heating'!Z43</f>
        <v>0</v>
      </c>
      <c r="E152" s="1814">
        <f>'8 - Service Water Heating'!AA43</f>
        <v>0</v>
      </c>
    </row>
    <row r="153" spans="2:5" x14ac:dyDescent="0.25">
      <c r="B153" s="1812">
        <f>'8 - Service Water Heating'!X44</f>
        <v>0</v>
      </c>
      <c r="C153" s="1813">
        <f>'8 - Service Water Heating'!Y44</f>
        <v>0</v>
      </c>
      <c r="D153" s="1814">
        <f>'8 - Service Water Heating'!Z44</f>
        <v>0</v>
      </c>
      <c r="E153" s="1814">
        <f>'8 - Service Water Heating'!AA44</f>
        <v>0</v>
      </c>
    </row>
    <row r="154" spans="2:5" x14ac:dyDescent="0.25">
      <c r="B154" s="1812">
        <f>'8 - Service Water Heating'!X45</f>
        <v>0</v>
      </c>
      <c r="C154" s="1813">
        <f>'8 - Service Water Heating'!Y45</f>
        <v>0</v>
      </c>
      <c r="D154" s="1814">
        <f>'8 - Service Water Heating'!Z45</f>
        <v>0</v>
      </c>
      <c r="E154" s="1814">
        <f>'8 - Service Water Heating'!AA45</f>
        <v>0</v>
      </c>
    </row>
    <row r="155" spans="2:5" x14ac:dyDescent="0.25">
      <c r="B155" s="1812">
        <f>'8 - Service Water Heating'!X46</f>
        <v>0</v>
      </c>
      <c r="C155" s="1813">
        <f>'8 - Service Water Heating'!Y46</f>
        <v>0</v>
      </c>
      <c r="D155" s="1814">
        <f>'8 - Service Water Heating'!Z46</f>
        <v>0</v>
      </c>
      <c r="E155" s="1814">
        <f>'8 - Service Water Heating'!AA46</f>
        <v>0</v>
      </c>
    </row>
    <row r="156" spans="2:5" ht="21" x14ac:dyDescent="0.25">
      <c r="B156" s="1812" t="str">
        <f>'8 - Service Water Heating'!X47</f>
        <v>Low-Flow Fixtures</v>
      </c>
      <c r="C156" s="1813">
        <f>'8 - Service Water Heating'!Y47</f>
        <v>0</v>
      </c>
      <c r="D156" s="1814" t="str">
        <f>'8 - Service Water Heating'!Z47</f>
        <v>Fixtrue type of  with fixture outlet temperature of  (F) and (/1) % hot water. The  has a flow rate of  gpm with annual total water consumption of  gallons/year.</v>
      </c>
      <c r="E156" s="1814" t="str">
        <f>'8 - Service Water Heating'!AA47</f>
        <v>Fixtrue type of  with fixture outlet temperature of  (F) and (/1) % hot water. The  has a flow rate of  gpm with annual total water consumption of  gallons/year.</v>
      </c>
    </row>
    <row r="157" spans="2:5" ht="21" x14ac:dyDescent="0.25">
      <c r="B157" s="1812" t="str">
        <f>'8 - Service Water Heating'!X48</f>
        <v>Low-Flow Fixtures</v>
      </c>
      <c r="C157" s="1813">
        <f>'8 - Service Water Heating'!Y48</f>
        <v>0</v>
      </c>
      <c r="D157" s="1814" t="str">
        <f>'8 - Service Water Heating'!Z48</f>
        <v>Fixtrue type of  with fixture outlet temperature of  (F) and (/1) % hot water. The  has a flow rate of  gpm with annual total water consumption of  gallons/year.</v>
      </c>
      <c r="E157" s="1814" t="str">
        <f>'8 - Service Water Heating'!AA48</f>
        <v>Fixtrue type of  with fixture outlet temperature of  (F) and (/1) % hot water. The  has a flow rate of  gpm with annual total water consumption of  gallons/year.</v>
      </c>
    </row>
    <row r="158" spans="2:5" ht="21" x14ac:dyDescent="0.25">
      <c r="B158" s="1812" t="str">
        <f>'8 - Service Water Heating'!X49</f>
        <v>Low-Flow Fixtures</v>
      </c>
      <c r="C158" s="1813">
        <f>'8 - Service Water Heating'!Y49</f>
        <v>0</v>
      </c>
      <c r="D158" s="1814" t="str">
        <f>'8 - Service Water Heating'!Z49</f>
        <v>Fixtrue type of  with fixture outlet temperature of  (F) and (/1) % hot water. The  has a flow rate of  gpm with annual total water consumption of  gallons/year.</v>
      </c>
      <c r="E158" s="1814" t="str">
        <f>'8 - Service Water Heating'!AA49</f>
        <v>Fixtrue type of  with fixture outlet temperature of  (F) and (/1) % hot water. The  has a flow rate of  gpm with annual total water consumption of  gallons/year.</v>
      </c>
    </row>
    <row r="159" spans="2:5" ht="21" x14ac:dyDescent="0.25">
      <c r="B159" s="1812" t="str">
        <f>'8 - Service Water Heating'!X50</f>
        <v>Low-Flow Fixtures</v>
      </c>
      <c r="C159" s="1813">
        <f>'8 - Service Water Heating'!Y50</f>
        <v>0</v>
      </c>
      <c r="D159" s="1814" t="str">
        <f>'8 - Service Water Heating'!Z50</f>
        <v>Fixtrue type of  with fixture outlet temperature of  (F) and (/1) % hot water. The  has a flow rate of  gpm with annual total water consumption of  gallons/year.</v>
      </c>
      <c r="E159" s="1814" t="str">
        <f>'8 - Service Water Heating'!AA50</f>
        <v>Fixtrue type of  with fixture outlet temperature of  (F) and (/1) % hot water. The  has a flow rate of  gpm with annual total water consumption of  gallons/year.</v>
      </c>
    </row>
    <row r="160" spans="2:5" x14ac:dyDescent="0.25">
      <c r="B160" s="1812">
        <f>'8 - Service Water Heating'!X51</f>
        <v>0</v>
      </c>
      <c r="C160" s="1813">
        <f>'8 - Service Water Heating'!Y51</f>
        <v>0</v>
      </c>
      <c r="D160" s="1814">
        <f>'8 - Service Water Heating'!Z51</f>
        <v>0</v>
      </c>
      <c r="E160" s="1814">
        <f>'8 - Service Water Heating'!AA51</f>
        <v>0</v>
      </c>
    </row>
    <row r="161" spans="2:5" x14ac:dyDescent="0.25">
      <c r="B161" s="1812">
        <f>'8 - Service Water Heating'!X52</f>
        <v>0</v>
      </c>
      <c r="C161" s="1813">
        <f>'8 - Service Water Heating'!Y52</f>
        <v>0</v>
      </c>
      <c r="D161" s="1814">
        <f>'8 - Service Water Heating'!Z52</f>
        <v>0</v>
      </c>
      <c r="E161" s="1814">
        <f>'8 - Service Water Heating'!AA52</f>
        <v>0</v>
      </c>
    </row>
    <row r="162" spans="2:5" ht="30.6" x14ac:dyDescent="0.25">
      <c r="B162" s="1812" t="str">
        <f>'8 - Service Water Heating'!X57</f>
        <v>Low-Flow Fixture Summary</v>
      </c>
      <c r="C162" s="1813">
        <f>'8 - Service Water Heating'!Y57</f>
        <v>0</v>
      </c>
      <c r="D162" s="1812" t="str">
        <f ca="1">'8 - Service Water Heating'!Z57</f>
        <v>Low flow fixture total modeled DHW flow rate is  gallons/minute with total annual hot water consumption st fixtures of 0 gallons/year. The total annual DHW heater consumption is  gallons/year.</v>
      </c>
      <c r="E162" s="1812" t="str">
        <f ca="1">'8 - Service Water Heating'!AA57</f>
        <v>Low flow fixture total modeled DHW flow rate is  gallons/minute with total annual hot water consumption st fixtures of 0 gallons/year. The total annual DHW heater consumption is  gallons/year.</v>
      </c>
    </row>
    <row r="163" spans="2:5" x14ac:dyDescent="0.25">
      <c r="B163" s="1811" t="s">
        <v>850</v>
      </c>
      <c r="C163" s="1811"/>
      <c r="D163" s="1811"/>
      <c r="E163" s="1811"/>
    </row>
    <row r="164" spans="2:5" ht="31.2" x14ac:dyDescent="0.25">
      <c r="B164" s="1812" t="str">
        <f>'11 - Water-Side HVAC'!S11</f>
        <v>Chilled Water</v>
      </c>
      <c r="C164" s="1813">
        <f>'11 - Water-Side HVAC'!T11</f>
        <v>0</v>
      </c>
      <c r="D164" s="1814" t="str">
        <f>'11 - Water-Side HVAC'!U11</f>
        <v xml:space="preserve"> chiller(s) with capacity of  tons and efficiency of  FL kW/Ton and  IPLV kW/Ton. This is a  CHW loop configuration with  CHW pumps with pump power of  kW and pump flow of  gpm with , pump control.</v>
      </c>
      <c r="E164" s="1814" t="str">
        <f>'11 - Water-Side HVAC'!V11</f>
        <v xml:space="preserve"> chiller(s) with capacity of  tons and efficiency of  FL kW/Ton and  IPLV kW/Ton. This is a  CHW loop configuration with  CHW pumps with pump power of  kW and pump flow of  gpm with , pump control.</v>
      </c>
    </row>
    <row r="165" spans="2:5" ht="31.2" x14ac:dyDescent="0.25">
      <c r="B165" s="1812" t="str">
        <f>'11 - Water-Side HVAC'!S12</f>
        <v>Chilled Water</v>
      </c>
      <c r="C165" s="1813">
        <f>'11 - Water-Side HVAC'!T12</f>
        <v>0</v>
      </c>
      <c r="D165" s="1814" t="str">
        <f>'11 - Water-Side HVAC'!U12</f>
        <v xml:space="preserve"> chiller(s) with capacity of  tons and efficiency of  FL kW/Ton and  IPLV kW/Ton. This is a  CHW loop configuration with  CHW pumps with pump power of  kW and pump flow of  gpm with , pump control.</v>
      </c>
      <c r="E165" s="1814" t="str">
        <f>'11 - Water-Side HVAC'!V12</f>
        <v xml:space="preserve"> chiller(s) with capacity of  tons and efficiency of  FL kW/Ton and  IPLV kW/Ton. This is a  CHW loop configuration with  CHW pumps with pump power of  kW and pump flow of  gpm with , pump control.</v>
      </c>
    </row>
    <row r="166" spans="2:5" ht="31.2" x14ac:dyDescent="0.25">
      <c r="B166" s="1812" t="str">
        <f>'11 - Water-Side HVAC'!S13</f>
        <v>Chilled Water</v>
      </c>
      <c r="C166" s="1813">
        <f>'11 - Water-Side HVAC'!T13</f>
        <v>0</v>
      </c>
      <c r="D166" s="1814" t="str">
        <f>'11 - Water-Side HVAC'!U13</f>
        <v xml:space="preserve"> chiller(s) with capacity of  tons and efficiency of  FL kW/Ton and  IPLV kW/Ton. This is a  CHW loop configuration with  CHW pumps with pump power of  kW and pump flow of  gpm with , pump control.</v>
      </c>
      <c r="E166" s="1814" t="str">
        <f>'11 - Water-Side HVAC'!V13</f>
        <v xml:space="preserve"> chiller(s) with capacity of  tons and efficiency of  FL kW/Ton and  IPLV kW/Ton. This is a  CHW loop configuration with  CHW pumps with pump power of  kW and pump flow of  gpm with , pump control.</v>
      </c>
    </row>
    <row r="167" spans="2:5" ht="31.2" x14ac:dyDescent="0.25">
      <c r="B167" s="1812" t="str">
        <f>'11 - Water-Side HVAC'!S14</f>
        <v>Chilled Water</v>
      </c>
      <c r="C167" s="1813">
        <f>'11 - Water-Side HVAC'!T14</f>
        <v>0</v>
      </c>
      <c r="D167" s="1814" t="str">
        <f>'11 - Water-Side HVAC'!U14</f>
        <v xml:space="preserve"> chiller(s) with capacity of  tons and efficiency of  FL kW/Ton and  IPLV kW/Ton. This is a  CHW loop configuration with  CHW pumps with pump power of  kW and pump flow of  gpm with , pump control.</v>
      </c>
      <c r="E167" s="1814" t="str">
        <f>'11 - Water-Side HVAC'!V14</f>
        <v xml:space="preserve"> chiller(s) with capacity of  tons and efficiency of  FL kW/Ton and  IPLV kW/Ton. This is a  CHW loop configuration with  CHW pumps with pump power of  kW and pump flow of  gpm with , pump control.</v>
      </c>
    </row>
    <row r="168" spans="2:5" ht="31.2" x14ac:dyDescent="0.25">
      <c r="B168" s="1812" t="str">
        <f>'11 - Water-Side HVAC'!S15</f>
        <v>Chilled Water</v>
      </c>
      <c r="C168" s="1813">
        <f>'11 - Water-Side HVAC'!T15</f>
        <v>0</v>
      </c>
      <c r="D168" s="1814" t="str">
        <f>'11 - Water-Side HVAC'!U15</f>
        <v xml:space="preserve"> chiller(s) with capacity of  tons and efficiency of  FL kW/Ton and  IPLV kW/Ton. This is a  CHW loop configuration with  CHW pumps with pump power of  kW and pump flow of  gpm with , pump control.</v>
      </c>
      <c r="E168" s="1814" t="str">
        <f>'11 - Water-Side HVAC'!V15</f>
        <v xml:space="preserve"> chiller(s) with capacity of  tons and efficiency of  FL kW/Ton and  IPLV kW/Ton. This is a  CHW loop configuration with  CHW pumps with pump power of  kW and pump flow of  gpm with , pump control.</v>
      </c>
    </row>
    <row r="169" spans="2:5" ht="31.2" x14ac:dyDescent="0.25">
      <c r="B169" s="1812" t="str">
        <f>'11 - Water-Side HVAC'!S16</f>
        <v>Chilled Water</v>
      </c>
      <c r="C169" s="1813">
        <f>'11 - Water-Side HVAC'!T16</f>
        <v>0</v>
      </c>
      <c r="D169" s="1814" t="str">
        <f>'11 - Water-Side HVAC'!U16</f>
        <v xml:space="preserve"> chiller(s) with capacity of  tons and efficiency of  FL kW/Ton and  IPLV kW/Ton. This is a  CHW loop configuration with  CHW pumps with pump power of  kW and pump flow of  gpm with , pump control.</v>
      </c>
      <c r="E169" s="1814" t="str">
        <f>'11 - Water-Side HVAC'!V16</f>
        <v xml:space="preserve"> chiller(s) with capacity of  tons and efficiency of  FL kW/Ton and  IPLV kW/Ton. This is a  CHW loop configuration with  CHW pumps with pump power of  kW and pump flow of  gpm with , pump control.</v>
      </c>
    </row>
    <row r="170" spans="2:5" ht="31.2" x14ac:dyDescent="0.25">
      <c r="B170" s="1812" t="str">
        <f>'11 - Water-Side HVAC'!S17</f>
        <v>Chilled Water</v>
      </c>
      <c r="C170" s="1813">
        <f>'11 - Water-Side HVAC'!T17</f>
        <v>0</v>
      </c>
      <c r="D170" s="1814" t="str">
        <f>'11 - Water-Side HVAC'!U17</f>
        <v xml:space="preserve"> chiller(s) with capacity of  tons and efficiency of  FL kW/Ton and  IPLV kW/Ton. This is a  CHW loop configuration with  CHW pumps with pump power of  kW and pump flow of  gpm with , pump control.</v>
      </c>
      <c r="E170" s="1814" t="str">
        <f>'11 - Water-Side HVAC'!V17</f>
        <v xml:space="preserve"> chiller(s) with capacity of  tons and efficiency of  FL kW/Ton and  IPLV kW/Ton. This is a  CHW loop configuration with  CHW pumps with pump power of  kW and pump flow of  gpm with , pump control.</v>
      </c>
    </row>
    <row r="171" spans="2:5" ht="31.2" x14ac:dyDescent="0.25">
      <c r="B171" s="1812" t="str">
        <f>'11 - Water-Side HVAC'!S18</f>
        <v>Chilled Water</v>
      </c>
      <c r="C171" s="1813">
        <f>'11 - Water-Side HVAC'!T18</f>
        <v>0</v>
      </c>
      <c r="D171" s="1814" t="str">
        <f>'11 - Water-Side HVAC'!U18</f>
        <v xml:space="preserve"> chiller(s) with capacity of  tons and efficiency of  FL kW/Ton and  IPLV kW/Ton. This is a  CHW loop configuration with  CHW pumps with pump power of  kW and pump flow of  gpm with , pump control.</v>
      </c>
      <c r="E171" s="1814" t="str">
        <f>'11 - Water-Side HVAC'!V18</f>
        <v xml:space="preserve"> chiller(s) with capacity of  tons and efficiency of  FL kW/Ton and  IPLV kW/Ton. This is a  CHW loop configuration with  CHW pumps with pump power of  kW and pump flow of  gpm with , pump control.</v>
      </c>
    </row>
    <row r="172" spans="2:5" ht="31.2" x14ac:dyDescent="0.25">
      <c r="B172" s="1812" t="str">
        <f>'11 - Water-Side HVAC'!S19</f>
        <v>Chilled Water</v>
      </c>
      <c r="C172" s="1813">
        <f>'11 - Water-Side HVAC'!T19</f>
        <v>0</v>
      </c>
      <c r="D172" s="1814" t="str">
        <f>'11 - Water-Side HVAC'!U19</f>
        <v xml:space="preserve"> chiller(s) with capacity of  tons and efficiency of  FL kW/Ton and  IPLV kW/Ton. This is a  CHW loop configuration with  CHW pumps with pump power of  kW and pump flow of  gpm with , pump control.</v>
      </c>
      <c r="E172" s="1814" t="str">
        <f>'11 - Water-Side HVAC'!V19</f>
        <v xml:space="preserve"> chiller(s) with capacity of  tons and efficiency of  FL kW/Ton and  IPLV kW/Ton. This is a  CHW loop configuration with  CHW pumps with pump power of  kW and pump flow of  gpm with , pump control.</v>
      </c>
    </row>
    <row r="173" spans="2:5" ht="31.2" x14ac:dyDescent="0.25">
      <c r="B173" s="1812" t="str">
        <f>'11 - Water-Side HVAC'!S20</f>
        <v>Chilled Water</v>
      </c>
      <c r="C173" s="1813">
        <f>'11 - Water-Side HVAC'!T20</f>
        <v>0</v>
      </c>
      <c r="D173" s="1814" t="str">
        <f>'11 - Water-Side HVAC'!U20</f>
        <v xml:space="preserve"> chiller(s) with capacity of  tons and efficiency of  FL kW/Ton and  IPLV kW/Ton. This is a  CHW loop configuration with  CHW pumps with pump power of  kW and pump flow of  gpm with , pump control.</v>
      </c>
      <c r="E173" s="1814" t="str">
        <f>'11 - Water-Side HVAC'!V20</f>
        <v xml:space="preserve"> chiller(s) with capacity of  tons and efficiency of  FL kW/Ton and  IPLV kW/Ton. This is a  CHW loop configuration with  CHW pumps with pump power of  kW and pump flow of  gpm with , pump control.</v>
      </c>
    </row>
    <row r="174" spans="2:5" ht="31.2" x14ac:dyDescent="0.25">
      <c r="B174" s="1812" t="str">
        <f>'11 - Water-Side HVAC'!S21</f>
        <v>Chilled Water</v>
      </c>
      <c r="C174" s="1813">
        <f>'11 - Water-Side HVAC'!T21</f>
        <v>0</v>
      </c>
      <c r="D174" s="1814" t="str">
        <f>'11 - Water-Side HVAC'!U21</f>
        <v xml:space="preserve"> chiller(s) with capacity of  tons and efficiency of  FL kW/Ton and  IPLV kW/Ton. This is a  CHW loop configuration with  CHW pumps with pump power of  kW and pump flow of  gpm with , pump control.</v>
      </c>
      <c r="E174" s="1814" t="str">
        <f>'11 - Water-Side HVAC'!V21</f>
        <v xml:space="preserve"> chiller(s) with capacity of  tons and efficiency of  FL kW/Ton and  IPLV kW/Ton. This is a  CHW loop configuration with  CHW pumps with pump power of  kW and pump flow of  gpm with , pump control.</v>
      </c>
    </row>
    <row r="175" spans="2:5" ht="31.2" x14ac:dyDescent="0.25">
      <c r="B175" s="1812" t="str">
        <f>'11 - Water-Side HVAC'!S22</f>
        <v>Chilled Water</v>
      </c>
      <c r="C175" s="1813">
        <f>'11 - Water-Side HVAC'!T22</f>
        <v>0</v>
      </c>
      <c r="D175" s="1814" t="str">
        <f>'11 - Water-Side HVAC'!U22</f>
        <v xml:space="preserve"> chiller(s) with capacity of  tons and efficiency of  FL kW/Ton and  IPLV kW/Ton. This is a  CHW loop configuration with  CHW pumps with pump power of  kW and pump flow of  gpm with , pump control.</v>
      </c>
      <c r="E175" s="1814" t="str">
        <f>'11 - Water-Side HVAC'!V22</f>
        <v xml:space="preserve"> chiller(s) with capacity of  tons and efficiency of  FL kW/Ton and  IPLV kW/Ton. This is a  CHW loop configuration with  CHW pumps with pump power of  kW and pump flow of  gpm with , pump control.</v>
      </c>
    </row>
    <row r="176" spans="2:5" ht="31.2" x14ac:dyDescent="0.25">
      <c r="B176" s="1812" t="str">
        <f>'11 - Water-Side HVAC'!S23</f>
        <v>Chilled Water</v>
      </c>
      <c r="C176" s="1813">
        <f>'11 - Water-Side HVAC'!T23</f>
        <v>0</v>
      </c>
      <c r="D176" s="1814" t="str">
        <f>'11 - Water-Side HVAC'!U23</f>
        <v xml:space="preserve"> chiller(s) with capacity of  tons and efficiency of  FL kW/Ton and  IPLV kW/Ton. This is a  CHW loop configuration with  CHW pumps with pump power of  kW and pump flow of  gpm with , pump control.</v>
      </c>
      <c r="E176" s="1814" t="str">
        <f>'11 - Water-Side HVAC'!V23</f>
        <v xml:space="preserve"> chiller(s) with capacity of  tons and efficiency of  FL kW/Ton and  IPLV kW/Ton. This is a  CHW loop configuration with  CHW pumps with pump power of  kW and pump flow of  gpm with , pump control.</v>
      </c>
    </row>
    <row r="177" spans="2:5" ht="31.2" x14ac:dyDescent="0.25">
      <c r="B177" s="1812" t="str">
        <f>'11 - Water-Side HVAC'!S24</f>
        <v>Chilled Water</v>
      </c>
      <c r="C177" s="1813">
        <f>'11 - Water-Side HVAC'!T24</f>
        <v>0</v>
      </c>
      <c r="D177" s="1814" t="str">
        <f>'11 - Water-Side HVAC'!U24</f>
        <v xml:space="preserve"> chiller(s) with capacity of  tons and efficiency of  FL kW/Ton and  IPLV kW/Ton. This is a  CHW loop configuration with  CHW pumps with pump power of  kW and pump flow of  gpm with , pump control.</v>
      </c>
      <c r="E177" s="1814" t="str">
        <f>'11 - Water-Side HVAC'!V24</f>
        <v xml:space="preserve"> chiller(s) with capacity of  tons and efficiency of  FL kW/Ton and  IPLV kW/Ton. This is a  CHW loop configuration with  CHW pumps with pump power of  kW and pump flow of  gpm with , pump control.</v>
      </c>
    </row>
    <row r="178" spans="2:5" ht="31.2" x14ac:dyDescent="0.25">
      <c r="B178" s="1812" t="str">
        <f>'11 - Water-Side HVAC'!S25</f>
        <v>Chilled Water</v>
      </c>
      <c r="C178" s="1813">
        <f>'11 - Water-Side HVAC'!T25</f>
        <v>0</v>
      </c>
      <c r="D178" s="1814" t="str">
        <f>'11 - Water-Side HVAC'!U25</f>
        <v xml:space="preserve"> chiller(s) with capacity of  tons and efficiency of  FL kW/Ton and  IPLV kW/Ton. This is a  CHW loop configuration with  CHW pumps with pump power of  kW and pump flow of  gpm with , pump control.</v>
      </c>
      <c r="E178" s="1814" t="str">
        <f>'11 - Water-Side HVAC'!V25</f>
        <v xml:space="preserve"> chiller(s) with capacity of  tons and efficiency of  FL kW/Ton and  IPLV kW/Ton. This is a  CHW loop configuration with  CHW pumps with pump power of  kW and pump flow of  gpm with , pump control.</v>
      </c>
    </row>
    <row r="179" spans="2:5" ht="31.2" x14ac:dyDescent="0.25">
      <c r="B179" s="1812" t="str">
        <f>'11 - Water-Side HVAC'!S26</f>
        <v>Chilled Water</v>
      </c>
      <c r="C179" s="1813">
        <f>'11 - Water-Side HVAC'!T26</f>
        <v>0</v>
      </c>
      <c r="D179" s="1814" t="str">
        <f>'11 - Water-Side HVAC'!U26</f>
        <v xml:space="preserve"> chiller(s) with capacity of  tons and efficiency of  FL kW/Ton and  IPLV kW/Ton. This is a  CHW loop configuration with  CHW pumps with pump power of  kW and pump flow of  gpm with , pump control.</v>
      </c>
      <c r="E179" s="1814" t="str">
        <f>'11 - Water-Side HVAC'!V26</f>
        <v xml:space="preserve"> chiller(s) with capacity of  tons and efficiency of  FL kW/Ton and  IPLV kW/Ton. This is a  CHW loop configuration with  CHW pumps with pump power of  kW and pump flow of  gpm with , pump control.</v>
      </c>
    </row>
    <row r="180" spans="2:5" ht="31.2" x14ac:dyDescent="0.25">
      <c r="B180" s="1812" t="str">
        <f>'11 - Water-Side HVAC'!S27</f>
        <v>Chilled Water</v>
      </c>
      <c r="C180" s="1813">
        <f>'11 - Water-Side HVAC'!T27</f>
        <v>0</v>
      </c>
      <c r="D180" s="1814" t="str">
        <f>'11 - Water-Side HVAC'!U27</f>
        <v xml:space="preserve"> chiller(s) with capacity of  tons and efficiency of  FL kW/Ton and  IPLV kW/Ton. This is a  CHW loop configuration with  CHW pumps with pump power of  kW and pump flow of  gpm with , pump control.</v>
      </c>
      <c r="E180" s="1814" t="str">
        <f>'11 - Water-Side HVAC'!V27</f>
        <v xml:space="preserve"> chiller(s) with capacity of  tons and efficiency of  FL kW/Ton and  IPLV kW/Ton. This is a  CHW loop configuration with  CHW pumps with pump power of  kW and pump flow of  gpm with , pump control.</v>
      </c>
    </row>
    <row r="181" spans="2:5" ht="31.2" x14ac:dyDescent="0.25">
      <c r="B181" s="1812" t="str">
        <f>'11 - Water-Side HVAC'!S28</f>
        <v>Chilled Water</v>
      </c>
      <c r="C181" s="1813">
        <f>'11 - Water-Side HVAC'!T28</f>
        <v>0</v>
      </c>
      <c r="D181" s="1814" t="str">
        <f>'11 - Water-Side HVAC'!U28</f>
        <v xml:space="preserve"> chiller(s) with capacity of  tons and efficiency of  FL kW/Ton and  IPLV kW/Ton. This is a  CHW loop configuration with  CHW pumps with pump power of  kW and pump flow of  gpm with , pump control.</v>
      </c>
      <c r="E181" s="1814" t="str">
        <f>'11 - Water-Side HVAC'!V28</f>
        <v xml:space="preserve"> chiller(s) with capacity of  tons and efficiency of  FL kW/Ton and  IPLV kW/Ton. This is a  CHW loop configuration with  CHW pumps with pump power of  kW and pump flow of  gpm with , pump control.</v>
      </c>
    </row>
    <row r="182" spans="2:5" ht="31.2" x14ac:dyDescent="0.25">
      <c r="B182" s="1812" t="str">
        <f>'11 - Water-Side HVAC'!S29</f>
        <v>Chilled Water</v>
      </c>
      <c r="C182" s="1813">
        <f>'11 - Water-Side HVAC'!T29</f>
        <v>0</v>
      </c>
      <c r="D182" s="1814" t="str">
        <f>'11 - Water-Side HVAC'!U29</f>
        <v xml:space="preserve"> chiller(s) with capacity of  tons and efficiency of  FL kW/Ton and  IPLV kW/Ton. This is a  CHW loop configuration with  CHW pumps with pump power of  kW and pump flow of  gpm with , pump control.</v>
      </c>
      <c r="E182" s="1814" t="str">
        <f>'11 - Water-Side HVAC'!V29</f>
        <v xml:space="preserve"> chiller(s) with capacity of  tons and efficiency of  FL kW/Ton and  IPLV kW/Ton. This is a  CHW loop configuration with  CHW pumps with pump power of  kW and pump flow of  gpm with , pump control.</v>
      </c>
    </row>
    <row r="183" spans="2:5" ht="31.2" x14ac:dyDescent="0.25">
      <c r="B183" s="1812" t="str">
        <f>'11 - Water-Side HVAC'!S35</f>
        <v>Cooling Tower and Condenser Water</v>
      </c>
      <c r="C183" s="1813">
        <f>'11 - Water-Side HVAC'!T35</f>
        <v>0</v>
      </c>
      <c r="D183" s="1814" t="str">
        <f>'11 - Water-Side HVAC'!U35</f>
        <v xml:space="preserve"> Cooling tower(s), or fluid cooler(s), with fan power of  kW and  control. The CW leaving temperature is  (F) with a CW dela T of  (F) and reset parameters include: . There are  CW pump with pump power of  kW, pump flow of  gpm and  control.</v>
      </c>
      <c r="E183" s="1814" t="str">
        <f>'11 - Water-Side HVAC'!V35</f>
        <v xml:space="preserve"> Cooling tower(s), or fluid cooler(s), with fan power of  kW and  control. The CW leaving temperature is  (F) with a CW dela T of  (F) and reset parameters include: . There are  CW pump with pump power of  kW, pump flow of  gpm and  control.</v>
      </c>
    </row>
    <row r="184" spans="2:5" ht="31.2" x14ac:dyDescent="0.25">
      <c r="B184" s="1812" t="str">
        <f>'11 - Water-Side HVAC'!S36</f>
        <v>Cooling Tower and Condenser Water</v>
      </c>
      <c r="C184" s="1813">
        <f>'11 - Water-Side HVAC'!T36</f>
        <v>0</v>
      </c>
      <c r="D184" s="1814" t="str">
        <f>'11 - Water-Side HVAC'!U36</f>
        <v xml:space="preserve"> Cooling tower(s), or fluid cooler(s), with fan power of  kW and  control. The CW leaving temperature is  (F) with a CW dela T of  (F) and reset parameters include: . There are  CW pump with pump power of  kW, pump flow of  gpm and  control.</v>
      </c>
      <c r="E184" s="1814" t="str">
        <f>'11 - Water-Side HVAC'!V36</f>
        <v xml:space="preserve"> Cooling tower(s), or fluid cooler(s), with fan power of  kW and  control. The CW leaving temperature is  (F) with a CW dela T of  (F) and reset parameters include: . There are  CW pump with pump power of  kW, pump flow of  gpm and  control.</v>
      </c>
    </row>
    <row r="185" spans="2:5" ht="31.2" x14ac:dyDescent="0.25">
      <c r="B185" s="1812" t="str">
        <f>'11 - Water-Side HVAC'!S37</f>
        <v>Cooling Tower and Condenser Water</v>
      </c>
      <c r="C185" s="1813">
        <f>'11 - Water-Side HVAC'!T37</f>
        <v>0</v>
      </c>
      <c r="D185" s="1814" t="str">
        <f>'11 - Water-Side HVAC'!U37</f>
        <v xml:space="preserve"> Cooling tower(s), or fluid cooler(s), with fan power of  kW and  control. The CW leaving temperature is  (F) with a CW dela T of  (F) and reset parameters include: . There are  CW pump with pump power of  kW, pump flow of  gpm and  control.</v>
      </c>
      <c r="E185" s="1814" t="str">
        <f>'11 - Water-Side HVAC'!V37</f>
        <v xml:space="preserve"> Cooling tower(s), or fluid cooler(s), with fan power of  kW and  control. The CW leaving temperature is  (F) with a CW dela T of  (F) and reset parameters include: . There are  CW pump with pump power of  kW, pump flow of  gpm and  control.</v>
      </c>
    </row>
    <row r="186" spans="2:5" ht="31.2" x14ac:dyDescent="0.25">
      <c r="B186" s="1812" t="str">
        <f>'11 - Water-Side HVAC'!S38</f>
        <v>Cooling Tower and Condenser Water</v>
      </c>
      <c r="C186" s="1813">
        <f>'11 - Water-Side HVAC'!T38</f>
        <v>0</v>
      </c>
      <c r="D186" s="1814" t="str">
        <f>'11 - Water-Side HVAC'!U38</f>
        <v xml:space="preserve"> Cooling tower(s), or fluid cooler(s), with fan power of  kW and  control. The CW leaving temperature is  (F) with a CW dela T of  (F) and reset parameters include: . There are  CW pump with pump power of  kW, pump flow of  gpm and  control.</v>
      </c>
      <c r="E186" s="1814" t="str">
        <f>'11 - Water-Side HVAC'!V38</f>
        <v xml:space="preserve"> Cooling tower(s), or fluid cooler(s), with fan power of  kW and  control. The CW leaving temperature is  (F) with a CW dela T of  (F) and reset parameters include: . There are  CW pump with pump power of  kW, pump flow of  gpm and  control.</v>
      </c>
    </row>
    <row r="187" spans="2:5" ht="31.2" x14ac:dyDescent="0.25">
      <c r="B187" s="1812" t="str">
        <f>'11 - Water-Side HVAC'!S39</f>
        <v>Cooling Tower and Condenser Water</v>
      </c>
      <c r="C187" s="1813">
        <f>'11 - Water-Side HVAC'!T39</f>
        <v>0</v>
      </c>
      <c r="D187" s="1814" t="str">
        <f>'11 - Water-Side HVAC'!U39</f>
        <v xml:space="preserve"> Cooling tower(s), or fluid cooler(s), with fan power of  kW and  control. The CW leaving temperature is  (F) with a CW dela T of  (F) and reset parameters include: . There are  CW pump with pump power of  kW, pump flow of  gpm and  control.</v>
      </c>
      <c r="E187" s="1814" t="str">
        <f>'11 - Water-Side HVAC'!V39</f>
        <v xml:space="preserve"> Cooling tower(s), or fluid cooler(s), with fan power of  kW and  control. The CW leaving temperature is  (F) with a CW dela T of  (F) and reset parameters include: . There are  CW pump with pump power of  kW, pump flow of  gpm and  control.</v>
      </c>
    </row>
    <row r="188" spans="2:5" ht="31.2" x14ac:dyDescent="0.25">
      <c r="B188" s="1812" t="str">
        <f>'11 - Water-Side HVAC'!S40</f>
        <v>Cooling Tower and Condenser Water</v>
      </c>
      <c r="C188" s="1813">
        <f>'11 - Water-Side HVAC'!T40</f>
        <v>0</v>
      </c>
      <c r="D188" s="1814" t="str">
        <f>'11 - Water-Side HVAC'!U40</f>
        <v xml:space="preserve"> Cooling tower(s), or fluid cooler(s), with fan power of  kW and  control. The CW leaving temperature is  (F) with a CW dela T of  (F) and reset parameters include: . There are  CW pump with pump power of  kW, pump flow of  gpm and  control.</v>
      </c>
      <c r="E188" s="1814" t="str">
        <f>'11 - Water-Side HVAC'!V40</f>
        <v xml:space="preserve"> Cooling tower(s), or fluid cooler(s), with fan power of  kW and  control. The CW leaving temperature is  (F) with a CW dela T of  (F) and reset parameters include: . There are  CW pump with pump power of  kW, pump flow of  gpm and  control.</v>
      </c>
    </row>
    <row r="189" spans="2:5" ht="31.2" x14ac:dyDescent="0.25">
      <c r="B189" s="1812" t="str">
        <f>'11 - Water-Side HVAC'!S41</f>
        <v>Cooling Tower and Condenser Water</v>
      </c>
      <c r="C189" s="1813">
        <f>'11 - Water-Side HVAC'!T41</f>
        <v>0</v>
      </c>
      <c r="D189" s="1814" t="str">
        <f>'11 - Water-Side HVAC'!U41</f>
        <v xml:space="preserve"> Cooling tower(s), or fluid cooler(s), with fan power of  kW and  control. The CW leaving temperature is  (F) with a CW dela T of  (F) and reset parameters include: . There are  CW pump with pump power of  kW, pump flow of  gpm and  control.</v>
      </c>
      <c r="E189" s="1814" t="str">
        <f>'11 - Water-Side HVAC'!V41</f>
        <v xml:space="preserve"> Cooling tower(s), or fluid cooler(s), with fan power of  kW and  control. The CW leaving temperature is  (F) with a CW dela T of  (F) and reset parameters include: . There are  CW pump with pump power of  kW, pump flow of  gpm and  control.</v>
      </c>
    </row>
    <row r="190" spans="2:5" ht="31.2" x14ac:dyDescent="0.25">
      <c r="B190" s="1812" t="str">
        <f>'11 - Water-Side HVAC'!S42</f>
        <v>Cooling Tower and Condenser Water</v>
      </c>
      <c r="C190" s="1813">
        <f>'11 - Water-Side HVAC'!T42</f>
        <v>0</v>
      </c>
      <c r="D190" s="1814" t="str">
        <f>'11 - Water-Side HVAC'!U42</f>
        <v xml:space="preserve"> Cooling tower(s), or fluid cooler(s), with fan power of  kW and  control. The CW leaving temperature is  (F) with a CW dela T of  (F) and reset parameters include: . There are  CW pump with pump power of  kW, pump flow of  gpm and  control.</v>
      </c>
      <c r="E190" s="1814" t="str">
        <f>'11 - Water-Side HVAC'!V42</f>
        <v xml:space="preserve"> Cooling tower(s), or fluid cooler(s), with fan power of  kW and  control. The CW leaving temperature is  (F) with a CW dela T of  (F) and reset parameters include: . There are  CW pump with pump power of  kW, pump flow of  gpm and  control.</v>
      </c>
    </row>
    <row r="191" spans="2:5" ht="31.2" x14ac:dyDescent="0.25">
      <c r="B191" s="1812" t="str">
        <f>'11 - Water-Side HVAC'!S43</f>
        <v>Cooling Tower and Condenser Water</v>
      </c>
      <c r="C191" s="1813">
        <f>'11 - Water-Side HVAC'!T43</f>
        <v>0</v>
      </c>
      <c r="D191" s="1814" t="str">
        <f>'11 - Water-Side HVAC'!U43</f>
        <v xml:space="preserve"> Cooling tower(s), or fluid cooler(s), with fan power of  kW and  control. The CW leaving temperature is  (F) with a CW dela T of  (F) and reset parameters include: . There are  CW pump with pump power of  kW, pump flow of  gpm and  control.</v>
      </c>
      <c r="E191" s="1814" t="str">
        <f>'11 - Water-Side HVAC'!V43</f>
        <v xml:space="preserve"> Cooling tower(s), or fluid cooler(s), with fan power of  kW and  control. The CW leaving temperature is  (F) with a CW dela T of  (F) and reset parameters include: . There are  CW pump with pump power of  kW, pump flow of  gpm and  control.</v>
      </c>
    </row>
    <row r="192" spans="2:5" ht="31.2" x14ac:dyDescent="0.25">
      <c r="B192" s="1812" t="str">
        <f>'11 - Water-Side HVAC'!S44</f>
        <v>Cooling Tower and Condenser Water</v>
      </c>
      <c r="C192" s="1813">
        <f>'11 - Water-Side HVAC'!T44</f>
        <v>0</v>
      </c>
      <c r="D192" s="1814" t="str">
        <f>'11 - Water-Side HVAC'!U44</f>
        <v xml:space="preserve"> Cooling tower(s), or fluid cooler(s), with fan power of  kW and  control. The CW leaving temperature is  (F) with a CW dela T of  (F) and reset parameters include: . There are  CW pump with pump power of  kW, pump flow of  gpm and  control.</v>
      </c>
      <c r="E192" s="1814" t="str">
        <f>'11 - Water-Side HVAC'!V44</f>
        <v xml:space="preserve"> Cooling tower(s), or fluid cooler(s), with fan power of  kW and  control. The CW leaving temperature is  (F) with a CW dela T of  (F) and reset parameters include: . There are  CW pump with pump power of  kW, pump flow of  gpm and  control.</v>
      </c>
    </row>
    <row r="193" spans="2:5" ht="31.2" x14ac:dyDescent="0.25">
      <c r="B193" s="1812" t="str">
        <f>'11 - Water-Side HVAC'!S49</f>
        <v>Hot Water or Steam</v>
      </c>
      <c r="C193" s="1813">
        <f>'11 - Water-Side HVAC'!T49</f>
        <v>0</v>
      </c>
      <c r="D193" s="1814" t="str">
        <f>'11 - Water-Side HVAC'!U49</f>
        <v xml:space="preserve"> with capacity of  MBH and efficiency of . The HHW supply temp is  (F) with a HHW delta T of  (F). The HHW temp reset parameters are as follows: . The HHW loop configuration is  with  pump(s) with pump power of  kW and pump flow of  gpm. The pump conrol is .</v>
      </c>
      <c r="E193" s="1814" t="str">
        <f>'11 - Water-Side HVAC'!V49</f>
        <v xml:space="preserve"> with capacity of  MBH and efficiency of . The HHW supply temp is  (F) with a HHW delta T of  (F). The HHW temp reset parameters are as follows: . The HHW loop configuration is  with  pump(s) with pump power of  kW and pump flow of  gpm. The pump conrol is .</v>
      </c>
    </row>
    <row r="194" spans="2:5" ht="31.2" x14ac:dyDescent="0.25">
      <c r="B194" s="1812" t="str">
        <f>'11 - Water-Side HVAC'!S50</f>
        <v>Hot Water or Steam</v>
      </c>
      <c r="C194" s="1813">
        <f>'11 - Water-Side HVAC'!T50</f>
        <v>0</v>
      </c>
      <c r="D194" s="1814" t="str">
        <f>'11 - Water-Side HVAC'!U50</f>
        <v xml:space="preserve"> with capacity of  MBH and efficiency of . The HHW supply temp is  (F) with a HHW delta T of  (F). The HHW temp reset parameters are as follows: . The HHW loop configuration is  with  pump(s) with pump power of  kW and pump flow of  gpm. The pump conrol is .</v>
      </c>
      <c r="E194" s="1814" t="str">
        <f>'11 - Water-Side HVAC'!V50</f>
        <v xml:space="preserve"> with capacity of  MBH and efficiency of . The HHW supply temp is  (F) with a HHW delta T of  (F). The HHW temp reset parameters are as follows: . The HHW loop configuration is  with  pump(s) with pump power of  kW and pump flow of  gpm. The pump conrol is .</v>
      </c>
    </row>
    <row r="195" spans="2:5" ht="31.2" x14ac:dyDescent="0.25">
      <c r="B195" s="1812" t="str">
        <f>'11 - Water-Side HVAC'!S51</f>
        <v>Hot Water or Steam</v>
      </c>
      <c r="C195" s="1813">
        <f>'11 - Water-Side HVAC'!T51</f>
        <v>0</v>
      </c>
      <c r="D195" s="1814" t="str">
        <f>'11 - Water-Side HVAC'!U51</f>
        <v xml:space="preserve"> with capacity of  MBH and efficiency of . The HHW supply temp is  (F) with a HHW delta T of  (F). The HHW temp reset parameters are as follows: . The HHW loop configuration is  with  pump(s) with pump power of  kW and pump flow of  gpm. The pump conrol is .</v>
      </c>
      <c r="E195" s="1814" t="str">
        <f>'11 - Water-Side HVAC'!V51</f>
        <v xml:space="preserve"> with capacity of  MBH and efficiency of . The HHW supply temp is  (F) with a HHW delta T of  (F). The HHW temp reset parameters are as follows: . The HHW loop configuration is  with  pump(s) with pump power of  kW and pump flow of  gpm. The pump conrol is .</v>
      </c>
    </row>
    <row r="196" spans="2:5" ht="31.2" x14ac:dyDescent="0.25">
      <c r="B196" s="1812" t="str">
        <f>'11 - Water-Side HVAC'!S52</f>
        <v>Hot Water or Steam</v>
      </c>
      <c r="C196" s="1813">
        <f>'11 - Water-Side HVAC'!T52</f>
        <v>0</v>
      </c>
      <c r="D196" s="1814" t="str">
        <f>'11 - Water-Side HVAC'!U52</f>
        <v xml:space="preserve"> with capacity of  MBH and efficiency of . The HHW supply temp is  (F) with a HHW delta T of  (F). The HHW temp reset parameters are as follows: . The HHW loop configuration is  with  pump(s) with pump power of  kW and pump flow of  gpm. The pump conrol is .</v>
      </c>
      <c r="E196" s="1814" t="str">
        <f>'11 - Water-Side HVAC'!V52</f>
        <v xml:space="preserve"> with capacity of  MBH and efficiency of . The HHW supply temp is  (F) with a HHW delta T of  (F). The HHW temp reset parameters are as follows: . The HHW loop configuration is  with  pump(s) with pump power of  kW and pump flow of  gpm. The pump conrol is .</v>
      </c>
    </row>
    <row r="197" spans="2:5" ht="31.2" x14ac:dyDescent="0.25">
      <c r="B197" s="1812" t="str">
        <f>'11 - Water-Side HVAC'!S53</f>
        <v>Hot Water or Steam</v>
      </c>
      <c r="C197" s="1813">
        <f>'11 - Water-Side HVAC'!T53</f>
        <v>0</v>
      </c>
      <c r="D197" s="1814" t="str">
        <f>'11 - Water-Side HVAC'!U53</f>
        <v xml:space="preserve"> with capacity of  MBH and efficiency of . The HHW supply temp is  (F) with a HHW delta T of  (F). The HHW temp reset parameters are as follows: . The HHW loop configuration is  with  pump(s) with pump power of  kW and pump flow of  gpm. The pump conrol is .</v>
      </c>
      <c r="E197" s="1814" t="str">
        <f>'11 - Water-Side HVAC'!V53</f>
        <v xml:space="preserve"> with capacity of  MBH and efficiency of . The HHW supply temp is  (F) with a HHW delta T of  (F). The HHW temp reset parameters are as follows: . The HHW loop configuration is  with  pump(s) with pump power of  kW and pump flow of  gpm. The pump conrol is .</v>
      </c>
    </row>
    <row r="198" spans="2:5" ht="31.2" x14ac:dyDescent="0.25">
      <c r="B198" s="1812" t="str">
        <f>'11 - Water-Side HVAC'!S54</f>
        <v>Hot Water or Steam</v>
      </c>
      <c r="C198" s="1813">
        <f>'11 - Water-Side HVAC'!T54</f>
        <v>0</v>
      </c>
      <c r="D198" s="1814" t="str">
        <f>'11 - Water-Side HVAC'!U54</f>
        <v xml:space="preserve"> with capacity of  MBH and efficiency of . The HHW supply temp is  (F) with a HHW delta T of  (F). The HHW temp reset parameters are as follows: . The HHW loop configuration is  with  pump(s) with pump power of  kW and pump flow of  gpm. The pump conrol is .</v>
      </c>
      <c r="E198" s="1814" t="str">
        <f>'11 - Water-Side HVAC'!V54</f>
        <v xml:space="preserve"> with capacity of  MBH and efficiency of . The HHW supply temp is  (F) with a HHW delta T of  (F). The HHW temp reset parameters are as follows: . The HHW loop configuration is  with  pump(s) with pump power of  kW and pump flow of  gpm. The pump conrol is .</v>
      </c>
    </row>
    <row r="199" spans="2:5" ht="31.2" x14ac:dyDescent="0.25">
      <c r="B199" s="1812" t="str">
        <f>'11 - Water-Side HVAC'!S55</f>
        <v>Hot Water or Steam</v>
      </c>
      <c r="C199" s="1813">
        <f>'11 - Water-Side HVAC'!T55</f>
        <v>0</v>
      </c>
      <c r="D199" s="1814" t="str">
        <f>'11 - Water-Side HVAC'!U55</f>
        <v xml:space="preserve"> with capacity of  MBH and efficiency of . The HHW supply temp is  (F) with a HHW delta T of  (F). The HHW temp reset parameters are as follows: . The HHW loop configuration is  with  pump(s) with pump power of  kW and pump flow of  gpm. The pump conrol is .</v>
      </c>
      <c r="E199" s="1814" t="str">
        <f>'11 - Water-Side HVAC'!V55</f>
        <v xml:space="preserve"> with capacity of  MBH and efficiency of . The HHW supply temp is  (F) with a HHW delta T of  (F). The HHW temp reset parameters are as follows: . The HHW loop configuration is  with  pump(s) with pump power of  kW and pump flow of  gpm. The pump conrol is .</v>
      </c>
    </row>
    <row r="200" spans="2:5" ht="31.2" x14ac:dyDescent="0.25">
      <c r="B200" s="1812" t="str">
        <f>'11 - Water-Side HVAC'!S56</f>
        <v>Hot Water or Steam</v>
      </c>
      <c r="C200" s="1813">
        <f>'11 - Water-Side HVAC'!T56</f>
        <v>0</v>
      </c>
      <c r="D200" s="1814" t="str">
        <f>'11 - Water-Side HVAC'!U56</f>
        <v xml:space="preserve"> with capacity of  MBH and efficiency of . The HHW supply temp is  (F) with a HHW delta T of  (F). The HHW temp reset parameters are as follows: . The HHW loop configuration is  with  pump(s) with pump power of  kW and pump flow of  gpm. The pump conrol is .</v>
      </c>
      <c r="E200" s="1814" t="str">
        <f>'11 - Water-Side HVAC'!V56</f>
        <v xml:space="preserve"> with capacity of  MBH and efficiency of . The HHW supply temp is  (F) with a HHW delta T of  (F). The HHW temp reset parameters are as follows: . The HHW loop configuration is  with  pump(s) with pump power of  kW and pump flow of  gpm. The pump conrol is .</v>
      </c>
    </row>
    <row r="201" spans="2:5" ht="31.2" x14ac:dyDescent="0.25">
      <c r="B201" s="1812" t="str">
        <f>'11 - Water-Side HVAC'!S57</f>
        <v>Hot Water or Steam</v>
      </c>
      <c r="C201" s="1813">
        <f>'11 - Water-Side HVAC'!T57</f>
        <v>0</v>
      </c>
      <c r="D201" s="1814" t="str">
        <f>'11 - Water-Side HVAC'!U57</f>
        <v xml:space="preserve"> with capacity of  MBH and efficiency of . The HHW supply temp is  (F) with a HHW delta T of  (F). The HHW temp reset parameters are as follows: . The HHW loop configuration is  with  pump(s) with pump power of  kW and pump flow of  gpm. The pump conrol is .</v>
      </c>
      <c r="E201" s="1814" t="str">
        <f>'11 - Water-Side HVAC'!V57</f>
        <v xml:space="preserve"> with capacity of  MBH and efficiency of . The HHW supply temp is  (F) with a HHW delta T of  (F). The HHW temp reset parameters are as follows: . The HHW loop configuration is  with  pump(s) with pump power of  kW and pump flow of  gpm. The pump conrol is .</v>
      </c>
    </row>
    <row r="202" spans="2:5" ht="31.2" x14ac:dyDescent="0.25">
      <c r="B202" s="1812" t="str">
        <f>'11 - Water-Side HVAC'!S58</f>
        <v>Hot Water or Steam</v>
      </c>
      <c r="C202" s="1813">
        <f>'11 - Water-Side HVAC'!T58</f>
        <v>0</v>
      </c>
      <c r="D202" s="1814" t="str">
        <f>'11 - Water-Side HVAC'!U58</f>
        <v xml:space="preserve"> with capacity of  MBH and efficiency of . The HHW supply temp is  (F) with a HHW delta T of  (F). The HHW temp reset parameters are as follows: . The HHW loop configuration is  with  pump(s) with pump power of  kW and pump flow of  gpm. The pump conrol is .</v>
      </c>
      <c r="E202" s="1814" t="str">
        <f>'11 - Water-Side HVAC'!V58</f>
        <v xml:space="preserve"> with capacity of  MBH and efficiency of . The HHW supply temp is  (F) with a HHW delta T of  (F). The HHW temp reset parameters are as follows: . The HHW loop configuration is  with  pump(s) with pump power of  kW and pump flow of  gpm. The pump conrol is .</v>
      </c>
    </row>
    <row r="203" spans="2:5" ht="31.2" x14ac:dyDescent="0.25">
      <c r="B203" s="1812" t="str">
        <f>'11 - Water-Side HVAC'!S59</f>
        <v>Hot Water or Steam</v>
      </c>
      <c r="C203" s="1813">
        <f>'11 - Water-Side HVAC'!T59</f>
        <v>0</v>
      </c>
      <c r="D203" s="1814" t="str">
        <f>'11 - Water-Side HVAC'!U59</f>
        <v xml:space="preserve"> with capacity of  MBH and efficiency of . The HHW supply temp is  (F) with a HHW delta T of  (F). The HHW temp reset parameters are as follows: . The HHW loop configuration is  with  pump(s) with pump power of  kW and pump flow of  gpm. The pump conrol is .</v>
      </c>
      <c r="E203" s="1814" t="str">
        <f>'11 - Water-Side HVAC'!V59</f>
        <v xml:space="preserve"> with capacity of  MBH and efficiency of . The HHW supply temp is  (F) with a HHW delta T of  (F). The HHW temp reset parameters are as follows: . The HHW loop configuration is  with  pump(s) with pump power of  kW and pump flow of  gpm. The pump conrol is .</v>
      </c>
    </row>
    <row r="204" spans="2:5" ht="31.2" x14ac:dyDescent="0.25">
      <c r="B204" s="1812" t="str">
        <f>'11 - Water-Side HVAC'!S60</f>
        <v>Hot Water or Steam</v>
      </c>
      <c r="C204" s="1813">
        <f>'11 - Water-Side HVAC'!T60</f>
        <v>0</v>
      </c>
      <c r="D204" s="1814" t="str">
        <f>'11 - Water-Side HVAC'!U60</f>
        <v xml:space="preserve"> with capacity of  MBH and efficiency of . The HHW supply temp is  (F) with a HHW delta T of  (F). The HHW temp reset parameters are as follows: . The HHW loop configuration is  with  pump(s) with pump power of  kW and pump flow of  gpm. The pump conrol is .</v>
      </c>
      <c r="E204" s="1814" t="str">
        <f>'11 - Water-Side HVAC'!V60</f>
        <v xml:space="preserve"> with capacity of  MBH and efficiency of . The HHW supply temp is  (F) with a HHW delta T of  (F). The HHW temp reset parameters are as follows: . The HHW loop configuration is  with  pump(s) with pump power of  kW and pump flow of  gpm. The pump conrol is .</v>
      </c>
    </row>
    <row r="205" spans="2:5" ht="31.2" x14ac:dyDescent="0.25">
      <c r="B205" s="1812" t="str">
        <f>'11 - Water-Side HVAC'!S61</f>
        <v>Hot Water or Steam</v>
      </c>
      <c r="C205" s="1813">
        <f>'11 - Water-Side HVAC'!T61</f>
        <v>0</v>
      </c>
      <c r="D205" s="1814" t="str">
        <f>'11 - Water-Side HVAC'!U61</f>
        <v xml:space="preserve"> with capacity of  MBH and efficiency of . The HHW supply temp is  (F) with a HHW delta T of  (F). The HHW temp reset parameters are as follows: . The HHW loop configuration is  with  pump(s) with pump power of  kW and pump flow of  gpm. The pump conrol is .</v>
      </c>
      <c r="E205" s="1814" t="str">
        <f>'11 - Water-Side HVAC'!V61</f>
        <v xml:space="preserve"> with capacity of  MBH and efficiency of . The HHW supply temp is  (F) with a HHW delta T of  (F). The HHW temp reset parameters are as follows: . The HHW loop configuration is  with  pump(s) with pump power of  kW and pump flow of  gpm. The pump conrol is .</v>
      </c>
    </row>
    <row r="206" spans="2:5" ht="31.2" x14ac:dyDescent="0.25">
      <c r="B206" s="1812" t="str">
        <f>'11 - Water-Side HVAC'!S62</f>
        <v>Hot Water or Steam</v>
      </c>
      <c r="C206" s="1813">
        <f>'11 - Water-Side HVAC'!T62</f>
        <v>0</v>
      </c>
      <c r="D206" s="1814" t="str">
        <f>'11 - Water-Side HVAC'!U62</f>
        <v xml:space="preserve"> with capacity of  MBH and efficiency of . The HHW supply temp is  (F) with a HHW delta T of  (F). The HHW temp reset parameters are as follows: . The HHW loop configuration is  with  pump(s) with pump power of  kW and pump flow of  gpm. The pump conrol is .</v>
      </c>
      <c r="E206" s="1814" t="str">
        <f>'11 - Water-Side HVAC'!V62</f>
        <v xml:space="preserve"> with capacity of  MBH and efficiency of . The HHW supply temp is  (F) with a HHW delta T of  (F). The HHW temp reset parameters are as follows: . The HHW loop configuration is  with  pump(s) with pump power of  kW and pump flow of  gpm. The pump conrol is .</v>
      </c>
    </row>
    <row r="207" spans="2:5" ht="31.2" x14ac:dyDescent="0.25">
      <c r="B207" s="1812" t="str">
        <f>'11 - Water-Side HVAC'!S63</f>
        <v>Hot Water or Steam</v>
      </c>
      <c r="C207" s="1813">
        <f>'11 - Water-Side HVAC'!T63</f>
        <v>0</v>
      </c>
      <c r="D207" s="1814" t="str">
        <f>'11 - Water-Side HVAC'!U63</f>
        <v xml:space="preserve"> with capacity of  MBH and efficiency of . The HHW supply temp is  (F) with a HHW delta T of  (F). The HHW temp reset parameters are as follows: . The HHW loop configuration is  with  pump(s) with pump power of  kW and pump flow of  gpm. The pump conrol is .</v>
      </c>
      <c r="E207" s="1814" t="str">
        <f>'11 - Water-Side HVAC'!V63</f>
        <v xml:space="preserve"> with capacity of  MBH and efficiency of . The HHW supply temp is  (F) with a HHW delta T of  (F). The HHW temp reset parameters are as follows: . The HHW loop configuration is  with  pump(s) with pump power of  kW and pump flow of  gpm. The pump conrol is .</v>
      </c>
    </row>
    <row r="208" spans="2:5" ht="31.2" x14ac:dyDescent="0.25">
      <c r="B208" s="1812" t="str">
        <f>'11 - Water-Side HVAC'!S64</f>
        <v>Hot Water or Steam</v>
      </c>
      <c r="C208" s="1813">
        <f>'11 - Water-Side HVAC'!T64</f>
        <v>0</v>
      </c>
      <c r="D208" s="1814" t="str">
        <f>'11 - Water-Side HVAC'!U64</f>
        <v xml:space="preserve"> with capacity of  MBH and efficiency of . The HHW supply temp is  (F) with a HHW delta T of  (F). The HHW temp reset parameters are as follows: . The HHW loop configuration is  with  pump(s) with pump power of  kW and pump flow of  gpm. The pump conrol is .</v>
      </c>
      <c r="E208" s="1814" t="str">
        <f>'11 - Water-Side HVAC'!V64</f>
        <v xml:space="preserve"> with capacity of  MBH and efficiency of . The HHW supply temp is  (F) with a HHW delta T of  (F). The HHW temp reset parameters are as follows: . The HHW loop configuration is  with  pump(s) with pump power of  kW and pump flow of  gpm. The pump conrol is .</v>
      </c>
    </row>
    <row r="209" spans="2:5" ht="31.2" x14ac:dyDescent="0.25">
      <c r="B209" s="1812" t="str">
        <f>'11 - Water-Side HVAC'!S65</f>
        <v>Hot Water or Steam</v>
      </c>
      <c r="C209" s="1813">
        <f>'11 - Water-Side HVAC'!T65</f>
        <v>0</v>
      </c>
      <c r="D209" s="1814" t="str">
        <f>'11 - Water-Side HVAC'!U65</f>
        <v xml:space="preserve"> with capacity of  MBH and efficiency of . The HHW supply temp is  (F) with a HHW delta T of  (F). The HHW temp reset parameters are as follows: . The HHW loop configuration is  with  pump(s) with pump power of  kW and pump flow of  gpm. The pump conrol is .</v>
      </c>
      <c r="E209" s="1814" t="str">
        <f>'11 - Water-Side HVAC'!V65</f>
        <v xml:space="preserve"> with capacity of  MBH and efficiency of . The HHW supply temp is  (F) with a HHW delta T of  (F). The HHW temp reset parameters are as follows: . The HHW loop configuration is  with  pump(s) with pump power of  kW and pump flow of  gpm. The pump conrol is .</v>
      </c>
    </row>
    <row r="210" spans="2:5" ht="72" x14ac:dyDescent="0.25">
      <c r="B210" s="1812" t="str">
        <f>'11 - Water-Side HVAC'!S70</f>
        <v>Geothermal Loop</v>
      </c>
      <c r="C210" s="1813">
        <f>'11 - Water-Side HVAC'!T70</f>
        <v>0</v>
      </c>
      <c r="D210" s="1814" t="str">
        <f>'11 - Water-Side HVAC'!U70</f>
        <v>&lt;User Entry&gt;</v>
      </c>
      <c r="E210" s="1814" t="str">
        <f>'11 - Water-Side HVAC'!V70</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211" spans="2:5" ht="72" x14ac:dyDescent="0.25">
      <c r="B211" s="1812" t="str">
        <f>'11 - Water-Side HVAC'!S71</f>
        <v>Geothermal Loop</v>
      </c>
      <c r="C211" s="1813">
        <f>'11 - Water-Side HVAC'!T71</f>
        <v>0</v>
      </c>
      <c r="D211" s="1814" t="str">
        <f>'11 - Water-Side HVAC'!U71</f>
        <v>&lt;User Entry&gt;</v>
      </c>
      <c r="E211" s="1814" t="str">
        <f>'11 - Water-Side HVAC'!V71</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212" spans="2:5" ht="72" x14ac:dyDescent="0.25">
      <c r="B212" s="1812" t="str">
        <f>'11 - Water-Side HVAC'!S72</f>
        <v>Geothermal Loop</v>
      </c>
      <c r="C212" s="1813">
        <f>'11 - Water-Side HVAC'!T72</f>
        <v>0</v>
      </c>
      <c r="D212" s="1814" t="str">
        <f>'11 - Water-Side HVAC'!U72</f>
        <v>&lt;User Entry&gt;</v>
      </c>
      <c r="E212" s="1814" t="str">
        <f>'11 - Water-Side HVAC'!V72</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213" spans="2:5" ht="72" x14ac:dyDescent="0.25">
      <c r="B213" s="1812" t="str">
        <f>'11 - Water-Side HVAC'!S73</f>
        <v>Geothermal Loop</v>
      </c>
      <c r="C213" s="1813">
        <f>'11 - Water-Side HVAC'!T73</f>
        <v>0</v>
      </c>
      <c r="D213" s="1814" t="str">
        <f>'11 - Water-Side HVAC'!U73</f>
        <v>&lt;User Entry&gt;</v>
      </c>
      <c r="E213" s="1814" t="str">
        <f>'11 - Water-Side HVAC'!V73</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214" spans="2:5" ht="72" x14ac:dyDescent="0.25">
      <c r="B214" s="1812" t="str">
        <f>'11 - Water-Side HVAC'!S74</f>
        <v>Geothermal Loop</v>
      </c>
      <c r="C214" s="1813">
        <f>'11 - Water-Side HVAC'!T74</f>
        <v>0</v>
      </c>
      <c r="D214" s="1814" t="str">
        <f>'11 - Water-Side HVAC'!U74</f>
        <v>&lt;User Entry&gt;</v>
      </c>
      <c r="E214" s="1814" t="str">
        <f>'11 - Water-Side HVAC'!V74</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215" spans="2:5" ht="72" x14ac:dyDescent="0.25">
      <c r="B215" s="1812" t="str">
        <f>'11 - Water-Side HVAC'!S75</f>
        <v>Geothermal Loop</v>
      </c>
      <c r="C215" s="1813">
        <f>'11 - Water-Side HVAC'!T75</f>
        <v>0</v>
      </c>
      <c r="D215" s="1814" t="str">
        <f>'11 - Water-Side HVAC'!U75</f>
        <v>&lt;User Entry&gt;</v>
      </c>
      <c r="E215" s="1814" t="str">
        <f>'11 - Water-Side HVAC'!V75</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216" spans="2:5" ht="72" x14ac:dyDescent="0.25">
      <c r="B216" s="1812" t="str">
        <f>'11 - Water-Side HVAC'!S76</f>
        <v>Geothermal Loop</v>
      </c>
      <c r="C216" s="1813">
        <f>'11 - Water-Side HVAC'!T76</f>
        <v>0</v>
      </c>
      <c r="D216" s="1814" t="str">
        <f>'11 - Water-Side HVAC'!U76</f>
        <v>&lt;User Entry&gt;</v>
      </c>
      <c r="E216" s="1814" t="str">
        <f>'11 - Water-Side HVAC'!V76</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217" spans="2:5" ht="72" x14ac:dyDescent="0.25">
      <c r="B217" s="1812" t="str">
        <f>'11 - Water-Side HVAC'!S77</f>
        <v>Geothermal Loop</v>
      </c>
      <c r="C217" s="1813">
        <f>'11 - Water-Side HVAC'!T77</f>
        <v>0</v>
      </c>
      <c r="D217" s="1814" t="str">
        <f>'11 - Water-Side HVAC'!U77</f>
        <v>&lt;User Entry&gt;</v>
      </c>
      <c r="E217" s="1814" t="str">
        <f>'11 - Water-Side HVAC'!V77</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218" spans="2:5" ht="72" x14ac:dyDescent="0.25">
      <c r="B218" s="1812" t="str">
        <f>'11 - Water-Side HVAC'!S78</f>
        <v>Geothermal Loop</v>
      </c>
      <c r="C218" s="1813">
        <f>'11 - Water-Side HVAC'!T78</f>
        <v>0</v>
      </c>
      <c r="D218" s="1814" t="str">
        <f>'11 - Water-Side HVAC'!U78</f>
        <v>&lt;User Entry&gt;</v>
      </c>
      <c r="E218" s="1814" t="str">
        <f>'11 - Water-Side HVAC'!V78</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219" spans="2:5" ht="72" x14ac:dyDescent="0.25">
      <c r="B219" s="1812" t="str">
        <f>'11 - Water-Side HVAC'!S79</f>
        <v>Geothermal Loop</v>
      </c>
      <c r="C219" s="1813">
        <f>'11 - Water-Side HVAC'!T79</f>
        <v>0</v>
      </c>
      <c r="D219" s="1814" t="str">
        <f>'11 - Water-Side HVAC'!U79</f>
        <v>&lt;User Entry&gt;</v>
      </c>
      <c r="E219" s="1814" t="str">
        <f>'11 - Water-Side HVAC'!V79</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220" spans="2:5" ht="72" x14ac:dyDescent="0.25">
      <c r="B220" s="1812" t="str">
        <f>'11 - Water-Side HVAC'!S80</f>
        <v>Geothermal Loop</v>
      </c>
      <c r="C220" s="1813">
        <f>'11 - Water-Side HVAC'!T80</f>
        <v>0</v>
      </c>
      <c r="D220" s="1814" t="str">
        <f>'11 - Water-Side HVAC'!U80</f>
        <v>&lt;User Entry&gt;</v>
      </c>
      <c r="E220" s="1814" t="str">
        <f>'11 - Water-Side HVAC'!V80</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221" spans="2:5" ht="72" x14ac:dyDescent="0.25">
      <c r="B221" s="1812" t="str">
        <f>'11 - Water-Side HVAC'!S81</f>
        <v>Geothermal Loop</v>
      </c>
      <c r="C221" s="1813">
        <f>'11 - Water-Side HVAC'!T81</f>
        <v>0</v>
      </c>
      <c r="D221" s="1814" t="str">
        <f>'11 - Water-Side HVAC'!U81</f>
        <v>&lt;User Entry&gt;</v>
      </c>
      <c r="E221" s="1814" t="str">
        <f>'11 - Water-Side HVAC'!V81</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222" spans="2:5" ht="72" x14ac:dyDescent="0.25">
      <c r="B222" s="1812" t="str">
        <f>'11 - Water-Side HVAC'!S82</f>
        <v>Geothermal Loop</v>
      </c>
      <c r="C222" s="1813">
        <f>'11 - Water-Side HVAC'!T82</f>
        <v>0</v>
      </c>
      <c r="D222" s="1814" t="str">
        <f>'11 - Water-Side HVAC'!U82</f>
        <v>&lt;User Entry&gt;</v>
      </c>
      <c r="E222" s="1814" t="str">
        <f>'11 - Water-Side HVAC'!V82</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223" spans="2:5" ht="72" x14ac:dyDescent="0.25">
      <c r="B223" s="1812" t="str">
        <f>'11 - Water-Side HVAC'!S83</f>
        <v>Geothermal Loop</v>
      </c>
      <c r="C223" s="1813">
        <f>'11 - Water-Side HVAC'!T83</f>
        <v>0</v>
      </c>
      <c r="D223" s="1814" t="str">
        <f>'11 - Water-Side HVAC'!U83</f>
        <v>&lt;User Entry&gt;</v>
      </c>
      <c r="E223" s="1814" t="str">
        <f>'11 - Water-Side HVAC'!V83</f>
        <v xml:space="preserve"> geothermal system with the following parameters: Soil conductivity (if applicable): , Geothermal source design temperature - summer:  (F), Geothermal source design temperature - winter:  (F), Geoexchange loop design fluid supply temperature - cooling:  (F), Geoexchange loop design fluid supply temperature -heating:  (F), Geoexchange loop - operating temperature:  (F), Geothermal energy transfer effect: , Geothermal loop pumping configuration: , Number of geothermal loop pumps: , Geothermal loop pump control: , Geothermal pump power : , Geothermal loop flow: , Geothermal air-side efficiency curves: .</v>
      </c>
    </row>
    <row r="224" spans="2:5" ht="61.8" x14ac:dyDescent="0.25">
      <c r="B224" s="1812" t="str">
        <f>'11 - Water-Side HVAC'!S88</f>
        <v>Combined Heat and Power (CHP)</v>
      </c>
      <c r="C224" s="1813">
        <f>'11 - Water-Side HVAC'!T88</f>
        <v>0</v>
      </c>
      <c r="D224" s="1814" t="str">
        <f>'11 - Water-Side HVAC'!U88</f>
        <v>&lt;User Entry&gt;</v>
      </c>
      <c r="E224" s="1814" t="str">
        <f>'11 - Water-Side HVAC'!V88</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225" spans="2:5" ht="61.8" x14ac:dyDescent="0.25">
      <c r="B225" s="1812" t="str">
        <f>'11 - Water-Side HVAC'!S89</f>
        <v>Combined Heat and Power (CHP)</v>
      </c>
      <c r="C225" s="1813">
        <f>'11 - Water-Side HVAC'!T89</f>
        <v>0</v>
      </c>
      <c r="D225" s="1814" t="str">
        <f>'11 - Water-Side HVAC'!U89</f>
        <v>&lt;User Entry&gt;</v>
      </c>
      <c r="E225" s="1814" t="str">
        <f>'11 - Water-Side HVAC'!V89</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226" spans="2:5" ht="61.8" x14ac:dyDescent="0.25">
      <c r="B226" s="1812" t="str">
        <f>'11 - Water-Side HVAC'!S90</f>
        <v>Combined Heat and Power (CHP)</v>
      </c>
      <c r="C226" s="1813">
        <f>'11 - Water-Side HVAC'!T90</f>
        <v>0</v>
      </c>
      <c r="D226" s="1814" t="str">
        <f>'11 - Water-Side HVAC'!U90</f>
        <v>&lt;User Entry&gt;</v>
      </c>
      <c r="E226" s="1814" t="str">
        <f>'11 - Water-Side HVAC'!V90</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227" spans="2:5" ht="61.8" x14ac:dyDescent="0.25">
      <c r="B227" s="1812" t="str">
        <f>'11 - Water-Side HVAC'!S91</f>
        <v>Combined Heat and Power (CHP)</v>
      </c>
      <c r="C227" s="1813">
        <f>'11 - Water-Side HVAC'!T91</f>
        <v>0</v>
      </c>
      <c r="D227" s="1814" t="str">
        <f>'11 - Water-Side HVAC'!U91</f>
        <v>&lt;User Entry&gt;</v>
      </c>
      <c r="E227" s="1814" t="str">
        <f>'11 - Water-Side HVAC'!V91</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228" spans="2:5" ht="61.8" x14ac:dyDescent="0.25">
      <c r="B228" s="1812" t="str">
        <f>'11 - Water-Side HVAC'!S92</f>
        <v>Combined Heat and Power (CHP)</v>
      </c>
      <c r="C228" s="1813">
        <f>'11 - Water-Side HVAC'!T92</f>
        <v>0</v>
      </c>
      <c r="D228" s="1814" t="str">
        <f>'11 - Water-Side HVAC'!U92</f>
        <v>&lt;User Entry&gt;</v>
      </c>
      <c r="E228" s="1814" t="str">
        <f>'11 - Water-Side HVAC'!V92</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229" spans="2:5" ht="61.8" x14ac:dyDescent="0.25">
      <c r="B229" s="1812" t="str">
        <f>'11 - Water-Side HVAC'!S93</f>
        <v>Combined Heat and Power (CHP)</v>
      </c>
      <c r="C229" s="1813">
        <f>'11 - Water-Side HVAC'!T93</f>
        <v>0</v>
      </c>
      <c r="D229" s="1814" t="str">
        <f>'11 - Water-Side HVAC'!U93</f>
        <v>&lt;User Entry&gt;</v>
      </c>
      <c r="E229" s="1814" t="str">
        <f>'11 - Water-Side HVAC'!V93</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230" spans="2:5" ht="61.8" x14ac:dyDescent="0.25">
      <c r="B230" s="1812" t="str">
        <f>'11 - Water-Side HVAC'!S94</f>
        <v>Combined Heat and Power (CHP)</v>
      </c>
      <c r="C230" s="1813">
        <f>'11 - Water-Side HVAC'!T94</f>
        <v>0</v>
      </c>
      <c r="D230" s="1814" t="str">
        <f>'11 - Water-Side HVAC'!U94</f>
        <v>&lt;User Entry&gt;</v>
      </c>
      <c r="E230" s="1814" t="str">
        <f>'11 - Water-Side HVAC'!V94</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231" spans="2:5" ht="61.8" x14ac:dyDescent="0.25">
      <c r="B231" s="1812" t="str">
        <f>'11 - Water-Side HVAC'!S95</f>
        <v>Combined Heat and Power (CHP)</v>
      </c>
      <c r="C231" s="1813">
        <f>'11 - Water-Side HVAC'!T95</f>
        <v>0</v>
      </c>
      <c r="D231" s="1814" t="str">
        <f>'11 - Water-Side HVAC'!U95</f>
        <v>&lt;User Entry&gt;</v>
      </c>
      <c r="E231" s="1814" t="str">
        <f>'11 - Water-Side HVAC'!V95</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232" spans="2:5" ht="61.8" x14ac:dyDescent="0.25">
      <c r="B232" s="1812" t="str">
        <f>'11 - Water-Side HVAC'!S96</f>
        <v>Combined Heat and Power (CHP)</v>
      </c>
      <c r="C232" s="1813">
        <f>'11 - Water-Side HVAC'!T96</f>
        <v>0</v>
      </c>
      <c r="D232" s="1814" t="str">
        <f>'11 - Water-Side HVAC'!U96</f>
        <v>&lt;User Entry&gt;</v>
      </c>
      <c r="E232" s="1814" t="str">
        <f>'11 - Water-Side HVAC'!V96</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233" spans="2:5" ht="61.8" x14ac:dyDescent="0.25">
      <c r="B233" s="1812" t="str">
        <f>'11 - Water-Side HVAC'!S97</f>
        <v>Combined Heat and Power (CHP)</v>
      </c>
      <c r="C233" s="1813">
        <f>'11 - Water-Side HVAC'!T97</f>
        <v>0</v>
      </c>
      <c r="D233" s="1814" t="str">
        <f>'11 - Water-Side HVAC'!U97</f>
        <v>&lt;User Entry&gt;</v>
      </c>
      <c r="E233" s="1814" t="str">
        <f>'11 - Water-Side HVAC'!V97</f>
        <v xml:space="preserve"> generator with the following parameters: Quantity of CHP generators: , Total capacity of CHP generators (kW) at design conditions: , Thermal efficiency (%) at design conditions: , Electrical efficiency (%) at design conditions: , Controls or schedule: , Fuel Source: , Where is the recovered heat used? (e.g. gas absorption chillers, hot water distribution loop, etc.): , Backup heat source when waste heat from CHP is unavailable? (e.g. fossil fuel boilers): , Parasitic losses (e.g. air handling unit to cool the intake air): .</v>
      </c>
    </row>
    <row r="234" spans="2:5" x14ac:dyDescent="0.25">
      <c r="B234" s="1812"/>
      <c r="C234" s="1813"/>
      <c r="D234" s="1814"/>
      <c r="E234" s="1814"/>
    </row>
    <row r="235" spans="2:5" x14ac:dyDescent="0.25">
      <c r="B235" s="1812"/>
      <c r="C235" s="1813"/>
      <c r="D235" s="1814"/>
      <c r="E235" s="1814"/>
    </row>
    <row r="236" spans="2:5" x14ac:dyDescent="0.25">
      <c r="B236" s="1812"/>
      <c r="C236" s="1813"/>
      <c r="D236" s="1814"/>
      <c r="E236" s="1814"/>
    </row>
    <row r="237" spans="2:5" x14ac:dyDescent="0.25">
      <c r="B237" s="1812"/>
      <c r="C237" s="1813"/>
      <c r="D237" s="1814"/>
      <c r="E237" s="1814"/>
    </row>
    <row r="238" spans="2:5" x14ac:dyDescent="0.25">
      <c r="B238" s="1812"/>
      <c r="C238" s="1813"/>
      <c r="D238" s="1814"/>
      <c r="E238" s="1814"/>
    </row>
    <row r="239" spans="2:5" x14ac:dyDescent="0.25">
      <c r="B239" s="1812"/>
      <c r="C239" s="1813"/>
      <c r="D239" s="1814"/>
      <c r="E239" s="1814"/>
    </row>
  </sheetData>
  <sheetProtection algorithmName="SHA-512" hashValue="POdM3j0xGnkeSIc/LDMSrQ6mSYAvBRUES5+6g8moYimE5Ns8aRT34Bji7L2MDGSsnv3EhrF+/KZBvCduP51m+g==" saltValue="05bDK4hJjUIN27BcS5k9LQ==" spinCount="100000" sheet="1" objects="1" scenarios="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6">
    <tabColor theme="6" tint="0.39997558519241921"/>
  </sheetPr>
  <dimension ref="A1:AJ42"/>
  <sheetViews>
    <sheetView showGridLines="0" zoomScale="90" zoomScaleNormal="90" workbookViewId="0">
      <selection activeCell="C12" sqref="C12"/>
    </sheetView>
  </sheetViews>
  <sheetFormatPr defaultColWidth="9" defaultRowHeight="13.8" x14ac:dyDescent="0.25"/>
  <cols>
    <col min="1" max="1" width="1.69921875" customWidth="1"/>
    <col min="2" max="2" width="9.296875" customWidth="1"/>
    <col min="3" max="3" width="23.5" customWidth="1"/>
    <col min="4" max="5" width="56.69921875" customWidth="1"/>
    <col min="6" max="6" width="12.796875" style="1850" customWidth="1"/>
    <col min="7" max="7" width="12.796875" customWidth="1"/>
    <col min="8" max="11" width="11.19921875" customWidth="1"/>
    <col min="12" max="12" width="10.296875" customWidth="1"/>
    <col min="13" max="13" width="10.69921875" customWidth="1"/>
    <col min="14" max="14" width="22.19921875" customWidth="1"/>
    <col min="16" max="17" width="20.19921875" hidden="1" customWidth="1"/>
    <col min="18" max="18" width="9" hidden="1" customWidth="1"/>
    <col min="19" max="20" width="20.19921875" hidden="1" customWidth="1"/>
    <col min="21" max="22" width="9" hidden="1" customWidth="1"/>
    <col min="23" max="23" width="9" customWidth="1"/>
  </cols>
  <sheetData>
    <row r="1" spans="1:36" s="354" customFormat="1" x14ac:dyDescent="0.25">
      <c r="A1" s="331"/>
      <c r="B1" s="359"/>
      <c r="C1" s="359"/>
      <c r="D1" s="359"/>
      <c r="E1" s="359"/>
      <c r="F1" s="359"/>
      <c r="G1" s="359"/>
      <c r="H1" s="359"/>
      <c r="I1" s="359"/>
      <c r="J1" s="359"/>
      <c r="K1" s="359"/>
      <c r="L1" s="359"/>
      <c r="M1" s="359"/>
      <c r="N1" s="360"/>
      <c r="O1"/>
      <c r="P1"/>
      <c r="Q1"/>
      <c r="R1"/>
      <c r="S1"/>
      <c r="T1"/>
      <c r="U1">
        <f>'General Information'!H47</f>
        <v>0</v>
      </c>
      <c r="V1" s="1803" t="s">
        <v>143</v>
      </c>
      <c r="W1"/>
      <c r="X1"/>
      <c r="Y1"/>
      <c r="Z1"/>
      <c r="AA1"/>
      <c r="AB1"/>
      <c r="AC1"/>
      <c r="AD1"/>
      <c r="AE1"/>
      <c r="AF1"/>
      <c r="AG1"/>
      <c r="AH1"/>
      <c r="AI1"/>
      <c r="AJ1"/>
    </row>
    <row r="2" spans="1:36" s="354" customFormat="1" ht="26.4" x14ac:dyDescent="0.25">
      <c r="A2" s="964" t="s">
        <v>2490</v>
      </c>
      <c r="B2" s="15"/>
      <c r="C2" s="15"/>
      <c r="D2" s="15"/>
      <c r="E2" s="15"/>
      <c r="F2" s="1161"/>
      <c r="G2" s="15"/>
      <c r="H2" s="15"/>
      <c r="I2" s="15"/>
      <c r="J2" s="15"/>
      <c r="K2" s="15"/>
      <c r="L2" s="15"/>
      <c r="M2" s="15"/>
      <c r="N2" s="15"/>
      <c r="O2"/>
      <c r="P2"/>
      <c r="Q2"/>
      <c r="R2"/>
      <c r="S2"/>
      <c r="T2"/>
      <c r="U2"/>
      <c r="V2" s="1802" t="s">
        <v>2518</v>
      </c>
      <c r="W2"/>
      <c r="X2"/>
      <c r="Y2"/>
      <c r="Z2"/>
      <c r="AA2"/>
      <c r="AB2"/>
      <c r="AC2"/>
      <c r="AD2"/>
      <c r="AE2"/>
      <c r="AF2"/>
      <c r="AG2"/>
      <c r="AH2"/>
      <c r="AI2"/>
      <c r="AJ2"/>
    </row>
    <row r="3" spans="1:36" s="354" customFormat="1" x14ac:dyDescent="0.25">
      <c r="A3" s="331"/>
      <c r="B3" s="359"/>
      <c r="C3" s="359"/>
      <c r="D3" s="359"/>
      <c r="E3" s="359"/>
      <c r="F3" s="359"/>
      <c r="G3" s="359"/>
      <c r="H3" s="359"/>
      <c r="I3" s="359"/>
      <c r="J3" s="359"/>
      <c r="K3" s="359"/>
      <c r="L3" s="359"/>
      <c r="M3" s="359"/>
      <c r="N3" s="360"/>
      <c r="O3"/>
      <c r="P3"/>
      <c r="Q3"/>
      <c r="R3"/>
      <c r="S3"/>
      <c r="T3"/>
      <c r="U3"/>
      <c r="V3" s="1802" t="s">
        <v>2519</v>
      </c>
      <c r="W3"/>
      <c r="X3"/>
      <c r="Y3"/>
      <c r="Z3"/>
      <c r="AA3"/>
      <c r="AB3"/>
      <c r="AC3"/>
      <c r="AD3"/>
      <c r="AE3"/>
      <c r="AF3"/>
      <c r="AG3"/>
      <c r="AH3"/>
      <c r="AI3"/>
      <c r="AJ3"/>
    </row>
    <row r="4" spans="1:36" x14ac:dyDescent="0.25">
      <c r="V4" s="1802" t="s">
        <v>2520</v>
      </c>
    </row>
    <row r="5" spans="1:36" ht="132.75" customHeight="1" x14ac:dyDescent="0.25">
      <c r="B5" s="3444" t="s">
        <v>2583</v>
      </c>
      <c r="C5" s="3444"/>
      <c r="D5" s="3444"/>
      <c r="E5" s="3444"/>
      <c r="F5" s="6"/>
      <c r="G5" s="1504"/>
      <c r="H5" s="1504"/>
      <c r="I5" s="1504"/>
      <c r="J5" s="1504"/>
      <c r="K5" s="1504"/>
      <c r="L5" s="1504"/>
      <c r="M5" s="1504"/>
      <c r="N5" s="14"/>
      <c r="O5" s="14"/>
      <c r="V5" s="1802" t="s">
        <v>2521</v>
      </c>
    </row>
    <row r="6" spans="1:36" ht="23.25" customHeight="1" x14ac:dyDescent="0.25">
      <c r="B6" s="3813" t="s">
        <v>2517</v>
      </c>
      <c r="C6" s="3813"/>
      <c r="D6" s="3813"/>
      <c r="E6" s="1504"/>
      <c r="F6" s="6"/>
      <c r="G6" s="1504"/>
      <c r="H6" s="1504"/>
      <c r="I6" s="1504"/>
      <c r="J6" s="1504"/>
      <c r="K6" s="1504"/>
      <c r="L6" s="1504"/>
      <c r="M6" s="1504"/>
      <c r="N6" s="14"/>
      <c r="O6" s="14"/>
      <c r="V6" s="1802" t="s">
        <v>212</v>
      </c>
    </row>
    <row r="7" spans="1:36" ht="16.5" customHeight="1" x14ac:dyDescent="0.25">
      <c r="B7" s="1822"/>
      <c r="C7" s="1848" t="str">
        <f>IFERROR(AVERAGEIF('12 - Performance_Outputs_1'!B311:B316,"Electricity",'12 - Performance_Outputs_1'!E311:J316),"")</f>
        <v/>
      </c>
      <c r="D7" s="1520" t="s">
        <v>2530</v>
      </c>
      <c r="E7" s="1504"/>
      <c r="F7" s="6"/>
      <c r="G7" s="1504"/>
      <c r="H7" s="1504"/>
      <c r="I7" s="1504"/>
      <c r="J7" s="1504"/>
      <c r="K7" s="1504"/>
      <c r="L7" s="1504"/>
      <c r="M7" s="1504"/>
      <c r="N7" s="14"/>
      <c r="O7" s="14"/>
    </row>
    <row r="8" spans="1:36" ht="16.5" customHeight="1" x14ac:dyDescent="0.25">
      <c r="B8" s="1822"/>
      <c r="C8" s="1848" t="str">
        <f>IFERROR(AVERAGEIF('12 - Performance_Outputs_1'!B311:B316,"Natural Gas",'12 - Performance_Outputs_1'!E311:J316),"")</f>
        <v/>
      </c>
      <c r="D8" s="1520" t="s">
        <v>2529</v>
      </c>
      <c r="E8" s="1504"/>
      <c r="F8" s="6"/>
      <c r="G8" s="1504"/>
      <c r="H8" s="1504"/>
      <c r="I8" s="1504"/>
      <c r="J8" s="1504"/>
      <c r="K8" s="1504"/>
      <c r="L8" s="1504"/>
      <c r="M8" s="1504"/>
      <c r="N8" s="14"/>
      <c r="O8" s="14"/>
    </row>
    <row r="9" spans="1:36" ht="16.5" customHeight="1" x14ac:dyDescent="0.25">
      <c r="C9" s="1849"/>
      <c r="D9" s="1520" t="s">
        <v>2575</v>
      </c>
      <c r="E9" s="1504"/>
      <c r="F9" s="6"/>
      <c r="G9" s="1504"/>
      <c r="H9" s="1504"/>
      <c r="I9" s="1504"/>
      <c r="J9" s="1504"/>
      <c r="K9" s="1504"/>
      <c r="L9" s="1504"/>
      <c r="M9" s="1504"/>
      <c r="N9" s="14"/>
      <c r="O9" s="14"/>
    </row>
    <row r="10" spans="1:36" ht="27.75" customHeight="1" x14ac:dyDescent="0.25">
      <c r="C10" s="1822" t="str">
        <f>IF(C9="","Please enter value.","")</f>
        <v>Please enter value.</v>
      </c>
      <c r="H10" s="3430" t="s">
        <v>2513</v>
      </c>
      <c r="I10" s="3431"/>
      <c r="J10" s="3431"/>
      <c r="K10" s="3432"/>
      <c r="L10" s="3442" t="s">
        <v>2516</v>
      </c>
      <c r="M10" s="3649"/>
    </row>
    <row r="11" spans="1:36" ht="49.5" customHeight="1" x14ac:dyDescent="0.25">
      <c r="B11" s="1826" t="s">
        <v>2544</v>
      </c>
      <c r="C11" s="1826" t="s">
        <v>2491</v>
      </c>
      <c r="D11" s="1826" t="s">
        <v>2492</v>
      </c>
      <c r="E11" s="1826" t="s">
        <v>2683</v>
      </c>
      <c r="F11" s="1826" t="s">
        <v>1104</v>
      </c>
      <c r="G11" s="1826" t="s">
        <v>143</v>
      </c>
      <c r="H11" s="1826" t="s">
        <v>2576</v>
      </c>
      <c r="I11" s="1826" t="s">
        <v>2577</v>
      </c>
      <c r="J11" s="1826" t="s">
        <v>2578</v>
      </c>
      <c r="K11" s="1826" t="s">
        <v>2579</v>
      </c>
      <c r="L11" s="1826" t="s">
        <v>2515</v>
      </c>
      <c r="M11" s="1826" t="s">
        <v>2512</v>
      </c>
      <c r="P11" s="1803" t="s">
        <v>2492</v>
      </c>
      <c r="Q11" s="1803" t="s">
        <v>2493</v>
      </c>
      <c r="S11" s="1803" t="s">
        <v>2492</v>
      </c>
      <c r="T11" s="1803" t="s">
        <v>2493</v>
      </c>
    </row>
    <row r="12" spans="1:36" ht="92.7" customHeight="1" x14ac:dyDescent="0.25">
      <c r="B12" s="1818">
        <v>1</v>
      </c>
      <c r="C12" s="1817" t="str">
        <f>IF('Results from eQuest'!J16="","",'Results from eQuest'!J16)</f>
        <v/>
      </c>
      <c r="D12" s="1802" t="str">
        <f t="shared" ref="D12:D38" si="0">P12</f>
        <v/>
      </c>
      <c r="E12" s="1802" t="str">
        <f t="shared" ref="E12:E38" si="1">Q12</f>
        <v/>
      </c>
      <c r="F12" s="1506"/>
      <c r="G12" s="1506"/>
      <c r="H12" s="2967" t="str">
        <f>IF('General Information'!$H$47="eQuest",IF(C12="","",IFERROR(IF(C12="","-",(('Results from eQuest'!X15)-('Results from eQuest'!X16))),"-")),"&lt;Enter Value&gt;")</f>
        <v>&lt;Enter Value&gt;</v>
      </c>
      <c r="I12" s="2967" t="str">
        <f>IF('General Information'!$H$47="eQuest",IF(C12="","",IFERROR(IF(C12="","-",(('Results from eQuest'!BJ12)-('Results from eQuest'!BJ16))*0.1),"-")),"&lt;Enter Value&gt;")</f>
        <v>&lt;Enter Value&gt;</v>
      </c>
      <c r="J12" s="2967" t="str">
        <f>IF('General Information'!$H$47="eQuest",IF(C12="","",IF(C12="","-",(('Results from eQuest'!BA12+'Results from eQuest'!BG12)/10-('Results from eQuest'!BA16+'Results from eQuest'!BG16)/10))),"&lt;Enter Value&gt;")</f>
        <v>&lt;Enter Value&gt;</v>
      </c>
      <c r="K12" s="2967" t="str">
        <f>IF('General Information'!$H$47="eQuest",IF(C12="","",IFERROR(IF(C12="","-",(('Results from eQuest'!P12+'Results from eQuest'!Q12)-('Results from eQuest'!P16+'Results from eQuest'!Q16))),"-")),"&lt;Enter Value&gt;")</f>
        <v>&lt;Enter Value&gt;</v>
      </c>
      <c r="L12" s="1802"/>
      <c r="M12" s="1820" t="str">
        <f>IF(C12="","",$C$7*H12+$C$8*I12*10+$C$9*L12)</f>
        <v/>
      </c>
      <c r="P12" s="1802" t="str">
        <f>IF(C12="","",S12)</f>
        <v/>
      </c>
      <c r="Q12" s="1802" t="str">
        <f>IF(C12="","",T12)</f>
        <v/>
      </c>
      <c r="S12" s="1802" t="str">
        <f>IFERROR(INDEX(ECM!$C$5:$E$274,MATCH('Detailed Measures'!B12,ECM!$C$5:$C$274,0),2),"&lt;Enter Description Here&gt;")</f>
        <v>&lt;Enter Description Here&gt;</v>
      </c>
      <c r="T12" s="1802" t="str">
        <f>IFERROR(INDEX(ECM!$C$5:$E$274,MATCH('Detailed Measures'!B12,ECM!$C$5:$C$274,0),3),"&lt;Enter Description Here&gt;")</f>
        <v>&lt;Enter Description Here&gt;</v>
      </c>
    </row>
    <row r="13" spans="1:36" ht="92.7" customHeight="1" x14ac:dyDescent="0.25">
      <c r="B13" s="1818">
        <v>2</v>
      </c>
      <c r="C13" s="1817" t="str">
        <f>IF('Results from eQuest'!J17="","",'Results from eQuest'!J17)</f>
        <v/>
      </c>
      <c r="D13" s="1802" t="str">
        <f t="shared" si="0"/>
        <v/>
      </c>
      <c r="E13" s="1802" t="str">
        <f t="shared" si="1"/>
        <v/>
      </c>
      <c r="F13" s="1506"/>
      <c r="G13" s="1506"/>
      <c r="H13" s="2967" t="str">
        <f>IF('General Information'!$H$47="eQuest",IF(C13="","",IFERROR(IF(C13="","-",(('Results from eQuest'!X16)-('Results from eQuest'!X17))),"-")),"&lt;Enter Value&gt;")</f>
        <v>&lt;Enter Value&gt;</v>
      </c>
      <c r="I13" s="2967" t="str">
        <f>IF('General Information'!$H$47="eQuest",IF(C13="","",IFERROR(IF(C13="","-",(('Results from eQuest'!BJ16)-('Results from eQuest'!BJ17))*0.1),"-")),"&lt;Enter Value&gt;")</f>
        <v>&lt;Enter Value&gt;</v>
      </c>
      <c r="J13" s="2967" t="str">
        <f>IF('General Information'!$H$47="eQuest",IF(C13="","",IF(C13="","-",(('Results from eQuest'!BA16+'Results from eQuest'!BG16)/10-('Results from eQuest'!BA17+'Results from eQuest'!BG17)/10))),"&lt;Enter Value&gt;")</f>
        <v>&lt;Enter Value&gt;</v>
      </c>
      <c r="K13" s="2967" t="str">
        <f>IF('General Information'!$H$47="eQuest",IF(C13="","",IFERROR(IF(C13="","-",(('Results from eQuest'!P16+'Results from eQuest'!Q16)-('Results from eQuest'!P17+'Results from eQuest'!Q17))),"-")),"&lt;Enter Value&gt;")</f>
        <v>&lt;Enter Value&gt;</v>
      </c>
      <c r="L13" s="1802"/>
      <c r="M13" s="1820" t="str">
        <f t="shared" ref="M13:M41" si="2">IF(C13="","",$C$7*H13+$C$8*I13*10+$C$9*L13)</f>
        <v/>
      </c>
      <c r="P13" s="1802" t="str">
        <f t="shared" ref="P13:P41" si="3">IF(C13="","",S13)</f>
        <v/>
      </c>
      <c r="Q13" s="1802" t="str">
        <f t="shared" ref="Q13:Q41" si="4">IF(C13="","",T13)</f>
        <v/>
      </c>
      <c r="S13" s="1802" t="str">
        <f>IFERROR(INDEX(ECM!$C$5:$E$274,MATCH('Detailed Measures'!B13,ECM!$C$5:$C$274,0),2),"&lt;Enter Description Here&gt;")</f>
        <v>&lt;Enter Description Here&gt;</v>
      </c>
      <c r="T13" s="1802" t="str">
        <f>IFERROR(INDEX(ECM!$C$5:$E$274,MATCH('Detailed Measures'!B13,ECM!$C$5:$C$274,0),3),"&lt;Enter Description Here&gt;")</f>
        <v>&lt;Enter Description Here&gt;</v>
      </c>
    </row>
    <row r="14" spans="1:36" ht="92.7" customHeight="1" x14ac:dyDescent="0.25">
      <c r="B14" s="1818">
        <v>3</v>
      </c>
      <c r="C14" s="1817" t="str">
        <f>IF('Results from eQuest'!J18="","",'Results from eQuest'!J18)</f>
        <v/>
      </c>
      <c r="D14" s="1802" t="str">
        <f t="shared" si="0"/>
        <v/>
      </c>
      <c r="E14" s="1802" t="str">
        <f t="shared" si="1"/>
        <v/>
      </c>
      <c r="F14" s="1506"/>
      <c r="G14" s="1506"/>
      <c r="H14" s="2967" t="str">
        <f>IF('General Information'!$H$47="eQuest",IF(C14="","",IFERROR(IF(C14="","-",(('Results from eQuest'!X17)-('Results from eQuest'!X18))),"-")),"&lt;Enter Value&gt;")</f>
        <v>&lt;Enter Value&gt;</v>
      </c>
      <c r="I14" s="2967" t="str">
        <f>IF('General Information'!$H$47="eQuest",IF(C14="","",IFERROR(IF(C14="","-",(('Results from eQuest'!BJ17)-('Results from eQuest'!BJ18))*0.1),"-")),"&lt;Enter Value&gt;")</f>
        <v>&lt;Enter Value&gt;</v>
      </c>
      <c r="J14" s="2967" t="str">
        <f>IF('General Information'!$H$47="eQuest",IF(C14="","",IF(C14="","-",(('Results from eQuest'!BA17+'Results from eQuest'!BG17)/10-('Results from eQuest'!BA18+'Results from eQuest'!BG18)/10))),"&lt;Enter Value&gt;")</f>
        <v>&lt;Enter Value&gt;</v>
      </c>
      <c r="K14" s="2967" t="str">
        <f>IF('General Information'!$H$47="eQuest",IF(C14="","",IFERROR(IF(C14="","-",(('Results from eQuest'!P17+'Results from eQuest'!Q17)-('Results from eQuest'!P18+'Results from eQuest'!Q18))),"-")),"&lt;Enter Value&gt;")</f>
        <v>&lt;Enter Value&gt;</v>
      </c>
      <c r="L14" s="1802"/>
      <c r="M14" s="1820" t="str">
        <f t="shared" si="2"/>
        <v/>
      </c>
      <c r="P14" s="1802" t="str">
        <f t="shared" si="3"/>
        <v/>
      </c>
      <c r="Q14" s="1802" t="str">
        <f t="shared" si="4"/>
        <v/>
      </c>
      <c r="S14" s="1802" t="str">
        <f>IFERROR(INDEX(ECM!$C$5:$E$274,MATCH('Detailed Measures'!B14,ECM!$C$5:$C$274,0),2),"&lt;Enter Description Here&gt;")</f>
        <v>&lt;Enter Description Here&gt;</v>
      </c>
      <c r="T14" s="1802" t="str">
        <f>IFERROR(INDEX(ECM!$C$5:$E$274,MATCH('Detailed Measures'!B14,ECM!$C$5:$C$274,0),3),"&lt;Enter Description Here&gt;")</f>
        <v>&lt;Enter Description Here&gt;</v>
      </c>
    </row>
    <row r="15" spans="1:36" ht="92.7" customHeight="1" x14ac:dyDescent="0.25">
      <c r="B15" s="1818">
        <v>4</v>
      </c>
      <c r="C15" s="1817" t="str">
        <f>IF('Results from eQuest'!J19="","",'Results from eQuest'!J19)</f>
        <v/>
      </c>
      <c r="D15" s="1802" t="str">
        <f t="shared" si="0"/>
        <v/>
      </c>
      <c r="E15" s="1802" t="str">
        <f t="shared" si="1"/>
        <v/>
      </c>
      <c r="F15" s="1506"/>
      <c r="G15" s="1506"/>
      <c r="H15" s="2967" t="str">
        <f>IF('General Information'!$H$47="eQuest",IF(C15="","",IFERROR(IF(C15="","-",(('Results from eQuest'!X18)-('Results from eQuest'!X19))),"-")),"&lt;Enter Value&gt;")</f>
        <v>&lt;Enter Value&gt;</v>
      </c>
      <c r="I15" s="2967" t="str">
        <f>IF('General Information'!$H$47="eQuest",IF(C15="","",IFERROR(IF(C15="","-",(('Results from eQuest'!BJ18)-('Results from eQuest'!BJ19))*0.1),"-")),"&lt;Enter Value&gt;")</f>
        <v>&lt;Enter Value&gt;</v>
      </c>
      <c r="J15" s="2967" t="str">
        <f>IF('General Information'!$H$47="eQuest",IF(C15="","",IF(C15="","-",(('Results from eQuest'!BA18+'Results from eQuest'!BG18)/10-('Results from eQuest'!BA19+'Results from eQuest'!BG19)/10))),"&lt;Enter Value&gt;")</f>
        <v>&lt;Enter Value&gt;</v>
      </c>
      <c r="K15" s="2967" t="str">
        <f>IF('General Information'!$H$47="eQuest",IF(C15="","",IFERROR(IF(C15="","-",(('Results from eQuest'!P18+'Results from eQuest'!Q18)-('Results from eQuest'!P19+'Results from eQuest'!Q19))),"-")),"&lt;Enter Value&gt;")</f>
        <v>&lt;Enter Value&gt;</v>
      </c>
      <c r="L15" s="1802"/>
      <c r="M15" s="1820" t="str">
        <f t="shared" si="2"/>
        <v/>
      </c>
      <c r="P15" s="1802" t="str">
        <f t="shared" si="3"/>
        <v/>
      </c>
      <c r="Q15" s="1802" t="str">
        <f t="shared" si="4"/>
        <v/>
      </c>
      <c r="S15" s="1802" t="str">
        <f>IFERROR(INDEX(ECM!$C$5:$E$274,MATCH('Detailed Measures'!B15,ECM!$C$5:$C$274,0),2),"&lt;Enter Description Here&gt;")</f>
        <v>&lt;Enter Description Here&gt;</v>
      </c>
      <c r="T15" s="1802" t="str">
        <f>IFERROR(INDEX(ECM!$C$5:$E$274,MATCH('Detailed Measures'!B15,ECM!$C$5:$C$274,0),3),"&lt;Enter Description Here&gt;")</f>
        <v>&lt;Enter Description Here&gt;</v>
      </c>
    </row>
    <row r="16" spans="1:36" ht="92.7" customHeight="1" x14ac:dyDescent="0.25">
      <c r="B16" s="1818">
        <v>5</v>
      </c>
      <c r="C16" s="1817" t="str">
        <f>IF('Results from eQuest'!J20="","",'Results from eQuest'!J20)</f>
        <v/>
      </c>
      <c r="D16" s="1802" t="str">
        <f t="shared" si="0"/>
        <v/>
      </c>
      <c r="E16" s="1802" t="str">
        <f t="shared" si="1"/>
        <v/>
      </c>
      <c r="F16" s="1506"/>
      <c r="G16" s="1506"/>
      <c r="H16" s="2967" t="str">
        <f>IF('General Information'!$H$47="eQuest",IF(C16="","",IFERROR(IF(C16="","-",(('Results from eQuest'!X19)-('Results from eQuest'!X20))),"-")),"&lt;Enter Value&gt;")</f>
        <v>&lt;Enter Value&gt;</v>
      </c>
      <c r="I16" s="2967" t="str">
        <f>IF('General Information'!$H$47="eQuest",IF(C16="","",IFERROR(IF(C16="","-",(('Results from eQuest'!BJ19)-('Results from eQuest'!BJ20))*0.1),"-")),"&lt;Enter Value&gt;")</f>
        <v>&lt;Enter Value&gt;</v>
      </c>
      <c r="J16" s="2967" t="str">
        <f>IF('General Information'!$H$47="eQuest",IF(C16="","",IF(C16="","-",(('Results from eQuest'!BA19+'Results from eQuest'!BG19)/10-('Results from eQuest'!BA20+'Results from eQuest'!BG20)/10))),"&lt;Enter Value&gt;")</f>
        <v>&lt;Enter Value&gt;</v>
      </c>
      <c r="K16" s="2967" t="str">
        <f>IF('General Information'!$H$47="eQuest",IF(C16="","",IFERROR(IF(C16="","-",(('Results from eQuest'!P19+'Results from eQuest'!Q19)-('Results from eQuest'!P20+'Results from eQuest'!Q20))),"-")),"&lt;Enter Value&gt;")</f>
        <v>&lt;Enter Value&gt;</v>
      </c>
      <c r="L16" s="1802"/>
      <c r="M16" s="1820" t="str">
        <f t="shared" si="2"/>
        <v/>
      </c>
      <c r="P16" s="1802" t="str">
        <f t="shared" si="3"/>
        <v/>
      </c>
      <c r="Q16" s="1802" t="str">
        <f t="shared" si="4"/>
        <v/>
      </c>
      <c r="S16" s="1802" t="str">
        <f>IFERROR(INDEX(ECM!$C$5:$E$274,MATCH('Detailed Measures'!B16,ECM!$C$5:$C$274,0),2),"&lt;Enter Description Here&gt;")</f>
        <v>&lt;Enter Description Here&gt;</v>
      </c>
      <c r="T16" s="1802" t="str">
        <f>IFERROR(INDEX(ECM!$C$5:$E$274,MATCH('Detailed Measures'!B16,ECM!$C$5:$C$274,0),3),"&lt;Enter Description Here&gt;")</f>
        <v>&lt;Enter Description Here&gt;</v>
      </c>
    </row>
    <row r="17" spans="2:20" ht="92.7" customHeight="1" x14ac:dyDescent="0.25">
      <c r="B17" s="1818">
        <v>6</v>
      </c>
      <c r="C17" s="1817" t="str">
        <f>IF('Results from eQuest'!J21="","",'Results from eQuest'!J21)</f>
        <v/>
      </c>
      <c r="D17" s="1802" t="str">
        <f t="shared" si="0"/>
        <v/>
      </c>
      <c r="E17" s="1802" t="str">
        <f t="shared" si="1"/>
        <v/>
      </c>
      <c r="F17" s="1506"/>
      <c r="G17" s="1506"/>
      <c r="H17" s="2967" t="str">
        <f>IF('General Information'!$H$47="eQuest",IF(C17="","",IFERROR(IF(C17="","-",(('Results from eQuest'!X20)-('Results from eQuest'!X21))),"-")),"&lt;Enter Value&gt;")</f>
        <v>&lt;Enter Value&gt;</v>
      </c>
      <c r="I17" s="2967" t="str">
        <f>IF('General Information'!$H$47="eQuest",IF(C17="","",IFERROR(IF(C17="","-",(('Results from eQuest'!BJ20)-('Results from eQuest'!BJ21))*0.1),"-")),"&lt;Enter Value&gt;")</f>
        <v>&lt;Enter Value&gt;</v>
      </c>
      <c r="J17" s="2967" t="str">
        <f>IF('General Information'!$H$47="eQuest",IF(C17="","",IF(C17="","-",(('Results from eQuest'!BA20+'Results from eQuest'!BG20)/10-('Results from eQuest'!BA21+'Results from eQuest'!BG21)/10))),"&lt;Enter Value&gt;")</f>
        <v>&lt;Enter Value&gt;</v>
      </c>
      <c r="K17" s="2967" t="str">
        <f>IF('General Information'!$H$47="eQuest",IF(C17="","",IFERROR(IF(C17="","-",(('Results from eQuest'!P20+'Results from eQuest'!Q20)-('Results from eQuest'!P21+'Results from eQuest'!Q21))),"-")),"&lt;Enter Value&gt;")</f>
        <v>&lt;Enter Value&gt;</v>
      </c>
      <c r="L17" s="1802"/>
      <c r="M17" s="1820" t="str">
        <f t="shared" si="2"/>
        <v/>
      </c>
      <c r="P17" s="1802" t="str">
        <f t="shared" si="3"/>
        <v/>
      </c>
      <c r="Q17" s="1802" t="str">
        <f t="shared" si="4"/>
        <v/>
      </c>
      <c r="S17" s="1802" t="str">
        <f>IFERROR(INDEX(ECM!$C$5:$E$274,MATCH('Detailed Measures'!B17,ECM!$C$5:$C$274,0),2),"&lt;Enter Description Here&gt;")</f>
        <v>&lt;Enter Description Here&gt;</v>
      </c>
      <c r="T17" s="1802" t="str">
        <f>IFERROR(INDEX(ECM!$C$5:$E$274,MATCH('Detailed Measures'!B17,ECM!$C$5:$C$274,0),3),"&lt;Enter Description Here&gt;")</f>
        <v>&lt;Enter Description Here&gt;</v>
      </c>
    </row>
    <row r="18" spans="2:20" ht="92.7" customHeight="1" x14ac:dyDescent="0.25">
      <c r="B18" s="1818">
        <v>7</v>
      </c>
      <c r="C18" s="1817" t="str">
        <f>IF('Results from eQuest'!J22="","",'Results from eQuest'!J22)</f>
        <v/>
      </c>
      <c r="D18" s="1802" t="str">
        <f t="shared" si="0"/>
        <v/>
      </c>
      <c r="E18" s="1802" t="str">
        <f t="shared" si="1"/>
        <v/>
      </c>
      <c r="F18" s="1506"/>
      <c r="G18" s="1506"/>
      <c r="H18" s="2967" t="str">
        <f>IF('General Information'!$H$47="eQuest",IF(C18="","",IFERROR(IF(C18="","-",(('Results from eQuest'!X21)-('Results from eQuest'!X22))),"-")),"&lt;Enter Value&gt;")</f>
        <v>&lt;Enter Value&gt;</v>
      </c>
      <c r="I18" s="2967" t="str">
        <f>IF('General Information'!$H$47="eQuest",IF(C18="","",IFERROR(IF(C18="","-",(('Results from eQuest'!BJ21)-('Results from eQuest'!BJ22))*0.1),"-")),"&lt;Enter Value&gt;")</f>
        <v>&lt;Enter Value&gt;</v>
      </c>
      <c r="J18" s="2967" t="str">
        <f>IF('General Information'!$H$47="eQuest",IF(C18="","",IF(C18="","-",(('Results from eQuest'!BA21+'Results from eQuest'!BG21)/10-('Results from eQuest'!BA22+'Results from eQuest'!BG22)/10))),"&lt;Enter Value&gt;")</f>
        <v>&lt;Enter Value&gt;</v>
      </c>
      <c r="K18" s="2967" t="str">
        <f>IF('General Information'!$H$47="eQuest",IF(C18="","",IFERROR(IF(C18="","-",(('Results from eQuest'!P21+'Results from eQuest'!Q21)-('Results from eQuest'!P22+'Results from eQuest'!Q22))),"-")),"&lt;Enter Value&gt;")</f>
        <v>&lt;Enter Value&gt;</v>
      </c>
      <c r="L18" s="1802"/>
      <c r="M18" s="1820" t="str">
        <f t="shared" si="2"/>
        <v/>
      </c>
      <c r="P18" s="1802" t="str">
        <f t="shared" si="3"/>
        <v/>
      </c>
      <c r="Q18" s="1802" t="str">
        <f t="shared" si="4"/>
        <v/>
      </c>
      <c r="S18" s="1802" t="str">
        <f>IFERROR(INDEX(ECM!$C$5:$E$274,MATCH('Detailed Measures'!B18,ECM!$C$5:$C$274,0),2),"&lt;Enter Description Here&gt;")</f>
        <v>&lt;Enter Description Here&gt;</v>
      </c>
      <c r="T18" s="1802" t="str">
        <f>IFERROR(INDEX(ECM!$C$5:$E$274,MATCH('Detailed Measures'!B18,ECM!$C$5:$C$274,0),3),"&lt;Enter Description Here&gt;")</f>
        <v>&lt;Enter Description Here&gt;</v>
      </c>
    </row>
    <row r="19" spans="2:20" ht="92.7" customHeight="1" x14ac:dyDescent="0.25">
      <c r="B19" s="1818">
        <v>8</v>
      </c>
      <c r="C19" s="1817" t="str">
        <f>IF('Results from eQuest'!J23="","",'Results from eQuest'!J23)</f>
        <v/>
      </c>
      <c r="D19" s="1802" t="str">
        <f t="shared" si="0"/>
        <v/>
      </c>
      <c r="E19" s="1802" t="str">
        <f t="shared" si="1"/>
        <v/>
      </c>
      <c r="F19" s="1506"/>
      <c r="G19" s="1506"/>
      <c r="H19" s="2967" t="str">
        <f>IF('General Information'!$H$47="eQuest",IF(C19="","",IFERROR(IF(C19="","-",(('Results from eQuest'!X22)-('Results from eQuest'!X23))),"-")),"&lt;Enter Value&gt;")</f>
        <v>&lt;Enter Value&gt;</v>
      </c>
      <c r="I19" s="2967" t="str">
        <f>IF('General Information'!$H$47="eQuest",IF(C19="","",IFERROR(IF(C19="","-",(('Results from eQuest'!BJ22)-('Results from eQuest'!BJ23))*0.1),"-")),"&lt;Enter Value&gt;")</f>
        <v>&lt;Enter Value&gt;</v>
      </c>
      <c r="J19" s="2967" t="str">
        <f>IF('General Information'!$H$47="eQuest",IF(C19="","",IF(C19="","-",(('Results from eQuest'!BA22+'Results from eQuest'!BG22)/10-('Results from eQuest'!BA23+'Results from eQuest'!BG23)/10))),"&lt;Enter Value&gt;")</f>
        <v>&lt;Enter Value&gt;</v>
      </c>
      <c r="K19" s="2967" t="str">
        <f>IF('General Information'!$H$47="eQuest",IF(C19="","",IFERROR(IF(C19="","-",(('Results from eQuest'!P22+'Results from eQuest'!Q22)-('Results from eQuest'!P23+'Results from eQuest'!Q23))),"-")),"&lt;Enter Value&gt;")</f>
        <v>&lt;Enter Value&gt;</v>
      </c>
      <c r="L19" s="1802"/>
      <c r="M19" s="1820" t="str">
        <f t="shared" si="2"/>
        <v/>
      </c>
      <c r="P19" s="1802" t="str">
        <f t="shared" si="3"/>
        <v/>
      </c>
      <c r="Q19" s="1802" t="str">
        <f t="shared" si="4"/>
        <v/>
      </c>
      <c r="S19" s="1802" t="str">
        <f>IFERROR(INDEX(ECM!$C$5:$E$274,MATCH('Detailed Measures'!B19,ECM!$C$5:$C$274,0),2),"&lt;Enter Description Here&gt;")</f>
        <v>&lt;Enter Description Here&gt;</v>
      </c>
      <c r="T19" s="1802" t="str">
        <f>IFERROR(INDEX(ECM!$C$5:$E$274,MATCH('Detailed Measures'!B19,ECM!$C$5:$C$274,0),3),"&lt;Enter Description Here&gt;")</f>
        <v>&lt;Enter Description Here&gt;</v>
      </c>
    </row>
    <row r="20" spans="2:20" ht="92.7" customHeight="1" x14ac:dyDescent="0.25">
      <c r="B20" s="1818">
        <v>9</v>
      </c>
      <c r="C20" s="1817" t="str">
        <f>IF('Results from eQuest'!J24="","",'Results from eQuest'!J24)</f>
        <v/>
      </c>
      <c r="D20" s="1802" t="str">
        <f t="shared" si="0"/>
        <v/>
      </c>
      <c r="E20" s="1802" t="str">
        <f t="shared" si="1"/>
        <v/>
      </c>
      <c r="F20" s="1506"/>
      <c r="G20" s="1506"/>
      <c r="H20" s="2967" t="str">
        <f>IF('General Information'!$H$47="eQuest",IF(C20="","",IFERROR(IF(C20="","-",(('Results from eQuest'!X23)-('Results from eQuest'!X24))),"-")),"&lt;Enter Value&gt;")</f>
        <v>&lt;Enter Value&gt;</v>
      </c>
      <c r="I20" s="2967" t="str">
        <f>IF('General Information'!$H$47="eQuest",IF(C20="","",IFERROR(IF(C20="","-",(('Results from eQuest'!BJ23)-('Results from eQuest'!BJ24))*0.1),"-")),"&lt;Enter Value&gt;")</f>
        <v>&lt;Enter Value&gt;</v>
      </c>
      <c r="J20" s="2967" t="str">
        <f>IF('General Information'!$H$47="eQuest",IF(C20="","",IF(C20="","-",(('Results from eQuest'!BA23+'Results from eQuest'!BG23)/10-('Results from eQuest'!BA24+'Results from eQuest'!BG24)/10))),"&lt;Enter Value&gt;")</f>
        <v>&lt;Enter Value&gt;</v>
      </c>
      <c r="K20" s="2967" t="str">
        <f>IF('General Information'!$H$47="eQuest",IF(C20="","",IFERROR(IF(C20="","-",(('Results from eQuest'!P23+'Results from eQuest'!Q23)-('Results from eQuest'!P24+'Results from eQuest'!Q24))),"-")),"&lt;Enter Value&gt;")</f>
        <v>&lt;Enter Value&gt;</v>
      </c>
      <c r="L20" s="1802"/>
      <c r="M20" s="1820" t="str">
        <f t="shared" si="2"/>
        <v/>
      </c>
      <c r="P20" s="1802" t="str">
        <f t="shared" si="3"/>
        <v/>
      </c>
      <c r="Q20" s="1802" t="str">
        <f t="shared" si="4"/>
        <v/>
      </c>
      <c r="S20" s="1802" t="str">
        <f>IFERROR(INDEX(ECM!$C$5:$E$274,MATCH('Detailed Measures'!B20,ECM!$C$5:$C$274,0),2),"&lt;Enter Description Here&gt;")</f>
        <v>&lt;Enter Description Here&gt;</v>
      </c>
      <c r="T20" s="1802" t="str">
        <f>IFERROR(INDEX(ECM!$C$5:$E$274,MATCH('Detailed Measures'!B20,ECM!$C$5:$C$274,0),3),"&lt;Enter Description Here&gt;")</f>
        <v>&lt;Enter Description Here&gt;</v>
      </c>
    </row>
    <row r="21" spans="2:20" ht="92.7" customHeight="1" x14ac:dyDescent="0.25">
      <c r="B21" s="1818">
        <v>10</v>
      </c>
      <c r="C21" s="1817" t="str">
        <f>IF('Results from eQuest'!J25="","",'Results from eQuest'!J25)</f>
        <v/>
      </c>
      <c r="D21" s="1802" t="str">
        <f t="shared" si="0"/>
        <v/>
      </c>
      <c r="E21" s="1802" t="str">
        <f t="shared" si="1"/>
        <v/>
      </c>
      <c r="F21" s="1506"/>
      <c r="G21" s="1506"/>
      <c r="H21" s="2967" t="str">
        <f>IF('General Information'!$H$47="eQuest",IF(C21="","",IFERROR(IF(C21="","-",(('Results from eQuest'!X24)-('Results from eQuest'!X25))),"-")),"&lt;Enter Value&gt;")</f>
        <v>&lt;Enter Value&gt;</v>
      </c>
      <c r="I21" s="2967" t="str">
        <f>IF('General Information'!$H$47="eQuest",IF(C21="","",IFERROR(IF(C21="","-",(('Results from eQuest'!BJ24)-('Results from eQuest'!BJ25))*0.1),"-")),"&lt;Enter Value&gt;")</f>
        <v>&lt;Enter Value&gt;</v>
      </c>
      <c r="J21" s="2967" t="str">
        <f>IF('General Information'!$H$47="eQuest",IF(C21="","",IF(C21="","-",(('Results from eQuest'!BA24+'Results from eQuest'!BG24)/10-('Results from eQuest'!BA25+'Results from eQuest'!BG25)/10))),"&lt;Enter Value&gt;")</f>
        <v>&lt;Enter Value&gt;</v>
      </c>
      <c r="K21" s="2967" t="str">
        <f>IF('General Information'!$H$47="eQuest",IF(C21="","",IFERROR(IF(C21="","-",(('Results from eQuest'!P24+'Results from eQuest'!Q24)-('Results from eQuest'!P25+'Results from eQuest'!Q25))),"-")),"&lt;Enter Value&gt;")</f>
        <v>&lt;Enter Value&gt;</v>
      </c>
      <c r="L21" s="1802"/>
      <c r="M21" s="1820" t="str">
        <f t="shared" si="2"/>
        <v/>
      </c>
      <c r="P21" s="1802" t="str">
        <f t="shared" si="3"/>
        <v/>
      </c>
      <c r="Q21" s="1802" t="str">
        <f t="shared" si="4"/>
        <v/>
      </c>
      <c r="S21" s="1802" t="str">
        <f>IFERROR(INDEX(ECM!$C$5:$E$274,MATCH('Detailed Measures'!B21,ECM!$C$5:$C$274,0),2),"&lt;Enter Description Here&gt;")</f>
        <v>&lt;Enter Description Here&gt;</v>
      </c>
      <c r="T21" s="1802" t="str">
        <f>IFERROR(INDEX(ECM!$C$5:$E$274,MATCH('Detailed Measures'!B21,ECM!$C$5:$C$274,0),3),"&lt;Enter Description Here&gt;")</f>
        <v>&lt;Enter Description Here&gt;</v>
      </c>
    </row>
    <row r="22" spans="2:20" ht="92.7" customHeight="1" x14ac:dyDescent="0.25">
      <c r="B22" s="1818">
        <v>11</v>
      </c>
      <c r="C22" s="1817" t="str">
        <f>IF('Results from eQuest'!J26="","",'Results from eQuest'!J26)</f>
        <v/>
      </c>
      <c r="D22" s="1802" t="str">
        <f t="shared" si="0"/>
        <v/>
      </c>
      <c r="E22" s="1802" t="str">
        <f t="shared" si="1"/>
        <v/>
      </c>
      <c r="F22" s="1506"/>
      <c r="G22" s="1506"/>
      <c r="H22" s="2967" t="str">
        <f>IF('General Information'!$H$47="eQuest",IF(C22="","",IFERROR(IF(C22="","-",(('Results from eQuest'!X25)-('Results from eQuest'!X26))),"-")),"&lt;Enter Value&gt;")</f>
        <v>&lt;Enter Value&gt;</v>
      </c>
      <c r="I22" s="2967" t="str">
        <f>IF('General Information'!$H$47="eQuest",IF(C22="","",IFERROR(IF(C22="","-",(('Results from eQuest'!BJ25)-('Results from eQuest'!BJ26))*0.1),"-")),"&lt;Enter Value&gt;")</f>
        <v>&lt;Enter Value&gt;</v>
      </c>
      <c r="J22" s="2967" t="str">
        <f>IF('General Information'!$H$47="eQuest",IF(C22="","",IF(C22="","-",(('Results from eQuest'!BA25+'Results from eQuest'!BG25)/10-('Results from eQuest'!BA26+'Results from eQuest'!BG26)/10))),"&lt;Enter Value&gt;")</f>
        <v>&lt;Enter Value&gt;</v>
      </c>
      <c r="K22" s="2967" t="str">
        <f>IF('General Information'!$H$47="eQuest",IF(C22="","",IFERROR(IF(C22="","-",(('Results from eQuest'!P25+'Results from eQuest'!Q25)-('Results from eQuest'!P26+'Results from eQuest'!Q26))),"-")),"&lt;Enter Value&gt;")</f>
        <v>&lt;Enter Value&gt;</v>
      </c>
      <c r="L22" s="1802"/>
      <c r="M22" s="1820" t="str">
        <f t="shared" si="2"/>
        <v/>
      </c>
      <c r="P22" s="1802" t="str">
        <f t="shared" si="3"/>
        <v/>
      </c>
      <c r="Q22" s="1802" t="str">
        <f t="shared" si="4"/>
        <v/>
      </c>
      <c r="S22" s="1802" t="str">
        <f>IFERROR(INDEX(ECM!$C$5:$E$274,MATCH('Detailed Measures'!B22,ECM!$C$5:$C$274,0),2),"&lt;Enter Description Here&gt;")</f>
        <v>&lt;Enter Description Here&gt;</v>
      </c>
      <c r="T22" s="1802" t="str">
        <f>IFERROR(INDEX(ECM!$C$5:$E$274,MATCH('Detailed Measures'!B22,ECM!$C$5:$C$274,0),3),"&lt;Enter Description Here&gt;")</f>
        <v>&lt;Enter Description Here&gt;</v>
      </c>
    </row>
    <row r="23" spans="2:20" ht="92.7" customHeight="1" x14ac:dyDescent="0.25">
      <c r="B23" s="1818">
        <v>12</v>
      </c>
      <c r="C23" s="1817" t="str">
        <f>IF('Results from eQuest'!J27="","",'Results from eQuest'!J27)</f>
        <v/>
      </c>
      <c r="D23" s="1802" t="str">
        <f t="shared" si="0"/>
        <v/>
      </c>
      <c r="E23" s="1802" t="str">
        <f t="shared" si="1"/>
        <v/>
      </c>
      <c r="F23" s="1506"/>
      <c r="G23" s="1506"/>
      <c r="H23" s="2967" t="str">
        <f>IF('General Information'!$H$47="eQuest",IF(C23="","",IFERROR(IF(C23="","-",(('Results from eQuest'!X26)-('Results from eQuest'!X27))),"-")),"&lt;Enter Value&gt;")</f>
        <v>&lt;Enter Value&gt;</v>
      </c>
      <c r="I23" s="2967" t="str">
        <f>IF('General Information'!$H$47="eQuest",IF(C23="","",IFERROR(IF(C23="","-",(('Results from eQuest'!BJ26)-('Results from eQuest'!BJ27))*0.1),"-")),"&lt;Enter Value&gt;")</f>
        <v>&lt;Enter Value&gt;</v>
      </c>
      <c r="J23" s="2967" t="str">
        <f>IF('General Information'!$H$47="eQuest",IF(C23="","",IF(C23="","-",(('Results from eQuest'!BA26+'Results from eQuest'!BG26)/10-('Results from eQuest'!BA27+'Results from eQuest'!BG27)/10))),"&lt;Enter Value&gt;")</f>
        <v>&lt;Enter Value&gt;</v>
      </c>
      <c r="K23" s="2967" t="str">
        <f>IF('General Information'!$H$47="eQuest",IF(C23="","",IFERROR(IF(C23="","-",(('Results from eQuest'!P26+'Results from eQuest'!Q26)-('Results from eQuest'!P27+'Results from eQuest'!Q27))),"-")),"&lt;Enter Value&gt;")</f>
        <v>&lt;Enter Value&gt;</v>
      </c>
      <c r="L23" s="1802"/>
      <c r="M23" s="1820" t="str">
        <f t="shared" si="2"/>
        <v/>
      </c>
      <c r="P23" s="1802" t="str">
        <f t="shared" si="3"/>
        <v/>
      </c>
      <c r="Q23" s="1802" t="str">
        <f t="shared" si="4"/>
        <v/>
      </c>
      <c r="S23" s="1802" t="str">
        <f>IFERROR(INDEX(ECM!$C$5:$E$274,MATCH('Detailed Measures'!B23,ECM!$C$5:$C$274,0),2),"&lt;Enter Description Here&gt;")</f>
        <v>&lt;Enter Description Here&gt;</v>
      </c>
      <c r="T23" s="1802" t="str">
        <f>IFERROR(INDEX(ECM!$C$5:$E$274,MATCH('Detailed Measures'!B23,ECM!$C$5:$C$274,0),3),"&lt;Enter Description Here&gt;")</f>
        <v>&lt;Enter Description Here&gt;</v>
      </c>
    </row>
    <row r="24" spans="2:20" ht="92.7" customHeight="1" x14ac:dyDescent="0.25">
      <c r="B24" s="1818">
        <v>13</v>
      </c>
      <c r="C24" s="1817" t="str">
        <f>IF('Results from eQuest'!J28="","",'Results from eQuest'!J28)</f>
        <v/>
      </c>
      <c r="D24" s="1802" t="str">
        <f t="shared" si="0"/>
        <v/>
      </c>
      <c r="E24" s="1802" t="str">
        <f t="shared" si="1"/>
        <v/>
      </c>
      <c r="F24" s="1506"/>
      <c r="G24" s="1506"/>
      <c r="H24" s="2967" t="str">
        <f>IF('General Information'!$H$47="eQuest",IF(C24="","",IFERROR(IF(C24="","-",(('Results from eQuest'!X27)-('Results from eQuest'!X28))),"-")),"&lt;Enter Value&gt;")</f>
        <v>&lt;Enter Value&gt;</v>
      </c>
      <c r="I24" s="2967" t="str">
        <f>IF('General Information'!$H$47="eQuest",IF(C24="","",IFERROR(IF(C24="","-",(('Results from eQuest'!BJ27)-('Results from eQuest'!BJ28))*0.1),"-")),"&lt;Enter Value&gt;")</f>
        <v>&lt;Enter Value&gt;</v>
      </c>
      <c r="J24" s="2967" t="str">
        <f>IF('General Information'!$H$47="eQuest",IF(C24="","",IF(C24="","-",(('Results from eQuest'!BA27+'Results from eQuest'!BG27)/10-('Results from eQuest'!BA28+'Results from eQuest'!BG28)/10))),"&lt;Enter Value&gt;")</f>
        <v>&lt;Enter Value&gt;</v>
      </c>
      <c r="K24" s="2967" t="str">
        <f>IF('General Information'!$H$47="eQuest",IF(C24="","",IFERROR(IF(C24="","-",(('Results from eQuest'!P27+'Results from eQuest'!Q27)-('Results from eQuest'!P28+'Results from eQuest'!Q28))),"-")),"&lt;Enter Value&gt;")</f>
        <v>&lt;Enter Value&gt;</v>
      </c>
      <c r="L24" s="1802"/>
      <c r="M24" s="1820" t="str">
        <f t="shared" si="2"/>
        <v/>
      </c>
      <c r="P24" s="1802" t="str">
        <f t="shared" si="3"/>
        <v/>
      </c>
      <c r="Q24" s="1802" t="str">
        <f t="shared" si="4"/>
        <v/>
      </c>
      <c r="S24" s="1802" t="str">
        <f>IFERROR(INDEX(ECM!$C$5:$E$274,MATCH('Detailed Measures'!B24,ECM!$C$5:$C$274,0),2),"&lt;Enter Description Here&gt;")</f>
        <v>&lt;Enter Description Here&gt;</v>
      </c>
      <c r="T24" s="1802" t="str">
        <f>IFERROR(INDEX(ECM!$C$5:$E$274,MATCH('Detailed Measures'!B24,ECM!$C$5:$C$274,0),3),"&lt;Enter Description Here&gt;")</f>
        <v>&lt;Enter Description Here&gt;</v>
      </c>
    </row>
    <row r="25" spans="2:20" ht="92.7" customHeight="1" x14ac:dyDescent="0.25">
      <c r="B25" s="1818">
        <v>14</v>
      </c>
      <c r="C25" s="1817" t="str">
        <f>IF('Results from eQuest'!J29="","",'Results from eQuest'!J29)</f>
        <v/>
      </c>
      <c r="D25" s="1802" t="str">
        <f t="shared" si="0"/>
        <v/>
      </c>
      <c r="E25" s="1802" t="str">
        <f t="shared" si="1"/>
        <v/>
      </c>
      <c r="F25" s="1506"/>
      <c r="G25" s="1506"/>
      <c r="H25" s="2967" t="str">
        <f>IF('General Information'!$H$47="eQuest",IF(C25="","",IFERROR(IF(C25="","-",(('Results from eQuest'!X28)-('Results from eQuest'!X29))),"-")),"&lt;Enter Value&gt;")</f>
        <v>&lt;Enter Value&gt;</v>
      </c>
      <c r="I25" s="2967" t="str">
        <f>IF('General Information'!$H$47="eQuest",IF(C25="","",IFERROR(IF(C25="","-",(('Results from eQuest'!BJ28)-('Results from eQuest'!BJ29))*0.1),"-")),"&lt;Enter Value&gt;")</f>
        <v>&lt;Enter Value&gt;</v>
      </c>
      <c r="J25" s="2967" t="str">
        <f>IF('General Information'!$H$47="eQuest",IF(C25="","",IF(C25="","-",(('Results from eQuest'!BA28+'Results from eQuest'!BG28)/10-('Results from eQuest'!BA29+'Results from eQuest'!BG29)/10))),"&lt;Enter Value&gt;")</f>
        <v>&lt;Enter Value&gt;</v>
      </c>
      <c r="K25" s="2967" t="str">
        <f>IF('General Information'!$H$47="eQuest",IF(C25="","",IFERROR(IF(C25="","-",(('Results from eQuest'!P28+'Results from eQuest'!Q28)-('Results from eQuest'!P29+'Results from eQuest'!Q29))),"-")),"&lt;Enter Value&gt;")</f>
        <v>&lt;Enter Value&gt;</v>
      </c>
      <c r="L25" s="1802"/>
      <c r="M25" s="1820" t="str">
        <f t="shared" si="2"/>
        <v/>
      </c>
      <c r="P25" s="1802" t="str">
        <f t="shared" si="3"/>
        <v/>
      </c>
      <c r="Q25" s="1802" t="str">
        <f t="shared" si="4"/>
        <v/>
      </c>
      <c r="S25" s="1802" t="str">
        <f>IFERROR(INDEX(ECM!$C$5:$E$274,MATCH('Detailed Measures'!B25,ECM!$C$5:$C$274,0),2),"&lt;Enter Description Here&gt;")</f>
        <v>&lt;Enter Description Here&gt;</v>
      </c>
      <c r="T25" s="1802" t="str">
        <f>IFERROR(INDEX(ECM!$C$5:$E$274,MATCH('Detailed Measures'!B25,ECM!$C$5:$C$274,0),3),"&lt;Enter Description Here&gt;")</f>
        <v>&lt;Enter Description Here&gt;</v>
      </c>
    </row>
    <row r="26" spans="2:20" ht="92.7" customHeight="1" x14ac:dyDescent="0.25">
      <c r="B26" s="1818">
        <v>15</v>
      </c>
      <c r="C26" s="1817" t="str">
        <f>IF('Results from eQuest'!J30="","",'Results from eQuest'!J30)</f>
        <v/>
      </c>
      <c r="D26" s="1802" t="str">
        <f t="shared" si="0"/>
        <v/>
      </c>
      <c r="E26" s="1802" t="str">
        <f t="shared" si="1"/>
        <v/>
      </c>
      <c r="F26" s="1506"/>
      <c r="G26" s="1506"/>
      <c r="H26" s="2967" t="str">
        <f>IF('General Information'!$H$47="eQuest",IF(C26="","",IFERROR(IF(C26="","-",(('Results from eQuest'!X29)-('Results from eQuest'!X30))),"-")),"&lt;Enter Value&gt;")</f>
        <v>&lt;Enter Value&gt;</v>
      </c>
      <c r="I26" s="2967" t="str">
        <f>IF('General Information'!$H$47="eQuest",IF(C26="","",IFERROR(IF(C26="","-",(('Results from eQuest'!BJ29)-('Results from eQuest'!BJ30))*0.1),"-")),"&lt;Enter Value&gt;")</f>
        <v>&lt;Enter Value&gt;</v>
      </c>
      <c r="J26" s="2967" t="str">
        <f>IF('General Information'!$H$47="eQuest",IF(C26="","",IF(C26="","-",(('Results from eQuest'!BA29+'Results from eQuest'!BG29)/10-('Results from eQuest'!BA30+'Results from eQuest'!BG30)/10))),"&lt;Enter Value&gt;")</f>
        <v>&lt;Enter Value&gt;</v>
      </c>
      <c r="K26" s="2967" t="str">
        <f>IF('General Information'!$H$47="eQuest",IF(C26="","",IFERROR(IF(C26="","-",(('Results from eQuest'!P29+'Results from eQuest'!Q29)-('Results from eQuest'!P30+'Results from eQuest'!Q30))),"-")),"&lt;Enter Value&gt;")</f>
        <v>&lt;Enter Value&gt;</v>
      </c>
      <c r="L26" s="1802"/>
      <c r="M26" s="1820" t="str">
        <f t="shared" si="2"/>
        <v/>
      </c>
      <c r="P26" s="1802" t="str">
        <f t="shared" si="3"/>
        <v/>
      </c>
      <c r="Q26" s="1802" t="str">
        <f t="shared" si="4"/>
        <v/>
      </c>
      <c r="S26" s="1802" t="str">
        <f>IFERROR(INDEX(ECM!$C$5:$E$274,MATCH('Detailed Measures'!B26,ECM!$C$5:$C$274,0),2),"&lt;Enter Description Here&gt;")</f>
        <v>&lt;Enter Description Here&gt;</v>
      </c>
      <c r="T26" s="1802" t="str">
        <f>IFERROR(INDEX(ECM!$C$5:$E$274,MATCH('Detailed Measures'!B26,ECM!$C$5:$C$274,0),3),"&lt;Enter Description Here&gt;")</f>
        <v>&lt;Enter Description Here&gt;</v>
      </c>
    </row>
    <row r="27" spans="2:20" ht="92.7" customHeight="1" x14ac:dyDescent="0.25">
      <c r="B27" s="1818">
        <v>16</v>
      </c>
      <c r="C27" s="1817" t="str">
        <f>IF('Results from eQuest'!J31="","",'Results from eQuest'!J31)</f>
        <v/>
      </c>
      <c r="D27" s="1802" t="str">
        <f t="shared" si="0"/>
        <v/>
      </c>
      <c r="E27" s="1802" t="str">
        <f t="shared" si="1"/>
        <v/>
      </c>
      <c r="F27" s="1506"/>
      <c r="G27" s="1506"/>
      <c r="H27" s="2967" t="str">
        <f>IF('General Information'!$H$47="eQuest",IF(C27="","",IFERROR(IF(C27="","-",(('Results from eQuest'!X30)-('Results from eQuest'!X31))),"-")),"&lt;Enter Value&gt;")</f>
        <v>&lt;Enter Value&gt;</v>
      </c>
      <c r="I27" s="2967" t="str">
        <f>IF('General Information'!$H$47="eQuest",IF(C27="","",IFERROR(IF(C27="","-",(('Results from eQuest'!BJ30)-('Results from eQuest'!BJ31))*0.1),"-")),"&lt;Enter Value&gt;")</f>
        <v>&lt;Enter Value&gt;</v>
      </c>
      <c r="J27" s="2967" t="str">
        <f>IF('General Information'!$H$47="eQuest",IF(C27="","",IF(C27="","-",(('Results from eQuest'!BA30+'Results from eQuest'!BG30)/10-('Results from eQuest'!BA31+'Results from eQuest'!BG31)/10))),"&lt;Enter Value&gt;")</f>
        <v>&lt;Enter Value&gt;</v>
      </c>
      <c r="K27" s="2967" t="str">
        <f>IF('General Information'!$H$47="eQuest",IF(C27="","",IFERROR(IF(C27="","-",(('Results from eQuest'!P30+'Results from eQuest'!Q30)-('Results from eQuest'!P31+'Results from eQuest'!Q31))),"-")),"&lt;Enter Value&gt;")</f>
        <v>&lt;Enter Value&gt;</v>
      </c>
      <c r="L27" s="1802"/>
      <c r="M27" s="1820" t="str">
        <f t="shared" si="2"/>
        <v/>
      </c>
      <c r="P27" s="1802" t="str">
        <f t="shared" si="3"/>
        <v/>
      </c>
      <c r="Q27" s="1802" t="str">
        <f t="shared" si="4"/>
        <v/>
      </c>
      <c r="S27" s="1802" t="str">
        <f>IFERROR(INDEX(ECM!$C$5:$E$274,MATCH('Detailed Measures'!B27,ECM!$C$5:$C$274,0),2),"&lt;Enter Description Here&gt;")</f>
        <v>&lt;Enter Description Here&gt;</v>
      </c>
      <c r="T27" s="1802" t="str">
        <f>IFERROR(INDEX(ECM!$C$5:$E$274,MATCH('Detailed Measures'!B27,ECM!$C$5:$C$274,0),3),"&lt;Enter Description Here&gt;")</f>
        <v>&lt;Enter Description Here&gt;</v>
      </c>
    </row>
    <row r="28" spans="2:20" ht="92.7" customHeight="1" x14ac:dyDescent="0.25">
      <c r="B28" s="1818">
        <v>17</v>
      </c>
      <c r="C28" s="1817" t="str">
        <f>IF('Results from eQuest'!J32="","",'Results from eQuest'!J32)</f>
        <v/>
      </c>
      <c r="D28" s="1802" t="str">
        <f t="shared" si="0"/>
        <v/>
      </c>
      <c r="E28" s="1802" t="str">
        <f t="shared" si="1"/>
        <v/>
      </c>
      <c r="F28" s="1506"/>
      <c r="G28" s="1506"/>
      <c r="H28" s="2967" t="str">
        <f>IF('General Information'!$H$47="eQuest",IF(C28="","",IFERROR(IF(C28="","-",(('Results from eQuest'!X31)-('Results from eQuest'!X32))),"-")),"&lt;Enter Value&gt;")</f>
        <v>&lt;Enter Value&gt;</v>
      </c>
      <c r="I28" s="2967" t="str">
        <f>IF('General Information'!$H$47="eQuest",IF(C28="","",IFERROR(IF(C28="","-",(('Results from eQuest'!BJ31)-('Results from eQuest'!BJ32))*0.1),"-")),"&lt;Enter Value&gt;")</f>
        <v>&lt;Enter Value&gt;</v>
      </c>
      <c r="J28" s="2967" t="str">
        <f>IF('General Information'!$H$47="eQuest",IF(C28="","",IF(C28="","-",(('Results from eQuest'!BA31+'Results from eQuest'!BG31)/10-('Results from eQuest'!BA32+'Results from eQuest'!BG32)/10))),"&lt;Enter Value&gt;")</f>
        <v>&lt;Enter Value&gt;</v>
      </c>
      <c r="K28" s="2967" t="str">
        <f>IF('General Information'!$H$47="eQuest",IF(C28="","",IFERROR(IF(C28="","-",(('Results from eQuest'!P31+'Results from eQuest'!Q31)-('Results from eQuest'!P32+'Results from eQuest'!Q32))),"-")),"&lt;Enter Value&gt;")</f>
        <v>&lt;Enter Value&gt;</v>
      </c>
      <c r="L28" s="1802"/>
      <c r="M28" s="1820" t="str">
        <f t="shared" si="2"/>
        <v/>
      </c>
      <c r="P28" s="1802" t="str">
        <f t="shared" si="3"/>
        <v/>
      </c>
      <c r="Q28" s="1802" t="str">
        <f t="shared" si="4"/>
        <v/>
      </c>
      <c r="S28" s="1802" t="str">
        <f>IFERROR(INDEX(ECM!$C$5:$E$274,MATCH('Detailed Measures'!B28,ECM!$C$5:$C$274,0),2),"&lt;Enter Description Here&gt;")</f>
        <v>&lt;Enter Description Here&gt;</v>
      </c>
      <c r="T28" s="1802" t="str">
        <f>IFERROR(INDEX(ECM!$C$5:$E$274,MATCH('Detailed Measures'!B28,ECM!$C$5:$C$274,0),3),"&lt;Enter Description Here&gt;")</f>
        <v>&lt;Enter Description Here&gt;</v>
      </c>
    </row>
    <row r="29" spans="2:20" ht="92.7" customHeight="1" x14ac:dyDescent="0.25">
      <c r="B29" s="1818">
        <v>18</v>
      </c>
      <c r="C29" s="1817" t="str">
        <f>IF('Results from eQuest'!J33="","",'Results from eQuest'!J33)</f>
        <v/>
      </c>
      <c r="D29" s="1802" t="str">
        <f t="shared" si="0"/>
        <v/>
      </c>
      <c r="E29" s="1802" t="str">
        <f t="shared" si="1"/>
        <v/>
      </c>
      <c r="F29" s="1506"/>
      <c r="G29" s="1506"/>
      <c r="H29" s="2967" t="str">
        <f>IF('General Information'!$H$47="eQuest",IF(C29="","",IFERROR(IF(C29="","-",(('Results from eQuest'!X32)-('Results from eQuest'!X33))),"-")),"&lt;Enter Value&gt;")</f>
        <v>&lt;Enter Value&gt;</v>
      </c>
      <c r="I29" s="2967" t="str">
        <f>IF('General Information'!$H$47="eQuest",IF(C29="","",IFERROR(IF(C29="","-",(('Results from eQuest'!BJ32)-('Results from eQuest'!BJ33))*0.1),"-")),"&lt;Enter Value&gt;")</f>
        <v>&lt;Enter Value&gt;</v>
      </c>
      <c r="J29" s="2967" t="str">
        <f>IF('General Information'!$H$47="eQuest",IF(C29="","",IF(C29="","-",(('Results from eQuest'!BA32+'Results from eQuest'!BG32)/10-('Results from eQuest'!BA33+'Results from eQuest'!BG33)/10))),"&lt;Enter Value&gt;")</f>
        <v>&lt;Enter Value&gt;</v>
      </c>
      <c r="K29" s="2967" t="str">
        <f>IF('General Information'!$H$47="eQuest",IF(C29="","",IFERROR(IF(C29="","-",(('Results from eQuest'!P32+'Results from eQuest'!Q32)-('Results from eQuest'!P33+'Results from eQuest'!Q33))),"-")),"&lt;Enter Value&gt;")</f>
        <v>&lt;Enter Value&gt;</v>
      </c>
      <c r="L29" s="1802"/>
      <c r="M29" s="1820" t="str">
        <f t="shared" si="2"/>
        <v/>
      </c>
      <c r="P29" s="1802" t="str">
        <f t="shared" si="3"/>
        <v/>
      </c>
      <c r="Q29" s="1802" t="str">
        <f t="shared" si="4"/>
        <v/>
      </c>
      <c r="S29" s="1802" t="str">
        <f>IFERROR(INDEX(ECM!$C$5:$E$274,MATCH('Detailed Measures'!B29,ECM!$C$5:$C$274,0),2),"&lt;Enter Description Here&gt;")</f>
        <v>&lt;Enter Description Here&gt;</v>
      </c>
      <c r="T29" s="1802" t="str">
        <f>IFERROR(INDEX(ECM!$C$5:$E$274,MATCH('Detailed Measures'!B29,ECM!$C$5:$C$274,0),3),"&lt;Enter Description Here&gt;")</f>
        <v>&lt;Enter Description Here&gt;</v>
      </c>
    </row>
    <row r="30" spans="2:20" ht="92.7" customHeight="1" x14ac:dyDescent="0.25">
      <c r="B30" s="1818">
        <v>19</v>
      </c>
      <c r="C30" s="1817" t="str">
        <f>IF('Results from eQuest'!J34="","",'Results from eQuest'!J34)</f>
        <v/>
      </c>
      <c r="D30" s="1802" t="str">
        <f t="shared" si="0"/>
        <v/>
      </c>
      <c r="E30" s="1802" t="str">
        <f t="shared" si="1"/>
        <v/>
      </c>
      <c r="F30" s="1506"/>
      <c r="G30" s="1506"/>
      <c r="H30" s="2967" t="str">
        <f>IF('General Information'!$H$47="eQuest",IF(C30="","",IFERROR(IF(C30="","-",(('Results from eQuest'!X33)-('Results from eQuest'!X34))),"-")),"&lt;Enter Value&gt;")</f>
        <v>&lt;Enter Value&gt;</v>
      </c>
      <c r="I30" s="2967" t="str">
        <f>IF('General Information'!$H$47="eQuest",IF(C30="","",IFERROR(IF(C30="","-",(('Results from eQuest'!BJ33)-('Results from eQuest'!BJ34))*0.1),"-")),"&lt;Enter Value&gt;")</f>
        <v>&lt;Enter Value&gt;</v>
      </c>
      <c r="J30" s="2967" t="str">
        <f>IF('General Information'!$H$47="eQuest",IF(C30="","",IF(C30="","-",(('Results from eQuest'!BA33+'Results from eQuest'!BG33)/10-('Results from eQuest'!BA34+'Results from eQuest'!BG34)/10))),"&lt;Enter Value&gt;")</f>
        <v>&lt;Enter Value&gt;</v>
      </c>
      <c r="K30" s="2967" t="str">
        <f>IF('General Information'!$H$47="eQuest",IF(C30="","",IFERROR(IF(C30="","-",(('Results from eQuest'!P33+'Results from eQuest'!Q33)-('Results from eQuest'!P34+'Results from eQuest'!Q34))),"-")),"&lt;Enter Value&gt;")</f>
        <v>&lt;Enter Value&gt;</v>
      </c>
      <c r="L30" s="1802"/>
      <c r="M30" s="1820" t="str">
        <f t="shared" si="2"/>
        <v/>
      </c>
      <c r="P30" s="1802" t="str">
        <f t="shared" si="3"/>
        <v/>
      </c>
      <c r="Q30" s="1802" t="str">
        <f t="shared" si="4"/>
        <v/>
      </c>
      <c r="S30" s="1802" t="str">
        <f>IFERROR(INDEX(ECM!$C$5:$E$274,MATCH('Detailed Measures'!B30,ECM!$C$5:$C$274,0),2),"&lt;Enter Description Here&gt;")</f>
        <v>&lt;Enter Description Here&gt;</v>
      </c>
      <c r="T30" s="1802" t="str">
        <f>IFERROR(INDEX(ECM!$C$5:$E$274,MATCH('Detailed Measures'!B30,ECM!$C$5:$C$274,0),3),"&lt;Enter Description Here&gt;")</f>
        <v>&lt;Enter Description Here&gt;</v>
      </c>
    </row>
    <row r="31" spans="2:20" ht="92.7" customHeight="1" x14ac:dyDescent="0.25">
      <c r="B31" s="1818">
        <v>20</v>
      </c>
      <c r="C31" s="1817" t="str">
        <f>IF('Results from eQuest'!J35="","",'Results from eQuest'!J35)</f>
        <v/>
      </c>
      <c r="D31" s="1802" t="str">
        <f t="shared" si="0"/>
        <v/>
      </c>
      <c r="E31" s="1802" t="str">
        <f t="shared" si="1"/>
        <v/>
      </c>
      <c r="F31" s="1506"/>
      <c r="G31" s="1506"/>
      <c r="H31" s="2967" t="str">
        <f>IF('General Information'!$H$47="eQuest",IF(C31="","",IFERROR(IF(C31="","-",(('Results from eQuest'!X34)-('Results from eQuest'!X35))),"-")),"&lt;Enter Value&gt;")</f>
        <v>&lt;Enter Value&gt;</v>
      </c>
      <c r="I31" s="2967" t="str">
        <f>IF('General Information'!$H$47="eQuest",IF(C31="","",IFERROR(IF(C31="","-",(('Results from eQuest'!BJ34)-('Results from eQuest'!BJ35))*0.1),"-")),"&lt;Enter Value&gt;")</f>
        <v>&lt;Enter Value&gt;</v>
      </c>
      <c r="J31" s="2967" t="str">
        <f>IF('General Information'!$H$47="eQuest",IF(C31="","",IF(C31="","-",(('Results from eQuest'!BA34+'Results from eQuest'!BG34)/10-('Results from eQuest'!BA35+'Results from eQuest'!BG35)/10))),"&lt;Enter Value&gt;")</f>
        <v>&lt;Enter Value&gt;</v>
      </c>
      <c r="K31" s="2967" t="str">
        <f>IF('General Information'!$H$47="eQuest",IF(C31="","",IFERROR(IF(C31="","-",(('Results from eQuest'!P34+'Results from eQuest'!Q34)-('Results from eQuest'!P35+'Results from eQuest'!Q35))),"-")),"&lt;Enter Value&gt;")</f>
        <v>&lt;Enter Value&gt;</v>
      </c>
      <c r="L31" s="1802"/>
      <c r="M31" s="1820" t="str">
        <f t="shared" si="2"/>
        <v/>
      </c>
      <c r="P31" s="1802" t="str">
        <f t="shared" si="3"/>
        <v/>
      </c>
      <c r="Q31" s="1802" t="str">
        <f t="shared" si="4"/>
        <v/>
      </c>
      <c r="S31" s="1802" t="str">
        <f>IFERROR(INDEX(ECM!$C$5:$E$274,MATCH('Detailed Measures'!B31,ECM!$C$5:$C$274,0),2),"&lt;Enter Description Here&gt;")</f>
        <v>&lt;Enter Description Here&gt;</v>
      </c>
      <c r="T31" s="1802" t="str">
        <f>IFERROR(INDEX(ECM!$C$5:$E$274,MATCH('Detailed Measures'!B31,ECM!$C$5:$C$274,0),3),"&lt;Enter Description Here&gt;")</f>
        <v>&lt;Enter Description Here&gt;</v>
      </c>
    </row>
    <row r="32" spans="2:20" ht="92.7" customHeight="1" x14ac:dyDescent="0.25">
      <c r="B32" s="1818">
        <v>21</v>
      </c>
      <c r="C32" s="1817" t="str">
        <f>IF('Results from eQuest'!J36="","",'Results from eQuest'!J36)</f>
        <v/>
      </c>
      <c r="D32" s="1802" t="str">
        <f t="shared" si="0"/>
        <v/>
      </c>
      <c r="E32" s="1802" t="str">
        <f t="shared" si="1"/>
        <v/>
      </c>
      <c r="F32" s="1506"/>
      <c r="G32" s="1506"/>
      <c r="H32" s="2967" t="str">
        <f>IF('General Information'!$H$47="eQuest",IF(C32="","",IFERROR(IF(C32="","-",(('Results from eQuest'!X35)-('Results from eQuest'!X36))),"-")),"&lt;Enter Value&gt;")</f>
        <v>&lt;Enter Value&gt;</v>
      </c>
      <c r="I32" s="2967" t="str">
        <f>IF('General Information'!$H$47="eQuest",IF(C32="","",IFERROR(IF(C32="","-",(('Results from eQuest'!BJ35)-('Results from eQuest'!BJ36))*0.1),"-")),"&lt;Enter Value&gt;")</f>
        <v>&lt;Enter Value&gt;</v>
      </c>
      <c r="J32" s="2967" t="str">
        <f>IF('General Information'!$H$47="eQuest",IF(C32="","",IF(C32="","-",(('Results from eQuest'!BA35+'Results from eQuest'!BG35)/10-('Results from eQuest'!BA36+'Results from eQuest'!BG36)/10))),"&lt;Enter Value&gt;")</f>
        <v>&lt;Enter Value&gt;</v>
      </c>
      <c r="K32" s="2967" t="str">
        <f>IF('General Information'!$H$47="eQuest",IF(C32="","",IFERROR(IF(C32="","-",(('Results from eQuest'!P35+'Results from eQuest'!Q35)-('Results from eQuest'!P36+'Results from eQuest'!Q36))),"-")),"&lt;Enter Value&gt;")</f>
        <v>&lt;Enter Value&gt;</v>
      </c>
      <c r="L32" s="1802"/>
      <c r="M32" s="1820" t="str">
        <f t="shared" si="2"/>
        <v/>
      </c>
      <c r="P32" s="1802" t="str">
        <f t="shared" si="3"/>
        <v/>
      </c>
      <c r="Q32" s="1802" t="str">
        <f t="shared" si="4"/>
        <v/>
      </c>
      <c r="S32" s="1802" t="str">
        <f>IFERROR(INDEX(ECM!$C$5:$E$274,MATCH('Detailed Measures'!B32,ECM!$C$5:$C$274,0),2),"&lt;Enter Description Here&gt;")</f>
        <v>&lt;Enter Description Here&gt;</v>
      </c>
      <c r="T32" s="1802" t="str">
        <f>IFERROR(INDEX(ECM!$C$5:$E$274,MATCH('Detailed Measures'!B32,ECM!$C$5:$C$274,0),3),"&lt;Enter Description Here&gt;")</f>
        <v>&lt;Enter Description Here&gt;</v>
      </c>
    </row>
    <row r="33" spans="2:20" ht="92.7" customHeight="1" x14ac:dyDescent="0.25">
      <c r="B33" s="1818">
        <v>22</v>
      </c>
      <c r="C33" s="1817" t="str">
        <f>IF('Results from eQuest'!J37="","",'Results from eQuest'!J37)</f>
        <v/>
      </c>
      <c r="D33" s="1802" t="str">
        <f t="shared" si="0"/>
        <v/>
      </c>
      <c r="E33" s="1802" t="str">
        <f t="shared" si="1"/>
        <v/>
      </c>
      <c r="F33" s="1506"/>
      <c r="G33" s="1506"/>
      <c r="H33" s="2967" t="str">
        <f>IF('General Information'!$H$47="eQuest",IF(C33="","",IFERROR(IF(C33="","-",(('Results from eQuest'!X36)-('Results from eQuest'!X37))),"-")),"&lt;Enter Value&gt;")</f>
        <v>&lt;Enter Value&gt;</v>
      </c>
      <c r="I33" s="2967" t="str">
        <f>IF('General Information'!$H$47="eQuest",IF(C33="","",IFERROR(IF(C33="","-",(('Results from eQuest'!BJ36)-('Results from eQuest'!BJ37))*0.1),"-")),"&lt;Enter Value&gt;")</f>
        <v>&lt;Enter Value&gt;</v>
      </c>
      <c r="J33" s="2967" t="str">
        <f>IF('General Information'!$H$47="eQuest",IF(C33="","",IF(C33="","-",(('Results from eQuest'!BA36+'Results from eQuest'!BG36)/10-('Results from eQuest'!BA37+'Results from eQuest'!BG37)/10))),"&lt;Enter Value&gt;")</f>
        <v>&lt;Enter Value&gt;</v>
      </c>
      <c r="K33" s="2967" t="str">
        <f>IF('General Information'!$H$47="eQuest",IF(C33="","",IFERROR(IF(C33="","-",(('Results from eQuest'!P36+'Results from eQuest'!Q36)-('Results from eQuest'!P37+'Results from eQuest'!Q37))),"-")),"&lt;Enter Value&gt;")</f>
        <v>&lt;Enter Value&gt;</v>
      </c>
      <c r="L33" s="1802"/>
      <c r="M33" s="1820" t="str">
        <f t="shared" si="2"/>
        <v/>
      </c>
      <c r="P33" s="1802" t="str">
        <f t="shared" si="3"/>
        <v/>
      </c>
      <c r="Q33" s="1802" t="str">
        <f t="shared" si="4"/>
        <v/>
      </c>
      <c r="S33" s="1802" t="str">
        <f>IFERROR(INDEX(ECM!$C$5:$E$274,MATCH('Detailed Measures'!B33,ECM!$C$5:$C$274,0),2),"&lt;Enter Description Here&gt;")</f>
        <v>&lt;Enter Description Here&gt;</v>
      </c>
      <c r="T33" s="1802" t="str">
        <f>IFERROR(INDEX(ECM!$C$5:$E$274,MATCH('Detailed Measures'!B33,ECM!$C$5:$C$274,0),3),"&lt;Enter Description Here&gt;")</f>
        <v>&lt;Enter Description Here&gt;</v>
      </c>
    </row>
    <row r="34" spans="2:20" ht="92.7" customHeight="1" x14ac:dyDescent="0.25">
      <c r="B34" s="1818">
        <v>23</v>
      </c>
      <c r="C34" s="1817" t="str">
        <f>IF('Results from eQuest'!J38="","",'Results from eQuest'!J38)</f>
        <v/>
      </c>
      <c r="D34" s="1802" t="str">
        <f t="shared" si="0"/>
        <v/>
      </c>
      <c r="E34" s="1802" t="str">
        <f t="shared" si="1"/>
        <v/>
      </c>
      <c r="F34" s="1506"/>
      <c r="G34" s="1506"/>
      <c r="H34" s="2967" t="str">
        <f>IF('General Information'!$H$47="eQuest",IF(C34="","",IFERROR(IF(C34="","-",(('Results from eQuest'!X37)-('Results from eQuest'!X38))),"-")),"&lt;Enter Value&gt;")</f>
        <v>&lt;Enter Value&gt;</v>
      </c>
      <c r="I34" s="2967" t="str">
        <f>IF('General Information'!$H$47="eQuest",IF(C34="","",IFERROR(IF(C34="","-",(('Results from eQuest'!BJ37)-('Results from eQuest'!BJ38))*0.1),"-")),"&lt;Enter Value&gt;")</f>
        <v>&lt;Enter Value&gt;</v>
      </c>
      <c r="J34" s="2967" t="str">
        <f>IF('General Information'!$H$47="eQuest",IF(C34="","",IF(C34="","-",(('Results from eQuest'!BA37+'Results from eQuest'!BG37)/10-('Results from eQuest'!BA38+'Results from eQuest'!BG38)/10))),"&lt;Enter Value&gt;")</f>
        <v>&lt;Enter Value&gt;</v>
      </c>
      <c r="K34" s="2967" t="str">
        <f>IF('General Information'!$H$47="eQuest",IF(C34="","",IFERROR(IF(C34="","-",(('Results from eQuest'!P37+'Results from eQuest'!Q37)-('Results from eQuest'!P38+'Results from eQuest'!Q38))),"-")),"&lt;Enter Value&gt;")</f>
        <v>&lt;Enter Value&gt;</v>
      </c>
      <c r="L34" s="1802"/>
      <c r="M34" s="1820" t="str">
        <f t="shared" si="2"/>
        <v/>
      </c>
      <c r="P34" s="1802" t="str">
        <f t="shared" si="3"/>
        <v/>
      </c>
      <c r="Q34" s="1802" t="str">
        <f t="shared" si="4"/>
        <v/>
      </c>
      <c r="S34" s="1802" t="str">
        <f>IFERROR(INDEX(ECM!$C$5:$E$274,MATCH('Detailed Measures'!B34,ECM!$C$5:$C$274,0),2),"&lt;Enter Description Here&gt;")</f>
        <v>&lt;Enter Description Here&gt;</v>
      </c>
      <c r="T34" s="1802" t="str">
        <f>IFERROR(INDEX(ECM!$C$5:$E$274,MATCH('Detailed Measures'!B34,ECM!$C$5:$C$274,0),3),"&lt;Enter Description Here&gt;")</f>
        <v>&lt;Enter Description Here&gt;</v>
      </c>
    </row>
    <row r="35" spans="2:20" ht="92.7" customHeight="1" x14ac:dyDescent="0.25">
      <c r="B35" s="1818">
        <v>24</v>
      </c>
      <c r="C35" s="1817" t="str">
        <f>IF('Results from eQuest'!J39="","",'Results from eQuest'!J39)</f>
        <v/>
      </c>
      <c r="D35" s="1802" t="str">
        <f t="shared" si="0"/>
        <v/>
      </c>
      <c r="E35" s="1802" t="str">
        <f t="shared" si="1"/>
        <v/>
      </c>
      <c r="F35" s="1506"/>
      <c r="G35" s="1506"/>
      <c r="H35" s="2967" t="str">
        <f>IF('General Information'!$H$47="eQuest",IF(C35="","",IFERROR(IF(C35="","-",(('Results from eQuest'!X38)-('Results from eQuest'!X39))),"-")),"&lt;Enter Value&gt;")</f>
        <v>&lt;Enter Value&gt;</v>
      </c>
      <c r="I35" s="2967" t="str">
        <f>IF('General Information'!$H$47="eQuest",IF(C35="","",IFERROR(IF(C35="","-",(('Results from eQuest'!BJ38)-('Results from eQuest'!BJ39))*0.1),"-")),"&lt;Enter Value&gt;")</f>
        <v>&lt;Enter Value&gt;</v>
      </c>
      <c r="J35" s="2967" t="str">
        <f>IF('General Information'!$H$47="eQuest",IF(C35="","",IF(C35="","-",(('Results from eQuest'!BA38+'Results from eQuest'!BG38)/10-('Results from eQuest'!BA39+'Results from eQuest'!BG39)/10))),"&lt;Enter Value&gt;")</f>
        <v>&lt;Enter Value&gt;</v>
      </c>
      <c r="K35" s="2967" t="str">
        <f>IF('General Information'!$H$47="eQuest",IF(C35="","",IFERROR(IF(C35="","-",(('Results from eQuest'!P38+'Results from eQuest'!Q38)-('Results from eQuest'!P39+'Results from eQuest'!Q39))),"-")),"&lt;Enter Value&gt;")</f>
        <v>&lt;Enter Value&gt;</v>
      </c>
      <c r="L35" s="1802"/>
      <c r="M35" s="1820" t="str">
        <f t="shared" si="2"/>
        <v/>
      </c>
      <c r="P35" s="1802" t="str">
        <f t="shared" si="3"/>
        <v/>
      </c>
      <c r="Q35" s="1802" t="str">
        <f t="shared" si="4"/>
        <v/>
      </c>
      <c r="S35" s="1802" t="str">
        <f>IFERROR(INDEX(ECM!$C$5:$E$274,MATCH('Detailed Measures'!B35,ECM!$C$5:$C$274,0),2),"&lt;Enter Description Here&gt;")</f>
        <v>&lt;Enter Description Here&gt;</v>
      </c>
      <c r="T35" s="1802" t="str">
        <f>IFERROR(INDEX(ECM!$C$5:$E$274,MATCH('Detailed Measures'!B35,ECM!$C$5:$C$274,0),3),"&lt;Enter Description Here&gt;")</f>
        <v>&lt;Enter Description Here&gt;</v>
      </c>
    </row>
    <row r="36" spans="2:20" ht="92.7" customHeight="1" x14ac:dyDescent="0.25">
      <c r="B36" s="1818">
        <v>25</v>
      </c>
      <c r="C36" s="1817" t="str">
        <f>IF('Results from eQuest'!J40="","",'Results from eQuest'!J40)</f>
        <v/>
      </c>
      <c r="D36" s="1802" t="str">
        <f t="shared" si="0"/>
        <v/>
      </c>
      <c r="E36" s="1802" t="str">
        <f t="shared" si="1"/>
        <v/>
      </c>
      <c r="F36" s="1506"/>
      <c r="G36" s="1506"/>
      <c r="H36" s="2967" t="str">
        <f>IF('General Information'!$H$47="eQuest",IF(C36="","",IFERROR(IF(C36="","-",(('Results from eQuest'!X39)-('Results from eQuest'!X40))),"-")),"&lt;Enter Value&gt;")</f>
        <v>&lt;Enter Value&gt;</v>
      </c>
      <c r="I36" s="2967" t="str">
        <f>IF('General Information'!$H$47="eQuest",IF(C36="","",IFERROR(IF(C36="","-",(('Results from eQuest'!BJ39)-('Results from eQuest'!BJ40))*0.1),"-")),"&lt;Enter Value&gt;")</f>
        <v>&lt;Enter Value&gt;</v>
      </c>
      <c r="J36" s="2967" t="str">
        <f>IF('General Information'!$H$47="eQuest",IF(C36="","",IF(C36="","-",(('Results from eQuest'!BA39+'Results from eQuest'!BG39)/10-('Results from eQuest'!BA40+'Results from eQuest'!BG40)/10))),"&lt;Enter Value&gt;")</f>
        <v>&lt;Enter Value&gt;</v>
      </c>
      <c r="K36" s="2967" t="str">
        <f>IF('General Information'!$H$47="eQuest",IF(C36="","",IFERROR(IF(C36="","-",(('Results from eQuest'!P39+'Results from eQuest'!Q39)-('Results from eQuest'!P40+'Results from eQuest'!Q40))),"-")),"&lt;Enter Value&gt;")</f>
        <v>&lt;Enter Value&gt;</v>
      </c>
      <c r="L36" s="1802"/>
      <c r="M36" s="1820" t="str">
        <f t="shared" si="2"/>
        <v/>
      </c>
      <c r="P36" s="1802" t="str">
        <f t="shared" si="3"/>
        <v/>
      </c>
      <c r="Q36" s="1802" t="str">
        <f t="shared" si="4"/>
        <v/>
      </c>
      <c r="S36" s="1802" t="str">
        <f>IFERROR(INDEX(ECM!$C$5:$E$274,MATCH('Detailed Measures'!B36,ECM!$C$5:$C$274,0),2),"&lt;Enter Description Here&gt;")</f>
        <v>&lt;Enter Description Here&gt;</v>
      </c>
      <c r="T36" s="1802" t="str">
        <f>IFERROR(INDEX(ECM!$C$5:$E$274,MATCH('Detailed Measures'!B36,ECM!$C$5:$C$274,0),3),"&lt;Enter Description Here&gt;")</f>
        <v>&lt;Enter Description Here&gt;</v>
      </c>
    </row>
    <row r="37" spans="2:20" ht="92.7" customHeight="1" x14ac:dyDescent="0.25">
      <c r="B37" s="1818">
        <v>26</v>
      </c>
      <c r="C37" s="1817" t="str">
        <f>IF('Results from eQuest'!J41="","",'Results from eQuest'!J41)</f>
        <v/>
      </c>
      <c r="D37" s="1802" t="str">
        <f t="shared" si="0"/>
        <v/>
      </c>
      <c r="E37" s="1802" t="str">
        <f t="shared" si="1"/>
        <v/>
      </c>
      <c r="F37" s="1506"/>
      <c r="G37" s="1506"/>
      <c r="H37" s="2967" t="str">
        <f>IF('General Information'!$H$47="eQuest",IF(C37="","",IFERROR(IF(C37="","-",(('Results from eQuest'!X40)-('Results from eQuest'!X41))),"-")),"&lt;Enter Value&gt;")</f>
        <v>&lt;Enter Value&gt;</v>
      </c>
      <c r="I37" s="2967" t="str">
        <f>IF('General Information'!$H$47="eQuest",IF(C37="","",IFERROR(IF(C37="","-",(('Results from eQuest'!BJ40)-('Results from eQuest'!BJ41))*0.1),"-")),"&lt;Enter Value&gt;")</f>
        <v>&lt;Enter Value&gt;</v>
      </c>
      <c r="J37" s="2967" t="str">
        <f>IF('General Information'!$H$47="eQuest",IF(C37="","",IF(C37="","-",(('Results from eQuest'!BA40+'Results from eQuest'!BG40)/10-('Results from eQuest'!BA41+'Results from eQuest'!BG41)/10))),"&lt;Enter Value&gt;")</f>
        <v>&lt;Enter Value&gt;</v>
      </c>
      <c r="K37" s="2967" t="str">
        <f>IF('General Information'!$H$47="eQuest",IF(C37="","",IFERROR(IF(C37="","-",(('Results from eQuest'!P40+'Results from eQuest'!Q40)-('Results from eQuest'!P41+'Results from eQuest'!Q41))),"-")),"&lt;Enter Value&gt;")</f>
        <v>&lt;Enter Value&gt;</v>
      </c>
      <c r="L37" s="1802"/>
      <c r="M37" s="1820" t="str">
        <f t="shared" si="2"/>
        <v/>
      </c>
      <c r="P37" s="1802" t="str">
        <f t="shared" si="3"/>
        <v/>
      </c>
      <c r="Q37" s="1802" t="str">
        <f t="shared" si="4"/>
        <v/>
      </c>
      <c r="S37" s="1802" t="str">
        <f>IFERROR(INDEX(ECM!$C$5:$E$274,MATCH('Detailed Measures'!B37,ECM!$C$5:$C$274,0),2),"&lt;Enter Description Here&gt;")</f>
        <v>&lt;Enter Description Here&gt;</v>
      </c>
      <c r="T37" s="1802" t="str">
        <f>IFERROR(INDEX(ECM!$C$5:$E$274,MATCH('Detailed Measures'!B37,ECM!$C$5:$C$274,0),3),"&lt;Enter Description Here&gt;")</f>
        <v>&lt;Enter Description Here&gt;</v>
      </c>
    </row>
    <row r="38" spans="2:20" ht="92.7" customHeight="1" x14ac:dyDescent="0.25">
      <c r="B38" s="1818">
        <v>27</v>
      </c>
      <c r="C38" s="1817" t="str">
        <f>IF('Results from eQuest'!J42="","",'Results from eQuest'!J42)</f>
        <v/>
      </c>
      <c r="D38" s="1802" t="str">
        <f t="shared" si="0"/>
        <v/>
      </c>
      <c r="E38" s="1802" t="str">
        <f t="shared" si="1"/>
        <v/>
      </c>
      <c r="F38" s="1506"/>
      <c r="G38" s="1506"/>
      <c r="H38" s="2967" t="str">
        <f>IF('General Information'!$H$47="eQuest",IF(C38="","",IFERROR(IF(C38="","-",(('Results from eQuest'!X41)-('Results from eQuest'!X42))),"-")),"&lt;Enter Value&gt;")</f>
        <v>&lt;Enter Value&gt;</v>
      </c>
      <c r="I38" s="2967" t="str">
        <f>IF('General Information'!$H$47="eQuest",IF(C38="","",IFERROR(IF(C38="","-",(('Results from eQuest'!BJ41)-('Results from eQuest'!BJ42))*0.1),"-")),"&lt;Enter Value&gt;")</f>
        <v>&lt;Enter Value&gt;</v>
      </c>
      <c r="J38" s="2967" t="str">
        <f>IF('General Information'!$H$47="eQuest",IF(C38="","",IF(C38="","-",(('Results from eQuest'!BA41+'Results from eQuest'!BG41)/10-('Results from eQuest'!BA42+'Results from eQuest'!BG42)/10))),"&lt;Enter Value&gt;")</f>
        <v>&lt;Enter Value&gt;</v>
      </c>
      <c r="K38" s="2967" t="str">
        <f>IF('General Information'!$H$47="eQuest",IF(C38="","",IFERROR(IF(C38="","-",(('Results from eQuest'!P41+'Results from eQuest'!Q41)-('Results from eQuest'!P42+'Results from eQuest'!Q42))),"-")),"&lt;Enter Value&gt;")</f>
        <v>&lt;Enter Value&gt;</v>
      </c>
      <c r="L38" s="1802"/>
      <c r="M38" s="1820" t="str">
        <f t="shared" si="2"/>
        <v/>
      </c>
      <c r="P38" s="1802" t="str">
        <f t="shared" si="3"/>
        <v/>
      </c>
      <c r="Q38" s="1802" t="str">
        <f t="shared" si="4"/>
        <v/>
      </c>
      <c r="S38" s="1802" t="str">
        <f>IFERROR(INDEX(ECM!$C$5:$E$274,MATCH('Detailed Measures'!B38,ECM!$C$5:$C$274,0),2),"&lt;Enter Description Here&gt;")</f>
        <v>&lt;Enter Description Here&gt;</v>
      </c>
      <c r="T38" s="1802" t="str">
        <f>IFERROR(INDEX(ECM!$C$5:$E$274,MATCH('Detailed Measures'!B38,ECM!$C$5:$C$274,0),3),"&lt;Enter Description Here&gt;")</f>
        <v>&lt;Enter Description Here&gt;</v>
      </c>
    </row>
    <row r="39" spans="2:20" ht="92.7" customHeight="1" x14ac:dyDescent="0.25">
      <c r="B39" s="1818">
        <v>28</v>
      </c>
      <c r="C39" s="1817" t="str">
        <f>IF('Results from eQuest'!J43="","",'Results from eQuest'!J43)</f>
        <v/>
      </c>
      <c r="D39" s="1802" t="str">
        <f t="shared" ref="D39:E41" si="5">P39</f>
        <v/>
      </c>
      <c r="E39" s="1802" t="str">
        <f t="shared" si="5"/>
        <v/>
      </c>
      <c r="F39" s="1506"/>
      <c r="G39" s="1506"/>
      <c r="H39" s="2967" t="str">
        <f>IF('General Information'!$H$47="eQuest",IF(C39="","",IFERROR(IF(C39="","-",(('Results from eQuest'!X42)-('Results from eQuest'!X43))),"-")),"&lt;Enter Value&gt;")</f>
        <v>&lt;Enter Value&gt;</v>
      </c>
      <c r="I39" s="2967" t="str">
        <f>IF('General Information'!$H$47="eQuest",IF(C39="","",IFERROR(IF(C39="","-",(('Results from eQuest'!BJ42)-('Results from eQuest'!BJ43))*0.1),"-")),"&lt;Enter Value&gt;")</f>
        <v>&lt;Enter Value&gt;</v>
      </c>
      <c r="J39" s="2967" t="str">
        <f>IF('General Information'!$H$47="eQuest",IF(C39="","",IF(C39="","-",(('Results from eQuest'!BA42+'Results from eQuest'!BG42)/10-('Results from eQuest'!BA43+'Results from eQuest'!BG43)/10))),"&lt;Enter Value&gt;")</f>
        <v>&lt;Enter Value&gt;</v>
      </c>
      <c r="K39" s="2967" t="str">
        <f>IF('General Information'!$H$47="eQuest",IF(C39="","",IFERROR(IF(C39="","-",(('Results from eQuest'!P42+'Results from eQuest'!Q42)-('Results from eQuest'!P43+'Results from eQuest'!Q43))),"-")),"&lt;Enter Value&gt;")</f>
        <v>&lt;Enter Value&gt;</v>
      </c>
      <c r="L39" s="1802"/>
      <c r="M39" s="1820" t="str">
        <f t="shared" si="2"/>
        <v/>
      </c>
      <c r="P39" s="1802" t="str">
        <f t="shared" si="3"/>
        <v/>
      </c>
      <c r="Q39" s="1802" t="str">
        <f t="shared" si="4"/>
        <v/>
      </c>
      <c r="S39" s="1802" t="str">
        <f>IFERROR(INDEX(ECM!$C$5:$E$274,MATCH('Detailed Measures'!B39,ECM!$C$5:$C$274,0),2),"&lt;Enter Description Here&gt;")</f>
        <v>&lt;Enter Description Here&gt;</v>
      </c>
      <c r="T39" s="1802" t="str">
        <f>IFERROR(INDEX(ECM!$C$5:$E$274,MATCH('Detailed Measures'!B39,ECM!$C$5:$C$274,0),3),"&lt;Enter Description Here&gt;")</f>
        <v>&lt;Enter Description Here&gt;</v>
      </c>
    </row>
    <row r="40" spans="2:20" ht="92.7" customHeight="1" x14ac:dyDescent="0.25">
      <c r="B40" s="1818">
        <v>29</v>
      </c>
      <c r="C40" s="1817" t="str">
        <f>IF('Results from eQuest'!J44="","",'Results from eQuest'!J44)</f>
        <v/>
      </c>
      <c r="D40" s="1802" t="str">
        <f t="shared" si="5"/>
        <v/>
      </c>
      <c r="E40" s="1802" t="str">
        <f t="shared" si="5"/>
        <v/>
      </c>
      <c r="F40" s="1506"/>
      <c r="G40" s="1506"/>
      <c r="H40" s="2967" t="str">
        <f>IF('General Information'!$H$47="eQuest",IF(C40="","",IFERROR(IF(C40="","-",(('Results from eQuest'!X43)-('Results from eQuest'!X44))),"-")),"&lt;Enter Value&gt;")</f>
        <v>&lt;Enter Value&gt;</v>
      </c>
      <c r="I40" s="2967" t="str">
        <f>IF('General Information'!$H$47="eQuest",IF(C40="","",IFERROR(IF(C40="","-",(('Results from eQuest'!BJ43)-('Results from eQuest'!BJ44))*0.1),"-")),"&lt;Enter Value&gt;")</f>
        <v>&lt;Enter Value&gt;</v>
      </c>
      <c r="J40" s="2967" t="str">
        <f>IF('General Information'!$H$47="eQuest",IF(C40="","",IF(C40="","-",(('Results from eQuest'!BA43+'Results from eQuest'!BG43)/10-('Results from eQuest'!BA44+'Results from eQuest'!BG44)/10))),"&lt;Enter Value&gt;")</f>
        <v>&lt;Enter Value&gt;</v>
      </c>
      <c r="K40" s="2967" t="str">
        <f>IF('General Information'!$H$47="eQuest",IF(C40="","",IFERROR(IF(C40="","-",(('Results from eQuest'!P43+'Results from eQuest'!Q43)-('Results from eQuest'!P44+'Results from eQuest'!Q44))),"-")),"&lt;Enter Value&gt;")</f>
        <v>&lt;Enter Value&gt;</v>
      </c>
      <c r="L40" s="1802"/>
      <c r="M40" s="1820" t="str">
        <f t="shared" si="2"/>
        <v/>
      </c>
      <c r="P40" s="1802" t="str">
        <f t="shared" si="3"/>
        <v/>
      </c>
      <c r="Q40" s="1802" t="str">
        <f t="shared" si="4"/>
        <v/>
      </c>
      <c r="S40" s="1802" t="str">
        <f>IFERROR(INDEX(ECM!$C$5:$E$274,MATCH('Detailed Measures'!B40,ECM!$C$5:$C$274,0),2),"&lt;Enter Description Here&gt;")</f>
        <v>&lt;Enter Description Here&gt;</v>
      </c>
      <c r="T40" s="1802" t="str">
        <f>IFERROR(INDEX(ECM!$C$5:$E$274,MATCH('Detailed Measures'!B40,ECM!$C$5:$C$274,0),3),"&lt;Enter Description Here&gt;")</f>
        <v>&lt;Enter Description Here&gt;</v>
      </c>
    </row>
    <row r="41" spans="2:20" ht="92.7" customHeight="1" x14ac:dyDescent="0.25">
      <c r="B41" s="1818">
        <v>30</v>
      </c>
      <c r="C41" s="1817" t="str">
        <f>IF('Results from eQuest'!J45="","",'Results from eQuest'!J45)</f>
        <v/>
      </c>
      <c r="D41" s="1802" t="str">
        <f t="shared" si="5"/>
        <v/>
      </c>
      <c r="E41" s="1802" t="str">
        <f t="shared" si="5"/>
        <v/>
      </c>
      <c r="F41" s="1506"/>
      <c r="G41" s="1506"/>
      <c r="H41" s="2967" t="str">
        <f>IF('General Information'!$H$47="eQuest",IF(C41="","",IFERROR(IF(C41="","-",(('Results from eQuest'!X44)-('Results from eQuest'!X45))),"-")),"&lt;Enter Value&gt;")</f>
        <v>&lt;Enter Value&gt;</v>
      </c>
      <c r="I41" s="2967" t="str">
        <f>IF('General Information'!$H$47="eQuest",IF(C41="","",IFERROR(IF(C41="","-",(('Results from eQuest'!BJ44)-('Results from eQuest'!BJ45))*0.1),"-")),"&lt;Enter Value&gt;")</f>
        <v>&lt;Enter Value&gt;</v>
      </c>
      <c r="J41" s="2967" t="str">
        <f>IF('General Information'!$H$47="eQuest",IF(C41="","",IF(C41="","-",(('Results from eQuest'!BA44+'Results from eQuest'!BG44)/10-('Results from eQuest'!BA45+'Results from eQuest'!BG45)/10))),"&lt;Enter Value&gt;")</f>
        <v>&lt;Enter Value&gt;</v>
      </c>
      <c r="K41" s="2967" t="str">
        <f>IF('General Information'!$H$47="eQuest",IF(C41="","",IFERROR(IF(C41="","-",(('Results from eQuest'!P44+'Results from eQuest'!Q44)-('Results from eQuest'!P45+'Results from eQuest'!Q45))),"-")),"&lt;Enter Value&gt;")</f>
        <v>&lt;Enter Value&gt;</v>
      </c>
      <c r="L41" s="1802"/>
      <c r="M41" s="1820" t="str">
        <f t="shared" si="2"/>
        <v/>
      </c>
      <c r="P41" s="1802" t="str">
        <f t="shared" si="3"/>
        <v/>
      </c>
      <c r="Q41" s="1802" t="str">
        <f t="shared" si="4"/>
        <v/>
      </c>
      <c r="S41" s="1802" t="str">
        <f>IFERROR(INDEX(ECM!$C$5:$E$274,MATCH('Detailed Measures'!B41,ECM!$C$5:$C$274,0),2),"&lt;Enter Description Here&gt;")</f>
        <v>&lt;Enter Description Here&gt;</v>
      </c>
      <c r="T41" s="1802" t="str">
        <f>IFERROR(INDEX(ECM!$C$5:$E$274,MATCH('Detailed Measures'!B41,ECM!$C$5:$C$274,0),3),"&lt;Enter Description Here&gt;")</f>
        <v>&lt;Enter Description Here&gt;</v>
      </c>
    </row>
    <row r="42" spans="2:20" ht="29.25" customHeight="1" x14ac:dyDescent="0.25">
      <c r="G42" s="1818" t="s">
        <v>2514</v>
      </c>
      <c r="H42" s="1816">
        <f>SUM(H12:H41)</f>
        <v>0</v>
      </c>
      <c r="I42" s="1816">
        <f t="shared" ref="I42:K42" si="6">SUM(I12:I41)</f>
        <v>0</v>
      </c>
      <c r="J42" s="1816">
        <f t="shared" si="6"/>
        <v>0</v>
      </c>
      <c r="K42" s="1816">
        <f t="shared" si="6"/>
        <v>0</v>
      </c>
      <c r="L42" s="1819"/>
      <c r="M42" s="1821">
        <f>SUM(M12:M41)</f>
        <v>0</v>
      </c>
    </row>
  </sheetData>
  <sheetProtection algorithmName="SHA-512" hashValue="nY/OfsQyoE1yDAKKmXnxHAYsqN0Ko8638g1MmS2hNWfuV8eD8rZQy7k8VktlxyRWBeYP/g9o3BgovYEeP2zzJA==" saltValue="7+i9Tyb8jd9vyRoyKfJLMA==" spinCount="100000" sheet="1" objects="1" scenarios="1"/>
  <mergeCells count="4">
    <mergeCell ref="B5:E5"/>
    <mergeCell ref="H10:K10"/>
    <mergeCell ref="L10:M10"/>
    <mergeCell ref="B6:D6"/>
  </mergeCells>
  <conditionalFormatting sqref="H12:K41">
    <cfRule type="expression" dxfId="298" priority="1">
      <formula>$U$1="eQUEST"</formula>
    </cfRule>
  </conditionalFormatting>
  <dataValidations count="1">
    <dataValidation type="list" allowBlank="1" showInputMessage="1" showErrorMessage="1" sqref="G12:G41" xr:uid="{00000000-0002-0000-2000-000000000000}">
      <formula1>$V$2:$V$6</formula1>
    </dataValidation>
  </dataValidation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7">
    <tabColor rgb="FF848484"/>
  </sheetPr>
  <dimension ref="A1:AB55"/>
  <sheetViews>
    <sheetView workbookViewId="0"/>
  </sheetViews>
  <sheetFormatPr defaultColWidth="9" defaultRowHeight="13.2" x14ac:dyDescent="0.25"/>
  <cols>
    <col min="1" max="2" width="24.69921875" style="961" customWidth="1"/>
    <col min="3" max="8" width="14.69921875" style="961" customWidth="1"/>
    <col min="9" max="9" width="8.69921875" style="961" customWidth="1"/>
    <col min="10" max="10" width="9.796875" style="961" customWidth="1"/>
    <col min="11" max="11" width="11.796875" style="961" customWidth="1"/>
    <col min="12" max="12" width="32.69921875" style="961" hidden="1" customWidth="1"/>
    <col min="13" max="13" width="17.19921875" style="961" customWidth="1"/>
    <col min="14" max="14" width="14.69921875" style="961" customWidth="1"/>
    <col min="15" max="15" width="10.69921875" style="961" customWidth="1"/>
    <col min="16" max="16" width="11" style="961" customWidth="1"/>
    <col min="17" max="17" width="8" style="961" customWidth="1"/>
    <col min="18" max="18" width="8.19921875" style="961" customWidth="1"/>
    <col min="19" max="19" width="10.296875" style="961" customWidth="1"/>
    <col min="20" max="20" width="10.19921875" style="961" customWidth="1"/>
    <col min="21" max="21" width="8.69921875" style="961" customWidth="1"/>
    <col min="22" max="22" width="9.796875" style="961" customWidth="1"/>
    <col min="23" max="23" width="11.796875" style="961" customWidth="1"/>
    <col min="24" max="24" width="10.19921875" style="961" customWidth="1"/>
    <col min="25" max="25" width="17.19921875" style="961" customWidth="1"/>
    <col min="26" max="26" width="14.69921875" style="961" customWidth="1"/>
    <col min="27" max="27" width="10.69921875" style="961" customWidth="1"/>
    <col min="28" max="28" width="7.5" style="961" customWidth="1"/>
    <col min="29" max="29" width="11" style="961" customWidth="1"/>
    <col min="30" max="30" width="8" style="961" customWidth="1"/>
    <col min="31" max="31" width="8.19921875" style="961" customWidth="1"/>
    <col min="32" max="32" width="10.296875" style="961" customWidth="1"/>
    <col min="33" max="33" width="10.19921875" style="961" customWidth="1"/>
    <col min="34" max="34" width="8.69921875" style="961" customWidth="1"/>
    <col min="35" max="35" width="9.796875" style="961" customWidth="1"/>
    <col min="36" max="36" width="11.796875" style="961" customWidth="1"/>
    <col min="37" max="37" width="10.19921875" style="961" customWidth="1"/>
    <col min="38" max="38" width="17.19921875" style="961" customWidth="1"/>
    <col min="39" max="39" width="14.69921875" style="961" customWidth="1"/>
    <col min="40" max="40" width="10.69921875" style="961" customWidth="1"/>
    <col min="41" max="41" width="5.796875" style="961" customWidth="1"/>
    <col min="42" max="42" width="8.69921875" style="961" customWidth="1"/>
    <col min="43" max="43" width="7.69921875" style="961" customWidth="1"/>
    <col min="44" max="44" width="8.69921875" style="961" customWidth="1"/>
    <col min="45" max="45" width="11" style="961" customWidth="1"/>
    <col min="46" max="46" width="9.5" style="961" customWidth="1"/>
    <col min="47" max="47" width="7.5" style="961" customWidth="1"/>
    <col min="48" max="48" width="9.19921875" style="961" customWidth="1"/>
    <col min="49" max="49" width="8.296875" style="961" customWidth="1"/>
    <col min="50" max="50" width="16.796875" style="961" customWidth="1"/>
    <col min="51" max="51" width="12.19921875" style="961" customWidth="1"/>
    <col min="52" max="52" width="9.69921875" style="961" customWidth="1"/>
    <col min="53" max="53" width="16.796875" style="961" customWidth="1"/>
    <col min="54" max="54" width="14.19921875" style="961" customWidth="1"/>
    <col min="55" max="55" width="14.296875" style="961" customWidth="1"/>
    <col min="56" max="56" width="8" style="961" customWidth="1"/>
    <col min="57" max="16384" width="9" style="961"/>
  </cols>
  <sheetData>
    <row r="1" spans="1:28" s="354" customFormat="1" ht="13.8" x14ac:dyDescent="0.25">
      <c r="A1" s="331"/>
      <c r="B1" s="359"/>
      <c r="C1" s="359"/>
      <c r="D1" s="359"/>
      <c r="E1" s="359"/>
      <c r="F1" s="360"/>
      <c r="G1" s="360"/>
      <c r="H1" s="359"/>
      <c r="I1" s="359"/>
      <c r="J1" s="359"/>
      <c r="K1" s="359"/>
      <c r="L1" s="359"/>
      <c r="M1" s="359"/>
      <c r="N1" s="359"/>
      <c r="O1" s="359"/>
      <c r="P1" s="359"/>
      <c r="Q1" s="359"/>
      <c r="R1" s="360"/>
      <c r="S1" s="359"/>
      <c r="T1" s="359"/>
      <c r="U1" s="359"/>
      <c r="V1" s="359"/>
      <c r="W1" s="359"/>
      <c r="X1" s="359"/>
      <c r="Y1" s="359"/>
      <c r="Z1" s="359"/>
      <c r="AA1" s="359"/>
      <c r="AB1" s="660"/>
    </row>
    <row r="2" spans="1:28" s="354" customFormat="1" ht="25.2" x14ac:dyDescent="0.25">
      <c r="A2" s="964" t="s">
        <v>2056</v>
      </c>
      <c r="B2" s="15"/>
      <c r="C2" s="15"/>
      <c r="D2" s="15"/>
      <c r="E2" s="15"/>
      <c r="F2" s="15"/>
      <c r="G2" s="15"/>
      <c r="H2" s="15"/>
      <c r="I2" s="15"/>
      <c r="J2" s="15"/>
      <c r="K2" s="15"/>
      <c r="L2" s="15"/>
      <c r="M2" s="15"/>
      <c r="N2" s="15"/>
      <c r="O2" s="15"/>
      <c r="P2" s="15"/>
      <c r="Q2" s="15"/>
      <c r="R2" s="15"/>
      <c r="S2" s="15"/>
      <c r="T2" s="15"/>
      <c r="U2" s="15"/>
      <c r="V2" s="15"/>
      <c r="W2" s="15"/>
      <c r="X2" s="15"/>
      <c r="Y2" s="15"/>
      <c r="Z2" s="15"/>
      <c r="AA2" s="15"/>
      <c r="AB2" s="660"/>
    </row>
    <row r="3" spans="1:28" s="354" customFormat="1" ht="13.8" x14ac:dyDescent="0.25">
      <c r="A3" s="331"/>
      <c r="B3" s="359"/>
      <c r="C3" s="359"/>
      <c r="D3" s="359"/>
      <c r="E3" s="359"/>
      <c r="F3" s="360"/>
      <c r="G3" s="360"/>
      <c r="H3" s="359"/>
      <c r="I3" s="359"/>
      <c r="J3" s="359"/>
      <c r="K3" s="359"/>
      <c r="L3" s="359"/>
      <c r="M3" s="359"/>
      <c r="N3" s="359"/>
      <c r="O3" s="359"/>
      <c r="P3" s="359"/>
      <c r="Q3" s="359"/>
      <c r="R3" s="360"/>
      <c r="S3" s="359"/>
      <c r="T3" s="359"/>
      <c r="U3" s="359"/>
      <c r="V3" s="359"/>
      <c r="W3" s="359"/>
      <c r="X3" s="359"/>
      <c r="Y3" s="359"/>
      <c r="Z3" s="359"/>
      <c r="AA3" s="359"/>
      <c r="AB3" s="660"/>
    </row>
    <row r="4" spans="1:28" ht="100.5" customHeight="1" x14ac:dyDescent="0.25">
      <c r="A4" s="3814" t="s">
        <v>2057</v>
      </c>
      <c r="B4" s="3814"/>
      <c r="C4" s="3814"/>
      <c r="D4" s="3814"/>
      <c r="E4" s="3814"/>
      <c r="F4" s="3814"/>
      <c r="G4" s="3814"/>
      <c r="H4" s="3814"/>
    </row>
    <row r="5" spans="1:28" ht="13.8" thickBot="1" x14ac:dyDescent="0.3"/>
    <row r="6" spans="1:28" s="962" customFormat="1" ht="48.6" thickBot="1" x14ac:dyDescent="0.25">
      <c r="A6" s="965" t="s">
        <v>1972</v>
      </c>
      <c r="B6" s="966" t="s">
        <v>1973</v>
      </c>
      <c r="C6" s="966" t="str">
        <f>IF('[3]P4P - General Info'!C23="ASHRAE bEQ","PROPOSED DESIGN
(Energy 10˄6 Btu/yr)","BASELINE 
(Energy 10˄6 Btu/yr)")</f>
        <v>BASELINE 
(Energy 10˄6 Btu/yr)</v>
      </c>
      <c r="D6" s="966" t="str">
        <f>IF('[3]P4P - General Info'!C23="ASHRAE bEQ","Do not complete","BASELINE, 90° Rotation
(Energy 10˄6 Btu/yr)")</f>
        <v>BASELINE, 90° Rotation
(Energy 10˄6 Btu/yr)</v>
      </c>
      <c r="E6" s="966" t="str">
        <f>IF('[3]P4P - General Info'!C23="ASHRAE bEQ","Do not complete","BASELINE, 180° Rotation
(Energy 10˄6 Btu/yr)")</f>
        <v>BASELINE, 180° Rotation
(Energy 10˄6 Btu/yr)</v>
      </c>
      <c r="F6" s="966" t="str">
        <f>IF('[3]P4P - General Info'!C23="ASHRAE bEQ","Do not Complete","BASELINE, 270° Rotation
(Energy 10˄6 Btu/yr)")</f>
        <v>BASELINE, 270° Rotation
(Energy 10˄6 Btu/yr)</v>
      </c>
      <c r="G6" s="966" t="str">
        <f>IF('[3]P4P - General Info'!C23="ASHRAE bEQ","PROPOSED DESIGN
(Energy 10˄6 Btu/yr)","AVERAGE BASELINE
(Energy 10˄6 Btu/yr)")</f>
        <v>AVERAGE BASELINE
(Energy 10˄6 Btu/yr)</v>
      </c>
      <c r="H6" s="967" t="str">
        <f>IF('[3]P4P - General Info'!C23="ASHRAE bEQ","FINAL ALTERNATIVE
(Energy 10˄6 Btu/yr)","PROPOSED 
(Energy 10˄6 Btu/yr)")</f>
        <v>PROPOSED 
(Energy 10˄6 Btu/yr)</v>
      </c>
      <c r="L6" s="962" t="s">
        <v>1908</v>
      </c>
    </row>
    <row r="7" spans="1:28" x14ac:dyDescent="0.25">
      <c r="A7" s="971" t="s">
        <v>1974</v>
      </c>
      <c r="B7" s="972" t="s">
        <v>374</v>
      </c>
      <c r="C7" s="972"/>
      <c r="D7" s="972"/>
      <c r="E7" s="972"/>
      <c r="F7" s="972"/>
      <c r="G7" s="973" t="str">
        <f>IF(C7="","",AVERAGE(C7:F7))</f>
        <v/>
      </c>
      <c r="H7" s="974"/>
      <c r="L7" s="961" t="str">
        <f>A7&amp;B7</f>
        <v>Lighting - ConditionedElectricity</v>
      </c>
    </row>
    <row r="8" spans="1:28" x14ac:dyDescent="0.25">
      <c r="A8" s="975" t="s">
        <v>1975</v>
      </c>
      <c r="B8" s="968" t="s">
        <v>374</v>
      </c>
      <c r="C8" s="968"/>
      <c r="D8" s="968"/>
      <c r="E8" s="968"/>
      <c r="F8" s="968"/>
      <c r="G8" s="969" t="str">
        <f t="shared" ref="G8:G55" si="0">IF(C8="","",AVERAGE(C8:F8))</f>
        <v/>
      </c>
      <c r="H8" s="976"/>
      <c r="L8" s="961" t="str">
        <f t="shared" ref="L8:L21" si="1">A8&amp;B8</f>
        <v>Space HeatingElectricity</v>
      </c>
    </row>
    <row r="9" spans="1:28" x14ac:dyDescent="0.25">
      <c r="A9" s="975" t="s">
        <v>1975</v>
      </c>
      <c r="B9" s="968" t="s">
        <v>1976</v>
      </c>
      <c r="C9" s="968"/>
      <c r="D9" s="968"/>
      <c r="E9" s="968"/>
      <c r="F9" s="968"/>
      <c r="G9" s="969" t="str">
        <f t="shared" si="0"/>
        <v/>
      </c>
      <c r="H9" s="976"/>
      <c r="L9" s="961" t="str">
        <f t="shared" si="1"/>
        <v>Space HeatingGas</v>
      </c>
    </row>
    <row r="10" spans="1:28" x14ac:dyDescent="0.25">
      <c r="A10" s="975" t="s">
        <v>1977</v>
      </c>
      <c r="B10" s="968" t="s">
        <v>374</v>
      </c>
      <c r="C10" s="968"/>
      <c r="D10" s="968"/>
      <c r="E10" s="968"/>
      <c r="F10" s="968"/>
      <c r="G10" s="969" t="str">
        <f t="shared" si="0"/>
        <v/>
      </c>
      <c r="H10" s="976"/>
      <c r="L10" s="961" t="str">
        <f t="shared" si="1"/>
        <v>Space CoolingElectricity</v>
      </c>
    </row>
    <row r="11" spans="1:28" x14ac:dyDescent="0.25">
      <c r="A11" s="975" t="s">
        <v>387</v>
      </c>
      <c r="B11" s="968" t="s">
        <v>374</v>
      </c>
      <c r="C11" s="968"/>
      <c r="D11" s="968"/>
      <c r="E11" s="968"/>
      <c r="F11" s="968"/>
      <c r="G11" s="969" t="str">
        <f t="shared" si="0"/>
        <v/>
      </c>
      <c r="H11" s="976"/>
      <c r="L11" s="961" t="str">
        <f t="shared" si="1"/>
        <v>PumpsElectricity</v>
      </c>
    </row>
    <row r="12" spans="1:28" x14ac:dyDescent="0.25">
      <c r="A12" s="975" t="s">
        <v>1978</v>
      </c>
      <c r="B12" s="968" t="s">
        <v>374</v>
      </c>
      <c r="C12" s="968"/>
      <c r="D12" s="968"/>
      <c r="E12" s="968"/>
      <c r="F12" s="968"/>
      <c r="G12" s="969" t="str">
        <f t="shared" si="0"/>
        <v/>
      </c>
      <c r="H12" s="976"/>
      <c r="L12" s="961" t="str">
        <f t="shared" si="1"/>
        <v>Heat RejectionElectricity</v>
      </c>
    </row>
    <row r="13" spans="1:28" x14ac:dyDescent="0.25">
      <c r="A13" s="975" t="s">
        <v>1979</v>
      </c>
      <c r="B13" s="968" t="s">
        <v>374</v>
      </c>
      <c r="C13" s="968"/>
      <c r="D13" s="968"/>
      <c r="E13" s="968"/>
      <c r="F13" s="968"/>
      <c r="G13" s="969" t="str">
        <f t="shared" si="0"/>
        <v/>
      </c>
      <c r="H13" s="976"/>
      <c r="L13" s="961" t="str">
        <f t="shared" si="1"/>
        <v>Fans - ConditionedElectricity</v>
      </c>
    </row>
    <row r="14" spans="1:28" x14ac:dyDescent="0.25">
      <c r="A14" s="975" t="s">
        <v>1980</v>
      </c>
      <c r="B14" s="968" t="s">
        <v>374</v>
      </c>
      <c r="C14" s="968"/>
      <c r="D14" s="968"/>
      <c r="E14" s="968"/>
      <c r="F14" s="968"/>
      <c r="G14" s="969" t="str">
        <f t="shared" si="0"/>
        <v/>
      </c>
      <c r="H14" s="976"/>
      <c r="L14" s="961" t="str">
        <f t="shared" si="1"/>
        <v>Receptacles - ConditionedElectricity</v>
      </c>
    </row>
    <row r="15" spans="1:28" x14ac:dyDescent="0.25">
      <c r="A15" s="975" t="s">
        <v>1981</v>
      </c>
      <c r="B15" s="968" t="s">
        <v>374</v>
      </c>
      <c r="C15" s="968"/>
      <c r="D15" s="968"/>
      <c r="E15" s="968"/>
      <c r="F15" s="968"/>
      <c r="G15" s="969" t="str">
        <f t="shared" si="0"/>
        <v/>
      </c>
      <c r="H15" s="976"/>
      <c r="L15" s="961" t="str">
        <f t="shared" si="1"/>
        <v>Stand-alone Base UtilitiesElectricity</v>
      </c>
    </row>
    <row r="16" spans="1:28" x14ac:dyDescent="0.25">
      <c r="A16" s="975" t="s">
        <v>1981</v>
      </c>
      <c r="B16" s="968" t="s">
        <v>1976</v>
      </c>
      <c r="C16" s="968"/>
      <c r="D16" s="968"/>
      <c r="E16" s="968"/>
      <c r="F16" s="968"/>
      <c r="G16" s="969" t="str">
        <f t="shared" si="0"/>
        <v/>
      </c>
      <c r="H16" s="976"/>
      <c r="L16" s="961" t="str">
        <f t="shared" si="1"/>
        <v>Stand-alone Base UtilitiesGas</v>
      </c>
    </row>
    <row r="17" spans="1:12" x14ac:dyDescent="0.25">
      <c r="A17" s="975" t="s">
        <v>1982</v>
      </c>
      <c r="B17" s="970"/>
      <c r="C17" s="968"/>
      <c r="D17" s="968"/>
      <c r="E17" s="968"/>
      <c r="F17" s="968"/>
      <c r="G17" s="969" t="str">
        <f t="shared" si="0"/>
        <v/>
      </c>
      <c r="H17" s="976"/>
      <c r="L17" s="961" t="str">
        <f t="shared" si="1"/>
        <v>Total Building Consumption</v>
      </c>
    </row>
    <row r="18" spans="1:12" x14ac:dyDescent="0.25">
      <c r="A18" s="977"/>
      <c r="B18" s="970"/>
      <c r="C18" s="970"/>
      <c r="D18" s="970"/>
      <c r="E18" s="970"/>
      <c r="F18" s="970"/>
      <c r="G18" s="969" t="str">
        <f t="shared" si="0"/>
        <v/>
      </c>
      <c r="H18" s="978"/>
      <c r="L18" s="961" t="str">
        <f t="shared" si="1"/>
        <v/>
      </c>
    </row>
    <row r="19" spans="1:12" x14ac:dyDescent="0.25">
      <c r="A19" s="977"/>
      <c r="B19" s="970"/>
      <c r="C19" s="970"/>
      <c r="D19" s="970"/>
      <c r="E19" s="970"/>
      <c r="F19" s="970"/>
      <c r="G19" s="969" t="str">
        <f t="shared" si="0"/>
        <v/>
      </c>
      <c r="H19" s="978"/>
      <c r="L19" s="961" t="str">
        <f t="shared" si="1"/>
        <v/>
      </c>
    </row>
    <row r="20" spans="1:12" x14ac:dyDescent="0.25">
      <c r="A20" s="977"/>
      <c r="B20" s="970"/>
      <c r="C20" s="970"/>
      <c r="D20" s="970"/>
      <c r="E20" s="970"/>
      <c r="F20" s="970"/>
      <c r="G20" s="969" t="str">
        <f t="shared" si="0"/>
        <v/>
      </c>
      <c r="H20" s="978"/>
      <c r="L20" s="961" t="str">
        <f t="shared" si="1"/>
        <v/>
      </c>
    </row>
    <row r="21" spans="1:12" ht="13.8" thickBot="1" x14ac:dyDescent="0.3">
      <c r="A21" s="979"/>
      <c r="B21" s="980"/>
      <c r="C21" s="980"/>
      <c r="D21" s="980"/>
      <c r="E21" s="980"/>
      <c r="F21" s="980"/>
      <c r="G21" s="981" t="str">
        <f t="shared" si="0"/>
        <v/>
      </c>
      <c r="H21" s="982"/>
      <c r="L21" s="961" t="str">
        <f t="shared" si="1"/>
        <v/>
      </c>
    </row>
    <row r="22" spans="1:12" x14ac:dyDescent="0.25">
      <c r="A22" s="963"/>
      <c r="B22" s="963"/>
      <c r="C22" s="963"/>
      <c r="D22" s="963"/>
      <c r="E22" s="963"/>
      <c r="F22" s="963"/>
      <c r="G22" s="963" t="str">
        <f t="shared" si="0"/>
        <v/>
      </c>
      <c r="H22" s="963"/>
    </row>
    <row r="23" spans="1:12" x14ac:dyDescent="0.25">
      <c r="A23" s="963"/>
      <c r="B23" s="963"/>
      <c r="C23" s="963"/>
      <c r="D23" s="963"/>
      <c r="E23" s="963"/>
      <c r="F23" s="963"/>
      <c r="G23" s="963" t="str">
        <f t="shared" si="0"/>
        <v/>
      </c>
      <c r="H23" s="963"/>
    </row>
    <row r="24" spans="1:12" x14ac:dyDescent="0.25">
      <c r="A24" s="963"/>
      <c r="B24" s="963"/>
      <c r="C24" s="963"/>
      <c r="D24" s="963"/>
      <c r="E24" s="963"/>
      <c r="F24" s="963"/>
      <c r="G24" s="963" t="str">
        <f t="shared" si="0"/>
        <v/>
      </c>
      <c r="H24" s="963"/>
    </row>
    <row r="25" spans="1:12" x14ac:dyDescent="0.25">
      <c r="A25" s="963"/>
      <c r="B25" s="963"/>
      <c r="C25" s="963"/>
      <c r="D25" s="963"/>
      <c r="E25" s="963"/>
      <c r="F25" s="963"/>
      <c r="G25" s="963" t="str">
        <f t="shared" si="0"/>
        <v/>
      </c>
      <c r="H25" s="963"/>
    </row>
    <row r="26" spans="1:12" x14ac:dyDescent="0.25">
      <c r="A26" s="963"/>
      <c r="B26" s="963"/>
      <c r="C26" s="963"/>
      <c r="D26" s="963"/>
      <c r="E26" s="963"/>
      <c r="F26" s="963"/>
      <c r="G26" s="963" t="str">
        <f t="shared" si="0"/>
        <v/>
      </c>
      <c r="H26" s="963"/>
    </row>
    <row r="27" spans="1:12" x14ac:dyDescent="0.25">
      <c r="A27" s="963"/>
      <c r="B27" s="963"/>
      <c r="C27" s="963"/>
      <c r="D27" s="963"/>
      <c r="E27" s="963"/>
      <c r="F27" s="963"/>
      <c r="G27" s="963" t="str">
        <f t="shared" si="0"/>
        <v/>
      </c>
      <c r="H27" s="963"/>
    </row>
    <row r="28" spans="1:12" x14ac:dyDescent="0.25">
      <c r="A28" s="963"/>
      <c r="B28" s="963"/>
      <c r="C28" s="963"/>
      <c r="D28" s="963"/>
      <c r="E28" s="963"/>
      <c r="F28" s="963"/>
      <c r="G28" s="963" t="str">
        <f t="shared" si="0"/>
        <v/>
      </c>
      <c r="H28" s="963"/>
    </row>
    <row r="29" spans="1:12" x14ac:dyDescent="0.25">
      <c r="A29" s="963"/>
      <c r="B29" s="963"/>
      <c r="C29" s="963"/>
      <c r="D29" s="963"/>
      <c r="E29" s="963"/>
      <c r="F29" s="963"/>
      <c r="G29" s="963" t="str">
        <f t="shared" si="0"/>
        <v/>
      </c>
      <c r="H29" s="963"/>
    </row>
    <row r="30" spans="1:12" x14ac:dyDescent="0.25">
      <c r="A30" s="963"/>
      <c r="B30" s="963"/>
      <c r="C30" s="963"/>
      <c r="D30" s="963"/>
      <c r="E30" s="963"/>
      <c r="F30" s="963"/>
      <c r="G30" s="963" t="str">
        <f t="shared" si="0"/>
        <v/>
      </c>
      <c r="H30" s="963"/>
    </row>
    <row r="31" spans="1:12" x14ac:dyDescent="0.25">
      <c r="G31" s="963" t="str">
        <f t="shared" si="0"/>
        <v/>
      </c>
    </row>
    <row r="32" spans="1:12" x14ac:dyDescent="0.25">
      <c r="G32" s="963" t="str">
        <f t="shared" si="0"/>
        <v/>
      </c>
    </row>
    <row r="33" spans="7:7" x14ac:dyDescent="0.25">
      <c r="G33" s="963" t="str">
        <f t="shared" si="0"/>
        <v/>
      </c>
    </row>
    <row r="34" spans="7:7" x14ac:dyDescent="0.25">
      <c r="G34" s="963" t="str">
        <f t="shared" si="0"/>
        <v/>
      </c>
    </row>
    <row r="35" spans="7:7" x14ac:dyDescent="0.25">
      <c r="G35" s="963" t="str">
        <f t="shared" si="0"/>
        <v/>
      </c>
    </row>
    <row r="36" spans="7:7" x14ac:dyDescent="0.25">
      <c r="G36" s="963" t="str">
        <f t="shared" si="0"/>
        <v/>
      </c>
    </row>
    <row r="37" spans="7:7" x14ac:dyDescent="0.25">
      <c r="G37" s="963" t="str">
        <f t="shared" si="0"/>
        <v/>
      </c>
    </row>
    <row r="38" spans="7:7" x14ac:dyDescent="0.25">
      <c r="G38" s="963" t="str">
        <f t="shared" si="0"/>
        <v/>
      </c>
    </row>
    <row r="39" spans="7:7" x14ac:dyDescent="0.25">
      <c r="G39" s="963" t="str">
        <f t="shared" si="0"/>
        <v/>
      </c>
    </row>
    <row r="40" spans="7:7" x14ac:dyDescent="0.25">
      <c r="G40" s="963" t="str">
        <f t="shared" si="0"/>
        <v/>
      </c>
    </row>
    <row r="41" spans="7:7" x14ac:dyDescent="0.25">
      <c r="G41" s="963" t="str">
        <f t="shared" si="0"/>
        <v/>
      </c>
    </row>
    <row r="42" spans="7:7" x14ac:dyDescent="0.25">
      <c r="G42" s="963" t="str">
        <f t="shared" si="0"/>
        <v/>
      </c>
    </row>
    <row r="43" spans="7:7" x14ac:dyDescent="0.25">
      <c r="G43" s="963" t="str">
        <f t="shared" si="0"/>
        <v/>
      </c>
    </row>
    <row r="44" spans="7:7" x14ac:dyDescent="0.25">
      <c r="G44" s="963" t="str">
        <f t="shared" si="0"/>
        <v/>
      </c>
    </row>
    <row r="45" spans="7:7" x14ac:dyDescent="0.25">
      <c r="G45" s="963" t="str">
        <f t="shared" si="0"/>
        <v/>
      </c>
    </row>
    <row r="46" spans="7:7" x14ac:dyDescent="0.25">
      <c r="G46" s="963" t="str">
        <f t="shared" si="0"/>
        <v/>
      </c>
    </row>
    <row r="47" spans="7:7" x14ac:dyDescent="0.25">
      <c r="G47" s="963" t="str">
        <f t="shared" si="0"/>
        <v/>
      </c>
    </row>
    <row r="48" spans="7:7" x14ac:dyDescent="0.25">
      <c r="G48" s="963" t="str">
        <f t="shared" si="0"/>
        <v/>
      </c>
    </row>
    <row r="49" spans="7:7" x14ac:dyDescent="0.25">
      <c r="G49" s="963" t="str">
        <f t="shared" si="0"/>
        <v/>
      </c>
    </row>
    <row r="50" spans="7:7" x14ac:dyDescent="0.25">
      <c r="G50" s="963" t="str">
        <f t="shared" si="0"/>
        <v/>
      </c>
    </row>
    <row r="51" spans="7:7" x14ac:dyDescent="0.25">
      <c r="G51" s="963" t="str">
        <f t="shared" si="0"/>
        <v/>
      </c>
    </row>
    <row r="52" spans="7:7" x14ac:dyDescent="0.25">
      <c r="G52" s="963" t="str">
        <f t="shared" si="0"/>
        <v/>
      </c>
    </row>
    <row r="53" spans="7:7" x14ac:dyDescent="0.25">
      <c r="G53" s="963" t="str">
        <f t="shared" si="0"/>
        <v/>
      </c>
    </row>
    <row r="54" spans="7:7" x14ac:dyDescent="0.25">
      <c r="G54" s="963" t="str">
        <f t="shared" si="0"/>
        <v/>
      </c>
    </row>
    <row r="55" spans="7:7" x14ac:dyDescent="0.25">
      <c r="G55" s="963" t="str">
        <f t="shared" si="0"/>
        <v/>
      </c>
    </row>
  </sheetData>
  <sheetProtection algorithmName="SHA-512" hashValue="Nd1i3XARFLgGlwL9LMTW/NLTyoDHsYpMR0WFfE449YsI8k+C1TjJX8K0jJBHqhTZW8xcbt8ssokp/IcBWF52ig==" saltValue="6wOYgf+jp04uOSwXBQVrQg==" spinCount="100000" sheet="1" objects="1" scenarios="1"/>
  <mergeCells count="1">
    <mergeCell ref="A4:H4"/>
  </mergeCell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4">
    <tabColor theme="4" tint="0.39997558519241921"/>
    <pageSetUpPr fitToPage="1"/>
  </sheetPr>
  <dimension ref="A1:CG505"/>
  <sheetViews>
    <sheetView showGridLines="0" zoomScale="90" zoomScaleNormal="90" workbookViewId="0">
      <selection activeCell="B17" sqref="B17"/>
    </sheetView>
  </sheetViews>
  <sheetFormatPr defaultColWidth="8.69921875" defaultRowHeight="13.2" outlineLevelCol="1" x14ac:dyDescent="0.25"/>
  <cols>
    <col min="1" max="1" width="2.69921875" style="235" customWidth="1"/>
    <col min="2" max="2" width="16.69921875" style="235" customWidth="1"/>
    <col min="3" max="3" width="20.69921875" style="235" customWidth="1"/>
    <col min="4" max="4" width="3.69921875" style="235" customWidth="1"/>
    <col min="5" max="5" width="14.69921875" style="235" customWidth="1"/>
    <col min="6" max="6" width="15.69921875" style="235" customWidth="1"/>
    <col min="7" max="10" width="14.69921875" style="235" customWidth="1"/>
    <col min="11" max="11" width="13" style="235" customWidth="1"/>
    <col min="12" max="12" width="13.69921875" style="235" customWidth="1"/>
    <col min="13" max="14" width="14.69921875" style="235" customWidth="1"/>
    <col min="15" max="15" width="15.5" style="235" customWidth="1"/>
    <col min="16" max="16" width="19.69921875" style="235" customWidth="1"/>
    <col min="17" max="17" width="15.5" style="235" customWidth="1"/>
    <col min="18" max="18" width="15.5" style="235" hidden="1" customWidth="1" outlineLevel="1"/>
    <col min="19" max="19" width="15.296875" style="235" hidden="1" customWidth="1" outlineLevel="1"/>
    <col min="20" max="20" width="14.19921875" style="235" hidden="1" customWidth="1" outlineLevel="1"/>
    <col min="21" max="21" width="9" style="235" hidden="1" customWidth="1" outlineLevel="1"/>
    <col min="22" max="22" width="16" style="235" hidden="1" customWidth="1" outlineLevel="1"/>
    <col min="23" max="23" width="19.19921875" style="235" hidden="1" customWidth="1" outlineLevel="1"/>
    <col min="24" max="24" width="18.69921875" style="235" hidden="1" customWidth="1" outlineLevel="1"/>
    <col min="25" max="29" width="9" style="235" hidden="1" customWidth="1" outlineLevel="1"/>
    <col min="30" max="31" width="11" style="235" hidden="1" customWidth="1" outlineLevel="1"/>
    <col min="32" max="32" width="13.69921875" style="235" hidden="1" customWidth="1" outlineLevel="1"/>
    <col min="33" max="33" width="9.69921875" style="235" hidden="1" customWidth="1" outlineLevel="1"/>
    <col min="34" max="34" width="12.5" style="235" hidden="1" customWidth="1" outlineLevel="1"/>
    <col min="35" max="35" width="12.296875" style="235" hidden="1" customWidth="1" outlineLevel="1"/>
    <col min="36" max="36" width="9" style="235" hidden="1" customWidth="1" outlineLevel="1"/>
    <col min="37" max="45" width="12" style="235" hidden="1" customWidth="1" outlineLevel="1"/>
    <col min="46" max="46" width="10.69921875" style="235" hidden="1" customWidth="1" outlineLevel="1"/>
    <col min="47" max="48" width="10.19921875" style="235" hidden="1" customWidth="1" outlineLevel="1"/>
    <col min="49" max="49" width="9" style="235" hidden="1" customWidth="1" outlineLevel="1"/>
    <col min="50" max="51" width="10.796875" style="235" hidden="1" customWidth="1" outlineLevel="1"/>
    <col min="52" max="53" width="9" style="235" hidden="1" customWidth="1" outlineLevel="1"/>
    <col min="54" max="54" width="2.69921875" style="235" customWidth="1" collapsed="1"/>
    <col min="55" max="55" width="2.69921875" style="235" customWidth="1"/>
    <col min="56" max="56" width="50.69921875" style="261" customWidth="1"/>
    <col min="57" max="58" width="5" style="235" customWidth="1"/>
    <col min="59" max="59" width="25.69921875" style="235" hidden="1" customWidth="1"/>
    <col min="60" max="60" width="23.796875" style="235" hidden="1" customWidth="1"/>
    <col min="61" max="61" width="18.69921875" style="235" hidden="1" customWidth="1"/>
    <col min="62" max="62" width="13" style="235" hidden="1" customWidth="1"/>
    <col min="63" max="63" width="14.69921875" style="235" hidden="1" customWidth="1"/>
    <col min="64" max="85" width="8" style="235" hidden="1" customWidth="1"/>
    <col min="86" max="103" width="8" style="235" customWidth="1"/>
    <col min="104" max="16384" width="8.69921875" style="235"/>
  </cols>
  <sheetData>
    <row r="1" spans="1:56" s="42" customFormat="1" x14ac:dyDescent="0.25">
      <c r="A1" s="331" t="s">
        <v>1038</v>
      </c>
      <c r="B1" s="276"/>
      <c r="C1" s="276"/>
      <c r="D1" s="276"/>
      <c r="E1" s="276"/>
      <c r="F1" s="276"/>
      <c r="G1" s="276"/>
      <c r="H1" s="276"/>
      <c r="I1" s="276"/>
      <c r="J1" s="276"/>
      <c r="K1" s="276"/>
      <c r="L1" s="276"/>
      <c r="M1" s="276"/>
      <c r="R1" s="32"/>
      <c r="S1" s="32"/>
      <c r="W1" s="32"/>
      <c r="X1" s="32"/>
      <c r="Y1" s="32"/>
      <c r="Z1" s="32"/>
      <c r="AA1" s="32"/>
      <c r="AB1" s="32"/>
      <c r="AC1" s="32"/>
      <c r="AD1" s="32"/>
      <c r="AE1" s="32"/>
      <c r="AF1" s="32"/>
      <c r="AG1" s="32"/>
      <c r="AH1" s="32"/>
      <c r="AI1" s="32"/>
      <c r="AJ1" s="32"/>
      <c r="AK1" s="32"/>
      <c r="AL1" s="32"/>
      <c r="AM1" s="32"/>
      <c r="AN1" s="32"/>
      <c r="BD1" s="33"/>
    </row>
    <row r="2" spans="1:56" s="42" customFormat="1" ht="24.75" customHeight="1" x14ac:dyDescent="0.25">
      <c r="A2" s="331" t="s">
        <v>1038</v>
      </c>
      <c r="B2" s="30" t="s">
        <v>1037</v>
      </c>
      <c r="C2" s="276"/>
      <c r="D2" s="280"/>
      <c r="E2" s="280"/>
      <c r="F2" s="280"/>
      <c r="G2" s="280"/>
      <c r="H2" s="280"/>
      <c r="I2" s="280"/>
      <c r="J2" s="280"/>
      <c r="K2" s="280"/>
      <c r="L2" s="280"/>
      <c r="M2" s="280"/>
      <c r="R2" s="32"/>
      <c r="S2" s="32"/>
      <c r="W2" s="32"/>
      <c r="X2" s="32"/>
      <c r="Y2" s="32"/>
      <c r="Z2" s="32"/>
      <c r="AA2" s="32"/>
      <c r="AB2" s="32"/>
      <c r="AC2" s="32"/>
      <c r="AD2" s="32"/>
      <c r="AE2" s="32"/>
      <c r="AF2" s="32"/>
      <c r="AG2" s="32"/>
      <c r="AH2" s="32"/>
      <c r="AI2" s="32"/>
      <c r="AJ2" s="32"/>
      <c r="AK2" s="32"/>
      <c r="AL2" s="32"/>
      <c r="AM2" s="32"/>
      <c r="AN2" s="32"/>
      <c r="BD2" s="33"/>
    </row>
    <row r="3" spans="1:56" s="42" customFormat="1" ht="15" customHeight="1" x14ac:dyDescent="0.25">
      <c r="A3" s="331" t="s">
        <v>1038</v>
      </c>
      <c r="B3" s="276"/>
      <c r="C3" s="276"/>
      <c r="D3" s="276"/>
      <c r="E3" s="276"/>
      <c r="F3" s="276"/>
      <c r="G3" s="276"/>
      <c r="H3" s="276"/>
      <c r="I3" s="276"/>
      <c r="J3" s="276"/>
      <c r="K3" s="276"/>
      <c r="L3" s="276"/>
      <c r="M3" s="276"/>
      <c r="R3" s="32"/>
      <c r="S3" s="32"/>
      <c r="W3" s="32"/>
      <c r="X3" s="32"/>
      <c r="Y3" s="32"/>
      <c r="Z3" s="32"/>
      <c r="AA3" s="32"/>
      <c r="AB3" s="32"/>
      <c r="AC3" s="32"/>
      <c r="AD3" s="32"/>
      <c r="AE3" s="32"/>
      <c r="AF3" s="32"/>
      <c r="AG3" s="32"/>
      <c r="AH3" s="32"/>
      <c r="AI3" s="32"/>
      <c r="AJ3" s="32"/>
      <c r="AK3" s="32"/>
      <c r="AL3" s="32"/>
      <c r="AM3" s="32"/>
      <c r="AN3" s="32"/>
      <c r="BD3" s="33"/>
    </row>
    <row r="4" spans="1:56" ht="21.75" customHeight="1" x14ac:dyDescent="0.25">
      <c r="A4" s="409" t="s">
        <v>1038</v>
      </c>
      <c r="B4" s="299"/>
      <c r="C4" s="581"/>
      <c r="D4" s="581"/>
      <c r="E4" s="589"/>
      <c r="F4" s="589"/>
      <c r="G4" s="589"/>
      <c r="H4" s="589"/>
      <c r="I4" s="589"/>
      <c r="J4" s="589"/>
      <c r="K4" s="589"/>
      <c r="L4" s="589"/>
      <c r="M4" s="589"/>
      <c r="R4" s="416" t="s">
        <v>1221</v>
      </c>
    </row>
    <row r="5" spans="1:56" ht="21.75" customHeight="1" x14ac:dyDescent="0.25">
      <c r="A5" s="409" t="s">
        <v>1038</v>
      </c>
      <c r="B5" s="410" t="s">
        <v>1393</v>
      </c>
      <c r="C5" s="581"/>
      <c r="D5" s="581"/>
      <c r="E5" s="589"/>
      <c r="F5" s="589"/>
      <c r="G5" s="589"/>
      <c r="H5" s="3941">
        <f>INDEX(MBD_EMI_Table,2,1)</f>
        <v>0</v>
      </c>
      <c r="I5" s="3942"/>
      <c r="J5" s="3942"/>
      <c r="K5" s="3942"/>
      <c r="L5" s="3942"/>
      <c r="M5" s="3942"/>
      <c r="R5" s="627">
        <f>IFERROR(INDEX(MBD_EMI_Table,MATCH($H$5,MBD_EMI_Index,0),MATCH('1 - Multiple Buildings Details'!$J$16,MBD_EMI_Hdr,0)),"ERROR")</f>
        <v>0</v>
      </c>
    </row>
    <row r="6" spans="1:56" ht="21.75" customHeight="1" x14ac:dyDescent="0.25">
      <c r="A6" s="409" t="s">
        <v>1038</v>
      </c>
      <c r="B6" s="299"/>
      <c r="C6" s="581"/>
      <c r="D6" s="581"/>
      <c r="E6" s="589"/>
      <c r="F6" s="589"/>
      <c r="G6" s="589"/>
      <c r="H6" s="589"/>
      <c r="I6" s="589"/>
      <c r="J6" s="589"/>
      <c r="K6" s="589"/>
      <c r="L6" s="589"/>
      <c r="M6" s="589"/>
    </row>
    <row r="7" spans="1:56" ht="22.5" customHeight="1" x14ac:dyDescent="0.25">
      <c r="A7" s="409" t="s">
        <v>1038</v>
      </c>
      <c r="B7" s="3943" t="s">
        <v>2409</v>
      </c>
      <c r="C7" s="3943"/>
      <c r="D7" s="3943"/>
      <c r="E7" s="3943"/>
      <c r="F7" s="3943"/>
      <c r="G7" s="3943"/>
      <c r="H7" s="3943"/>
      <c r="I7" s="3943"/>
      <c r="J7" s="3943"/>
      <c r="K7" s="3943"/>
      <c r="L7" s="3943"/>
      <c r="M7" s="3943"/>
    </row>
    <row r="8" spans="1:56" ht="15.75" customHeight="1" x14ac:dyDescent="0.25">
      <c r="A8" s="409" t="s">
        <v>1038</v>
      </c>
      <c r="B8" s="3262"/>
      <c r="C8" s="3203"/>
      <c r="D8" s="3203"/>
      <c r="E8" s="3203"/>
      <c r="F8" s="3203"/>
      <c r="G8" s="3203"/>
      <c r="H8" s="3203"/>
      <c r="I8" s="3203"/>
      <c r="J8" s="3203"/>
      <c r="K8" s="3203"/>
      <c r="L8" s="3203"/>
      <c r="M8" s="3203"/>
    </row>
    <row r="9" spans="1:56" ht="52.5" customHeight="1" x14ac:dyDescent="0.25">
      <c r="A9" s="409" t="s">
        <v>1038</v>
      </c>
      <c r="B9" s="3263" t="s">
        <v>1394</v>
      </c>
      <c r="C9" s="3263"/>
      <c r="D9" s="3263"/>
      <c r="E9" s="3263"/>
      <c r="F9" s="3263"/>
      <c r="G9" s="3263"/>
      <c r="H9" s="3263"/>
      <c r="I9" s="3263"/>
      <c r="J9" s="3263"/>
      <c r="K9" s="3263"/>
      <c r="L9" s="3263"/>
      <c r="M9" s="3201"/>
    </row>
    <row r="10" spans="1:56" ht="33" hidden="1" customHeight="1" x14ac:dyDescent="0.25">
      <c r="A10" s="409" t="s">
        <v>1038</v>
      </c>
      <c r="B10" s="3264" t="s">
        <v>913</v>
      </c>
      <c r="C10" s="3265"/>
      <c r="D10" s="3265"/>
      <c r="E10" s="3265"/>
      <c r="F10" s="3265"/>
      <c r="G10" s="3265"/>
      <c r="H10" s="3265"/>
      <c r="I10" s="3265"/>
      <c r="J10" s="3265"/>
      <c r="K10" s="3265"/>
      <c r="L10" s="3265"/>
      <c r="M10" s="3265"/>
    </row>
    <row r="11" spans="1:56" ht="34.200000000000003" hidden="1" customHeight="1" x14ac:dyDescent="0.25">
      <c r="A11" s="409" t="s">
        <v>1038</v>
      </c>
      <c r="B11" s="3264" t="s">
        <v>952</v>
      </c>
      <c r="C11" s="3265"/>
      <c r="D11" s="3265"/>
      <c r="E11" s="3265"/>
      <c r="F11" s="3265"/>
      <c r="G11" s="3265"/>
      <c r="H11" s="3265"/>
      <c r="I11" s="3265"/>
      <c r="J11" s="3265"/>
      <c r="K11" s="3265"/>
      <c r="L11" s="3265"/>
      <c r="M11" s="3265"/>
    </row>
    <row r="12" spans="1:56" ht="33" hidden="1" customHeight="1" x14ac:dyDescent="0.25">
      <c r="A12" s="409" t="s">
        <v>1038</v>
      </c>
      <c r="B12" s="3264" t="s">
        <v>914</v>
      </c>
      <c r="C12" s="3265"/>
      <c r="D12" s="3265"/>
      <c r="E12" s="3265"/>
      <c r="F12" s="3265"/>
      <c r="G12" s="3265"/>
      <c r="H12" s="3265"/>
      <c r="I12" s="3265"/>
      <c r="J12" s="3265"/>
      <c r="K12" s="3265"/>
      <c r="L12" s="3265"/>
      <c r="M12" s="3265"/>
    </row>
    <row r="13" spans="1:56" ht="15.75" customHeight="1" x14ac:dyDescent="0.25">
      <c r="A13" s="409" t="s">
        <v>1038</v>
      </c>
      <c r="B13" s="3262"/>
      <c r="C13" s="3203"/>
      <c r="D13" s="3203"/>
      <c r="E13" s="3203"/>
      <c r="F13" s="3203"/>
      <c r="G13" s="3203"/>
      <c r="H13" s="3203"/>
      <c r="I13" s="3203"/>
      <c r="J13" s="3203"/>
      <c r="K13" s="3203"/>
      <c r="L13" s="3203"/>
      <c r="M13" s="3203"/>
    </row>
    <row r="14" spans="1:56" s="1235" customFormat="1" ht="14.25" customHeight="1" thickBot="1" x14ac:dyDescent="0.3">
      <c r="A14" s="2163" t="s">
        <v>1038</v>
      </c>
      <c r="B14" s="3859" t="s">
        <v>354</v>
      </c>
      <c r="C14" s="3859" t="s">
        <v>404</v>
      </c>
      <c r="D14" s="3881"/>
      <c r="E14" s="3859" t="s">
        <v>403</v>
      </c>
      <c r="F14" s="3930" t="s">
        <v>2606</v>
      </c>
      <c r="G14" s="3930" t="s">
        <v>2605</v>
      </c>
      <c r="H14" s="3930" t="s">
        <v>3188</v>
      </c>
      <c r="I14" s="3932" t="s">
        <v>3386</v>
      </c>
      <c r="J14" s="3934" t="s">
        <v>1395</v>
      </c>
      <c r="K14" s="3934"/>
      <c r="L14" s="3934"/>
      <c r="M14" s="3934"/>
      <c r="N14" s="3934"/>
      <c r="O14" s="3934"/>
      <c r="AD14" s="411"/>
      <c r="BD14" s="2159"/>
    </row>
    <row r="15" spans="1:56" s="1235" customFormat="1" ht="81" customHeight="1" thickBot="1" x14ac:dyDescent="0.3">
      <c r="A15" s="2163" t="s">
        <v>1038</v>
      </c>
      <c r="B15" s="3881"/>
      <c r="C15" s="3881"/>
      <c r="D15" s="3881"/>
      <c r="E15" s="3881"/>
      <c r="F15" s="3931"/>
      <c r="G15" s="3931"/>
      <c r="H15" s="3931"/>
      <c r="I15" s="3933"/>
      <c r="J15" s="1499" t="s">
        <v>2588</v>
      </c>
      <c r="K15" s="3358" t="str">
        <f>CONCATENATE("Energy Type Consumption Units to Site Energy Consumption (",PO_SiteUnits,")")</f>
        <v>Energy Type Consumption Units to Site Energy Consumption (kWh)</v>
      </c>
      <c r="L15" s="3881"/>
      <c r="M15" s="2356" t="str">
        <f>CONCATENATE("Energy Type Consumption Units to Source Energy Consumption (",PO_SourceUnits,")")</f>
        <v>Energy Type Consumption Units to Source Energy Consumption (kWh)</v>
      </c>
      <c r="N15" s="1358" t="s">
        <v>3189</v>
      </c>
      <c r="O15" s="1358" t="s">
        <v>3190</v>
      </c>
      <c r="W15" s="2771"/>
      <c r="X15" s="2772"/>
      <c r="Y15" s="2773" t="s">
        <v>3345</v>
      </c>
      <c r="Z15" s="2774"/>
      <c r="AD15" s="412"/>
      <c r="BD15" s="1358" t="s">
        <v>1635</v>
      </c>
    </row>
    <row r="16" spans="1:56" ht="19.5" hidden="1" customHeight="1" thickBot="1" x14ac:dyDescent="0.3">
      <c r="A16" s="409" t="s">
        <v>1038</v>
      </c>
      <c r="B16" s="1429" t="s">
        <v>1396</v>
      </c>
      <c r="C16" s="3859" t="s">
        <v>1397</v>
      </c>
      <c r="D16" s="3842"/>
      <c r="E16" s="1429" t="s">
        <v>1398</v>
      </c>
      <c r="F16" s="1429" t="s">
        <v>1400</v>
      </c>
      <c r="G16" s="2372" t="s">
        <v>1399</v>
      </c>
      <c r="H16" s="1429"/>
      <c r="I16" s="2801"/>
      <c r="J16" s="2373"/>
      <c r="K16" s="1429" t="s">
        <v>1401</v>
      </c>
      <c r="L16" s="1430"/>
      <c r="M16" s="2378" t="s">
        <v>1402</v>
      </c>
      <c r="N16" s="1429" t="s">
        <v>3191</v>
      </c>
      <c r="O16" s="1429"/>
      <c r="T16" s="2563" t="s">
        <v>3187</v>
      </c>
      <c r="W16" s="2775"/>
      <c r="Z16" s="2384"/>
      <c r="BD16" s="2153"/>
    </row>
    <row r="17" spans="1:56" ht="39" customHeight="1" x14ac:dyDescent="0.25">
      <c r="A17" s="409" t="s">
        <v>1038</v>
      </c>
      <c r="B17" s="1674"/>
      <c r="C17" s="3928"/>
      <c r="D17" s="3929"/>
      <c r="E17" s="805"/>
      <c r="F17" s="2370"/>
      <c r="G17" s="2370"/>
      <c r="H17" s="2371"/>
      <c r="I17" s="1294"/>
      <c r="J17" s="2374" t="str">
        <f>S17</f>
        <v/>
      </c>
      <c r="K17" s="3926" t="str">
        <f t="shared" ref="K17:K22" si="0">IFERROR(VLOOKUP("kBtu",EnergyUnitsTable,3,FALSE)/VLOOKUP(PO_SiteUnits,EnergyUnitsTable,3,FALSE)*VLOOKUP($C17,EnergyUnitsTable,3,FALSE),"")</f>
        <v/>
      </c>
      <c r="L17" s="3927"/>
      <c r="M17" s="2377" t="str">
        <f t="shared" ref="M17:M22" si="1">IFERROR(VLOOKUP("kBtu",EnergyUnitsTable,3,FALSE)/VLOOKUP(PO_SourceUnits,EnergyUnitsTable,3,FALSE)*VLOOKUP($C17,EnergyUnitsTable,3,FALSE)*J17,"")</f>
        <v/>
      </c>
      <c r="N17" s="2802" t="str">
        <f>W17</f>
        <v/>
      </c>
      <c r="O17" s="2803" t="str">
        <f>T17</f>
        <v/>
      </c>
      <c r="S17" s="2371" t="str">
        <f t="shared" ref="S17:S22" si="2">IFERROR(VLOOKUP(B17,FuelTable,2,FALSE),"")</f>
        <v/>
      </c>
      <c r="T17" s="2375" t="str">
        <f>IFERROR(VLOOKUP(C17,conversiontable,MATCH(GHG_EF!$S$3,contbl_hdl,0),0)*N17,"")</f>
        <v/>
      </c>
      <c r="V17" s="2768">
        <f>IF(H17="User defined",1,0)</f>
        <v>0</v>
      </c>
      <c r="W17" s="2775" t="str">
        <f>IFERROR(IF(OR(Y17="ISO",Y17="Other"),VLOOKUP(B17,GHG_EF,MATCH(H17,GHG_EF_HL,0),FALSE),INDEX(GHG_EF_ESPM,MATCH(I17,GHG_EF!K$27:K$67,0),MATCH(B17,GHG_EF_ESPM_hdl,0))),"")</f>
        <v/>
      </c>
      <c r="Y17" s="235" t="str">
        <f>IF(H17=GHG_EF!B$28,"USeGrids",IF(H17=GHG_EF!B$29,"CanadaProvinces",IF(H17=GHG_EF!B$30,"ISO",IF(H17=GHG_EF!B$31,"Other",""))))</f>
        <v/>
      </c>
      <c r="Z17" s="2384"/>
      <c r="BD17" s="2154"/>
    </row>
    <row r="18" spans="1:56" ht="39" customHeight="1" x14ac:dyDescent="0.25">
      <c r="A18" s="409" t="s">
        <v>1038</v>
      </c>
      <c r="B18" s="1674"/>
      <c r="C18" s="3928"/>
      <c r="D18" s="3929"/>
      <c r="E18" s="805"/>
      <c r="F18" s="2370"/>
      <c r="G18" s="2370"/>
      <c r="H18" s="2371"/>
      <c r="I18" s="1294"/>
      <c r="J18" s="2374" t="str">
        <f>S18</f>
        <v/>
      </c>
      <c r="K18" s="3926" t="str">
        <f t="shared" si="0"/>
        <v/>
      </c>
      <c r="L18" s="3927"/>
      <c r="M18" s="2377" t="str">
        <f t="shared" si="1"/>
        <v/>
      </c>
      <c r="N18" s="2804" t="str">
        <f>W18</f>
        <v/>
      </c>
      <c r="O18" s="2803" t="str">
        <f t="shared" ref="O18:O22" si="3">T18</f>
        <v/>
      </c>
      <c r="S18" s="2371" t="str">
        <f t="shared" si="2"/>
        <v/>
      </c>
      <c r="T18" s="2375" t="str">
        <f>IFERROR(VLOOKUP(C18,conversiontable,MATCH(GHG_EF!$S$3,contbl_hdl,0),0)*N18,"")</f>
        <v/>
      </c>
      <c r="V18" s="2769">
        <f t="shared" ref="V18:V22" si="4">IF(H18="User defined",1,0)</f>
        <v>0</v>
      </c>
      <c r="W18" s="2775" t="str">
        <f>IFERROR(IF(OR(Y18="ISO",Y18="Other"),VLOOKUP(B18,GHG_EF,MATCH(H18,GHG_EF_HL,0),FALSE),INDEX(GHG_EF_ESPM,MATCH(I18,GHG_EF!K$27:K$67,0),MATCH(B18,GHG_EF_ESPM_hdl,0))),"")</f>
        <v/>
      </c>
      <c r="Y18" s="235" t="str">
        <f>IF(H18=GHG_EF!B$28,"USeGrids",IF(H18=GHG_EF!B$29,"CanadaProvinces",IF(H18=GHG_EF!B$30,"ISO",IF(H18=GHG_EF!B$31,"Other",""))))</f>
        <v/>
      </c>
      <c r="Z18" s="2384"/>
      <c r="BD18" s="2154"/>
    </row>
    <row r="19" spans="1:56" ht="39" customHeight="1" x14ac:dyDescent="0.25">
      <c r="A19" s="409" t="s">
        <v>1038</v>
      </c>
      <c r="B19" s="1674"/>
      <c r="C19" s="3928"/>
      <c r="D19" s="3929"/>
      <c r="E19" s="805"/>
      <c r="F19" s="2370"/>
      <c r="G19" s="2370"/>
      <c r="H19" s="2371"/>
      <c r="I19" s="1294"/>
      <c r="J19" s="2374" t="str">
        <f t="shared" ref="J19:J20" si="5">S19</f>
        <v/>
      </c>
      <c r="K19" s="3926" t="str">
        <f t="shared" si="0"/>
        <v/>
      </c>
      <c r="L19" s="3927"/>
      <c r="M19" s="2377" t="str">
        <f t="shared" si="1"/>
        <v/>
      </c>
      <c r="N19" s="2804" t="str">
        <f t="shared" ref="N19:N22" si="6">W19</f>
        <v/>
      </c>
      <c r="O19" s="2803" t="str">
        <f t="shared" si="3"/>
        <v/>
      </c>
      <c r="S19" s="2371" t="str">
        <f t="shared" si="2"/>
        <v/>
      </c>
      <c r="T19" s="2375" t="str">
        <f>IFERROR(VLOOKUP(C19,conversiontable,MATCH(GHG_EF!$S$3,contbl_hdl,0),0)*N19,"")</f>
        <v/>
      </c>
      <c r="V19" s="2769">
        <f t="shared" si="4"/>
        <v>0</v>
      </c>
      <c r="W19" s="2775" t="str">
        <f>IFERROR(IF(OR(Y19="ISO",Y19="Other"),VLOOKUP(B19,GHG_EF,MATCH(H19,GHG_EF_HL,0),FALSE),INDEX(GHG_EF_ESPM,MATCH(I19,GHG_EF!K$27:K$67,0),MATCH(B19,GHG_EF_ESPM_hdl,0))),"")</f>
        <v/>
      </c>
      <c r="X19" s="235" t="e">
        <f>VLOOKUP(I19,GHG_EF_ESPM,1,0)</f>
        <v>#N/A</v>
      </c>
      <c r="Y19" s="235" t="str">
        <f>IF(H19=GHG_EF!B$28,"USeGrids",IF(H19=GHG_EF!B$29,"CanadaProvinces",IF(H19=GHG_EF!B$30,"ISO",IF(H19=GHG_EF!B$31,"Other",""))))</f>
        <v/>
      </c>
      <c r="Z19" s="2384"/>
      <c r="BD19" s="2154"/>
    </row>
    <row r="20" spans="1:56" ht="39" customHeight="1" x14ac:dyDescent="0.25">
      <c r="A20" s="409" t="s">
        <v>1038</v>
      </c>
      <c r="B20" s="1674"/>
      <c r="C20" s="3928"/>
      <c r="D20" s="3929"/>
      <c r="E20" s="805"/>
      <c r="F20" s="2370"/>
      <c r="G20" s="2370"/>
      <c r="H20" s="2371"/>
      <c r="I20" s="1294"/>
      <c r="J20" s="2374" t="str">
        <f t="shared" si="5"/>
        <v/>
      </c>
      <c r="K20" s="3926" t="str">
        <f t="shared" si="0"/>
        <v/>
      </c>
      <c r="L20" s="3927"/>
      <c r="M20" s="2377" t="str">
        <f t="shared" si="1"/>
        <v/>
      </c>
      <c r="N20" s="2804" t="str">
        <f t="shared" si="6"/>
        <v/>
      </c>
      <c r="O20" s="2803" t="str">
        <f t="shared" si="3"/>
        <v/>
      </c>
      <c r="S20" s="2371" t="str">
        <f t="shared" si="2"/>
        <v/>
      </c>
      <c r="T20" s="2375" t="str">
        <f>IFERROR(VLOOKUP(C20,conversiontable,MATCH(GHG_EF!$S$3,contbl_hdl,0),0)*N20,"")</f>
        <v/>
      </c>
      <c r="V20" s="2769">
        <f t="shared" si="4"/>
        <v>0</v>
      </c>
      <c r="W20" s="2775" t="str">
        <f>IFERROR(IF(OR(Y20="ISO",Y20="Other"),VLOOKUP(B20,GHG_EF,MATCH(H20,GHG_EF_HL,0),FALSE),INDEX(GHG_EF_ESPM,MATCH(I20,GHG_EF!K$27:K$67,0),MATCH(B20,GHG_EF_ESPM_hdl,0))),"")</f>
        <v/>
      </c>
      <c r="Y20" s="235" t="str">
        <f>IF(H20=GHG_EF!B$28,"USeGrids",IF(H20=GHG_EF!B$29,"CanadaProvinces",IF(H20=GHG_EF!B$30,"ISO",IF(H20=GHG_EF!B$31,"Other",""))))</f>
        <v/>
      </c>
      <c r="Z20" s="2384"/>
      <c r="BD20" s="2154"/>
    </row>
    <row r="21" spans="1:56" ht="39" customHeight="1" x14ac:dyDescent="0.25">
      <c r="A21" s="409" t="s">
        <v>1038</v>
      </c>
      <c r="B21" s="1674"/>
      <c r="C21" s="3928"/>
      <c r="D21" s="3929"/>
      <c r="E21" s="805"/>
      <c r="F21" s="2370"/>
      <c r="G21" s="2370"/>
      <c r="H21" s="2371"/>
      <c r="I21" s="1294"/>
      <c r="J21" s="2374" t="str">
        <f>S21</f>
        <v/>
      </c>
      <c r="K21" s="3926" t="str">
        <f t="shared" si="0"/>
        <v/>
      </c>
      <c r="L21" s="3927"/>
      <c r="M21" s="2377" t="str">
        <f t="shared" si="1"/>
        <v/>
      </c>
      <c r="N21" s="2804" t="str">
        <f t="shared" si="6"/>
        <v/>
      </c>
      <c r="O21" s="2803" t="str">
        <f t="shared" si="3"/>
        <v/>
      </c>
      <c r="S21" s="2371" t="str">
        <f t="shared" si="2"/>
        <v/>
      </c>
      <c r="T21" s="2375" t="str">
        <f>IFERROR(VLOOKUP(C21,conversiontable,MATCH(GHG_EF!$S$3,contbl_hdl,0),0)*N21,"")</f>
        <v/>
      </c>
      <c r="V21" s="2769">
        <f t="shared" si="4"/>
        <v>0</v>
      </c>
      <c r="W21" s="2775" t="str">
        <f>IFERROR(IF(OR(Y21="ISO",Y21="Other"),VLOOKUP(B21,GHG_EF,MATCH(H21,GHG_EF_HL,0),FALSE),INDEX(GHG_EF_ESPM,MATCH(I21,GHG_EF!K$27:K$67,0),MATCH(B21,GHG_EF_ESPM_hdl,0))),"")</f>
        <v/>
      </c>
      <c r="Y21" s="235" t="str">
        <f>IF(H21=GHG_EF!B$28,"USeGrids",IF(H21=GHG_EF!B$29,"CanadaProvinces",IF(H21=GHG_EF!B$30,"ISO",IF(H21=GHG_EF!B$31,"Other",""))))</f>
        <v/>
      </c>
      <c r="Z21" s="2384"/>
      <c r="BD21" s="2154"/>
    </row>
    <row r="22" spans="1:56" ht="39" customHeight="1" thickBot="1" x14ac:dyDescent="0.3">
      <c r="A22" s="409" t="s">
        <v>1038</v>
      </c>
      <c r="B22" s="1674"/>
      <c r="C22" s="3928"/>
      <c r="D22" s="3929"/>
      <c r="E22" s="805"/>
      <c r="F22" s="2370"/>
      <c r="G22" s="2370"/>
      <c r="H22" s="2371"/>
      <c r="I22" s="1294"/>
      <c r="J22" s="2374" t="str">
        <f>S22</f>
        <v/>
      </c>
      <c r="K22" s="3926" t="str">
        <f t="shared" si="0"/>
        <v/>
      </c>
      <c r="L22" s="3927"/>
      <c r="M22" s="2377" t="str">
        <f t="shared" si="1"/>
        <v/>
      </c>
      <c r="N22" s="2804" t="str">
        <f t="shared" si="6"/>
        <v/>
      </c>
      <c r="O22" s="2803" t="str">
        <f t="shared" si="3"/>
        <v/>
      </c>
      <c r="S22" s="2371" t="str">
        <f t="shared" si="2"/>
        <v/>
      </c>
      <c r="T22" s="2376" t="str">
        <f>IFERROR(VLOOKUP(C22,conversiontable,MATCH(GHG_EF!$S$3,contbl_hdl,0),0)*N22,"")</f>
        <v/>
      </c>
      <c r="V22" s="2769">
        <f t="shared" si="4"/>
        <v>0</v>
      </c>
      <c r="W22" s="2776" t="str">
        <f>IFERROR(IF(OR(Y22="ISO",Y22="Other"),VLOOKUP(B22,GHG_EF,MATCH(H22,GHG_EF_HL,0),FALSE),INDEX(GHG_EF_ESPM,MATCH(I22,GHG_EF!K$27:K$67,0),MATCH(B22,GHG_EF_ESPM_hdl,0))),"")</f>
        <v/>
      </c>
      <c r="X22" s="2777"/>
      <c r="Y22" s="2777" t="str">
        <f>IF(H22=GHG_EF!B$28,"USeGrids",IF(H22=GHG_EF!B$29,"CanadaProvinces",IF(H22=GHG_EF!B$30,"ISO",IF(H22=GHG_EF!B$31,"Other",""))))</f>
        <v/>
      </c>
      <c r="Z22" s="2778"/>
      <c r="BD22" s="2154"/>
    </row>
    <row r="23" spans="1:56" ht="21" customHeight="1" thickBot="1" x14ac:dyDescent="0.3">
      <c r="A23" s="409" t="s">
        <v>1038</v>
      </c>
      <c r="B23" s="2480" t="s">
        <v>900</v>
      </c>
      <c r="C23" s="2379"/>
      <c r="D23" s="2379"/>
      <c r="E23" s="2379"/>
      <c r="F23" s="2379"/>
      <c r="G23" s="2379"/>
      <c r="H23" s="2379"/>
      <c r="I23" s="2379"/>
      <c r="J23" s="2379"/>
      <c r="K23" s="2380"/>
      <c r="L23" s="3935" t="s">
        <v>398</v>
      </c>
      <c r="M23" s="3936"/>
      <c r="N23" s="3936"/>
      <c r="O23" s="3937"/>
      <c r="P23" s="2"/>
      <c r="V23" s="2770">
        <f>MAX(V17:V22)</f>
        <v>0</v>
      </c>
      <c r="BD23" s="2154"/>
    </row>
    <row r="24" spans="1:56" ht="21" customHeight="1" x14ac:dyDescent="0.25">
      <c r="A24" s="409" t="s">
        <v>1038</v>
      </c>
      <c r="B24" s="3396" t="s">
        <v>901</v>
      </c>
      <c r="C24" s="3925"/>
      <c r="D24" s="3925"/>
      <c r="E24" s="3925"/>
      <c r="F24" s="3925"/>
      <c r="G24" s="3925"/>
      <c r="H24" s="3925"/>
      <c r="I24" s="3925"/>
      <c r="J24" s="3925"/>
      <c r="K24" s="3925"/>
      <c r="L24" s="3938" t="s">
        <v>398</v>
      </c>
      <c r="M24" s="3939"/>
      <c r="N24" s="3939"/>
      <c r="O24" s="3940"/>
      <c r="BD24" s="2154"/>
    </row>
    <row r="25" spans="1:56" ht="13.05" customHeight="1" x14ac:dyDescent="0.25">
      <c r="A25" s="409" t="s">
        <v>1038</v>
      </c>
      <c r="B25" s="281"/>
      <c r="C25" s="261"/>
      <c r="D25" s="243"/>
      <c r="E25" s="243"/>
      <c r="F25" s="243"/>
      <c r="G25" s="243"/>
      <c r="H25" s="243"/>
      <c r="I25" s="243"/>
      <c r="J25" s="243"/>
      <c r="K25" s="243"/>
      <c r="L25" s="244"/>
      <c r="M25" s="244"/>
      <c r="U25" s="235" t="s">
        <v>2416</v>
      </c>
    </row>
    <row r="26" spans="1:56" ht="13.05" customHeight="1" thickBot="1" x14ac:dyDescent="0.3">
      <c r="A26" s="409" t="s">
        <v>1038</v>
      </c>
      <c r="B26" s="281"/>
      <c r="C26" s="261"/>
      <c r="D26" s="243"/>
      <c r="E26" s="243"/>
      <c r="F26" s="243"/>
      <c r="G26" s="243"/>
      <c r="H26" s="243"/>
      <c r="I26" s="243"/>
      <c r="J26" s="243"/>
      <c r="K26" s="243"/>
      <c r="L26" s="244"/>
      <c r="M26" s="244"/>
    </row>
    <row r="27" spans="1:56" s="285" customFormat="1" ht="20.25" customHeight="1" x14ac:dyDescent="0.25">
      <c r="A27" s="409" t="s">
        <v>1038</v>
      </c>
      <c r="B27" s="310" t="s">
        <v>3348</v>
      </c>
      <c r="AE27" s="2565" t="s">
        <v>3222</v>
      </c>
      <c r="BD27" s="2160"/>
    </row>
    <row r="28" spans="1:56" s="285" customFormat="1" ht="20.25" customHeight="1" thickBot="1" x14ac:dyDescent="0.3">
      <c r="A28" s="409"/>
      <c r="B28" s="310"/>
      <c r="AE28" s="2407" t="b">
        <v>0</v>
      </c>
      <c r="BD28" s="2160"/>
    </row>
    <row r="29" spans="1:56" s="285" customFormat="1" ht="20.25" customHeight="1" x14ac:dyDescent="0.25">
      <c r="A29" s="409"/>
      <c r="B29" s="311" t="s">
        <v>3215</v>
      </c>
      <c r="BD29" s="2160"/>
    </row>
    <row r="30" spans="1:56" s="285" customFormat="1" ht="20.25" customHeight="1" x14ac:dyDescent="0.25">
      <c r="A30" s="409"/>
      <c r="B30" s="311"/>
      <c r="BD30" s="2160"/>
    </row>
    <row r="31" spans="1:56" s="285" customFormat="1" ht="20.25" hidden="1" customHeight="1" x14ac:dyDescent="0.25">
      <c r="A31" s="409"/>
      <c r="B31" s="3271" t="s">
        <v>3216</v>
      </c>
      <c r="C31" s="3271"/>
      <c r="D31" s="3271"/>
      <c r="E31" s="3271"/>
      <c r="F31" s="3271"/>
      <c r="G31" s="3271"/>
      <c r="H31" s="3271"/>
      <c r="I31" s="3271"/>
      <c r="J31" s="3271"/>
      <c r="K31" s="3271"/>
      <c r="L31" s="3271"/>
      <c r="M31" s="3272"/>
      <c r="BD31" s="2160"/>
    </row>
    <row r="32" spans="1:56" s="285" customFormat="1" ht="129" hidden="1" customHeight="1" x14ac:dyDescent="0.25">
      <c r="A32" s="409"/>
      <c r="B32" s="3201" t="s">
        <v>3217</v>
      </c>
      <c r="C32" s="3220"/>
      <c r="D32" s="3220"/>
      <c r="E32" s="3220"/>
      <c r="F32" s="3220"/>
      <c r="G32" s="3220"/>
      <c r="H32" s="3220"/>
      <c r="I32" s="3220"/>
      <c r="J32" s="3220"/>
      <c r="K32" s="3220"/>
      <c r="L32" s="3220"/>
      <c r="M32" s="3220"/>
      <c r="BD32" s="2160"/>
    </row>
    <row r="33" spans="1:57" s="285" customFormat="1" ht="18.75" hidden="1" customHeight="1" x14ac:dyDescent="0.25">
      <c r="A33" s="409"/>
      <c r="B33" s="2351"/>
      <c r="C33" s="329"/>
      <c r="D33" s="329"/>
      <c r="E33" s="329"/>
      <c r="F33" s="329"/>
      <c r="G33" s="329"/>
      <c r="H33" s="329"/>
      <c r="I33" s="329"/>
      <c r="J33" s="329"/>
      <c r="K33" s="329"/>
      <c r="L33" s="329"/>
      <c r="M33" s="329"/>
      <c r="BD33" s="2160"/>
    </row>
    <row r="34" spans="1:57" s="1235" customFormat="1" ht="57.75" hidden="1" customHeight="1" x14ac:dyDescent="0.25">
      <c r="A34" s="2163" t="s">
        <v>1038</v>
      </c>
      <c r="B34" s="3886" t="s">
        <v>3218</v>
      </c>
      <c r="C34" s="3887"/>
      <c r="D34" s="3983"/>
      <c r="E34" s="1358" t="s">
        <v>997</v>
      </c>
      <c r="F34" s="3886" t="s">
        <v>898</v>
      </c>
      <c r="G34" s="3983"/>
      <c r="H34" s="3886" t="s">
        <v>3219</v>
      </c>
      <c r="I34" s="3887"/>
      <c r="J34" s="1358" t="s">
        <v>3211</v>
      </c>
      <c r="K34" s="3887" t="s">
        <v>3221</v>
      </c>
      <c r="L34" s="3887"/>
      <c r="M34" s="3983"/>
      <c r="N34" s="4024"/>
      <c r="O34" s="4024"/>
      <c r="V34" s="2566" t="s">
        <v>1409</v>
      </c>
      <c r="W34" s="2566" t="s">
        <v>1556</v>
      </c>
      <c r="BD34" s="1358" t="s">
        <v>1635</v>
      </c>
      <c r="BE34" s="2564"/>
    </row>
    <row r="35" spans="1:57" s="414" customFormat="1" ht="0.75" hidden="1" customHeight="1" thickBot="1" x14ac:dyDescent="0.25">
      <c r="A35" s="409" t="s">
        <v>1038</v>
      </c>
      <c r="B35" s="1431" t="s">
        <v>1403</v>
      </c>
      <c r="C35" s="1432"/>
      <c r="D35" s="1432"/>
      <c r="E35" s="1433" t="s">
        <v>1404</v>
      </c>
      <c r="F35" s="1431" t="s">
        <v>1405</v>
      </c>
      <c r="G35" s="1434"/>
      <c r="H35" s="1431" t="s">
        <v>1406</v>
      </c>
      <c r="I35" s="2453"/>
      <c r="J35" s="1435"/>
      <c r="K35" s="2455"/>
      <c r="L35" s="1436"/>
      <c r="M35" s="1436"/>
      <c r="N35" s="2458"/>
      <c r="S35" s="2567" t="s">
        <v>1407</v>
      </c>
      <c r="T35" s="2567" t="s">
        <v>1408</v>
      </c>
      <c r="U35" s="2567" t="s">
        <v>1113</v>
      </c>
      <c r="V35" s="2567" t="s">
        <v>1409</v>
      </c>
      <c r="W35" s="2567" t="s">
        <v>1556</v>
      </c>
      <c r="BD35" s="2156"/>
      <c r="BE35" s="2157"/>
    </row>
    <row r="36" spans="1:57" ht="15" hidden="1" customHeight="1" x14ac:dyDescent="0.25">
      <c r="A36" s="409" t="s">
        <v>802</v>
      </c>
      <c r="B36" s="3977"/>
      <c r="C36" s="3978"/>
      <c r="D36" s="3979"/>
      <c r="E36" s="1275"/>
      <c r="F36" s="1288"/>
      <c r="G36" s="1289" t="str">
        <f>IFERROR(IF(ISBLANK($E36),"",VLOOKUP($E36,PO_Enrgy_1_Table,MATCH($E$16,PO_Enrgy_1_Hdr,0),FALSE)),"")</f>
        <v/>
      </c>
      <c r="H36" s="1288"/>
      <c r="I36" s="2454" t="str">
        <f>IFERROR(IF(ISBLANK($E36),"",VLOOKUP($E36,PO_Enrgy_1_Table,MATCH($C$16,PO_Enrgy_1_Hdr,0),FALSE)),"")</f>
        <v/>
      </c>
      <c r="J36" s="2460" t="str">
        <f>IFERROR(VLOOKUP(E36,PO_Enrgy_1_Table,MATCH($N$16,PO_Enrgy_1_Hdr,0),0),"")</f>
        <v/>
      </c>
      <c r="K36" s="4025" t="str">
        <f>IFERROR(H36*X36,"")</f>
        <v/>
      </c>
      <c r="L36" s="4025"/>
      <c r="M36" s="4026"/>
      <c r="N36" s="3982"/>
      <c r="O36" s="3982"/>
      <c r="S36" s="2568" t="str">
        <f>IFERROR(IF(ISBLANK($E36),"",VLOOKUP($E36,PO_Enrgy_1_Table,MATCH($K$16,PO_Enrgy_1_Hdr,0),FALSE)),"")</f>
        <v/>
      </c>
      <c r="T36" s="2568" t="str">
        <f>IFERROR(IF(ISBLANK($E36),"",VLOOKUP($E36,PO_Enrgy_1_Table,MATCH($M$16,PO_Enrgy_1_Hdr,0),FALSE)),"")</f>
        <v/>
      </c>
      <c r="U36" s="2568" t="str">
        <f>IFERROR((H36*VLOOKUP(I36,EnergyUnitsTable,3,FALSE))/(F36*VLOOKUP(G36,DemandTable,3,FALSE)),"")</f>
        <v/>
      </c>
      <c r="V36" s="2569" t="str">
        <f>IFERROR($H36*VLOOKUP($E36,PO_Enrgy_8_Table,MATCH($H$310,PO_Enrgy_8_Hdr,0),FALSE),"")</f>
        <v/>
      </c>
      <c r="W36" s="2570">
        <f>IFERROR(1-$K36/$V36,0)</f>
        <v>0</v>
      </c>
      <c r="X36" s="2571" t="str">
        <f>IFERROR(VLOOKUP(E36,PO_Enrgy_1_Table,MATCH($T$16,PO_Enrgy_1_Hdr,0),0),"")</f>
        <v/>
      </c>
      <c r="AJ36" s="2572"/>
      <c r="AK36" s="1527"/>
      <c r="AL36" s="1527"/>
      <c r="BD36" s="2154"/>
      <c r="BE36" s="2612"/>
    </row>
    <row r="37" spans="1:57" ht="15" hidden="1" customHeight="1" x14ac:dyDescent="0.25">
      <c r="A37" s="409"/>
      <c r="B37" s="3977"/>
      <c r="C37" s="3978"/>
      <c r="D37" s="3979"/>
      <c r="E37" s="1275"/>
      <c r="F37" s="1288"/>
      <c r="G37" s="1289" t="str">
        <f>IFERROR(IF(ISBLANK($E37),"",VLOOKUP($E37,PO_Enrgy_1_Table,MATCH($E$16,PO_Enrgy_1_Hdr,0),FALSE)),"")</f>
        <v/>
      </c>
      <c r="H37" s="1288"/>
      <c r="I37" s="2454" t="str">
        <f>IFERROR(IF(ISBLANK($E37),"",VLOOKUP($E37,PO_Enrgy_1_Table,MATCH($C$16,PO_Enrgy_1_Hdr,0),FALSE)),"")</f>
        <v/>
      </c>
      <c r="J37" s="2460" t="str">
        <f>IFERROR(VLOOKUP(E37,PO_Enrgy_1_Table,MATCH($N$16,PO_Enrgy_1_Hdr,0),0),"")</f>
        <v/>
      </c>
      <c r="K37" s="4025" t="str">
        <f t="shared" ref="K37:K39" si="7">IFERROR(H37*X37,"")</f>
        <v/>
      </c>
      <c r="L37" s="4025"/>
      <c r="M37" s="4026"/>
      <c r="N37" s="3982"/>
      <c r="O37" s="3982"/>
      <c r="S37" s="2568" t="str">
        <f>IFERROR(IF(ISBLANK($E37),"",VLOOKUP($E37,PO_Enrgy_1_Table,MATCH($K$16,PO_Enrgy_1_Hdr,0),FALSE)),"")</f>
        <v/>
      </c>
      <c r="T37" s="2568" t="str">
        <f>IFERROR(IF(ISBLANK($E37),"",VLOOKUP($E37,PO_Enrgy_1_Table,MATCH($M$16,PO_Enrgy_1_Hdr,0),FALSE)),"")</f>
        <v/>
      </c>
      <c r="U37" s="2568" t="str">
        <f>IFERROR((H37*VLOOKUP(I37,EnergyUnitsTable,3,FALSE))/(F37*VLOOKUP(G37,DemandTable,3,FALSE)),"")</f>
        <v/>
      </c>
      <c r="V37" s="2569" t="str">
        <f>IFERROR($H37*VLOOKUP($E37,PO_Enrgy_8_Table,MATCH($H$310,PO_Enrgy_8_Hdr,0),FALSE),"")</f>
        <v/>
      </c>
      <c r="W37" s="2570">
        <f>IFERROR(1-$K37/$V37,0)</f>
        <v>0</v>
      </c>
      <c r="X37" s="2573" t="str">
        <f>IFERROR(VLOOKUP(E37,PO_Enrgy_1_Table,MATCH($T$16,PO_Enrgy_1_Hdr,0),0),"")</f>
        <v/>
      </c>
      <c r="AJ37" s="2572"/>
      <c r="AK37" s="1527"/>
      <c r="AL37" s="1527"/>
      <c r="BD37" s="2154"/>
      <c r="BE37" s="2612"/>
    </row>
    <row r="38" spans="1:57" ht="15" hidden="1" customHeight="1" x14ac:dyDescent="0.25">
      <c r="A38" s="409" t="s">
        <v>802</v>
      </c>
      <c r="B38" s="3977"/>
      <c r="C38" s="3978"/>
      <c r="D38" s="3979"/>
      <c r="E38" s="1275"/>
      <c r="F38" s="1288"/>
      <c r="G38" s="1289" t="str">
        <f>IFERROR(IF(ISBLANK($E38),"",VLOOKUP($E38,PO_Enrgy_1_Table,MATCH($E$16,PO_Enrgy_1_Hdr,0),FALSE)),"")</f>
        <v/>
      </c>
      <c r="H38" s="1288"/>
      <c r="I38" s="2454" t="str">
        <f>IFERROR(IF(ISBLANK($E38),"",VLOOKUP($E38,PO_Enrgy_1_Table,MATCH($C$16,PO_Enrgy_1_Hdr,0),FALSE)),"")</f>
        <v/>
      </c>
      <c r="J38" s="2460" t="str">
        <f>IFERROR(VLOOKUP(E38,PO_Enrgy_1_Table,MATCH($N$16,PO_Enrgy_1_Hdr,0),0),"")</f>
        <v/>
      </c>
      <c r="K38" s="3980" t="str">
        <f t="shared" si="7"/>
        <v/>
      </c>
      <c r="L38" s="3980"/>
      <c r="M38" s="3981"/>
      <c r="N38" s="3982"/>
      <c r="O38" s="3982"/>
      <c r="S38" s="2568" t="str">
        <f>IFERROR(IF(ISBLANK($E38),"",VLOOKUP($E38,PO_Enrgy_1_Table,MATCH($K$16,PO_Enrgy_1_Hdr,0),FALSE)),"")</f>
        <v/>
      </c>
      <c r="T38" s="2568" t="str">
        <f>IFERROR(IF(ISBLANK($E38),"",VLOOKUP($E38,PO_Enrgy_1_Table,MATCH($M$16,PO_Enrgy_1_Hdr,0),FALSE)),"")</f>
        <v/>
      </c>
      <c r="U38" s="2568" t="str">
        <f>IFERROR((H38*VLOOKUP(I38,EnergyUnitsTable,3,FALSE))/(F38*VLOOKUP(G38,DemandTable,3,FALSE)),"")</f>
        <v/>
      </c>
      <c r="V38" s="2569" t="str">
        <f>IFERROR($H38*VLOOKUP($E38,PO_Enrgy_8_Table,MATCH($H$310,PO_Enrgy_8_Hdr,0),FALSE),"")</f>
        <v/>
      </c>
      <c r="W38" s="2570">
        <f>IFERROR(1-$K38/$V38,0)</f>
        <v>0</v>
      </c>
      <c r="X38" s="2573" t="str">
        <f>IFERROR(VLOOKUP(E38,PO_Enrgy_1_Table,MATCH($T$16,PO_Enrgy_1_Hdr,0),0),"")</f>
        <v/>
      </c>
      <c r="AJ38" s="2572"/>
      <c r="AK38" s="1527"/>
      <c r="AL38" s="1527"/>
      <c r="BD38" s="2154"/>
      <c r="BE38" s="2612"/>
    </row>
    <row r="39" spans="1:57" ht="15" hidden="1" customHeight="1" thickBot="1" x14ac:dyDescent="0.3">
      <c r="A39" s="409"/>
      <c r="B39" s="3977"/>
      <c r="C39" s="3978"/>
      <c r="D39" s="3979"/>
      <c r="E39" s="1275"/>
      <c r="F39" s="1288"/>
      <c r="G39" s="1289" t="str">
        <f>IFERROR(IF(ISBLANK($E39),"",VLOOKUP($E39,PO_Enrgy_1_Table,MATCH($E$16,PO_Enrgy_1_Hdr,0),FALSE)),"")</f>
        <v/>
      </c>
      <c r="H39" s="1288"/>
      <c r="I39" s="2454" t="str">
        <f>IFERROR(IF(ISBLANK($E39),"",VLOOKUP($E39,PO_Enrgy_1_Table,MATCH($C$16,PO_Enrgy_1_Hdr,0),FALSE)),"")</f>
        <v/>
      </c>
      <c r="J39" s="2460" t="str">
        <f>IFERROR(VLOOKUP(E39,PO_Enrgy_1_Table,MATCH($N$16,PO_Enrgy_1_Hdr,0),0),"")</f>
        <v/>
      </c>
      <c r="K39" s="3980" t="str">
        <f t="shared" si="7"/>
        <v/>
      </c>
      <c r="L39" s="3980"/>
      <c r="M39" s="3981"/>
      <c r="N39" s="3982"/>
      <c r="O39" s="3982"/>
      <c r="S39" s="2568" t="str">
        <f>IFERROR(IF(ISBLANK($E39),"",VLOOKUP($E39,PO_Enrgy_1_Table,MATCH($K$16,PO_Enrgy_1_Hdr,0),FALSE)),"")</f>
        <v/>
      </c>
      <c r="T39" s="2568" t="str">
        <f>IFERROR(IF(ISBLANK($E39),"",VLOOKUP($E39,PO_Enrgy_1_Table,MATCH($M$16,PO_Enrgy_1_Hdr,0),FALSE)),"")</f>
        <v/>
      </c>
      <c r="U39" s="2568" t="str">
        <f>IFERROR((H39*VLOOKUP(I39,EnergyUnitsTable,3,FALSE))/(F39*VLOOKUP(G39,DemandTable,3,FALSE)),"")</f>
        <v/>
      </c>
      <c r="V39" s="2569" t="str">
        <f>IFERROR($H39*VLOOKUP($E39,PO_Enrgy_8_Table,MATCH($H$310,PO_Enrgy_8_Hdr,0),FALSE),"")</f>
        <v/>
      </c>
      <c r="W39" s="2570">
        <f>IFERROR(1-$K39/$V39,0)</f>
        <v>0</v>
      </c>
      <c r="X39" s="2574" t="str">
        <f>IFERROR(VLOOKUP(E39,PO_Enrgy_1_Table,MATCH($T$16,PO_Enrgy_1_Hdr,0),0),"")</f>
        <v/>
      </c>
      <c r="AJ39" s="2572"/>
      <c r="AK39" s="1527"/>
      <c r="AL39" s="1527"/>
      <c r="BD39" s="2154"/>
      <c r="BE39" s="2612"/>
    </row>
    <row r="40" spans="1:57" s="1235" customFormat="1" ht="18" hidden="1" customHeight="1" x14ac:dyDescent="0.25">
      <c r="A40" s="2163"/>
      <c r="B40" s="4021" t="s">
        <v>3388</v>
      </c>
      <c r="C40" s="4022"/>
      <c r="D40" s="4022"/>
      <c r="E40" s="4022"/>
      <c r="F40" s="4022"/>
      <c r="G40" s="4022"/>
      <c r="H40" s="4022"/>
      <c r="I40" s="4022"/>
      <c r="J40" s="4022"/>
      <c r="K40" s="4022"/>
      <c r="L40" s="4022"/>
      <c r="M40" s="4023"/>
      <c r="N40" s="2457"/>
      <c r="O40" s="2457"/>
      <c r="X40" s="2451"/>
      <c r="BE40" s="2159"/>
    </row>
    <row r="41" spans="1:57" s="1235" customFormat="1" ht="20.25" hidden="1" customHeight="1" x14ac:dyDescent="0.25">
      <c r="A41" s="2163"/>
      <c r="B41" s="3930" t="s">
        <v>1411</v>
      </c>
      <c r="C41" s="4003"/>
      <c r="D41" s="3888"/>
      <c r="E41" s="4006" t="s">
        <v>396</v>
      </c>
      <c r="F41" s="4007"/>
      <c r="G41" s="4008"/>
      <c r="H41" s="4011" t="str">
        <f>CONCATENATE("Annual Source Energy Offset with Site-Generated Renewables
 (", PO_SourceUnits, ")")</f>
        <v>Annual Source Energy Offset with Site-Generated Renewables
 (kWh)</v>
      </c>
      <c r="I41" s="4012"/>
      <c r="J41" s="4013"/>
      <c r="K41" s="3930" t="s">
        <v>3220</v>
      </c>
      <c r="L41" s="4003"/>
      <c r="M41" s="3888"/>
      <c r="N41" s="4019"/>
      <c r="O41" s="4019"/>
      <c r="X41" s="2451"/>
      <c r="BD41" s="3358" t="s">
        <v>1635</v>
      </c>
      <c r="BE41" s="3955"/>
    </row>
    <row r="42" spans="1:57" s="1235" customFormat="1" ht="20.25" hidden="1" customHeight="1" x14ac:dyDescent="0.25">
      <c r="A42" s="2163"/>
      <c r="B42" s="3931"/>
      <c r="C42" s="4004"/>
      <c r="D42" s="4005"/>
      <c r="E42" s="4006" t="s">
        <v>1412</v>
      </c>
      <c r="F42" s="4008"/>
      <c r="G42" s="1358" t="str">
        <f>CONCATENATE("Units = ", PO_SiteUnits,")")</f>
        <v>Units = kWh)</v>
      </c>
      <c r="H42" s="4014"/>
      <c r="I42" s="4015"/>
      <c r="J42" s="4016"/>
      <c r="K42" s="3931"/>
      <c r="L42" s="4004"/>
      <c r="M42" s="4005"/>
      <c r="N42" s="4019"/>
      <c r="O42" s="4019"/>
      <c r="BD42" s="3358"/>
      <c r="BE42" s="3955"/>
    </row>
    <row r="43" spans="1:57" s="420" customFormat="1" ht="0.75" hidden="1" customHeight="1" thickBot="1" x14ac:dyDescent="0.25">
      <c r="A43" s="419"/>
      <c r="B43" s="1429" t="s">
        <v>1396</v>
      </c>
      <c r="C43" s="1437"/>
      <c r="D43" s="1437"/>
      <c r="E43" s="1438" t="s">
        <v>1413</v>
      </c>
      <c r="F43" s="1439" t="s">
        <v>1414</v>
      </c>
      <c r="G43" s="1440" t="s">
        <v>1415</v>
      </c>
      <c r="H43" s="1439" t="s">
        <v>1416</v>
      </c>
      <c r="I43" s="1440"/>
      <c r="J43" s="1440"/>
      <c r="K43" s="1439" t="s">
        <v>356</v>
      </c>
      <c r="L43" s="1441"/>
      <c r="M43" s="1441"/>
      <c r="N43" s="2459"/>
      <c r="S43" s="2567" t="s">
        <v>1407</v>
      </c>
      <c r="T43" s="2567" t="s">
        <v>1408</v>
      </c>
      <c r="BD43" s="2156"/>
      <c r="BE43" s="2157"/>
    </row>
    <row r="44" spans="1:57" ht="15" hidden="1" customHeight="1" x14ac:dyDescent="0.25">
      <c r="A44" s="409"/>
      <c r="B44" s="3956" t="str">
        <f>IFERROR(IF(ISBLANK(B17),"",B17),"")</f>
        <v/>
      </c>
      <c r="C44" s="3957"/>
      <c r="D44" s="3957"/>
      <c r="E44" s="1290" t="str">
        <f>IFERROR(IF(PO_offSiteRenewable=TRUE,SUMIF(INDEX(PO_osrenewable_table,0,MATCH($E$35,PO_osrenewable_hdr,0)),$B44,INDEX(PO_osrenewable_table,0,MATCH($H$35,PO_osrenewable_hdr,0))),""),"")</f>
        <v/>
      </c>
      <c r="F44" s="1291" t="str">
        <f t="shared" ref="F44:F49" si="8">IFERROR(IF(ISBLANK($B44),"",VLOOKUP($B44,PO_Enrgy_1_Table,MATCH($C$16,PO_Enrgy_1_Hdr,0),FALSE)),"")</f>
        <v/>
      </c>
      <c r="G44" s="1292" t="str">
        <f t="shared" ref="G44:G49" si="9">IFERROR($E44*$S44,"")</f>
        <v/>
      </c>
      <c r="H44" s="3966" t="str">
        <f t="shared" ref="H44:H49" si="10">IFERROR($E44*$T44,"")</f>
        <v/>
      </c>
      <c r="I44" s="3967"/>
      <c r="J44" s="3987"/>
      <c r="K44" s="3984">
        <f t="shared" ref="K44:K49" si="11">IFERROR(IF(PO_SiteRenewable=TRUE,SUMIF($E$36:$E$39,$B44,$K$36:$K$39),0),"")</f>
        <v>0</v>
      </c>
      <c r="L44" s="3985"/>
      <c r="M44" s="3986"/>
      <c r="N44" s="3982"/>
      <c r="O44" s="3982"/>
      <c r="S44" s="2568" t="str">
        <f t="shared" ref="S44:S49" si="12">IFERROR(IF(ISBLANK($B44),"",VLOOKUP($B44,PO_Enrgy_1_Table,MATCH($K$16,PO_Enrgy_1_Hdr,0),FALSE)),"")</f>
        <v/>
      </c>
      <c r="T44" s="2568" t="str">
        <f>IFERROR(IF(ISBLANK($B44),"",VLOOKUP($B44,PO_Enrgy_1_Table,MATCH($M$16,PO_Enrgy_1_Hdr,0),FALSE)),"")</f>
        <v/>
      </c>
      <c r="X44" s="2571" t="str">
        <f t="shared" ref="X44:X49" si="13">IFERROR(VLOOKUP(B44,PO_Enrgy_1_Table,MATCH($T$16,PO_Enrgy_1_Hdr,0),0),"")</f>
        <v/>
      </c>
      <c r="BD44" s="2154"/>
      <c r="BE44" s="2612"/>
    </row>
    <row r="45" spans="1:57" ht="15" hidden="1" customHeight="1" x14ac:dyDescent="0.25">
      <c r="A45" s="409"/>
      <c r="B45" s="3956" t="str">
        <f t="shared" ref="B45:B49" si="14">IFERROR(IF(ISBLANK(B18),"",B18),"")</f>
        <v/>
      </c>
      <c r="C45" s="3957"/>
      <c r="D45" s="3957"/>
      <c r="E45" s="1290" t="str">
        <f t="shared" ref="E45:E49" si="15">IFERROR(IF(PO_offSiteRenewable=TRUE,SUMIF(INDEX(PO_osrenewable_table,0,MATCH($E$35,PO_osrenewable_hdr,0)),$B45,INDEX(PO_osrenewable_table,0,MATCH($H$35,PO_osrenewable_hdr,0))),""),"")</f>
        <v/>
      </c>
      <c r="F45" s="1291" t="str">
        <f t="shared" si="8"/>
        <v/>
      </c>
      <c r="G45" s="1292" t="str">
        <f t="shared" si="9"/>
        <v/>
      </c>
      <c r="H45" s="3966" t="str">
        <f t="shared" si="10"/>
        <v/>
      </c>
      <c r="I45" s="3967"/>
      <c r="J45" s="3987"/>
      <c r="K45" s="3984">
        <f t="shared" si="11"/>
        <v>0</v>
      </c>
      <c r="L45" s="3985"/>
      <c r="M45" s="3986"/>
      <c r="N45" s="3982"/>
      <c r="O45" s="3982"/>
      <c r="S45" s="2568" t="str">
        <f t="shared" si="12"/>
        <v/>
      </c>
      <c r="T45" s="2568" t="str">
        <f t="shared" ref="T45:T49" si="16">IFERROR(IF(ISBLANK($B45),"",VLOOKUP($B45,PO_Enrgy_1_Table,MATCH($M$16,PO_Enrgy_1_Hdr,0),FALSE)),"")</f>
        <v/>
      </c>
      <c r="X45" s="2573" t="str">
        <f t="shared" si="13"/>
        <v/>
      </c>
      <c r="BD45" s="2154"/>
      <c r="BE45" s="2612"/>
    </row>
    <row r="46" spans="1:57" ht="15" hidden="1" customHeight="1" x14ac:dyDescent="0.25">
      <c r="A46" s="409"/>
      <c r="B46" s="3956" t="str">
        <f t="shared" si="14"/>
        <v/>
      </c>
      <c r="C46" s="3957"/>
      <c r="D46" s="3957"/>
      <c r="E46" s="1290" t="str">
        <f t="shared" si="15"/>
        <v/>
      </c>
      <c r="F46" s="1291" t="str">
        <f t="shared" si="8"/>
        <v/>
      </c>
      <c r="G46" s="1292" t="str">
        <f t="shared" si="9"/>
        <v/>
      </c>
      <c r="H46" s="3966" t="str">
        <f t="shared" si="10"/>
        <v/>
      </c>
      <c r="I46" s="3967"/>
      <c r="J46" s="3987"/>
      <c r="K46" s="3984">
        <f t="shared" si="11"/>
        <v>0</v>
      </c>
      <c r="L46" s="3985"/>
      <c r="M46" s="3986"/>
      <c r="N46" s="3982"/>
      <c r="O46" s="3982"/>
      <c r="S46" s="2568" t="str">
        <f t="shared" si="12"/>
        <v/>
      </c>
      <c r="T46" s="2568" t="str">
        <f t="shared" si="16"/>
        <v/>
      </c>
      <c r="X46" s="2573" t="str">
        <f t="shared" si="13"/>
        <v/>
      </c>
      <c r="BD46" s="2154"/>
      <c r="BE46" s="2612"/>
    </row>
    <row r="47" spans="1:57" ht="15" hidden="1" customHeight="1" x14ac:dyDescent="0.25">
      <c r="A47" s="409"/>
      <c r="B47" s="3956" t="str">
        <f t="shared" si="14"/>
        <v/>
      </c>
      <c r="C47" s="3957"/>
      <c r="D47" s="3957"/>
      <c r="E47" s="1290" t="str">
        <f t="shared" si="15"/>
        <v/>
      </c>
      <c r="F47" s="1291" t="str">
        <f t="shared" si="8"/>
        <v/>
      </c>
      <c r="G47" s="1292" t="str">
        <f t="shared" si="9"/>
        <v/>
      </c>
      <c r="H47" s="3966" t="str">
        <f t="shared" si="10"/>
        <v/>
      </c>
      <c r="I47" s="3967"/>
      <c r="J47" s="3987"/>
      <c r="K47" s="3984">
        <f t="shared" si="11"/>
        <v>0</v>
      </c>
      <c r="L47" s="3985"/>
      <c r="M47" s="3986"/>
      <c r="N47" s="3982"/>
      <c r="O47" s="3982"/>
      <c r="S47" s="2568" t="str">
        <f t="shared" si="12"/>
        <v/>
      </c>
      <c r="T47" s="2568" t="str">
        <f t="shared" si="16"/>
        <v/>
      </c>
      <c r="X47" s="2573" t="str">
        <f t="shared" si="13"/>
        <v/>
      </c>
      <c r="BD47" s="2154"/>
      <c r="BE47" s="2612"/>
    </row>
    <row r="48" spans="1:57" ht="15" hidden="1" customHeight="1" x14ac:dyDescent="0.25">
      <c r="A48" s="409"/>
      <c r="B48" s="3956" t="str">
        <f t="shared" si="14"/>
        <v/>
      </c>
      <c r="C48" s="3957"/>
      <c r="D48" s="3957"/>
      <c r="E48" s="1290" t="str">
        <f t="shared" si="15"/>
        <v/>
      </c>
      <c r="F48" s="1291" t="str">
        <f t="shared" si="8"/>
        <v/>
      </c>
      <c r="G48" s="1292" t="str">
        <f t="shared" si="9"/>
        <v/>
      </c>
      <c r="H48" s="3966" t="str">
        <f t="shared" si="10"/>
        <v/>
      </c>
      <c r="I48" s="3967"/>
      <c r="J48" s="3987"/>
      <c r="K48" s="3984">
        <f t="shared" si="11"/>
        <v>0</v>
      </c>
      <c r="L48" s="3985"/>
      <c r="M48" s="3986"/>
      <c r="N48" s="3982"/>
      <c r="O48" s="3982"/>
      <c r="S48" s="2568" t="str">
        <f t="shared" si="12"/>
        <v/>
      </c>
      <c r="T48" s="2568" t="str">
        <f t="shared" si="16"/>
        <v/>
      </c>
      <c r="X48" s="2573" t="str">
        <f t="shared" si="13"/>
        <v/>
      </c>
      <c r="BD48" s="2154"/>
      <c r="BE48" s="2612"/>
    </row>
    <row r="49" spans="1:58" ht="15" hidden="1" customHeight="1" x14ac:dyDescent="0.25">
      <c r="A49" s="409"/>
      <c r="B49" s="3956" t="str">
        <f t="shared" si="14"/>
        <v/>
      </c>
      <c r="C49" s="3957"/>
      <c r="D49" s="3957"/>
      <c r="E49" s="1290" t="str">
        <f t="shared" si="15"/>
        <v/>
      </c>
      <c r="F49" s="1291" t="str">
        <f t="shared" si="8"/>
        <v/>
      </c>
      <c r="G49" s="1292" t="str">
        <f t="shared" si="9"/>
        <v/>
      </c>
      <c r="H49" s="3966" t="str">
        <f t="shared" si="10"/>
        <v/>
      </c>
      <c r="I49" s="3967"/>
      <c r="J49" s="3987"/>
      <c r="K49" s="3984">
        <f t="shared" si="11"/>
        <v>0</v>
      </c>
      <c r="L49" s="3985"/>
      <c r="M49" s="3986"/>
      <c r="N49" s="3982"/>
      <c r="O49" s="3982"/>
      <c r="S49" s="2568" t="str">
        <f t="shared" si="12"/>
        <v/>
      </c>
      <c r="T49" s="2568" t="str">
        <f t="shared" si="16"/>
        <v/>
      </c>
      <c r="X49" s="2573" t="str">
        <f t="shared" si="13"/>
        <v/>
      </c>
      <c r="BD49" s="2154"/>
      <c r="BE49" s="2612"/>
    </row>
    <row r="50" spans="1:58" ht="21" hidden="1" customHeight="1" thickBot="1" x14ac:dyDescent="0.3">
      <c r="A50" s="409"/>
      <c r="B50" s="3988" t="s">
        <v>15</v>
      </c>
      <c r="C50" s="3989"/>
      <c r="D50" s="3989"/>
      <c r="E50" s="3989"/>
      <c r="F50" s="3990"/>
      <c r="G50" s="2805">
        <f>SUM(G44:G49)</f>
        <v>0</v>
      </c>
      <c r="H50" s="3991">
        <f>SUM(H44:J49)</f>
        <v>0</v>
      </c>
      <c r="I50" s="3992"/>
      <c r="J50" s="3993"/>
      <c r="K50" s="3994">
        <f>SUM(K44:M49)</f>
        <v>0</v>
      </c>
      <c r="L50" s="3995"/>
      <c r="M50" s="3996"/>
      <c r="N50" s="3982"/>
      <c r="O50" s="3982"/>
      <c r="X50" s="2574" t="str">
        <f t="shared" ref="X50" si="17">IFERROR(VLOOKUP(E50,PO_Enrgy_1_Table,MATCH($T$16,PO_Enrgy_1_Hdr,0),0),"")</f>
        <v/>
      </c>
      <c r="BD50" s="2154"/>
      <c r="BE50" s="2612"/>
    </row>
    <row r="51" spans="1:58" ht="21" hidden="1" customHeight="1" x14ac:dyDescent="0.25">
      <c r="A51" s="409"/>
      <c r="B51" s="3968" t="s">
        <v>3235</v>
      </c>
      <c r="C51" s="3969"/>
      <c r="D51" s="3969"/>
      <c r="E51" s="3969"/>
      <c r="F51" s="3969"/>
      <c r="G51" s="3969"/>
      <c r="H51" s="3969"/>
      <c r="I51" s="3969"/>
      <c r="J51" s="3970"/>
      <c r="K51" s="3997" t="str">
        <f>IF(Datacenter_Avg=TRUE,IFERROR($K50/$L$391,""),IFERROR($K50/$L$353,""))</f>
        <v/>
      </c>
      <c r="L51" s="3998"/>
      <c r="M51" s="3999"/>
      <c r="N51" s="4000"/>
      <c r="O51" s="4000"/>
      <c r="BD51" s="2154"/>
      <c r="BE51" s="2612"/>
    </row>
    <row r="52" spans="1:58" s="285" customFormat="1" ht="19.5" hidden="1" customHeight="1" x14ac:dyDescent="0.25">
      <c r="A52" s="409"/>
      <c r="B52" s="2351"/>
      <c r="C52" s="329"/>
      <c r="D52" s="329"/>
      <c r="E52" s="329"/>
      <c r="F52" s="329"/>
      <c r="G52" s="329"/>
      <c r="H52" s="329"/>
      <c r="I52" s="329"/>
      <c r="J52" s="329"/>
      <c r="K52" s="329"/>
      <c r="L52" s="329"/>
      <c r="M52" s="329"/>
      <c r="BD52" s="2160"/>
    </row>
    <row r="53" spans="1:58" ht="13.05" hidden="1" customHeight="1" x14ac:dyDescent="0.25">
      <c r="A53" s="409"/>
      <c r="B53" s="281"/>
      <c r="C53" s="261"/>
      <c r="D53" s="243"/>
      <c r="E53" s="243"/>
      <c r="F53" s="243"/>
      <c r="G53" s="243"/>
      <c r="H53" s="243"/>
      <c r="I53" s="243"/>
      <c r="J53" s="243"/>
      <c r="K53" s="243"/>
      <c r="L53" s="244"/>
      <c r="M53" s="244"/>
    </row>
    <row r="54" spans="1:58" s="285" customFormat="1" ht="20.25" customHeight="1" x14ac:dyDescent="0.25">
      <c r="A54" s="409" t="s">
        <v>1038</v>
      </c>
      <c r="B54" s="310" t="s">
        <v>3349</v>
      </c>
      <c r="BD54" s="2160"/>
    </row>
    <row r="55" spans="1:58" s="245" customFormat="1" ht="12.75" customHeight="1" x14ac:dyDescent="0.25">
      <c r="A55" s="409" t="s">
        <v>1038</v>
      </c>
      <c r="C55" s="235"/>
      <c r="D55" s="235"/>
      <c r="E55" s="235"/>
      <c r="F55" s="235"/>
      <c r="G55" s="235"/>
      <c r="H55" s="235"/>
      <c r="I55" s="235"/>
      <c r="J55" s="235"/>
      <c r="K55" s="235"/>
      <c r="Q55" s="235"/>
      <c r="AE55" s="631" t="s">
        <v>865</v>
      </c>
      <c r="BD55" s="2155"/>
      <c r="BE55" s="235"/>
      <c r="BF55" s="235"/>
    </row>
    <row r="56" spans="1:58" s="245" customFormat="1" ht="21" customHeight="1" x14ac:dyDescent="0.25">
      <c r="A56" s="409" t="s">
        <v>1038</v>
      </c>
      <c r="B56" s="311" t="s">
        <v>1473</v>
      </c>
      <c r="C56" s="235"/>
      <c r="D56" s="235"/>
      <c r="E56" s="235"/>
      <c r="F56" s="235"/>
      <c r="G56" s="235"/>
      <c r="H56" s="235"/>
      <c r="I56" s="235"/>
      <c r="J56" s="235"/>
      <c r="K56" s="235"/>
      <c r="Q56" s="235"/>
      <c r="AE56" s="627" t="b">
        <v>0</v>
      </c>
      <c r="BD56" s="2155"/>
      <c r="BE56" s="235"/>
      <c r="BF56" s="235"/>
    </row>
    <row r="57" spans="1:58" s="2" customFormat="1" ht="15" customHeight="1" x14ac:dyDescent="0.25">
      <c r="A57" s="409" t="s">
        <v>1038</v>
      </c>
      <c r="Q57" s="235"/>
      <c r="BD57" s="264"/>
      <c r="BE57" s="235"/>
      <c r="BF57" s="235"/>
    </row>
    <row r="58" spans="1:58" ht="21" hidden="1" customHeight="1" x14ac:dyDescent="0.25">
      <c r="A58" s="409" t="s">
        <v>1038</v>
      </c>
      <c r="B58" s="3271" t="s">
        <v>1474</v>
      </c>
      <c r="C58" s="3271"/>
      <c r="D58" s="3271"/>
      <c r="E58" s="3271"/>
      <c r="F58" s="3271"/>
      <c r="G58" s="3271"/>
      <c r="H58" s="3271"/>
      <c r="I58" s="3271"/>
      <c r="J58" s="3271"/>
      <c r="K58" s="3271"/>
      <c r="L58" s="3271"/>
      <c r="M58" s="3271"/>
    </row>
    <row r="59" spans="1:58" ht="115.5" hidden="1" customHeight="1" x14ac:dyDescent="0.25">
      <c r="A59" s="409" t="s">
        <v>1038</v>
      </c>
      <c r="B59" s="3273" t="s">
        <v>1476</v>
      </c>
      <c r="C59" s="3273"/>
      <c r="D59" s="3273"/>
      <c r="E59" s="3273"/>
      <c r="F59" s="3273"/>
      <c r="G59" s="3273"/>
      <c r="H59" s="3273"/>
      <c r="I59" s="3273"/>
      <c r="J59" s="3273"/>
      <c r="K59" s="3273"/>
      <c r="L59" s="3273"/>
      <c r="M59" s="3273"/>
    </row>
    <row r="60" spans="1:58" ht="32.25" hidden="1" customHeight="1" x14ac:dyDescent="0.25">
      <c r="A60" s="409" t="s">
        <v>1038</v>
      </c>
      <c r="B60" s="260"/>
      <c r="C60" s="243"/>
      <c r="D60" s="243"/>
      <c r="E60" s="243"/>
      <c r="F60" s="243"/>
      <c r="G60" s="652"/>
      <c r="H60" s="652"/>
      <c r="I60" s="652"/>
      <c r="J60" s="652"/>
      <c r="K60" s="652"/>
      <c r="L60" s="246"/>
      <c r="M60" s="246"/>
    </row>
    <row r="61" spans="1:58" s="1235" customFormat="1" ht="57.75" hidden="1" customHeight="1" thickBot="1" x14ac:dyDescent="0.3">
      <c r="A61" s="2163" t="s">
        <v>1038</v>
      </c>
      <c r="B61" s="3886" t="s">
        <v>1475</v>
      </c>
      <c r="C61" s="3887"/>
      <c r="D61" s="3983"/>
      <c r="E61" s="1358" t="s">
        <v>997</v>
      </c>
      <c r="F61" s="3886" t="s">
        <v>898</v>
      </c>
      <c r="G61" s="3983"/>
      <c r="H61" s="3886" t="s">
        <v>396</v>
      </c>
      <c r="I61" s="3887"/>
      <c r="J61" s="1497" t="s">
        <v>3211</v>
      </c>
      <c r="K61" s="3887" t="s">
        <v>998</v>
      </c>
      <c r="L61" s="3887"/>
      <c r="M61" s="3887"/>
      <c r="N61" s="3438" t="s">
        <v>3213</v>
      </c>
      <c r="O61" s="3439"/>
      <c r="V61" s="415" t="s">
        <v>1409</v>
      </c>
      <c r="W61" s="415" t="s">
        <v>1556</v>
      </c>
      <c r="BD61" s="1358" t="s">
        <v>1635</v>
      </c>
      <c r="BE61" s="2564"/>
    </row>
    <row r="62" spans="1:58" s="414" customFormat="1" ht="12.75" hidden="1" customHeight="1" thickBot="1" x14ac:dyDescent="0.25">
      <c r="A62" s="409" t="s">
        <v>1038</v>
      </c>
      <c r="B62" s="1431" t="s">
        <v>1403</v>
      </c>
      <c r="C62" s="1432"/>
      <c r="D62" s="1432"/>
      <c r="E62" s="1433" t="s">
        <v>1404</v>
      </c>
      <c r="F62" s="1431" t="s">
        <v>1405</v>
      </c>
      <c r="G62" s="1434"/>
      <c r="H62" s="1431" t="s">
        <v>1406</v>
      </c>
      <c r="I62" s="2453"/>
      <c r="J62" s="1435"/>
      <c r="K62" s="2455" t="s">
        <v>356</v>
      </c>
      <c r="L62" s="1436"/>
      <c r="M62" s="2452"/>
      <c r="N62" s="2807"/>
      <c r="O62" s="2808"/>
      <c r="S62" s="628" t="s">
        <v>1407</v>
      </c>
      <c r="T62" s="628" t="s">
        <v>1408</v>
      </c>
      <c r="U62" s="628" t="s">
        <v>1113</v>
      </c>
      <c r="V62" s="628" t="s">
        <v>1409</v>
      </c>
      <c r="W62" s="628" t="s">
        <v>1556</v>
      </c>
      <c r="BD62" s="2156"/>
      <c r="BE62" s="2157"/>
    </row>
    <row r="63" spans="1:58" ht="15" hidden="1" customHeight="1" x14ac:dyDescent="0.25">
      <c r="A63" s="409" t="s">
        <v>802</v>
      </c>
      <c r="B63" s="3977"/>
      <c r="C63" s="3978"/>
      <c r="D63" s="3979"/>
      <c r="E63" s="1275"/>
      <c r="F63" s="1288"/>
      <c r="G63" s="1289" t="str">
        <f>IFERROR(IF(ISBLANK($E63),"",VLOOKUP($E63,PO_Enrgy_1_Table,MATCH($E$16,PO_Enrgy_1_Hdr,0),FALSE)),"")</f>
        <v/>
      </c>
      <c r="H63" s="1288"/>
      <c r="I63" s="2454" t="str">
        <f>IFERROR(IF(ISBLANK($E63),"",VLOOKUP($E63,PO_Enrgy_1_Table,MATCH($C$16,PO_Enrgy_1_Hdr,0),FALSE)),"")</f>
        <v/>
      </c>
      <c r="J63" s="2806" t="str">
        <f>IFERROR(VLOOKUP(E63,PO_Enrgy_1_Table,MATCH($N$16,PO_Enrgy_1_Hdr,0),0),"")</f>
        <v/>
      </c>
      <c r="K63" s="4020" t="str">
        <f t="shared" ref="K63:M66" si="18">IFERROR($H63*VLOOKUP($E63,PO_Enrgy_8_Table,MATCH($H$310,PO_Enrgy_8_Hdr,0),FALSE),"")</f>
        <v/>
      </c>
      <c r="L63" s="4020" t="str">
        <f t="shared" si="18"/>
        <v/>
      </c>
      <c r="M63" s="4020" t="str">
        <f t="shared" si="18"/>
        <v/>
      </c>
      <c r="N63" s="3964" t="str">
        <f>IFERROR(H63*X63,"")</f>
        <v/>
      </c>
      <c r="O63" s="3965"/>
      <c r="S63" s="627" t="str">
        <f>IFERROR(IF(ISBLANK($E63),"",VLOOKUP($E63,PO_Enrgy_1_Table,MATCH($K$16,PO_Enrgy_1_Hdr,0),FALSE)),"")</f>
        <v/>
      </c>
      <c r="T63" s="627" t="str">
        <f>IFERROR(IF(ISBLANK($E63),"",VLOOKUP($E63,PO_Enrgy_1_Table,MATCH($M$16,PO_Enrgy_1_Hdr,0),FALSE)),"")</f>
        <v/>
      </c>
      <c r="U63" s="627" t="str">
        <f>IFERROR((H63*VLOOKUP(I63,EnergyUnitsTable,3,FALSE))/(F63*VLOOKUP(G63,DemandTable,3,FALSE)),"")</f>
        <v/>
      </c>
      <c r="V63" s="629" t="str">
        <f>IFERROR($H63*VLOOKUP($E63,PO_Enrgy_8_Table,MATCH($H$310,PO_Enrgy_8_Hdr,0),FALSE),"")</f>
        <v/>
      </c>
      <c r="W63" s="632">
        <f>IFERROR(1-$K63/$V63,0)</f>
        <v>0</v>
      </c>
      <c r="X63" s="2405" t="str">
        <f>IFERROR(VLOOKUP(E63,PO_Enrgy_1_Table,MATCH($T$16,PO_Enrgy_1_Hdr,0),0),"")</f>
        <v/>
      </c>
      <c r="AJ63" s="417"/>
      <c r="AK63" s="1527"/>
      <c r="AL63" s="1527"/>
      <c r="BD63" s="2154"/>
      <c r="BE63" s="2612"/>
    </row>
    <row r="64" spans="1:58" ht="15" hidden="1" customHeight="1" x14ac:dyDescent="0.25">
      <c r="A64" s="409"/>
      <c r="B64" s="3977"/>
      <c r="C64" s="3978"/>
      <c r="D64" s="3979"/>
      <c r="E64" s="1275"/>
      <c r="F64" s="1288"/>
      <c r="G64" s="1289" t="str">
        <f>IFERROR(IF(ISBLANK($E64),"",VLOOKUP($E64,PO_Enrgy_1_Table,MATCH($E$16,PO_Enrgy_1_Hdr,0),FALSE)),"")</f>
        <v/>
      </c>
      <c r="H64" s="1288"/>
      <c r="I64" s="2454" t="str">
        <f>IFERROR(IF(ISBLANK($E64),"",VLOOKUP($E64,PO_Enrgy_1_Table,MATCH($C$16,PO_Enrgy_1_Hdr,0),FALSE)),"")</f>
        <v/>
      </c>
      <c r="J64" s="2806" t="str">
        <f>IFERROR(VLOOKUP(E64,PO_Enrgy_1_Table,MATCH($N$16,PO_Enrgy_1_Hdr,0),0),"")</f>
        <v/>
      </c>
      <c r="K64" s="4020" t="str">
        <f t="shared" si="18"/>
        <v/>
      </c>
      <c r="L64" s="4020" t="str">
        <f t="shared" si="18"/>
        <v/>
      </c>
      <c r="M64" s="4020" t="str">
        <f t="shared" si="18"/>
        <v/>
      </c>
      <c r="N64" s="3964" t="str">
        <f t="shared" ref="N64:N66" si="19">IFERROR(H64*X64,"")</f>
        <v/>
      </c>
      <c r="O64" s="3965"/>
      <c r="S64" s="627" t="str">
        <f>IFERROR(IF(ISBLANK($E64),"",VLOOKUP($E64,PO_Enrgy_1_Table,MATCH($K$16,PO_Enrgy_1_Hdr,0),FALSE)),"")</f>
        <v/>
      </c>
      <c r="T64" s="627" t="str">
        <f>IFERROR(IF(ISBLANK($E64),"",VLOOKUP($E64,PO_Enrgy_1_Table,MATCH($M$16,PO_Enrgy_1_Hdr,0),FALSE)),"")</f>
        <v/>
      </c>
      <c r="U64" s="627" t="str">
        <f>IFERROR((H64*VLOOKUP(I64,EnergyUnitsTable,3,FALSE))/(F64*VLOOKUP(G64,DemandTable,3,FALSE)),"")</f>
        <v/>
      </c>
      <c r="V64" s="629" t="str">
        <f>IFERROR($H64*VLOOKUP($E64,PO_Enrgy_8_Table,MATCH($H$310,PO_Enrgy_8_Hdr,0),FALSE),"")</f>
        <v/>
      </c>
      <c r="W64" s="632">
        <f>IFERROR(1-$K64/$V64,0)</f>
        <v>0</v>
      </c>
      <c r="X64" s="2406" t="str">
        <f>IFERROR(VLOOKUP(E64,PO_Enrgy_1_Table,MATCH($T$16,PO_Enrgy_1_Hdr,0),0),"")</f>
        <v/>
      </c>
      <c r="AJ64" s="417"/>
      <c r="AK64" s="1527"/>
      <c r="AL64" s="1527"/>
      <c r="BD64" s="2154"/>
      <c r="BE64" s="2612"/>
    </row>
    <row r="65" spans="1:57" ht="15" hidden="1" customHeight="1" x14ac:dyDescent="0.25">
      <c r="A65" s="409" t="s">
        <v>802</v>
      </c>
      <c r="B65" s="3977"/>
      <c r="C65" s="3978"/>
      <c r="D65" s="3979"/>
      <c r="E65" s="1275"/>
      <c r="F65" s="1288"/>
      <c r="G65" s="1289" t="str">
        <f>IFERROR(IF(ISBLANK($E65),"",VLOOKUP($E65,PO_Enrgy_1_Table,MATCH($E$16,PO_Enrgy_1_Hdr,0),FALSE)),"")</f>
        <v/>
      </c>
      <c r="H65" s="1288"/>
      <c r="I65" s="2454" t="str">
        <f>IFERROR(IF(ISBLANK($E65),"",VLOOKUP($E65,PO_Enrgy_1_Table,MATCH($C$16,PO_Enrgy_1_Hdr,0),FALSE)),"")</f>
        <v/>
      </c>
      <c r="J65" s="2806" t="str">
        <f>IFERROR(VLOOKUP(E65,PO_Enrgy_1_Table,MATCH($N$16,PO_Enrgy_1_Hdr,0),0),"")</f>
        <v/>
      </c>
      <c r="K65" s="4020" t="str">
        <f t="shared" si="18"/>
        <v/>
      </c>
      <c r="L65" s="4020" t="str">
        <f t="shared" si="18"/>
        <v/>
      </c>
      <c r="M65" s="4020" t="str">
        <f t="shared" si="18"/>
        <v/>
      </c>
      <c r="N65" s="3964" t="str">
        <f t="shared" si="19"/>
        <v/>
      </c>
      <c r="O65" s="3965"/>
      <c r="S65" s="627" t="str">
        <f>IFERROR(IF(ISBLANK($E65),"",VLOOKUP($E65,PO_Enrgy_1_Table,MATCH($K$16,PO_Enrgy_1_Hdr,0),FALSE)),"")</f>
        <v/>
      </c>
      <c r="T65" s="627" t="str">
        <f>IFERROR(IF(ISBLANK($E65),"",VLOOKUP($E65,PO_Enrgy_1_Table,MATCH($M$16,PO_Enrgy_1_Hdr,0),FALSE)),"")</f>
        <v/>
      </c>
      <c r="U65" s="627" t="str">
        <f>IFERROR((H65*VLOOKUP(I65,EnergyUnitsTable,3,FALSE))/(F65*VLOOKUP(G65,DemandTable,3,FALSE)),"")</f>
        <v/>
      </c>
      <c r="V65" s="629" t="str">
        <f>IFERROR($H65*VLOOKUP($E65,PO_Enrgy_8_Table,MATCH($H$310,PO_Enrgy_8_Hdr,0),FALSE),"")</f>
        <v/>
      </c>
      <c r="W65" s="632">
        <f>IFERROR(1-$K65/$V65,0)</f>
        <v>0</v>
      </c>
      <c r="X65" s="2406" t="str">
        <f>IFERROR(VLOOKUP(E65,PO_Enrgy_1_Table,MATCH($T$16,PO_Enrgy_1_Hdr,0),0),"")</f>
        <v/>
      </c>
      <c r="AJ65" s="417"/>
      <c r="AK65" s="1527"/>
      <c r="AL65" s="1527"/>
      <c r="BD65" s="2154"/>
      <c r="BE65" s="2612"/>
    </row>
    <row r="66" spans="1:57" ht="15" hidden="1" customHeight="1" thickBot="1" x14ac:dyDescent="0.3">
      <c r="A66" s="409"/>
      <c r="B66" s="3977"/>
      <c r="C66" s="3978"/>
      <c r="D66" s="3979"/>
      <c r="E66" s="1275"/>
      <c r="F66" s="1288"/>
      <c r="G66" s="1289" t="str">
        <f>IFERROR(IF(ISBLANK($E66),"",VLOOKUP($E66,PO_Enrgy_1_Table,MATCH($E$16,PO_Enrgy_1_Hdr,0),FALSE)),"")</f>
        <v/>
      </c>
      <c r="H66" s="1288"/>
      <c r="I66" s="2454" t="str">
        <f>IFERROR(IF(ISBLANK($E66),"",VLOOKUP($E66,PO_Enrgy_1_Table,MATCH($C$16,PO_Enrgy_1_Hdr,0),FALSE)),"")</f>
        <v/>
      </c>
      <c r="J66" s="2806" t="str">
        <f>IFERROR(VLOOKUP(E66,PO_Enrgy_1_Table,MATCH($N$16,PO_Enrgy_1_Hdr,0),0),"")</f>
        <v/>
      </c>
      <c r="K66" s="4020" t="str">
        <f t="shared" si="18"/>
        <v/>
      </c>
      <c r="L66" s="4020" t="str">
        <f t="shared" si="18"/>
        <v/>
      </c>
      <c r="M66" s="4020" t="str">
        <f t="shared" si="18"/>
        <v/>
      </c>
      <c r="N66" s="3964" t="str">
        <f t="shared" si="19"/>
        <v/>
      </c>
      <c r="O66" s="3965"/>
      <c r="S66" s="627" t="str">
        <f>IFERROR(IF(ISBLANK($E66),"",VLOOKUP($E66,PO_Enrgy_1_Table,MATCH($K$16,PO_Enrgy_1_Hdr,0),FALSE)),"")</f>
        <v/>
      </c>
      <c r="T66" s="627" t="str">
        <f>IFERROR(IF(ISBLANK($E66),"",VLOOKUP($E66,PO_Enrgy_1_Table,MATCH($M$16,PO_Enrgy_1_Hdr,0),FALSE)),"")</f>
        <v/>
      </c>
      <c r="U66" s="627" t="str">
        <f>IFERROR((H66*VLOOKUP(I66,EnergyUnitsTable,3,FALSE))/(F66*VLOOKUP(G66,DemandTable,3,FALSE)),"")</f>
        <v/>
      </c>
      <c r="V66" s="629" t="str">
        <f>IFERROR($H66*VLOOKUP($E66,PO_Enrgy_8_Table,MATCH($H$310,PO_Enrgy_8_Hdr,0),FALSE),"")</f>
        <v/>
      </c>
      <c r="W66" s="632">
        <f>IFERROR(1-$K66/$V66,0)</f>
        <v>0</v>
      </c>
      <c r="X66" s="2407" t="str">
        <f>IFERROR(VLOOKUP(E66,PO_Enrgy_1_Table,MATCH($T$16,PO_Enrgy_1_Hdr,0),0),"")</f>
        <v/>
      </c>
      <c r="AJ66" s="417"/>
      <c r="AK66" s="1527"/>
      <c r="AL66" s="1527"/>
      <c r="BD66" s="2154"/>
      <c r="BE66" s="2612"/>
    </row>
    <row r="67" spans="1:57" s="1235" customFormat="1" ht="18" hidden="1" customHeight="1" x14ac:dyDescent="0.25">
      <c r="A67" s="2163"/>
      <c r="B67" s="4017" t="s">
        <v>3387</v>
      </c>
      <c r="C67" s="4018"/>
      <c r="D67" s="4018"/>
      <c r="E67" s="4018"/>
      <c r="F67" s="4018"/>
      <c r="G67" s="4018"/>
      <c r="H67" s="4018"/>
      <c r="I67" s="4018"/>
      <c r="J67" s="4018"/>
      <c r="K67" s="4018"/>
      <c r="L67" s="4018"/>
      <c r="M67" s="4018"/>
      <c r="N67" s="4018"/>
      <c r="O67" s="4018"/>
      <c r="X67" s="2451"/>
      <c r="BE67" s="2159"/>
    </row>
    <row r="68" spans="1:57" s="1235" customFormat="1" ht="20.25" hidden="1" customHeight="1" x14ac:dyDescent="0.25">
      <c r="A68" s="2163"/>
      <c r="B68" s="3930" t="s">
        <v>1411</v>
      </c>
      <c r="C68" s="4003"/>
      <c r="D68" s="3888"/>
      <c r="E68" s="4006" t="s">
        <v>396</v>
      </c>
      <c r="F68" s="4007"/>
      <c r="G68" s="4008"/>
      <c r="H68" s="4011" t="str">
        <f>CONCATENATE("Annual Source Energy Offset with Site-Generated Renewables
 (", PO_SourceUnits, ")")</f>
        <v>Annual Source Energy Offset with Site-Generated Renewables
 (kWh)</v>
      </c>
      <c r="I68" s="4012"/>
      <c r="J68" s="4013"/>
      <c r="K68" s="3930" t="s">
        <v>998</v>
      </c>
      <c r="L68" s="4003"/>
      <c r="M68" s="4003"/>
      <c r="N68" s="3438" t="s">
        <v>3243</v>
      </c>
      <c r="O68" s="3439"/>
      <c r="X68" s="2451"/>
      <c r="BD68" s="3815" t="s">
        <v>1635</v>
      </c>
      <c r="BE68" s="3955"/>
    </row>
    <row r="69" spans="1:57" s="1235" customFormat="1" ht="32.25" hidden="1" customHeight="1" thickBot="1" x14ac:dyDescent="0.3">
      <c r="A69" s="2163"/>
      <c r="B69" s="3931"/>
      <c r="C69" s="4004"/>
      <c r="D69" s="4005"/>
      <c r="E69" s="4006" t="s">
        <v>1412</v>
      </c>
      <c r="F69" s="4008"/>
      <c r="G69" s="1358" t="str">
        <f>CONCATENATE("Units = ", PO_SiteUnits,")")</f>
        <v>Units = kWh)</v>
      </c>
      <c r="H69" s="4014"/>
      <c r="I69" s="4015"/>
      <c r="J69" s="4016"/>
      <c r="K69" s="3931"/>
      <c r="L69" s="4004"/>
      <c r="M69" s="4004"/>
      <c r="N69" s="3440"/>
      <c r="O69" s="3441"/>
      <c r="BD69" s="3816"/>
      <c r="BE69" s="3955"/>
    </row>
    <row r="70" spans="1:57" s="420" customFormat="1" ht="12.75" hidden="1" customHeight="1" thickBot="1" x14ac:dyDescent="0.25">
      <c r="A70" s="419"/>
      <c r="B70" s="1429" t="s">
        <v>1396</v>
      </c>
      <c r="C70" s="1437"/>
      <c r="D70" s="1437"/>
      <c r="E70" s="1438" t="s">
        <v>1413</v>
      </c>
      <c r="F70" s="1439" t="s">
        <v>1414</v>
      </c>
      <c r="G70" s="1440" t="s">
        <v>1415</v>
      </c>
      <c r="H70" s="1439" t="s">
        <v>1416</v>
      </c>
      <c r="I70" s="1440"/>
      <c r="J70" s="1440"/>
      <c r="K70" s="2596" t="s">
        <v>356</v>
      </c>
      <c r="L70" s="2597"/>
      <c r="M70" s="2598"/>
      <c r="N70" s="1441"/>
      <c r="O70" s="2809"/>
      <c r="S70" s="628" t="s">
        <v>1407</v>
      </c>
      <c r="T70" s="628" t="s">
        <v>1408</v>
      </c>
      <c r="BD70" s="2156"/>
      <c r="BE70" s="2157"/>
    </row>
    <row r="71" spans="1:57" ht="15" hidden="1" customHeight="1" x14ac:dyDescent="0.25">
      <c r="A71" s="409"/>
      <c r="B71" s="3956" t="str">
        <f t="shared" ref="B71:B76" si="20">IFERROR(IF(ISBLANK(B17),"",B17),"")</f>
        <v/>
      </c>
      <c r="C71" s="3957"/>
      <c r="D71" s="3957"/>
      <c r="E71" s="1290" t="str">
        <f t="shared" ref="E71:E76" si="21">IFERROR(IF(PO_SiteRenewable=TRUE,SUMIF(INDEX(PO_renewable_table,0,MATCH($E$62,PO_renewable_hdr,0)),$B71,INDEX(PO_renewable_table,0,MATCH($H$62,PO_renewable_hdr,0))),""),"")</f>
        <v/>
      </c>
      <c r="F71" s="1291" t="str">
        <f t="shared" ref="F71:F76" si="22">IFERROR(IF(ISBLANK($B71),"",VLOOKUP($B71,PO_Enrgy_1_Table,MATCH($C$16,PO_Enrgy_1_Hdr,0),FALSE)),"")</f>
        <v/>
      </c>
      <c r="G71" s="1292" t="str">
        <f t="shared" ref="G71:G76" si="23">IFERROR($E71*$S71,"")</f>
        <v/>
      </c>
      <c r="H71" s="3966" t="str">
        <f t="shared" ref="H71:H76" si="24">IFERROR($E71*$T71,"")</f>
        <v/>
      </c>
      <c r="I71" s="3967"/>
      <c r="J71" s="3967"/>
      <c r="K71" s="3972">
        <f t="shared" ref="K71:K76" si="25">IFERROR(IF(PO_SiteRenewable=TRUE,SUMIF($E$63:$E$66,$B71,$K$63:$K$66),0),"")</f>
        <v>0</v>
      </c>
      <c r="L71" s="3973"/>
      <c r="M71" s="3974"/>
      <c r="N71" s="3964">
        <f t="shared" ref="N71:N76" si="26">IFERROR(IF(PO_SiteRenewable=TRUE,SUMIF($E$63:$E$66,$B71,$N$63:$N$66),0),"")</f>
        <v>0</v>
      </c>
      <c r="O71" s="3965"/>
      <c r="S71" s="627" t="str">
        <f t="shared" ref="S71:S76" si="27">IFERROR(IF(ISBLANK($B71),"",VLOOKUP($B71,PO_Enrgy_1_Table,MATCH($K$16,PO_Enrgy_1_Hdr,0),FALSE)),"")</f>
        <v/>
      </c>
      <c r="T71" s="627" t="str">
        <f t="shared" ref="T71:T76" si="28">IFERROR(IF(ISBLANK($B71),"",VLOOKUP($B71,PO_Enrgy_1_Table,MATCH($M$16,PO_Enrgy_1_Hdr,0),FALSE)),"")</f>
        <v/>
      </c>
      <c r="X71" s="2405" t="str">
        <f t="shared" ref="X71:X77" si="29">IFERROR(VLOOKUP(E71,PO_Enrgy_1_Table,MATCH($T$16,PO_Enrgy_1_Hdr,0),0),"")</f>
        <v/>
      </c>
      <c r="BD71" s="2154"/>
      <c r="BE71" s="2612"/>
    </row>
    <row r="72" spans="1:57" ht="15" hidden="1" customHeight="1" x14ac:dyDescent="0.25">
      <c r="A72" s="409"/>
      <c r="B72" s="3956" t="str">
        <f t="shared" si="20"/>
        <v/>
      </c>
      <c r="C72" s="3957"/>
      <c r="D72" s="3957"/>
      <c r="E72" s="1290" t="str">
        <f t="shared" si="21"/>
        <v/>
      </c>
      <c r="F72" s="1291" t="str">
        <f t="shared" si="22"/>
        <v/>
      </c>
      <c r="G72" s="1292" t="str">
        <f t="shared" si="23"/>
        <v/>
      </c>
      <c r="H72" s="3966" t="str">
        <f t="shared" si="24"/>
        <v/>
      </c>
      <c r="I72" s="3967"/>
      <c r="J72" s="3967"/>
      <c r="K72" s="3972">
        <f t="shared" si="25"/>
        <v>0</v>
      </c>
      <c r="L72" s="3973"/>
      <c r="M72" s="3974"/>
      <c r="N72" s="3964">
        <f t="shared" si="26"/>
        <v>0</v>
      </c>
      <c r="O72" s="3965"/>
      <c r="S72" s="627" t="str">
        <f t="shared" si="27"/>
        <v/>
      </c>
      <c r="T72" s="627" t="str">
        <f t="shared" si="28"/>
        <v/>
      </c>
      <c r="X72" s="2406" t="str">
        <f t="shared" si="29"/>
        <v/>
      </c>
      <c r="BD72" s="2154"/>
      <c r="BE72" s="2612"/>
    </row>
    <row r="73" spans="1:57" ht="15" hidden="1" customHeight="1" x14ac:dyDescent="0.25">
      <c r="A73" s="409"/>
      <c r="B73" s="3956" t="str">
        <f t="shared" si="20"/>
        <v/>
      </c>
      <c r="C73" s="3957"/>
      <c r="D73" s="3957"/>
      <c r="E73" s="1290" t="str">
        <f t="shared" si="21"/>
        <v/>
      </c>
      <c r="F73" s="1291" t="str">
        <f t="shared" si="22"/>
        <v/>
      </c>
      <c r="G73" s="1292" t="str">
        <f t="shared" si="23"/>
        <v/>
      </c>
      <c r="H73" s="3966" t="str">
        <f t="shared" si="24"/>
        <v/>
      </c>
      <c r="I73" s="3967"/>
      <c r="J73" s="3967"/>
      <c r="K73" s="3972">
        <f t="shared" si="25"/>
        <v>0</v>
      </c>
      <c r="L73" s="3973"/>
      <c r="M73" s="3974"/>
      <c r="N73" s="3964">
        <f t="shared" si="26"/>
        <v>0</v>
      </c>
      <c r="O73" s="3965"/>
      <c r="S73" s="627" t="str">
        <f t="shared" si="27"/>
        <v/>
      </c>
      <c r="T73" s="627" t="str">
        <f t="shared" si="28"/>
        <v/>
      </c>
      <c r="X73" s="2406" t="str">
        <f t="shared" si="29"/>
        <v/>
      </c>
      <c r="BD73" s="2154"/>
      <c r="BE73" s="2612"/>
    </row>
    <row r="74" spans="1:57" ht="15" hidden="1" customHeight="1" x14ac:dyDescent="0.25">
      <c r="A74" s="409"/>
      <c r="B74" s="3956" t="str">
        <f t="shared" si="20"/>
        <v/>
      </c>
      <c r="C74" s="3957"/>
      <c r="D74" s="3957"/>
      <c r="E74" s="1290" t="str">
        <f t="shared" si="21"/>
        <v/>
      </c>
      <c r="F74" s="1291" t="str">
        <f t="shared" si="22"/>
        <v/>
      </c>
      <c r="G74" s="1292" t="str">
        <f t="shared" si="23"/>
        <v/>
      </c>
      <c r="H74" s="3966" t="str">
        <f t="shared" si="24"/>
        <v/>
      </c>
      <c r="I74" s="3967"/>
      <c r="J74" s="3967"/>
      <c r="K74" s="3972">
        <f t="shared" si="25"/>
        <v>0</v>
      </c>
      <c r="L74" s="3973"/>
      <c r="M74" s="3974"/>
      <c r="N74" s="3964">
        <f t="shared" si="26"/>
        <v>0</v>
      </c>
      <c r="O74" s="3965"/>
      <c r="S74" s="627" t="str">
        <f t="shared" si="27"/>
        <v/>
      </c>
      <c r="T74" s="627" t="str">
        <f t="shared" si="28"/>
        <v/>
      </c>
      <c r="X74" s="2406" t="str">
        <f t="shared" si="29"/>
        <v/>
      </c>
      <c r="BD74" s="2154"/>
      <c r="BE74" s="2612"/>
    </row>
    <row r="75" spans="1:57" ht="15" hidden="1" customHeight="1" x14ac:dyDescent="0.25">
      <c r="A75" s="409"/>
      <c r="B75" s="3956" t="str">
        <f t="shared" si="20"/>
        <v/>
      </c>
      <c r="C75" s="3957"/>
      <c r="D75" s="3957"/>
      <c r="E75" s="1290" t="str">
        <f t="shared" si="21"/>
        <v/>
      </c>
      <c r="F75" s="1291" t="str">
        <f t="shared" si="22"/>
        <v/>
      </c>
      <c r="G75" s="1292" t="str">
        <f t="shared" si="23"/>
        <v/>
      </c>
      <c r="H75" s="3966" t="str">
        <f t="shared" si="24"/>
        <v/>
      </c>
      <c r="I75" s="3967"/>
      <c r="J75" s="3967"/>
      <c r="K75" s="3972">
        <f t="shared" si="25"/>
        <v>0</v>
      </c>
      <c r="L75" s="3973"/>
      <c r="M75" s="3974"/>
      <c r="N75" s="3964">
        <f t="shared" si="26"/>
        <v>0</v>
      </c>
      <c r="O75" s="3965"/>
      <c r="S75" s="627" t="str">
        <f t="shared" si="27"/>
        <v/>
      </c>
      <c r="T75" s="627" t="str">
        <f t="shared" si="28"/>
        <v/>
      </c>
      <c r="X75" s="2406" t="str">
        <f t="shared" si="29"/>
        <v/>
      </c>
      <c r="BD75" s="2154"/>
      <c r="BE75" s="2612"/>
    </row>
    <row r="76" spans="1:57" ht="15" hidden="1" customHeight="1" x14ac:dyDescent="0.25">
      <c r="A76" s="409"/>
      <c r="B76" s="3956" t="str">
        <f t="shared" si="20"/>
        <v/>
      </c>
      <c r="C76" s="3957"/>
      <c r="D76" s="3957"/>
      <c r="E76" s="1290" t="str">
        <f t="shared" si="21"/>
        <v/>
      </c>
      <c r="F76" s="1291" t="str">
        <f t="shared" si="22"/>
        <v/>
      </c>
      <c r="G76" s="1292" t="str">
        <f t="shared" si="23"/>
        <v/>
      </c>
      <c r="H76" s="3966" t="str">
        <f t="shared" si="24"/>
        <v/>
      </c>
      <c r="I76" s="3967"/>
      <c r="J76" s="3967"/>
      <c r="K76" s="3972">
        <f t="shared" si="25"/>
        <v>0</v>
      </c>
      <c r="L76" s="3973"/>
      <c r="M76" s="3974"/>
      <c r="N76" s="3964">
        <f t="shared" si="26"/>
        <v>0</v>
      </c>
      <c r="O76" s="3965"/>
      <c r="S76" s="627" t="str">
        <f t="shared" si="27"/>
        <v/>
      </c>
      <c r="T76" s="627" t="str">
        <f t="shared" si="28"/>
        <v/>
      </c>
      <c r="X76" s="2406" t="str">
        <f t="shared" si="29"/>
        <v/>
      </c>
      <c r="BD76" s="2154"/>
      <c r="BE76" s="2612"/>
    </row>
    <row r="77" spans="1:57" ht="21" hidden="1" customHeight="1" thickBot="1" x14ac:dyDescent="0.3">
      <c r="A77" s="409"/>
      <c r="B77" s="3958" t="s">
        <v>15</v>
      </c>
      <c r="C77" s="3554"/>
      <c r="D77" s="3554"/>
      <c r="E77" s="3554"/>
      <c r="F77" s="3959"/>
      <c r="G77" s="1292">
        <f>IFERROR(SUM(INDEX(PO_Enrgy_2_Table,0,MATCH($G$70,PO_Enrgy_2_Hdr,0))),"")</f>
        <v>0</v>
      </c>
      <c r="H77" s="3966">
        <f>IFERROR(SUM(INDEX(PO_Enrgy_2_Table,0,MATCH($H$70,PO_Enrgy_2_Hdr,0))),"")</f>
        <v>0</v>
      </c>
      <c r="I77" s="3967"/>
      <c r="J77" s="3967"/>
      <c r="K77" s="3972">
        <f>IFERROR(SUM(K62:K66),"")</f>
        <v>0</v>
      </c>
      <c r="L77" s="3973"/>
      <c r="M77" s="3974"/>
      <c r="N77" s="4001">
        <f>IFERROR(SUM(N63:O66),"")</f>
        <v>0</v>
      </c>
      <c r="O77" s="4002"/>
      <c r="X77" s="2407" t="str">
        <f t="shared" si="29"/>
        <v/>
      </c>
      <c r="BD77" s="2154"/>
      <c r="BE77" s="2612"/>
    </row>
    <row r="78" spans="1:57" ht="21" hidden="1" customHeight="1" x14ac:dyDescent="0.25">
      <c r="A78" s="409"/>
      <c r="B78" s="3968" t="s">
        <v>999</v>
      </c>
      <c r="C78" s="3969"/>
      <c r="D78" s="3969"/>
      <c r="E78" s="3969"/>
      <c r="F78" s="3969"/>
      <c r="G78" s="3969"/>
      <c r="H78" s="3969"/>
      <c r="I78" s="3969"/>
      <c r="J78" s="3970"/>
      <c r="K78" s="3975" t="str">
        <f>IF(Datacenter_Avg=TRUE,IFERROR($K77/$K$391,""),IFERROR($K77/$K$353,""))</f>
        <v/>
      </c>
      <c r="L78" s="3976"/>
      <c r="M78" s="3976"/>
      <c r="N78" s="4009" t="str">
        <f>IF(Datacenter_Avg=TRUE,IFERROR($N77/$L$391,""),IFERROR($N77/$L$353,""))</f>
        <v/>
      </c>
      <c r="O78" s="4010"/>
      <c r="BD78" s="2154"/>
      <c r="BE78" s="2612"/>
    </row>
    <row r="79" spans="1:57" ht="33.75" hidden="1" customHeight="1" x14ac:dyDescent="0.25">
      <c r="A79" s="409" t="s">
        <v>1038</v>
      </c>
      <c r="B79" s="3244"/>
      <c r="C79" s="3245"/>
      <c r="D79" s="3245"/>
      <c r="E79" s="3245"/>
      <c r="F79" s="3245"/>
      <c r="G79" s="3245"/>
      <c r="H79" s="3245"/>
      <c r="I79" s="3245"/>
      <c r="J79" s="3245"/>
      <c r="K79" s="3245"/>
      <c r="L79" s="3245"/>
      <c r="M79" s="589"/>
    </row>
    <row r="80" spans="1:57" ht="33.75" hidden="1" customHeight="1" x14ac:dyDescent="0.25">
      <c r="A80" s="409" t="s">
        <v>1038</v>
      </c>
      <c r="B80" s="264"/>
      <c r="C80" s="243"/>
      <c r="D80" s="243"/>
      <c r="E80" s="243"/>
      <c r="F80" s="243"/>
      <c r="G80" s="243"/>
      <c r="H80" s="243"/>
      <c r="I80" s="243"/>
      <c r="J80" s="243"/>
      <c r="K80" s="243"/>
      <c r="L80" s="243"/>
      <c r="M80" s="589"/>
    </row>
    <row r="81" spans="1:58" ht="21" customHeight="1" x14ac:dyDescent="0.25">
      <c r="A81" s="409" t="s">
        <v>1038</v>
      </c>
      <c r="B81" s="312" t="s">
        <v>3350</v>
      </c>
      <c r="C81" s="286"/>
      <c r="D81" s="286"/>
      <c r="E81" s="286"/>
      <c r="F81" s="286"/>
      <c r="G81" s="286"/>
      <c r="H81" s="286"/>
      <c r="I81" s="286"/>
      <c r="J81" s="286"/>
      <c r="K81" s="286"/>
      <c r="L81" s="286"/>
      <c r="M81" s="286"/>
      <c r="U81" s="631" t="s">
        <v>866</v>
      </c>
      <c r="AE81" s="247"/>
    </row>
    <row r="82" spans="1:58" ht="15" customHeight="1" x14ac:dyDescent="0.25">
      <c r="A82" s="409" t="s">
        <v>1038</v>
      </c>
      <c r="E82" s="272"/>
      <c r="U82" s="630" t="b">
        <v>0</v>
      </c>
    </row>
    <row r="83" spans="1:58" ht="21" customHeight="1" x14ac:dyDescent="0.25">
      <c r="A83" s="409" t="s">
        <v>1038</v>
      </c>
      <c r="B83" s="313" t="s">
        <v>1000</v>
      </c>
      <c r="C83" s="272"/>
    </row>
    <row r="84" spans="1:58" ht="125.25" hidden="1" customHeight="1" x14ac:dyDescent="0.25">
      <c r="A84" s="409" t="s">
        <v>1038</v>
      </c>
      <c r="B84" s="3201" t="s">
        <v>1032</v>
      </c>
      <c r="C84" s="3220"/>
      <c r="D84" s="3220"/>
      <c r="E84" s="3220"/>
      <c r="F84" s="3220"/>
      <c r="G84" s="3220"/>
      <c r="H84" s="3220"/>
      <c r="I84" s="3220"/>
      <c r="J84" s="3220"/>
      <c r="K84" s="3220"/>
      <c r="L84" s="3220"/>
      <c r="M84" s="3220"/>
    </row>
    <row r="85" spans="1:58" ht="15" customHeight="1" x14ac:dyDescent="0.25">
      <c r="A85" s="409" t="s">
        <v>1038</v>
      </c>
      <c r="E85" s="272"/>
      <c r="AE85" s="247"/>
    </row>
    <row r="86" spans="1:58" ht="21" hidden="1" customHeight="1" x14ac:dyDescent="0.25">
      <c r="A86" s="409" t="s">
        <v>1038</v>
      </c>
      <c r="B86" s="647" t="s">
        <v>1001</v>
      </c>
      <c r="C86" s="647"/>
      <c r="D86" s="647"/>
      <c r="E86" s="647"/>
      <c r="F86" s="647"/>
      <c r="G86" s="647"/>
      <c r="H86" s="647"/>
      <c r="I86" s="647"/>
      <c r="J86" s="647"/>
      <c r="K86" s="647"/>
      <c r="L86" s="647"/>
      <c r="M86" s="583"/>
    </row>
    <row r="87" spans="1:58" ht="136.5" hidden="1" customHeight="1" x14ac:dyDescent="0.25">
      <c r="A87" s="409" t="s">
        <v>1038</v>
      </c>
      <c r="B87" s="3246" t="s">
        <v>1465</v>
      </c>
      <c r="C87" s="3246"/>
      <c r="D87" s="3246"/>
      <c r="E87" s="3246"/>
      <c r="F87" s="3246"/>
      <c r="G87" s="3246"/>
      <c r="H87" s="3246"/>
      <c r="I87" s="3246"/>
      <c r="J87" s="3246"/>
      <c r="K87" s="3246"/>
      <c r="L87" s="3246"/>
      <c r="M87" s="3246"/>
    </row>
    <row r="88" spans="1:58" hidden="1" x14ac:dyDescent="0.25">
      <c r="A88" s="409" t="s">
        <v>1038</v>
      </c>
      <c r="B88" s="281"/>
      <c r="C88" s="197"/>
      <c r="D88" s="197"/>
      <c r="E88" s="197"/>
      <c r="F88" s="197"/>
      <c r="G88" s="197"/>
      <c r="H88" s="197"/>
      <c r="I88" s="197"/>
    </row>
    <row r="89" spans="1:58" s="1235" customFormat="1" ht="44.25" hidden="1" customHeight="1" x14ac:dyDescent="0.25">
      <c r="A89" s="2163" t="s">
        <v>1038</v>
      </c>
      <c r="B89" s="3859" t="s">
        <v>1467</v>
      </c>
      <c r="C89" s="3859" t="s">
        <v>1002</v>
      </c>
      <c r="D89" s="3971" t="s">
        <v>366</v>
      </c>
      <c r="E89" s="3859" t="s">
        <v>395</v>
      </c>
      <c r="F89" s="3859" t="s">
        <v>394</v>
      </c>
      <c r="G89" s="3859" t="s">
        <v>1003</v>
      </c>
      <c r="H89" s="3924"/>
      <c r="I89" s="3924"/>
      <c r="J89" s="3924"/>
      <c r="K89" s="3924"/>
      <c r="L89" s="3859" t="s">
        <v>1417</v>
      </c>
      <c r="M89" s="3923"/>
      <c r="N89" s="3932" t="s">
        <v>3214</v>
      </c>
      <c r="AT89" s="2164"/>
      <c r="AU89" s="2164"/>
      <c r="AV89" s="2164"/>
      <c r="AW89" s="2164"/>
      <c r="AX89" s="2164"/>
      <c r="AY89" s="2164"/>
      <c r="AZ89" s="2164"/>
      <c r="BA89" s="2164"/>
      <c r="BD89" s="2159"/>
    </row>
    <row r="90" spans="1:58" s="1235" customFormat="1" ht="63.75" hidden="1" customHeight="1" thickBot="1" x14ac:dyDescent="0.3">
      <c r="A90" s="2163" t="s">
        <v>1038</v>
      </c>
      <c r="B90" s="3433"/>
      <c r="C90" s="3433"/>
      <c r="D90" s="3971"/>
      <c r="E90" s="3859"/>
      <c r="F90" s="3859"/>
      <c r="G90" s="3358" t="s">
        <v>1418</v>
      </c>
      <c r="H90" s="3924"/>
      <c r="I90" s="1358" t="str">
        <f>CONCATENATE("Site Energy 
(Units = ", PO_SiteUnits,")")</f>
        <v>Site Energy 
(Units = kWh)</v>
      </c>
      <c r="J90" s="3358" t="str">
        <f>"Source Energy Consumption 
("  &amp; PO_SourceUnits &amp; ")"</f>
        <v>Source Energy Consumption 
(kWh)</v>
      </c>
      <c r="K90" s="3924"/>
      <c r="L90" s="3924"/>
      <c r="M90" s="3923"/>
      <c r="N90" s="3963"/>
      <c r="X90" s="1235" t="s">
        <v>2228</v>
      </c>
      <c r="AS90" s="2173"/>
      <c r="AT90" s="2174"/>
      <c r="AU90" s="2174"/>
      <c r="AV90" s="2174"/>
      <c r="AW90" s="2164"/>
      <c r="AX90" s="2174"/>
      <c r="AY90" s="2174"/>
      <c r="AZ90" s="2174"/>
      <c r="BA90" s="2164"/>
      <c r="BD90" s="1358" t="s">
        <v>1635</v>
      </c>
    </row>
    <row r="91" spans="1:58" s="414" customFormat="1" ht="21.75" hidden="1" customHeight="1" thickBot="1" x14ac:dyDescent="0.3">
      <c r="A91" s="409" t="s">
        <v>1038</v>
      </c>
      <c r="B91" s="1445" t="s">
        <v>1468</v>
      </c>
      <c r="C91" s="1445" t="s">
        <v>1419</v>
      </c>
      <c r="D91" s="1446" t="s">
        <v>1423</v>
      </c>
      <c r="E91" s="1434" t="s">
        <v>1396</v>
      </c>
      <c r="F91" s="1434" t="s">
        <v>1420</v>
      </c>
      <c r="G91" s="1434" t="s">
        <v>1413</v>
      </c>
      <c r="H91" s="1434" t="s">
        <v>1414</v>
      </c>
      <c r="I91" s="1440" t="s">
        <v>1415</v>
      </c>
      <c r="J91" s="1447" t="s">
        <v>1416</v>
      </c>
      <c r="K91" s="1434"/>
      <c r="L91" s="1448" t="s">
        <v>356</v>
      </c>
      <c r="M91" s="2456"/>
      <c r="N91" s="3933"/>
      <c r="R91" s="415" t="s">
        <v>1407</v>
      </c>
      <c r="S91" s="415" t="s">
        <v>1408</v>
      </c>
      <c r="U91" s="415" t="s">
        <v>1409</v>
      </c>
      <c r="V91" s="415" t="s">
        <v>1556</v>
      </c>
      <c r="X91" s="235"/>
      <c r="Y91" s="235"/>
      <c r="AS91" s="424"/>
      <c r="AT91" s="425"/>
      <c r="AU91" s="425"/>
      <c r="AV91" s="425"/>
      <c r="AW91" s="426"/>
      <c r="AX91" s="425"/>
      <c r="AY91" s="425"/>
      <c r="AZ91" s="425"/>
      <c r="BA91" s="426"/>
      <c r="BD91" s="2156"/>
    </row>
    <row r="92" spans="1:58" s="414" customFormat="1" ht="15" hidden="1" customHeight="1" x14ac:dyDescent="0.25">
      <c r="A92" s="427" t="s">
        <v>803</v>
      </c>
      <c r="B92" s="1675"/>
      <c r="C92" s="1675"/>
      <c r="D92" s="1293"/>
      <c r="E92" s="1294"/>
      <c r="F92" s="1295"/>
      <c r="G92" s="1296"/>
      <c r="H92" s="1297" t="str">
        <f>IFERROR(IF(ISBLANK($E92),"",VLOOKUP($E92,PO_Enrgy_1_Table,MATCH($C$16,PO_Enrgy_1_Hdr,0),FALSE)),"")</f>
        <v/>
      </c>
      <c r="I92" s="1298" t="str">
        <f>IFERROR(VLOOKUP($E92,PO_Enrgy_1_Table,MATCH($K$16,PO_Enrgy_1_Hdr,0),FALSE)*$G92,"")</f>
        <v/>
      </c>
      <c r="J92" s="3822" t="str">
        <f>IFERROR(VLOOKUP($E92,PO_Enrgy_1_Table,MATCH($M$16,PO_Enrgy_1_Hdr,0),FALSE)*$G92,"")</f>
        <v/>
      </c>
      <c r="K92" s="3823"/>
      <c r="L92" s="3921" t="str">
        <f t="shared" ref="L92:M95" si="30">IFERROR($G92*IF($F92="Subtract from Proposed",VLOOKUP($E92,PO_Enrgy_8_Table,MATCH($H$310,PO_Enrgy_8_Hdr,0),FALSE),VLOOKUP($E92,PO_Enrgy_8_Table,MATCH($E$310,PO_Enrgy_8_Hdr,0),FALSE)),"")</f>
        <v/>
      </c>
      <c r="M92" s="3922" t="str">
        <f t="shared" si="30"/>
        <v/>
      </c>
      <c r="N92" s="2810" t="str">
        <f>IFERROR(G92*T92,"")</f>
        <v/>
      </c>
      <c r="R92" s="633" t="str">
        <f>IFERROR(IF(ISBLANK($E92),"",VLOOKUP($E92,PO_Enrgy_1_Table,MATCH($K$16,PO_Enrgy_1_Hdr,0),FALSE)),"")</f>
        <v/>
      </c>
      <c r="S92" s="633" t="str">
        <f>IFERROR(IF(ISBLANK($E92),"",VLOOKUP($E92,PO_Enrgy_1_Table,MATCH($M$16,PO_Enrgy_1_Hdr,0),FALSE)),"")</f>
        <v/>
      </c>
      <c r="T92" s="2405" t="str">
        <f>IFERROR(VLOOKUP(E92,PO_Enrgy_1_Table,MATCH($T$16,PO_Enrgy_1_Hdr,0),0),"")</f>
        <v/>
      </c>
      <c r="U92" s="634" t="str">
        <f>IFERROR($G92*IF($F92="Subtract from Proposed",VLOOKUP($E92,PO_Enrgy_8_Table,MATCH($H$310,PO_Enrgy_8_Hdr,0),FALSE),VLOOKUP($E92,PO_Enrgy_8_Table,MATCH($E$310,PO_Enrgy_8_Hdr,0),FALSE)),"")</f>
        <v/>
      </c>
      <c r="V92" s="632">
        <f>IFERROR(1-$J92/$U92,0)</f>
        <v>0</v>
      </c>
      <c r="X92" s="1169">
        <f>IF(AND(D92="x",Z92=1),G92,0)</f>
        <v>0</v>
      </c>
      <c r="Y92" s="1234" t="str">
        <f>IF(E92="Electricity","kWh",IF(E92="Natural Gas","THERM",IF(E92="District Cooling","MWh","")))</f>
        <v/>
      </c>
      <c r="Z92" s="1234">
        <f>IF(F92="Add to Baseline",1,2)</f>
        <v>2</v>
      </c>
      <c r="AC92" s="428" t="s">
        <v>853</v>
      </c>
      <c r="AD92" s="429"/>
      <c r="AS92" s="430"/>
      <c r="AT92" s="431"/>
      <c r="AU92" s="431"/>
      <c r="AV92" s="431"/>
      <c r="AW92" s="432"/>
      <c r="AX92" s="431"/>
      <c r="AY92" s="431"/>
      <c r="AZ92" s="431"/>
      <c r="BA92" s="426"/>
      <c r="BD92" s="1675"/>
    </row>
    <row r="93" spans="1:58" s="414" customFormat="1" ht="15" hidden="1" customHeight="1" x14ac:dyDescent="0.25">
      <c r="A93" s="427"/>
      <c r="B93" s="1675"/>
      <c r="C93" s="1675"/>
      <c r="D93" s="1293"/>
      <c r="E93" s="1294"/>
      <c r="F93" s="1295"/>
      <c r="G93" s="1296"/>
      <c r="H93" s="1297" t="str">
        <f>IFERROR(IF(ISBLANK($E93),"",VLOOKUP($E93,PO_Enrgy_1_Table,MATCH($C$16,PO_Enrgy_1_Hdr,0),FALSE)),"")</f>
        <v/>
      </c>
      <c r="I93" s="1298" t="str">
        <f>IFERROR(VLOOKUP($E93,PO_Enrgy_1_Table,MATCH($K$16,PO_Enrgy_1_Hdr,0),FALSE)*$G93,"")</f>
        <v/>
      </c>
      <c r="J93" s="3822" t="str">
        <f>IFERROR(VLOOKUP($E93,PO_Enrgy_1_Table,MATCH($M$16,PO_Enrgy_1_Hdr,0),FALSE)*$G93,"")</f>
        <v/>
      </c>
      <c r="K93" s="3823"/>
      <c r="L93" s="3921" t="str">
        <f t="shared" si="30"/>
        <v/>
      </c>
      <c r="M93" s="3922" t="str">
        <f t="shared" si="30"/>
        <v/>
      </c>
      <c r="N93" s="2810" t="str">
        <f t="shared" ref="N93:N95" si="31">IFERROR(G93*T93,"")</f>
        <v/>
      </c>
      <c r="R93" s="633" t="str">
        <f>IFERROR(IF(ISBLANK($E93),"",VLOOKUP($E93,PO_Enrgy_1_Table,MATCH($K$16,PO_Enrgy_1_Hdr,0),FALSE)),"")</f>
        <v/>
      </c>
      <c r="S93" s="633" t="str">
        <f>IFERROR(IF(ISBLANK($E93),"",VLOOKUP($E93,PO_Enrgy_1_Table,MATCH($M$16,PO_Enrgy_1_Hdr,0),FALSE)),"")</f>
        <v/>
      </c>
      <c r="T93" s="2406" t="str">
        <f>IFERROR(VLOOKUP(E93,PO_Enrgy_1_Table,MATCH($T$16,PO_Enrgy_1_Hdr,0),0),"")</f>
        <v/>
      </c>
      <c r="U93" s="634" t="str">
        <f>IFERROR($G93*IF($F93="Subtract from Proposed",VLOOKUP($E93,PO_Enrgy_8_Table,MATCH($H$310,PO_Enrgy_8_Hdr,0),FALSE),VLOOKUP($E93,PO_Enrgy_8_Table,MATCH($E$310,PO_Enrgy_8_Hdr,0),FALSE)),"")</f>
        <v/>
      </c>
      <c r="V93" s="632">
        <f>IFERROR(1-$J93/$U93,0)</f>
        <v>0</v>
      </c>
      <c r="X93" s="1169">
        <f>IF(AND(D93="x",Z93=1),G93,0)</f>
        <v>0</v>
      </c>
      <c r="Y93" s="1234" t="str">
        <f>IF(E93="Electricity","kWh",IF(E93="Natural Gas","THERM",IF(E93="District Cooling","MWh","")))</f>
        <v/>
      </c>
      <c r="Z93" s="1234">
        <f>IF(F93="Add to Baseline",1,2)</f>
        <v>2</v>
      </c>
      <c r="AC93" s="428"/>
      <c r="AD93" s="429"/>
      <c r="AS93" s="430"/>
      <c r="AT93" s="431"/>
      <c r="AU93" s="431"/>
      <c r="AV93" s="431"/>
      <c r="AW93" s="432"/>
      <c r="AX93" s="431"/>
      <c r="AY93" s="431"/>
      <c r="AZ93" s="431"/>
      <c r="BA93" s="426"/>
      <c r="BD93" s="1675"/>
    </row>
    <row r="94" spans="1:58" s="414" customFormat="1" ht="15" hidden="1" customHeight="1" x14ac:dyDescent="0.25">
      <c r="A94" s="427"/>
      <c r="B94" s="1675"/>
      <c r="C94" s="1675"/>
      <c r="D94" s="1293"/>
      <c r="E94" s="1294"/>
      <c r="F94" s="1295"/>
      <c r="G94" s="1296"/>
      <c r="H94" s="1297" t="str">
        <f>IFERROR(IF(ISBLANK($E94),"",VLOOKUP($E94,PO_Enrgy_1_Table,MATCH($C$16,PO_Enrgy_1_Hdr,0),FALSE)),"")</f>
        <v/>
      </c>
      <c r="I94" s="1298" t="str">
        <f>IFERROR(VLOOKUP($E94,PO_Enrgy_1_Table,MATCH($K$16,PO_Enrgy_1_Hdr,0),FALSE)*$G94,"")</f>
        <v/>
      </c>
      <c r="J94" s="3822" t="str">
        <f>IFERROR(VLOOKUP($E94,PO_Enrgy_1_Table,MATCH($M$16,PO_Enrgy_1_Hdr,0),FALSE)*$G94,"")</f>
        <v/>
      </c>
      <c r="K94" s="3823"/>
      <c r="L94" s="3921" t="str">
        <f t="shared" si="30"/>
        <v/>
      </c>
      <c r="M94" s="3922" t="str">
        <f t="shared" si="30"/>
        <v/>
      </c>
      <c r="N94" s="2810" t="str">
        <f t="shared" si="31"/>
        <v/>
      </c>
      <c r="R94" s="633" t="str">
        <f>IFERROR(IF(ISBLANK($E94),"",VLOOKUP($E94,PO_Enrgy_1_Table,MATCH($K$16,PO_Enrgy_1_Hdr,0),FALSE)),"")</f>
        <v/>
      </c>
      <c r="S94" s="633" t="str">
        <f>IFERROR(IF(ISBLANK($E94),"",VLOOKUP($E94,PO_Enrgy_1_Table,MATCH($M$16,PO_Enrgy_1_Hdr,0),FALSE)),"")</f>
        <v/>
      </c>
      <c r="T94" s="2406" t="str">
        <f>IFERROR(VLOOKUP(E94,PO_Enrgy_1_Table,MATCH($T$16,PO_Enrgy_1_Hdr,0),0),"")</f>
        <v/>
      </c>
      <c r="U94" s="634" t="str">
        <f>IFERROR($G94*IF($F94="Subtract from Proposed",VLOOKUP($E94,PO_Enrgy_8_Table,MATCH($H$310,PO_Enrgy_8_Hdr,0),FALSE),VLOOKUP($E94,PO_Enrgy_8_Table,MATCH($E$310,PO_Enrgy_8_Hdr,0),FALSE)),"")</f>
        <v/>
      </c>
      <c r="V94" s="632">
        <f>IFERROR(1-$J94/$U94,0)</f>
        <v>0</v>
      </c>
      <c r="X94" s="1169">
        <f>IF(AND(D94="x",Z94=1),G94,0)</f>
        <v>0</v>
      </c>
      <c r="Y94" s="1234" t="str">
        <f>IF(E94="Electricity","kWh",IF(E94="Natural Gas","THERM",IF(E94="District Cooling","MWh","")))</f>
        <v/>
      </c>
      <c r="Z94" s="1234">
        <f>IF(F94="Add to Baseline",1,2)</f>
        <v>2</v>
      </c>
      <c r="AC94" s="428" t="s">
        <v>853</v>
      </c>
      <c r="AD94" s="429"/>
      <c r="AS94" s="430"/>
      <c r="AT94" s="431"/>
      <c r="AU94" s="431"/>
      <c r="AV94" s="431"/>
      <c r="AW94" s="432"/>
      <c r="AX94" s="431"/>
      <c r="AY94" s="431"/>
      <c r="AZ94" s="431"/>
      <c r="BA94" s="426"/>
      <c r="BD94" s="1675"/>
    </row>
    <row r="95" spans="1:58" s="414" customFormat="1" ht="15" hidden="1" customHeight="1" thickBot="1" x14ac:dyDescent="0.3">
      <c r="A95" s="427"/>
      <c r="B95" s="1675"/>
      <c r="C95" s="1675"/>
      <c r="D95" s="1293"/>
      <c r="E95" s="1294"/>
      <c r="F95" s="1295"/>
      <c r="G95" s="1296"/>
      <c r="H95" s="1297" t="str">
        <f>IFERROR(IF(ISBLANK($E95),"",VLOOKUP($E95,PO_Enrgy_1_Table,MATCH($C$16,PO_Enrgy_1_Hdr,0),FALSE)),"")</f>
        <v/>
      </c>
      <c r="I95" s="1298" t="str">
        <f>IFERROR(VLOOKUP($E95,PO_Enrgy_1_Table,MATCH($K$16,PO_Enrgy_1_Hdr,0),FALSE)*$G95,"")</f>
        <v/>
      </c>
      <c r="J95" s="3822" t="str">
        <f>IFERROR(VLOOKUP($E95,PO_Enrgy_1_Table,MATCH($M$16,PO_Enrgy_1_Hdr,0),FALSE)*$G95,"")</f>
        <v/>
      </c>
      <c r="K95" s="3823"/>
      <c r="L95" s="3921" t="str">
        <f t="shared" si="30"/>
        <v/>
      </c>
      <c r="M95" s="3922" t="str">
        <f t="shared" si="30"/>
        <v/>
      </c>
      <c r="N95" s="2810" t="str">
        <f t="shared" si="31"/>
        <v/>
      </c>
      <c r="R95" s="633" t="str">
        <f>IFERROR(IF(ISBLANK($E95),"",VLOOKUP($E95,PO_Enrgy_1_Table,MATCH($K$16,PO_Enrgy_1_Hdr,0),FALSE)),"")</f>
        <v/>
      </c>
      <c r="S95" s="633" t="str">
        <f>IFERROR(IF(ISBLANK($E95),"",VLOOKUP($E95,PO_Enrgy_1_Table,MATCH($M$16,PO_Enrgy_1_Hdr,0),FALSE)),"")</f>
        <v/>
      </c>
      <c r="T95" s="2407" t="str">
        <f>IFERROR(VLOOKUP(E95,PO_Enrgy_1_Table,MATCH($T$16,PO_Enrgy_1_Hdr,0),0),"")</f>
        <v/>
      </c>
      <c r="U95" s="634" t="str">
        <f>IFERROR($G95*IF($F95="Subtract from Proposed",VLOOKUP($E95,PO_Enrgy_8_Table,MATCH($H$310,PO_Enrgy_8_Hdr,0),FALSE),VLOOKUP($E95,PO_Enrgy_8_Table,MATCH($E$310,PO_Enrgy_8_Hdr,0),FALSE)),"")</f>
        <v/>
      </c>
      <c r="V95" s="632">
        <f>IFERROR(1-$J95/$U95,0)</f>
        <v>0</v>
      </c>
      <c r="X95" s="1169">
        <f>IF(AND(D95="x",Z95=1),G95,0)</f>
        <v>0</v>
      </c>
      <c r="Y95" s="1234" t="str">
        <f>IF(E95="Electricity","kWh",IF(E95="Natural Gas","THERM",IF(E95="District Cooling","MWh","")))</f>
        <v/>
      </c>
      <c r="Z95" s="1234">
        <f>IF(F95="Add to Baseline",1,2)</f>
        <v>2</v>
      </c>
      <c r="AC95" s="428" t="s">
        <v>853</v>
      </c>
      <c r="AD95" s="429"/>
      <c r="AS95" s="430"/>
      <c r="AT95" s="431"/>
      <c r="AU95" s="431"/>
      <c r="AV95" s="431"/>
      <c r="AW95" s="432"/>
      <c r="AX95" s="431"/>
      <c r="AY95" s="431"/>
      <c r="AZ95" s="431"/>
      <c r="BA95" s="426"/>
      <c r="BD95" s="1675"/>
    </row>
    <row r="96" spans="1:58" s="245" customFormat="1" ht="21" hidden="1" customHeight="1" thickBot="1" x14ac:dyDescent="0.3">
      <c r="A96" s="433"/>
      <c r="B96" s="3817" t="s">
        <v>1020</v>
      </c>
      <c r="C96" s="3569"/>
      <c r="D96" s="3569"/>
      <c r="E96" s="3569"/>
      <c r="F96" s="3569"/>
      <c r="G96" s="1442"/>
      <c r="H96" s="1443"/>
      <c r="I96" s="1442"/>
      <c r="J96" s="3818"/>
      <c r="K96" s="3819"/>
      <c r="L96" s="3820"/>
      <c r="M96" s="3821"/>
      <c r="N96" s="1442"/>
      <c r="Q96" s="235"/>
      <c r="AJ96" s="259"/>
      <c r="AK96" s="434"/>
      <c r="AL96" s="434"/>
      <c r="AM96" s="434"/>
      <c r="AN96" s="242"/>
      <c r="AO96" s="435"/>
      <c r="AP96" s="435"/>
      <c r="AQ96" s="436"/>
      <c r="AR96" s="2"/>
      <c r="AS96" s="2"/>
      <c r="AT96" s="2"/>
      <c r="AU96" s="2"/>
      <c r="AV96" s="2"/>
      <c r="AW96" s="2"/>
      <c r="AX96" s="2"/>
      <c r="AY96" s="2"/>
      <c r="AZ96" s="2"/>
      <c r="BA96" s="2"/>
      <c r="BD96" s="2155"/>
      <c r="BE96" s="235"/>
      <c r="BF96" s="235"/>
    </row>
    <row r="97" spans="1:58" s="414" customFormat="1" ht="21.75" hidden="1" customHeight="1" thickBot="1" x14ac:dyDescent="0.3">
      <c r="A97" s="427"/>
      <c r="B97" s="1445" t="s">
        <v>1396</v>
      </c>
      <c r="C97" s="1434"/>
      <c r="D97" s="1434"/>
      <c r="E97" s="1434"/>
      <c r="F97" s="1434"/>
      <c r="G97" s="1449" t="s">
        <v>1413</v>
      </c>
      <c r="H97" s="1440" t="s">
        <v>1414</v>
      </c>
      <c r="I97" s="1449" t="s">
        <v>1415</v>
      </c>
      <c r="J97" s="1450" t="s">
        <v>1416</v>
      </c>
      <c r="K97" s="1449"/>
      <c r="L97" s="1448" t="s">
        <v>356</v>
      </c>
      <c r="M97" s="2456"/>
      <c r="N97" s="1449" t="s">
        <v>3225</v>
      </c>
      <c r="R97" s="415" t="s">
        <v>1407</v>
      </c>
      <c r="S97" s="415" t="s">
        <v>1408</v>
      </c>
      <c r="AJ97" s="426"/>
      <c r="AK97" s="426"/>
      <c r="AL97" s="426"/>
      <c r="AM97" s="426"/>
      <c r="AN97" s="426"/>
      <c r="AO97" s="426"/>
      <c r="AP97" s="426"/>
      <c r="AQ97" s="426"/>
      <c r="AR97" s="426"/>
      <c r="AS97" s="437"/>
      <c r="AT97" s="437"/>
      <c r="AU97" s="437"/>
      <c r="AV97" s="437"/>
      <c r="AW97" s="426"/>
      <c r="AX97" s="437"/>
      <c r="AY97" s="437"/>
      <c r="AZ97" s="437"/>
      <c r="BA97" s="426"/>
      <c r="BD97" s="2157"/>
    </row>
    <row r="98" spans="1:58" ht="15" hidden="1" customHeight="1" x14ac:dyDescent="0.25">
      <c r="A98" s="409"/>
      <c r="B98" s="3826" t="str">
        <f t="shared" ref="B98:B103" si="32">IFERROR(IF(ISBLANK(B17),"",B17),"")</f>
        <v/>
      </c>
      <c r="C98" s="3826"/>
      <c r="D98" s="3826"/>
      <c r="E98" s="3826"/>
      <c r="F98" s="3827"/>
      <c r="G98" s="1673" t="str">
        <f>IFERROR(IF(PO_ShowExCalc=TRUE,SUMIFS(INDEX(PO_ExCalc_Table,0,MATCH($G$91,PO_ExCalc_Hdr,0)),INDEX(PO_ExCalc_Table,0,MATCH($E$91,PO_ExCalc_Hdr,0)),$B98,INDEX(PO_ExCalc_Table,0,MATCH($F$91,PO_ExCalc_Hdr,0)),"Add to Baseline"),""),"")</f>
        <v/>
      </c>
      <c r="H98" s="1297" t="str">
        <f t="shared" ref="H98:H103" si="33">IFERROR(IF(ISBLANK($B98),"",VLOOKUP($B98,PO_Enrgy_1_Table,MATCH($C$16,PO_Enrgy_1_Hdr,0),FALSE)),"")</f>
        <v/>
      </c>
      <c r="I98" s="1673" t="str">
        <f>IFERROR($G98*$R98,"")</f>
        <v/>
      </c>
      <c r="J98" s="3822" t="str">
        <f>IFERROR($G98*$S98,"")</f>
        <v/>
      </c>
      <c r="K98" s="3823" t="str">
        <f>IFERROR($G98*$R98,"")</f>
        <v/>
      </c>
      <c r="L98" s="3824" t="str">
        <f t="shared" ref="L98:L103" si="34">IFERROR(IF(PO_ShowExCalc=TRUE,SUMIFS(INDEX(PO_ExCalc_Table,0,MATCH($L$91,PO_ExCalc_Hdr,0)),INDEX(PO_ExCalc_Table,0,MATCH($E$91,PO_ExCalc_Hdr,0)),$B98,INDEX(PO_ExCalc_Table,0,MATCH($F$91,PO_ExCalc_Hdr,0)),"Add to Baseline"),""),"")</f>
        <v/>
      </c>
      <c r="M98" s="3825" t="str">
        <f t="shared" ref="M98:M103" si="35">IFERROR(IF(PO_ShowExCalc=TRUE,SUMIFS(M$92:M$95,$E$92:$E$95,$B98,$F$92:$F$95,"Add to Baseline"),""),"")</f>
        <v/>
      </c>
      <c r="N98" s="2811" t="str">
        <f t="shared" ref="N98:N103" si="36">IFERROR(IF(PO_ShowExCalc=TRUE,G98*T98,""),"")</f>
        <v/>
      </c>
      <c r="R98" s="627" t="str">
        <f t="shared" ref="R98:R103" si="37">IFERROR(IF(ISBLANK($B98),"",VLOOKUP($B98,PO_Enrgy_1_Table,MATCH($K$16,PO_Enrgy_1_Hdr,0),FALSE)),"")</f>
        <v/>
      </c>
      <c r="S98" s="2404" t="str">
        <f t="shared" ref="S98:S103" si="38">IFERROR(IF(ISBLANK($B98),"",VLOOKUP($B98,PO_Enrgy_1_Table,MATCH($M$16,PO_Enrgy_1_Hdr,0),FALSE)),"")</f>
        <v/>
      </c>
      <c r="T98" s="2405" t="str">
        <f t="shared" ref="T98:T103" si="39">IFERROR(VLOOKUP(B98,PO_Enrgy_1_Table,MATCH($T$16,PO_Enrgy_1_Hdr,0),0),"")</f>
        <v/>
      </c>
      <c r="AD98" s="263"/>
      <c r="AJ98" s="436"/>
      <c r="AK98" s="292"/>
      <c r="AL98" s="434"/>
      <c r="AM98" s="1528"/>
      <c r="AN98" s="2"/>
      <c r="AO98" s="2"/>
      <c r="AP98" s="2"/>
      <c r="AQ98" s="440"/>
      <c r="AR98" s="441"/>
      <c r="AS98" s="1528"/>
      <c r="AT98" s="442"/>
      <c r="AU98" s="1529"/>
      <c r="AV98" s="2"/>
      <c r="AW98" s="2"/>
      <c r="AX98" s="2"/>
      <c r="AY98" s="2"/>
      <c r="AZ98" s="2"/>
      <c r="BA98" s="2"/>
      <c r="BD98" s="2154"/>
    </row>
    <row r="99" spans="1:58" ht="15" hidden="1" customHeight="1" x14ac:dyDescent="0.25">
      <c r="A99" s="409"/>
      <c r="B99" s="3826" t="str">
        <f t="shared" si="32"/>
        <v/>
      </c>
      <c r="C99" s="3826"/>
      <c r="D99" s="3826"/>
      <c r="E99" s="3826"/>
      <c r="F99" s="3827"/>
      <c r="G99" s="1673" t="str">
        <f t="shared" ref="G99:G103" si="40">IFERROR(IF(PO_ShowExCalc=TRUE,SUMIFS(INDEX(PO_ExCalc_Table,0,MATCH($G$91,PO_ExCalc_Hdr,0)),INDEX(PO_ExCalc_Table,0,MATCH($E$91,PO_ExCalc_Hdr,0)),$B99,INDEX(PO_ExCalc_Table,0,MATCH($F$91,PO_ExCalc_Hdr,0)),"Add to Baseline"),""),"")</f>
        <v/>
      </c>
      <c r="H99" s="1297" t="str">
        <f t="shared" si="33"/>
        <v/>
      </c>
      <c r="I99" s="1673" t="str">
        <f>IFERROR($G99*$R99,"")</f>
        <v/>
      </c>
      <c r="J99" s="3822" t="str">
        <f>IFERROR($G99*$S99,"")</f>
        <v/>
      </c>
      <c r="K99" s="3823" t="str">
        <f>IFERROR($G99*$R99,"")</f>
        <v/>
      </c>
      <c r="L99" s="3824" t="str">
        <f t="shared" si="34"/>
        <v/>
      </c>
      <c r="M99" s="3825" t="str">
        <f t="shared" si="35"/>
        <v/>
      </c>
      <c r="N99" s="2811" t="str">
        <f t="shared" si="36"/>
        <v/>
      </c>
      <c r="R99" s="627" t="str">
        <f t="shared" si="37"/>
        <v/>
      </c>
      <c r="S99" s="2404" t="str">
        <f t="shared" si="38"/>
        <v/>
      </c>
      <c r="T99" s="2406" t="str">
        <f t="shared" si="39"/>
        <v/>
      </c>
      <c r="AD99" s="263"/>
      <c r="AJ99" s="436"/>
      <c r="AK99" s="292"/>
      <c r="AL99" s="434"/>
      <c r="AM99" s="1528"/>
      <c r="AN99" s="2"/>
      <c r="AO99" s="2"/>
      <c r="AP99" s="2"/>
      <c r="AQ99" s="440"/>
      <c r="AR99" s="441"/>
      <c r="AS99" s="1528"/>
      <c r="AT99" s="442"/>
      <c r="AU99" s="1529"/>
      <c r="AV99" s="2"/>
      <c r="AW99" s="2"/>
      <c r="AX99" s="2"/>
      <c r="AY99" s="2"/>
      <c r="AZ99" s="2"/>
      <c r="BA99" s="2"/>
      <c r="BD99" s="2154"/>
    </row>
    <row r="100" spans="1:58" ht="15" hidden="1" customHeight="1" x14ac:dyDescent="0.25">
      <c r="A100" s="409"/>
      <c r="B100" s="3826" t="str">
        <f t="shared" si="32"/>
        <v/>
      </c>
      <c r="C100" s="3826"/>
      <c r="D100" s="3826"/>
      <c r="E100" s="3826"/>
      <c r="F100" s="3827"/>
      <c r="G100" s="1673" t="str">
        <f t="shared" si="40"/>
        <v/>
      </c>
      <c r="H100" s="1297" t="str">
        <f t="shared" si="33"/>
        <v/>
      </c>
      <c r="I100" s="1673" t="str">
        <f>IFERROR($G100*$R100,"")</f>
        <v/>
      </c>
      <c r="J100" s="3822" t="str">
        <f>IFERROR($G100*$S100,"")</f>
        <v/>
      </c>
      <c r="K100" s="3823" t="str">
        <f>IFERROR($G100*$R100,"")</f>
        <v/>
      </c>
      <c r="L100" s="3824" t="str">
        <f t="shared" si="34"/>
        <v/>
      </c>
      <c r="M100" s="3825" t="str">
        <f t="shared" si="35"/>
        <v/>
      </c>
      <c r="N100" s="2811" t="str">
        <f t="shared" si="36"/>
        <v/>
      </c>
      <c r="R100" s="627" t="str">
        <f t="shared" si="37"/>
        <v/>
      </c>
      <c r="S100" s="2404" t="str">
        <f t="shared" si="38"/>
        <v/>
      </c>
      <c r="T100" s="2406" t="str">
        <f t="shared" si="39"/>
        <v/>
      </c>
      <c r="AD100" s="263"/>
      <c r="AJ100" s="436"/>
      <c r="AK100" s="292"/>
      <c r="AL100" s="434"/>
      <c r="AM100" s="1528"/>
      <c r="AN100" s="2"/>
      <c r="AO100" s="2"/>
      <c r="AP100" s="2"/>
      <c r="AQ100" s="440"/>
      <c r="AR100" s="441"/>
      <c r="AS100" s="1528"/>
      <c r="AT100" s="442"/>
      <c r="AU100" s="1529"/>
      <c r="AV100" s="2"/>
      <c r="AW100" s="2"/>
      <c r="AX100" s="2"/>
      <c r="AY100" s="2"/>
      <c r="AZ100" s="2"/>
      <c r="BA100" s="2"/>
      <c r="BD100" s="2154"/>
    </row>
    <row r="101" spans="1:58" ht="15" hidden="1" customHeight="1" x14ac:dyDescent="0.25">
      <c r="A101" s="409"/>
      <c r="B101" s="3826" t="str">
        <f t="shared" si="32"/>
        <v/>
      </c>
      <c r="C101" s="3826"/>
      <c r="D101" s="3826"/>
      <c r="E101" s="3826"/>
      <c r="F101" s="3827"/>
      <c r="G101" s="1673" t="str">
        <f t="shared" si="40"/>
        <v/>
      </c>
      <c r="H101" s="1297" t="str">
        <f t="shared" si="33"/>
        <v/>
      </c>
      <c r="I101" s="1673" t="str">
        <f t="shared" ref="I101:I103" si="41">IFERROR($G101*$R101,"")</f>
        <v/>
      </c>
      <c r="J101" s="3822" t="str">
        <f t="shared" ref="J101:J103" si="42">IFERROR($G101*$S101,"")</f>
        <v/>
      </c>
      <c r="K101" s="3823" t="str">
        <f t="shared" ref="K101:K103" si="43">IFERROR($G101*$R101,"")</f>
        <v/>
      </c>
      <c r="L101" s="3824" t="str">
        <f t="shared" si="34"/>
        <v/>
      </c>
      <c r="M101" s="3825" t="str">
        <f t="shared" si="35"/>
        <v/>
      </c>
      <c r="N101" s="2811" t="str">
        <f t="shared" si="36"/>
        <v/>
      </c>
      <c r="R101" s="627" t="str">
        <f t="shared" si="37"/>
        <v/>
      </c>
      <c r="S101" s="2404" t="str">
        <f t="shared" si="38"/>
        <v/>
      </c>
      <c r="T101" s="2406" t="str">
        <f t="shared" si="39"/>
        <v/>
      </c>
      <c r="AD101" s="263"/>
      <c r="AJ101" s="436"/>
      <c r="AK101" s="292"/>
      <c r="AL101" s="434"/>
      <c r="AM101" s="1528"/>
      <c r="AN101" s="2"/>
      <c r="AO101" s="2"/>
      <c r="AP101" s="2"/>
      <c r="AQ101" s="440"/>
      <c r="AR101" s="441"/>
      <c r="AS101" s="1528"/>
      <c r="AT101" s="442"/>
      <c r="AU101" s="1529"/>
      <c r="AV101" s="2"/>
      <c r="AW101" s="2"/>
      <c r="AX101" s="2"/>
      <c r="AY101" s="2"/>
      <c r="AZ101" s="2"/>
      <c r="BA101" s="2"/>
      <c r="BD101" s="2154"/>
    </row>
    <row r="102" spans="1:58" ht="15" hidden="1" customHeight="1" x14ac:dyDescent="0.25">
      <c r="A102" s="409"/>
      <c r="B102" s="3826" t="str">
        <f t="shared" si="32"/>
        <v/>
      </c>
      <c r="C102" s="3826"/>
      <c r="D102" s="3826"/>
      <c r="E102" s="3826"/>
      <c r="F102" s="3827"/>
      <c r="G102" s="1673" t="str">
        <f t="shared" si="40"/>
        <v/>
      </c>
      <c r="H102" s="1297" t="str">
        <f t="shared" si="33"/>
        <v/>
      </c>
      <c r="I102" s="1673" t="str">
        <f t="shared" si="41"/>
        <v/>
      </c>
      <c r="J102" s="3822" t="str">
        <f t="shared" si="42"/>
        <v/>
      </c>
      <c r="K102" s="3823" t="str">
        <f t="shared" si="43"/>
        <v/>
      </c>
      <c r="L102" s="3824" t="str">
        <f t="shared" si="34"/>
        <v/>
      </c>
      <c r="M102" s="3825" t="str">
        <f t="shared" si="35"/>
        <v/>
      </c>
      <c r="N102" s="2811" t="str">
        <f t="shared" si="36"/>
        <v/>
      </c>
      <c r="R102" s="627" t="str">
        <f t="shared" si="37"/>
        <v/>
      </c>
      <c r="S102" s="2404" t="str">
        <f t="shared" si="38"/>
        <v/>
      </c>
      <c r="T102" s="2406" t="str">
        <f t="shared" si="39"/>
        <v/>
      </c>
      <c r="AD102" s="263"/>
      <c r="AJ102" s="436"/>
      <c r="AK102" s="292"/>
      <c r="AL102" s="434"/>
      <c r="AM102" s="1528"/>
      <c r="AN102" s="2"/>
      <c r="AO102" s="2"/>
      <c r="AP102" s="2"/>
      <c r="AQ102" s="440"/>
      <c r="AR102" s="441"/>
      <c r="AS102" s="1528"/>
      <c r="AT102" s="442"/>
      <c r="AU102" s="1529"/>
      <c r="AV102" s="2"/>
      <c r="AW102" s="2"/>
      <c r="AX102" s="2"/>
      <c r="AY102" s="2"/>
      <c r="AZ102" s="2"/>
      <c r="BA102" s="2"/>
      <c r="BD102" s="2154"/>
    </row>
    <row r="103" spans="1:58" ht="15" hidden="1" customHeight="1" thickBot="1" x14ac:dyDescent="0.3">
      <c r="A103" s="409"/>
      <c r="B103" s="3826" t="str">
        <f t="shared" si="32"/>
        <v/>
      </c>
      <c r="C103" s="3826"/>
      <c r="D103" s="3826"/>
      <c r="E103" s="3826"/>
      <c r="F103" s="3827"/>
      <c r="G103" s="1673" t="str">
        <f t="shared" si="40"/>
        <v/>
      </c>
      <c r="H103" s="1297" t="str">
        <f t="shared" si="33"/>
        <v/>
      </c>
      <c r="I103" s="1673" t="str">
        <f t="shared" si="41"/>
        <v/>
      </c>
      <c r="J103" s="3822" t="str">
        <f t="shared" si="42"/>
        <v/>
      </c>
      <c r="K103" s="3823" t="str">
        <f t="shared" si="43"/>
        <v/>
      </c>
      <c r="L103" s="3824" t="str">
        <f t="shared" si="34"/>
        <v/>
      </c>
      <c r="M103" s="3825" t="str">
        <f t="shared" si="35"/>
        <v/>
      </c>
      <c r="N103" s="2811" t="str">
        <f t="shared" si="36"/>
        <v/>
      </c>
      <c r="R103" s="627" t="str">
        <f t="shared" si="37"/>
        <v/>
      </c>
      <c r="S103" s="2404" t="str">
        <f t="shared" si="38"/>
        <v/>
      </c>
      <c r="T103" s="2407" t="str">
        <f t="shared" si="39"/>
        <v/>
      </c>
      <c r="AD103" s="263"/>
      <c r="AJ103" s="436"/>
      <c r="AK103" s="292"/>
      <c r="AL103" s="434"/>
      <c r="AM103" s="1528"/>
      <c r="AN103" s="2"/>
      <c r="AO103" s="2"/>
      <c r="AP103" s="2"/>
      <c r="AQ103" s="440"/>
      <c r="AR103" s="441"/>
      <c r="AS103" s="1528"/>
      <c r="AT103" s="442"/>
      <c r="AU103" s="1529"/>
      <c r="AV103" s="2"/>
      <c r="AW103" s="2"/>
      <c r="AX103" s="2"/>
      <c r="AY103" s="2"/>
      <c r="AZ103" s="2"/>
      <c r="BA103" s="2"/>
      <c r="BD103" s="2154"/>
    </row>
    <row r="104" spans="1:58" s="245" customFormat="1" ht="21" hidden="1" customHeight="1" x14ac:dyDescent="0.25">
      <c r="A104" s="433"/>
      <c r="B104" s="3817" t="s">
        <v>1021</v>
      </c>
      <c r="C104" s="3569"/>
      <c r="D104" s="3569"/>
      <c r="E104" s="3569"/>
      <c r="F104" s="3569"/>
      <c r="G104" s="1442"/>
      <c r="H104" s="1443"/>
      <c r="I104" s="1442"/>
      <c r="J104" s="3818"/>
      <c r="K104" s="3819"/>
      <c r="L104" s="3820"/>
      <c r="M104" s="3821"/>
      <c r="N104" s="1442"/>
      <c r="Q104" s="235"/>
      <c r="AJ104" s="259"/>
      <c r="AK104" s="434"/>
      <c r="AL104" s="434"/>
      <c r="AM104" s="434"/>
      <c r="AN104" s="242"/>
      <c r="AO104" s="435"/>
      <c r="AP104" s="435"/>
      <c r="AQ104" s="436"/>
      <c r="AR104" s="2"/>
      <c r="AS104" s="2"/>
      <c r="AT104" s="2"/>
      <c r="AU104" s="2"/>
      <c r="AV104" s="2"/>
      <c r="AW104" s="2"/>
      <c r="AX104" s="2"/>
      <c r="AY104" s="2"/>
      <c r="AZ104" s="2"/>
      <c r="BA104" s="2"/>
      <c r="BD104" s="2155"/>
      <c r="BE104" s="235"/>
      <c r="BF104" s="235"/>
    </row>
    <row r="105" spans="1:58" s="414" customFormat="1" ht="1.5" hidden="1" customHeight="1" thickBot="1" x14ac:dyDescent="0.3">
      <c r="A105" s="427"/>
      <c r="B105" s="1445" t="s">
        <v>1396</v>
      </c>
      <c r="C105" s="1434"/>
      <c r="D105" s="1434"/>
      <c r="E105" s="1434"/>
      <c r="F105" s="1434"/>
      <c r="G105" s="1449" t="s">
        <v>1413</v>
      </c>
      <c r="H105" s="1440" t="s">
        <v>1414</v>
      </c>
      <c r="I105" s="1449" t="s">
        <v>1415</v>
      </c>
      <c r="J105" s="1450" t="s">
        <v>1416</v>
      </c>
      <c r="K105" s="1449"/>
      <c r="L105" s="1448" t="s">
        <v>356</v>
      </c>
      <c r="M105" s="2456"/>
      <c r="N105" s="1449" t="s">
        <v>3225</v>
      </c>
      <c r="R105" s="415" t="s">
        <v>1407</v>
      </c>
      <c r="S105" s="415" t="s">
        <v>1408</v>
      </c>
      <c r="AJ105" s="426"/>
      <c r="AK105" s="426"/>
      <c r="AL105" s="426"/>
      <c r="AM105" s="426"/>
      <c r="AN105" s="426"/>
      <c r="AO105" s="426"/>
      <c r="AP105" s="426"/>
      <c r="AQ105" s="426"/>
      <c r="AR105" s="426"/>
      <c r="AS105" s="437"/>
      <c r="AT105" s="437"/>
      <c r="AU105" s="437"/>
      <c r="AV105" s="437"/>
      <c r="AW105" s="426"/>
      <c r="AX105" s="437"/>
      <c r="AY105" s="437"/>
      <c r="AZ105" s="437"/>
      <c r="BA105" s="426"/>
      <c r="BD105" s="2157"/>
    </row>
    <row r="106" spans="1:58" ht="15" hidden="1" customHeight="1" x14ac:dyDescent="0.25">
      <c r="A106" s="409"/>
      <c r="B106" s="3826" t="str">
        <f t="shared" ref="B106:B111" si="44">IFERROR(IF(ISBLANK(B17),"",B17),"")</f>
        <v/>
      </c>
      <c r="C106" s="3826"/>
      <c r="D106" s="3826"/>
      <c r="E106" s="3826"/>
      <c r="F106" s="3827"/>
      <c r="G106" s="1673" t="str">
        <f t="shared" ref="G106:G111" si="45">IFERROR(IF(PO_ShowExCalc=TRUE,SUMIFS(INDEX(PO_ExCalc_Table,0,MATCH($G$91,PO_ExCalc_Hdr,0)),INDEX(PO_ExCalc_Table,0,MATCH($E$91,PO_ExCalc_Hdr,0)),$B106,INDEX(PO_ExCalc_Table,0,MATCH($F$91,PO_ExCalc_Hdr,0)),"Subtract from Proposed"),""),"")</f>
        <v/>
      </c>
      <c r="H106" s="1297" t="str">
        <f t="shared" ref="H106:H111" si="46">IFERROR(IF(ISBLANK($B106),"",VLOOKUP($B106,PO_Enrgy_1_Table,MATCH($C$16,PO_Enrgy_1_Hdr,0),FALSE)),"")</f>
        <v/>
      </c>
      <c r="I106" s="1673" t="str">
        <f>IFERROR($G106*$R106,"")</f>
        <v/>
      </c>
      <c r="J106" s="3822" t="str">
        <f>IFERROR($G106*$S106,"")</f>
        <v/>
      </c>
      <c r="K106" s="3823" t="str">
        <f>IFERROR($G106*$R106,"")</f>
        <v/>
      </c>
      <c r="L106" s="3824" t="str">
        <f t="shared" ref="L106:L111" si="47">IFERROR(IF(PO_ShowExCalc=TRUE,SUMIFS(INDEX(PO_ExCalc_Table,0,MATCH($L$91,PO_ExCalc_Hdr,0)),INDEX(PO_ExCalc_Table,0,MATCH($E$91,PO_ExCalc_Hdr,0)),$B106,INDEX(PO_ExCalc_Table,0,MATCH($F$91,PO_ExCalc_Hdr,0)),"Subtract from Proposed"),""),"")</f>
        <v/>
      </c>
      <c r="M106" s="3825" t="str">
        <f t="shared" ref="M106:M111" si="48">IFERROR(IF(PO_ShowExCalc=TRUE,SUMIFS(M$92:M$95,$E$92:$E$95,$B106,$F$92:$F$95,"Add to Baseline"),""),"")</f>
        <v/>
      </c>
      <c r="N106" s="2811" t="str">
        <f t="shared" ref="N106:N111" si="49">IFERROR(IF(PO_ShowExCalc=TRUE,G106*T106,""),"")</f>
        <v/>
      </c>
      <c r="R106" s="627" t="str">
        <f t="shared" ref="R106:R111" si="50">IFERROR(IF(ISBLANK($B106),"",VLOOKUP($B106,PO_Enrgy_1_Table,MATCH($K$16,PO_Enrgy_1_Hdr,0),FALSE)),"")</f>
        <v/>
      </c>
      <c r="S106" s="627" t="str">
        <f t="shared" ref="S106:S111" si="51">IFERROR(IF(ISBLANK($B106),"",VLOOKUP($B106,PO_Enrgy_1_Table,MATCH($M$16,PO_Enrgy_1_Hdr,0),FALSE)),"")</f>
        <v/>
      </c>
      <c r="T106" s="2405" t="str">
        <f t="shared" ref="T106:T111" si="52">IFERROR(VLOOKUP(B106,PO_Enrgy_1_Table,MATCH($T$16,PO_Enrgy_1_Hdr,0),0),"")</f>
        <v/>
      </c>
      <c r="AD106" s="263"/>
      <c r="AJ106" s="436"/>
      <c r="AK106" s="292"/>
      <c r="AL106" s="434"/>
      <c r="AM106" s="1528"/>
      <c r="AN106" s="2"/>
      <c r="AO106" s="2"/>
      <c r="AP106" s="2"/>
      <c r="AQ106" s="440"/>
      <c r="AR106" s="441"/>
      <c r="AS106" s="1528"/>
      <c r="AT106" s="442"/>
      <c r="AU106" s="1529"/>
      <c r="AV106" s="2"/>
      <c r="AW106" s="2"/>
      <c r="AX106" s="2"/>
      <c r="AY106" s="2"/>
      <c r="AZ106" s="2"/>
      <c r="BA106" s="2"/>
      <c r="BD106" s="2154"/>
    </row>
    <row r="107" spans="1:58" ht="15" hidden="1" customHeight="1" x14ac:dyDescent="0.25">
      <c r="A107" s="409"/>
      <c r="B107" s="3826" t="str">
        <f t="shared" si="44"/>
        <v/>
      </c>
      <c r="C107" s="3826"/>
      <c r="D107" s="3826"/>
      <c r="E107" s="3826"/>
      <c r="F107" s="3827"/>
      <c r="G107" s="1673" t="str">
        <f t="shared" si="45"/>
        <v/>
      </c>
      <c r="H107" s="1297" t="str">
        <f t="shared" si="46"/>
        <v/>
      </c>
      <c r="I107" s="1673" t="str">
        <f>IFERROR($G107*$R107,"")</f>
        <v/>
      </c>
      <c r="J107" s="3822" t="str">
        <f>IFERROR($G107*$S107,"")</f>
        <v/>
      </c>
      <c r="K107" s="3823" t="str">
        <f>IFERROR($G107*$R107,"")</f>
        <v/>
      </c>
      <c r="L107" s="3824" t="str">
        <f t="shared" si="47"/>
        <v/>
      </c>
      <c r="M107" s="3825" t="str">
        <f t="shared" si="48"/>
        <v/>
      </c>
      <c r="N107" s="2811" t="str">
        <f t="shared" si="49"/>
        <v/>
      </c>
      <c r="R107" s="627" t="str">
        <f t="shared" si="50"/>
        <v/>
      </c>
      <c r="S107" s="627" t="str">
        <f t="shared" si="51"/>
        <v/>
      </c>
      <c r="T107" s="2406" t="str">
        <f t="shared" si="52"/>
        <v/>
      </c>
      <c r="AD107" s="263"/>
      <c r="AJ107" s="436"/>
      <c r="AK107" s="292"/>
      <c r="AL107" s="434"/>
      <c r="AM107" s="1528"/>
      <c r="AN107" s="2"/>
      <c r="AO107" s="2"/>
      <c r="AP107" s="2"/>
      <c r="AQ107" s="440"/>
      <c r="AR107" s="441"/>
      <c r="AS107" s="1528"/>
      <c r="AT107" s="442"/>
      <c r="AU107" s="1529"/>
      <c r="AV107" s="2"/>
      <c r="AW107" s="2"/>
      <c r="AX107" s="2"/>
      <c r="AY107" s="2"/>
      <c r="AZ107" s="2"/>
      <c r="BA107" s="2"/>
      <c r="BD107" s="2154"/>
    </row>
    <row r="108" spans="1:58" ht="15" hidden="1" customHeight="1" x14ac:dyDescent="0.25">
      <c r="A108" s="409"/>
      <c r="B108" s="3826" t="str">
        <f t="shared" si="44"/>
        <v/>
      </c>
      <c r="C108" s="3826"/>
      <c r="D108" s="3826"/>
      <c r="E108" s="3826"/>
      <c r="F108" s="3827"/>
      <c r="G108" s="1673" t="str">
        <f t="shared" si="45"/>
        <v/>
      </c>
      <c r="H108" s="1297" t="str">
        <f t="shared" si="46"/>
        <v/>
      </c>
      <c r="I108" s="1673" t="str">
        <f>IFERROR($G108*$R108,"")</f>
        <v/>
      </c>
      <c r="J108" s="3822" t="str">
        <f>IFERROR($G108*$S108,"")</f>
        <v/>
      </c>
      <c r="K108" s="3823" t="str">
        <f>IFERROR($G108*$R108,"")</f>
        <v/>
      </c>
      <c r="L108" s="3824" t="str">
        <f t="shared" si="47"/>
        <v/>
      </c>
      <c r="M108" s="3825" t="str">
        <f t="shared" si="48"/>
        <v/>
      </c>
      <c r="N108" s="2811" t="str">
        <f t="shared" si="49"/>
        <v/>
      </c>
      <c r="R108" s="627" t="str">
        <f t="shared" si="50"/>
        <v/>
      </c>
      <c r="S108" s="627" t="str">
        <f t="shared" si="51"/>
        <v/>
      </c>
      <c r="T108" s="2406" t="str">
        <f t="shared" si="52"/>
        <v/>
      </c>
      <c r="AD108" s="263"/>
      <c r="AJ108" s="436"/>
      <c r="AK108" s="292"/>
      <c r="AL108" s="434"/>
      <c r="AM108" s="1528"/>
      <c r="AN108" s="2"/>
      <c r="AO108" s="2"/>
      <c r="AP108" s="2"/>
      <c r="AQ108" s="440"/>
      <c r="AR108" s="441"/>
      <c r="AS108" s="1528"/>
      <c r="AT108" s="442"/>
      <c r="AU108" s="1529"/>
      <c r="AV108" s="2"/>
      <c r="AW108" s="2"/>
      <c r="AX108" s="2"/>
      <c r="AY108" s="2"/>
      <c r="AZ108" s="2"/>
      <c r="BA108" s="2"/>
      <c r="BD108" s="2154"/>
    </row>
    <row r="109" spans="1:58" ht="15" hidden="1" customHeight="1" x14ac:dyDescent="0.25">
      <c r="A109" s="409"/>
      <c r="B109" s="3826" t="str">
        <f t="shared" si="44"/>
        <v/>
      </c>
      <c r="C109" s="3826"/>
      <c r="D109" s="3826"/>
      <c r="E109" s="3826"/>
      <c r="F109" s="3827"/>
      <c r="G109" s="1673" t="str">
        <f t="shared" si="45"/>
        <v/>
      </c>
      <c r="H109" s="1297" t="str">
        <f t="shared" si="46"/>
        <v/>
      </c>
      <c r="I109" s="1673" t="str">
        <f t="shared" ref="I109:I111" si="53">IFERROR($G109*$R109,"")</f>
        <v/>
      </c>
      <c r="J109" s="3822" t="str">
        <f t="shared" ref="J109:J111" si="54">IFERROR($G109*$S109,"")</f>
        <v/>
      </c>
      <c r="K109" s="3823" t="str">
        <f t="shared" ref="K109:K111" si="55">IFERROR($G109*$R109,"")</f>
        <v/>
      </c>
      <c r="L109" s="3824" t="str">
        <f t="shared" si="47"/>
        <v/>
      </c>
      <c r="M109" s="3825" t="str">
        <f t="shared" si="48"/>
        <v/>
      </c>
      <c r="N109" s="2811" t="str">
        <f t="shared" si="49"/>
        <v/>
      </c>
      <c r="R109" s="627" t="str">
        <f t="shared" si="50"/>
        <v/>
      </c>
      <c r="S109" s="627" t="str">
        <f t="shared" si="51"/>
        <v/>
      </c>
      <c r="T109" s="2406" t="str">
        <f t="shared" si="52"/>
        <v/>
      </c>
      <c r="AD109" s="263"/>
      <c r="AJ109" s="436"/>
      <c r="AK109" s="292"/>
      <c r="AL109" s="434"/>
      <c r="AM109" s="1528"/>
      <c r="AN109" s="2"/>
      <c r="AO109" s="2"/>
      <c r="AP109" s="2"/>
      <c r="AQ109" s="440"/>
      <c r="AR109" s="441"/>
      <c r="AS109" s="1528"/>
      <c r="AT109" s="442"/>
      <c r="AU109" s="1529"/>
      <c r="AV109" s="2"/>
      <c r="AW109" s="2"/>
      <c r="AX109" s="2"/>
      <c r="AY109" s="2"/>
      <c r="AZ109" s="2"/>
      <c r="BA109" s="2"/>
      <c r="BD109" s="2154"/>
    </row>
    <row r="110" spans="1:58" ht="15" hidden="1" customHeight="1" x14ac:dyDescent="0.25">
      <c r="A110" s="409"/>
      <c r="B110" s="3826" t="str">
        <f t="shared" si="44"/>
        <v/>
      </c>
      <c r="C110" s="3826"/>
      <c r="D110" s="3826"/>
      <c r="E110" s="3826"/>
      <c r="F110" s="3827"/>
      <c r="G110" s="1673" t="str">
        <f t="shared" si="45"/>
        <v/>
      </c>
      <c r="H110" s="1297" t="str">
        <f t="shared" si="46"/>
        <v/>
      </c>
      <c r="I110" s="1673" t="str">
        <f t="shared" si="53"/>
        <v/>
      </c>
      <c r="J110" s="3822" t="str">
        <f t="shared" si="54"/>
        <v/>
      </c>
      <c r="K110" s="3823" t="str">
        <f t="shared" si="55"/>
        <v/>
      </c>
      <c r="L110" s="3824" t="str">
        <f t="shared" si="47"/>
        <v/>
      </c>
      <c r="M110" s="3825" t="str">
        <f t="shared" si="48"/>
        <v/>
      </c>
      <c r="N110" s="2811" t="str">
        <f t="shared" si="49"/>
        <v/>
      </c>
      <c r="R110" s="627" t="str">
        <f t="shared" si="50"/>
        <v/>
      </c>
      <c r="S110" s="627" t="str">
        <f t="shared" si="51"/>
        <v/>
      </c>
      <c r="T110" s="2406" t="str">
        <f t="shared" si="52"/>
        <v/>
      </c>
      <c r="AD110" s="263"/>
      <c r="AJ110" s="436"/>
      <c r="AK110" s="292"/>
      <c r="AL110" s="434"/>
      <c r="AM110" s="1528"/>
      <c r="AN110" s="2"/>
      <c r="AO110" s="2"/>
      <c r="AP110" s="2"/>
      <c r="AQ110" s="440"/>
      <c r="AR110" s="441"/>
      <c r="AS110" s="1528"/>
      <c r="AT110" s="442"/>
      <c r="AU110" s="1529"/>
      <c r="AV110" s="2"/>
      <c r="AW110" s="2"/>
      <c r="AX110" s="2"/>
      <c r="AY110" s="2"/>
      <c r="AZ110" s="2"/>
      <c r="BA110" s="2"/>
      <c r="BD110" s="2154"/>
    </row>
    <row r="111" spans="1:58" ht="15" hidden="1" customHeight="1" thickBot="1" x14ac:dyDescent="0.3">
      <c r="A111" s="409"/>
      <c r="B111" s="3826" t="str">
        <f t="shared" si="44"/>
        <v/>
      </c>
      <c r="C111" s="3826"/>
      <c r="D111" s="3826"/>
      <c r="E111" s="3826"/>
      <c r="F111" s="3827"/>
      <c r="G111" s="1673" t="str">
        <f t="shared" si="45"/>
        <v/>
      </c>
      <c r="H111" s="1297" t="str">
        <f t="shared" si="46"/>
        <v/>
      </c>
      <c r="I111" s="1673" t="str">
        <f t="shared" si="53"/>
        <v/>
      </c>
      <c r="J111" s="3822" t="str">
        <f t="shared" si="54"/>
        <v/>
      </c>
      <c r="K111" s="3823" t="str">
        <f t="shared" si="55"/>
        <v/>
      </c>
      <c r="L111" s="3824" t="str">
        <f t="shared" si="47"/>
        <v/>
      </c>
      <c r="M111" s="3825" t="str">
        <f t="shared" si="48"/>
        <v/>
      </c>
      <c r="N111" s="2811" t="str">
        <f t="shared" si="49"/>
        <v/>
      </c>
      <c r="R111" s="627" t="str">
        <f t="shared" si="50"/>
        <v/>
      </c>
      <c r="S111" s="627" t="str">
        <f t="shared" si="51"/>
        <v/>
      </c>
      <c r="T111" s="2407" t="str">
        <f t="shared" si="52"/>
        <v/>
      </c>
      <c r="AD111" s="263"/>
      <c r="AJ111" s="436"/>
      <c r="AK111" s="292"/>
      <c r="AL111" s="434"/>
      <c r="AM111" s="1528"/>
      <c r="AN111" s="2"/>
      <c r="AO111" s="2"/>
      <c r="AP111" s="2"/>
      <c r="AQ111" s="440"/>
      <c r="AR111" s="441"/>
      <c r="AS111" s="1528"/>
      <c r="AT111" s="442"/>
      <c r="AU111" s="1529"/>
      <c r="AV111" s="2"/>
      <c r="AW111" s="2"/>
      <c r="AX111" s="2"/>
      <c r="AY111" s="2"/>
      <c r="AZ111" s="2"/>
      <c r="BA111" s="2"/>
      <c r="BD111" s="2154"/>
    </row>
    <row r="112" spans="1:58" s="245" customFormat="1" ht="21" hidden="1" customHeight="1" x14ac:dyDescent="0.25">
      <c r="A112" s="433"/>
      <c r="B112" s="3817" t="s">
        <v>2981</v>
      </c>
      <c r="C112" s="3569"/>
      <c r="D112" s="3569"/>
      <c r="E112" s="3569"/>
      <c r="F112" s="3569"/>
      <c r="G112" s="1442"/>
      <c r="H112" s="1443"/>
      <c r="I112" s="1442"/>
      <c r="J112" s="3818"/>
      <c r="K112" s="3819"/>
      <c r="L112" s="3820"/>
      <c r="M112" s="3821"/>
      <c r="N112" s="1442"/>
      <c r="Q112" s="235"/>
      <c r="AJ112" s="259"/>
      <c r="AK112" s="434"/>
      <c r="AL112" s="434"/>
      <c r="AM112" s="434"/>
      <c r="AN112" s="242"/>
      <c r="AO112" s="435"/>
      <c r="AP112" s="435"/>
      <c r="AQ112" s="436"/>
      <c r="AR112" s="2"/>
      <c r="AS112" s="2"/>
      <c r="AT112" s="2"/>
      <c r="AU112" s="2"/>
      <c r="AV112" s="2"/>
      <c r="AW112" s="2"/>
      <c r="AX112" s="2"/>
      <c r="AY112" s="2"/>
      <c r="AZ112" s="2"/>
      <c r="BA112" s="2"/>
      <c r="BD112" s="2155"/>
      <c r="BE112" s="235"/>
      <c r="BF112" s="235"/>
    </row>
    <row r="113" spans="1:61" s="414" customFormat="1" ht="1.5" hidden="1" customHeight="1" thickBot="1" x14ac:dyDescent="0.3">
      <c r="A113" s="427"/>
      <c r="B113" s="1445" t="s">
        <v>1396</v>
      </c>
      <c r="C113" s="1434"/>
      <c r="D113" s="1434"/>
      <c r="E113" s="1434"/>
      <c r="F113" s="1434"/>
      <c r="G113" s="1449" t="s">
        <v>1413</v>
      </c>
      <c r="H113" s="1440" t="s">
        <v>1414</v>
      </c>
      <c r="I113" s="1449" t="s">
        <v>1415</v>
      </c>
      <c r="J113" s="1450" t="s">
        <v>1416</v>
      </c>
      <c r="K113" s="1449"/>
      <c r="L113" s="1448" t="s">
        <v>356</v>
      </c>
      <c r="M113" s="2456"/>
      <c r="N113" s="1449"/>
      <c r="R113" s="415" t="s">
        <v>1407</v>
      </c>
      <c r="S113" s="415" t="s">
        <v>1408</v>
      </c>
      <c r="AJ113" s="426"/>
      <c r="AK113" s="426"/>
      <c r="AL113" s="426"/>
      <c r="AM113" s="426"/>
      <c r="AN113" s="426"/>
      <c r="AO113" s="426"/>
      <c r="AP113" s="426"/>
      <c r="AQ113" s="426"/>
      <c r="AR113" s="426"/>
      <c r="AS113" s="437"/>
      <c r="AT113" s="437"/>
      <c r="AU113" s="437"/>
      <c r="AV113" s="437"/>
      <c r="AW113" s="426"/>
      <c r="AX113" s="437"/>
      <c r="AY113" s="437"/>
      <c r="AZ113" s="437"/>
      <c r="BA113" s="426"/>
      <c r="BD113" s="2157"/>
    </row>
    <row r="114" spans="1:61" ht="15" hidden="1" customHeight="1" x14ac:dyDescent="0.25">
      <c r="A114" s="409"/>
      <c r="B114" s="3826" t="str">
        <f t="shared" ref="B114:B119" si="56">IFERROR(IF(ISBLANK(B17),"",B17),"")</f>
        <v/>
      </c>
      <c r="C114" s="3826"/>
      <c r="D114" s="3826"/>
      <c r="E114" s="3826"/>
      <c r="F114" s="3827"/>
      <c r="G114" s="1673" t="str">
        <f t="shared" ref="G114:G118" si="57">IFERROR(IF(PO_ShowExCalc=TRUE,SUMIFS(INDEX(PO_ExCalc_Table,0,MATCH($G$91,PO_ExCalc_Hdr,0)),INDEX(PO_ExCalc_Table,0,MATCH($E$91,PO_ExCalc_Hdr,0)),$B114,INDEX(PO_ExCalc_Table,0,MATCH($F$91,PO_ExCalc_Hdr,0)),"Add to Proposed"),""),"")</f>
        <v/>
      </c>
      <c r="H114" s="1297" t="str">
        <f t="shared" ref="H114:H119" si="58">IFERROR(IF(ISBLANK($B114),"",VLOOKUP($B114,PO_Enrgy_1_Table,MATCH($C$16,PO_Enrgy_1_Hdr,0),FALSE)),"")</f>
        <v/>
      </c>
      <c r="I114" s="1673" t="str">
        <f>IFERROR($G114*$R114,"")</f>
        <v/>
      </c>
      <c r="J114" s="3822" t="str">
        <f>IFERROR($G114*$S114,"")</f>
        <v/>
      </c>
      <c r="K114" s="3823" t="str">
        <f>IFERROR($G114*$R114,"")</f>
        <v/>
      </c>
      <c r="L114" s="3824" t="str">
        <f t="shared" ref="L114:L119" si="59">IFERROR(IF(PO_ShowExCalc=TRUE,SUMIFS(INDEX(PO_ExCalc_Table,0,MATCH($L$91,PO_ExCalc_Hdr,0)),INDEX(PO_ExCalc_Table,0,MATCH($E$91,PO_ExCalc_Hdr,0)),$B114,INDEX(PO_ExCalc_Table,0,MATCH($F$91,PO_ExCalc_Hdr,0)),"Add to Proposed"),""),"")</f>
        <v/>
      </c>
      <c r="M114" s="3825" t="str">
        <f t="shared" ref="M114:M119" si="60">IFERROR(IF(PO_ShowExCalc=TRUE,SUMIFS(M$92:M$95,$E$92:$E$95,$B114,$F$92:$F$95,"Add to Baseline"),""),"")</f>
        <v/>
      </c>
      <c r="N114" s="2811" t="str">
        <f t="shared" ref="N114:N119" si="61">IFERROR(IF(PO_ShowExCalc=TRUE,G114*T114,""),"")</f>
        <v/>
      </c>
      <c r="R114" s="627" t="str">
        <f t="shared" ref="R114:R119" si="62">IFERROR(IF(ISBLANK($B114),"",VLOOKUP($B114,PO_Enrgy_1_Table,MATCH($K$16,PO_Enrgy_1_Hdr,0),FALSE)),"")</f>
        <v/>
      </c>
      <c r="S114" s="627" t="str">
        <f t="shared" ref="S114:S119" si="63">IFERROR(IF(ISBLANK($B114),"",VLOOKUP($B114,PO_Enrgy_1_Table,MATCH($M$16,PO_Enrgy_1_Hdr,0),FALSE)),"")</f>
        <v/>
      </c>
      <c r="T114" s="2405" t="str">
        <f t="shared" ref="T114:T119" si="64">IFERROR(VLOOKUP(B114,PO_Enrgy_1_Table,MATCH($T$16,PO_Enrgy_1_Hdr,0),0),"")</f>
        <v/>
      </c>
      <c r="AD114" s="263"/>
      <c r="AJ114" s="436"/>
      <c r="AK114" s="292"/>
      <c r="AL114" s="434"/>
      <c r="AM114" s="1528"/>
      <c r="AN114" s="2"/>
      <c r="AO114" s="2"/>
      <c r="AP114" s="2"/>
      <c r="AQ114" s="440"/>
      <c r="AR114" s="441"/>
      <c r="AS114" s="1528"/>
      <c r="AT114" s="442"/>
      <c r="AU114" s="1529"/>
      <c r="AV114" s="2"/>
      <c r="AW114" s="2"/>
      <c r="AX114" s="2"/>
      <c r="AY114" s="2"/>
      <c r="AZ114" s="2"/>
      <c r="BA114" s="2"/>
      <c r="BD114" s="2154"/>
    </row>
    <row r="115" spans="1:61" ht="15" hidden="1" customHeight="1" x14ac:dyDescent="0.25">
      <c r="A115" s="409"/>
      <c r="B115" s="3826" t="str">
        <f t="shared" si="56"/>
        <v/>
      </c>
      <c r="C115" s="3826"/>
      <c r="D115" s="3826"/>
      <c r="E115" s="3826"/>
      <c r="F115" s="3827"/>
      <c r="G115" s="1673" t="str">
        <f t="shared" si="57"/>
        <v/>
      </c>
      <c r="H115" s="1297" t="str">
        <f t="shared" si="58"/>
        <v/>
      </c>
      <c r="I115" s="1673" t="str">
        <f>IFERROR($G115*$R115,"")</f>
        <v/>
      </c>
      <c r="J115" s="3822" t="str">
        <f>IFERROR($G115*$S115,"")</f>
        <v/>
      </c>
      <c r="K115" s="3823" t="str">
        <f>IFERROR($G115*$R115,"")</f>
        <v/>
      </c>
      <c r="L115" s="3824" t="str">
        <f t="shared" si="59"/>
        <v/>
      </c>
      <c r="M115" s="3825" t="str">
        <f t="shared" si="60"/>
        <v/>
      </c>
      <c r="N115" s="2811" t="str">
        <f t="shared" si="61"/>
        <v/>
      </c>
      <c r="R115" s="627" t="str">
        <f t="shared" si="62"/>
        <v/>
      </c>
      <c r="S115" s="627" t="str">
        <f t="shared" si="63"/>
        <v/>
      </c>
      <c r="T115" s="2406" t="str">
        <f t="shared" si="64"/>
        <v/>
      </c>
      <c r="AD115" s="263"/>
      <c r="AJ115" s="436"/>
      <c r="AK115" s="292"/>
      <c r="AL115" s="434"/>
      <c r="AM115" s="1528"/>
      <c r="AN115" s="2"/>
      <c r="AO115" s="2"/>
      <c r="AP115" s="2"/>
      <c r="AQ115" s="440"/>
      <c r="AR115" s="441"/>
      <c r="AS115" s="1528"/>
      <c r="AT115" s="442"/>
      <c r="AU115" s="1529"/>
      <c r="AV115" s="2"/>
      <c r="AW115" s="2"/>
      <c r="AX115" s="2"/>
      <c r="AY115" s="2"/>
      <c r="AZ115" s="2"/>
      <c r="BA115" s="2"/>
      <c r="BD115" s="2154"/>
    </row>
    <row r="116" spans="1:61" ht="15" hidden="1" customHeight="1" x14ac:dyDescent="0.25">
      <c r="A116" s="409"/>
      <c r="B116" s="3826" t="str">
        <f t="shared" si="56"/>
        <v/>
      </c>
      <c r="C116" s="3826"/>
      <c r="D116" s="3826"/>
      <c r="E116" s="3826"/>
      <c r="F116" s="3827"/>
      <c r="G116" s="1673" t="str">
        <f t="shared" si="57"/>
        <v/>
      </c>
      <c r="H116" s="1297" t="str">
        <f t="shared" si="58"/>
        <v/>
      </c>
      <c r="I116" s="1673" t="str">
        <f>IFERROR($G116*$R116,"")</f>
        <v/>
      </c>
      <c r="J116" s="3822" t="str">
        <f>IFERROR($G116*$S116,"")</f>
        <v/>
      </c>
      <c r="K116" s="3823" t="str">
        <f>IFERROR($G116*$R116,"")</f>
        <v/>
      </c>
      <c r="L116" s="3824" t="str">
        <f t="shared" si="59"/>
        <v/>
      </c>
      <c r="M116" s="3825" t="str">
        <f t="shared" si="60"/>
        <v/>
      </c>
      <c r="N116" s="2811" t="str">
        <f t="shared" si="61"/>
        <v/>
      </c>
      <c r="R116" s="627" t="str">
        <f t="shared" si="62"/>
        <v/>
      </c>
      <c r="S116" s="627" t="str">
        <f t="shared" si="63"/>
        <v/>
      </c>
      <c r="T116" s="2406" t="str">
        <f t="shared" si="64"/>
        <v/>
      </c>
      <c r="AD116" s="263"/>
      <c r="AJ116" s="436"/>
      <c r="AK116" s="292"/>
      <c r="AL116" s="434"/>
      <c r="AM116" s="1528"/>
      <c r="AN116" s="2"/>
      <c r="AO116" s="2"/>
      <c r="AP116" s="2"/>
      <c r="AQ116" s="440"/>
      <c r="AR116" s="441"/>
      <c r="AS116" s="1528"/>
      <c r="AT116" s="442"/>
      <c r="AU116" s="1529"/>
      <c r="AV116" s="2"/>
      <c r="AW116" s="2"/>
      <c r="AX116" s="2"/>
      <c r="AY116" s="2"/>
      <c r="AZ116" s="2"/>
      <c r="BA116" s="2"/>
      <c r="BD116" s="2154"/>
    </row>
    <row r="117" spans="1:61" ht="15" hidden="1" customHeight="1" x14ac:dyDescent="0.25">
      <c r="A117" s="409"/>
      <c r="B117" s="3826" t="str">
        <f t="shared" si="56"/>
        <v/>
      </c>
      <c r="C117" s="3826"/>
      <c r="D117" s="3826"/>
      <c r="E117" s="3826"/>
      <c r="F117" s="3827"/>
      <c r="G117" s="1673" t="str">
        <f t="shared" si="57"/>
        <v/>
      </c>
      <c r="H117" s="1297" t="str">
        <f t="shared" si="58"/>
        <v/>
      </c>
      <c r="I117" s="1673" t="str">
        <f t="shared" ref="I117:I119" si="65">IFERROR($G117*$R117,"")</f>
        <v/>
      </c>
      <c r="J117" s="3822" t="str">
        <f t="shared" ref="J117:J119" si="66">IFERROR($G117*$S117,"")</f>
        <v/>
      </c>
      <c r="K117" s="3823" t="str">
        <f t="shared" ref="K117:K119" si="67">IFERROR($G117*$R117,"")</f>
        <v/>
      </c>
      <c r="L117" s="3824" t="str">
        <f t="shared" si="59"/>
        <v/>
      </c>
      <c r="M117" s="3825" t="str">
        <f t="shared" si="60"/>
        <v/>
      </c>
      <c r="N117" s="2811" t="str">
        <f t="shared" si="61"/>
        <v/>
      </c>
      <c r="R117" s="627" t="str">
        <f t="shared" si="62"/>
        <v/>
      </c>
      <c r="S117" s="627" t="str">
        <f t="shared" si="63"/>
        <v/>
      </c>
      <c r="T117" s="2406" t="str">
        <f t="shared" si="64"/>
        <v/>
      </c>
      <c r="AD117" s="263"/>
      <c r="AJ117" s="436"/>
      <c r="AK117" s="292"/>
      <c r="AL117" s="434"/>
      <c r="AM117" s="1528"/>
      <c r="AN117" s="2"/>
      <c r="AO117" s="2"/>
      <c r="AP117" s="2"/>
      <c r="AQ117" s="440"/>
      <c r="AR117" s="441"/>
      <c r="AS117" s="1528"/>
      <c r="AT117" s="442"/>
      <c r="AU117" s="1529"/>
      <c r="AV117" s="2"/>
      <c r="AW117" s="2"/>
      <c r="AX117" s="2"/>
      <c r="AY117" s="2"/>
      <c r="AZ117" s="2"/>
      <c r="BA117" s="2"/>
      <c r="BD117" s="2154"/>
    </row>
    <row r="118" spans="1:61" ht="15" hidden="1" customHeight="1" x14ac:dyDescent="0.25">
      <c r="A118" s="409"/>
      <c r="B118" s="3826" t="str">
        <f t="shared" si="56"/>
        <v/>
      </c>
      <c r="C118" s="3826"/>
      <c r="D118" s="3826"/>
      <c r="E118" s="3826"/>
      <c r="F118" s="3827"/>
      <c r="G118" s="1673" t="str">
        <f t="shared" si="57"/>
        <v/>
      </c>
      <c r="H118" s="1297" t="str">
        <f t="shared" si="58"/>
        <v/>
      </c>
      <c r="I118" s="1673" t="str">
        <f t="shared" si="65"/>
        <v/>
      </c>
      <c r="J118" s="3822" t="str">
        <f t="shared" si="66"/>
        <v/>
      </c>
      <c r="K118" s="3823" t="str">
        <f t="shared" si="67"/>
        <v/>
      </c>
      <c r="L118" s="3824" t="str">
        <f t="shared" si="59"/>
        <v/>
      </c>
      <c r="M118" s="3825" t="str">
        <f t="shared" si="60"/>
        <v/>
      </c>
      <c r="N118" s="2811" t="str">
        <f t="shared" si="61"/>
        <v/>
      </c>
      <c r="R118" s="627" t="str">
        <f t="shared" si="62"/>
        <v/>
      </c>
      <c r="S118" s="627" t="str">
        <f t="shared" si="63"/>
        <v/>
      </c>
      <c r="T118" s="2406" t="str">
        <f t="shared" si="64"/>
        <v/>
      </c>
      <c r="AD118" s="263"/>
      <c r="AJ118" s="436"/>
      <c r="AK118" s="292"/>
      <c r="AL118" s="434"/>
      <c r="AM118" s="1528"/>
      <c r="AN118" s="2"/>
      <c r="AO118" s="2"/>
      <c r="AP118" s="2"/>
      <c r="AQ118" s="440"/>
      <c r="AR118" s="441"/>
      <c r="AS118" s="1528"/>
      <c r="AT118" s="442"/>
      <c r="AU118" s="1529"/>
      <c r="AV118" s="2"/>
      <c r="AW118" s="2"/>
      <c r="AX118" s="2"/>
      <c r="AY118" s="2"/>
      <c r="AZ118" s="2"/>
      <c r="BA118" s="2"/>
      <c r="BD118" s="2154"/>
    </row>
    <row r="119" spans="1:61" ht="15" hidden="1" customHeight="1" thickBot="1" x14ac:dyDescent="0.3">
      <c r="A119" s="409"/>
      <c r="B119" s="3826" t="str">
        <f t="shared" si="56"/>
        <v/>
      </c>
      <c r="C119" s="3826"/>
      <c r="D119" s="3826"/>
      <c r="E119" s="3826"/>
      <c r="F119" s="3827"/>
      <c r="G119" s="1673">
        <f>Z119</f>
        <v>0</v>
      </c>
      <c r="H119" s="1297" t="str">
        <f t="shared" si="58"/>
        <v/>
      </c>
      <c r="I119" s="1673" t="str">
        <f t="shared" si="65"/>
        <v/>
      </c>
      <c r="J119" s="3822" t="str">
        <f t="shared" si="66"/>
        <v/>
      </c>
      <c r="K119" s="3823" t="str">
        <f t="shared" si="67"/>
        <v/>
      </c>
      <c r="L119" s="3824" t="str">
        <f t="shared" si="59"/>
        <v/>
      </c>
      <c r="M119" s="3825" t="str">
        <f t="shared" si="60"/>
        <v/>
      </c>
      <c r="N119" s="2811" t="str">
        <f t="shared" si="61"/>
        <v/>
      </c>
      <c r="R119" s="627" t="str">
        <f t="shared" si="62"/>
        <v/>
      </c>
      <c r="S119" s="627" t="str">
        <f t="shared" si="63"/>
        <v/>
      </c>
      <c r="T119" s="2407" t="str">
        <f t="shared" si="64"/>
        <v/>
      </c>
      <c r="AD119" s="263"/>
      <c r="AJ119" s="436"/>
      <c r="AK119" s="292"/>
      <c r="AL119" s="434"/>
      <c r="AM119" s="1528"/>
      <c r="AN119" s="2"/>
      <c r="AO119" s="2"/>
      <c r="AP119" s="2"/>
      <c r="AQ119" s="440"/>
      <c r="AR119" s="441"/>
      <c r="AS119" s="1528"/>
      <c r="AT119" s="442"/>
      <c r="AU119" s="1529"/>
      <c r="AV119" s="2"/>
      <c r="AW119" s="2"/>
      <c r="AX119" s="2"/>
      <c r="AY119" s="2"/>
      <c r="AZ119" s="2"/>
      <c r="BA119" s="2"/>
      <c r="BD119" s="2154"/>
    </row>
    <row r="120" spans="1:61" ht="21" hidden="1" customHeight="1" x14ac:dyDescent="0.25">
      <c r="A120" s="409"/>
      <c r="B120" s="3817" t="s">
        <v>1421</v>
      </c>
      <c r="C120" s="3569"/>
      <c r="D120" s="3569"/>
      <c r="E120" s="3569"/>
      <c r="F120" s="3569"/>
      <c r="G120" s="1444"/>
      <c r="H120" s="1430"/>
      <c r="I120" s="2812">
        <f>IFERROR(SUM(INDEX(PO_Enrgy_3_Table,0,MATCH($I97,PO_Enrgy_3_Hdr,0)),INDEX(PO_Enrgy_4_Table,0,MATCH($I105,PO_Enrgy_4_Hdr,0))),"")</f>
        <v>0</v>
      </c>
      <c r="J120" s="3917">
        <f>IFERROR(SUM(INDEX(PO_Enrgy_3_Table,0,MATCH($J97,PO_Enrgy_3_Hdr,0)),INDEX(PO_Enrgy_4_Table,0,MATCH($J105,PO_Enrgy_4_Hdr,0))),"")</f>
        <v>0</v>
      </c>
      <c r="K120" s="3918">
        <f>IFERROR(SUM(K$67:K$107),0)</f>
        <v>0</v>
      </c>
      <c r="L120" s="3919">
        <f>IFERROR(SUM(INDEX(PO_Enrgy_3_Table,0,MATCH($L97,PO_Enrgy_3_Hdr,0)),INDEX(PO_Enrgy_4_Table,0,MATCH($L105,PO_Enrgy_4_Hdr,0))),"")</f>
        <v>0</v>
      </c>
      <c r="M120" s="3920">
        <f>IFERROR(SUM(M$67:M$107),0)</f>
        <v>0</v>
      </c>
      <c r="N120" s="2812">
        <f>IFERROR(SUM(INDEX(PO_Enrgy_3_Table,0,MATCH($N97,PO_Enrgy_3_Hdr,0)),INDEX(PO_Enrgy_4_Table,0,MATCH($N105,PO_Enrgy_4_Hdr,0))),"")</f>
        <v>0</v>
      </c>
      <c r="AJ120" s="242"/>
      <c r="AK120" s="444"/>
      <c r="AL120" s="444"/>
      <c r="AM120" s="444"/>
      <c r="AN120" s="444"/>
      <c r="AO120" s="2"/>
      <c r="AP120" s="2"/>
      <c r="AQ120" s="440"/>
      <c r="AR120" s="441"/>
      <c r="AS120" s="1528"/>
      <c r="AT120" s="442"/>
      <c r="AU120" s="1529"/>
      <c r="AV120" s="2"/>
      <c r="AW120" s="2"/>
      <c r="AX120" s="2"/>
      <c r="AY120" s="2"/>
      <c r="AZ120" s="2"/>
      <c r="BA120" s="2"/>
      <c r="BD120" s="2154"/>
    </row>
    <row r="121" spans="1:61" s="245" customFormat="1" ht="53.25" hidden="1" customHeight="1" x14ac:dyDescent="0.25">
      <c r="A121" s="433" t="s">
        <v>1038</v>
      </c>
      <c r="C121" s="249"/>
      <c r="D121" s="249"/>
      <c r="E121" s="249"/>
      <c r="F121" s="249"/>
      <c r="G121" s="249"/>
      <c r="H121" s="249"/>
      <c r="I121" s="282"/>
      <c r="J121" s="282"/>
      <c r="K121" s="248"/>
      <c r="L121" s="248"/>
      <c r="M121" s="248"/>
      <c r="N121" s="282"/>
      <c r="Q121" s="235"/>
      <c r="AK121" s="249"/>
      <c r="AL121" s="249"/>
      <c r="AM121" s="249"/>
      <c r="AN121" s="249"/>
      <c r="AO121" s="249"/>
      <c r="AP121" s="282"/>
      <c r="AQ121" s="282"/>
      <c r="BD121" s="2155"/>
      <c r="BE121" s="235"/>
      <c r="BF121" s="235"/>
    </row>
    <row r="122" spans="1:61" ht="196.5" hidden="1" customHeight="1" x14ac:dyDescent="0.25">
      <c r="A122" s="433" t="s">
        <v>1038</v>
      </c>
      <c r="B122" s="3246" t="s">
        <v>2460</v>
      </c>
      <c r="C122" s="3246"/>
      <c r="D122" s="3246"/>
      <c r="E122" s="3246"/>
      <c r="F122" s="3246"/>
      <c r="G122" s="3246"/>
      <c r="H122" s="3246"/>
      <c r="I122" s="3246"/>
      <c r="J122" s="3246"/>
      <c r="K122" s="3246"/>
      <c r="L122" s="3246"/>
      <c r="M122" s="3246"/>
      <c r="N122" s="262"/>
    </row>
    <row r="123" spans="1:61" ht="12.75" hidden="1" customHeight="1" x14ac:dyDescent="0.25">
      <c r="A123" s="433" t="s">
        <v>1038</v>
      </c>
      <c r="B123" s="281"/>
      <c r="C123" s="281"/>
      <c r="D123" s="281"/>
      <c r="E123" s="281"/>
      <c r="F123" s="281"/>
      <c r="G123" s="281"/>
      <c r="H123" s="281"/>
      <c r="I123" s="281"/>
      <c r="J123" s="281"/>
      <c r="K123" s="281"/>
      <c r="L123" s="281"/>
      <c r="M123" s="281"/>
    </row>
    <row r="124" spans="1:61" s="347" customFormat="1" ht="33" customHeight="1" x14ac:dyDescent="0.25">
      <c r="A124" s="433" t="s">
        <v>1038</v>
      </c>
      <c r="B124" s="1227" t="s">
        <v>904</v>
      </c>
      <c r="C124" s="42"/>
      <c r="D124" s="42"/>
      <c r="E124" s="1163"/>
      <c r="F124" s="42"/>
      <c r="G124" s="42"/>
      <c r="H124" s="1163"/>
      <c r="I124" s="1163"/>
      <c r="J124" s="1163"/>
      <c r="K124" s="42"/>
      <c r="L124" s="42"/>
      <c r="M124" s="1163"/>
      <c r="N124" s="1163"/>
      <c r="O124" s="1163"/>
      <c r="P124" s="42"/>
      <c r="Q124" s="42"/>
      <c r="R124" s="42"/>
      <c r="S124" s="42"/>
      <c r="T124" s="42"/>
      <c r="U124" s="42"/>
      <c r="V124" s="42"/>
      <c r="W124" s="42"/>
      <c r="X124" s="42"/>
      <c r="Y124" s="42"/>
      <c r="Z124" s="42"/>
      <c r="AA124" s="42"/>
      <c r="AB124" s="42"/>
      <c r="AC124" s="42"/>
      <c r="AD124" s="42"/>
      <c r="AE124" s="42"/>
      <c r="AF124" s="42"/>
      <c r="AG124" s="42"/>
      <c r="AH124" s="42"/>
      <c r="AI124" s="42"/>
      <c r="AJ124" s="42"/>
      <c r="AK124" s="42"/>
      <c r="AL124" s="42"/>
      <c r="AM124" s="42"/>
      <c r="AN124" s="42"/>
      <c r="AO124" s="42"/>
      <c r="AP124" s="42"/>
      <c r="AQ124" s="42"/>
      <c r="AR124" s="42"/>
      <c r="AS124" s="42"/>
      <c r="AT124" s="42"/>
      <c r="AU124" s="42"/>
      <c r="AV124" s="42"/>
      <c r="AW124" s="42"/>
      <c r="AX124" s="42"/>
      <c r="AY124" s="42"/>
      <c r="AZ124" s="42"/>
      <c r="BA124" s="42"/>
      <c r="BB124" s="42"/>
      <c r="BC124" s="42"/>
      <c r="BD124" s="33"/>
      <c r="BE124" s="42"/>
      <c r="BF124" s="42"/>
      <c r="BG124" s="42"/>
      <c r="BH124" s="42"/>
      <c r="BI124" s="42"/>
    </row>
    <row r="125" spans="1:61" ht="40.5" customHeight="1" x14ac:dyDescent="0.25">
      <c r="A125" s="433" t="s">
        <v>1038</v>
      </c>
      <c r="B125" s="3288" t="s">
        <v>1004</v>
      </c>
      <c r="C125" s="3289"/>
      <c r="D125" s="3289"/>
      <c r="E125" s="3289"/>
      <c r="F125" s="3289"/>
      <c r="G125" s="3289"/>
      <c r="H125" s="3289"/>
      <c r="I125" s="3289"/>
      <c r="J125" s="3289"/>
      <c r="K125" s="3289"/>
      <c r="L125" s="3289"/>
      <c r="M125" s="3289"/>
    </row>
    <row r="126" spans="1:61" ht="30" customHeight="1" x14ac:dyDescent="0.25">
      <c r="A126" s="433" t="s">
        <v>1038</v>
      </c>
      <c r="B126" s="3290" t="s">
        <v>934</v>
      </c>
      <c r="C126" s="3290"/>
      <c r="D126" s="3290"/>
      <c r="E126" s="3290"/>
      <c r="F126" s="3290"/>
      <c r="G126" s="3290"/>
      <c r="H126" s="3290"/>
      <c r="I126" s="3290"/>
      <c r="J126" s="3290"/>
      <c r="K126" s="3290"/>
      <c r="L126" s="3290"/>
      <c r="M126" s="3290"/>
      <c r="S126" s="627">
        <v>1</v>
      </c>
    </row>
    <row r="127" spans="1:61" ht="9" customHeight="1" x14ac:dyDescent="0.25">
      <c r="A127" s="433" t="s">
        <v>1038</v>
      </c>
      <c r="B127" s="314"/>
      <c r="C127" s="314"/>
      <c r="D127" s="314"/>
      <c r="E127" s="314"/>
      <c r="F127" s="314"/>
      <c r="G127" s="314"/>
      <c r="H127" s="314"/>
      <c r="I127" s="314"/>
      <c r="J127" s="314"/>
      <c r="K127" s="315"/>
      <c r="L127" s="315"/>
      <c r="M127" s="311"/>
    </row>
    <row r="128" spans="1:61" ht="42" customHeight="1" x14ac:dyDescent="0.25">
      <c r="A128" s="433" t="s">
        <v>1038</v>
      </c>
      <c r="B128" s="3291" t="s">
        <v>935</v>
      </c>
      <c r="C128" s="3291"/>
      <c r="D128" s="3291"/>
      <c r="E128" s="3291"/>
      <c r="F128" s="3291"/>
      <c r="G128" s="3291"/>
      <c r="H128" s="3291"/>
      <c r="I128" s="3291"/>
      <c r="J128" s="3291"/>
      <c r="K128" s="3291"/>
      <c r="L128" s="3291"/>
      <c r="M128" s="3291"/>
    </row>
    <row r="129" spans="1:66" ht="9" customHeight="1" x14ac:dyDescent="0.25">
      <c r="A129" s="433" t="s">
        <v>1038</v>
      </c>
      <c r="B129" s="314"/>
      <c r="C129" s="314"/>
      <c r="D129" s="314"/>
      <c r="E129" s="314"/>
      <c r="F129" s="314"/>
      <c r="G129" s="314"/>
      <c r="H129" s="314"/>
      <c r="I129" s="314"/>
      <c r="J129" s="314"/>
      <c r="K129" s="315"/>
      <c r="L129" s="315"/>
      <c r="M129" s="311"/>
    </row>
    <row r="130" spans="1:66" ht="34.5" customHeight="1" x14ac:dyDescent="0.25">
      <c r="A130" s="433" t="s">
        <v>1038</v>
      </c>
      <c r="B130" s="3291" t="s">
        <v>936</v>
      </c>
      <c r="C130" s="3291"/>
      <c r="D130" s="3291"/>
      <c r="E130" s="3291"/>
      <c r="F130" s="3291"/>
      <c r="G130" s="3291"/>
      <c r="H130" s="3291"/>
      <c r="I130" s="3291"/>
      <c r="J130" s="3291"/>
      <c r="K130" s="3291"/>
      <c r="L130" s="3291"/>
      <c r="M130" s="3291"/>
    </row>
    <row r="131" spans="1:66" ht="9" customHeight="1" x14ac:dyDescent="0.25">
      <c r="A131" s="433" t="s">
        <v>1038</v>
      </c>
      <c r="B131" s="314"/>
      <c r="C131" s="314"/>
      <c r="D131" s="314"/>
      <c r="E131" s="314"/>
      <c r="F131" s="314"/>
      <c r="G131" s="314"/>
      <c r="H131" s="314"/>
      <c r="I131" s="314"/>
      <c r="J131" s="314"/>
      <c r="K131" s="315"/>
      <c r="L131" s="315"/>
      <c r="M131" s="311"/>
    </row>
    <row r="132" spans="1:66" ht="30" customHeight="1" x14ac:dyDescent="0.25">
      <c r="A132" s="433" t="s">
        <v>1038</v>
      </c>
      <c r="B132" s="3291" t="s">
        <v>937</v>
      </c>
      <c r="C132" s="3291"/>
      <c r="D132" s="3291"/>
      <c r="E132" s="3291"/>
      <c r="F132" s="3291"/>
      <c r="G132" s="3291"/>
      <c r="H132" s="3291"/>
      <c r="I132" s="3291"/>
      <c r="J132" s="3291"/>
      <c r="K132" s="3291"/>
      <c r="L132" s="3291"/>
      <c r="M132" s="3291"/>
    </row>
    <row r="133" spans="1:66" ht="14.25" customHeight="1" x14ac:dyDescent="0.25">
      <c r="A133" s="433" t="s">
        <v>1038</v>
      </c>
      <c r="B133" s="3244"/>
      <c r="C133" s="3244"/>
      <c r="D133" s="3244"/>
      <c r="E133" s="3244"/>
      <c r="F133" s="3244"/>
      <c r="G133" s="3244"/>
      <c r="H133" s="3244"/>
      <c r="I133" s="3244"/>
      <c r="J133" s="3244"/>
      <c r="K133" s="3244"/>
      <c r="L133" s="3960"/>
      <c r="M133" s="3960"/>
    </row>
    <row r="134" spans="1:66" ht="33" customHeight="1" x14ac:dyDescent="0.25">
      <c r="A134" s="433" t="s">
        <v>1038</v>
      </c>
      <c r="B134" s="259"/>
      <c r="C134" s="264"/>
      <c r="D134" s="264"/>
      <c r="E134" s="264"/>
      <c r="F134" s="264"/>
      <c r="G134" s="264"/>
      <c r="H134" s="264"/>
      <c r="I134" s="264"/>
      <c r="J134" s="264"/>
      <c r="K134" s="264"/>
      <c r="L134" s="244"/>
      <c r="M134" s="244"/>
    </row>
    <row r="135" spans="1:66" s="347" customFormat="1" ht="33.75" customHeight="1" x14ac:dyDescent="0.25">
      <c r="A135" s="433" t="s">
        <v>1038</v>
      </c>
      <c r="B135" s="1227" t="s">
        <v>905</v>
      </c>
      <c r="C135" s="42"/>
      <c r="D135" s="42"/>
      <c r="E135" s="1163"/>
      <c r="F135" s="42"/>
      <c r="G135" s="42"/>
      <c r="H135" s="1163"/>
      <c r="I135" s="1163"/>
      <c r="J135" s="1163"/>
      <c r="K135" s="42"/>
      <c r="L135" s="42"/>
      <c r="M135" s="1163"/>
      <c r="N135" s="1163"/>
      <c r="O135" s="1163"/>
      <c r="P135" s="42"/>
      <c r="Q135" s="42"/>
      <c r="R135" s="42"/>
      <c r="S135" s="42"/>
      <c r="T135" s="42"/>
      <c r="U135" s="42"/>
      <c r="V135" s="42"/>
      <c r="W135" s="42"/>
      <c r="X135" s="42"/>
      <c r="Y135" s="42"/>
      <c r="Z135" s="42"/>
      <c r="AA135" s="42"/>
      <c r="AB135" s="42"/>
      <c r="AC135" s="42"/>
      <c r="AD135" s="42"/>
      <c r="AE135" s="42"/>
      <c r="AF135" s="42"/>
      <c r="AG135" s="42"/>
      <c r="AH135" s="42"/>
      <c r="AI135" s="42"/>
      <c r="AJ135" s="42"/>
      <c r="AK135" s="42"/>
      <c r="AL135" s="42"/>
      <c r="AM135" s="42"/>
      <c r="AN135" s="42"/>
      <c r="AO135" s="42"/>
      <c r="AP135" s="42"/>
      <c r="AQ135" s="42"/>
      <c r="AR135" s="42"/>
      <c r="AS135" s="42"/>
      <c r="AT135" s="42"/>
      <c r="AU135" s="42"/>
      <c r="AV135" s="42"/>
      <c r="AW135" s="42"/>
      <c r="AX135" s="42"/>
      <c r="AY135" s="42"/>
      <c r="AZ135" s="42"/>
      <c r="BA135" s="42"/>
      <c r="BB135" s="42"/>
      <c r="BC135" s="42"/>
      <c r="BD135" s="33"/>
      <c r="BE135" s="42"/>
      <c r="BF135" s="42"/>
      <c r="BG135" s="42"/>
      <c r="BH135" s="42"/>
      <c r="BI135" s="42"/>
    </row>
    <row r="136" spans="1:66" ht="21" customHeight="1" x14ac:dyDescent="0.25">
      <c r="A136" s="433" t="s">
        <v>1038</v>
      </c>
      <c r="B136" s="647" t="s">
        <v>2410</v>
      </c>
      <c r="C136" s="647"/>
      <c r="D136" s="647"/>
      <c r="E136" s="647"/>
      <c r="F136" s="647"/>
      <c r="G136" s="647"/>
      <c r="H136" s="647"/>
      <c r="I136" s="647"/>
      <c r="J136" s="647"/>
      <c r="K136" s="647"/>
      <c r="L136" s="647"/>
      <c r="M136" s="583"/>
    </row>
    <row r="137" spans="1:66" ht="59.25" customHeight="1" x14ac:dyDescent="0.25">
      <c r="A137" s="433" t="s">
        <v>1038</v>
      </c>
      <c r="B137" s="3201" t="s">
        <v>2930</v>
      </c>
      <c r="C137" s="3201"/>
      <c r="D137" s="3201"/>
      <c r="E137" s="3201"/>
      <c r="F137" s="3201"/>
      <c r="G137" s="3201"/>
      <c r="H137" s="3201"/>
      <c r="I137" s="3201"/>
      <c r="J137" s="3201"/>
      <c r="K137" s="3201"/>
      <c r="L137" s="3201"/>
      <c r="M137" s="3201"/>
    </row>
    <row r="138" spans="1:66" ht="32.25" customHeight="1" x14ac:dyDescent="0.25">
      <c r="A138" s="433" t="s">
        <v>1038</v>
      </c>
      <c r="B138" s="3201" t="s">
        <v>950</v>
      </c>
      <c r="C138" s="3201"/>
      <c r="D138" s="3201"/>
      <c r="E138" s="3201"/>
      <c r="F138" s="3201"/>
      <c r="G138" s="3201"/>
      <c r="H138" s="3201"/>
      <c r="I138" s="3201"/>
      <c r="J138" s="3201"/>
      <c r="K138" s="3201"/>
      <c r="L138" s="3201"/>
      <c r="M138" s="3201"/>
    </row>
    <row r="139" spans="1:66" ht="33" customHeight="1" x14ac:dyDescent="0.25">
      <c r="A139" s="433" t="s">
        <v>1038</v>
      </c>
      <c r="B139" s="3201" t="s">
        <v>939</v>
      </c>
      <c r="C139" s="3201"/>
      <c r="D139" s="3201"/>
      <c r="E139" s="3201"/>
      <c r="F139" s="3201"/>
      <c r="G139" s="3201"/>
      <c r="H139" s="3201"/>
      <c r="I139" s="3201"/>
      <c r="J139" s="3201"/>
      <c r="K139" s="3201"/>
      <c r="L139" s="3201"/>
      <c r="M139" s="3201"/>
    </row>
    <row r="140" spans="1:66" ht="33" customHeight="1" x14ac:dyDescent="0.25">
      <c r="A140" s="433" t="s">
        <v>1038</v>
      </c>
      <c r="B140" s="3201" t="s">
        <v>953</v>
      </c>
      <c r="C140" s="3201"/>
      <c r="D140" s="3201"/>
      <c r="E140" s="3201"/>
      <c r="F140" s="3201"/>
      <c r="G140" s="3201"/>
      <c r="H140" s="3201"/>
      <c r="I140" s="3201"/>
      <c r="J140" s="3201"/>
      <c r="K140" s="3201"/>
      <c r="L140" s="3201"/>
      <c r="M140" s="3201"/>
    </row>
    <row r="141" spans="1:66" ht="33" customHeight="1" x14ac:dyDescent="0.25">
      <c r="A141" s="433" t="s">
        <v>1038</v>
      </c>
      <c r="B141" s="3201" t="s">
        <v>940</v>
      </c>
      <c r="C141" s="3220"/>
      <c r="D141" s="3220"/>
      <c r="E141" s="3220"/>
      <c r="F141" s="3220"/>
      <c r="G141" s="3220"/>
      <c r="H141" s="3220"/>
      <c r="I141" s="3220"/>
      <c r="J141" s="3220"/>
      <c r="K141" s="3220"/>
      <c r="L141" s="3220"/>
      <c r="M141" s="3220"/>
    </row>
    <row r="142" spans="1:66" ht="59.55" customHeight="1" x14ac:dyDescent="0.25">
      <c r="A142" s="433" t="s">
        <v>1038</v>
      </c>
      <c r="B142" s="3201" t="s">
        <v>1034</v>
      </c>
      <c r="C142" s="3220"/>
      <c r="D142" s="3220"/>
      <c r="E142" s="3220"/>
      <c r="F142" s="3220"/>
      <c r="G142" s="3220"/>
      <c r="H142" s="3220"/>
      <c r="I142" s="3220"/>
      <c r="J142" s="3220"/>
      <c r="K142" s="3220"/>
      <c r="L142" s="3220"/>
      <c r="M142" s="3220"/>
    </row>
    <row r="143" spans="1:66" ht="15" customHeight="1" thickBot="1" x14ac:dyDescent="0.3">
      <c r="A143" s="433" t="s">
        <v>1038</v>
      </c>
      <c r="B143" s="261"/>
      <c r="C143" s="281"/>
      <c r="D143" s="281"/>
      <c r="E143" s="281"/>
      <c r="F143" s="281"/>
      <c r="G143" s="281"/>
      <c r="H143" s="281"/>
      <c r="I143" s="281"/>
      <c r="J143" s="281"/>
      <c r="K143" s="281"/>
      <c r="L143" s="281"/>
      <c r="M143" s="281"/>
      <c r="BG143" s="3229" t="s">
        <v>2058</v>
      </c>
      <c r="BH143" s="3229"/>
      <c r="BI143" s="3229"/>
      <c r="BJ143" s="3229"/>
    </row>
    <row r="144" spans="1:66" s="1235" customFormat="1" ht="76.2" customHeight="1" thickBot="1" x14ac:dyDescent="0.3">
      <c r="A144" s="2165" t="s">
        <v>1038</v>
      </c>
      <c r="B144" s="3859" t="s">
        <v>367</v>
      </c>
      <c r="C144" s="3859"/>
      <c r="D144" s="2166" t="s">
        <v>366</v>
      </c>
      <c r="E144" s="2043" t="s">
        <v>354</v>
      </c>
      <c r="F144" s="2043" t="s">
        <v>1010</v>
      </c>
      <c r="G144" s="2167" t="s">
        <v>373</v>
      </c>
      <c r="H144" s="2167" t="s">
        <v>372</v>
      </c>
      <c r="I144" s="2167" t="s">
        <v>371</v>
      </c>
      <c r="J144" s="2167" t="s">
        <v>370</v>
      </c>
      <c r="K144" s="3859" t="s">
        <v>393</v>
      </c>
      <c r="L144" s="3358"/>
      <c r="M144" s="3881"/>
      <c r="V144" s="1235" t="s">
        <v>2225</v>
      </c>
      <c r="AA144" s="2043" t="s">
        <v>3076</v>
      </c>
      <c r="AB144" s="2043" t="s">
        <v>3077</v>
      </c>
      <c r="AC144" s="2043" t="s">
        <v>3078</v>
      </c>
      <c r="AD144" s="2043" t="s">
        <v>3079</v>
      </c>
      <c r="AE144" s="2173"/>
      <c r="AF144" s="2393" t="s">
        <v>3251</v>
      </c>
      <c r="AG144" s="2394" t="s">
        <v>3252</v>
      </c>
      <c r="AH144" s="2395" t="s">
        <v>3253</v>
      </c>
      <c r="AJ144" s="2393" t="s">
        <v>3192</v>
      </c>
      <c r="AK144" s="2394" t="s">
        <v>3194</v>
      </c>
      <c r="AL144" s="2394" t="s">
        <v>3193</v>
      </c>
      <c r="AM144" s="2395" t="s">
        <v>3195</v>
      </c>
      <c r="AO144" s="2393" t="s">
        <v>3196</v>
      </c>
      <c r="AP144" s="2394" t="s">
        <v>3198</v>
      </c>
      <c r="AQ144" s="2394" t="s">
        <v>3199</v>
      </c>
      <c r="AR144" s="2395" t="s">
        <v>3200</v>
      </c>
      <c r="AT144" s="2393" t="s">
        <v>3197</v>
      </c>
      <c r="AU144" s="2394" t="s">
        <v>3201</v>
      </c>
      <c r="AV144" s="2394" t="s">
        <v>3202</v>
      </c>
      <c r="AW144" s="2395" t="s">
        <v>3203</v>
      </c>
      <c r="BD144" s="1358" t="s">
        <v>1635</v>
      </c>
      <c r="BH144" s="1358" t="s">
        <v>1635</v>
      </c>
      <c r="BK144" s="2168" t="s">
        <v>2059</v>
      </c>
      <c r="BL144" s="2169" t="s">
        <v>2060</v>
      </c>
      <c r="BM144" s="2169" t="s">
        <v>2061</v>
      </c>
      <c r="BN144" s="2169" t="s">
        <v>2062</v>
      </c>
    </row>
    <row r="145" spans="1:66" s="1286" customFormat="1" ht="18.75" hidden="1" customHeight="1" thickBot="1" x14ac:dyDescent="0.3">
      <c r="A145" s="433" t="s">
        <v>1038</v>
      </c>
      <c r="B145" s="1452" t="s">
        <v>1422</v>
      </c>
      <c r="C145" s="1452"/>
      <c r="D145" s="1446" t="s">
        <v>1423</v>
      </c>
      <c r="E145" s="1452" t="s">
        <v>1396</v>
      </c>
      <c r="F145" s="1452" t="s">
        <v>1424</v>
      </c>
      <c r="G145" s="1452" t="s">
        <v>1425</v>
      </c>
      <c r="H145" s="1452" t="s">
        <v>1426</v>
      </c>
      <c r="I145" s="1452" t="s">
        <v>1427</v>
      </c>
      <c r="J145" s="1452" t="s">
        <v>1428</v>
      </c>
      <c r="K145" s="1452" t="s">
        <v>1429</v>
      </c>
      <c r="L145" s="1453"/>
      <c r="M145" s="1530"/>
      <c r="Q145" s="235"/>
      <c r="R145" s="1287" t="s">
        <v>1407</v>
      </c>
      <c r="S145" s="1287" t="s">
        <v>1408</v>
      </c>
      <c r="T145" s="1287" t="s">
        <v>1113</v>
      </c>
      <c r="AE145" s="235"/>
      <c r="AF145" s="2487"/>
      <c r="AH145" s="2488"/>
      <c r="AI145" s="235"/>
      <c r="BD145" s="2860"/>
      <c r="BE145" s="235"/>
      <c r="BF145" s="235"/>
      <c r="BH145" s="2158"/>
      <c r="BK145" s="1285"/>
    </row>
    <row r="146" spans="1:66" ht="15.75" customHeight="1" x14ac:dyDescent="0.25">
      <c r="A146" s="409" t="s">
        <v>1038</v>
      </c>
      <c r="B146" s="3854" t="s">
        <v>392</v>
      </c>
      <c r="C146" s="3902"/>
      <c r="D146" s="3856"/>
      <c r="E146" s="3858" t="s">
        <v>374</v>
      </c>
      <c r="F146" s="1299" t="str">
        <f>IFERROR(IF(ISBLANK(E146),"","Consumption (" &amp; VLOOKUP($E146,PO_Enrgy_1_Table,MATCH($C$16,PO_Enrgy_1_Hdr,0),FALSE) &amp; ")"),"")</f>
        <v/>
      </c>
      <c r="G146" s="1300"/>
      <c r="H146" s="1300"/>
      <c r="I146" s="1300"/>
      <c r="J146" s="1300"/>
      <c r="K146" s="3845" t="str">
        <f t="shared" ref="K146:K203" si="68">IFERROR(AVERAGEIF(G146:J146,"&lt;&gt;0"),"")</f>
        <v/>
      </c>
      <c r="L146" s="3845"/>
      <c r="M146" s="3845"/>
      <c r="R146" s="627" t="str">
        <f>IFERROR(IF(ISBLANK($E146),"",VLOOKUP($E146,PO_Enrgy_1_Table,MATCH($K$16,PO_Enrgy_1_Hdr,0),FALSE)),"")</f>
        <v/>
      </c>
      <c r="S146" s="627" t="str">
        <f>IFERROR(IF(ISBLANK($E146),"",VLOOKUP($E146,PO_Enrgy_1_Table,MATCH($M$16,PO_Enrgy_1_Hdr,0),FALSE)),"")</f>
        <v/>
      </c>
      <c r="T146" s="627" t="str">
        <f>IFERROR(IF(FIND("Consumption",F146),(K146*VLOOKUP(MID(F146,FIND("(",F146)+1,LEN(F146)-FIND("(",F146)-1),EnergyUnitsTable,3,FALSE))/(K147*VLOOKUP(MID(F147,FIND("(",F147)+1,LEN(F147)-FIND("(",F147)-1),DemandTable,3,FALSE)),1),"")</f>
        <v/>
      </c>
      <c r="V146" s="3159">
        <f>IF(D146="x",K146,0)</f>
        <v>0</v>
      </c>
      <c r="W146" s="3954" t="str">
        <f>IF(E146="Electricity","kWh",IF(E146="Natural Gas","THERM",IF(E146="District Cooling","MWh","")))</f>
        <v>kWh</v>
      </c>
      <c r="Y146" s="3846" t="b">
        <f>IF(D146="x",FALSE,TRUE)</f>
        <v>1</v>
      </c>
      <c r="AA146" s="1300" t="str">
        <f t="shared" ref="AA146:AA177" ca="1" si="69">IFERROR(IF(SimTool="eQUEST",INDIRECT("'Results from eQuest'!"&amp;$BK146&amp;"8"),IF(SimTool="Trace",INDIRECT("'Results from Trace'!C"&amp;$BN146)/$R146,"")),"")</f>
        <v/>
      </c>
      <c r="AB146" s="1300" t="str">
        <f t="shared" ref="AB146:AB177" ca="1" si="70">IFERROR(IF(SimTool="eQUEST",INDIRECT("'Results from eQuest'!"&amp;$BK146&amp;"9"),IF(SimTool="Trace",INDIRECT("'Results from Trace'!D"&amp;$BN146)/$R146,"")),"")</f>
        <v/>
      </c>
      <c r="AC146" s="1300" t="str">
        <f t="shared" ref="AC146:AC177" ca="1" si="71">IFERROR(IF(SimTool="eQUEST",INDIRECT("'Results from eQuest'!"&amp;$BK146&amp;"10"),IF(SimTool="Trace",INDIRECT("'Results from Trace'!E"&amp;$BN146)/$R146,"")),"")</f>
        <v/>
      </c>
      <c r="AD146" s="1300" t="str">
        <f t="shared" ref="AD146:AD177" ca="1" si="72">IFERROR(IF(SimTool="eQUEST",INDIRECT("'Results from eQuest'!"&amp;$BK146&amp;"11"),IF(SimTool="Trace",INDIRECT("'Results from Trace'!F"&amp;$BN146)/$R146,"")),"")</f>
        <v/>
      </c>
      <c r="AE146" s="2486"/>
      <c r="AF146" s="2385" t="str">
        <f>K146</f>
        <v/>
      </c>
      <c r="AG146" s="2386" t="str">
        <f>IF(D146="x",AF146,"0")</f>
        <v>0</v>
      </c>
      <c r="AH146" s="2387">
        <f>IFERROR(AF146-AG146,0)</f>
        <v>0</v>
      </c>
      <c r="AJ146" s="2396" t="str">
        <f t="shared" ref="AJ146:AJ177" si="73">IFERROR(VLOOKUP(E146,PO_virtual_rate_table,MATCH($E$310,PO_virtual_rate_hdr,0),0),"")</f>
        <v/>
      </c>
      <c r="AK146" s="2386" t="str">
        <f t="shared" ref="AK146:AK177" si="74">IFERROR(AJ146*K146,"")</f>
        <v/>
      </c>
      <c r="AL146" s="2386" t="str">
        <f t="shared" ref="AL146:AL177" si="75">IF(D146="x",AK146,"0")</f>
        <v>0</v>
      </c>
      <c r="AM146" s="2387">
        <f>IFERROR(AK146-AL146,0)</f>
        <v>0</v>
      </c>
      <c r="AO146" s="2396" t="str">
        <f t="shared" ref="AO146:AO177" si="76">IFERROR(VLOOKUP(E146,PO_Enrgy_1_Table,MATCH($M$16,PO_Enrgy_1_Hdr,0),0),"")</f>
        <v/>
      </c>
      <c r="AP146" s="2386" t="str">
        <f t="shared" ref="AP146:AP177" si="77">IFERROR(AO146*K146,"")</f>
        <v/>
      </c>
      <c r="AQ146" s="2386" t="str">
        <f t="shared" ref="AQ146:AQ177" si="78">IF(D146="x",AP146,"0")</f>
        <v>0</v>
      </c>
      <c r="AR146" s="2387">
        <f>IFERROR(AP146-AQ146,0)</f>
        <v>0</v>
      </c>
      <c r="AT146" s="2385" t="str">
        <f t="shared" ref="AT146:AT177" si="79">IFERROR(VLOOKUP(E146,PO_Enrgy_1_Table,MATCH($T$16,PO_Enrgy_1_Hdr,0),0),"")</f>
        <v/>
      </c>
      <c r="AU146" s="2386" t="str">
        <f t="shared" ref="AU146:AU177" si="80">IFERROR(AT146*K146,"")</f>
        <v/>
      </c>
      <c r="AV146" s="2386" t="str">
        <f t="shared" ref="AV146:AV177" si="81">IF(D146="x",AU146,"0")</f>
        <v>0</v>
      </c>
      <c r="AW146" s="2387">
        <f>IFERROR(AU146-AV146,0)</f>
        <v>0</v>
      </c>
      <c r="BD146" s="2154"/>
      <c r="BH146" s="2154"/>
      <c r="BK146" s="1785" t="s">
        <v>2063</v>
      </c>
      <c r="BL146" s="983" t="s">
        <v>1974</v>
      </c>
      <c r="BM146" s="983" t="s">
        <v>374</v>
      </c>
      <c r="BN146" s="983">
        <f>IF(BL146&lt;&gt;"",IFERROR(MATCH(BL146&amp;BM146,'Results from Trace'!$L$1:$L$21,0),""),"")</f>
        <v>7</v>
      </c>
    </row>
    <row r="147" spans="1:66" ht="16.2" customHeight="1" x14ac:dyDescent="0.25">
      <c r="A147" s="409" t="s">
        <v>1038</v>
      </c>
      <c r="B147" s="3902"/>
      <c r="C147" s="3902"/>
      <c r="D147" s="3857"/>
      <c r="E147" s="3858"/>
      <c r="F147" s="1299" t="str">
        <f>IFERROR(IF(ISBLANK(E146),"","Demand (" &amp; VLOOKUP($E146,PO_Enrgy_1_Table,MATCH($E$16,PO_Enrgy_1_Hdr,0),FALSE) &amp; ")"),"")</f>
        <v/>
      </c>
      <c r="G147" s="1300"/>
      <c r="H147" s="1300"/>
      <c r="I147" s="1300"/>
      <c r="J147" s="1300"/>
      <c r="K147" s="3845" t="str">
        <f t="shared" si="68"/>
        <v/>
      </c>
      <c r="L147" s="3845"/>
      <c r="M147" s="3845"/>
      <c r="R147" s="627" t="str">
        <f t="shared" ref="R147:R203" si="82">IFERROR(IF(ISBLANK($E147),"",VLOOKUP($E147,PO_Enrgy_1_Table,MATCH($K$16,PO_Enrgy_1_Hdr,0),FALSE)),"")</f>
        <v/>
      </c>
      <c r="S147" s="627" t="str">
        <f t="shared" ref="S147:S203" si="83">IFERROR(IF(ISBLANK($E147),"",VLOOKUP($E147,PO_Enrgy_1_Table,MATCH($M$16,PO_Enrgy_1_Hdr,0),FALSE)),"")</f>
        <v/>
      </c>
      <c r="T147" s="627" t="str">
        <f>IFERROR(IF(FIND("Consumption",F147),(K147*VLOOKUP(MID(F147,FIND("(",F147)+1,LEN(F147)-FIND("(",F147)-1),EnergyUnitsTable,3,FALSE))/(K152*VLOOKUP(MID(F152,FIND("(",F152)+1,LEN(F152)-FIND("(",F152)-1),DemandTable,3,FALSE)),1),"")</f>
        <v/>
      </c>
      <c r="V147" s="3159"/>
      <c r="W147" s="3954"/>
      <c r="Y147" s="3846"/>
      <c r="AA147" s="1300" t="str">
        <f t="shared" ca="1" si="69"/>
        <v/>
      </c>
      <c r="AB147" s="1300" t="str">
        <f t="shared" ca="1" si="70"/>
        <v/>
      </c>
      <c r="AC147" s="1300" t="str">
        <f t="shared" ca="1" si="71"/>
        <v/>
      </c>
      <c r="AD147" s="1300" t="str">
        <f t="shared" ca="1" si="72"/>
        <v/>
      </c>
      <c r="AE147" s="2486"/>
      <c r="AF147" s="2388" t="str">
        <f t="shared" ref="AF147:AF203" si="84">K147</f>
        <v/>
      </c>
      <c r="AG147" s="1300" t="str">
        <f t="shared" ref="AG147:AG203" si="85">IF(D147="x",AF147,"0")</f>
        <v>0</v>
      </c>
      <c r="AH147" s="2389">
        <f t="shared" ref="AH147:AH204" si="86">IFERROR(AF147-AG147,0)</f>
        <v>0</v>
      </c>
      <c r="AJ147" s="2397" t="str">
        <f t="shared" si="73"/>
        <v/>
      </c>
      <c r="AK147" s="1300" t="str">
        <f t="shared" si="74"/>
        <v/>
      </c>
      <c r="AL147" s="1300" t="str">
        <f t="shared" si="75"/>
        <v>0</v>
      </c>
      <c r="AM147" s="2389">
        <f t="shared" ref="AM147:AM204" si="87">IFERROR(AK147-AL147,0)</f>
        <v>0</v>
      </c>
      <c r="AO147" s="2397" t="str">
        <f t="shared" si="76"/>
        <v/>
      </c>
      <c r="AP147" s="1300" t="str">
        <f t="shared" si="77"/>
        <v/>
      </c>
      <c r="AQ147" s="1300" t="str">
        <f t="shared" si="78"/>
        <v>0</v>
      </c>
      <c r="AR147" s="2389">
        <f t="shared" ref="AR147:AR204" si="88">IFERROR(AP147-AQ147,0)</f>
        <v>0</v>
      </c>
      <c r="AT147" s="2388" t="str">
        <f t="shared" si="79"/>
        <v/>
      </c>
      <c r="AU147" s="1300" t="str">
        <f t="shared" si="80"/>
        <v/>
      </c>
      <c r="AV147" s="1300" t="str">
        <f t="shared" si="81"/>
        <v>0</v>
      </c>
      <c r="AW147" s="2389">
        <f t="shared" ref="AW147:AW203" si="89">IFERROR(AU147-AV147,0)</f>
        <v>0</v>
      </c>
      <c r="BD147" s="2154"/>
      <c r="BH147" s="2154"/>
      <c r="BK147" s="1785" t="s">
        <v>1029</v>
      </c>
      <c r="BL147" s="983"/>
      <c r="BM147" s="983"/>
      <c r="BN147" s="983"/>
    </row>
    <row r="148" spans="1:66" ht="18.75" customHeight="1" x14ac:dyDescent="0.25">
      <c r="A148" s="409" t="s">
        <v>1038</v>
      </c>
      <c r="B148" s="3854" t="s">
        <v>2363</v>
      </c>
      <c r="C148" s="3854"/>
      <c r="D148" s="3856"/>
      <c r="E148" s="3858" t="s">
        <v>374</v>
      </c>
      <c r="F148" s="1299" t="str">
        <f>IFERROR(IF(ISBLANK(E148),"","Consumption (" &amp; VLOOKUP($E148,PO_Enrgy_1_Table,MATCH($C$16,PO_Enrgy_1_Hdr,0),FALSE) &amp; ")"),"")</f>
        <v/>
      </c>
      <c r="G148" s="1300"/>
      <c r="H148" s="1300"/>
      <c r="I148" s="1300"/>
      <c r="J148" s="1300"/>
      <c r="K148" s="3845" t="str">
        <f>IFERROR(AVERAGEIF(G148:J148,"&lt;&gt;0"),"")</f>
        <v/>
      </c>
      <c r="L148" s="3845"/>
      <c r="M148" s="3845"/>
      <c r="R148" s="627" t="str">
        <f>IFERROR(IF(ISBLANK($E148),"",VLOOKUP($E148,PO_Enrgy_1_Table,MATCH($K$16,PO_Enrgy_1_Hdr,0),FALSE)),"")</f>
        <v/>
      </c>
      <c r="S148" s="627" t="str">
        <f>IFERROR(IF(ISBLANK($E148),"",VLOOKUP($E148,PO_Enrgy_1_Table,MATCH($M$16,PO_Enrgy_1_Hdr,0),FALSE)),"")</f>
        <v/>
      </c>
      <c r="T148" s="627" t="str">
        <f>IFERROR(IF(FIND("Consumption",F148),(K148*VLOOKUP(MID(F148,FIND("(",F148)+1,LEN(F148)-FIND("(",F148)-1),EnergyUnitsTable,3,FALSE))/(K149*VLOOKUP(MID(F149,FIND("(",F149)+1,LEN(F149)-FIND("(",F149)-1),DemandTable,3,FALSE)),1),"")</f>
        <v/>
      </c>
      <c r="V148" s="3159">
        <f>IF(D148="x",K148,0)</f>
        <v>0</v>
      </c>
      <c r="W148" s="3954" t="str">
        <f>IF(E148="Electricity","kWh",IF(E148="Natural Gas","THERM",IF(E148="District Cooling","MWh","")))</f>
        <v>kWh</v>
      </c>
      <c r="Y148" s="3846" t="b">
        <f>IF(D148="x",FALSE,TRUE)</f>
        <v>1</v>
      </c>
      <c r="AA148" s="1300" t="str">
        <f t="shared" ca="1" si="69"/>
        <v/>
      </c>
      <c r="AB148" s="1300" t="str">
        <f t="shared" ca="1" si="70"/>
        <v/>
      </c>
      <c r="AC148" s="1300" t="str">
        <f t="shared" ca="1" si="71"/>
        <v/>
      </c>
      <c r="AD148" s="1300" t="str">
        <f t="shared" ca="1" si="72"/>
        <v/>
      </c>
      <c r="AE148" s="2486"/>
      <c r="AF148" s="2388" t="str">
        <f t="shared" si="84"/>
        <v/>
      </c>
      <c r="AG148" s="1300" t="str">
        <f t="shared" si="85"/>
        <v>0</v>
      </c>
      <c r="AH148" s="2389">
        <f t="shared" si="86"/>
        <v>0</v>
      </c>
      <c r="AJ148" s="2397" t="str">
        <f t="shared" si="73"/>
        <v/>
      </c>
      <c r="AK148" s="1300" t="str">
        <f t="shared" si="74"/>
        <v/>
      </c>
      <c r="AL148" s="1300" t="str">
        <f t="shared" si="75"/>
        <v>0</v>
      </c>
      <c r="AM148" s="2389">
        <f t="shared" si="87"/>
        <v>0</v>
      </c>
      <c r="AO148" s="2397" t="str">
        <f t="shared" si="76"/>
        <v/>
      </c>
      <c r="AP148" s="1300" t="str">
        <f t="shared" si="77"/>
        <v/>
      </c>
      <c r="AQ148" s="1300" t="str">
        <f t="shared" si="78"/>
        <v>0</v>
      </c>
      <c r="AR148" s="2389">
        <f t="shared" si="88"/>
        <v>0</v>
      </c>
      <c r="AT148" s="2388" t="str">
        <f t="shared" si="79"/>
        <v/>
      </c>
      <c r="AU148" s="1300" t="str">
        <f t="shared" si="80"/>
        <v/>
      </c>
      <c r="AV148" s="1300" t="str">
        <f t="shared" si="81"/>
        <v>0</v>
      </c>
      <c r="AW148" s="2389">
        <f t="shared" si="89"/>
        <v>0</v>
      </c>
      <c r="BD148" s="2154"/>
      <c r="BH148" s="2154"/>
      <c r="BK148" s="1785" t="s">
        <v>2364</v>
      </c>
      <c r="BL148" s="983" t="s">
        <v>1981</v>
      </c>
      <c r="BM148" s="983" t="s">
        <v>374</v>
      </c>
      <c r="BN148" s="983"/>
    </row>
    <row r="149" spans="1:66" ht="18.75" customHeight="1" x14ac:dyDescent="0.25">
      <c r="A149" s="409" t="s">
        <v>1038</v>
      </c>
      <c r="B149" s="3854"/>
      <c r="C149" s="3854"/>
      <c r="D149" s="3857"/>
      <c r="E149" s="3858"/>
      <c r="F149" s="1299" t="str">
        <f>IFERROR(IF(ISBLANK(E148),"","Demand (" &amp; VLOOKUP($E148,PO_Enrgy_1_Table,MATCH($E$16,PO_Enrgy_1_Hdr,0),FALSE) &amp; ")"),"")</f>
        <v/>
      </c>
      <c r="G149" s="1300"/>
      <c r="H149" s="1300"/>
      <c r="I149" s="1300"/>
      <c r="J149" s="1300"/>
      <c r="K149" s="3845" t="str">
        <f>IFERROR(AVERAGEIF(G149:J149,"&lt;&gt;0"),"")</f>
        <v/>
      </c>
      <c r="L149" s="3845"/>
      <c r="M149" s="3845"/>
      <c r="R149" s="627" t="str">
        <f t="shared" si="82"/>
        <v/>
      </c>
      <c r="S149" s="627" t="str">
        <f t="shared" si="83"/>
        <v/>
      </c>
      <c r="T149" s="627" t="str">
        <f t="shared" ref="T149" si="90">IFERROR(IF(FIND("Consumption",F149),(K149*VLOOKUP(MID(F149,FIND("(",F149)+1,LEN(F149)-FIND("(",F149)-1),EnergyUnitsTable,3,FALSE))/(K152*VLOOKUP(MID(F152,FIND("(",F152)+1,LEN(F152)-FIND("(",F152)-1),DemandTable,3,FALSE)),1),"")</f>
        <v/>
      </c>
      <c r="V149" s="3159"/>
      <c r="W149" s="3954"/>
      <c r="Y149" s="3846"/>
      <c r="AA149" s="1300" t="str">
        <f t="shared" ca="1" si="69"/>
        <v/>
      </c>
      <c r="AB149" s="1300" t="str">
        <f t="shared" ca="1" si="70"/>
        <v/>
      </c>
      <c r="AC149" s="1300" t="str">
        <f t="shared" ca="1" si="71"/>
        <v/>
      </c>
      <c r="AD149" s="1300" t="str">
        <f t="shared" ca="1" si="72"/>
        <v/>
      </c>
      <c r="AE149" s="2486"/>
      <c r="AF149" s="2388" t="str">
        <f t="shared" si="84"/>
        <v/>
      </c>
      <c r="AG149" s="1300" t="str">
        <f t="shared" si="85"/>
        <v>0</v>
      </c>
      <c r="AH149" s="2389">
        <f t="shared" si="86"/>
        <v>0</v>
      </c>
      <c r="AJ149" s="2397" t="str">
        <f t="shared" si="73"/>
        <v/>
      </c>
      <c r="AK149" s="1300" t="str">
        <f t="shared" si="74"/>
        <v/>
      </c>
      <c r="AL149" s="1300" t="str">
        <f t="shared" si="75"/>
        <v>0</v>
      </c>
      <c r="AM149" s="2389">
        <f t="shared" si="87"/>
        <v>0</v>
      </c>
      <c r="AO149" s="2397" t="str">
        <f t="shared" si="76"/>
        <v/>
      </c>
      <c r="AP149" s="1300" t="str">
        <f t="shared" si="77"/>
        <v/>
      </c>
      <c r="AQ149" s="1300" t="str">
        <f t="shared" si="78"/>
        <v>0</v>
      </c>
      <c r="AR149" s="2389">
        <f t="shared" si="88"/>
        <v>0</v>
      </c>
      <c r="AT149" s="2388" t="str">
        <f t="shared" si="79"/>
        <v/>
      </c>
      <c r="AU149" s="1300" t="str">
        <f t="shared" si="80"/>
        <v/>
      </c>
      <c r="AV149" s="1300" t="str">
        <f t="shared" si="81"/>
        <v>0</v>
      </c>
      <c r="AW149" s="2389">
        <f t="shared" si="89"/>
        <v>0</v>
      </c>
      <c r="BD149" s="2154"/>
      <c r="BH149" s="2154"/>
      <c r="BK149" s="1785" t="s">
        <v>2365</v>
      </c>
      <c r="BL149" s="983"/>
      <c r="BM149" s="983"/>
      <c r="BN149" s="983"/>
    </row>
    <row r="150" spans="1:66" ht="16.2" customHeight="1" x14ac:dyDescent="0.25">
      <c r="A150" s="433" t="s">
        <v>1038</v>
      </c>
      <c r="B150" s="3854" t="s">
        <v>380</v>
      </c>
      <c r="C150" s="3854"/>
      <c r="D150" s="3856"/>
      <c r="E150" s="3858" t="s">
        <v>374</v>
      </c>
      <c r="F150" s="1299" t="str">
        <f>IFERROR(IF(ISBLANK(E150),"","Consumption (" &amp; VLOOKUP($E150,PO_Enrgy_1_Table,MATCH($C$16,PO_Enrgy_1_Hdr,0),FALSE) &amp; ")"),"")</f>
        <v/>
      </c>
      <c r="G150" s="1300"/>
      <c r="H150" s="1300"/>
      <c r="I150" s="1300"/>
      <c r="J150" s="1300"/>
      <c r="K150" s="3845" t="str">
        <f>IFERROR(AVERAGEIF(G150:J150,"&lt;&gt;0"),"")</f>
        <v/>
      </c>
      <c r="L150" s="3845"/>
      <c r="M150" s="3845"/>
      <c r="R150" s="627" t="str">
        <f>IFERROR(IF(ISBLANK($E150),"",VLOOKUP($E150,PO_Enrgy_1_Table,MATCH($K$16,PO_Enrgy_1_Hdr,0),FALSE)),"")</f>
        <v/>
      </c>
      <c r="S150" s="627" t="str">
        <f>IFERROR(IF(ISBLANK($E150),"",VLOOKUP($E150,PO_Enrgy_1_Table,MATCH($M$16,PO_Enrgy_1_Hdr,0),FALSE)),"")</f>
        <v/>
      </c>
      <c r="T150" s="627" t="str">
        <f>IFERROR(IF(FIND("Consumption",F150),(K150*VLOOKUP(MID(F150,FIND("(",F150)+1,LEN(F150)-FIND("(",F150)-1),EnergyUnitsTable,3,FALSE))/(K151*VLOOKUP(MID(F151,FIND("(",F151)+1,LEN(F151)-FIND("(",F151)-1),DemandTable,3,FALSE)),1),"")</f>
        <v/>
      </c>
      <c r="V150" s="3159">
        <f>IF(D150="x",K150,0)</f>
        <v>0</v>
      </c>
      <c r="W150" s="3954" t="str">
        <f>IF(E150="Electricity","kWh",IF(E150="Natural Gas","THERM",IF(E150="District Cooling","MWh","")))</f>
        <v>kWh</v>
      </c>
      <c r="Y150" s="3846" t="b">
        <f>IF(D150="x",TRUE,FALSE)</f>
        <v>0</v>
      </c>
      <c r="AA150" s="1300" t="str">
        <f t="shared" ca="1" si="69"/>
        <v/>
      </c>
      <c r="AB150" s="1300" t="str">
        <f t="shared" ca="1" si="70"/>
        <v/>
      </c>
      <c r="AC150" s="1300" t="str">
        <f t="shared" ca="1" si="71"/>
        <v/>
      </c>
      <c r="AD150" s="1300" t="str">
        <f t="shared" ca="1" si="72"/>
        <v/>
      </c>
      <c r="AE150" s="2486"/>
      <c r="AF150" s="2388" t="str">
        <f t="shared" si="84"/>
        <v/>
      </c>
      <c r="AG150" s="1300" t="str">
        <f t="shared" si="85"/>
        <v>0</v>
      </c>
      <c r="AH150" s="2389">
        <f t="shared" si="86"/>
        <v>0</v>
      </c>
      <c r="AJ150" s="2397" t="str">
        <f t="shared" si="73"/>
        <v/>
      </c>
      <c r="AK150" s="1300" t="str">
        <f t="shared" si="74"/>
        <v/>
      </c>
      <c r="AL150" s="1300" t="str">
        <f t="shared" si="75"/>
        <v>0</v>
      </c>
      <c r="AM150" s="2389">
        <f t="shared" si="87"/>
        <v>0</v>
      </c>
      <c r="AO150" s="2397" t="str">
        <f t="shared" si="76"/>
        <v/>
      </c>
      <c r="AP150" s="1300" t="str">
        <f t="shared" si="77"/>
        <v/>
      </c>
      <c r="AQ150" s="1300" t="str">
        <f t="shared" si="78"/>
        <v>0</v>
      </c>
      <c r="AR150" s="2389">
        <f t="shared" si="88"/>
        <v>0</v>
      </c>
      <c r="AT150" s="2388" t="str">
        <f t="shared" si="79"/>
        <v/>
      </c>
      <c r="AU150" s="1300" t="str">
        <f t="shared" si="80"/>
        <v/>
      </c>
      <c r="AV150" s="1300" t="str">
        <f t="shared" si="81"/>
        <v>0</v>
      </c>
      <c r="AW150" s="2389">
        <f t="shared" si="89"/>
        <v>0</v>
      </c>
      <c r="BD150" s="2154"/>
      <c r="BH150" s="2154"/>
      <c r="BK150" s="1785"/>
      <c r="BL150" s="983"/>
      <c r="BM150" s="983"/>
      <c r="BN150" s="983" t="str">
        <f>IF(BL150&lt;&gt;"",IFERROR(MATCH(BL150&amp;BM150,'Results from Trace'!$L$1:$L$21,0),""),"")</f>
        <v/>
      </c>
    </row>
    <row r="151" spans="1:66" ht="16.2" customHeight="1" x14ac:dyDescent="0.25">
      <c r="A151" s="433" t="s">
        <v>1038</v>
      </c>
      <c r="B151" s="3854"/>
      <c r="C151" s="3854"/>
      <c r="D151" s="3857"/>
      <c r="E151" s="3858"/>
      <c r="F151" s="1299" t="str">
        <f>IFERROR(IF(ISBLANK(E150),"","Demand (" &amp; VLOOKUP($E150,PO_Enrgy_1_Table,MATCH($E$16,PO_Enrgy_1_Hdr,0),FALSE) &amp; ")"),"")</f>
        <v/>
      </c>
      <c r="G151" s="1300"/>
      <c r="H151" s="1300"/>
      <c r="I151" s="1300"/>
      <c r="J151" s="1300"/>
      <c r="K151" s="3845" t="str">
        <f>IFERROR(AVERAGEIF(G151:J151,"&lt;&gt;0"),"")</f>
        <v/>
      </c>
      <c r="L151" s="3845"/>
      <c r="M151" s="3845"/>
      <c r="R151" s="627" t="str">
        <f>IFERROR(IF(ISBLANK($E151),"",VLOOKUP($E151,PO_Enrgy_1_Table,MATCH($K$16,PO_Enrgy_1_Hdr,0),FALSE)),"")</f>
        <v/>
      </c>
      <c r="S151" s="627" t="str">
        <f>IFERROR(IF(ISBLANK($E151),"",VLOOKUP($E151,PO_Enrgy_1_Table,MATCH($M$16,PO_Enrgy_1_Hdr,0),FALSE)),"")</f>
        <v/>
      </c>
      <c r="T151" s="627" t="str">
        <f>IFERROR(IF(FIND("Consumption",F151),(K151*VLOOKUP(MID(F151,FIND("(",F151)+1,LEN(F151)-FIND("(",F151)-1),EnergyUnitsTable,3,FALSE))/(K190*VLOOKUP(MID(F190,FIND("(",F190)+1,LEN(F190)-FIND("(",F190)-1),DemandTable,3,FALSE)),1),"")</f>
        <v/>
      </c>
      <c r="V151" s="3159"/>
      <c r="W151" s="3954"/>
      <c r="Y151" s="3846"/>
      <c r="AA151" s="1300" t="str">
        <f t="shared" ca="1" si="69"/>
        <v/>
      </c>
      <c r="AB151" s="1300" t="str">
        <f t="shared" ca="1" si="70"/>
        <v/>
      </c>
      <c r="AC151" s="1300" t="str">
        <f t="shared" ca="1" si="71"/>
        <v/>
      </c>
      <c r="AD151" s="1300" t="str">
        <f t="shared" ca="1" si="72"/>
        <v/>
      </c>
      <c r="AE151" s="2486"/>
      <c r="AF151" s="2388" t="str">
        <f t="shared" si="84"/>
        <v/>
      </c>
      <c r="AG151" s="1300" t="str">
        <f t="shared" si="85"/>
        <v>0</v>
      </c>
      <c r="AH151" s="2389">
        <f t="shared" si="86"/>
        <v>0</v>
      </c>
      <c r="AJ151" s="2397" t="str">
        <f t="shared" si="73"/>
        <v/>
      </c>
      <c r="AK151" s="1300" t="str">
        <f t="shared" si="74"/>
        <v/>
      </c>
      <c r="AL151" s="1300" t="str">
        <f t="shared" si="75"/>
        <v>0</v>
      </c>
      <c r="AM151" s="2389">
        <f t="shared" si="87"/>
        <v>0</v>
      </c>
      <c r="AO151" s="2397" t="str">
        <f t="shared" si="76"/>
        <v/>
      </c>
      <c r="AP151" s="1300" t="str">
        <f t="shared" si="77"/>
        <v/>
      </c>
      <c r="AQ151" s="1300" t="str">
        <f t="shared" si="78"/>
        <v>0</v>
      </c>
      <c r="AR151" s="2389">
        <f t="shared" si="88"/>
        <v>0</v>
      </c>
      <c r="AT151" s="2388" t="str">
        <f t="shared" si="79"/>
        <v/>
      </c>
      <c r="AU151" s="1300" t="str">
        <f t="shared" si="80"/>
        <v/>
      </c>
      <c r="AV151" s="1300" t="str">
        <f t="shared" si="81"/>
        <v>0</v>
      </c>
      <c r="AW151" s="2389">
        <f t="shared" si="89"/>
        <v>0</v>
      </c>
      <c r="BD151" s="2154"/>
      <c r="BH151" s="2154"/>
      <c r="BK151" s="1785"/>
      <c r="BL151" s="983"/>
      <c r="BM151" s="983"/>
      <c r="BN151" s="983"/>
    </row>
    <row r="152" spans="1:66" ht="16.2" customHeight="1" x14ac:dyDescent="0.25">
      <c r="A152" s="409" t="s">
        <v>1038</v>
      </c>
      <c r="B152" s="3854" t="s">
        <v>391</v>
      </c>
      <c r="C152" s="3854"/>
      <c r="D152" s="3856"/>
      <c r="E152" s="3858" t="s">
        <v>374</v>
      </c>
      <c r="F152" s="1299" t="str">
        <f>IFERROR(IF(ISBLANK(E152),"","Consumption (" &amp; VLOOKUP($E152,PO_Enrgy_1_Table,MATCH($C$16,PO_Enrgy_1_Hdr,0),FALSE) &amp; ")"),"")</f>
        <v/>
      </c>
      <c r="G152" s="1300"/>
      <c r="H152" s="1300"/>
      <c r="I152" s="1300"/>
      <c r="J152" s="1300"/>
      <c r="K152" s="3845" t="str">
        <f>IFERROR(AVERAGEIF(G152:J152,"&lt;&gt;0"),"")</f>
        <v/>
      </c>
      <c r="L152" s="3845"/>
      <c r="M152" s="3845"/>
      <c r="R152" s="627" t="str">
        <f>IFERROR(IF(ISBLANK($E152),"",VLOOKUP($E152,PO_Enrgy_1_Table,MATCH($K$16,PO_Enrgy_1_Hdr,0),FALSE)),"")</f>
        <v/>
      </c>
      <c r="S152" s="627" t="str">
        <f>IFERROR(IF(ISBLANK($E152),"",VLOOKUP($E152,PO_Enrgy_1_Table,MATCH($M$16,PO_Enrgy_1_Hdr,0),FALSE)),"")</f>
        <v/>
      </c>
      <c r="T152" s="627" t="str">
        <f>IFERROR(IF(FIND("Consumption",F152),(K152*VLOOKUP(MID(F152,FIND("(",F152)+1,LEN(F152)-FIND("(",F152)-1),EnergyUnitsTable,3,FALSE))/(K153*VLOOKUP(MID(F153,FIND("(",F153)+1,LEN(F153)-FIND("(",F153)-1),DemandTable,3,FALSE)),1),"")</f>
        <v/>
      </c>
      <c r="V152" s="3159">
        <f>IF(D152="x",K152,0)</f>
        <v>0</v>
      </c>
      <c r="W152" s="3954" t="str">
        <f>IF(E152="Electricity","kWh",IF(E152="Natural Gas","THERM",IF(E152="District Cooling","MWh","")))</f>
        <v>kWh</v>
      </c>
      <c r="Y152" s="3846" t="b">
        <f>IF(D152="x",FALSE,TRUE)</f>
        <v>1</v>
      </c>
      <c r="AA152" s="1300" t="str">
        <f t="shared" ca="1" si="69"/>
        <v/>
      </c>
      <c r="AB152" s="1300" t="str">
        <f t="shared" ca="1" si="70"/>
        <v/>
      </c>
      <c r="AC152" s="1300" t="str">
        <f t="shared" ca="1" si="71"/>
        <v/>
      </c>
      <c r="AD152" s="1300" t="str">
        <f t="shared" ca="1" si="72"/>
        <v/>
      </c>
      <c r="AE152" s="2486"/>
      <c r="AF152" s="2388" t="str">
        <f t="shared" si="84"/>
        <v/>
      </c>
      <c r="AG152" s="1300" t="str">
        <f t="shared" si="85"/>
        <v>0</v>
      </c>
      <c r="AH152" s="2389">
        <f t="shared" si="86"/>
        <v>0</v>
      </c>
      <c r="AJ152" s="2397" t="str">
        <f t="shared" si="73"/>
        <v/>
      </c>
      <c r="AK152" s="1300" t="str">
        <f t="shared" si="74"/>
        <v/>
      </c>
      <c r="AL152" s="1300" t="str">
        <f t="shared" si="75"/>
        <v>0</v>
      </c>
      <c r="AM152" s="2389">
        <f t="shared" si="87"/>
        <v>0</v>
      </c>
      <c r="AO152" s="2397" t="str">
        <f t="shared" si="76"/>
        <v/>
      </c>
      <c r="AP152" s="1300" t="str">
        <f t="shared" si="77"/>
        <v/>
      </c>
      <c r="AQ152" s="1300" t="str">
        <f t="shared" si="78"/>
        <v>0</v>
      </c>
      <c r="AR152" s="2389">
        <f t="shared" si="88"/>
        <v>0</v>
      </c>
      <c r="AT152" s="2388" t="str">
        <f t="shared" si="79"/>
        <v/>
      </c>
      <c r="AU152" s="1300" t="str">
        <f t="shared" si="80"/>
        <v/>
      </c>
      <c r="AV152" s="1300" t="str">
        <f t="shared" si="81"/>
        <v>0</v>
      </c>
      <c r="AW152" s="2389">
        <f t="shared" si="89"/>
        <v>0</v>
      </c>
      <c r="BD152" s="2154"/>
      <c r="BH152" s="2154"/>
      <c r="BK152" s="1785" t="s">
        <v>2064</v>
      </c>
      <c r="BL152" s="983" t="s">
        <v>1981</v>
      </c>
      <c r="BM152" s="983" t="s">
        <v>374</v>
      </c>
      <c r="BN152" s="983">
        <f>IF(BL152&lt;&gt;"",IFERROR(MATCH(BL152&amp;BM152,'Results from Trace'!$L$1:$L$21,0),""),"")</f>
        <v>15</v>
      </c>
    </row>
    <row r="153" spans="1:66" ht="16.2" customHeight="1" x14ac:dyDescent="0.25">
      <c r="A153" s="409" t="s">
        <v>1038</v>
      </c>
      <c r="B153" s="3854"/>
      <c r="C153" s="3854"/>
      <c r="D153" s="3857"/>
      <c r="E153" s="3858"/>
      <c r="F153" s="1299" t="str">
        <f>IFERROR(IF(ISBLANK(E152),"","Demand (" &amp; VLOOKUP($E152,PO_Enrgy_1_Table,MATCH($E$16,PO_Enrgy_1_Hdr,0),FALSE) &amp; ")"),"")</f>
        <v/>
      </c>
      <c r="G153" s="1300"/>
      <c r="H153" s="1300"/>
      <c r="I153" s="1300"/>
      <c r="J153" s="1300"/>
      <c r="K153" s="3845" t="str">
        <f t="shared" si="68"/>
        <v/>
      </c>
      <c r="L153" s="3845"/>
      <c r="M153" s="3845"/>
      <c r="R153" s="627" t="str">
        <f t="shared" si="82"/>
        <v/>
      </c>
      <c r="S153" s="627" t="str">
        <f t="shared" si="83"/>
        <v/>
      </c>
      <c r="T153" s="627" t="str">
        <f t="shared" ref="T153:T186" si="91">IFERROR(IF(FIND("Consumption",F153),(K153*VLOOKUP(MID(F153,FIND("(",F153)+1,LEN(F153)-FIND("(",F153)-1),EnergyUnitsTable,3,FALSE))/(K154*VLOOKUP(MID(F154,FIND("(",F154)+1,LEN(F154)-FIND("(",F154)-1),DemandTable,3,FALSE)),1),"")</f>
        <v/>
      </c>
      <c r="V153" s="3159"/>
      <c r="W153" s="3954"/>
      <c r="Y153" s="3846"/>
      <c r="AA153" s="1300" t="str">
        <f t="shared" ca="1" si="69"/>
        <v/>
      </c>
      <c r="AB153" s="1300" t="str">
        <f t="shared" ca="1" si="70"/>
        <v/>
      </c>
      <c r="AC153" s="1300" t="str">
        <f t="shared" ca="1" si="71"/>
        <v/>
      </c>
      <c r="AD153" s="1300" t="str">
        <f t="shared" ca="1" si="72"/>
        <v/>
      </c>
      <c r="AE153" s="2486"/>
      <c r="AF153" s="2388" t="str">
        <f t="shared" si="84"/>
        <v/>
      </c>
      <c r="AG153" s="1300" t="str">
        <f t="shared" si="85"/>
        <v>0</v>
      </c>
      <c r="AH153" s="2389">
        <f t="shared" si="86"/>
        <v>0</v>
      </c>
      <c r="AJ153" s="2397" t="str">
        <f t="shared" si="73"/>
        <v/>
      </c>
      <c r="AK153" s="1300" t="str">
        <f t="shared" si="74"/>
        <v/>
      </c>
      <c r="AL153" s="1300" t="str">
        <f t="shared" si="75"/>
        <v>0</v>
      </c>
      <c r="AM153" s="2389">
        <f t="shared" si="87"/>
        <v>0</v>
      </c>
      <c r="AO153" s="2397" t="str">
        <f t="shared" si="76"/>
        <v/>
      </c>
      <c r="AP153" s="1300" t="str">
        <f t="shared" si="77"/>
        <v/>
      </c>
      <c r="AQ153" s="1300" t="str">
        <f t="shared" si="78"/>
        <v>0</v>
      </c>
      <c r="AR153" s="2389">
        <f t="shared" si="88"/>
        <v>0</v>
      </c>
      <c r="AT153" s="2388" t="str">
        <f t="shared" si="79"/>
        <v/>
      </c>
      <c r="AU153" s="1300" t="str">
        <f t="shared" si="80"/>
        <v/>
      </c>
      <c r="AV153" s="1300" t="str">
        <f t="shared" si="81"/>
        <v>0</v>
      </c>
      <c r="AW153" s="2389">
        <f t="shared" si="89"/>
        <v>0</v>
      </c>
      <c r="BD153" s="2154"/>
      <c r="BH153" s="2154"/>
      <c r="BK153" s="1785" t="s">
        <v>2065</v>
      </c>
      <c r="BL153" s="983"/>
      <c r="BM153" s="983"/>
      <c r="BN153" s="983"/>
    </row>
    <row r="154" spans="1:66" ht="16.2" customHeight="1" x14ac:dyDescent="0.25">
      <c r="A154" s="409" t="s">
        <v>1038</v>
      </c>
      <c r="B154" s="3854" t="s">
        <v>390</v>
      </c>
      <c r="C154" s="3854"/>
      <c r="D154" s="3856"/>
      <c r="E154" s="3858" t="s">
        <v>388</v>
      </c>
      <c r="F154" s="1299" t="str">
        <f>IFERROR(IF(ISBLANK(E154),"","Consumption (" &amp; VLOOKUP($E154,PO_Enrgy_1_Table,MATCH($C$16,PO_Enrgy_1_Hdr,0),FALSE) &amp; ")"),"")</f>
        <v/>
      </c>
      <c r="G154" s="1300"/>
      <c r="H154" s="1300"/>
      <c r="I154" s="1300"/>
      <c r="J154" s="1300"/>
      <c r="K154" s="3845" t="str">
        <f t="shared" si="68"/>
        <v/>
      </c>
      <c r="L154" s="3845"/>
      <c r="M154" s="3845"/>
      <c r="R154" s="627" t="str">
        <f t="shared" si="82"/>
        <v/>
      </c>
      <c r="S154" s="627" t="str">
        <f>IFERROR(IF(ISBLANK($E154),"",VLOOKUP($E154,PO_Enrgy_1_Table,MATCH($M$16,PO_Enrgy_1_Hdr,0),FALSE)),"")</f>
        <v/>
      </c>
      <c r="T154" s="627" t="str">
        <f>IFERROR(IF(FIND("Consumption",F154),(K154*VLOOKUP(MID(F154,FIND("(",F154)+1,LEN(F154)-FIND("(",F154)-1),EnergyUnitsTable,3,FALSE))/(K155*VLOOKUP(MID(F155,FIND("(",F155)+1,LEN(F155)-FIND("(",F155)-1),DemandTable,3,FALSE)),1),"")</f>
        <v/>
      </c>
      <c r="V154" s="3159">
        <f>IF(D154="x",K154,0)</f>
        <v>0</v>
      </c>
      <c r="W154" s="3954" t="str">
        <f>IF(E154="Electricity","kWh",IF(E154="Natural Gas","THERM",IF(E154="District Cooling","MWh","")))</f>
        <v>THERM</v>
      </c>
      <c r="Y154" s="3846" t="b">
        <f>IF(D154="x",FALSE,TRUE)</f>
        <v>1</v>
      </c>
      <c r="AA154" s="1300" t="str">
        <f t="shared" ca="1" si="69"/>
        <v/>
      </c>
      <c r="AB154" s="1300" t="str">
        <f t="shared" ca="1" si="70"/>
        <v/>
      </c>
      <c r="AC154" s="1300" t="str">
        <f t="shared" ca="1" si="71"/>
        <v/>
      </c>
      <c r="AD154" s="1300" t="str">
        <f t="shared" ca="1" si="72"/>
        <v/>
      </c>
      <c r="AE154" s="2486"/>
      <c r="AF154" s="2388" t="str">
        <f t="shared" si="84"/>
        <v/>
      </c>
      <c r="AG154" s="1300" t="str">
        <f t="shared" si="85"/>
        <v>0</v>
      </c>
      <c r="AH154" s="2389">
        <f t="shared" si="86"/>
        <v>0</v>
      </c>
      <c r="AJ154" s="2397" t="str">
        <f t="shared" si="73"/>
        <v/>
      </c>
      <c r="AK154" s="1300" t="str">
        <f t="shared" si="74"/>
        <v/>
      </c>
      <c r="AL154" s="1300" t="str">
        <f t="shared" si="75"/>
        <v>0</v>
      </c>
      <c r="AM154" s="2389">
        <f t="shared" si="87"/>
        <v>0</v>
      </c>
      <c r="AO154" s="2397" t="str">
        <f t="shared" si="76"/>
        <v/>
      </c>
      <c r="AP154" s="1300" t="str">
        <f t="shared" si="77"/>
        <v/>
      </c>
      <c r="AQ154" s="1300" t="str">
        <f t="shared" si="78"/>
        <v>0</v>
      </c>
      <c r="AR154" s="2389">
        <f t="shared" si="88"/>
        <v>0</v>
      </c>
      <c r="AT154" s="2388" t="str">
        <f t="shared" si="79"/>
        <v/>
      </c>
      <c r="AU154" s="1300" t="str">
        <f t="shared" si="80"/>
        <v/>
      </c>
      <c r="AV154" s="1300" t="str">
        <f t="shared" si="81"/>
        <v>0</v>
      </c>
      <c r="AW154" s="2389">
        <f t="shared" si="89"/>
        <v>0</v>
      </c>
      <c r="BD154" s="2154"/>
      <c r="BH154" s="2154"/>
      <c r="BK154" s="1785" t="s">
        <v>2066</v>
      </c>
      <c r="BL154" s="983" t="s">
        <v>1975</v>
      </c>
      <c r="BM154" s="983" t="s">
        <v>1976</v>
      </c>
      <c r="BN154" s="983">
        <f>IF(BL154&lt;&gt;"",IFERROR(MATCH(BL154&amp;BM154,'Results from Trace'!$L$1:$L$21,0),""),"")</f>
        <v>9</v>
      </c>
    </row>
    <row r="155" spans="1:66" ht="16.2" customHeight="1" x14ac:dyDescent="0.25">
      <c r="A155" s="409" t="s">
        <v>1038</v>
      </c>
      <c r="B155" s="3854"/>
      <c r="C155" s="3854"/>
      <c r="D155" s="3857"/>
      <c r="E155" s="3858"/>
      <c r="F155" s="1299" t="str">
        <f>IFERROR(IF(ISBLANK(E154),"","Demand (" &amp; VLOOKUP($E154,PO_Enrgy_1_Table,MATCH($E$16,PO_Enrgy_1_Hdr,0),FALSE) &amp; ")"),"")</f>
        <v/>
      </c>
      <c r="G155" s="1300"/>
      <c r="H155" s="1300"/>
      <c r="I155" s="1300"/>
      <c r="J155" s="1300"/>
      <c r="K155" s="3845" t="str">
        <f t="shared" si="68"/>
        <v/>
      </c>
      <c r="L155" s="3845"/>
      <c r="M155" s="3845"/>
      <c r="R155" s="627" t="str">
        <f t="shared" si="82"/>
        <v/>
      </c>
      <c r="S155" s="627" t="str">
        <f t="shared" si="83"/>
        <v/>
      </c>
      <c r="T155" s="627" t="str">
        <f>IFERROR(IF(FIND("Consumption",F155),(K155*VLOOKUP(MID(F155,FIND("(",F155)+1,LEN(F155)-FIND("(",F155)-1),EnergyUnitsTable,3,FALSE))/(K160*VLOOKUP(MID(F160,FIND("(",F160)+1,LEN(F160)-FIND("(",F160)-1),DemandTable,3,FALSE)),1),"")</f>
        <v/>
      </c>
      <c r="V155" s="3159"/>
      <c r="W155" s="3954"/>
      <c r="Y155" s="3846"/>
      <c r="AA155" s="1300" t="str">
        <f t="shared" ca="1" si="69"/>
        <v/>
      </c>
      <c r="AB155" s="1300" t="str">
        <f t="shared" ca="1" si="70"/>
        <v/>
      </c>
      <c r="AC155" s="1300" t="str">
        <f t="shared" ca="1" si="71"/>
        <v/>
      </c>
      <c r="AD155" s="1300" t="str">
        <f t="shared" ca="1" si="72"/>
        <v/>
      </c>
      <c r="AE155" s="2486"/>
      <c r="AF155" s="2388" t="str">
        <f t="shared" si="84"/>
        <v/>
      </c>
      <c r="AG155" s="1300" t="str">
        <f t="shared" si="85"/>
        <v>0</v>
      </c>
      <c r="AH155" s="2389">
        <f t="shared" si="86"/>
        <v>0</v>
      </c>
      <c r="AJ155" s="2397" t="str">
        <f t="shared" si="73"/>
        <v/>
      </c>
      <c r="AK155" s="1300" t="str">
        <f t="shared" si="74"/>
        <v/>
      </c>
      <c r="AL155" s="1300" t="str">
        <f t="shared" si="75"/>
        <v>0</v>
      </c>
      <c r="AM155" s="2389">
        <f t="shared" si="87"/>
        <v>0</v>
      </c>
      <c r="AO155" s="2397" t="str">
        <f t="shared" si="76"/>
        <v/>
      </c>
      <c r="AP155" s="1300" t="str">
        <f t="shared" si="77"/>
        <v/>
      </c>
      <c r="AQ155" s="1300" t="str">
        <f t="shared" si="78"/>
        <v>0</v>
      </c>
      <c r="AR155" s="2389">
        <f t="shared" si="88"/>
        <v>0</v>
      </c>
      <c r="AT155" s="2388" t="str">
        <f t="shared" si="79"/>
        <v/>
      </c>
      <c r="AU155" s="1300" t="str">
        <f t="shared" si="80"/>
        <v/>
      </c>
      <c r="AV155" s="1300" t="str">
        <f t="shared" si="81"/>
        <v>0</v>
      </c>
      <c r="AW155" s="2389">
        <f t="shared" si="89"/>
        <v>0</v>
      </c>
      <c r="BD155" s="2154"/>
      <c r="BH155" s="2154"/>
      <c r="BK155" s="1785"/>
      <c r="BL155" s="983"/>
      <c r="BM155" s="983"/>
      <c r="BN155" s="983"/>
    </row>
    <row r="156" spans="1:66" ht="16.2" customHeight="1" x14ac:dyDescent="0.25">
      <c r="A156" s="433" t="s">
        <v>1038</v>
      </c>
      <c r="B156" s="3854" t="s">
        <v>390</v>
      </c>
      <c r="C156" s="3854"/>
      <c r="D156" s="3856"/>
      <c r="E156" s="3858" t="s">
        <v>374</v>
      </c>
      <c r="F156" s="1299" t="str">
        <f>IFERROR(IF(ISBLANK(E156),"","Consumption (" &amp; VLOOKUP($E156,PO_Enrgy_1_Table,MATCH($C$16,PO_Enrgy_1_Hdr,0),FALSE) &amp; ")"),"")</f>
        <v/>
      </c>
      <c r="G156" s="1300"/>
      <c r="H156" s="1300"/>
      <c r="I156" s="1300"/>
      <c r="J156" s="1300"/>
      <c r="K156" s="3845" t="str">
        <f>IFERROR(AVERAGEIF(G156:J156,"&lt;&gt;0"),"")</f>
        <v/>
      </c>
      <c r="L156" s="3845"/>
      <c r="M156" s="3845"/>
      <c r="R156" s="627" t="str">
        <f>IFERROR(IF(ISBLANK($E156),"",VLOOKUP($E156,PO_Enrgy_1_Table,MATCH($K$16,PO_Enrgy_1_Hdr,0),FALSE)),"")</f>
        <v/>
      </c>
      <c r="S156" s="627" t="str">
        <f>IFERROR(IF(ISBLANK($E156),"",VLOOKUP($E156,PO_Enrgy_1_Table,MATCH($M$16,PO_Enrgy_1_Hdr,0),FALSE)),"")</f>
        <v/>
      </c>
      <c r="T156" s="627" t="str">
        <f>IFERROR(IF(FIND("Consumption",F156),(K156*VLOOKUP(MID(F156,FIND("(",F156)+1,LEN(F156)-FIND("(",F156)-1),EnergyUnitsTable,3,FALSE))/(K157*VLOOKUP(MID(F157,FIND("(",F157)+1,LEN(F157)-FIND("(",F157)-1),DemandTable,3,FALSE)),1),"")</f>
        <v/>
      </c>
      <c r="V156" s="3159">
        <f>IF(D156="x",K156,0)</f>
        <v>0</v>
      </c>
      <c r="W156" s="3954" t="str">
        <f>IF(E156="Electricity","kWh",IF(E156="Natural Gas","THERM",IF(E156="District Cooling","MWh","")))</f>
        <v>kWh</v>
      </c>
      <c r="Y156" s="3846" t="b">
        <f>IF(D156="x",FALSE,TRUE)</f>
        <v>1</v>
      </c>
      <c r="AA156" s="1300" t="str">
        <f t="shared" ca="1" si="69"/>
        <v/>
      </c>
      <c r="AB156" s="1300" t="str">
        <f t="shared" ca="1" si="70"/>
        <v/>
      </c>
      <c r="AC156" s="1300" t="str">
        <f t="shared" ca="1" si="71"/>
        <v/>
      </c>
      <c r="AD156" s="1300" t="str">
        <f t="shared" ca="1" si="72"/>
        <v/>
      </c>
      <c r="AE156" s="2486"/>
      <c r="AF156" s="2388" t="str">
        <f t="shared" si="84"/>
        <v/>
      </c>
      <c r="AG156" s="1300" t="str">
        <f t="shared" si="85"/>
        <v>0</v>
      </c>
      <c r="AH156" s="2389">
        <f t="shared" si="86"/>
        <v>0</v>
      </c>
      <c r="AJ156" s="2397" t="str">
        <f t="shared" si="73"/>
        <v/>
      </c>
      <c r="AK156" s="1300" t="str">
        <f t="shared" si="74"/>
        <v/>
      </c>
      <c r="AL156" s="1300" t="str">
        <f t="shared" si="75"/>
        <v>0</v>
      </c>
      <c r="AM156" s="2389">
        <f t="shared" si="87"/>
        <v>0</v>
      </c>
      <c r="AO156" s="2397" t="str">
        <f t="shared" si="76"/>
        <v/>
      </c>
      <c r="AP156" s="1300" t="str">
        <f t="shared" si="77"/>
        <v/>
      </c>
      <c r="AQ156" s="1300" t="str">
        <f t="shared" si="78"/>
        <v>0</v>
      </c>
      <c r="AR156" s="2389">
        <f t="shared" si="88"/>
        <v>0</v>
      </c>
      <c r="AT156" s="2388" t="str">
        <f t="shared" si="79"/>
        <v/>
      </c>
      <c r="AU156" s="1300" t="str">
        <f t="shared" si="80"/>
        <v/>
      </c>
      <c r="AV156" s="1300" t="str">
        <f t="shared" si="81"/>
        <v>0</v>
      </c>
      <c r="AW156" s="2389">
        <f t="shared" si="89"/>
        <v>0</v>
      </c>
      <c r="BD156" s="2154"/>
      <c r="BH156" s="2154"/>
      <c r="BK156" s="1785" t="s">
        <v>2080</v>
      </c>
      <c r="BL156" s="983"/>
      <c r="BM156" s="983"/>
      <c r="BN156" s="983" t="str">
        <f>IF(BL156&lt;&gt;"",IFERROR(MATCH(BL156&amp;BM156,'Results from Trace'!$L$1:$L$21,0),""),"")</f>
        <v/>
      </c>
    </row>
    <row r="157" spans="1:66" ht="16.2" customHeight="1" x14ac:dyDescent="0.25">
      <c r="A157" s="433" t="s">
        <v>1038</v>
      </c>
      <c r="B157" s="3854"/>
      <c r="C157" s="3854"/>
      <c r="D157" s="3857"/>
      <c r="E157" s="3858"/>
      <c r="F157" s="1299" t="str">
        <f>IFERROR(IF(ISBLANK(E156),"","Demand (" &amp; VLOOKUP($E156,PO_Enrgy_1_Table,MATCH($E$16,PO_Enrgy_1_Hdr,0),FALSE) &amp; ")"),"")</f>
        <v/>
      </c>
      <c r="G157" s="1300"/>
      <c r="H157" s="1300"/>
      <c r="I157" s="1300"/>
      <c r="J157" s="1300"/>
      <c r="K157" s="3845" t="str">
        <f>IFERROR(AVERAGEIF(G157:J157,"&lt;&gt;0"),"")</f>
        <v/>
      </c>
      <c r="L157" s="3845"/>
      <c r="M157" s="3845"/>
      <c r="R157" s="627" t="str">
        <f>IFERROR(IF(ISBLANK($E157),"",VLOOKUP($E157,PO_Enrgy_1_Table,MATCH($K$16,PO_Enrgy_1_Hdr,0),FALSE)),"")</f>
        <v/>
      </c>
      <c r="S157" s="627" t="str">
        <f>IFERROR(IF(ISBLANK($E157),"",VLOOKUP($E157,PO_Enrgy_1_Table,MATCH($M$16,PO_Enrgy_1_Hdr,0),FALSE)),"")</f>
        <v/>
      </c>
      <c r="T157" s="627" t="str">
        <f>IFERROR(IF(FIND("Consumption",F157),(K157*VLOOKUP(MID(F157,FIND("(",F157)+1,LEN(F157)-FIND("(",F157)-1),EnergyUnitsTable,3,FALSE))/(K196*VLOOKUP(MID(F196,FIND("(",F196)+1,LEN(F196)-FIND("(",F196)-1),DemandTable,3,FALSE)),1),"")</f>
        <v/>
      </c>
      <c r="V157" s="3159"/>
      <c r="W157" s="3954"/>
      <c r="Y157" s="3846"/>
      <c r="AA157" s="1300" t="str">
        <f t="shared" ca="1" si="69"/>
        <v/>
      </c>
      <c r="AB157" s="1300" t="str">
        <f t="shared" ca="1" si="70"/>
        <v/>
      </c>
      <c r="AC157" s="1300" t="str">
        <f t="shared" ca="1" si="71"/>
        <v/>
      </c>
      <c r="AD157" s="1300" t="str">
        <f t="shared" ca="1" si="72"/>
        <v/>
      </c>
      <c r="AE157" s="2486"/>
      <c r="AF157" s="2388" t="str">
        <f t="shared" si="84"/>
        <v/>
      </c>
      <c r="AG157" s="1300" t="str">
        <f t="shared" si="85"/>
        <v>0</v>
      </c>
      <c r="AH157" s="2389">
        <f t="shared" si="86"/>
        <v>0</v>
      </c>
      <c r="AJ157" s="2397" t="str">
        <f t="shared" si="73"/>
        <v/>
      </c>
      <c r="AK157" s="1300" t="str">
        <f t="shared" si="74"/>
        <v/>
      </c>
      <c r="AL157" s="1300" t="str">
        <f t="shared" si="75"/>
        <v>0</v>
      </c>
      <c r="AM157" s="2389">
        <f t="shared" si="87"/>
        <v>0</v>
      </c>
      <c r="AO157" s="2397" t="str">
        <f t="shared" si="76"/>
        <v/>
      </c>
      <c r="AP157" s="1300" t="str">
        <f t="shared" si="77"/>
        <v/>
      </c>
      <c r="AQ157" s="1300" t="str">
        <f t="shared" si="78"/>
        <v>0</v>
      </c>
      <c r="AR157" s="2389">
        <f t="shared" si="88"/>
        <v>0</v>
      </c>
      <c r="AT157" s="2388" t="str">
        <f t="shared" si="79"/>
        <v/>
      </c>
      <c r="AU157" s="1300" t="str">
        <f t="shared" si="80"/>
        <v/>
      </c>
      <c r="AV157" s="1300" t="str">
        <f t="shared" si="81"/>
        <v>0</v>
      </c>
      <c r="AW157" s="2389">
        <f t="shared" si="89"/>
        <v>0</v>
      </c>
      <c r="BD157" s="2154"/>
      <c r="BH157" s="2154"/>
      <c r="BK157" s="1785" t="s">
        <v>2081</v>
      </c>
      <c r="BL157" s="983"/>
      <c r="BM157" s="983"/>
      <c r="BN157" s="983"/>
    </row>
    <row r="158" spans="1:66" ht="16.2" customHeight="1" x14ac:dyDescent="0.25">
      <c r="A158" s="433" t="s">
        <v>1038</v>
      </c>
      <c r="B158" s="3854" t="s">
        <v>879</v>
      </c>
      <c r="C158" s="3854"/>
      <c r="D158" s="3856"/>
      <c r="E158" s="3858" t="s">
        <v>374</v>
      </c>
      <c r="F158" s="1299" t="str">
        <f>IFERROR(IF(ISBLANK(E158),"","Consumption (" &amp; VLOOKUP($E158,PO_Enrgy_1_Table,MATCH($C$16,PO_Enrgy_1_Hdr,0),FALSE) &amp; ")"),"")</f>
        <v/>
      </c>
      <c r="G158" s="1300"/>
      <c r="H158" s="1300"/>
      <c r="I158" s="1300"/>
      <c r="J158" s="1300"/>
      <c r="K158" s="3845" t="str">
        <f>IFERROR(AVERAGEIF(G158:J158,"&lt;&gt;0"),"")</f>
        <v/>
      </c>
      <c r="L158" s="3845"/>
      <c r="M158" s="3845"/>
      <c r="R158" s="627" t="str">
        <f>IFERROR(IF(ISBLANK($E158),"",VLOOKUP($E158,PO_Enrgy_1_Table,MATCH($K$16,PO_Enrgy_1_Hdr,0),FALSE)),"")</f>
        <v/>
      </c>
      <c r="S158" s="627" t="str">
        <f>IFERROR(IF(ISBLANK($E158),"",VLOOKUP($E158,PO_Enrgy_1_Table,MATCH($M$16,PO_Enrgy_1_Hdr,0),FALSE)),"")</f>
        <v/>
      </c>
      <c r="T158" s="627" t="str">
        <f>IFERROR(IF(FIND("Consumption",F158),(K158*VLOOKUP(MID(F158,FIND("(",F158)+1,LEN(F158)-FIND("(",F158)-1),EnergyUnitsTable,3,FALSE))/(K159*VLOOKUP(MID(F159,FIND("(",F159)+1,LEN(F159)-FIND("(",F159)-1),DemandTable,3,FALSE)),1),"")</f>
        <v/>
      </c>
      <c r="V158" s="3159">
        <f>IF(D158="x",K158,0)</f>
        <v>0</v>
      </c>
      <c r="W158" s="3954" t="str">
        <f>IF(E158="Electricity","kWh",IF(E158="Natural Gas","THERM",IF(E158="District Cooling","MWh","")))</f>
        <v>kWh</v>
      </c>
      <c r="Y158" s="3846" t="b">
        <f>IF(D158="x",FALSE,TRUE)</f>
        <v>1</v>
      </c>
      <c r="AA158" s="1300" t="str">
        <f t="shared" ca="1" si="69"/>
        <v/>
      </c>
      <c r="AB158" s="1300" t="str">
        <f t="shared" ca="1" si="70"/>
        <v/>
      </c>
      <c r="AC158" s="1300" t="str">
        <f t="shared" ca="1" si="71"/>
        <v/>
      </c>
      <c r="AD158" s="1300" t="str">
        <f t="shared" ca="1" si="72"/>
        <v/>
      </c>
      <c r="AE158" s="2486"/>
      <c r="AF158" s="2388" t="str">
        <f t="shared" si="84"/>
        <v/>
      </c>
      <c r="AG158" s="1300" t="str">
        <f t="shared" si="85"/>
        <v>0</v>
      </c>
      <c r="AH158" s="2389">
        <f t="shared" si="86"/>
        <v>0</v>
      </c>
      <c r="AJ158" s="2397" t="str">
        <f t="shared" si="73"/>
        <v/>
      </c>
      <c r="AK158" s="1300" t="str">
        <f t="shared" si="74"/>
        <v/>
      </c>
      <c r="AL158" s="1300" t="str">
        <f t="shared" si="75"/>
        <v>0</v>
      </c>
      <c r="AM158" s="2389">
        <f t="shared" si="87"/>
        <v>0</v>
      </c>
      <c r="AO158" s="2397" t="str">
        <f t="shared" si="76"/>
        <v/>
      </c>
      <c r="AP158" s="1300" t="str">
        <f t="shared" si="77"/>
        <v/>
      </c>
      <c r="AQ158" s="1300" t="str">
        <f t="shared" si="78"/>
        <v>0</v>
      </c>
      <c r="AR158" s="2389">
        <f t="shared" si="88"/>
        <v>0</v>
      </c>
      <c r="AT158" s="2388" t="str">
        <f t="shared" si="79"/>
        <v/>
      </c>
      <c r="AU158" s="1300" t="str">
        <f t="shared" si="80"/>
        <v/>
      </c>
      <c r="AV158" s="1300" t="str">
        <f t="shared" si="81"/>
        <v>0</v>
      </c>
      <c r="AW158" s="2389">
        <f t="shared" si="89"/>
        <v>0</v>
      </c>
      <c r="BD158" s="2154"/>
      <c r="BH158" s="2154"/>
      <c r="BK158" s="1785" t="s">
        <v>2078</v>
      </c>
      <c r="BL158" s="983"/>
      <c r="BM158" s="983"/>
      <c r="BN158" s="983" t="str">
        <f>IF(BL158&lt;&gt;"",IFERROR(MATCH(BL158&amp;BM158,'Results from Trace'!$L$1:$L$21,0),""),"")</f>
        <v/>
      </c>
    </row>
    <row r="159" spans="1:66" ht="16.2" customHeight="1" x14ac:dyDescent="0.25">
      <c r="A159" s="433" t="s">
        <v>1038</v>
      </c>
      <c r="B159" s="3854"/>
      <c r="C159" s="3854"/>
      <c r="D159" s="3857"/>
      <c r="E159" s="3858"/>
      <c r="F159" s="1299" t="str">
        <f>IFERROR(IF(ISBLANK(E158),"","Demand (" &amp; VLOOKUP($E158,PO_Enrgy_1_Table,MATCH($E$16,PO_Enrgy_1_Hdr,0),FALSE) &amp; ")"),"")</f>
        <v/>
      </c>
      <c r="G159" s="1300"/>
      <c r="H159" s="1300"/>
      <c r="I159" s="1300"/>
      <c r="J159" s="1300"/>
      <c r="K159" s="3845" t="str">
        <f>IFERROR(AVERAGEIF(G159:J159,"&lt;&gt;0"),"")</f>
        <v/>
      </c>
      <c r="L159" s="3845"/>
      <c r="M159" s="3845"/>
      <c r="R159" s="627" t="str">
        <f>IFERROR(IF(ISBLANK($E159),"",VLOOKUP($E159,PO_Enrgy_1_Table,MATCH($K$16,PO_Enrgy_1_Hdr,0),FALSE)),"")</f>
        <v/>
      </c>
      <c r="S159" s="627" t="str">
        <f>IFERROR(IF(ISBLANK($E159),"",VLOOKUP($E159,PO_Enrgy_1_Table,MATCH($M$16,PO_Enrgy_1_Hdr,0),FALSE)),"")</f>
        <v/>
      </c>
      <c r="T159" s="627" t="str">
        <f>IFERROR(IF(FIND("Consumption",F159),(K159*VLOOKUP(MID(F159,FIND("(",F159)+1,LEN(F159)-FIND("(",F159)-1),EnergyUnitsTable,3,FALSE))/(K156*VLOOKUP(MID(F156,FIND("(",F156)+1,LEN(F156)-FIND("(",F156)-1),DemandTable,3,FALSE)),1),"")</f>
        <v/>
      </c>
      <c r="V159" s="3159"/>
      <c r="W159" s="3954"/>
      <c r="Y159" s="3846"/>
      <c r="AA159" s="1300" t="str">
        <f t="shared" ca="1" si="69"/>
        <v/>
      </c>
      <c r="AB159" s="1300" t="str">
        <f t="shared" ca="1" si="70"/>
        <v/>
      </c>
      <c r="AC159" s="1300" t="str">
        <f t="shared" ca="1" si="71"/>
        <v/>
      </c>
      <c r="AD159" s="1300" t="str">
        <f t="shared" ca="1" si="72"/>
        <v/>
      </c>
      <c r="AE159" s="2486"/>
      <c r="AF159" s="2388" t="str">
        <f t="shared" si="84"/>
        <v/>
      </c>
      <c r="AG159" s="1300" t="str">
        <f t="shared" si="85"/>
        <v>0</v>
      </c>
      <c r="AH159" s="2389">
        <f t="shared" si="86"/>
        <v>0</v>
      </c>
      <c r="AJ159" s="2397" t="str">
        <f t="shared" si="73"/>
        <v/>
      </c>
      <c r="AK159" s="1300" t="str">
        <f t="shared" si="74"/>
        <v/>
      </c>
      <c r="AL159" s="1300" t="str">
        <f t="shared" si="75"/>
        <v>0</v>
      </c>
      <c r="AM159" s="2389">
        <f t="shared" si="87"/>
        <v>0</v>
      </c>
      <c r="AO159" s="2397" t="str">
        <f t="shared" si="76"/>
        <v/>
      </c>
      <c r="AP159" s="1300" t="str">
        <f t="shared" si="77"/>
        <v/>
      </c>
      <c r="AQ159" s="1300" t="str">
        <f t="shared" si="78"/>
        <v>0</v>
      </c>
      <c r="AR159" s="2389">
        <f t="shared" si="88"/>
        <v>0</v>
      </c>
      <c r="AT159" s="2388" t="str">
        <f t="shared" si="79"/>
        <v/>
      </c>
      <c r="AU159" s="1300" t="str">
        <f t="shared" si="80"/>
        <v/>
      </c>
      <c r="AV159" s="1300" t="str">
        <f t="shared" si="81"/>
        <v>0</v>
      </c>
      <c r="AW159" s="2389">
        <f t="shared" si="89"/>
        <v>0</v>
      </c>
      <c r="BD159" s="2154"/>
      <c r="BH159" s="2154"/>
      <c r="BK159" s="1785" t="s">
        <v>2079</v>
      </c>
      <c r="BL159" s="983"/>
      <c r="BM159" s="983"/>
      <c r="BN159" s="983"/>
    </row>
    <row r="160" spans="1:66" ht="16.2" customHeight="1" x14ac:dyDescent="0.25">
      <c r="A160" s="409" t="s">
        <v>1038</v>
      </c>
      <c r="B160" s="3854" t="s">
        <v>389</v>
      </c>
      <c r="C160" s="3854"/>
      <c r="D160" s="3856"/>
      <c r="E160" s="3858" t="s">
        <v>374</v>
      </c>
      <c r="F160" s="1299" t="str">
        <f>IFERROR(IF(ISBLANK(E160),"","Consumption (" &amp; VLOOKUP($E160,PO_Enrgy_1_Table,MATCH($C$16,PO_Enrgy_1_Hdr,0),FALSE) &amp; ")"),"")</f>
        <v/>
      </c>
      <c r="G160" s="1300"/>
      <c r="H160" s="1300"/>
      <c r="I160" s="1300"/>
      <c r="J160" s="1300"/>
      <c r="K160" s="3845" t="str">
        <f t="shared" si="68"/>
        <v/>
      </c>
      <c r="L160" s="3845"/>
      <c r="M160" s="3845"/>
      <c r="R160" s="627" t="str">
        <f t="shared" si="82"/>
        <v/>
      </c>
      <c r="S160" s="627" t="str">
        <f t="shared" si="83"/>
        <v/>
      </c>
      <c r="T160" s="627" t="str">
        <f t="shared" si="91"/>
        <v/>
      </c>
      <c r="V160" s="3159">
        <f>IF(D160="x",K160,0)</f>
        <v>0</v>
      </c>
      <c r="W160" s="3954" t="str">
        <f>IF(E160="Electricity","kWh",IF(E160="Natural Gas","THERM",IF(E160="District Cooling","MWh","")))</f>
        <v>kWh</v>
      </c>
      <c r="Y160" s="3846" t="b">
        <f>IF(D160="x",FALSE,TRUE)</f>
        <v>1</v>
      </c>
      <c r="AA160" s="1300" t="str">
        <f t="shared" ca="1" si="69"/>
        <v/>
      </c>
      <c r="AB160" s="1300" t="str">
        <f t="shared" ca="1" si="70"/>
        <v/>
      </c>
      <c r="AC160" s="1300" t="str">
        <f t="shared" ca="1" si="71"/>
        <v/>
      </c>
      <c r="AD160" s="1300" t="str">
        <f t="shared" ca="1" si="72"/>
        <v/>
      </c>
      <c r="AE160" s="2486"/>
      <c r="AF160" s="2388" t="str">
        <f t="shared" si="84"/>
        <v/>
      </c>
      <c r="AG160" s="1300" t="str">
        <f t="shared" si="85"/>
        <v>0</v>
      </c>
      <c r="AH160" s="2389">
        <f t="shared" si="86"/>
        <v>0</v>
      </c>
      <c r="AJ160" s="2397" t="str">
        <f t="shared" si="73"/>
        <v/>
      </c>
      <c r="AK160" s="1300" t="str">
        <f t="shared" si="74"/>
        <v/>
      </c>
      <c r="AL160" s="1300" t="str">
        <f t="shared" si="75"/>
        <v>0</v>
      </c>
      <c r="AM160" s="2389">
        <f t="shared" si="87"/>
        <v>0</v>
      </c>
      <c r="AO160" s="2397" t="str">
        <f t="shared" si="76"/>
        <v/>
      </c>
      <c r="AP160" s="1300" t="str">
        <f t="shared" si="77"/>
        <v/>
      </c>
      <c r="AQ160" s="1300" t="str">
        <f t="shared" si="78"/>
        <v>0</v>
      </c>
      <c r="AR160" s="2389">
        <f t="shared" si="88"/>
        <v>0</v>
      </c>
      <c r="AT160" s="2388" t="str">
        <f t="shared" si="79"/>
        <v/>
      </c>
      <c r="AU160" s="1300" t="str">
        <f t="shared" si="80"/>
        <v/>
      </c>
      <c r="AV160" s="1300" t="str">
        <f t="shared" si="81"/>
        <v>0</v>
      </c>
      <c r="AW160" s="2389">
        <f t="shared" si="89"/>
        <v>0</v>
      </c>
      <c r="BD160" s="2154"/>
      <c r="BH160" s="2154"/>
      <c r="BK160" s="1785" t="s">
        <v>2067</v>
      </c>
      <c r="BL160" s="983" t="s">
        <v>1977</v>
      </c>
      <c r="BM160" s="983" t="s">
        <v>374</v>
      </c>
      <c r="BN160" s="983">
        <f>IF(BL160&lt;&gt;"",IFERROR(MATCH(BL160&amp;BM160,'Results from Trace'!$L$1:$L$21,0),""),"")</f>
        <v>10</v>
      </c>
    </row>
    <row r="161" spans="1:66" ht="16.2" customHeight="1" x14ac:dyDescent="0.25">
      <c r="A161" s="409" t="s">
        <v>1038</v>
      </c>
      <c r="B161" s="3854"/>
      <c r="C161" s="3854"/>
      <c r="D161" s="3857"/>
      <c r="E161" s="3858"/>
      <c r="F161" s="1299" t="str">
        <f>IFERROR(IF(ISBLANK(E160),"","Demand (" &amp; VLOOKUP($E160,PO_Enrgy_1_Table,MATCH($E$16,PO_Enrgy_1_Hdr,0),FALSE) &amp; ")"),"")</f>
        <v/>
      </c>
      <c r="G161" s="1300"/>
      <c r="H161" s="1300"/>
      <c r="I161" s="1300"/>
      <c r="J161" s="1300"/>
      <c r="K161" s="3845" t="str">
        <f t="shared" si="68"/>
        <v/>
      </c>
      <c r="L161" s="3845"/>
      <c r="M161" s="3845"/>
      <c r="R161" s="627" t="str">
        <f t="shared" si="82"/>
        <v/>
      </c>
      <c r="S161" s="627" t="str">
        <f t="shared" si="83"/>
        <v/>
      </c>
      <c r="T161" s="627" t="str">
        <f>IFERROR(IF(FIND("Consumption",F161),(K161*VLOOKUP(MID(F161,FIND("(",F161)+1,LEN(F161)-FIND("(",F161)-1),EnergyUnitsTable,3,FALSE))/(K164*VLOOKUP(MID(F164,FIND("(",F164)+1,LEN(F164)-FIND("(",F164)-1),DemandTable,3,FALSE)),1),"")</f>
        <v/>
      </c>
      <c r="V161" s="3159"/>
      <c r="W161" s="3954"/>
      <c r="Y161" s="3846"/>
      <c r="AA161" s="1300" t="str">
        <f t="shared" ca="1" si="69"/>
        <v/>
      </c>
      <c r="AB161" s="1300" t="str">
        <f t="shared" ca="1" si="70"/>
        <v/>
      </c>
      <c r="AC161" s="1300" t="str">
        <f t="shared" ca="1" si="71"/>
        <v/>
      </c>
      <c r="AD161" s="1300" t="str">
        <f t="shared" ca="1" si="72"/>
        <v/>
      </c>
      <c r="AE161" s="2486"/>
      <c r="AF161" s="2388" t="str">
        <f t="shared" si="84"/>
        <v/>
      </c>
      <c r="AG161" s="1300" t="str">
        <f t="shared" si="85"/>
        <v>0</v>
      </c>
      <c r="AH161" s="2389">
        <f t="shared" si="86"/>
        <v>0</v>
      </c>
      <c r="AJ161" s="2397" t="str">
        <f t="shared" si="73"/>
        <v/>
      </c>
      <c r="AK161" s="1300" t="str">
        <f t="shared" si="74"/>
        <v/>
      </c>
      <c r="AL161" s="1300" t="str">
        <f t="shared" si="75"/>
        <v>0</v>
      </c>
      <c r="AM161" s="2389">
        <f t="shared" si="87"/>
        <v>0</v>
      </c>
      <c r="AO161" s="2397" t="str">
        <f t="shared" si="76"/>
        <v/>
      </c>
      <c r="AP161" s="1300" t="str">
        <f t="shared" si="77"/>
        <v/>
      </c>
      <c r="AQ161" s="1300" t="str">
        <f t="shared" si="78"/>
        <v>0</v>
      </c>
      <c r="AR161" s="2389">
        <f t="shared" si="88"/>
        <v>0</v>
      </c>
      <c r="AT161" s="2388" t="str">
        <f t="shared" si="79"/>
        <v/>
      </c>
      <c r="AU161" s="1300" t="str">
        <f t="shared" si="80"/>
        <v/>
      </c>
      <c r="AV161" s="1300" t="str">
        <f t="shared" si="81"/>
        <v>0</v>
      </c>
      <c r="AW161" s="2389">
        <f t="shared" si="89"/>
        <v>0</v>
      </c>
      <c r="BD161" s="2154"/>
      <c r="BH161" s="2154"/>
      <c r="BK161" s="1785" t="s">
        <v>2068</v>
      </c>
      <c r="BL161" s="983"/>
      <c r="BM161" s="983"/>
      <c r="BN161" s="983"/>
    </row>
    <row r="162" spans="1:66" ht="16.2" customHeight="1" x14ac:dyDescent="0.25">
      <c r="A162" s="433" t="s">
        <v>1038</v>
      </c>
      <c r="B162" s="3854" t="s">
        <v>389</v>
      </c>
      <c r="C162" s="3854"/>
      <c r="D162" s="3856"/>
      <c r="E162" s="3858" t="s">
        <v>388</v>
      </c>
      <c r="F162" s="1299" t="str">
        <f>IFERROR(IF(ISBLANK(E162),"","Consumption (" &amp; VLOOKUP($E162,PO_Enrgy_1_Table,MATCH($C$16,PO_Enrgy_1_Hdr,0),FALSE) &amp; ")"),"")</f>
        <v/>
      </c>
      <c r="G162" s="1300"/>
      <c r="H162" s="1300"/>
      <c r="I162" s="1300"/>
      <c r="J162" s="1300"/>
      <c r="K162" s="3845" t="str">
        <f>IFERROR(AVERAGEIF(G162:J162,"&lt;&gt;0"),"")</f>
        <v/>
      </c>
      <c r="L162" s="3845"/>
      <c r="M162" s="3845"/>
      <c r="R162" s="627" t="str">
        <f>IFERROR(IF(ISBLANK($E162),"",VLOOKUP($E162,PO_Enrgy_1_Table,MATCH($K$16,PO_Enrgy_1_Hdr,0),FALSE)),"")</f>
        <v/>
      </c>
      <c r="S162" s="627" t="str">
        <f>IFERROR(IF(ISBLANK($E162),"",VLOOKUP($E162,PO_Enrgy_1_Table,MATCH($M$16,PO_Enrgy_1_Hdr,0),FALSE)),"")</f>
        <v/>
      </c>
      <c r="T162" s="627" t="str">
        <f>IFERROR(IF(FIND("Consumption",F162),(K162*VLOOKUP(MID(F162,FIND("(",F162)+1,LEN(F162)-FIND("(",F162)-1),EnergyUnitsTable,3,FALSE))/(K163*VLOOKUP(MID(F163,FIND("(",F163)+1,LEN(F163)-FIND("(",F163)-1),DemandTable,3,FALSE)),1),"")</f>
        <v/>
      </c>
      <c r="V162" s="3159">
        <f>IF(D162="x",K162,0)</f>
        <v>0</v>
      </c>
      <c r="W162" s="3954" t="str">
        <f>IF(E162="Electricity","kWh",IF(E162="Natural Gas","THERM",IF(E162="District Cooling","MWh","")))</f>
        <v>THERM</v>
      </c>
      <c r="Y162" s="3846" t="b">
        <f>IF(D162="x",FALSE,TRUE)</f>
        <v>1</v>
      </c>
      <c r="AA162" s="1300" t="str">
        <f t="shared" ca="1" si="69"/>
        <v/>
      </c>
      <c r="AB162" s="1300" t="str">
        <f t="shared" ca="1" si="70"/>
        <v/>
      </c>
      <c r="AC162" s="1300" t="str">
        <f t="shared" ca="1" si="71"/>
        <v/>
      </c>
      <c r="AD162" s="1300" t="str">
        <f t="shared" ca="1" si="72"/>
        <v/>
      </c>
      <c r="AE162" s="2486"/>
      <c r="AF162" s="2388" t="str">
        <f t="shared" si="84"/>
        <v/>
      </c>
      <c r="AG162" s="1300" t="str">
        <f t="shared" si="85"/>
        <v>0</v>
      </c>
      <c r="AH162" s="2389">
        <f t="shared" si="86"/>
        <v>0</v>
      </c>
      <c r="AJ162" s="2397" t="str">
        <f t="shared" si="73"/>
        <v/>
      </c>
      <c r="AK162" s="1300" t="str">
        <f t="shared" si="74"/>
        <v/>
      </c>
      <c r="AL162" s="1300" t="str">
        <f t="shared" si="75"/>
        <v>0</v>
      </c>
      <c r="AM162" s="2389">
        <f t="shared" si="87"/>
        <v>0</v>
      </c>
      <c r="AO162" s="2397" t="str">
        <f t="shared" si="76"/>
        <v/>
      </c>
      <c r="AP162" s="1300" t="str">
        <f t="shared" si="77"/>
        <v/>
      </c>
      <c r="AQ162" s="1300" t="str">
        <f t="shared" si="78"/>
        <v>0</v>
      </c>
      <c r="AR162" s="2389">
        <f t="shared" si="88"/>
        <v>0</v>
      </c>
      <c r="AT162" s="2388" t="str">
        <f t="shared" si="79"/>
        <v/>
      </c>
      <c r="AU162" s="1300" t="str">
        <f t="shared" si="80"/>
        <v/>
      </c>
      <c r="AV162" s="1300" t="str">
        <f t="shared" si="81"/>
        <v>0</v>
      </c>
      <c r="AW162" s="2389">
        <f t="shared" si="89"/>
        <v>0</v>
      </c>
      <c r="BD162" s="2154"/>
      <c r="BH162" s="2154"/>
      <c r="BK162" s="1785" t="s">
        <v>2093</v>
      </c>
      <c r="BL162" s="983"/>
      <c r="BM162" s="983"/>
      <c r="BN162" s="983" t="str">
        <f>IF(BL162&lt;&gt;"",IFERROR(MATCH(BL162&amp;BM162,'Results from Trace'!$L$1:$L$21,0),""),"")</f>
        <v/>
      </c>
    </row>
    <row r="163" spans="1:66" ht="15.75" customHeight="1" x14ac:dyDescent="0.25">
      <c r="A163" s="433" t="s">
        <v>1038</v>
      </c>
      <c r="B163" s="3854"/>
      <c r="C163" s="3854"/>
      <c r="D163" s="3857"/>
      <c r="E163" s="3858"/>
      <c r="F163" s="1299" t="str">
        <f>IFERROR(IF(ISBLANK(E162),"","Demand (" &amp; VLOOKUP($E162,PO_Enrgy_1_Table,MATCH($E$16,PO_Enrgy_1_Hdr,0),FALSE) &amp; ")"),"")</f>
        <v/>
      </c>
      <c r="G163" s="1300"/>
      <c r="H163" s="1300"/>
      <c r="I163" s="1300"/>
      <c r="J163" s="1300"/>
      <c r="K163" s="3845" t="str">
        <f>IFERROR(AVERAGEIF(G163:J163,"&lt;&gt;0"),"")</f>
        <v/>
      </c>
      <c r="L163" s="3845"/>
      <c r="M163" s="3845"/>
      <c r="R163" s="627" t="str">
        <f>IFERROR(IF(ISBLANK($E163),"",VLOOKUP($E163,PO_Enrgy_1_Table,MATCH($K$16,PO_Enrgy_1_Hdr,0),FALSE)),"")</f>
        <v/>
      </c>
      <c r="S163" s="627" t="str">
        <f>IFERROR(IF(ISBLANK($E163),"",VLOOKUP($E163,PO_Enrgy_1_Table,MATCH($M$16,PO_Enrgy_1_Hdr,0),FALSE)),"")</f>
        <v/>
      </c>
      <c r="T163" s="627" t="str">
        <f>IFERROR(IF(FIND("Consumption",F163),(K163*VLOOKUP(MID(F163,FIND("(",F163)+1,LEN(F163)-FIND("(",F163)-1),EnergyUnitsTable,3,FALSE))/(K200*VLOOKUP(MID(F200,FIND("(",F200)+1,LEN(F200)-FIND("(",F200)-1),DemandTable,3,FALSE)),1),"")</f>
        <v/>
      </c>
      <c r="V163" s="3159"/>
      <c r="W163" s="3954"/>
      <c r="Y163" s="3846"/>
      <c r="AA163" s="1300" t="str">
        <f t="shared" ca="1" si="69"/>
        <v/>
      </c>
      <c r="AB163" s="1300" t="str">
        <f t="shared" ca="1" si="70"/>
        <v/>
      </c>
      <c r="AC163" s="1300" t="str">
        <f t="shared" ca="1" si="71"/>
        <v/>
      </c>
      <c r="AD163" s="1300" t="str">
        <f t="shared" ca="1" si="72"/>
        <v/>
      </c>
      <c r="AE163" s="2486"/>
      <c r="AF163" s="2388" t="str">
        <f t="shared" si="84"/>
        <v/>
      </c>
      <c r="AG163" s="1300" t="str">
        <f t="shared" si="85"/>
        <v>0</v>
      </c>
      <c r="AH163" s="2389">
        <f t="shared" si="86"/>
        <v>0</v>
      </c>
      <c r="AJ163" s="2397" t="str">
        <f t="shared" si="73"/>
        <v/>
      </c>
      <c r="AK163" s="1300" t="str">
        <f t="shared" si="74"/>
        <v/>
      </c>
      <c r="AL163" s="1300" t="str">
        <f t="shared" si="75"/>
        <v>0</v>
      </c>
      <c r="AM163" s="2389">
        <f t="shared" si="87"/>
        <v>0</v>
      </c>
      <c r="AO163" s="2397" t="str">
        <f t="shared" si="76"/>
        <v/>
      </c>
      <c r="AP163" s="1300" t="str">
        <f t="shared" si="77"/>
        <v/>
      </c>
      <c r="AQ163" s="1300" t="str">
        <f t="shared" si="78"/>
        <v>0</v>
      </c>
      <c r="AR163" s="2389">
        <f t="shared" si="88"/>
        <v>0</v>
      </c>
      <c r="AT163" s="2388" t="str">
        <f t="shared" si="79"/>
        <v/>
      </c>
      <c r="AU163" s="1300" t="str">
        <f t="shared" si="80"/>
        <v/>
      </c>
      <c r="AV163" s="1300" t="str">
        <f t="shared" si="81"/>
        <v>0</v>
      </c>
      <c r="AW163" s="2389">
        <f t="shared" si="89"/>
        <v>0</v>
      </c>
      <c r="BD163" s="2154"/>
      <c r="BH163" s="2154"/>
      <c r="BK163" s="1785"/>
      <c r="BL163" s="983"/>
      <c r="BM163" s="983"/>
      <c r="BN163" s="983"/>
    </row>
    <row r="164" spans="1:66" ht="16.2" customHeight="1" x14ac:dyDescent="0.25">
      <c r="A164" s="409" t="s">
        <v>1038</v>
      </c>
      <c r="B164" s="3854" t="s">
        <v>387</v>
      </c>
      <c r="C164" s="3854"/>
      <c r="D164" s="3856"/>
      <c r="E164" s="3858" t="s">
        <v>374</v>
      </c>
      <c r="F164" s="1299" t="str">
        <f>IFERROR(IF(ISBLANK(E164),"","Consumption (" &amp; VLOOKUP($E164,PO_Enrgy_1_Table,MATCH($C$16,PO_Enrgy_1_Hdr,0),FALSE) &amp; ")"),"")</f>
        <v/>
      </c>
      <c r="G164" s="1300"/>
      <c r="H164" s="1300"/>
      <c r="I164" s="1300"/>
      <c r="J164" s="1300"/>
      <c r="K164" s="3845" t="str">
        <f t="shared" si="68"/>
        <v/>
      </c>
      <c r="L164" s="3845"/>
      <c r="M164" s="3845"/>
      <c r="R164" s="627" t="str">
        <f t="shared" si="82"/>
        <v/>
      </c>
      <c r="S164" s="627" t="str">
        <f t="shared" si="83"/>
        <v/>
      </c>
      <c r="T164" s="627" t="str">
        <f t="shared" si="91"/>
        <v/>
      </c>
      <c r="V164" s="3159">
        <f>IF(D164="x",K164,0)</f>
        <v>0</v>
      </c>
      <c r="W164" s="3954" t="str">
        <f>IF(E164="Electricity","kWh",IF(E164="Natural Gas","THERM",IF(E164="District Cooling","MWh","")))</f>
        <v>kWh</v>
      </c>
      <c r="Y164" s="3846" t="b">
        <f>IF(D164="x",FALSE,TRUE)</f>
        <v>1</v>
      </c>
      <c r="AA164" s="1300" t="str">
        <f t="shared" ca="1" si="69"/>
        <v/>
      </c>
      <c r="AB164" s="1300" t="str">
        <f t="shared" ca="1" si="70"/>
        <v/>
      </c>
      <c r="AC164" s="1300" t="str">
        <f t="shared" ca="1" si="71"/>
        <v/>
      </c>
      <c r="AD164" s="1300" t="str">
        <f t="shared" ca="1" si="72"/>
        <v/>
      </c>
      <c r="AE164" s="2486"/>
      <c r="AF164" s="2388" t="str">
        <f t="shared" si="84"/>
        <v/>
      </c>
      <c r="AG164" s="1300" t="str">
        <f t="shared" si="85"/>
        <v>0</v>
      </c>
      <c r="AH164" s="2389">
        <f t="shared" si="86"/>
        <v>0</v>
      </c>
      <c r="AJ164" s="2397" t="str">
        <f t="shared" si="73"/>
        <v/>
      </c>
      <c r="AK164" s="1300" t="str">
        <f t="shared" si="74"/>
        <v/>
      </c>
      <c r="AL164" s="1300" t="str">
        <f t="shared" si="75"/>
        <v>0</v>
      </c>
      <c r="AM164" s="2389">
        <f t="shared" si="87"/>
        <v>0</v>
      </c>
      <c r="AO164" s="2397" t="str">
        <f t="shared" si="76"/>
        <v/>
      </c>
      <c r="AP164" s="1300" t="str">
        <f t="shared" si="77"/>
        <v/>
      </c>
      <c r="AQ164" s="1300" t="str">
        <f t="shared" si="78"/>
        <v>0</v>
      </c>
      <c r="AR164" s="2389">
        <f t="shared" si="88"/>
        <v>0</v>
      </c>
      <c r="AT164" s="2388" t="str">
        <f t="shared" si="79"/>
        <v/>
      </c>
      <c r="AU164" s="1300" t="str">
        <f t="shared" si="80"/>
        <v/>
      </c>
      <c r="AV164" s="1300" t="str">
        <f t="shared" si="81"/>
        <v>0</v>
      </c>
      <c r="AW164" s="2389">
        <f t="shared" si="89"/>
        <v>0</v>
      </c>
      <c r="BD164" s="2154"/>
      <c r="BH164" s="2154"/>
      <c r="BK164" s="1785" t="s">
        <v>2069</v>
      </c>
      <c r="BL164" s="983" t="s">
        <v>387</v>
      </c>
      <c r="BM164" s="983" t="s">
        <v>374</v>
      </c>
      <c r="BN164" s="983">
        <f>IF(BL164&lt;&gt;"",IFERROR(MATCH(BL164&amp;BM164,'Results from Trace'!$L$1:$L$21,0),""),"")</f>
        <v>11</v>
      </c>
    </row>
    <row r="165" spans="1:66" ht="16.2" customHeight="1" x14ac:dyDescent="0.25">
      <c r="A165" s="409" t="s">
        <v>1038</v>
      </c>
      <c r="B165" s="3854"/>
      <c r="C165" s="3854"/>
      <c r="D165" s="3857"/>
      <c r="E165" s="3858"/>
      <c r="F165" s="1299" t="str">
        <f>IFERROR(IF(ISBLANK(E164),"","Demand (" &amp; VLOOKUP($E164,PO_Enrgy_1_Table,MATCH($E$16,PO_Enrgy_1_Hdr,0),FALSE) &amp; ")"),"")</f>
        <v/>
      </c>
      <c r="G165" s="1300"/>
      <c r="H165" s="1300"/>
      <c r="I165" s="1300"/>
      <c r="J165" s="1300"/>
      <c r="K165" s="3845" t="str">
        <f t="shared" si="68"/>
        <v/>
      </c>
      <c r="L165" s="3845"/>
      <c r="M165" s="3845"/>
      <c r="R165" s="627" t="str">
        <f t="shared" si="82"/>
        <v/>
      </c>
      <c r="S165" s="627" t="str">
        <f t="shared" si="83"/>
        <v/>
      </c>
      <c r="T165" s="627" t="str">
        <f t="shared" si="91"/>
        <v/>
      </c>
      <c r="V165" s="3159"/>
      <c r="W165" s="3954"/>
      <c r="Y165" s="3846"/>
      <c r="AA165" s="1300" t="str">
        <f t="shared" ca="1" si="69"/>
        <v/>
      </c>
      <c r="AB165" s="1300" t="str">
        <f t="shared" ca="1" si="70"/>
        <v/>
      </c>
      <c r="AC165" s="1300" t="str">
        <f t="shared" ca="1" si="71"/>
        <v/>
      </c>
      <c r="AD165" s="1300" t="str">
        <f t="shared" ca="1" si="72"/>
        <v/>
      </c>
      <c r="AE165" s="2486"/>
      <c r="AF165" s="2388" t="str">
        <f t="shared" si="84"/>
        <v/>
      </c>
      <c r="AG165" s="1300" t="str">
        <f t="shared" si="85"/>
        <v>0</v>
      </c>
      <c r="AH165" s="2389">
        <f t="shared" si="86"/>
        <v>0</v>
      </c>
      <c r="AJ165" s="2397" t="str">
        <f t="shared" si="73"/>
        <v/>
      </c>
      <c r="AK165" s="1300" t="str">
        <f t="shared" si="74"/>
        <v/>
      </c>
      <c r="AL165" s="1300" t="str">
        <f t="shared" si="75"/>
        <v>0</v>
      </c>
      <c r="AM165" s="2389">
        <f t="shared" si="87"/>
        <v>0</v>
      </c>
      <c r="AO165" s="2397" t="str">
        <f t="shared" si="76"/>
        <v/>
      </c>
      <c r="AP165" s="1300" t="str">
        <f t="shared" si="77"/>
        <v/>
      </c>
      <c r="AQ165" s="1300" t="str">
        <f t="shared" si="78"/>
        <v>0</v>
      </c>
      <c r="AR165" s="2389">
        <f t="shared" si="88"/>
        <v>0</v>
      </c>
      <c r="AT165" s="2388" t="str">
        <f t="shared" si="79"/>
        <v/>
      </c>
      <c r="AU165" s="1300" t="str">
        <f t="shared" si="80"/>
        <v/>
      </c>
      <c r="AV165" s="1300" t="str">
        <f t="shared" si="81"/>
        <v>0</v>
      </c>
      <c r="AW165" s="2389">
        <f t="shared" si="89"/>
        <v>0</v>
      </c>
      <c r="BD165" s="2154"/>
      <c r="BH165" s="2154"/>
      <c r="BK165" s="1785" t="s">
        <v>2070</v>
      </c>
      <c r="BL165" s="983"/>
      <c r="BM165" s="983"/>
      <c r="BN165" s="983"/>
    </row>
    <row r="166" spans="1:66" ht="16.2" customHeight="1" x14ac:dyDescent="0.25">
      <c r="A166" s="409" t="s">
        <v>1038</v>
      </c>
      <c r="B166" s="3854" t="s">
        <v>386</v>
      </c>
      <c r="C166" s="3854"/>
      <c r="D166" s="3856"/>
      <c r="E166" s="3858" t="s">
        <v>374</v>
      </c>
      <c r="F166" s="1299" t="str">
        <f>IFERROR(IF(ISBLANK(E166),"","Consumption (" &amp; VLOOKUP($E166,PO_Enrgy_1_Table,MATCH($C$16,PO_Enrgy_1_Hdr,0),FALSE) &amp; ")"),"")</f>
        <v/>
      </c>
      <c r="G166" s="1300"/>
      <c r="H166" s="1300"/>
      <c r="I166" s="1300"/>
      <c r="J166" s="1300"/>
      <c r="K166" s="3845" t="str">
        <f t="shared" si="68"/>
        <v/>
      </c>
      <c r="L166" s="3845"/>
      <c r="M166" s="3845"/>
      <c r="R166" s="627" t="str">
        <f t="shared" si="82"/>
        <v/>
      </c>
      <c r="S166" s="627" t="str">
        <f t="shared" si="83"/>
        <v/>
      </c>
      <c r="T166" s="627" t="str">
        <f t="shared" si="91"/>
        <v/>
      </c>
      <c r="V166" s="3159">
        <f>IF(D166="x",K166,0)</f>
        <v>0</v>
      </c>
      <c r="W166" s="3954" t="str">
        <f>IF(E166="Electricity","kWh",IF(E166="Natural Gas","THERM",IF(E166="District Cooling","MWh","")))</f>
        <v>kWh</v>
      </c>
      <c r="Y166" s="3846" t="b">
        <f>IF(D166="x",FALSE,TRUE)</f>
        <v>1</v>
      </c>
      <c r="AA166" s="1300" t="str">
        <f t="shared" ca="1" si="69"/>
        <v/>
      </c>
      <c r="AB166" s="1300" t="str">
        <f t="shared" ca="1" si="70"/>
        <v/>
      </c>
      <c r="AC166" s="1300" t="str">
        <f t="shared" ca="1" si="71"/>
        <v/>
      </c>
      <c r="AD166" s="1300" t="str">
        <f t="shared" ca="1" si="72"/>
        <v/>
      </c>
      <c r="AE166" s="2486"/>
      <c r="AF166" s="2388" t="str">
        <f t="shared" si="84"/>
        <v/>
      </c>
      <c r="AG166" s="1300" t="str">
        <f t="shared" si="85"/>
        <v>0</v>
      </c>
      <c r="AH166" s="2389">
        <f t="shared" si="86"/>
        <v>0</v>
      </c>
      <c r="AJ166" s="2397" t="str">
        <f t="shared" si="73"/>
        <v/>
      </c>
      <c r="AK166" s="1300" t="str">
        <f t="shared" si="74"/>
        <v/>
      </c>
      <c r="AL166" s="1300" t="str">
        <f t="shared" si="75"/>
        <v>0</v>
      </c>
      <c r="AM166" s="2389">
        <f t="shared" si="87"/>
        <v>0</v>
      </c>
      <c r="AO166" s="2397" t="str">
        <f t="shared" si="76"/>
        <v/>
      </c>
      <c r="AP166" s="1300" t="str">
        <f t="shared" si="77"/>
        <v/>
      </c>
      <c r="AQ166" s="1300" t="str">
        <f t="shared" si="78"/>
        <v>0</v>
      </c>
      <c r="AR166" s="2389">
        <f t="shared" si="88"/>
        <v>0</v>
      </c>
      <c r="AT166" s="2388" t="str">
        <f t="shared" si="79"/>
        <v/>
      </c>
      <c r="AU166" s="1300" t="str">
        <f t="shared" si="80"/>
        <v/>
      </c>
      <c r="AV166" s="1300" t="str">
        <f t="shared" si="81"/>
        <v>0</v>
      </c>
      <c r="AW166" s="2389">
        <f t="shared" si="89"/>
        <v>0</v>
      </c>
      <c r="BD166" s="2154"/>
      <c r="BH166" s="2154"/>
      <c r="BK166" s="1785" t="s">
        <v>2071</v>
      </c>
      <c r="BL166" s="983" t="s">
        <v>1978</v>
      </c>
      <c r="BM166" s="983" t="s">
        <v>374</v>
      </c>
      <c r="BN166" s="983">
        <f>IF(BL166&lt;&gt;"",IFERROR(MATCH(BL166&amp;BM166,'Results from Trace'!$L$1:$L$21,0),""),"")</f>
        <v>12</v>
      </c>
    </row>
    <row r="167" spans="1:66" ht="16.2" customHeight="1" x14ac:dyDescent="0.25">
      <c r="A167" s="409" t="s">
        <v>1038</v>
      </c>
      <c r="B167" s="3854"/>
      <c r="C167" s="3854"/>
      <c r="D167" s="3857"/>
      <c r="E167" s="3858"/>
      <c r="F167" s="1299" t="str">
        <f>IFERROR(IF(ISBLANK(E166),"","Demand (" &amp; VLOOKUP($E166,PO_Enrgy_1_Table,MATCH($E$16,PO_Enrgy_1_Hdr,0),FALSE) &amp; ")"),"")</f>
        <v/>
      </c>
      <c r="G167" s="1300"/>
      <c r="H167" s="1300"/>
      <c r="I167" s="1300"/>
      <c r="J167" s="1300"/>
      <c r="K167" s="3845" t="str">
        <f t="shared" si="68"/>
        <v/>
      </c>
      <c r="L167" s="3845"/>
      <c r="M167" s="3845"/>
      <c r="R167" s="627" t="str">
        <f t="shared" si="82"/>
        <v/>
      </c>
      <c r="S167" s="627" t="str">
        <f t="shared" si="83"/>
        <v/>
      </c>
      <c r="T167" s="627" t="str">
        <f t="shared" si="91"/>
        <v/>
      </c>
      <c r="V167" s="3159"/>
      <c r="W167" s="3954"/>
      <c r="Y167" s="3846"/>
      <c r="AA167" s="1300" t="str">
        <f t="shared" ca="1" si="69"/>
        <v/>
      </c>
      <c r="AB167" s="1300" t="str">
        <f t="shared" ca="1" si="70"/>
        <v/>
      </c>
      <c r="AC167" s="1300" t="str">
        <f t="shared" ca="1" si="71"/>
        <v/>
      </c>
      <c r="AD167" s="1300" t="str">
        <f t="shared" ca="1" si="72"/>
        <v/>
      </c>
      <c r="AE167" s="2486"/>
      <c r="AF167" s="2388" t="str">
        <f t="shared" si="84"/>
        <v/>
      </c>
      <c r="AG167" s="1300" t="str">
        <f t="shared" si="85"/>
        <v>0</v>
      </c>
      <c r="AH167" s="2389">
        <f t="shared" si="86"/>
        <v>0</v>
      </c>
      <c r="AJ167" s="2397" t="str">
        <f t="shared" si="73"/>
        <v/>
      </c>
      <c r="AK167" s="1300" t="str">
        <f t="shared" si="74"/>
        <v/>
      </c>
      <c r="AL167" s="1300" t="str">
        <f t="shared" si="75"/>
        <v>0</v>
      </c>
      <c r="AM167" s="2389">
        <f t="shared" si="87"/>
        <v>0</v>
      </c>
      <c r="AO167" s="2397" t="str">
        <f t="shared" si="76"/>
        <v/>
      </c>
      <c r="AP167" s="1300" t="str">
        <f t="shared" si="77"/>
        <v/>
      </c>
      <c r="AQ167" s="1300" t="str">
        <f t="shared" si="78"/>
        <v>0</v>
      </c>
      <c r="AR167" s="2389">
        <f t="shared" si="88"/>
        <v>0</v>
      </c>
      <c r="AT167" s="2388" t="str">
        <f t="shared" si="79"/>
        <v/>
      </c>
      <c r="AU167" s="1300" t="str">
        <f t="shared" si="80"/>
        <v/>
      </c>
      <c r="AV167" s="1300" t="str">
        <f t="shared" si="81"/>
        <v>0</v>
      </c>
      <c r="AW167" s="2389">
        <f t="shared" si="89"/>
        <v>0</v>
      </c>
      <c r="BD167" s="2154"/>
      <c r="BH167" s="2154"/>
      <c r="BK167" s="1785" t="s">
        <v>2072</v>
      </c>
      <c r="BL167" s="983"/>
      <c r="BM167" s="983"/>
      <c r="BN167" s="983"/>
    </row>
    <row r="168" spans="1:66" ht="16.2" customHeight="1" x14ac:dyDescent="0.25">
      <c r="A168" s="409" t="s">
        <v>1038</v>
      </c>
      <c r="B168" s="3854" t="s">
        <v>385</v>
      </c>
      <c r="C168" s="3854"/>
      <c r="D168" s="3856"/>
      <c r="E168" s="3858" t="s">
        <v>374</v>
      </c>
      <c r="F168" s="1299" t="str">
        <f>IFERROR(IF(ISBLANK(E168),"","Consumption (" &amp; VLOOKUP($E168,PO_Enrgy_1_Table,MATCH($C$16,PO_Enrgy_1_Hdr,0),FALSE) &amp; ")"),"")</f>
        <v/>
      </c>
      <c r="G168" s="1300"/>
      <c r="H168" s="1300"/>
      <c r="I168" s="1300"/>
      <c r="J168" s="1300"/>
      <c r="K168" s="3845" t="str">
        <f t="shared" si="68"/>
        <v/>
      </c>
      <c r="L168" s="3845"/>
      <c r="M168" s="3845"/>
      <c r="R168" s="627" t="str">
        <f t="shared" si="82"/>
        <v/>
      </c>
      <c r="S168" s="627" t="str">
        <f t="shared" si="83"/>
        <v/>
      </c>
      <c r="T168" s="627" t="str">
        <f t="shared" si="91"/>
        <v/>
      </c>
      <c r="V168" s="3159">
        <f>IF(D168="x",K168,0)</f>
        <v>0</v>
      </c>
      <c r="W168" s="3954" t="str">
        <f>IF(E168="Electricity","kWh",IF(E168="Natural Gas","THERM",IF(E168="District Cooling","MWh","")))</f>
        <v>kWh</v>
      </c>
      <c r="Y168" s="3846" t="b">
        <f>IF(D168="x",FALSE,TRUE)</f>
        <v>1</v>
      </c>
      <c r="AA168" s="1300" t="str">
        <f t="shared" ca="1" si="69"/>
        <v/>
      </c>
      <c r="AB168" s="1300" t="str">
        <f t="shared" ca="1" si="70"/>
        <v/>
      </c>
      <c r="AC168" s="1300" t="str">
        <f t="shared" ca="1" si="71"/>
        <v/>
      </c>
      <c r="AD168" s="1300" t="str">
        <f t="shared" ca="1" si="72"/>
        <v/>
      </c>
      <c r="AE168" s="2486"/>
      <c r="AF168" s="2388" t="str">
        <f t="shared" si="84"/>
        <v/>
      </c>
      <c r="AG168" s="1300" t="str">
        <f t="shared" si="85"/>
        <v>0</v>
      </c>
      <c r="AH168" s="2389">
        <f t="shared" si="86"/>
        <v>0</v>
      </c>
      <c r="AJ168" s="2397" t="str">
        <f t="shared" si="73"/>
        <v/>
      </c>
      <c r="AK168" s="1300" t="str">
        <f t="shared" si="74"/>
        <v/>
      </c>
      <c r="AL168" s="1300" t="str">
        <f t="shared" si="75"/>
        <v>0</v>
      </c>
      <c r="AM168" s="2389">
        <f t="shared" si="87"/>
        <v>0</v>
      </c>
      <c r="AO168" s="2397" t="str">
        <f t="shared" si="76"/>
        <v/>
      </c>
      <c r="AP168" s="1300" t="str">
        <f t="shared" si="77"/>
        <v/>
      </c>
      <c r="AQ168" s="1300" t="str">
        <f t="shared" si="78"/>
        <v>0</v>
      </c>
      <c r="AR168" s="2389">
        <f t="shared" si="88"/>
        <v>0</v>
      </c>
      <c r="AT168" s="2388" t="str">
        <f t="shared" si="79"/>
        <v/>
      </c>
      <c r="AU168" s="1300" t="str">
        <f t="shared" si="80"/>
        <v/>
      </c>
      <c r="AV168" s="1300" t="str">
        <f t="shared" si="81"/>
        <v>0</v>
      </c>
      <c r="AW168" s="2389">
        <f t="shared" si="89"/>
        <v>0</v>
      </c>
      <c r="BD168" s="2154"/>
      <c r="BH168" s="2154"/>
      <c r="BK168" s="1785" t="s">
        <v>2073</v>
      </c>
      <c r="BL168" s="983" t="s">
        <v>1979</v>
      </c>
      <c r="BM168" s="983" t="s">
        <v>374</v>
      </c>
      <c r="BN168" s="983">
        <f>IF(BL168&lt;&gt;"",IFERROR(MATCH(BL168&amp;BM168,'Results from Trace'!$L$1:$L$21,0),""),"")</f>
        <v>13</v>
      </c>
    </row>
    <row r="169" spans="1:66" ht="16.2" customHeight="1" x14ac:dyDescent="0.25">
      <c r="A169" s="409" t="s">
        <v>1038</v>
      </c>
      <c r="B169" s="3854"/>
      <c r="C169" s="3854"/>
      <c r="D169" s="3857"/>
      <c r="E169" s="3858"/>
      <c r="F169" s="1299" t="str">
        <f>IFERROR(IF(ISBLANK(E168),"","Demand (" &amp; VLOOKUP($E168,PO_Enrgy_1_Table,MATCH($E$16,PO_Enrgy_1_Hdr,0),FALSE) &amp; ")"),"")</f>
        <v/>
      </c>
      <c r="G169" s="1300"/>
      <c r="H169" s="1300"/>
      <c r="I169" s="1300"/>
      <c r="J169" s="1300"/>
      <c r="K169" s="3845" t="str">
        <f t="shared" si="68"/>
        <v/>
      </c>
      <c r="L169" s="3845"/>
      <c r="M169" s="3845"/>
      <c r="R169" s="627" t="str">
        <f t="shared" si="82"/>
        <v/>
      </c>
      <c r="S169" s="627" t="str">
        <f t="shared" si="83"/>
        <v/>
      </c>
      <c r="T169" s="627" t="str">
        <f t="shared" si="91"/>
        <v/>
      </c>
      <c r="V169" s="3159"/>
      <c r="W169" s="3954"/>
      <c r="Y169" s="3846"/>
      <c r="AA169" s="1300" t="str">
        <f t="shared" ca="1" si="69"/>
        <v/>
      </c>
      <c r="AB169" s="1300" t="str">
        <f t="shared" ca="1" si="70"/>
        <v/>
      </c>
      <c r="AC169" s="1300" t="str">
        <f t="shared" ca="1" si="71"/>
        <v/>
      </c>
      <c r="AD169" s="1300" t="str">
        <f t="shared" ca="1" si="72"/>
        <v/>
      </c>
      <c r="AE169" s="2486"/>
      <c r="AF169" s="2388" t="str">
        <f t="shared" si="84"/>
        <v/>
      </c>
      <c r="AG169" s="1300" t="str">
        <f t="shared" si="85"/>
        <v>0</v>
      </c>
      <c r="AH169" s="2389">
        <f t="shared" si="86"/>
        <v>0</v>
      </c>
      <c r="AJ169" s="2397" t="str">
        <f t="shared" si="73"/>
        <v/>
      </c>
      <c r="AK169" s="1300" t="str">
        <f t="shared" si="74"/>
        <v/>
      </c>
      <c r="AL169" s="1300" t="str">
        <f t="shared" si="75"/>
        <v>0</v>
      </c>
      <c r="AM169" s="2389">
        <f t="shared" si="87"/>
        <v>0</v>
      </c>
      <c r="AO169" s="2397" t="str">
        <f t="shared" si="76"/>
        <v/>
      </c>
      <c r="AP169" s="1300" t="str">
        <f t="shared" si="77"/>
        <v/>
      </c>
      <c r="AQ169" s="1300" t="str">
        <f t="shared" si="78"/>
        <v>0</v>
      </c>
      <c r="AR169" s="2389">
        <f t="shared" si="88"/>
        <v>0</v>
      </c>
      <c r="AT169" s="2388" t="str">
        <f t="shared" si="79"/>
        <v/>
      </c>
      <c r="AU169" s="1300" t="str">
        <f t="shared" si="80"/>
        <v/>
      </c>
      <c r="AV169" s="1300" t="str">
        <f t="shared" si="81"/>
        <v>0</v>
      </c>
      <c r="AW169" s="2389">
        <f t="shared" si="89"/>
        <v>0</v>
      </c>
      <c r="BD169" s="2154"/>
      <c r="BH169" s="2154"/>
      <c r="BK169" s="1785" t="s">
        <v>2074</v>
      </c>
      <c r="BL169" s="983"/>
      <c r="BM169" s="983"/>
      <c r="BN169" s="983"/>
    </row>
    <row r="170" spans="1:66" ht="16.2" customHeight="1" x14ac:dyDescent="0.25">
      <c r="A170" s="433" t="s">
        <v>1038</v>
      </c>
      <c r="B170" s="3854" t="s">
        <v>384</v>
      </c>
      <c r="C170" s="3854"/>
      <c r="D170" s="3856"/>
      <c r="E170" s="3858" t="s">
        <v>374</v>
      </c>
      <c r="F170" s="1299" t="str">
        <f>IFERROR(IF(ISBLANK(E170),"","Consumption (" &amp; VLOOKUP($E170,PO_Enrgy_1_Table,MATCH($C$16,PO_Enrgy_1_Hdr,0),FALSE) &amp; ")"),"")</f>
        <v/>
      </c>
      <c r="G170" s="1300"/>
      <c r="H170" s="1300"/>
      <c r="I170" s="1300"/>
      <c r="J170" s="1300"/>
      <c r="K170" s="3845" t="str">
        <f t="shared" si="68"/>
        <v/>
      </c>
      <c r="L170" s="3845"/>
      <c r="M170" s="3845"/>
      <c r="R170" s="627" t="str">
        <f t="shared" si="82"/>
        <v/>
      </c>
      <c r="S170" s="627" t="str">
        <f t="shared" si="83"/>
        <v/>
      </c>
      <c r="T170" s="627" t="str">
        <f t="shared" si="91"/>
        <v/>
      </c>
      <c r="V170" s="3159">
        <f>IF(D170="x",K170,0)</f>
        <v>0</v>
      </c>
      <c r="W170" s="3954" t="str">
        <f>IF(E170="Electricity","kWh",IF(E170="Natural Gas","THERM",IF(E170="District Cooling","MWh","")))</f>
        <v>kWh</v>
      </c>
      <c r="Y170" s="3846" t="b">
        <f>IF(D170="x",FALSE,TRUE)</f>
        <v>1</v>
      </c>
      <c r="AA170" s="1300" t="str">
        <f t="shared" ca="1" si="69"/>
        <v/>
      </c>
      <c r="AB170" s="1300" t="str">
        <f t="shared" ca="1" si="70"/>
        <v/>
      </c>
      <c r="AC170" s="1300" t="str">
        <f t="shared" ca="1" si="71"/>
        <v/>
      </c>
      <c r="AD170" s="1300" t="str">
        <f t="shared" ca="1" si="72"/>
        <v/>
      </c>
      <c r="AE170" s="2486"/>
      <c r="AF170" s="2388" t="str">
        <f t="shared" si="84"/>
        <v/>
      </c>
      <c r="AG170" s="1300" t="str">
        <f t="shared" si="85"/>
        <v>0</v>
      </c>
      <c r="AH170" s="2389">
        <f t="shared" si="86"/>
        <v>0</v>
      </c>
      <c r="AJ170" s="2397" t="str">
        <f t="shared" si="73"/>
        <v/>
      </c>
      <c r="AK170" s="1300" t="str">
        <f t="shared" si="74"/>
        <v/>
      </c>
      <c r="AL170" s="1300" t="str">
        <f t="shared" si="75"/>
        <v>0</v>
      </c>
      <c r="AM170" s="2389">
        <f t="shared" si="87"/>
        <v>0</v>
      </c>
      <c r="AO170" s="2397" t="str">
        <f t="shared" si="76"/>
        <v/>
      </c>
      <c r="AP170" s="1300" t="str">
        <f t="shared" si="77"/>
        <v/>
      </c>
      <c r="AQ170" s="1300" t="str">
        <f t="shared" si="78"/>
        <v>0</v>
      </c>
      <c r="AR170" s="2389">
        <f t="shared" si="88"/>
        <v>0</v>
      </c>
      <c r="AT170" s="2388" t="str">
        <f t="shared" si="79"/>
        <v/>
      </c>
      <c r="AU170" s="1300" t="str">
        <f t="shared" si="80"/>
        <v/>
      </c>
      <c r="AV170" s="1300" t="str">
        <f t="shared" si="81"/>
        <v>0</v>
      </c>
      <c r="AW170" s="2389">
        <f t="shared" si="89"/>
        <v>0</v>
      </c>
      <c r="BD170" s="2154"/>
      <c r="BH170" s="2154"/>
      <c r="BK170" s="1785"/>
      <c r="BL170" s="983"/>
      <c r="BM170" s="983"/>
      <c r="BN170" s="983" t="str">
        <f>IF(BL170&lt;&gt;"",IFERROR(MATCH(BL170&amp;BM170,'Results from Trace'!$L$1:$L$21,0),""),"")</f>
        <v/>
      </c>
    </row>
    <row r="171" spans="1:66" ht="16.2" customHeight="1" x14ac:dyDescent="0.25">
      <c r="A171" s="433" t="s">
        <v>1038</v>
      </c>
      <c r="B171" s="3854"/>
      <c r="C171" s="3854"/>
      <c r="D171" s="3857"/>
      <c r="E171" s="3858"/>
      <c r="F171" s="1299" t="str">
        <f>IFERROR(IF(ISBLANK(E170),"","Demand (" &amp; VLOOKUP($E170,PO_Enrgy_1_Table,MATCH($E$16,PO_Enrgy_1_Hdr,0),FALSE) &amp; ")"),"")</f>
        <v/>
      </c>
      <c r="G171" s="1300"/>
      <c r="H171" s="1300"/>
      <c r="I171" s="1300"/>
      <c r="J171" s="1300"/>
      <c r="K171" s="3845" t="str">
        <f t="shared" si="68"/>
        <v/>
      </c>
      <c r="L171" s="3845"/>
      <c r="M171" s="3845"/>
      <c r="R171" s="627" t="str">
        <f t="shared" si="82"/>
        <v/>
      </c>
      <c r="S171" s="627" t="str">
        <f t="shared" si="83"/>
        <v/>
      </c>
      <c r="T171" s="627" t="str">
        <f>IFERROR(IF(FIND("Consumption",F171),(K171*VLOOKUP(MID(F171,FIND("(",F171)+1,LEN(F171)-FIND("(",F171)-1),EnergyUnitsTable,3,FALSE))/(K174*VLOOKUP(MID(F174,FIND("(",F174)+1,LEN(F174)-FIND("(",F174)-1),DemandTable,3,FALSE)),1),"")</f>
        <v/>
      </c>
      <c r="V171" s="3159"/>
      <c r="W171" s="3954"/>
      <c r="Y171" s="3846"/>
      <c r="AA171" s="1300" t="str">
        <f t="shared" ca="1" si="69"/>
        <v/>
      </c>
      <c r="AB171" s="1300" t="str">
        <f t="shared" ca="1" si="70"/>
        <v/>
      </c>
      <c r="AC171" s="1300" t="str">
        <f t="shared" ca="1" si="71"/>
        <v/>
      </c>
      <c r="AD171" s="1300" t="str">
        <f t="shared" ca="1" si="72"/>
        <v/>
      </c>
      <c r="AE171" s="2486"/>
      <c r="AF171" s="2388" t="str">
        <f t="shared" si="84"/>
        <v/>
      </c>
      <c r="AG171" s="1300" t="str">
        <f t="shared" si="85"/>
        <v>0</v>
      </c>
      <c r="AH171" s="2389">
        <f t="shared" si="86"/>
        <v>0</v>
      </c>
      <c r="AJ171" s="2397" t="str">
        <f t="shared" si="73"/>
        <v/>
      </c>
      <c r="AK171" s="1300" t="str">
        <f t="shared" si="74"/>
        <v/>
      </c>
      <c r="AL171" s="1300" t="str">
        <f t="shared" si="75"/>
        <v>0</v>
      </c>
      <c r="AM171" s="2389">
        <f t="shared" si="87"/>
        <v>0</v>
      </c>
      <c r="AO171" s="2397" t="str">
        <f t="shared" si="76"/>
        <v/>
      </c>
      <c r="AP171" s="1300" t="str">
        <f t="shared" si="77"/>
        <v/>
      </c>
      <c r="AQ171" s="1300" t="str">
        <f t="shared" si="78"/>
        <v>0</v>
      </c>
      <c r="AR171" s="2389">
        <f t="shared" si="88"/>
        <v>0</v>
      </c>
      <c r="AT171" s="2388" t="str">
        <f t="shared" si="79"/>
        <v/>
      </c>
      <c r="AU171" s="1300" t="str">
        <f t="shared" si="80"/>
        <v/>
      </c>
      <c r="AV171" s="1300" t="str">
        <f t="shared" si="81"/>
        <v>0</v>
      </c>
      <c r="AW171" s="2389">
        <f t="shared" si="89"/>
        <v>0</v>
      </c>
      <c r="BD171" s="2154"/>
      <c r="BH171" s="2154"/>
      <c r="BK171" s="1785"/>
      <c r="BL171" s="983"/>
      <c r="BM171" s="983"/>
      <c r="BN171" s="983"/>
    </row>
    <row r="172" spans="1:66" ht="16.2" customHeight="1" x14ac:dyDescent="0.25">
      <c r="A172" s="433" t="s">
        <v>1038</v>
      </c>
      <c r="B172" s="3854" t="s">
        <v>379</v>
      </c>
      <c r="C172" s="3854"/>
      <c r="D172" s="3856"/>
      <c r="E172" s="3858" t="s">
        <v>374</v>
      </c>
      <c r="F172" s="1299" t="str">
        <f>IFERROR(IF(ISBLANK(E172),"","Consumption (" &amp; VLOOKUP($E172,PO_Enrgy_1_Table,MATCH($C$16,PO_Enrgy_1_Hdr,0),FALSE) &amp; ")"),"")</f>
        <v/>
      </c>
      <c r="G172" s="1300"/>
      <c r="H172" s="1300"/>
      <c r="I172" s="1300"/>
      <c r="J172" s="1300"/>
      <c r="K172" s="3845" t="str">
        <f>IFERROR(AVERAGEIF(G172:J172,"&lt;&gt;0"),"")</f>
        <v/>
      </c>
      <c r="L172" s="3845"/>
      <c r="M172" s="3845"/>
      <c r="R172" s="627" t="str">
        <f>IFERROR(IF(ISBLANK($E172),"",VLOOKUP($E172,PO_Enrgy_1_Table,MATCH($K$16,PO_Enrgy_1_Hdr,0),FALSE)),"")</f>
        <v/>
      </c>
      <c r="S172" s="627" t="str">
        <f>IFERROR(IF(ISBLANK($E172),"",VLOOKUP($E172,PO_Enrgy_1_Table,MATCH($M$16,PO_Enrgy_1_Hdr,0),FALSE)),"")</f>
        <v/>
      </c>
      <c r="T172" s="627" t="str">
        <f>IFERROR(IF(FIND("Consumption",F172),(K172*VLOOKUP(MID(F172,FIND("(",F172)+1,LEN(F172)-FIND("(",F172)-1),EnergyUnitsTable,3,FALSE))/(K173*VLOOKUP(MID(F173,FIND("(",F173)+1,LEN(F173)-FIND("(",F173)-1),DemandTable,3,FALSE)),1),"")</f>
        <v/>
      </c>
      <c r="V172" s="3159">
        <f>IF(D172="x",K172,0)</f>
        <v>0</v>
      </c>
      <c r="W172" s="3954" t="str">
        <f>IF(E172="Electricity","kWh",IF(E172="Natural Gas","THERM",IF(E172="District Cooling","MWh","")))</f>
        <v>kWh</v>
      </c>
      <c r="Y172" s="3846" t="b">
        <f>IF(D172="x",FALSE,TRUE)</f>
        <v>1</v>
      </c>
      <c r="AA172" s="1300" t="str">
        <f t="shared" ca="1" si="69"/>
        <v/>
      </c>
      <c r="AB172" s="1300" t="str">
        <f t="shared" ca="1" si="70"/>
        <v/>
      </c>
      <c r="AC172" s="1300" t="str">
        <f t="shared" ca="1" si="71"/>
        <v/>
      </c>
      <c r="AD172" s="1300" t="str">
        <f t="shared" ca="1" si="72"/>
        <v/>
      </c>
      <c r="AE172" s="2486"/>
      <c r="AF172" s="2388" t="str">
        <f t="shared" si="84"/>
        <v/>
      </c>
      <c r="AG172" s="1300" t="str">
        <f t="shared" si="85"/>
        <v>0</v>
      </c>
      <c r="AH172" s="2389">
        <f t="shared" si="86"/>
        <v>0</v>
      </c>
      <c r="AJ172" s="2397" t="str">
        <f t="shared" si="73"/>
        <v/>
      </c>
      <c r="AK172" s="1300" t="str">
        <f t="shared" si="74"/>
        <v/>
      </c>
      <c r="AL172" s="1300" t="str">
        <f t="shared" si="75"/>
        <v>0</v>
      </c>
      <c r="AM172" s="2389">
        <f t="shared" si="87"/>
        <v>0</v>
      </c>
      <c r="AO172" s="2397" t="str">
        <f t="shared" si="76"/>
        <v/>
      </c>
      <c r="AP172" s="1300" t="str">
        <f t="shared" si="77"/>
        <v/>
      </c>
      <c r="AQ172" s="1300" t="str">
        <f t="shared" si="78"/>
        <v>0</v>
      </c>
      <c r="AR172" s="2389">
        <f t="shared" si="88"/>
        <v>0</v>
      </c>
      <c r="AT172" s="2388" t="str">
        <f t="shared" si="79"/>
        <v/>
      </c>
      <c r="AU172" s="1300" t="str">
        <f t="shared" si="80"/>
        <v/>
      </c>
      <c r="AV172" s="1300" t="str">
        <f t="shared" si="81"/>
        <v>0</v>
      </c>
      <c r="AW172" s="2389">
        <f t="shared" si="89"/>
        <v>0</v>
      </c>
      <c r="BD172" s="2154"/>
      <c r="BH172" s="2154"/>
      <c r="BK172" s="1785"/>
      <c r="BL172" s="983"/>
      <c r="BM172" s="983"/>
      <c r="BN172" s="983" t="str">
        <f>IF(BL172&lt;&gt;"",IFERROR(MATCH(BL172&amp;BM172,'Results from Trace'!$L$1:$L$21,0),""),"")</f>
        <v/>
      </c>
    </row>
    <row r="173" spans="1:66" ht="16.2" customHeight="1" x14ac:dyDescent="0.25">
      <c r="A173" s="433" t="s">
        <v>1038</v>
      </c>
      <c r="B173" s="3854"/>
      <c r="C173" s="3854"/>
      <c r="D173" s="3857"/>
      <c r="E173" s="3858"/>
      <c r="F173" s="1299" t="str">
        <f>IFERROR(IF(ISBLANK(E172),"","Demand (" &amp; VLOOKUP($E172,PO_Enrgy_1_Table,MATCH($E$16,PO_Enrgy_1_Hdr,0),FALSE) &amp; ")"),"")</f>
        <v/>
      </c>
      <c r="G173" s="1300"/>
      <c r="H173" s="1300"/>
      <c r="I173" s="1300"/>
      <c r="J173" s="1300"/>
      <c r="K173" s="3845" t="str">
        <f>IFERROR(AVERAGEIF(G173:J173,"&lt;&gt;0"),"")</f>
        <v/>
      </c>
      <c r="L173" s="3845"/>
      <c r="M173" s="3845"/>
      <c r="R173" s="627" t="str">
        <f>IFERROR(IF(ISBLANK($E173),"",VLOOKUP($E173,PO_Enrgy_1_Table,MATCH($K$16,PO_Enrgy_1_Hdr,0),FALSE)),"")</f>
        <v/>
      </c>
      <c r="S173" s="627" t="str">
        <f>IFERROR(IF(ISBLANK($E173),"",VLOOKUP($E173,PO_Enrgy_1_Table,MATCH($M$16,PO_Enrgy_1_Hdr,0),FALSE)),"")</f>
        <v/>
      </c>
      <c r="T173" s="627" t="str">
        <f>IFERROR(IF(FIND("Consumption",F173),(K173*VLOOKUP(MID(F173,FIND("(",F173)+1,LEN(F173)-FIND("(",F173)-1),EnergyUnitsTable,3,FALSE))/(K184*VLOOKUP(MID(F184,FIND("(",F184)+1,LEN(F184)-FIND("(",F184)-1),DemandTable,3,FALSE)),1),"")</f>
        <v/>
      </c>
      <c r="V173" s="3159"/>
      <c r="W173" s="3954"/>
      <c r="Y173" s="3846"/>
      <c r="AA173" s="1300" t="str">
        <f t="shared" ca="1" si="69"/>
        <v/>
      </c>
      <c r="AB173" s="1300" t="str">
        <f t="shared" ca="1" si="70"/>
        <v/>
      </c>
      <c r="AC173" s="1300" t="str">
        <f t="shared" ca="1" si="71"/>
        <v/>
      </c>
      <c r="AD173" s="1300" t="str">
        <f t="shared" ca="1" si="72"/>
        <v/>
      </c>
      <c r="AE173" s="2486"/>
      <c r="AF173" s="2388" t="str">
        <f t="shared" si="84"/>
        <v/>
      </c>
      <c r="AG173" s="1300" t="str">
        <f t="shared" si="85"/>
        <v>0</v>
      </c>
      <c r="AH173" s="2389">
        <f t="shared" si="86"/>
        <v>0</v>
      </c>
      <c r="AJ173" s="2397" t="str">
        <f t="shared" si="73"/>
        <v/>
      </c>
      <c r="AK173" s="1300" t="str">
        <f t="shared" si="74"/>
        <v/>
      </c>
      <c r="AL173" s="1300" t="str">
        <f t="shared" si="75"/>
        <v>0</v>
      </c>
      <c r="AM173" s="2389">
        <f t="shared" si="87"/>
        <v>0</v>
      </c>
      <c r="AO173" s="2397" t="str">
        <f t="shared" si="76"/>
        <v/>
      </c>
      <c r="AP173" s="1300" t="str">
        <f t="shared" si="77"/>
        <v/>
      </c>
      <c r="AQ173" s="1300" t="str">
        <f t="shared" si="78"/>
        <v>0</v>
      </c>
      <c r="AR173" s="2389">
        <f t="shared" si="88"/>
        <v>0</v>
      </c>
      <c r="AT173" s="2388" t="str">
        <f t="shared" si="79"/>
        <v/>
      </c>
      <c r="AU173" s="1300" t="str">
        <f t="shared" si="80"/>
        <v/>
      </c>
      <c r="AV173" s="1300" t="str">
        <f t="shared" si="81"/>
        <v>0</v>
      </c>
      <c r="AW173" s="2389">
        <f t="shared" si="89"/>
        <v>0</v>
      </c>
      <c r="BD173" s="2154"/>
      <c r="BH173" s="2154"/>
      <c r="BK173" s="1785"/>
      <c r="BL173" s="983"/>
      <c r="BM173" s="983"/>
      <c r="BN173" s="983"/>
    </row>
    <row r="174" spans="1:66" ht="16.2" customHeight="1" x14ac:dyDescent="0.25">
      <c r="A174" s="433" t="s">
        <v>1038</v>
      </c>
      <c r="B174" s="3854" t="s">
        <v>383</v>
      </c>
      <c r="C174" s="3854"/>
      <c r="D174" s="3856"/>
      <c r="E174" s="3858" t="s">
        <v>388</v>
      </c>
      <c r="F174" s="1299" t="str">
        <f>IFERROR(IF(ISBLANK(E174),"","Consumption (" &amp; VLOOKUP($E174,PO_Enrgy_1_Table,MATCH($C$16,PO_Enrgy_1_Hdr,0),FALSE) &amp; ")"),"")</f>
        <v/>
      </c>
      <c r="G174" s="1300"/>
      <c r="H174" s="1300"/>
      <c r="I174" s="1300"/>
      <c r="J174" s="1300"/>
      <c r="K174" s="3845" t="str">
        <f t="shared" si="68"/>
        <v/>
      </c>
      <c r="L174" s="3845"/>
      <c r="M174" s="3845"/>
      <c r="R174" s="627" t="str">
        <f t="shared" si="82"/>
        <v/>
      </c>
      <c r="S174" s="627" t="str">
        <f t="shared" si="83"/>
        <v/>
      </c>
      <c r="T174" s="627" t="str">
        <f t="shared" si="91"/>
        <v/>
      </c>
      <c r="V174" s="3159">
        <f>IF(D174="x",K174,0)</f>
        <v>0</v>
      </c>
      <c r="W174" s="3954" t="str">
        <f>IF(E174="Electricity","kWh",IF(E174="Natural Gas","THERM",IF(E174="District Cooling","MWh","")))</f>
        <v>THERM</v>
      </c>
      <c r="Y174" s="3846" t="b">
        <f>IF(D174="x",FALSE,TRUE)</f>
        <v>1</v>
      </c>
      <c r="AA174" s="1300" t="str">
        <f t="shared" ca="1" si="69"/>
        <v/>
      </c>
      <c r="AB174" s="1300" t="str">
        <f t="shared" ca="1" si="70"/>
        <v/>
      </c>
      <c r="AC174" s="1300" t="str">
        <f t="shared" ca="1" si="71"/>
        <v/>
      </c>
      <c r="AD174" s="1300" t="str">
        <f t="shared" ca="1" si="72"/>
        <v/>
      </c>
      <c r="AE174" s="2486"/>
      <c r="AF174" s="2388" t="str">
        <f t="shared" si="84"/>
        <v/>
      </c>
      <c r="AG174" s="1300" t="str">
        <f t="shared" si="85"/>
        <v>0</v>
      </c>
      <c r="AH174" s="2389">
        <f t="shared" si="86"/>
        <v>0</v>
      </c>
      <c r="AJ174" s="2397" t="str">
        <f t="shared" si="73"/>
        <v/>
      </c>
      <c r="AK174" s="1300" t="str">
        <f t="shared" si="74"/>
        <v/>
      </c>
      <c r="AL174" s="1300" t="str">
        <f t="shared" si="75"/>
        <v>0</v>
      </c>
      <c r="AM174" s="2389">
        <f t="shared" si="87"/>
        <v>0</v>
      </c>
      <c r="AO174" s="2397" t="str">
        <f t="shared" si="76"/>
        <v/>
      </c>
      <c r="AP174" s="1300" t="str">
        <f t="shared" si="77"/>
        <v/>
      </c>
      <c r="AQ174" s="1300" t="str">
        <f t="shared" si="78"/>
        <v>0</v>
      </c>
      <c r="AR174" s="2389">
        <f t="shared" si="88"/>
        <v>0</v>
      </c>
      <c r="AT174" s="2388" t="str">
        <f t="shared" si="79"/>
        <v/>
      </c>
      <c r="AU174" s="1300" t="str">
        <f t="shared" si="80"/>
        <v/>
      </c>
      <c r="AV174" s="1300" t="str">
        <f t="shared" si="81"/>
        <v>0</v>
      </c>
      <c r="AW174" s="2389">
        <f t="shared" si="89"/>
        <v>0</v>
      </c>
      <c r="BD174" s="2154"/>
      <c r="BH174" s="2154"/>
      <c r="BK174" s="1785" t="s">
        <v>2075</v>
      </c>
      <c r="BL174" s="983" t="s">
        <v>1981</v>
      </c>
      <c r="BM174" s="983" t="s">
        <v>1976</v>
      </c>
      <c r="BN174" s="983">
        <f>IF(BL174&lt;&gt;"",IFERROR(MATCH(BL174&amp;BM174,'Results from Trace'!$L$1:$L$21,0),""),"")</f>
        <v>16</v>
      </c>
    </row>
    <row r="175" spans="1:66" ht="16.2" customHeight="1" x14ac:dyDescent="0.25">
      <c r="A175" s="433" t="s">
        <v>1038</v>
      </c>
      <c r="B175" s="3854"/>
      <c r="C175" s="3854"/>
      <c r="D175" s="3857"/>
      <c r="E175" s="3858"/>
      <c r="F175" s="1299" t="str">
        <f>IFERROR(IF(ISBLANK(E174),"","Demand (" &amp; VLOOKUP($E174,PO_Enrgy_1_Table,MATCH($E$16,PO_Enrgy_1_Hdr,0),FALSE) &amp; ")"),"")</f>
        <v/>
      </c>
      <c r="G175" s="1300"/>
      <c r="H175" s="1300"/>
      <c r="I175" s="1300"/>
      <c r="J175" s="1300"/>
      <c r="K175" s="3845" t="str">
        <f t="shared" si="68"/>
        <v/>
      </c>
      <c r="L175" s="3845"/>
      <c r="M175" s="3845"/>
      <c r="R175" s="627" t="str">
        <f t="shared" si="82"/>
        <v/>
      </c>
      <c r="S175" s="627" t="str">
        <f t="shared" si="83"/>
        <v/>
      </c>
      <c r="T175" s="627" t="str">
        <f>IFERROR(IF(FIND("Consumption",F175),(K175*VLOOKUP(MID(F175,FIND("(",F175)+1,LEN(F175)-FIND("(",F175)-1),EnergyUnitsTable,3,FALSE))/(K178*VLOOKUP(MID(F178,FIND("(",F178)+1,LEN(F178)-FIND("(",F178)-1),DemandTable,3,FALSE)),1),"")</f>
        <v/>
      </c>
      <c r="V175" s="3159"/>
      <c r="W175" s="3954"/>
      <c r="Y175" s="3846"/>
      <c r="AA175" s="1300" t="str">
        <f t="shared" ca="1" si="69"/>
        <v/>
      </c>
      <c r="AB175" s="1300" t="str">
        <f t="shared" ca="1" si="70"/>
        <v/>
      </c>
      <c r="AC175" s="1300" t="str">
        <f t="shared" ca="1" si="71"/>
        <v/>
      </c>
      <c r="AD175" s="1300" t="str">
        <f t="shared" ca="1" si="72"/>
        <v/>
      </c>
      <c r="AE175" s="2486"/>
      <c r="AF175" s="2388" t="str">
        <f t="shared" si="84"/>
        <v/>
      </c>
      <c r="AG175" s="1300" t="str">
        <f t="shared" si="85"/>
        <v>0</v>
      </c>
      <c r="AH175" s="2389">
        <f t="shared" si="86"/>
        <v>0</v>
      </c>
      <c r="AJ175" s="2397" t="str">
        <f t="shared" si="73"/>
        <v/>
      </c>
      <c r="AK175" s="1300" t="str">
        <f t="shared" si="74"/>
        <v/>
      </c>
      <c r="AL175" s="1300" t="str">
        <f t="shared" si="75"/>
        <v>0</v>
      </c>
      <c r="AM175" s="2389">
        <f t="shared" si="87"/>
        <v>0</v>
      </c>
      <c r="AO175" s="2397" t="str">
        <f t="shared" si="76"/>
        <v/>
      </c>
      <c r="AP175" s="1300" t="str">
        <f t="shared" si="77"/>
        <v/>
      </c>
      <c r="AQ175" s="1300" t="str">
        <f t="shared" si="78"/>
        <v>0</v>
      </c>
      <c r="AR175" s="2389">
        <f t="shared" si="88"/>
        <v>0</v>
      </c>
      <c r="AT175" s="2388" t="str">
        <f t="shared" si="79"/>
        <v/>
      </c>
      <c r="AU175" s="1300" t="str">
        <f t="shared" si="80"/>
        <v/>
      </c>
      <c r="AV175" s="1300" t="str">
        <f t="shared" si="81"/>
        <v>0</v>
      </c>
      <c r="AW175" s="2389">
        <f t="shared" si="89"/>
        <v>0</v>
      </c>
      <c r="BD175" s="2154"/>
      <c r="BH175" s="2154"/>
      <c r="BK175" s="1785"/>
      <c r="BL175" s="983"/>
      <c r="BM175" s="983"/>
      <c r="BN175" s="983"/>
    </row>
    <row r="176" spans="1:66" ht="16.2" customHeight="1" x14ac:dyDescent="0.25">
      <c r="A176" s="433" t="s">
        <v>1038</v>
      </c>
      <c r="B176" s="3854" t="s">
        <v>383</v>
      </c>
      <c r="C176" s="3854"/>
      <c r="D176" s="3856"/>
      <c r="E176" s="3858" t="s">
        <v>374</v>
      </c>
      <c r="F176" s="1299" t="str">
        <f>IFERROR(IF(ISBLANK(E176),"","Consumption (" &amp; VLOOKUP($E176,PO_Enrgy_1_Table,MATCH($C$16,PO_Enrgy_1_Hdr,0),FALSE) &amp; ")"),"")</f>
        <v/>
      </c>
      <c r="G176" s="1300"/>
      <c r="H176" s="1300"/>
      <c r="I176" s="1300"/>
      <c r="J176" s="1300"/>
      <c r="K176" s="3845" t="str">
        <f t="shared" ref="K176:K177" si="92">IFERROR(AVERAGEIF(G176:J176,"&lt;&gt;0"),"")</f>
        <v/>
      </c>
      <c r="L176" s="3845"/>
      <c r="M176" s="3845"/>
      <c r="R176" s="627" t="str">
        <f t="shared" si="82"/>
        <v/>
      </c>
      <c r="S176" s="627" t="str">
        <f t="shared" si="83"/>
        <v/>
      </c>
      <c r="T176" s="627" t="str">
        <f t="shared" ref="T176" si="93">IFERROR(IF(FIND("Consumption",F176),(K176*VLOOKUP(MID(F176,FIND("(",F176)+1,LEN(F176)-FIND("(",F176)-1),EnergyUnitsTable,3,FALSE))/(K177*VLOOKUP(MID(F177,FIND("(",F177)+1,LEN(F177)-FIND("(",F177)-1),DemandTable,3,FALSE)),1),"")</f>
        <v/>
      </c>
      <c r="V176" s="3159">
        <f>IF(D176="x",K176,0)</f>
        <v>0</v>
      </c>
      <c r="W176" s="3954" t="str">
        <f>IF(E176="Electricity","kWh",IF(E176="Natural Gas","THERM",IF(E176="District Cooling","MWh","")))</f>
        <v>kWh</v>
      </c>
      <c r="Y176" s="3846" t="b">
        <f>IF(D176="x",FALSE,TRUE)</f>
        <v>1</v>
      </c>
      <c r="AA176" s="1300" t="str">
        <f t="shared" ca="1" si="69"/>
        <v/>
      </c>
      <c r="AB176" s="1300" t="str">
        <f t="shared" ca="1" si="70"/>
        <v/>
      </c>
      <c r="AC176" s="1300" t="str">
        <f t="shared" ca="1" si="71"/>
        <v/>
      </c>
      <c r="AD176" s="1300" t="str">
        <f t="shared" ca="1" si="72"/>
        <v/>
      </c>
      <c r="AE176" s="2486"/>
      <c r="AF176" s="2388" t="str">
        <f t="shared" si="84"/>
        <v/>
      </c>
      <c r="AG176" s="1300" t="str">
        <f t="shared" si="85"/>
        <v>0</v>
      </c>
      <c r="AH176" s="2389">
        <f t="shared" si="86"/>
        <v>0</v>
      </c>
      <c r="AJ176" s="2397" t="str">
        <f t="shared" si="73"/>
        <v/>
      </c>
      <c r="AK176" s="1300" t="str">
        <f t="shared" si="74"/>
        <v/>
      </c>
      <c r="AL176" s="1300" t="str">
        <f t="shared" si="75"/>
        <v>0</v>
      </c>
      <c r="AM176" s="2389">
        <f t="shared" si="87"/>
        <v>0</v>
      </c>
      <c r="AO176" s="2397" t="str">
        <f t="shared" si="76"/>
        <v/>
      </c>
      <c r="AP176" s="1300" t="str">
        <f t="shared" si="77"/>
        <v/>
      </c>
      <c r="AQ176" s="1300" t="str">
        <f t="shared" si="78"/>
        <v>0</v>
      </c>
      <c r="AR176" s="2389">
        <f t="shared" si="88"/>
        <v>0</v>
      </c>
      <c r="AT176" s="2388" t="str">
        <f t="shared" si="79"/>
        <v/>
      </c>
      <c r="AU176" s="1300" t="str">
        <f t="shared" si="80"/>
        <v/>
      </c>
      <c r="AV176" s="1300" t="str">
        <f t="shared" si="81"/>
        <v>0</v>
      </c>
      <c r="AW176" s="2389">
        <f t="shared" si="89"/>
        <v>0</v>
      </c>
      <c r="BD176" s="2154"/>
      <c r="BH176" s="2154"/>
      <c r="BK176" s="1785" t="s">
        <v>3039</v>
      </c>
      <c r="BL176" s="983" t="s">
        <v>1981</v>
      </c>
      <c r="BM176" s="983" t="s">
        <v>1976</v>
      </c>
      <c r="BN176" s="983">
        <f>IF(BL176&lt;&gt;"",IFERROR(MATCH(BL176&amp;BM176,'Results from Trace'!$L$1:$L$21,0),""),"")</f>
        <v>16</v>
      </c>
    </row>
    <row r="177" spans="1:66" ht="16.2" customHeight="1" x14ac:dyDescent="0.25">
      <c r="A177" s="433" t="s">
        <v>1038</v>
      </c>
      <c r="B177" s="3854"/>
      <c r="C177" s="3854"/>
      <c r="D177" s="3857"/>
      <c r="E177" s="3858"/>
      <c r="F177" s="1299" t="str">
        <f>IFERROR(IF(ISBLANK(E176),"","Demand (" &amp; VLOOKUP($E176,PO_Enrgy_1_Table,MATCH($E$16,PO_Enrgy_1_Hdr,0),FALSE) &amp; ")"),"")</f>
        <v/>
      </c>
      <c r="G177" s="1300"/>
      <c r="H177" s="1300"/>
      <c r="I177" s="1300"/>
      <c r="J177" s="1300"/>
      <c r="K177" s="3845" t="str">
        <f t="shared" si="92"/>
        <v/>
      </c>
      <c r="L177" s="3845"/>
      <c r="M177" s="3845"/>
      <c r="R177" s="627" t="str">
        <f t="shared" si="82"/>
        <v/>
      </c>
      <c r="S177" s="627" t="str">
        <f t="shared" si="83"/>
        <v/>
      </c>
      <c r="T177" s="627" t="str">
        <f>IFERROR(IF(FIND("Consumption",F177),(K177*VLOOKUP(MID(F177,FIND("(",F177)+1,LEN(F177)-FIND("(",F177)-1),EnergyUnitsTable,3,FALSE))/(K180*VLOOKUP(MID(F180,FIND("(",F180)+1,LEN(F180)-FIND("(",F180)-1),DemandTable,3,FALSE)),1),"")</f>
        <v/>
      </c>
      <c r="V177" s="3159"/>
      <c r="W177" s="3954"/>
      <c r="Y177" s="3846"/>
      <c r="AA177" s="1300" t="str">
        <f t="shared" ca="1" si="69"/>
        <v/>
      </c>
      <c r="AB177" s="1300" t="str">
        <f t="shared" ca="1" si="70"/>
        <v/>
      </c>
      <c r="AC177" s="1300" t="str">
        <f t="shared" ca="1" si="71"/>
        <v/>
      </c>
      <c r="AD177" s="1300" t="str">
        <f t="shared" ca="1" si="72"/>
        <v/>
      </c>
      <c r="AE177" s="2486"/>
      <c r="AF177" s="2388" t="str">
        <f t="shared" si="84"/>
        <v/>
      </c>
      <c r="AG177" s="1300" t="str">
        <f t="shared" si="85"/>
        <v>0</v>
      </c>
      <c r="AH177" s="2389">
        <f t="shared" si="86"/>
        <v>0</v>
      </c>
      <c r="AJ177" s="2397" t="str">
        <f t="shared" si="73"/>
        <v/>
      </c>
      <c r="AK177" s="1300" t="str">
        <f t="shared" si="74"/>
        <v/>
      </c>
      <c r="AL177" s="1300" t="str">
        <f t="shared" si="75"/>
        <v>0</v>
      </c>
      <c r="AM177" s="2389">
        <f t="shared" si="87"/>
        <v>0</v>
      </c>
      <c r="AO177" s="2397" t="str">
        <f t="shared" si="76"/>
        <v/>
      </c>
      <c r="AP177" s="1300" t="str">
        <f t="shared" si="77"/>
        <v/>
      </c>
      <c r="AQ177" s="1300" t="str">
        <f t="shared" si="78"/>
        <v>0</v>
      </c>
      <c r="AR177" s="2389">
        <f t="shared" si="88"/>
        <v>0</v>
      </c>
      <c r="AT177" s="2388" t="str">
        <f t="shared" si="79"/>
        <v/>
      </c>
      <c r="AU177" s="1300" t="str">
        <f t="shared" si="80"/>
        <v/>
      </c>
      <c r="AV177" s="1300" t="str">
        <f t="shared" si="81"/>
        <v>0</v>
      </c>
      <c r="AW177" s="2389">
        <f t="shared" si="89"/>
        <v>0</v>
      </c>
      <c r="BD177" s="2154"/>
      <c r="BH177" s="2154"/>
      <c r="BK177" s="1785" t="s">
        <v>3070</v>
      </c>
      <c r="BL177" s="983"/>
      <c r="BM177" s="983"/>
      <c r="BN177" s="983"/>
    </row>
    <row r="178" spans="1:66" ht="16.2" customHeight="1" x14ac:dyDescent="0.25">
      <c r="A178" s="433" t="s">
        <v>1038</v>
      </c>
      <c r="B178" s="3854" t="s">
        <v>2689</v>
      </c>
      <c r="C178" s="3854"/>
      <c r="D178" s="3856" t="s">
        <v>375</v>
      </c>
      <c r="E178" s="3858" t="s">
        <v>374</v>
      </c>
      <c r="F178" s="1299" t="str">
        <f>IFERROR(IF(ISBLANK(E178),"","Consumption (" &amp; VLOOKUP($E178,PO_Enrgy_1_Table,MATCH($C$16,PO_Enrgy_1_Hdr,0),FALSE) &amp; ")"),"")</f>
        <v/>
      </c>
      <c r="G178" s="1300"/>
      <c r="H178" s="1300"/>
      <c r="I178" s="1300"/>
      <c r="J178" s="1300"/>
      <c r="K178" s="3845" t="str">
        <f t="shared" si="68"/>
        <v/>
      </c>
      <c r="L178" s="3845"/>
      <c r="M178" s="3845"/>
      <c r="R178" s="627" t="str">
        <f t="shared" si="82"/>
        <v/>
      </c>
      <c r="S178" s="627" t="str">
        <f t="shared" si="83"/>
        <v/>
      </c>
      <c r="T178" s="627" t="str">
        <f t="shared" si="91"/>
        <v/>
      </c>
      <c r="V178" s="3159" t="str">
        <f>IF(D178="x",K178,0)</f>
        <v/>
      </c>
      <c r="W178" s="3954" t="str">
        <f>IF(E178="Electricity","kWh",IF(E178="Natural Gas","THERM",IF(E178="District Cooling","MWh","")))</f>
        <v>kWh</v>
      </c>
      <c r="Y178" s="3846" t="b">
        <f>IF(D178="x",TRUE,FALSE)</f>
        <v>1</v>
      </c>
      <c r="AA178" s="1300" t="str">
        <f t="shared" ref="AA178:AA203" ca="1" si="94">IFERROR(IF(SimTool="eQUEST",INDIRECT("'Results from eQuest'!"&amp;$BK178&amp;"8"),IF(SimTool="Trace",INDIRECT("'Results from Trace'!C"&amp;$BN178)/$R178,"")),"")</f>
        <v/>
      </c>
      <c r="AB178" s="1300" t="str">
        <f t="shared" ref="AB178:AB203" ca="1" si="95">IFERROR(IF(SimTool="eQUEST",INDIRECT("'Results from eQuest'!"&amp;$BK178&amp;"9"),IF(SimTool="Trace",INDIRECT("'Results from Trace'!D"&amp;$BN178)/$R178,"")),"")</f>
        <v/>
      </c>
      <c r="AC178" s="1300" t="str">
        <f t="shared" ref="AC178:AC203" ca="1" si="96">IFERROR(IF(SimTool="eQUEST",INDIRECT("'Results from eQuest'!"&amp;$BK178&amp;"10"),IF(SimTool="Trace",INDIRECT("'Results from Trace'!E"&amp;$BN178)/$R178,"")),"")</f>
        <v/>
      </c>
      <c r="AD178" s="1300" t="str">
        <f t="shared" ref="AD178:AD203" ca="1" si="97">IFERROR(IF(SimTool="eQUEST",INDIRECT("'Results from eQuest'!"&amp;$BK178&amp;"11"),IF(SimTool="Trace",INDIRECT("'Results from Trace'!F"&amp;$BN178)/$R178,"")),"")</f>
        <v/>
      </c>
      <c r="AE178" s="2486"/>
      <c r="AF178" s="2388" t="str">
        <f t="shared" si="84"/>
        <v/>
      </c>
      <c r="AG178" s="1300" t="str">
        <f t="shared" si="85"/>
        <v/>
      </c>
      <c r="AH178" s="2389">
        <f t="shared" si="86"/>
        <v>0</v>
      </c>
      <c r="AJ178" s="2397" t="str">
        <f t="shared" ref="AJ178:AJ204" si="98">IFERROR(VLOOKUP(E178,PO_virtual_rate_table,MATCH($E$310,PO_virtual_rate_hdr,0),0),"")</f>
        <v/>
      </c>
      <c r="AK178" s="1300" t="str">
        <f t="shared" ref="AK178:AK204" si="99">IFERROR(AJ178*K178,"")</f>
        <v/>
      </c>
      <c r="AL178" s="1300" t="str">
        <f t="shared" ref="AL178:AL204" si="100">IF(D178="x",AK178,"0")</f>
        <v/>
      </c>
      <c r="AM178" s="2389">
        <f t="shared" si="87"/>
        <v>0</v>
      </c>
      <c r="AO178" s="2397" t="str">
        <f t="shared" ref="AO178:AO204" si="101">IFERROR(VLOOKUP(E178,PO_Enrgy_1_Table,MATCH($M$16,PO_Enrgy_1_Hdr,0),0),"")</f>
        <v/>
      </c>
      <c r="AP178" s="1300" t="str">
        <f t="shared" ref="AP178:AP204" si="102">IFERROR(AO178*K178,"")</f>
        <v/>
      </c>
      <c r="AQ178" s="1300" t="str">
        <f t="shared" ref="AQ178:AQ204" si="103">IF(D178="x",AP178,"0")</f>
        <v/>
      </c>
      <c r="AR178" s="2389">
        <f t="shared" si="88"/>
        <v>0</v>
      </c>
      <c r="AT178" s="2388" t="str">
        <f t="shared" ref="AT178:AT203" si="104">IFERROR(VLOOKUP(E178,PO_Enrgy_1_Table,MATCH($T$16,PO_Enrgy_1_Hdr,0),0),"")</f>
        <v/>
      </c>
      <c r="AU178" s="1300" t="str">
        <f t="shared" ref="AU178:AU203" si="105">IFERROR(AT178*K178,"")</f>
        <v/>
      </c>
      <c r="AV178" s="1300" t="str">
        <f t="shared" ref="AV178:AV203" si="106">IF(D178="x",AU178,"0")</f>
        <v/>
      </c>
      <c r="AW178" s="2389">
        <f t="shared" si="89"/>
        <v>0</v>
      </c>
      <c r="BD178" s="2154"/>
      <c r="BH178" s="2154"/>
      <c r="BK178" s="1785" t="s">
        <v>2076</v>
      </c>
      <c r="BL178" s="983" t="s">
        <v>1980</v>
      </c>
      <c r="BM178" s="983" t="s">
        <v>374</v>
      </c>
      <c r="BN178" s="983">
        <f>IF(BL178&lt;&gt;"",IFERROR(MATCH(BL178&amp;BM178,'Results from Trace'!$L$1:$L$21,0),""),"")</f>
        <v>14</v>
      </c>
    </row>
    <row r="179" spans="1:66" ht="16.2" customHeight="1" x14ac:dyDescent="0.25">
      <c r="A179" s="433" t="s">
        <v>1038</v>
      </c>
      <c r="B179" s="3854"/>
      <c r="C179" s="3854"/>
      <c r="D179" s="3857"/>
      <c r="E179" s="3858"/>
      <c r="F179" s="1299" t="str">
        <f>IFERROR(IF(ISBLANK(E178),"","Demand (" &amp; VLOOKUP($E178,PO_Enrgy_1_Table,MATCH($E$16,PO_Enrgy_1_Hdr,0),FALSE) &amp; ")"),"")</f>
        <v/>
      </c>
      <c r="G179" s="1300"/>
      <c r="H179" s="1300"/>
      <c r="I179" s="1300"/>
      <c r="J179" s="1300"/>
      <c r="K179" s="3845" t="str">
        <f t="shared" si="68"/>
        <v/>
      </c>
      <c r="L179" s="3845"/>
      <c r="M179" s="3845"/>
      <c r="R179" s="627" t="str">
        <f t="shared" si="82"/>
        <v/>
      </c>
      <c r="S179" s="627" t="str">
        <f t="shared" si="83"/>
        <v/>
      </c>
      <c r="T179" s="627" t="str">
        <f>IFERROR(IF(FIND("Consumption",F179),(K179*VLOOKUP(MID(F179,FIND("(",F179)+1,LEN(F179)-FIND("(",F179)-1),EnergyUnitsTable,3,FALSE))/(K182*VLOOKUP(MID(F182,FIND("(",F182)+1,LEN(F182)-FIND("(",F182)-1),DemandTable,3,FALSE)),1),"")</f>
        <v/>
      </c>
      <c r="V179" s="3159"/>
      <c r="W179" s="3954"/>
      <c r="Y179" s="3846"/>
      <c r="AA179" s="1300" t="str">
        <f t="shared" ca="1" si="94"/>
        <v/>
      </c>
      <c r="AB179" s="1300" t="str">
        <f t="shared" ca="1" si="95"/>
        <v/>
      </c>
      <c r="AC179" s="1300" t="str">
        <f t="shared" ca="1" si="96"/>
        <v/>
      </c>
      <c r="AD179" s="1300" t="str">
        <f t="shared" ca="1" si="97"/>
        <v/>
      </c>
      <c r="AE179" s="2486"/>
      <c r="AF179" s="2388" t="str">
        <f t="shared" si="84"/>
        <v/>
      </c>
      <c r="AG179" s="1300" t="str">
        <f t="shared" si="85"/>
        <v>0</v>
      </c>
      <c r="AH179" s="2389">
        <f t="shared" si="86"/>
        <v>0</v>
      </c>
      <c r="AJ179" s="2397" t="str">
        <f t="shared" si="98"/>
        <v/>
      </c>
      <c r="AK179" s="1300" t="str">
        <f t="shared" si="99"/>
        <v/>
      </c>
      <c r="AL179" s="1300" t="str">
        <f t="shared" si="100"/>
        <v>0</v>
      </c>
      <c r="AM179" s="2389">
        <f t="shared" si="87"/>
        <v>0</v>
      </c>
      <c r="AO179" s="2397" t="str">
        <f t="shared" si="101"/>
        <v/>
      </c>
      <c r="AP179" s="1300" t="str">
        <f t="shared" si="102"/>
        <v/>
      </c>
      <c r="AQ179" s="1300" t="str">
        <f t="shared" si="103"/>
        <v>0</v>
      </c>
      <c r="AR179" s="2389">
        <f t="shared" si="88"/>
        <v>0</v>
      </c>
      <c r="AT179" s="2388" t="str">
        <f t="shared" si="104"/>
        <v/>
      </c>
      <c r="AU179" s="1300" t="str">
        <f t="shared" si="105"/>
        <v/>
      </c>
      <c r="AV179" s="1300" t="str">
        <f t="shared" si="106"/>
        <v>0</v>
      </c>
      <c r="AW179" s="2389">
        <f t="shared" si="89"/>
        <v>0</v>
      </c>
      <c r="BD179" s="2154"/>
      <c r="BH179" s="2154"/>
      <c r="BK179" s="1785" t="s">
        <v>2077</v>
      </c>
      <c r="BL179" s="983"/>
      <c r="BM179" s="983"/>
      <c r="BN179" s="983"/>
    </row>
    <row r="180" spans="1:66" ht="16.2" customHeight="1" x14ac:dyDescent="0.25">
      <c r="A180" s="433" t="s">
        <v>1038</v>
      </c>
      <c r="B180" s="3854" t="s">
        <v>2689</v>
      </c>
      <c r="C180" s="3854"/>
      <c r="D180" s="3856" t="s">
        <v>375</v>
      </c>
      <c r="E180" s="3858" t="s">
        <v>388</v>
      </c>
      <c r="F180" s="1299" t="str">
        <f>IFERROR(IF(ISBLANK(E180),"","Consumption (" &amp; VLOOKUP($E180,PO_Enrgy_1_Table,MATCH($C$16,PO_Enrgy_1_Hdr,0),FALSE) &amp; ")"),"")</f>
        <v/>
      </c>
      <c r="G180" s="1300"/>
      <c r="H180" s="1300"/>
      <c r="I180" s="1300"/>
      <c r="J180" s="1300"/>
      <c r="K180" s="3845" t="str">
        <f>IFERROR(AVERAGEIF(G180:J180,"&lt;&gt;0"),"")</f>
        <v/>
      </c>
      <c r="L180" s="3845"/>
      <c r="M180" s="3845"/>
      <c r="R180" s="627" t="str">
        <f>IFERROR(IF(ISBLANK($E180),"",VLOOKUP($E180,PO_Enrgy_1_Table,MATCH($K$16,PO_Enrgy_1_Hdr,0),FALSE)),"")</f>
        <v/>
      </c>
      <c r="S180" s="627" t="str">
        <f>IFERROR(IF(ISBLANK($E180),"",VLOOKUP($E180,PO_Enrgy_1_Table,MATCH($M$16,PO_Enrgy_1_Hdr,0),FALSE)),"")</f>
        <v/>
      </c>
      <c r="T180" s="627" t="str">
        <f t="shared" ref="T180" si="107">IFERROR(IF(FIND("Consumption",F180),(K180*VLOOKUP(MID(F180,FIND("(",F180)+1,LEN(F180)-FIND("(",F180)-1),EnergyUnitsTable,3,FALSE))/(K181*VLOOKUP(MID(F181,FIND("(",F181)+1,LEN(F181)-FIND("(",F181)-1),DemandTable,3,FALSE)),1),"")</f>
        <v/>
      </c>
      <c r="V180" s="3159" t="str">
        <f>IF(D180="x",K180,0)</f>
        <v/>
      </c>
      <c r="W180" s="3954" t="str">
        <f>IF(E180="Electricity","kWh",IF(E180="Natural Gas","THERM",IF(E180="District Cooling","MWh","")))</f>
        <v>THERM</v>
      </c>
      <c r="Y180" s="3846" t="b">
        <f>IF(D180="x",FALSE,TRUE)</f>
        <v>0</v>
      </c>
      <c r="AA180" s="1300" t="str">
        <f t="shared" ca="1" si="94"/>
        <v/>
      </c>
      <c r="AB180" s="1300" t="str">
        <f t="shared" ca="1" si="95"/>
        <v/>
      </c>
      <c r="AC180" s="1300" t="str">
        <f t="shared" ca="1" si="96"/>
        <v/>
      </c>
      <c r="AD180" s="1300" t="str">
        <f t="shared" ca="1" si="97"/>
        <v/>
      </c>
      <c r="AE180" s="2486"/>
      <c r="AF180" s="2388" t="str">
        <f t="shared" si="84"/>
        <v/>
      </c>
      <c r="AG180" s="1300" t="str">
        <f t="shared" si="85"/>
        <v/>
      </c>
      <c r="AH180" s="2389">
        <f t="shared" si="86"/>
        <v>0</v>
      </c>
      <c r="AJ180" s="2397" t="str">
        <f t="shared" si="98"/>
        <v/>
      </c>
      <c r="AK180" s="1300" t="str">
        <f t="shared" si="99"/>
        <v/>
      </c>
      <c r="AL180" s="1300" t="str">
        <f t="shared" si="100"/>
        <v/>
      </c>
      <c r="AM180" s="2389">
        <f t="shared" si="87"/>
        <v>0</v>
      </c>
      <c r="AO180" s="2397" t="str">
        <f t="shared" si="101"/>
        <v/>
      </c>
      <c r="AP180" s="1300" t="str">
        <f t="shared" si="102"/>
        <v/>
      </c>
      <c r="AQ180" s="1300" t="str">
        <f t="shared" si="103"/>
        <v/>
      </c>
      <c r="AR180" s="2389">
        <f t="shared" si="88"/>
        <v>0</v>
      </c>
      <c r="AT180" s="2388" t="str">
        <f t="shared" si="104"/>
        <v/>
      </c>
      <c r="AU180" s="1300" t="str">
        <f t="shared" si="105"/>
        <v/>
      </c>
      <c r="AV180" s="1300" t="str">
        <f t="shared" si="106"/>
        <v/>
      </c>
      <c r="AW180" s="2389">
        <f t="shared" si="89"/>
        <v>0</v>
      </c>
      <c r="BD180" s="2154"/>
      <c r="BH180" s="2154"/>
      <c r="BK180" s="1785" t="s">
        <v>2082</v>
      </c>
      <c r="BL180" s="983"/>
      <c r="BM180" s="983"/>
      <c r="BN180" s="983" t="str">
        <f>IF(BL180&lt;&gt;"",IFERROR(MATCH(BL180&amp;BM180,'Results from Trace'!$L$1:$L$21,0),""),"")</f>
        <v/>
      </c>
    </row>
    <row r="181" spans="1:66" ht="15.75" customHeight="1" x14ac:dyDescent="0.25">
      <c r="A181" s="433" t="s">
        <v>1038</v>
      </c>
      <c r="B181" s="3854"/>
      <c r="C181" s="3854"/>
      <c r="D181" s="3857"/>
      <c r="E181" s="3858"/>
      <c r="F181" s="1299" t="str">
        <f>IFERROR(IF(ISBLANK(E180),"","Demand (" &amp; VLOOKUP($E180,PO_Enrgy_1_Table,MATCH($E$16,PO_Enrgy_1_Hdr,0),FALSE) &amp; ")"),"")</f>
        <v/>
      </c>
      <c r="G181" s="1300"/>
      <c r="H181" s="1300"/>
      <c r="I181" s="1300"/>
      <c r="J181" s="1300"/>
      <c r="K181" s="3845" t="str">
        <f>IFERROR(AVERAGEIF(G181:J181,"&lt;&gt;0"),"")</f>
        <v/>
      </c>
      <c r="L181" s="3845"/>
      <c r="M181" s="3845"/>
      <c r="R181" s="627" t="str">
        <f>IFERROR(IF(ISBLANK($E181),"",VLOOKUP($E181,PO_Enrgy_1_Table,MATCH($K$16,PO_Enrgy_1_Hdr,0),FALSE)),"")</f>
        <v/>
      </c>
      <c r="S181" s="627" t="str">
        <f>IFERROR(IF(ISBLANK($E181),"",VLOOKUP($E181,PO_Enrgy_1_Table,MATCH($M$16,PO_Enrgy_1_Hdr,0),FALSE)),"")</f>
        <v/>
      </c>
      <c r="T181" s="627" t="str">
        <f>IFERROR(IF(FIND("Consumption",F181),(K181*VLOOKUP(MID(F181,FIND("(",F181)+1,LEN(F181)-FIND("(",F181)-1),EnergyUnitsTable,3,FALSE))/(K196*VLOOKUP(MID(F196,FIND("(",F196)+1,LEN(F196)-FIND("(",F196)-1),DemandTable,3,FALSE)),1),"")</f>
        <v/>
      </c>
      <c r="V181" s="3159"/>
      <c r="W181" s="3954"/>
      <c r="Y181" s="3846"/>
      <c r="AA181" s="1300" t="str">
        <f t="shared" ca="1" si="94"/>
        <v/>
      </c>
      <c r="AB181" s="1300" t="str">
        <f t="shared" ca="1" si="95"/>
        <v/>
      </c>
      <c r="AC181" s="1300" t="str">
        <f t="shared" ca="1" si="96"/>
        <v/>
      </c>
      <c r="AD181" s="1300" t="str">
        <f t="shared" ca="1" si="97"/>
        <v/>
      </c>
      <c r="AE181" s="2486"/>
      <c r="AF181" s="2388" t="str">
        <f t="shared" si="84"/>
        <v/>
      </c>
      <c r="AG181" s="1300" t="str">
        <f t="shared" si="85"/>
        <v>0</v>
      </c>
      <c r="AH181" s="2389">
        <f t="shared" si="86"/>
        <v>0</v>
      </c>
      <c r="AJ181" s="2397" t="str">
        <f t="shared" si="98"/>
        <v/>
      </c>
      <c r="AK181" s="1300" t="str">
        <f t="shared" si="99"/>
        <v/>
      </c>
      <c r="AL181" s="1300" t="str">
        <f t="shared" si="100"/>
        <v>0</v>
      </c>
      <c r="AM181" s="2389">
        <f t="shared" si="87"/>
        <v>0</v>
      </c>
      <c r="AO181" s="2397" t="str">
        <f t="shared" si="101"/>
        <v/>
      </c>
      <c r="AP181" s="1300" t="str">
        <f t="shared" si="102"/>
        <v/>
      </c>
      <c r="AQ181" s="1300" t="str">
        <f t="shared" si="103"/>
        <v>0</v>
      </c>
      <c r="AR181" s="2389">
        <f t="shared" si="88"/>
        <v>0</v>
      </c>
      <c r="AT181" s="2388" t="str">
        <f t="shared" si="104"/>
        <v/>
      </c>
      <c r="AU181" s="1300" t="str">
        <f t="shared" si="105"/>
        <v/>
      </c>
      <c r="AV181" s="1300" t="str">
        <f t="shared" si="106"/>
        <v>0</v>
      </c>
      <c r="AW181" s="2389">
        <f t="shared" si="89"/>
        <v>0</v>
      </c>
      <c r="BD181" s="2154"/>
      <c r="BH181" s="2154"/>
      <c r="BK181" s="1785"/>
      <c r="BL181" s="983"/>
      <c r="BM181" s="983"/>
      <c r="BN181" s="983"/>
    </row>
    <row r="182" spans="1:66" ht="16.2" customHeight="1" x14ac:dyDescent="0.25">
      <c r="A182" s="433" t="s">
        <v>1038</v>
      </c>
      <c r="B182" s="3854" t="s">
        <v>381</v>
      </c>
      <c r="C182" s="3854"/>
      <c r="D182" s="3856" t="s">
        <v>375</v>
      </c>
      <c r="E182" s="3858" t="s">
        <v>374</v>
      </c>
      <c r="F182" s="1299" t="str">
        <f>IFERROR(IF(ISBLANK(E182),"","Consumption (" &amp; VLOOKUP($E182,PO_Enrgy_1_Table,MATCH($C$16,PO_Enrgy_1_Hdr,0),FALSE) &amp; ")"),"")</f>
        <v/>
      </c>
      <c r="G182" s="1300"/>
      <c r="H182" s="1300"/>
      <c r="I182" s="1300"/>
      <c r="J182" s="1300"/>
      <c r="K182" s="3845" t="str">
        <f t="shared" si="68"/>
        <v/>
      </c>
      <c r="L182" s="3845"/>
      <c r="M182" s="3845"/>
      <c r="R182" s="627" t="str">
        <f t="shared" si="82"/>
        <v/>
      </c>
      <c r="S182" s="627" t="str">
        <f t="shared" si="83"/>
        <v/>
      </c>
      <c r="T182" s="627" t="str">
        <f t="shared" si="91"/>
        <v/>
      </c>
      <c r="V182" s="3159" t="str">
        <f>IF(D182="x",K182,0)</f>
        <v/>
      </c>
      <c r="W182" s="3954" t="str">
        <f>IF(E182="Electricity","kWh",IF(E182="Natural Gas","THERM",IF(E182="District Cooling","MWh","")))</f>
        <v>kWh</v>
      </c>
      <c r="Y182" s="3846" t="b">
        <f>IF(D182="x",TRUE,FALSE)</f>
        <v>1</v>
      </c>
      <c r="AA182" s="1300" t="str">
        <f t="shared" ca="1" si="94"/>
        <v/>
      </c>
      <c r="AB182" s="1300" t="str">
        <f t="shared" ca="1" si="95"/>
        <v/>
      </c>
      <c r="AC182" s="1300" t="str">
        <f t="shared" ca="1" si="96"/>
        <v/>
      </c>
      <c r="AD182" s="1300" t="str">
        <f t="shared" ca="1" si="97"/>
        <v/>
      </c>
      <c r="AE182" s="2486"/>
      <c r="AF182" s="2388" t="str">
        <f t="shared" si="84"/>
        <v/>
      </c>
      <c r="AG182" s="1300" t="str">
        <f t="shared" si="85"/>
        <v/>
      </c>
      <c r="AH182" s="2389">
        <f t="shared" si="86"/>
        <v>0</v>
      </c>
      <c r="AJ182" s="2397" t="str">
        <f t="shared" si="98"/>
        <v/>
      </c>
      <c r="AK182" s="1300" t="str">
        <f t="shared" si="99"/>
        <v/>
      </c>
      <c r="AL182" s="1300" t="str">
        <f t="shared" si="100"/>
        <v/>
      </c>
      <c r="AM182" s="2389">
        <f t="shared" si="87"/>
        <v>0</v>
      </c>
      <c r="AO182" s="2397" t="str">
        <f t="shared" si="101"/>
        <v/>
      </c>
      <c r="AP182" s="1300" t="str">
        <f t="shared" si="102"/>
        <v/>
      </c>
      <c r="AQ182" s="1300" t="str">
        <f t="shared" si="103"/>
        <v/>
      </c>
      <c r="AR182" s="2389">
        <f t="shared" si="88"/>
        <v>0</v>
      </c>
      <c r="AT182" s="2388" t="str">
        <f t="shared" si="104"/>
        <v/>
      </c>
      <c r="AU182" s="1300" t="str">
        <f t="shared" si="105"/>
        <v/>
      </c>
      <c r="AV182" s="1300" t="str">
        <f t="shared" si="106"/>
        <v/>
      </c>
      <c r="AW182" s="2389">
        <f t="shared" si="89"/>
        <v>0</v>
      </c>
      <c r="BD182" s="2154"/>
      <c r="BH182" s="2154"/>
      <c r="BK182" s="1785"/>
      <c r="BL182" s="983"/>
      <c r="BM182" s="983"/>
      <c r="BN182" s="983" t="str">
        <f>IF(BL182&lt;&gt;"",IFERROR(MATCH(BL182&amp;BM182,'Results from Trace'!$L$1:$L$21,0),""),"")</f>
        <v/>
      </c>
    </row>
    <row r="183" spans="1:66" ht="16.2" customHeight="1" x14ac:dyDescent="0.25">
      <c r="A183" s="433" t="s">
        <v>1038</v>
      </c>
      <c r="B183" s="3854"/>
      <c r="C183" s="3854"/>
      <c r="D183" s="3857"/>
      <c r="E183" s="3858"/>
      <c r="F183" s="1299" t="str">
        <f>IFERROR(IF(ISBLANK(E182),"","Demand (" &amp; VLOOKUP($E182,PO_Enrgy_1_Table,MATCH($E$16,PO_Enrgy_1_Hdr,0),FALSE) &amp; ")"),"")</f>
        <v/>
      </c>
      <c r="G183" s="1300"/>
      <c r="H183" s="1300"/>
      <c r="I183" s="1300"/>
      <c r="J183" s="1300"/>
      <c r="K183" s="3845" t="str">
        <f t="shared" si="68"/>
        <v/>
      </c>
      <c r="L183" s="3845"/>
      <c r="M183" s="3845"/>
      <c r="R183" s="627" t="str">
        <f t="shared" si="82"/>
        <v/>
      </c>
      <c r="S183" s="627" t="str">
        <f t="shared" si="83"/>
        <v/>
      </c>
      <c r="T183" s="627" t="str">
        <f>IFERROR(IF(FIND("Consumption",F183),(K183*VLOOKUP(MID(F183,FIND("(",F183)+1,LEN(F183)-FIND("(",F183)-1),EnergyUnitsTable,3,FALSE))/(K150*VLOOKUP(MID(F150,FIND("(",F150)+1,LEN(F150)-FIND("(",F150)-1),DemandTable,3,FALSE)),1),"")</f>
        <v/>
      </c>
      <c r="V183" s="3159"/>
      <c r="W183" s="3954"/>
      <c r="Y183" s="3846"/>
      <c r="AA183" s="1300" t="str">
        <f t="shared" ca="1" si="94"/>
        <v/>
      </c>
      <c r="AB183" s="1300" t="str">
        <f t="shared" ca="1" si="95"/>
        <v/>
      </c>
      <c r="AC183" s="1300" t="str">
        <f t="shared" ca="1" si="96"/>
        <v/>
      </c>
      <c r="AD183" s="1300" t="str">
        <f t="shared" ca="1" si="97"/>
        <v/>
      </c>
      <c r="AE183" s="2486"/>
      <c r="AF183" s="2388" t="str">
        <f t="shared" si="84"/>
        <v/>
      </c>
      <c r="AG183" s="1300" t="str">
        <f t="shared" si="85"/>
        <v>0</v>
      </c>
      <c r="AH183" s="2389">
        <f t="shared" si="86"/>
        <v>0</v>
      </c>
      <c r="AJ183" s="2397" t="str">
        <f t="shared" si="98"/>
        <v/>
      </c>
      <c r="AK183" s="1300" t="str">
        <f t="shared" si="99"/>
        <v/>
      </c>
      <c r="AL183" s="1300" t="str">
        <f t="shared" si="100"/>
        <v>0</v>
      </c>
      <c r="AM183" s="2389">
        <f t="shared" si="87"/>
        <v>0</v>
      </c>
      <c r="AO183" s="2397" t="str">
        <f t="shared" si="101"/>
        <v/>
      </c>
      <c r="AP183" s="1300" t="str">
        <f t="shared" si="102"/>
        <v/>
      </c>
      <c r="AQ183" s="1300" t="str">
        <f t="shared" si="103"/>
        <v>0</v>
      </c>
      <c r="AR183" s="2389">
        <f t="shared" si="88"/>
        <v>0</v>
      </c>
      <c r="AT183" s="2388" t="str">
        <f t="shared" si="104"/>
        <v/>
      </c>
      <c r="AU183" s="1300" t="str">
        <f t="shared" si="105"/>
        <v/>
      </c>
      <c r="AV183" s="1300" t="str">
        <f t="shared" si="106"/>
        <v>0</v>
      </c>
      <c r="AW183" s="2389">
        <f t="shared" si="89"/>
        <v>0</v>
      </c>
      <c r="BD183" s="2154"/>
      <c r="BH183" s="2154"/>
      <c r="BK183" s="1785"/>
      <c r="BL183" s="983"/>
      <c r="BM183" s="983"/>
      <c r="BN183" s="983"/>
    </row>
    <row r="184" spans="1:66" ht="16.2" customHeight="1" x14ac:dyDescent="0.25">
      <c r="A184" s="433" t="s">
        <v>1038</v>
      </c>
      <c r="B184" s="3854" t="s">
        <v>378</v>
      </c>
      <c r="C184" s="3854"/>
      <c r="D184" s="3856" t="s">
        <v>375</v>
      </c>
      <c r="E184" s="3858" t="s">
        <v>374</v>
      </c>
      <c r="F184" s="1299" t="str">
        <f>IFERROR(IF(ISBLANK(E184),"","Consumption (" &amp; VLOOKUP($E184,PO_Enrgy_1_Table,MATCH($C$16,PO_Enrgy_1_Hdr,0),FALSE) &amp; ")"),"")</f>
        <v/>
      </c>
      <c r="G184" s="1300"/>
      <c r="H184" s="1300"/>
      <c r="I184" s="1300"/>
      <c r="J184" s="1300"/>
      <c r="K184" s="3845" t="str">
        <f t="shared" si="68"/>
        <v/>
      </c>
      <c r="L184" s="3845"/>
      <c r="M184" s="3845"/>
      <c r="R184" s="627" t="str">
        <f t="shared" si="82"/>
        <v/>
      </c>
      <c r="S184" s="627" t="str">
        <f t="shared" si="83"/>
        <v/>
      </c>
      <c r="T184" s="627" t="str">
        <f t="shared" si="91"/>
        <v/>
      </c>
      <c r="V184" s="3159" t="str">
        <f>IF(D184="x",K184,0)</f>
        <v/>
      </c>
      <c r="W184" s="3954" t="str">
        <f>IF(E184="Electricity","kWh",IF(E184="Natural Gas","THERM",IF(E184="District Cooling","MWh","")))</f>
        <v>kWh</v>
      </c>
      <c r="Y184" s="3846" t="b">
        <f>IF(D184="x",TRUE,FALSE)</f>
        <v>1</v>
      </c>
      <c r="AA184" s="1300" t="str">
        <f t="shared" ca="1" si="94"/>
        <v/>
      </c>
      <c r="AB184" s="1300" t="str">
        <f t="shared" ca="1" si="95"/>
        <v/>
      </c>
      <c r="AC184" s="1300" t="str">
        <f t="shared" ca="1" si="96"/>
        <v/>
      </c>
      <c r="AD184" s="1300" t="str">
        <f t="shared" ca="1" si="97"/>
        <v/>
      </c>
      <c r="AE184" s="2486"/>
      <c r="AF184" s="2388" t="str">
        <f t="shared" si="84"/>
        <v/>
      </c>
      <c r="AG184" s="1300" t="str">
        <f t="shared" si="85"/>
        <v/>
      </c>
      <c r="AH184" s="2389">
        <f t="shared" si="86"/>
        <v>0</v>
      </c>
      <c r="AJ184" s="2397" t="str">
        <f t="shared" si="98"/>
        <v/>
      </c>
      <c r="AK184" s="1300" t="str">
        <f t="shared" si="99"/>
        <v/>
      </c>
      <c r="AL184" s="1300" t="str">
        <f t="shared" si="100"/>
        <v/>
      </c>
      <c r="AM184" s="2389">
        <f t="shared" si="87"/>
        <v>0</v>
      </c>
      <c r="AO184" s="2397" t="str">
        <f t="shared" si="101"/>
        <v/>
      </c>
      <c r="AP184" s="1300" t="str">
        <f t="shared" si="102"/>
        <v/>
      </c>
      <c r="AQ184" s="1300" t="str">
        <f t="shared" si="103"/>
        <v/>
      </c>
      <c r="AR184" s="2389">
        <f t="shared" si="88"/>
        <v>0</v>
      </c>
      <c r="AT184" s="2388" t="str">
        <f t="shared" si="104"/>
        <v/>
      </c>
      <c r="AU184" s="1300" t="str">
        <f t="shared" si="105"/>
        <v/>
      </c>
      <c r="AV184" s="1300" t="str">
        <f t="shared" si="106"/>
        <v/>
      </c>
      <c r="AW184" s="2389">
        <f t="shared" si="89"/>
        <v>0</v>
      </c>
      <c r="BD184" s="2154"/>
      <c r="BH184" s="2154"/>
      <c r="BK184" s="1785"/>
      <c r="BL184" s="983"/>
      <c r="BM184" s="983"/>
      <c r="BN184" s="983" t="str">
        <f>IF(BL184&lt;&gt;"",IFERROR(MATCH(BL184&amp;BM184,'Results from Trace'!$L$1:$L$21,0),""),"")</f>
        <v/>
      </c>
    </row>
    <row r="185" spans="1:66" ht="16.2" customHeight="1" x14ac:dyDescent="0.25">
      <c r="A185" s="433" t="s">
        <v>1038</v>
      </c>
      <c r="B185" s="3854"/>
      <c r="C185" s="3854"/>
      <c r="D185" s="3857"/>
      <c r="E185" s="3858"/>
      <c r="F185" s="1299" t="str">
        <f>IFERROR(IF(ISBLANK(E184),"","Demand (" &amp; VLOOKUP($E184,PO_Enrgy_1_Table,MATCH($E$16,PO_Enrgy_1_Hdr,0),FALSE) &amp; ")"),"")</f>
        <v/>
      </c>
      <c r="G185" s="1300"/>
      <c r="H185" s="1300"/>
      <c r="I185" s="1300"/>
      <c r="J185" s="1300"/>
      <c r="K185" s="3845" t="str">
        <f t="shared" si="68"/>
        <v/>
      </c>
      <c r="L185" s="3845"/>
      <c r="M185" s="3845"/>
      <c r="R185" s="627" t="str">
        <f t="shared" si="82"/>
        <v/>
      </c>
      <c r="S185" s="627" t="str">
        <f t="shared" si="83"/>
        <v/>
      </c>
      <c r="T185" s="627" t="str">
        <f t="shared" si="91"/>
        <v/>
      </c>
      <c r="V185" s="3159"/>
      <c r="W185" s="3954"/>
      <c r="Y185" s="3846"/>
      <c r="AA185" s="1300" t="str">
        <f t="shared" ca="1" si="94"/>
        <v/>
      </c>
      <c r="AB185" s="1300" t="str">
        <f t="shared" ca="1" si="95"/>
        <v/>
      </c>
      <c r="AC185" s="1300" t="str">
        <f t="shared" ca="1" si="96"/>
        <v/>
      </c>
      <c r="AD185" s="1300" t="str">
        <f t="shared" ca="1" si="97"/>
        <v/>
      </c>
      <c r="AE185" s="2486"/>
      <c r="AF185" s="2388" t="str">
        <f t="shared" si="84"/>
        <v/>
      </c>
      <c r="AG185" s="1300" t="str">
        <f t="shared" si="85"/>
        <v>0</v>
      </c>
      <c r="AH185" s="2389">
        <f t="shared" si="86"/>
        <v>0</v>
      </c>
      <c r="AJ185" s="2397" t="str">
        <f t="shared" si="98"/>
        <v/>
      </c>
      <c r="AK185" s="1300" t="str">
        <f t="shared" si="99"/>
        <v/>
      </c>
      <c r="AL185" s="1300" t="str">
        <f t="shared" si="100"/>
        <v>0</v>
      </c>
      <c r="AM185" s="2389">
        <f t="shared" si="87"/>
        <v>0</v>
      </c>
      <c r="AO185" s="2397" t="str">
        <f t="shared" si="101"/>
        <v/>
      </c>
      <c r="AP185" s="1300" t="str">
        <f t="shared" si="102"/>
        <v/>
      </c>
      <c r="AQ185" s="1300" t="str">
        <f t="shared" si="103"/>
        <v>0</v>
      </c>
      <c r="AR185" s="2389">
        <f t="shared" si="88"/>
        <v>0</v>
      </c>
      <c r="AT185" s="2388" t="str">
        <f t="shared" si="104"/>
        <v/>
      </c>
      <c r="AU185" s="1300" t="str">
        <f t="shared" si="105"/>
        <v/>
      </c>
      <c r="AV185" s="1300" t="str">
        <f t="shared" si="106"/>
        <v>0</v>
      </c>
      <c r="AW185" s="2389">
        <f t="shared" si="89"/>
        <v>0</v>
      </c>
      <c r="BD185" s="2154"/>
      <c r="BH185" s="2154"/>
      <c r="BK185" s="1785"/>
      <c r="BL185" s="983"/>
      <c r="BM185" s="983"/>
      <c r="BN185" s="983"/>
    </row>
    <row r="186" spans="1:66" ht="16.2" customHeight="1" x14ac:dyDescent="0.25">
      <c r="A186" s="433" t="s">
        <v>1038</v>
      </c>
      <c r="B186" s="3854" t="s">
        <v>377</v>
      </c>
      <c r="C186" s="3854"/>
      <c r="D186" s="3856" t="s">
        <v>375</v>
      </c>
      <c r="E186" s="3858" t="s">
        <v>374</v>
      </c>
      <c r="F186" s="1299" t="str">
        <f>IFERROR(IF(ISBLANK(E186),"","Consumption (" &amp; VLOOKUP($E186,PO_Enrgy_1_Table,MATCH($C$16,PO_Enrgy_1_Hdr,0),FALSE) &amp; ")"),"")</f>
        <v/>
      </c>
      <c r="G186" s="1300"/>
      <c r="H186" s="1300"/>
      <c r="I186" s="1300"/>
      <c r="J186" s="1300"/>
      <c r="K186" s="3845" t="str">
        <f t="shared" si="68"/>
        <v/>
      </c>
      <c r="L186" s="3845"/>
      <c r="M186" s="3845"/>
      <c r="R186" s="627" t="str">
        <f t="shared" si="82"/>
        <v/>
      </c>
      <c r="S186" s="627" t="str">
        <f t="shared" si="83"/>
        <v/>
      </c>
      <c r="T186" s="627" t="str">
        <f t="shared" si="91"/>
        <v/>
      </c>
      <c r="V186" s="3159" t="str">
        <f>IF(D186="x",K186,0)</f>
        <v/>
      </c>
      <c r="W186" s="3954" t="str">
        <f>IF(E186="Electricity","kWh",IF(E186="Natural Gas","THERM",IF(E186="District Cooling","MWh","")))</f>
        <v>kWh</v>
      </c>
      <c r="Y186" s="3846" t="b">
        <f>IF(D186="x",TRUE,FALSE)</f>
        <v>1</v>
      </c>
      <c r="AA186" s="1300" t="str">
        <f t="shared" ca="1" si="94"/>
        <v/>
      </c>
      <c r="AB186" s="1300" t="str">
        <f t="shared" ca="1" si="95"/>
        <v/>
      </c>
      <c r="AC186" s="1300" t="str">
        <f t="shared" ca="1" si="96"/>
        <v/>
      </c>
      <c r="AD186" s="1300" t="str">
        <f t="shared" ca="1" si="97"/>
        <v/>
      </c>
      <c r="AE186" s="2486"/>
      <c r="AF186" s="2388" t="str">
        <f t="shared" si="84"/>
        <v/>
      </c>
      <c r="AG186" s="1300" t="str">
        <f t="shared" si="85"/>
        <v/>
      </c>
      <c r="AH186" s="2389">
        <f t="shared" si="86"/>
        <v>0</v>
      </c>
      <c r="AJ186" s="2397" t="str">
        <f t="shared" si="98"/>
        <v/>
      </c>
      <c r="AK186" s="1300" t="str">
        <f t="shared" si="99"/>
        <v/>
      </c>
      <c r="AL186" s="1300" t="str">
        <f t="shared" si="100"/>
        <v/>
      </c>
      <c r="AM186" s="2389">
        <f t="shared" si="87"/>
        <v>0</v>
      </c>
      <c r="AO186" s="2397" t="str">
        <f t="shared" si="101"/>
        <v/>
      </c>
      <c r="AP186" s="1300" t="str">
        <f t="shared" si="102"/>
        <v/>
      </c>
      <c r="AQ186" s="1300" t="str">
        <f t="shared" si="103"/>
        <v/>
      </c>
      <c r="AR186" s="2389">
        <f t="shared" si="88"/>
        <v>0</v>
      </c>
      <c r="AT186" s="2388" t="str">
        <f t="shared" si="104"/>
        <v/>
      </c>
      <c r="AU186" s="1300" t="str">
        <f t="shared" si="105"/>
        <v/>
      </c>
      <c r="AV186" s="1300" t="str">
        <f t="shared" si="106"/>
        <v/>
      </c>
      <c r="AW186" s="2389">
        <f t="shared" si="89"/>
        <v>0</v>
      </c>
      <c r="BD186" s="2154"/>
      <c r="BH186" s="2154"/>
      <c r="BK186" s="1785"/>
      <c r="BL186" s="983"/>
      <c r="BM186" s="983"/>
      <c r="BN186" s="983" t="str">
        <f>IF(BL186&lt;&gt;"",IFERROR(MATCH(BL186&amp;BM186,'Results from Trace'!$L$1:$L$21,0),""),"")</f>
        <v/>
      </c>
    </row>
    <row r="187" spans="1:66" ht="16.2" customHeight="1" x14ac:dyDescent="0.25">
      <c r="A187" s="433" t="s">
        <v>1038</v>
      </c>
      <c r="B187" s="3854"/>
      <c r="C187" s="3854"/>
      <c r="D187" s="3857"/>
      <c r="E187" s="3858"/>
      <c r="F187" s="1299" t="str">
        <f>IFERROR(IF(ISBLANK(E186),"","Demand (" &amp; VLOOKUP($E186,PO_Enrgy_1_Table,MATCH($E$16,PO_Enrgy_1_Hdr,0),FALSE) &amp; ")"),"")</f>
        <v/>
      </c>
      <c r="G187" s="1300"/>
      <c r="H187" s="1300"/>
      <c r="I187" s="1300"/>
      <c r="J187" s="1300"/>
      <c r="K187" s="3845" t="str">
        <f t="shared" si="68"/>
        <v/>
      </c>
      <c r="L187" s="3845"/>
      <c r="M187" s="3845"/>
      <c r="R187" s="627" t="str">
        <f t="shared" si="82"/>
        <v/>
      </c>
      <c r="S187" s="627" t="str">
        <f t="shared" si="83"/>
        <v/>
      </c>
      <c r="T187" s="627" t="str">
        <f>IFERROR(IF(FIND("Consumption",F187),(K187*VLOOKUP(MID(F187,FIND("(",F187)+1,LEN(F187)-FIND("(",F187)-1),EnergyUnitsTable,3,FALSE))/(K192*VLOOKUP(MID(F192,FIND("(",F192)+1,LEN(F192)-FIND("(",F192)-1),DemandTable,3,FALSE)),1),"")</f>
        <v/>
      </c>
      <c r="V187" s="3159"/>
      <c r="W187" s="3954"/>
      <c r="Y187" s="3846"/>
      <c r="AA187" s="1300" t="str">
        <f t="shared" ca="1" si="94"/>
        <v/>
      </c>
      <c r="AB187" s="1300" t="str">
        <f t="shared" ca="1" si="95"/>
        <v/>
      </c>
      <c r="AC187" s="1300" t="str">
        <f t="shared" ca="1" si="96"/>
        <v/>
      </c>
      <c r="AD187" s="1300" t="str">
        <f t="shared" ca="1" si="97"/>
        <v/>
      </c>
      <c r="AE187" s="2486"/>
      <c r="AF187" s="2388" t="str">
        <f t="shared" si="84"/>
        <v/>
      </c>
      <c r="AG187" s="1300" t="str">
        <f t="shared" si="85"/>
        <v>0</v>
      </c>
      <c r="AH187" s="2389">
        <f t="shared" si="86"/>
        <v>0</v>
      </c>
      <c r="AJ187" s="2397" t="str">
        <f t="shared" si="98"/>
        <v/>
      </c>
      <c r="AK187" s="1300" t="str">
        <f t="shared" si="99"/>
        <v/>
      </c>
      <c r="AL187" s="1300" t="str">
        <f t="shared" si="100"/>
        <v>0</v>
      </c>
      <c r="AM187" s="2389">
        <f t="shared" si="87"/>
        <v>0</v>
      </c>
      <c r="AO187" s="2397" t="str">
        <f t="shared" si="101"/>
        <v/>
      </c>
      <c r="AP187" s="1300" t="str">
        <f t="shared" si="102"/>
        <v/>
      </c>
      <c r="AQ187" s="1300" t="str">
        <f t="shared" si="103"/>
        <v>0</v>
      </c>
      <c r="AR187" s="2389">
        <f t="shared" si="88"/>
        <v>0</v>
      </c>
      <c r="AT187" s="2388" t="str">
        <f t="shared" si="104"/>
        <v/>
      </c>
      <c r="AU187" s="1300" t="str">
        <f t="shared" si="105"/>
        <v/>
      </c>
      <c r="AV187" s="1300" t="str">
        <f t="shared" si="106"/>
        <v>0</v>
      </c>
      <c r="AW187" s="2389">
        <f t="shared" si="89"/>
        <v>0</v>
      </c>
      <c r="BD187" s="2154"/>
      <c r="BH187" s="2154"/>
      <c r="BK187" s="1785"/>
      <c r="BL187" s="983"/>
      <c r="BM187" s="983"/>
      <c r="BN187" s="983"/>
    </row>
    <row r="188" spans="1:66" ht="16.2" customHeight="1" x14ac:dyDescent="0.25">
      <c r="A188" s="433" t="s">
        <v>1038</v>
      </c>
      <c r="B188" s="3854" t="s">
        <v>2425</v>
      </c>
      <c r="C188" s="3854"/>
      <c r="D188" s="3856"/>
      <c r="E188" s="3858" t="s">
        <v>374</v>
      </c>
      <c r="F188" s="1299" t="str">
        <f>IFERROR(IF(ISBLANK(E188),"","Consumption (" &amp; VLOOKUP($E188,PO_Enrgy_1_Table,MATCH($C$16,PO_Enrgy_1_Hdr,0),FALSE) &amp; ")"),"")</f>
        <v/>
      </c>
      <c r="G188" s="1300"/>
      <c r="H188" s="1300"/>
      <c r="I188" s="1300"/>
      <c r="J188" s="1300"/>
      <c r="K188" s="3845" t="str">
        <f>IFERROR(AVERAGEIF(G188:J188,"&lt;&gt;0"),"")</f>
        <v/>
      </c>
      <c r="L188" s="3845"/>
      <c r="M188" s="3845"/>
      <c r="R188" s="627" t="str">
        <f>IFERROR(IF(ISBLANK($E188),"",VLOOKUP($E188,PO_Enrgy_1_Table,MATCH($K$16,PO_Enrgy_1_Hdr,0),FALSE)),"")</f>
        <v/>
      </c>
      <c r="S188" s="627" t="str">
        <f>IFERROR(IF(ISBLANK($E188),"",VLOOKUP($E188,PO_Enrgy_1_Table,MATCH($M$16,PO_Enrgy_1_Hdr,0),FALSE)),"")</f>
        <v/>
      </c>
      <c r="T188" s="627" t="str">
        <f t="shared" ref="T188" si="108">IFERROR(IF(FIND("Consumption",F188),(K188*VLOOKUP(MID(F188,FIND("(",F188)+1,LEN(F188)-FIND("(",F188)-1),EnergyUnitsTable,3,FALSE))/(K189*VLOOKUP(MID(F189,FIND("(",F189)+1,LEN(F189)-FIND("(",F189)-1),DemandTable,3,FALSE)),1),"")</f>
        <v/>
      </c>
      <c r="V188" s="3159">
        <f>IF(D188="x",K188,0)</f>
        <v>0</v>
      </c>
      <c r="W188" s="3954" t="str">
        <f>IF(E188="Electricity","kWh",IF(E188="Natural Gas","THERM",IF(E188="District Cooling","MWh","")))</f>
        <v>kWh</v>
      </c>
      <c r="Y188" s="3846" t="b">
        <f>IF(D188="x",FALSE,TRUE)</f>
        <v>1</v>
      </c>
      <c r="AA188" s="1300" t="str">
        <f t="shared" ca="1" si="94"/>
        <v/>
      </c>
      <c r="AB188" s="1300" t="str">
        <f t="shared" ca="1" si="95"/>
        <v/>
      </c>
      <c r="AC188" s="1300" t="str">
        <f t="shared" ca="1" si="96"/>
        <v/>
      </c>
      <c r="AD188" s="1300" t="str">
        <f t="shared" ca="1" si="97"/>
        <v/>
      </c>
      <c r="AE188" s="2486"/>
      <c r="AF188" s="2388" t="str">
        <f t="shared" si="84"/>
        <v/>
      </c>
      <c r="AG188" s="1300" t="str">
        <f t="shared" si="85"/>
        <v>0</v>
      </c>
      <c r="AH188" s="2389">
        <f t="shared" si="86"/>
        <v>0</v>
      </c>
      <c r="AJ188" s="2397" t="str">
        <f t="shared" si="98"/>
        <v/>
      </c>
      <c r="AK188" s="1300" t="str">
        <f t="shared" si="99"/>
        <v/>
      </c>
      <c r="AL188" s="1300" t="str">
        <f t="shared" si="100"/>
        <v>0</v>
      </c>
      <c r="AM188" s="2389">
        <f t="shared" si="87"/>
        <v>0</v>
      </c>
      <c r="AO188" s="2397" t="str">
        <f t="shared" si="101"/>
        <v/>
      </c>
      <c r="AP188" s="1300" t="str">
        <f t="shared" si="102"/>
        <v/>
      </c>
      <c r="AQ188" s="1300" t="str">
        <f t="shared" si="103"/>
        <v>0</v>
      </c>
      <c r="AR188" s="2389">
        <f t="shared" si="88"/>
        <v>0</v>
      </c>
      <c r="AT188" s="2388" t="str">
        <f t="shared" si="104"/>
        <v/>
      </c>
      <c r="AU188" s="1300" t="str">
        <f t="shared" si="105"/>
        <v/>
      </c>
      <c r="AV188" s="1300" t="str">
        <f t="shared" si="106"/>
        <v>0</v>
      </c>
      <c r="AW188" s="2389">
        <f t="shared" si="89"/>
        <v>0</v>
      </c>
      <c r="BD188" s="2154"/>
      <c r="BH188" s="2154"/>
      <c r="BK188" s="1785" t="s">
        <v>2421</v>
      </c>
      <c r="BL188" s="983"/>
      <c r="BM188" s="983"/>
      <c r="BN188" s="983" t="str">
        <f>IF(BL188&lt;&gt;"",IFERROR(MATCH(BL188&amp;BM188,'Results from Trace'!$L$1:$L$21,0),""),"")</f>
        <v/>
      </c>
    </row>
    <row r="189" spans="1:66" ht="16.5" customHeight="1" x14ac:dyDescent="0.25">
      <c r="A189" s="433" t="s">
        <v>1038</v>
      </c>
      <c r="B189" s="3854"/>
      <c r="C189" s="3854"/>
      <c r="D189" s="3857"/>
      <c r="E189" s="3858"/>
      <c r="F189" s="1299" t="str">
        <f>IFERROR(IF(ISBLANK(E188),"","Demand (" &amp; VLOOKUP($E188,PO_Enrgy_1_Table,MATCH($E$16,PO_Enrgy_1_Hdr,0),FALSE) &amp; ")"),"")</f>
        <v/>
      </c>
      <c r="G189" s="1300"/>
      <c r="H189" s="1300"/>
      <c r="I189" s="1300"/>
      <c r="J189" s="1300"/>
      <c r="K189" s="3845" t="str">
        <f>IFERROR(AVERAGEIF(G189:J189,"&lt;&gt;0"),"")</f>
        <v/>
      </c>
      <c r="L189" s="3845"/>
      <c r="M189" s="3845"/>
      <c r="R189" s="627" t="str">
        <f>IFERROR(IF(ISBLANK($E189),"",VLOOKUP($E189,PO_Enrgy_1_Table,MATCH($K$16,PO_Enrgy_1_Hdr,0),FALSE)),"")</f>
        <v/>
      </c>
      <c r="S189" s="627" t="str">
        <f>IFERROR(IF(ISBLANK($E189),"",VLOOKUP($E189,PO_Enrgy_1_Table,MATCH($M$16,PO_Enrgy_1_Hdr,0),FALSE)),"")</f>
        <v/>
      </c>
      <c r="T189" s="627" t="str">
        <f>IFERROR(IF(FIND("Consumption",F189),(K189*VLOOKUP(MID(F189,FIND("(",F189)+1,LEN(F189)-FIND("(",F189)-1),EnergyUnitsTable,3,FALSE))/(K196*VLOOKUP(MID(F196,FIND("(",F196)+1,LEN(F196)-FIND("(",F196)-1),DemandTable,3,FALSE)),1),"")</f>
        <v/>
      </c>
      <c r="V189" s="3159"/>
      <c r="W189" s="3954"/>
      <c r="Y189" s="3846"/>
      <c r="AA189" s="1300" t="str">
        <f t="shared" ca="1" si="94"/>
        <v/>
      </c>
      <c r="AB189" s="1300" t="str">
        <f t="shared" ca="1" si="95"/>
        <v/>
      </c>
      <c r="AC189" s="1300" t="str">
        <f t="shared" ca="1" si="96"/>
        <v/>
      </c>
      <c r="AD189" s="1300" t="str">
        <f t="shared" ca="1" si="97"/>
        <v/>
      </c>
      <c r="AE189" s="2486"/>
      <c r="AF189" s="2388" t="str">
        <f t="shared" si="84"/>
        <v/>
      </c>
      <c r="AG189" s="1300" t="str">
        <f t="shared" si="85"/>
        <v>0</v>
      </c>
      <c r="AH189" s="2389">
        <f t="shared" si="86"/>
        <v>0</v>
      </c>
      <c r="AJ189" s="2397" t="str">
        <f t="shared" si="98"/>
        <v/>
      </c>
      <c r="AK189" s="1300" t="str">
        <f t="shared" si="99"/>
        <v/>
      </c>
      <c r="AL189" s="1300" t="str">
        <f t="shared" si="100"/>
        <v>0</v>
      </c>
      <c r="AM189" s="2389">
        <f t="shared" si="87"/>
        <v>0</v>
      </c>
      <c r="AO189" s="2397" t="str">
        <f t="shared" si="101"/>
        <v/>
      </c>
      <c r="AP189" s="1300" t="str">
        <f t="shared" si="102"/>
        <v/>
      </c>
      <c r="AQ189" s="1300" t="str">
        <f t="shared" si="103"/>
        <v>0</v>
      </c>
      <c r="AR189" s="2389">
        <f t="shared" si="88"/>
        <v>0</v>
      </c>
      <c r="AT189" s="2388" t="str">
        <f t="shared" si="104"/>
        <v/>
      </c>
      <c r="AU189" s="1300" t="str">
        <f t="shared" si="105"/>
        <v/>
      </c>
      <c r="AV189" s="1300" t="str">
        <f t="shared" si="106"/>
        <v>0</v>
      </c>
      <c r="AW189" s="2389">
        <f t="shared" si="89"/>
        <v>0</v>
      </c>
      <c r="BD189" s="2154"/>
      <c r="BH189" s="2154"/>
      <c r="BK189" s="1785" t="s">
        <v>2422</v>
      </c>
      <c r="BL189" s="983"/>
      <c r="BM189" s="983"/>
      <c r="BN189" s="983"/>
    </row>
    <row r="190" spans="1:66" ht="16.2" customHeight="1" x14ac:dyDescent="0.25">
      <c r="A190" s="433" t="s">
        <v>1038</v>
      </c>
      <c r="B190" s="3854" t="s">
        <v>2424</v>
      </c>
      <c r="C190" s="3854"/>
      <c r="D190" s="3856" t="s">
        <v>375</v>
      </c>
      <c r="E190" s="3858" t="s">
        <v>374</v>
      </c>
      <c r="F190" s="1299" t="str">
        <f>IFERROR(IF(ISBLANK(E190),"","Consumption (" &amp; VLOOKUP($E190,PO_Enrgy_1_Table,MATCH($C$16,PO_Enrgy_1_Hdr,0),FALSE) &amp; ")"),"")</f>
        <v/>
      </c>
      <c r="G190" s="1300"/>
      <c r="H190" s="1300"/>
      <c r="I190" s="1300"/>
      <c r="J190" s="1300"/>
      <c r="K190" s="3845" t="str">
        <f>IFERROR(AVERAGEIF(G190:J190,"&lt;&gt;0"),"")</f>
        <v/>
      </c>
      <c r="L190" s="3845"/>
      <c r="M190" s="3845"/>
      <c r="R190" s="627" t="str">
        <f>IFERROR(IF(ISBLANK($E190),"",VLOOKUP($E190,PO_Enrgy_1_Table,MATCH($K$16,PO_Enrgy_1_Hdr,0),FALSE)),"")</f>
        <v/>
      </c>
      <c r="S190" s="627" t="str">
        <f>IFERROR(IF(ISBLANK($E190),"",VLOOKUP($E190,PO_Enrgy_1_Table,MATCH($M$16,PO_Enrgy_1_Hdr,0),FALSE)),"")</f>
        <v/>
      </c>
      <c r="T190" s="627" t="str">
        <f>IFERROR(IF(FIND("Consumption",F190),(K190*VLOOKUP(MID(F190,FIND("(",F190)+1,LEN(F190)-FIND("(",F190)-1),EnergyUnitsTable,3,FALSE))/(K191*VLOOKUP(MID(F191,FIND("(",F191)+1,LEN(F191)-FIND("(",F191)-1),DemandTable,3,FALSE)),1),"")</f>
        <v/>
      </c>
      <c r="V190" s="3159" t="str">
        <f>IF(D190="x",K190,0)</f>
        <v/>
      </c>
      <c r="W190" s="3954" t="str">
        <f>IF(E190="Electricity","kWh",IF(E190="Natural Gas","THERM",IF(E190="District Cooling","MWh","")))</f>
        <v>kWh</v>
      </c>
      <c r="Y190" s="3846" t="b">
        <f>IF(D190="x",TRUE,FALSE)</f>
        <v>1</v>
      </c>
      <c r="AA190" s="1300" t="str">
        <f t="shared" ca="1" si="94"/>
        <v/>
      </c>
      <c r="AB190" s="1300" t="str">
        <f t="shared" ca="1" si="95"/>
        <v/>
      </c>
      <c r="AC190" s="1300" t="str">
        <f t="shared" ca="1" si="96"/>
        <v/>
      </c>
      <c r="AD190" s="1300" t="str">
        <f t="shared" ca="1" si="97"/>
        <v/>
      </c>
      <c r="AE190" s="2486"/>
      <c r="AF190" s="2388" t="str">
        <f t="shared" si="84"/>
        <v/>
      </c>
      <c r="AG190" s="1300" t="str">
        <f t="shared" si="85"/>
        <v/>
      </c>
      <c r="AH190" s="2389">
        <f t="shared" si="86"/>
        <v>0</v>
      </c>
      <c r="AJ190" s="2397" t="str">
        <f t="shared" si="98"/>
        <v/>
      </c>
      <c r="AK190" s="1300" t="str">
        <f t="shared" si="99"/>
        <v/>
      </c>
      <c r="AL190" s="1300" t="str">
        <f t="shared" si="100"/>
        <v/>
      </c>
      <c r="AM190" s="2389">
        <f t="shared" si="87"/>
        <v>0</v>
      </c>
      <c r="AO190" s="2397" t="str">
        <f t="shared" si="101"/>
        <v/>
      </c>
      <c r="AP190" s="1300" t="str">
        <f t="shared" si="102"/>
        <v/>
      </c>
      <c r="AQ190" s="1300" t="str">
        <f t="shared" si="103"/>
        <v/>
      </c>
      <c r="AR190" s="2389">
        <f t="shared" si="88"/>
        <v>0</v>
      </c>
      <c r="AT190" s="2388" t="str">
        <f t="shared" si="104"/>
        <v/>
      </c>
      <c r="AU190" s="1300" t="str">
        <f t="shared" si="105"/>
        <v/>
      </c>
      <c r="AV190" s="1300" t="str">
        <f t="shared" si="106"/>
        <v/>
      </c>
      <c r="AW190" s="2389">
        <f t="shared" si="89"/>
        <v>0</v>
      </c>
      <c r="BD190" s="2154"/>
      <c r="BH190" s="2154"/>
      <c r="BK190" s="1785"/>
      <c r="BL190" s="983"/>
      <c r="BM190" s="983"/>
      <c r="BN190" s="983" t="str">
        <f>IF(BL190&lt;&gt;"",IFERROR(MATCH(BL190&amp;BM190,'Results from Trace'!$L$1:$L$21,0),""),"")</f>
        <v/>
      </c>
    </row>
    <row r="191" spans="1:66" ht="16.2" customHeight="1" x14ac:dyDescent="0.25">
      <c r="A191" s="433" t="s">
        <v>1038</v>
      </c>
      <c r="B191" s="3854"/>
      <c r="C191" s="3854"/>
      <c r="D191" s="3857"/>
      <c r="E191" s="3858"/>
      <c r="F191" s="1299" t="str">
        <f>IFERROR(IF(ISBLANK(E190),"","Demand (" &amp; VLOOKUP($E190,PO_Enrgy_1_Table,MATCH($E$16,PO_Enrgy_1_Hdr,0),FALSE) &amp; ")"),"")</f>
        <v/>
      </c>
      <c r="G191" s="1300"/>
      <c r="H191" s="1300"/>
      <c r="I191" s="1300"/>
      <c r="J191" s="1300"/>
      <c r="K191" s="3845" t="str">
        <f>IFERROR(AVERAGEIF(G191:J191,"&lt;&gt;0"),"")</f>
        <v/>
      </c>
      <c r="L191" s="3845"/>
      <c r="M191" s="3845"/>
      <c r="R191" s="627" t="str">
        <f>IFERROR(IF(ISBLANK($E191),"",VLOOKUP($E191,PO_Enrgy_1_Table,MATCH($K$16,PO_Enrgy_1_Hdr,0),FALSE)),"")</f>
        <v/>
      </c>
      <c r="S191" s="627" t="str">
        <f>IFERROR(IF(ISBLANK($E191),"",VLOOKUP($E191,PO_Enrgy_1_Table,MATCH($M$16,PO_Enrgy_1_Hdr,0),FALSE)),"")</f>
        <v/>
      </c>
      <c r="T191" s="627" t="str">
        <f>IFERROR(IF(FIND("Consumption",F191),(K191*VLOOKUP(MID(F191,FIND("(",F191)+1,LEN(F191)-FIND("(",F191)-1),EnergyUnitsTable,3,FALSE))/(K172*VLOOKUP(MID(F172,FIND("(",F172)+1,LEN(F172)-FIND("(",F172)-1),DemandTable,3,FALSE)),1),"")</f>
        <v/>
      </c>
      <c r="V191" s="3159"/>
      <c r="W191" s="3954"/>
      <c r="Y191" s="3846"/>
      <c r="AA191" s="1300" t="str">
        <f t="shared" ca="1" si="94"/>
        <v/>
      </c>
      <c r="AB191" s="1300" t="str">
        <f t="shared" ca="1" si="95"/>
        <v/>
      </c>
      <c r="AC191" s="1300" t="str">
        <f t="shared" ca="1" si="96"/>
        <v/>
      </c>
      <c r="AD191" s="1300" t="str">
        <f t="shared" ca="1" si="97"/>
        <v/>
      </c>
      <c r="AE191" s="2486"/>
      <c r="AF191" s="2388" t="str">
        <f t="shared" si="84"/>
        <v/>
      </c>
      <c r="AG191" s="1300" t="str">
        <f t="shared" si="85"/>
        <v>0</v>
      </c>
      <c r="AH191" s="2389">
        <f t="shared" si="86"/>
        <v>0</v>
      </c>
      <c r="AJ191" s="2397" t="str">
        <f t="shared" si="98"/>
        <v/>
      </c>
      <c r="AK191" s="1300" t="str">
        <f t="shared" si="99"/>
        <v/>
      </c>
      <c r="AL191" s="1300" t="str">
        <f t="shared" si="100"/>
        <v>0</v>
      </c>
      <c r="AM191" s="2389">
        <f t="shared" si="87"/>
        <v>0</v>
      </c>
      <c r="AO191" s="2397" t="str">
        <f t="shared" si="101"/>
        <v/>
      </c>
      <c r="AP191" s="1300" t="str">
        <f t="shared" si="102"/>
        <v/>
      </c>
      <c r="AQ191" s="1300" t="str">
        <f t="shared" si="103"/>
        <v>0</v>
      </c>
      <c r="AR191" s="2389">
        <f t="shared" si="88"/>
        <v>0</v>
      </c>
      <c r="AT191" s="2388" t="str">
        <f t="shared" si="104"/>
        <v/>
      </c>
      <c r="AU191" s="1300" t="str">
        <f t="shared" si="105"/>
        <v/>
      </c>
      <c r="AV191" s="1300" t="str">
        <f t="shared" si="106"/>
        <v>0</v>
      </c>
      <c r="AW191" s="2389">
        <f t="shared" si="89"/>
        <v>0</v>
      </c>
      <c r="BD191" s="2154"/>
      <c r="BH191" s="2154"/>
      <c r="BK191" s="1785"/>
      <c r="BL191" s="983"/>
      <c r="BM191" s="983"/>
      <c r="BN191" s="983"/>
    </row>
    <row r="192" spans="1:66" ht="16.2" customHeight="1" x14ac:dyDescent="0.25">
      <c r="A192" s="433" t="s">
        <v>1038</v>
      </c>
      <c r="B192" s="3854" t="s">
        <v>376</v>
      </c>
      <c r="C192" s="3854"/>
      <c r="D192" s="3856"/>
      <c r="E192" s="3858" t="s">
        <v>374</v>
      </c>
      <c r="F192" s="1299" t="str">
        <f>IFERROR(IF(ISBLANK(E192),"","Consumption (" &amp; VLOOKUP($E192,PO_Enrgy_1_Table,MATCH($C$16,PO_Enrgy_1_Hdr,0),FALSE) &amp; ")"),"")</f>
        <v/>
      </c>
      <c r="G192" s="1300"/>
      <c r="H192" s="1300"/>
      <c r="I192" s="1300"/>
      <c r="J192" s="1300"/>
      <c r="K192" s="3845" t="str">
        <f t="shared" si="68"/>
        <v/>
      </c>
      <c r="L192" s="3845"/>
      <c r="M192" s="3845"/>
      <c r="R192" s="627" t="str">
        <f t="shared" si="82"/>
        <v/>
      </c>
      <c r="S192" s="627" t="str">
        <f t="shared" si="83"/>
        <v/>
      </c>
      <c r="T192" s="627" t="str">
        <f t="shared" ref="T192:T204" si="109">IFERROR(IF(FIND("Consumption",F192),(K192*VLOOKUP(MID(F192,FIND("(",F192)+1,LEN(F192)-FIND("(",F192)-1),EnergyUnitsTable,3,FALSE))/(K193*VLOOKUP(MID(F193,FIND("(",F193)+1,LEN(F193)-FIND("(",F193)-1),DemandTable,3,FALSE)),1),"")</f>
        <v/>
      </c>
      <c r="V192" s="3159">
        <f>IF(D192="x",K192,0)</f>
        <v>0</v>
      </c>
      <c r="W192" s="3954" t="str">
        <f>IF(E192="Electricity","kWh",IF(E192="Natural Gas","THERM",IF(E192="District Cooling","MWh","")))</f>
        <v>kWh</v>
      </c>
      <c r="Y192" s="3846" t="b">
        <f>IF(D192="x",FALSE,TRUE)</f>
        <v>1</v>
      </c>
      <c r="AA192" s="1300" t="str">
        <f t="shared" ca="1" si="94"/>
        <v/>
      </c>
      <c r="AB192" s="1300" t="str">
        <f t="shared" ca="1" si="95"/>
        <v/>
      </c>
      <c r="AC192" s="1300" t="str">
        <f t="shared" ca="1" si="96"/>
        <v/>
      </c>
      <c r="AD192" s="1300" t="str">
        <f t="shared" ca="1" si="97"/>
        <v/>
      </c>
      <c r="AE192" s="2486"/>
      <c r="AF192" s="2388" t="str">
        <f t="shared" si="84"/>
        <v/>
      </c>
      <c r="AG192" s="1300" t="str">
        <f t="shared" si="85"/>
        <v>0</v>
      </c>
      <c r="AH192" s="2389">
        <f t="shared" si="86"/>
        <v>0</v>
      </c>
      <c r="AJ192" s="2397" t="str">
        <f t="shared" si="98"/>
        <v/>
      </c>
      <c r="AK192" s="1300" t="str">
        <f t="shared" si="99"/>
        <v/>
      </c>
      <c r="AL192" s="1300" t="str">
        <f t="shared" si="100"/>
        <v>0</v>
      </c>
      <c r="AM192" s="2389">
        <f t="shared" si="87"/>
        <v>0</v>
      </c>
      <c r="AO192" s="2397" t="str">
        <f t="shared" si="101"/>
        <v/>
      </c>
      <c r="AP192" s="1300" t="str">
        <f t="shared" si="102"/>
        <v/>
      </c>
      <c r="AQ192" s="1300" t="str">
        <f t="shared" si="103"/>
        <v>0</v>
      </c>
      <c r="AR192" s="2389">
        <f t="shared" si="88"/>
        <v>0</v>
      </c>
      <c r="AT192" s="2388" t="str">
        <f t="shared" si="104"/>
        <v/>
      </c>
      <c r="AU192" s="1300" t="str">
        <f t="shared" si="105"/>
        <v/>
      </c>
      <c r="AV192" s="1300" t="str">
        <f t="shared" si="106"/>
        <v>0</v>
      </c>
      <c r="AW192" s="2389">
        <f t="shared" si="89"/>
        <v>0</v>
      </c>
      <c r="BD192" s="2154"/>
      <c r="BH192" s="2154"/>
      <c r="BK192" s="1785"/>
      <c r="BL192" s="983"/>
      <c r="BM192" s="983"/>
      <c r="BN192" s="983" t="str">
        <f>IF(BL192&lt;&gt;"",IFERROR(MATCH(BL192&amp;BM192,'Results from Trace'!$L$1:$L$21,0),""),"")</f>
        <v/>
      </c>
    </row>
    <row r="193" spans="1:66" ht="16.2" customHeight="1" x14ac:dyDescent="0.25">
      <c r="A193" s="433" t="s">
        <v>1038</v>
      </c>
      <c r="B193" s="3854"/>
      <c r="C193" s="3854"/>
      <c r="D193" s="3857"/>
      <c r="E193" s="3858"/>
      <c r="F193" s="1299" t="str">
        <f>IFERROR(IF(ISBLANK(E192),"","Demand (" &amp; VLOOKUP($E192,PO_Enrgy_1_Table,MATCH($E$16,PO_Enrgy_1_Hdr,0),FALSE) &amp; ")"),"")</f>
        <v/>
      </c>
      <c r="G193" s="1300"/>
      <c r="H193" s="1300"/>
      <c r="I193" s="1300"/>
      <c r="J193" s="1300"/>
      <c r="K193" s="3845" t="str">
        <f t="shared" si="68"/>
        <v/>
      </c>
      <c r="L193" s="3845"/>
      <c r="M193" s="3845"/>
      <c r="R193" s="627" t="str">
        <f t="shared" si="82"/>
        <v/>
      </c>
      <c r="S193" s="627" t="str">
        <f t="shared" si="83"/>
        <v/>
      </c>
      <c r="T193" s="627" t="str">
        <f>IFERROR(IF(FIND("Consumption",F193),(K193*VLOOKUP(MID(F193,FIND("(",F193)+1,LEN(F193)-FIND("(",F193)-1),EnergyUnitsTable,3,FALSE))/(K158*VLOOKUP(MID(F158,FIND("(",F158)+1,LEN(F158)-FIND("(",F158)-1),DemandTable,3,FALSE)),1),"")</f>
        <v/>
      </c>
      <c r="V193" s="3159"/>
      <c r="W193" s="3954"/>
      <c r="Y193" s="3846"/>
      <c r="AA193" s="1300" t="str">
        <f t="shared" ca="1" si="94"/>
        <v/>
      </c>
      <c r="AB193" s="1300" t="str">
        <f t="shared" ca="1" si="95"/>
        <v/>
      </c>
      <c r="AC193" s="1300" t="str">
        <f t="shared" ca="1" si="96"/>
        <v/>
      </c>
      <c r="AD193" s="1300" t="str">
        <f t="shared" ca="1" si="97"/>
        <v/>
      </c>
      <c r="AE193" s="2486"/>
      <c r="AF193" s="2388" t="str">
        <f t="shared" si="84"/>
        <v/>
      </c>
      <c r="AG193" s="1300" t="str">
        <f t="shared" si="85"/>
        <v>0</v>
      </c>
      <c r="AH193" s="2389">
        <f t="shared" si="86"/>
        <v>0</v>
      </c>
      <c r="AJ193" s="2397" t="str">
        <f t="shared" si="98"/>
        <v/>
      </c>
      <c r="AK193" s="1300" t="str">
        <f t="shared" si="99"/>
        <v/>
      </c>
      <c r="AL193" s="1300" t="str">
        <f t="shared" si="100"/>
        <v>0</v>
      </c>
      <c r="AM193" s="2389">
        <f t="shared" si="87"/>
        <v>0</v>
      </c>
      <c r="AO193" s="2397" t="str">
        <f t="shared" si="101"/>
        <v/>
      </c>
      <c r="AP193" s="1300" t="str">
        <f t="shared" si="102"/>
        <v/>
      </c>
      <c r="AQ193" s="1300" t="str">
        <f t="shared" si="103"/>
        <v>0</v>
      </c>
      <c r="AR193" s="2389">
        <f t="shared" si="88"/>
        <v>0</v>
      </c>
      <c r="AT193" s="2388" t="str">
        <f t="shared" si="104"/>
        <v/>
      </c>
      <c r="AU193" s="1300" t="str">
        <f t="shared" si="105"/>
        <v/>
      </c>
      <c r="AV193" s="1300" t="str">
        <f t="shared" si="106"/>
        <v>0</v>
      </c>
      <c r="AW193" s="2389">
        <f t="shared" si="89"/>
        <v>0</v>
      </c>
      <c r="BD193" s="2154"/>
      <c r="BH193" s="2154"/>
      <c r="BK193" s="1785"/>
      <c r="BL193" s="983"/>
      <c r="BM193" s="983"/>
      <c r="BN193" s="983"/>
    </row>
    <row r="194" spans="1:66" ht="16.2" customHeight="1" x14ac:dyDescent="0.25">
      <c r="A194" s="433" t="s">
        <v>1038</v>
      </c>
      <c r="B194" s="3854" t="s">
        <v>2423</v>
      </c>
      <c r="C194" s="3854"/>
      <c r="D194" s="3856"/>
      <c r="E194" s="3858" t="s">
        <v>374</v>
      </c>
      <c r="F194" s="1299" t="str">
        <f>IFERROR(IF(ISBLANK(E194),"","Consumption (" &amp; VLOOKUP($E194,PO_Enrgy_1_Table,MATCH($C$16,PO_Enrgy_1_Hdr,0),FALSE) &amp; ")"),"")</f>
        <v/>
      </c>
      <c r="G194" s="1300"/>
      <c r="H194" s="1300"/>
      <c r="I194" s="1300"/>
      <c r="J194" s="1300"/>
      <c r="K194" s="3845" t="str">
        <f t="shared" ref="K194:K195" si="110">IFERROR(AVERAGEIF(G194:J194,"&lt;&gt;0"),"")</f>
        <v/>
      </c>
      <c r="L194" s="3845"/>
      <c r="M194" s="3845"/>
      <c r="R194" s="627" t="str">
        <f t="shared" si="82"/>
        <v/>
      </c>
      <c r="S194" s="627" t="str">
        <f t="shared" si="83"/>
        <v/>
      </c>
      <c r="T194" s="627" t="str">
        <f t="shared" ref="T194:T195" si="111">IFERROR(IF(FIND("Consumption",F194),(K194*VLOOKUP(MID(F194,FIND("(",F194)+1,LEN(F194)-FIND("(",F194)-1),EnergyUnitsTable,3,FALSE))/(K195*VLOOKUP(MID(F195,FIND("(",F195)+1,LEN(F195)-FIND("(",F195)-1),DemandTable,3,FALSE)),1),"")</f>
        <v/>
      </c>
      <c r="V194" s="3159">
        <f>IF(D194="x",K194,0)</f>
        <v>0</v>
      </c>
      <c r="W194" s="3954" t="str">
        <f>IF(E194="Electricity","kWh",IF(E194="Natural Gas","THERM",IF(E194="District Cooling","MWh","")))</f>
        <v>kWh</v>
      </c>
      <c r="Y194" s="3846" t="b">
        <f>IF(D194="x",TRUE,FALSE)</f>
        <v>0</v>
      </c>
      <c r="AA194" s="1300" t="str">
        <f t="shared" ca="1" si="94"/>
        <v/>
      </c>
      <c r="AB194" s="1300" t="str">
        <f t="shared" ca="1" si="95"/>
        <v/>
      </c>
      <c r="AC194" s="1300" t="str">
        <f t="shared" ca="1" si="96"/>
        <v/>
      </c>
      <c r="AD194" s="1300" t="str">
        <f t="shared" ca="1" si="97"/>
        <v/>
      </c>
      <c r="AE194" s="2486"/>
      <c r="AF194" s="2388" t="str">
        <f t="shared" si="84"/>
        <v/>
      </c>
      <c r="AG194" s="1300" t="str">
        <f t="shared" si="85"/>
        <v>0</v>
      </c>
      <c r="AH194" s="2389">
        <f t="shared" si="86"/>
        <v>0</v>
      </c>
      <c r="AJ194" s="2397" t="str">
        <f t="shared" si="98"/>
        <v/>
      </c>
      <c r="AK194" s="1300" t="str">
        <f t="shared" si="99"/>
        <v/>
      </c>
      <c r="AL194" s="1300" t="str">
        <f t="shared" si="100"/>
        <v>0</v>
      </c>
      <c r="AM194" s="2389">
        <f t="shared" si="87"/>
        <v>0</v>
      </c>
      <c r="AO194" s="2397" t="str">
        <f t="shared" si="101"/>
        <v/>
      </c>
      <c r="AP194" s="1300" t="str">
        <f t="shared" si="102"/>
        <v/>
      </c>
      <c r="AQ194" s="1300" t="str">
        <f t="shared" si="103"/>
        <v>0</v>
      </c>
      <c r="AR194" s="2389">
        <f t="shared" si="88"/>
        <v>0</v>
      </c>
      <c r="AT194" s="2388" t="str">
        <f t="shared" si="104"/>
        <v/>
      </c>
      <c r="AU194" s="1300" t="str">
        <f t="shared" si="105"/>
        <v/>
      </c>
      <c r="AV194" s="1300" t="str">
        <f t="shared" si="106"/>
        <v>0</v>
      </c>
      <c r="AW194" s="2389">
        <f t="shared" si="89"/>
        <v>0</v>
      </c>
      <c r="BD194" s="2154"/>
      <c r="BH194" s="2154"/>
      <c r="BK194" s="1785"/>
      <c r="BL194" s="983"/>
      <c r="BM194" s="983"/>
      <c r="BN194" s="983" t="str">
        <f>IF(BL194&lt;&gt;"",IFERROR(MATCH(BL194&amp;BM194,'Results from Trace'!$L$1:$L$21,0),""),"")</f>
        <v/>
      </c>
    </row>
    <row r="195" spans="1:66" ht="15.75" customHeight="1" x14ac:dyDescent="0.25">
      <c r="A195" s="433" t="s">
        <v>1038</v>
      </c>
      <c r="B195" s="3854"/>
      <c r="C195" s="3854"/>
      <c r="D195" s="3857"/>
      <c r="E195" s="3858"/>
      <c r="F195" s="1299" t="str">
        <f>IFERROR(IF(ISBLANK(E194),"","Demand (" &amp; VLOOKUP($E194,PO_Enrgy_1_Table,MATCH($E$16,PO_Enrgy_1_Hdr,0),FALSE) &amp; ")"),"")</f>
        <v/>
      </c>
      <c r="G195" s="1300"/>
      <c r="H195" s="1300"/>
      <c r="I195" s="1300"/>
      <c r="J195" s="1300"/>
      <c r="K195" s="3845" t="str">
        <f t="shared" si="110"/>
        <v/>
      </c>
      <c r="L195" s="3845"/>
      <c r="M195" s="3845"/>
      <c r="R195" s="627" t="str">
        <f t="shared" si="82"/>
        <v/>
      </c>
      <c r="S195" s="627" t="str">
        <f t="shared" si="83"/>
        <v/>
      </c>
      <c r="T195" s="627" t="str">
        <f t="shared" si="111"/>
        <v/>
      </c>
      <c r="V195" s="3159"/>
      <c r="W195" s="3954"/>
      <c r="Y195" s="3846"/>
      <c r="AA195" s="1300" t="str">
        <f t="shared" ca="1" si="94"/>
        <v/>
      </c>
      <c r="AB195" s="1300" t="str">
        <f t="shared" ca="1" si="95"/>
        <v/>
      </c>
      <c r="AC195" s="1300" t="str">
        <f t="shared" ca="1" si="96"/>
        <v/>
      </c>
      <c r="AD195" s="1300" t="str">
        <f t="shared" ca="1" si="97"/>
        <v/>
      </c>
      <c r="AE195" s="2486"/>
      <c r="AF195" s="2388" t="str">
        <f t="shared" si="84"/>
        <v/>
      </c>
      <c r="AG195" s="1300" t="str">
        <f t="shared" si="85"/>
        <v>0</v>
      </c>
      <c r="AH195" s="2389">
        <f t="shared" si="86"/>
        <v>0</v>
      </c>
      <c r="AJ195" s="2397" t="str">
        <f t="shared" si="98"/>
        <v/>
      </c>
      <c r="AK195" s="1300" t="str">
        <f t="shared" si="99"/>
        <v/>
      </c>
      <c r="AL195" s="1300" t="str">
        <f t="shared" si="100"/>
        <v>0</v>
      </c>
      <c r="AM195" s="2389">
        <f t="shared" si="87"/>
        <v>0</v>
      </c>
      <c r="AO195" s="2397" t="str">
        <f t="shared" si="101"/>
        <v/>
      </c>
      <c r="AP195" s="1300" t="str">
        <f t="shared" si="102"/>
        <v/>
      </c>
      <c r="AQ195" s="1300" t="str">
        <f t="shared" si="103"/>
        <v>0</v>
      </c>
      <c r="AR195" s="2389">
        <f t="shared" si="88"/>
        <v>0</v>
      </c>
      <c r="AT195" s="2388" t="str">
        <f t="shared" si="104"/>
        <v/>
      </c>
      <c r="AU195" s="1300" t="str">
        <f t="shared" si="105"/>
        <v/>
      </c>
      <c r="AV195" s="1300" t="str">
        <f t="shared" si="106"/>
        <v>0</v>
      </c>
      <c r="AW195" s="2389">
        <f t="shared" si="89"/>
        <v>0</v>
      </c>
      <c r="BD195" s="2154"/>
      <c r="BH195" s="2154"/>
      <c r="BK195" s="1785"/>
      <c r="BL195" s="983"/>
      <c r="BM195" s="983"/>
      <c r="BN195" s="983"/>
    </row>
    <row r="196" spans="1:66" ht="16.2" customHeight="1" x14ac:dyDescent="0.25">
      <c r="A196" s="433" t="s">
        <v>1038</v>
      </c>
      <c r="B196" s="3858"/>
      <c r="C196" s="3858"/>
      <c r="D196" s="3846"/>
      <c r="E196" s="3858"/>
      <c r="F196" s="1299" t="str">
        <f>IFERROR(IF(ISBLANK(E196),"","Consumption (" &amp; VLOOKUP($E196,PO_Enrgy_1_Table,MATCH($C$16,PO_Enrgy_1_Hdr,0),FALSE) &amp; ")"),"")</f>
        <v/>
      </c>
      <c r="G196" s="1300"/>
      <c r="H196" s="1300"/>
      <c r="I196" s="1300"/>
      <c r="J196" s="1300"/>
      <c r="K196" s="3845" t="str">
        <f t="shared" si="68"/>
        <v/>
      </c>
      <c r="L196" s="3845"/>
      <c r="M196" s="3845"/>
      <c r="R196" s="627" t="str">
        <f t="shared" si="82"/>
        <v/>
      </c>
      <c r="S196" s="627" t="str">
        <f t="shared" si="83"/>
        <v/>
      </c>
      <c r="T196" s="627" t="str">
        <f t="shared" si="109"/>
        <v/>
      </c>
      <c r="V196" s="3159">
        <f>IF(D196="x",K196,0)</f>
        <v>0</v>
      </c>
      <c r="W196" s="3954" t="str">
        <f>IF(E196="Electricity","kWh",IF(E196="Natural Gas","THERM",IF(E196="District Cooling","MWh","")))</f>
        <v/>
      </c>
      <c r="Y196" s="3846" t="b">
        <f>IF(D196="x",FALSE,TRUE)</f>
        <v>1</v>
      </c>
      <c r="AA196" s="1300" t="str">
        <f t="shared" ca="1" si="94"/>
        <v/>
      </c>
      <c r="AB196" s="1300" t="str">
        <f t="shared" ca="1" si="95"/>
        <v/>
      </c>
      <c r="AC196" s="1300" t="str">
        <f t="shared" ca="1" si="96"/>
        <v/>
      </c>
      <c r="AD196" s="1300" t="str">
        <f t="shared" ca="1" si="97"/>
        <v/>
      </c>
      <c r="AE196" s="2486"/>
      <c r="AF196" s="2388" t="str">
        <f t="shared" si="84"/>
        <v/>
      </c>
      <c r="AG196" s="1300" t="str">
        <f t="shared" si="85"/>
        <v>0</v>
      </c>
      <c r="AH196" s="2389">
        <f t="shared" si="86"/>
        <v>0</v>
      </c>
      <c r="AJ196" s="2397" t="str">
        <f t="shared" si="98"/>
        <v/>
      </c>
      <c r="AK196" s="1300" t="str">
        <f t="shared" si="99"/>
        <v/>
      </c>
      <c r="AL196" s="1300" t="str">
        <f t="shared" si="100"/>
        <v>0</v>
      </c>
      <c r="AM196" s="2389">
        <f t="shared" si="87"/>
        <v>0</v>
      </c>
      <c r="AO196" s="2397" t="str">
        <f t="shared" si="101"/>
        <v/>
      </c>
      <c r="AP196" s="1300" t="str">
        <f t="shared" si="102"/>
        <v/>
      </c>
      <c r="AQ196" s="1300" t="str">
        <f t="shared" si="103"/>
        <v>0</v>
      </c>
      <c r="AR196" s="2389">
        <f t="shared" si="88"/>
        <v>0</v>
      </c>
      <c r="AT196" s="2388" t="str">
        <f t="shared" si="104"/>
        <v/>
      </c>
      <c r="AU196" s="1300" t="str">
        <f t="shared" si="105"/>
        <v/>
      </c>
      <c r="AV196" s="1300" t="str">
        <f t="shared" si="106"/>
        <v>0</v>
      </c>
      <c r="AW196" s="2389">
        <f t="shared" si="89"/>
        <v>0</v>
      </c>
      <c r="BD196" s="2154"/>
      <c r="BH196" s="2154"/>
      <c r="BK196" s="1785"/>
      <c r="BL196" s="983"/>
      <c r="BM196" s="983"/>
      <c r="BN196" s="983" t="str">
        <f>IF(BL196&lt;&gt;"",IFERROR(MATCH(BL196&amp;BM196,'Results from Trace'!$L$1:$L$21,0),""),"")</f>
        <v/>
      </c>
    </row>
    <row r="197" spans="1:66" ht="15.75" customHeight="1" x14ac:dyDescent="0.25">
      <c r="A197" s="433" t="s">
        <v>1038</v>
      </c>
      <c r="B197" s="3858"/>
      <c r="C197" s="3858"/>
      <c r="D197" s="3846"/>
      <c r="E197" s="3858"/>
      <c r="F197" s="1299" t="str">
        <f>IFERROR(IF(ISBLANK(E196),"","Demand (" &amp; VLOOKUP($E196,PO_Enrgy_1_Table,MATCH($E$16,PO_Enrgy_1_Hdr,0),FALSE) &amp; ")"),"")</f>
        <v/>
      </c>
      <c r="G197" s="1300"/>
      <c r="H197" s="1300"/>
      <c r="I197" s="1300"/>
      <c r="J197" s="1300"/>
      <c r="K197" s="3845" t="str">
        <f t="shared" si="68"/>
        <v/>
      </c>
      <c r="L197" s="3845"/>
      <c r="M197" s="3845"/>
      <c r="R197" s="627" t="str">
        <f t="shared" si="82"/>
        <v/>
      </c>
      <c r="S197" s="627" t="str">
        <f t="shared" si="83"/>
        <v/>
      </c>
      <c r="T197" s="627" t="str">
        <f t="shared" si="109"/>
        <v/>
      </c>
      <c r="V197" s="3159"/>
      <c r="W197" s="3954"/>
      <c r="Y197" s="3846"/>
      <c r="AA197" s="1300" t="str">
        <f t="shared" ca="1" si="94"/>
        <v/>
      </c>
      <c r="AB197" s="1300" t="str">
        <f t="shared" ca="1" si="95"/>
        <v/>
      </c>
      <c r="AC197" s="1300" t="str">
        <f t="shared" ca="1" si="96"/>
        <v/>
      </c>
      <c r="AD197" s="1300" t="str">
        <f t="shared" ca="1" si="97"/>
        <v/>
      </c>
      <c r="AE197" s="2486"/>
      <c r="AF197" s="2388" t="str">
        <f t="shared" si="84"/>
        <v/>
      </c>
      <c r="AG197" s="1300" t="str">
        <f t="shared" si="85"/>
        <v>0</v>
      </c>
      <c r="AH197" s="2389">
        <f t="shared" si="86"/>
        <v>0</v>
      </c>
      <c r="AJ197" s="2397" t="str">
        <f t="shared" si="98"/>
        <v/>
      </c>
      <c r="AK197" s="1300" t="str">
        <f t="shared" si="99"/>
        <v/>
      </c>
      <c r="AL197" s="1300" t="str">
        <f t="shared" si="100"/>
        <v>0</v>
      </c>
      <c r="AM197" s="2389">
        <f t="shared" si="87"/>
        <v>0</v>
      </c>
      <c r="AO197" s="2397" t="str">
        <f t="shared" si="101"/>
        <v/>
      </c>
      <c r="AP197" s="1300" t="str">
        <f t="shared" si="102"/>
        <v/>
      </c>
      <c r="AQ197" s="1300" t="str">
        <f t="shared" si="103"/>
        <v>0</v>
      </c>
      <c r="AR197" s="2389">
        <f t="shared" si="88"/>
        <v>0</v>
      </c>
      <c r="AT197" s="2388" t="str">
        <f t="shared" si="104"/>
        <v/>
      </c>
      <c r="AU197" s="1300" t="str">
        <f t="shared" si="105"/>
        <v/>
      </c>
      <c r="AV197" s="1300" t="str">
        <f t="shared" si="106"/>
        <v>0</v>
      </c>
      <c r="AW197" s="2389">
        <f t="shared" si="89"/>
        <v>0</v>
      </c>
      <c r="BD197" s="2154"/>
      <c r="BH197" s="2154"/>
      <c r="BK197" s="1785"/>
      <c r="BL197" s="983"/>
      <c r="BM197" s="983"/>
      <c r="BN197" s="983"/>
    </row>
    <row r="198" spans="1:66" ht="16.2" customHeight="1" x14ac:dyDescent="0.25">
      <c r="A198" s="433" t="s">
        <v>1038</v>
      </c>
      <c r="B198" s="3858"/>
      <c r="C198" s="3858"/>
      <c r="D198" s="3846"/>
      <c r="E198" s="3858"/>
      <c r="F198" s="1299" t="str">
        <f>IFERROR(IF(ISBLANK(E198),"","Consumption (" &amp; VLOOKUP($E198,PO_Enrgy_1_Table,MATCH($C$16,PO_Enrgy_1_Hdr,0),FALSE) &amp; ")"),"")</f>
        <v/>
      </c>
      <c r="G198" s="1300"/>
      <c r="H198" s="1300"/>
      <c r="I198" s="1300"/>
      <c r="J198" s="1300"/>
      <c r="K198" s="3845" t="str">
        <f t="shared" si="68"/>
        <v/>
      </c>
      <c r="L198" s="3845"/>
      <c r="M198" s="3845"/>
      <c r="R198" s="627" t="str">
        <f t="shared" si="82"/>
        <v/>
      </c>
      <c r="S198" s="627" t="str">
        <f t="shared" si="83"/>
        <v/>
      </c>
      <c r="T198" s="627" t="str">
        <f t="shared" si="109"/>
        <v/>
      </c>
      <c r="V198" s="3159">
        <f>IF(D198="x",K198,0)</f>
        <v>0</v>
      </c>
      <c r="W198" s="3954" t="str">
        <f>IF(E198="Electricity","kWh",IF(E198="Natural Gas","THERM",IF(E198="District Cooling","MWh","")))</f>
        <v/>
      </c>
      <c r="Y198" s="3846" t="b">
        <f>IF(D198="x",FALSE,TRUE)</f>
        <v>1</v>
      </c>
      <c r="AA198" s="1300" t="str">
        <f t="shared" ca="1" si="94"/>
        <v/>
      </c>
      <c r="AB198" s="1300" t="str">
        <f t="shared" ca="1" si="95"/>
        <v/>
      </c>
      <c r="AC198" s="1300" t="str">
        <f t="shared" ca="1" si="96"/>
        <v/>
      </c>
      <c r="AD198" s="1300" t="str">
        <f t="shared" ca="1" si="97"/>
        <v/>
      </c>
      <c r="AE198" s="2486"/>
      <c r="AF198" s="2388" t="str">
        <f t="shared" si="84"/>
        <v/>
      </c>
      <c r="AG198" s="1300" t="str">
        <f t="shared" si="85"/>
        <v>0</v>
      </c>
      <c r="AH198" s="2389">
        <f t="shared" si="86"/>
        <v>0</v>
      </c>
      <c r="AJ198" s="2397" t="str">
        <f t="shared" si="98"/>
        <v/>
      </c>
      <c r="AK198" s="1300" t="str">
        <f t="shared" si="99"/>
        <v/>
      </c>
      <c r="AL198" s="1300" t="str">
        <f t="shared" si="100"/>
        <v>0</v>
      </c>
      <c r="AM198" s="2389">
        <f t="shared" si="87"/>
        <v>0</v>
      </c>
      <c r="AO198" s="2397" t="str">
        <f t="shared" si="101"/>
        <v/>
      </c>
      <c r="AP198" s="1300" t="str">
        <f t="shared" si="102"/>
        <v/>
      </c>
      <c r="AQ198" s="1300" t="str">
        <f t="shared" si="103"/>
        <v>0</v>
      </c>
      <c r="AR198" s="2389">
        <f t="shared" si="88"/>
        <v>0</v>
      </c>
      <c r="AT198" s="2388" t="str">
        <f t="shared" si="104"/>
        <v/>
      </c>
      <c r="AU198" s="1300" t="str">
        <f t="shared" si="105"/>
        <v/>
      </c>
      <c r="AV198" s="1300" t="str">
        <f t="shared" si="106"/>
        <v>0</v>
      </c>
      <c r="AW198" s="2389">
        <f t="shared" si="89"/>
        <v>0</v>
      </c>
      <c r="BD198" s="2154"/>
      <c r="BH198" s="2154"/>
      <c r="BK198" s="1785"/>
      <c r="BL198" s="983"/>
      <c r="BM198" s="983"/>
      <c r="BN198" s="983" t="str">
        <f>IF(BL198&lt;&gt;"",IFERROR(MATCH(BL198&amp;BM198,'Results from Trace'!$L$1:$L$21,0),""),"")</f>
        <v/>
      </c>
    </row>
    <row r="199" spans="1:66" ht="16.5" customHeight="1" x14ac:dyDescent="0.25">
      <c r="A199" s="433" t="s">
        <v>1038</v>
      </c>
      <c r="B199" s="3858"/>
      <c r="C199" s="3858"/>
      <c r="D199" s="3846"/>
      <c r="E199" s="3858"/>
      <c r="F199" s="1299" t="str">
        <f>IFERROR(IF(ISBLANK(E198),"","Demand (" &amp; VLOOKUP($E198,PO_Enrgy_1_Table,MATCH($E$16,PO_Enrgy_1_Hdr,0),FALSE) &amp; ")"),"")</f>
        <v/>
      </c>
      <c r="G199" s="1300"/>
      <c r="H199" s="1300"/>
      <c r="I199" s="1300"/>
      <c r="J199" s="1300"/>
      <c r="K199" s="3845" t="str">
        <f t="shared" si="68"/>
        <v/>
      </c>
      <c r="L199" s="3845"/>
      <c r="M199" s="3845"/>
      <c r="R199" s="627" t="str">
        <f t="shared" si="82"/>
        <v/>
      </c>
      <c r="S199" s="627" t="str">
        <f t="shared" si="83"/>
        <v/>
      </c>
      <c r="T199" s="627" t="str">
        <f>IFERROR(IF(FIND("Consumption",F199),(K199*VLOOKUP(MID(F199,FIND("(",F199)+1,LEN(F199)-FIND("(",F199)-1),EnergyUnitsTable,3,FALSE))/(K162*VLOOKUP(MID(F162,FIND("(",F162)+1,LEN(F162)-FIND("(",F162)-1),DemandTable,3,FALSE)),1),"")</f>
        <v/>
      </c>
      <c r="V199" s="3159"/>
      <c r="W199" s="3954"/>
      <c r="Y199" s="3846"/>
      <c r="AA199" s="1300" t="str">
        <f t="shared" ca="1" si="94"/>
        <v/>
      </c>
      <c r="AB199" s="1300" t="str">
        <f t="shared" ca="1" si="95"/>
        <v/>
      </c>
      <c r="AC199" s="1300" t="str">
        <f t="shared" ca="1" si="96"/>
        <v/>
      </c>
      <c r="AD199" s="1300" t="str">
        <f t="shared" ca="1" si="97"/>
        <v/>
      </c>
      <c r="AE199" s="2486"/>
      <c r="AF199" s="2388" t="str">
        <f t="shared" si="84"/>
        <v/>
      </c>
      <c r="AG199" s="1300" t="str">
        <f t="shared" si="85"/>
        <v>0</v>
      </c>
      <c r="AH199" s="2389">
        <f t="shared" si="86"/>
        <v>0</v>
      </c>
      <c r="AJ199" s="2397" t="str">
        <f t="shared" si="98"/>
        <v/>
      </c>
      <c r="AK199" s="1300" t="str">
        <f t="shared" si="99"/>
        <v/>
      </c>
      <c r="AL199" s="1300" t="str">
        <f t="shared" si="100"/>
        <v>0</v>
      </c>
      <c r="AM199" s="2389">
        <f t="shared" si="87"/>
        <v>0</v>
      </c>
      <c r="AO199" s="2397" t="str">
        <f t="shared" si="101"/>
        <v/>
      </c>
      <c r="AP199" s="1300" t="str">
        <f t="shared" si="102"/>
        <v/>
      </c>
      <c r="AQ199" s="1300" t="str">
        <f t="shared" si="103"/>
        <v>0</v>
      </c>
      <c r="AR199" s="2389">
        <f t="shared" si="88"/>
        <v>0</v>
      </c>
      <c r="AT199" s="2388" t="str">
        <f t="shared" si="104"/>
        <v/>
      </c>
      <c r="AU199" s="1300" t="str">
        <f t="shared" si="105"/>
        <v/>
      </c>
      <c r="AV199" s="1300" t="str">
        <f t="shared" si="106"/>
        <v>0</v>
      </c>
      <c r="AW199" s="2389">
        <f t="shared" si="89"/>
        <v>0</v>
      </c>
      <c r="BD199" s="2154"/>
      <c r="BH199" s="2154"/>
      <c r="BK199" s="1785"/>
      <c r="BL199" s="983"/>
      <c r="BM199" s="983"/>
      <c r="BN199" s="983"/>
    </row>
    <row r="200" spans="1:66" ht="16.2" customHeight="1" x14ac:dyDescent="0.25">
      <c r="A200" s="433" t="s">
        <v>1038</v>
      </c>
      <c r="B200" s="3858"/>
      <c r="C200" s="3858"/>
      <c r="D200" s="3846"/>
      <c r="E200" s="3858"/>
      <c r="F200" s="1299" t="str">
        <f>IFERROR(IF(ISBLANK(E200),"","Consumption (" &amp; VLOOKUP($E200,PO_Enrgy_1_Table,MATCH($C$16,PO_Enrgy_1_Hdr,0),FALSE) &amp; ")"),"")</f>
        <v/>
      </c>
      <c r="G200" s="1300"/>
      <c r="H200" s="1300"/>
      <c r="I200" s="1300"/>
      <c r="J200" s="1300"/>
      <c r="K200" s="3845" t="str">
        <f t="shared" si="68"/>
        <v/>
      </c>
      <c r="L200" s="3845"/>
      <c r="M200" s="3845"/>
      <c r="R200" s="627" t="str">
        <f t="shared" si="82"/>
        <v/>
      </c>
      <c r="S200" s="627" t="str">
        <f t="shared" si="83"/>
        <v/>
      </c>
      <c r="T200" s="627" t="str">
        <f t="shared" si="109"/>
        <v/>
      </c>
      <c r="V200" s="3159">
        <f>IF(D200="x",K200,0)</f>
        <v>0</v>
      </c>
      <c r="W200" s="3954" t="str">
        <f>IF(E200="Electricity","kWh",IF(E200="Natural Gas","THERM",IF(E200="District Cooling","MWh","")))</f>
        <v/>
      </c>
      <c r="Y200" s="3846" t="b">
        <f>IF(D200="x",FALSE,TRUE)</f>
        <v>1</v>
      </c>
      <c r="AA200" s="1300" t="str">
        <f t="shared" ca="1" si="94"/>
        <v/>
      </c>
      <c r="AB200" s="1300" t="str">
        <f t="shared" ca="1" si="95"/>
        <v/>
      </c>
      <c r="AC200" s="1300" t="str">
        <f t="shared" ca="1" si="96"/>
        <v/>
      </c>
      <c r="AD200" s="1300" t="str">
        <f t="shared" ca="1" si="97"/>
        <v/>
      </c>
      <c r="AE200" s="2486"/>
      <c r="AF200" s="2388" t="str">
        <f t="shared" si="84"/>
        <v/>
      </c>
      <c r="AG200" s="1300" t="str">
        <f t="shared" si="85"/>
        <v>0</v>
      </c>
      <c r="AH200" s="2389">
        <f t="shared" si="86"/>
        <v>0</v>
      </c>
      <c r="AJ200" s="2397" t="str">
        <f t="shared" si="98"/>
        <v/>
      </c>
      <c r="AK200" s="1300" t="str">
        <f t="shared" si="99"/>
        <v/>
      </c>
      <c r="AL200" s="1300" t="str">
        <f t="shared" si="100"/>
        <v>0</v>
      </c>
      <c r="AM200" s="2389">
        <f t="shared" si="87"/>
        <v>0</v>
      </c>
      <c r="AO200" s="2397" t="str">
        <f t="shared" si="101"/>
        <v/>
      </c>
      <c r="AP200" s="1300" t="str">
        <f t="shared" si="102"/>
        <v/>
      </c>
      <c r="AQ200" s="1300" t="str">
        <f t="shared" si="103"/>
        <v>0</v>
      </c>
      <c r="AR200" s="2389">
        <f t="shared" si="88"/>
        <v>0</v>
      </c>
      <c r="AT200" s="2388" t="str">
        <f t="shared" si="104"/>
        <v/>
      </c>
      <c r="AU200" s="1300" t="str">
        <f t="shared" si="105"/>
        <v/>
      </c>
      <c r="AV200" s="1300" t="str">
        <f t="shared" si="106"/>
        <v>0</v>
      </c>
      <c r="AW200" s="2389">
        <f t="shared" si="89"/>
        <v>0</v>
      </c>
      <c r="BD200" s="2154"/>
      <c r="BH200" s="2154"/>
      <c r="BK200" s="1785"/>
      <c r="BL200" s="983"/>
      <c r="BM200" s="983"/>
      <c r="BN200" s="983" t="str">
        <f>IF(BL200&lt;&gt;"",IFERROR(MATCH(BL200&amp;BM200,'Results from Trace'!$L$1:$L$21,0),""),"")</f>
        <v/>
      </c>
    </row>
    <row r="201" spans="1:66" ht="16.5" customHeight="1" x14ac:dyDescent="0.25">
      <c r="A201" s="433" t="s">
        <v>1038</v>
      </c>
      <c r="B201" s="3858"/>
      <c r="C201" s="3858"/>
      <c r="D201" s="3846"/>
      <c r="E201" s="3858"/>
      <c r="F201" s="1299" t="str">
        <f>IFERROR(IF(ISBLANK(E200),"","Demand (" &amp; VLOOKUP($E200,PO_Enrgy_1_Table,MATCH($E$16,PO_Enrgy_1_Hdr,0),FALSE) &amp; ")"),"")</f>
        <v/>
      </c>
      <c r="G201" s="1300"/>
      <c r="H201" s="1300"/>
      <c r="I201" s="1300"/>
      <c r="J201" s="1300"/>
      <c r="K201" s="3845" t="str">
        <f t="shared" si="68"/>
        <v/>
      </c>
      <c r="L201" s="3845"/>
      <c r="M201" s="3845"/>
      <c r="R201" s="627" t="str">
        <f t="shared" si="82"/>
        <v/>
      </c>
      <c r="S201" s="627" t="str">
        <f t="shared" si="83"/>
        <v/>
      </c>
      <c r="T201" s="627" t="str">
        <f t="shared" si="109"/>
        <v/>
      </c>
      <c r="V201" s="3159"/>
      <c r="W201" s="3954"/>
      <c r="Y201" s="3846"/>
      <c r="AA201" s="1300" t="str">
        <f t="shared" ca="1" si="94"/>
        <v/>
      </c>
      <c r="AB201" s="1300" t="str">
        <f t="shared" ca="1" si="95"/>
        <v/>
      </c>
      <c r="AC201" s="1300" t="str">
        <f t="shared" ca="1" si="96"/>
        <v/>
      </c>
      <c r="AD201" s="1300" t="str">
        <f t="shared" ca="1" si="97"/>
        <v/>
      </c>
      <c r="AE201" s="2486"/>
      <c r="AF201" s="2388" t="str">
        <f t="shared" si="84"/>
        <v/>
      </c>
      <c r="AG201" s="1300" t="str">
        <f t="shared" si="85"/>
        <v>0</v>
      </c>
      <c r="AH201" s="2389">
        <f t="shared" si="86"/>
        <v>0</v>
      </c>
      <c r="AJ201" s="2397" t="str">
        <f t="shared" si="98"/>
        <v/>
      </c>
      <c r="AK201" s="1300" t="str">
        <f t="shared" si="99"/>
        <v/>
      </c>
      <c r="AL201" s="1300" t="str">
        <f t="shared" si="100"/>
        <v>0</v>
      </c>
      <c r="AM201" s="2389">
        <f t="shared" si="87"/>
        <v>0</v>
      </c>
      <c r="AO201" s="2397" t="str">
        <f t="shared" si="101"/>
        <v/>
      </c>
      <c r="AP201" s="1300" t="str">
        <f t="shared" si="102"/>
        <v/>
      </c>
      <c r="AQ201" s="1300" t="str">
        <f t="shared" si="103"/>
        <v>0</v>
      </c>
      <c r="AR201" s="2389">
        <f t="shared" si="88"/>
        <v>0</v>
      </c>
      <c r="AT201" s="2388" t="str">
        <f t="shared" si="104"/>
        <v/>
      </c>
      <c r="AU201" s="1300" t="str">
        <f t="shared" si="105"/>
        <v/>
      </c>
      <c r="AV201" s="1300" t="str">
        <f t="shared" si="106"/>
        <v>0</v>
      </c>
      <c r="AW201" s="2389">
        <f t="shared" si="89"/>
        <v>0</v>
      </c>
      <c r="BD201" s="2154"/>
      <c r="BH201" s="2154"/>
      <c r="BK201" s="1785"/>
      <c r="BL201" s="983"/>
      <c r="BM201" s="983"/>
      <c r="BN201" s="983"/>
    </row>
    <row r="202" spans="1:66" ht="16.2" customHeight="1" x14ac:dyDescent="0.25">
      <c r="A202" s="433" t="s">
        <v>1038</v>
      </c>
      <c r="B202" s="3858"/>
      <c r="C202" s="3858"/>
      <c r="D202" s="3846"/>
      <c r="E202" s="3858"/>
      <c r="F202" s="1299" t="str">
        <f>IFERROR(IF(ISBLANK(E202),"","Consumption (" &amp; VLOOKUP($E202,PO_Enrgy_1_Table,MATCH($C$16,PO_Enrgy_1_Hdr,0),FALSE) &amp; ")"),"")</f>
        <v/>
      </c>
      <c r="G202" s="1300"/>
      <c r="H202" s="1300"/>
      <c r="I202" s="1300"/>
      <c r="J202" s="1300"/>
      <c r="K202" s="3845" t="str">
        <f t="shared" si="68"/>
        <v/>
      </c>
      <c r="L202" s="3845"/>
      <c r="M202" s="3845"/>
      <c r="R202" s="627" t="str">
        <f t="shared" si="82"/>
        <v/>
      </c>
      <c r="S202" s="627" t="str">
        <f t="shared" si="83"/>
        <v/>
      </c>
      <c r="T202" s="627" t="str">
        <f t="shared" si="109"/>
        <v/>
      </c>
      <c r="V202" s="3159">
        <f>IF(D202="x",K202,0)</f>
        <v>0</v>
      </c>
      <c r="W202" s="3954" t="str">
        <f>IF(E202="Electricity","kWh",IF(E202="Natural Gas","THERM",IF(E202="District Cooling","MWh","")))</f>
        <v/>
      </c>
      <c r="Y202" s="3846" t="b">
        <f>IF(D202="x",TRUE,FALSE)</f>
        <v>0</v>
      </c>
      <c r="AA202" s="1300" t="str">
        <f t="shared" ca="1" si="94"/>
        <v/>
      </c>
      <c r="AB202" s="1300" t="str">
        <f t="shared" ca="1" si="95"/>
        <v/>
      </c>
      <c r="AC202" s="1300" t="str">
        <f t="shared" ca="1" si="96"/>
        <v/>
      </c>
      <c r="AD202" s="1300" t="str">
        <f t="shared" ca="1" si="97"/>
        <v/>
      </c>
      <c r="AE202" s="2486"/>
      <c r="AF202" s="2388" t="str">
        <f t="shared" si="84"/>
        <v/>
      </c>
      <c r="AG202" s="1300" t="str">
        <f t="shared" si="85"/>
        <v>0</v>
      </c>
      <c r="AH202" s="2389">
        <f t="shared" si="86"/>
        <v>0</v>
      </c>
      <c r="AJ202" s="2397" t="str">
        <f t="shared" si="98"/>
        <v/>
      </c>
      <c r="AK202" s="1300" t="str">
        <f t="shared" si="99"/>
        <v/>
      </c>
      <c r="AL202" s="1300" t="str">
        <f t="shared" si="100"/>
        <v>0</v>
      </c>
      <c r="AM202" s="2389">
        <f t="shared" si="87"/>
        <v>0</v>
      </c>
      <c r="AO202" s="2397" t="str">
        <f t="shared" si="101"/>
        <v/>
      </c>
      <c r="AP202" s="1300" t="str">
        <f t="shared" si="102"/>
        <v/>
      </c>
      <c r="AQ202" s="1300" t="str">
        <f t="shared" si="103"/>
        <v>0</v>
      </c>
      <c r="AR202" s="2389">
        <f t="shared" si="88"/>
        <v>0</v>
      </c>
      <c r="AT202" s="2388" t="str">
        <f t="shared" si="104"/>
        <v/>
      </c>
      <c r="AU202" s="1300" t="str">
        <f t="shared" si="105"/>
        <v/>
      </c>
      <c r="AV202" s="1300" t="str">
        <f t="shared" si="106"/>
        <v>0</v>
      </c>
      <c r="AW202" s="2389">
        <f t="shared" si="89"/>
        <v>0</v>
      </c>
      <c r="BD202" s="2154"/>
      <c r="BH202" s="2154"/>
      <c r="BK202" s="1785"/>
      <c r="BL202" s="983"/>
      <c r="BM202" s="983"/>
      <c r="BN202" s="983" t="str">
        <f>IF(BL202&lt;&gt;"",IFERROR(MATCH(BL202&amp;BM202,'Results from Trace'!$L$1:$L$21,0),""),"")</f>
        <v/>
      </c>
    </row>
    <row r="203" spans="1:66" ht="15.75" customHeight="1" thickBot="1" x14ac:dyDescent="0.3">
      <c r="A203" s="433" t="s">
        <v>1038</v>
      </c>
      <c r="B203" s="3858"/>
      <c r="C203" s="3858"/>
      <c r="D203" s="3846"/>
      <c r="E203" s="3858"/>
      <c r="F203" s="1299" t="str">
        <f>IFERROR(IF(ISBLANK(E202),"","Demand (" &amp; VLOOKUP($E202,PO_Enrgy_1_Table,MATCH($E$16,PO_Enrgy_1_Hdr,0),FALSE) &amp; ")"),"")</f>
        <v/>
      </c>
      <c r="G203" s="1300"/>
      <c r="H203" s="1300"/>
      <c r="I203" s="1300"/>
      <c r="J203" s="1300"/>
      <c r="K203" s="3845" t="str">
        <f t="shared" si="68"/>
        <v/>
      </c>
      <c r="L203" s="3845"/>
      <c r="M203" s="3845"/>
      <c r="R203" s="627" t="str">
        <f t="shared" si="82"/>
        <v/>
      </c>
      <c r="S203" s="627" t="str">
        <f t="shared" si="83"/>
        <v/>
      </c>
      <c r="T203" s="627" t="str">
        <f t="shared" si="109"/>
        <v/>
      </c>
      <c r="V203" s="3159"/>
      <c r="W203" s="3954"/>
      <c r="Y203" s="3846"/>
      <c r="AA203" s="1300" t="str">
        <f t="shared" ca="1" si="94"/>
        <v/>
      </c>
      <c r="AB203" s="1300" t="str">
        <f t="shared" ca="1" si="95"/>
        <v/>
      </c>
      <c r="AC203" s="1300" t="str">
        <f t="shared" ca="1" si="96"/>
        <v/>
      </c>
      <c r="AD203" s="1300" t="str">
        <f t="shared" ca="1" si="97"/>
        <v/>
      </c>
      <c r="AE203" s="2486"/>
      <c r="AF203" s="2388" t="str">
        <f t="shared" si="84"/>
        <v/>
      </c>
      <c r="AG203" s="1300" t="str">
        <f t="shared" si="85"/>
        <v>0</v>
      </c>
      <c r="AH203" s="2389">
        <f t="shared" si="86"/>
        <v>0</v>
      </c>
      <c r="AJ203" s="2397" t="str">
        <f t="shared" si="98"/>
        <v/>
      </c>
      <c r="AK203" s="1300" t="str">
        <f t="shared" si="99"/>
        <v/>
      </c>
      <c r="AL203" s="1300" t="str">
        <f t="shared" si="100"/>
        <v>0</v>
      </c>
      <c r="AM203" s="2389">
        <f t="shared" si="87"/>
        <v>0</v>
      </c>
      <c r="AO203" s="2398" t="str">
        <f t="shared" si="101"/>
        <v/>
      </c>
      <c r="AP203" s="2391" t="str">
        <f t="shared" si="102"/>
        <v/>
      </c>
      <c r="AQ203" s="2391" t="str">
        <f t="shared" si="103"/>
        <v>0</v>
      </c>
      <c r="AR203" s="2392">
        <f t="shared" si="88"/>
        <v>0</v>
      </c>
      <c r="AT203" s="2390" t="str">
        <f t="shared" si="104"/>
        <v/>
      </c>
      <c r="AU203" s="2391" t="str">
        <f t="shared" si="105"/>
        <v/>
      </c>
      <c r="AV203" s="2391" t="str">
        <f t="shared" si="106"/>
        <v>0</v>
      </c>
      <c r="AW203" s="2392">
        <f t="shared" si="89"/>
        <v>0</v>
      </c>
      <c r="BD203" s="2154"/>
      <c r="BH203" s="2154"/>
      <c r="BK203" s="1785"/>
      <c r="BL203" s="983"/>
      <c r="BM203" s="983"/>
      <c r="BN203" s="983"/>
    </row>
    <row r="204" spans="1:66" ht="18.75" hidden="1" customHeight="1" thickBot="1" x14ac:dyDescent="0.3">
      <c r="A204" s="433" t="s">
        <v>1038</v>
      </c>
      <c r="B204" s="1301"/>
      <c r="C204" s="1301"/>
      <c r="D204" s="1302"/>
      <c r="E204" s="1301" t="s">
        <v>1396</v>
      </c>
      <c r="F204" s="1301" t="s">
        <v>1424</v>
      </c>
      <c r="G204" s="1301" t="s">
        <v>1425</v>
      </c>
      <c r="H204" s="1301" t="s">
        <v>1426</v>
      </c>
      <c r="I204" s="1301" t="s">
        <v>1427</v>
      </c>
      <c r="J204" s="1301" t="s">
        <v>1428</v>
      </c>
      <c r="K204" s="1301" t="s">
        <v>1430</v>
      </c>
      <c r="L204" s="1303"/>
      <c r="M204" s="1531"/>
      <c r="R204" s="635" t="s">
        <v>1407</v>
      </c>
      <c r="S204" s="635" t="s">
        <v>1408</v>
      </c>
      <c r="T204" s="627" t="str">
        <f t="shared" si="109"/>
        <v/>
      </c>
      <c r="AF204" s="2388" t="str">
        <f>IFERROR(AE204*F204,"")</f>
        <v/>
      </c>
      <c r="AG204" s="1300" t="e">
        <f>IF(#REF!="x",AF204,"0")</f>
        <v>#REF!</v>
      </c>
      <c r="AH204" s="2389">
        <f t="shared" si="86"/>
        <v>0</v>
      </c>
      <c r="AJ204" s="2397" t="str">
        <f t="shared" si="98"/>
        <v/>
      </c>
      <c r="AK204" s="1300" t="str">
        <f t="shared" si="99"/>
        <v/>
      </c>
      <c r="AL204" s="1300" t="str">
        <f t="shared" si="100"/>
        <v>0</v>
      </c>
      <c r="AM204" s="2389">
        <f t="shared" si="87"/>
        <v>0</v>
      </c>
      <c r="AO204" s="235" t="str">
        <f t="shared" si="101"/>
        <v/>
      </c>
      <c r="AP204" s="2402" t="str">
        <f t="shared" si="102"/>
        <v/>
      </c>
      <c r="AQ204" s="2402" t="str">
        <f t="shared" si="103"/>
        <v>0</v>
      </c>
      <c r="AR204" s="2403">
        <f t="shared" si="88"/>
        <v>0</v>
      </c>
      <c r="BD204" s="2154"/>
      <c r="BH204" s="2154"/>
      <c r="BK204" s="1785"/>
      <c r="BL204" s="983"/>
      <c r="BM204" s="983"/>
      <c r="BN204" s="983"/>
    </row>
    <row r="205" spans="1:66" ht="21" customHeight="1" thickBot="1" x14ac:dyDescent="0.3">
      <c r="A205" s="433" t="s">
        <v>1038</v>
      </c>
      <c r="B205" s="3912" t="s">
        <v>1005</v>
      </c>
      <c r="C205" s="3576"/>
      <c r="D205" s="3576"/>
      <c r="E205" s="1672" t="str">
        <f t="shared" ref="E205:E210" si="112">IFERROR(IF(ISBLANK(B17),"",B17),"")</f>
        <v/>
      </c>
      <c r="F205" s="1672" t="str">
        <f t="shared" ref="F205:F210" si="113">IFERROR(IF(ISBLANK(E205),"",VLOOKUP($E205,PO_Enrgy_1_Table,MATCH($C$16,PO_Enrgy_1_Hdr,0),FALSE) ),"")</f>
        <v/>
      </c>
      <c r="G205" s="1304">
        <f t="shared" ref="G205:M210" si="114">IFERROR(SUMIFS(INDEX(PO_baseline_table,0,MATCH(G$145,PO_baseline_hdr,0)),INDEX(PO_baseline_table,0,MATCH($E$145,PO_baseline_hdr,0)),$E205,INDEX(PO_baseline_table,0,MATCH($F$145,PO_baseline_hdr,0)),"=Con*"),"")</f>
        <v>0</v>
      </c>
      <c r="H205" s="1304">
        <f t="shared" si="114"/>
        <v>0</v>
      </c>
      <c r="I205" s="1304">
        <f>IFERROR(SUMIFS(INDEX(PO_baseline_table,0,MATCH(I$145,PO_baseline_hdr,0)),INDEX(PO_baseline_table,0,MATCH($E$145,PO_baseline_hdr,0)),$E205,INDEX(PO_baseline_table,0,MATCH($F$145,PO_baseline_hdr,0)),"=Con*"),"")</f>
        <v>0</v>
      </c>
      <c r="J205" s="1304">
        <f t="shared" si="114"/>
        <v>0</v>
      </c>
      <c r="K205" s="3903">
        <f t="shared" si="114"/>
        <v>0</v>
      </c>
      <c r="L205" s="3903" t="str">
        <f t="shared" si="114"/>
        <v/>
      </c>
      <c r="M205" s="3903" t="str">
        <f t="shared" si="114"/>
        <v/>
      </c>
      <c r="R205" s="627" t="str">
        <f t="shared" ref="R205:R210" si="115">IFERROR(IF(ISBLANK($E205),"",VLOOKUP($E205,PO_Enrgy_1_Table,MATCH($K$16,PO_Enrgy_1_Hdr,0),FALSE)),"")</f>
        <v/>
      </c>
      <c r="S205" s="627" t="str">
        <f t="shared" ref="S205:S210" si="116">IFERROR(IF(ISBLANK($E205),"",VLOOKUP($E205,PO_Enrgy_1_Table,MATCH($M$16,PO_Enrgy_1_Hdr,0),FALSE)),"")</f>
        <v/>
      </c>
      <c r="T205" s="2405" t="str">
        <f t="shared" ref="T205:T210" si="117">IFERROR(VLOOKUP(E205,PO_Enrgy_1_Table,MATCH($T$16,PO_Enrgy_1_Hdr,0),0),"")</f>
        <v/>
      </c>
      <c r="V205" s="3159">
        <f>IF(D205="x",K205,0)</f>
        <v>0</v>
      </c>
      <c r="W205" s="3954" t="str">
        <f>IF(E205="Electricity","kWh",IF(E205="Natural Gas","THERM",IF(E205="District Cooling","MWh","")))</f>
        <v/>
      </c>
      <c r="X205" s="2451"/>
      <c r="Y205" s="3846" t="b">
        <f>IF(D205="x",TRUE,FALSE)</f>
        <v>0</v>
      </c>
      <c r="AF205" s="2489">
        <f>SUM(AF146:AF204)</f>
        <v>0</v>
      </c>
      <c r="AG205" s="2400">
        <f>SUM(AG146:AG203)</f>
        <v>0</v>
      </c>
      <c r="AH205" s="2401">
        <f>SUM(AH146:AH203)</f>
        <v>0</v>
      </c>
      <c r="AI205" s="263"/>
      <c r="AJ205" s="2399" t="str">
        <f>IFERROR(VLOOKUP(E211,PO_virtual_rate_table,MATCH($E$310,PO_virtual_rate_hdr,0),0),"")</f>
        <v/>
      </c>
      <c r="AK205" s="2400">
        <f>SUM(AK146:AK204)</f>
        <v>0</v>
      </c>
      <c r="AL205" s="2400">
        <f>SUM(AL146:AL204)</f>
        <v>0</v>
      </c>
      <c r="AM205" s="2401">
        <f>SUM(AM146:AM203)</f>
        <v>0</v>
      </c>
      <c r="AO205" s="2399" t="str">
        <f>IFERROR(VLOOKUP(J211,PO_virtual_rate_table,MATCH($E$310,PO_virtual_rate_hdr,0),0),"")</f>
        <v/>
      </c>
      <c r="AP205" s="2400">
        <f>SUM(AP146:AP203)</f>
        <v>0</v>
      </c>
      <c r="AQ205" s="2400">
        <f>SUM(AQ146:AQ203)</f>
        <v>0</v>
      </c>
      <c r="AR205" s="2401">
        <f>SUM(AR146:AR204)</f>
        <v>0</v>
      </c>
      <c r="AT205" s="2399" t="str">
        <f>IFERROR(VLOOKUP(O211,PO_virtual_rate_table,MATCH($E$310,PO_virtual_rate_hdr,0),0),"")</f>
        <v/>
      </c>
      <c r="AU205" s="2400">
        <f>SUM(AU146:AU203)</f>
        <v>0</v>
      </c>
      <c r="AV205" s="2400">
        <f>SUM(AV146:AV203)</f>
        <v>0</v>
      </c>
      <c r="AW205" s="2401">
        <f>SUM(AW146:AW204)</f>
        <v>0</v>
      </c>
      <c r="BD205" s="2154"/>
      <c r="BH205" s="2154"/>
      <c r="BK205" s="1785"/>
      <c r="BL205" s="983"/>
      <c r="BM205" s="983"/>
      <c r="BN205" s="983"/>
    </row>
    <row r="206" spans="1:66" ht="21" customHeight="1" x14ac:dyDescent="0.25">
      <c r="A206" s="433" t="s">
        <v>1038</v>
      </c>
      <c r="B206" s="3912"/>
      <c r="C206" s="3576"/>
      <c r="D206" s="3576"/>
      <c r="E206" s="1672" t="str">
        <f t="shared" si="112"/>
        <v/>
      </c>
      <c r="F206" s="1672" t="str">
        <f t="shared" si="113"/>
        <v/>
      </c>
      <c r="G206" s="1304">
        <f t="shared" si="114"/>
        <v>0</v>
      </c>
      <c r="H206" s="1304">
        <f t="shared" si="114"/>
        <v>0</v>
      </c>
      <c r="I206" s="1304">
        <f t="shared" si="114"/>
        <v>0</v>
      </c>
      <c r="J206" s="1304">
        <f t="shared" si="114"/>
        <v>0</v>
      </c>
      <c r="K206" s="3903">
        <f t="shared" si="114"/>
        <v>0</v>
      </c>
      <c r="L206" s="3903" t="str">
        <f t="shared" si="114"/>
        <v/>
      </c>
      <c r="M206" s="3903" t="str">
        <f t="shared" si="114"/>
        <v/>
      </c>
      <c r="R206" s="627" t="str">
        <f t="shared" si="115"/>
        <v/>
      </c>
      <c r="S206" s="627" t="str">
        <f t="shared" si="116"/>
        <v/>
      </c>
      <c r="T206" s="2406" t="str">
        <f t="shared" si="117"/>
        <v/>
      </c>
      <c r="V206" s="3159"/>
      <c r="W206" s="3954"/>
      <c r="X206" s="2451"/>
      <c r="Y206" s="3846"/>
      <c r="AG206" s="2476"/>
      <c r="AH206" s="2476" t="e">
        <f>AH205/AF205</f>
        <v>#DIV/0!</v>
      </c>
      <c r="AI206" s="263"/>
      <c r="AL206" s="2476"/>
      <c r="AM206" s="2476" t="e">
        <f>AM205/AK205</f>
        <v>#DIV/0!</v>
      </c>
      <c r="AQ206" s="2476"/>
      <c r="AR206" s="2476" t="e">
        <f>AR205/AP205</f>
        <v>#DIV/0!</v>
      </c>
      <c r="AV206" s="2476"/>
      <c r="AW206" s="2476" t="e">
        <f>AW205/AU205</f>
        <v>#DIV/0!</v>
      </c>
      <c r="BD206" s="2154"/>
      <c r="BH206" s="2154"/>
      <c r="BK206" s="1785"/>
      <c r="BL206" s="983"/>
      <c r="BM206" s="983"/>
      <c r="BN206" s="983"/>
    </row>
    <row r="207" spans="1:66" ht="21" customHeight="1" x14ac:dyDescent="0.25">
      <c r="A207" s="433" t="s">
        <v>1038</v>
      </c>
      <c r="B207" s="3912"/>
      <c r="C207" s="3576"/>
      <c r="D207" s="3576"/>
      <c r="E207" s="1672" t="str">
        <f t="shared" si="112"/>
        <v/>
      </c>
      <c r="F207" s="1672" t="str">
        <f t="shared" si="113"/>
        <v/>
      </c>
      <c r="G207" s="1304">
        <f t="shared" si="114"/>
        <v>0</v>
      </c>
      <c r="H207" s="1304">
        <f t="shared" si="114"/>
        <v>0</v>
      </c>
      <c r="I207" s="1304">
        <f t="shared" si="114"/>
        <v>0</v>
      </c>
      <c r="J207" s="1304">
        <f t="shared" si="114"/>
        <v>0</v>
      </c>
      <c r="K207" s="3903">
        <f t="shared" si="114"/>
        <v>0</v>
      </c>
      <c r="L207" s="3903" t="str">
        <f t="shared" si="114"/>
        <v/>
      </c>
      <c r="M207" s="3903" t="str">
        <f t="shared" si="114"/>
        <v/>
      </c>
      <c r="R207" s="627" t="str">
        <f t="shared" si="115"/>
        <v/>
      </c>
      <c r="S207" s="627" t="str">
        <f t="shared" si="116"/>
        <v/>
      </c>
      <c r="T207" s="2406" t="str">
        <f t="shared" si="117"/>
        <v/>
      </c>
      <c r="V207" s="3159">
        <f>IF(D207="x",K207,0)</f>
        <v>0</v>
      </c>
      <c r="W207" s="3954" t="str">
        <f>IF(E207="Electricity","kWh",IF(E207="Natural Gas","THERM",IF(E207="District Cooling","MWh","")))</f>
        <v/>
      </c>
      <c r="X207" s="2451"/>
      <c r="Y207" s="3846" t="b">
        <f>IF(D207="x",TRUE,FALSE)</f>
        <v>0</v>
      </c>
      <c r="AE207" s="263"/>
      <c r="BD207" s="2154"/>
      <c r="BG207" s="2832"/>
      <c r="BH207" s="983"/>
      <c r="BI207" s="983"/>
      <c r="BJ207" s="983"/>
      <c r="BK207" s="1785"/>
    </row>
    <row r="208" spans="1:66" ht="21" customHeight="1" x14ac:dyDescent="0.25">
      <c r="A208" s="433" t="s">
        <v>1038</v>
      </c>
      <c r="B208" s="3912"/>
      <c r="C208" s="3576"/>
      <c r="D208" s="3576"/>
      <c r="E208" s="1672" t="str">
        <f t="shared" si="112"/>
        <v/>
      </c>
      <c r="F208" s="1672" t="str">
        <f t="shared" si="113"/>
        <v/>
      </c>
      <c r="G208" s="1304">
        <f t="shared" si="114"/>
        <v>0</v>
      </c>
      <c r="H208" s="1304">
        <f t="shared" si="114"/>
        <v>0</v>
      </c>
      <c r="I208" s="1304">
        <f t="shared" si="114"/>
        <v>0</v>
      </c>
      <c r="J208" s="1304">
        <f t="shared" si="114"/>
        <v>0</v>
      </c>
      <c r="K208" s="3903">
        <f t="shared" si="114"/>
        <v>0</v>
      </c>
      <c r="L208" s="3903" t="str">
        <f t="shared" si="114"/>
        <v/>
      </c>
      <c r="M208" s="3903" t="str">
        <f t="shared" si="114"/>
        <v/>
      </c>
      <c r="R208" s="627" t="str">
        <f t="shared" si="115"/>
        <v/>
      </c>
      <c r="S208" s="627" t="str">
        <f t="shared" si="116"/>
        <v/>
      </c>
      <c r="T208" s="2406" t="str">
        <f t="shared" si="117"/>
        <v/>
      </c>
      <c r="V208" s="3159"/>
      <c r="W208" s="3954"/>
      <c r="X208" s="2451"/>
      <c r="Y208" s="3846"/>
      <c r="AE208" s="263"/>
      <c r="BD208" s="2154"/>
      <c r="BG208" s="2832"/>
      <c r="BH208" s="983"/>
      <c r="BI208" s="983"/>
      <c r="BJ208" s="983"/>
      <c r="BK208" s="1785"/>
    </row>
    <row r="209" spans="1:63" ht="21" customHeight="1" x14ac:dyDescent="0.25">
      <c r="A209" s="433" t="s">
        <v>1038</v>
      </c>
      <c r="B209" s="3912"/>
      <c r="C209" s="3576"/>
      <c r="D209" s="3576"/>
      <c r="E209" s="1672" t="str">
        <f t="shared" si="112"/>
        <v/>
      </c>
      <c r="F209" s="1672" t="str">
        <f t="shared" si="113"/>
        <v/>
      </c>
      <c r="G209" s="1304">
        <f t="shared" si="114"/>
        <v>0</v>
      </c>
      <c r="H209" s="1304">
        <f>AL209</f>
        <v>0</v>
      </c>
      <c r="I209" s="1304">
        <f t="shared" si="114"/>
        <v>0</v>
      </c>
      <c r="J209" s="1304">
        <f t="shared" si="114"/>
        <v>0</v>
      </c>
      <c r="K209" s="3903">
        <f t="shared" si="114"/>
        <v>0</v>
      </c>
      <c r="L209" s="3903" t="str">
        <f t="shared" si="114"/>
        <v/>
      </c>
      <c r="M209" s="3903" t="str">
        <f t="shared" si="114"/>
        <v/>
      </c>
      <c r="R209" s="627" t="str">
        <f t="shared" si="115"/>
        <v/>
      </c>
      <c r="S209" s="627" t="str">
        <f t="shared" si="116"/>
        <v/>
      </c>
      <c r="T209" s="2406" t="str">
        <f t="shared" si="117"/>
        <v/>
      </c>
      <c r="V209" s="3159">
        <f>IF(D209="x",K209,0)</f>
        <v>0</v>
      </c>
      <c r="W209" s="3954" t="str">
        <f>IF(E209="Electricity","kWh",IF(E209="Natural Gas","THERM",IF(E209="District Cooling","MWh","")))</f>
        <v/>
      </c>
      <c r="X209" s="2451"/>
      <c r="Y209" s="3846" t="b">
        <f>IF(D209="x",TRUE,FALSE)</f>
        <v>0</v>
      </c>
      <c r="AE209" s="263"/>
      <c r="BD209" s="2154"/>
      <c r="BG209" s="2832"/>
      <c r="BH209" s="983"/>
      <c r="BI209" s="983"/>
      <c r="BJ209" s="983"/>
      <c r="BK209" s="1785"/>
    </row>
    <row r="210" spans="1:63" ht="21" customHeight="1" thickBot="1" x14ac:dyDescent="0.3">
      <c r="A210" s="433" t="s">
        <v>1038</v>
      </c>
      <c r="B210" s="3912"/>
      <c r="C210" s="3576"/>
      <c r="D210" s="3576"/>
      <c r="E210" s="1672" t="str">
        <f t="shared" si="112"/>
        <v/>
      </c>
      <c r="F210" s="1672" t="str">
        <f t="shared" si="113"/>
        <v/>
      </c>
      <c r="G210" s="1304">
        <f t="shared" si="114"/>
        <v>0</v>
      </c>
      <c r="H210" s="1304">
        <f t="shared" si="114"/>
        <v>0</v>
      </c>
      <c r="I210" s="1304">
        <f t="shared" si="114"/>
        <v>0</v>
      </c>
      <c r="J210" s="1304">
        <f t="shared" si="114"/>
        <v>0</v>
      </c>
      <c r="K210" s="3903">
        <f t="shared" si="114"/>
        <v>0</v>
      </c>
      <c r="L210" s="3903" t="str">
        <f t="shared" si="114"/>
        <v/>
      </c>
      <c r="M210" s="3903" t="str">
        <f t="shared" si="114"/>
        <v/>
      </c>
      <c r="R210" s="627" t="str">
        <f t="shared" si="115"/>
        <v/>
      </c>
      <c r="S210" s="627" t="str">
        <f t="shared" si="116"/>
        <v/>
      </c>
      <c r="T210" s="2407" t="str">
        <f t="shared" si="117"/>
        <v/>
      </c>
      <c r="V210" s="3159"/>
      <c r="W210" s="3954"/>
      <c r="X210" s="2451"/>
      <c r="Y210" s="3846"/>
      <c r="AE210" s="263"/>
      <c r="BD210" s="2154"/>
      <c r="BG210" s="2832"/>
      <c r="BH210" s="983"/>
      <c r="BI210" s="983"/>
      <c r="BJ210" s="983"/>
      <c r="BK210" s="1785"/>
    </row>
    <row r="211" spans="1:63" ht="21" customHeight="1" x14ac:dyDescent="0.25">
      <c r="A211" s="433" t="s">
        <v>1038</v>
      </c>
      <c r="B211" s="3898" t="str">
        <f>"Total site energy (" &amp; PO_SiteUnits &amp; ")"</f>
        <v>Total site energy (kWh)</v>
      </c>
      <c r="C211" s="3892"/>
      <c r="D211" s="3892"/>
      <c r="E211" s="3892"/>
      <c r="F211" s="3892"/>
      <c r="G211" s="1305">
        <f t="shared" ref="G211:M211" si="118">IFERROR(SUMPRODUCT(INDEX(PO_Enrgy_5_Table,0,MATCH(G$204,PO_Enrgy_5_Hdr,0)),INDEX(PO_Enrgy_5_Table,0,MATCH($R204,PO_Enrgy_5_Hdr,0))),"")</f>
        <v>0</v>
      </c>
      <c r="H211" s="1305">
        <f t="shared" si="118"/>
        <v>0</v>
      </c>
      <c r="I211" s="1305">
        <f t="shared" si="118"/>
        <v>0</v>
      </c>
      <c r="J211" s="1305">
        <f>IFERROR(SUMPRODUCT(INDEX(PO_Enrgy_5_Table,0,MATCH(J$204,PO_Enrgy_5_Hdr,0)),INDEX(PO_Enrgy_5_Table,0,MATCH($R204,PO_Enrgy_5_Hdr,0))),"")</f>
        <v>0</v>
      </c>
      <c r="K211" s="3903">
        <f t="shared" si="118"/>
        <v>0</v>
      </c>
      <c r="L211" s="3904" t="str">
        <f t="shared" si="118"/>
        <v/>
      </c>
      <c r="M211" s="3905" t="str">
        <f t="shared" si="118"/>
        <v/>
      </c>
      <c r="BD211" s="2154"/>
      <c r="BG211" s="2832"/>
      <c r="BH211" s="983"/>
      <c r="BI211" s="983"/>
      <c r="BJ211" s="983"/>
      <c r="BK211" s="1785"/>
    </row>
    <row r="212" spans="1:63" ht="21" customHeight="1" x14ac:dyDescent="0.25">
      <c r="A212" s="433" t="s">
        <v>1038</v>
      </c>
      <c r="B212" s="3906" t="str">
        <f>"Total source energy (" &amp; PO_SourceUnits &amp; ")"</f>
        <v>Total source energy (kWh)</v>
      </c>
      <c r="C212" s="3907"/>
      <c r="D212" s="3907"/>
      <c r="E212" s="3907"/>
      <c r="F212" s="3907"/>
      <c r="G212" s="2748">
        <f>IFERROR(SUMPRODUCT(G$205:G$210,$S$205:$S$210),0)</f>
        <v>0</v>
      </c>
      <c r="H212" s="2748">
        <f>IFERROR(SUMPRODUCT(H$205:H$210,$S$205:$S$210),0)</f>
        <v>0</v>
      </c>
      <c r="I212" s="2748">
        <f>IFERROR(SUMPRODUCT(I$205:I$210,$S$205:$S$210),0)</f>
        <v>0</v>
      </c>
      <c r="J212" s="2748">
        <f>IFERROR(SUMPRODUCT(J$205:J$210,$S$205:$S$210),0)</f>
        <v>0</v>
      </c>
      <c r="K212" s="3908">
        <f t="shared" ref="K212:M212" si="119">IFERROR(SUMPRODUCT(K$205:K$206,$S$205:$S$206),0)</f>
        <v>0</v>
      </c>
      <c r="L212" s="3909">
        <f t="shared" si="119"/>
        <v>0</v>
      </c>
      <c r="M212" s="3910">
        <f t="shared" si="119"/>
        <v>0</v>
      </c>
      <c r="R212" s="2747" t="s">
        <v>3267</v>
      </c>
      <c r="AF212" s="235" t="str">
        <f>IFERROR(VLOOKUP(E212,PO_virtual_rate_table,MATCH($E$310,PO_virtual_rate_hdr,0),0),"")</f>
        <v/>
      </c>
      <c r="AG212" s="235" t="str">
        <f t="shared" ref="AG212" si="120">IFERROR(AF212*K212,"")</f>
        <v/>
      </c>
      <c r="BD212" s="2154"/>
      <c r="BG212" s="2832"/>
      <c r="BH212" s="983"/>
      <c r="BI212" s="983"/>
      <c r="BJ212" s="983"/>
      <c r="BK212" s="1785"/>
    </row>
    <row r="213" spans="1:63" ht="21" customHeight="1" x14ac:dyDescent="0.25">
      <c r="A213" s="433"/>
      <c r="B213" s="2835" t="s">
        <v>3212</v>
      </c>
      <c r="C213" s="2836"/>
      <c r="D213" s="2836"/>
      <c r="E213" s="2836"/>
      <c r="F213" s="2836"/>
      <c r="G213" s="2837">
        <f>R213</f>
        <v>0</v>
      </c>
      <c r="H213" s="2837">
        <f>S213</f>
        <v>0</v>
      </c>
      <c r="I213" s="2837">
        <f>T213</f>
        <v>0</v>
      </c>
      <c r="J213" s="2837">
        <f>U213</f>
        <v>0</v>
      </c>
      <c r="K213" s="3913">
        <f>V213</f>
        <v>0</v>
      </c>
      <c r="L213" s="3914"/>
      <c r="M213" s="3915"/>
      <c r="R213" s="2614">
        <f>IFERROR(SUMPRODUCT(G$205:G$210,$T$205:$T$210),0)</f>
        <v>0</v>
      </c>
      <c r="S213" s="2614">
        <f>IFERROR(SUMPRODUCT(H$205:H$210,$T$205:$T$210),0)</f>
        <v>0</v>
      </c>
      <c r="T213" s="2614">
        <f>IFERROR(SUMPRODUCT(I$205:I$210,$T$205:$T$210),0)</f>
        <v>0</v>
      </c>
      <c r="U213" s="2614">
        <f>IFERROR(SUMPRODUCT(J$205:J$210,$T$205:$T$210),0)</f>
        <v>0</v>
      </c>
      <c r="V213" s="2614">
        <f>IFERROR(SUMPRODUCT(K$205:K$210,$T$205:$T$210),0)</f>
        <v>0</v>
      </c>
      <c r="BD213" s="2861"/>
      <c r="BG213" s="2449"/>
      <c r="BH213" s="2450"/>
      <c r="BI213" s="2450"/>
      <c r="BJ213" s="2450"/>
      <c r="BK213" s="1785"/>
    </row>
    <row r="214" spans="1:63" ht="43.5" customHeight="1" x14ac:dyDescent="0.25">
      <c r="A214" s="409"/>
      <c r="C214" s="2610"/>
      <c r="D214" s="2610"/>
      <c r="E214" s="2610"/>
      <c r="F214" s="2610"/>
      <c r="G214" s="3916" t="s">
        <v>3303</v>
      </c>
      <c r="H214" s="3916"/>
      <c r="I214" s="3916"/>
      <c r="J214" s="3916"/>
      <c r="K214" s="2611"/>
      <c r="L214" s="2611"/>
      <c r="M214" s="2611"/>
      <c r="BD214" s="2612"/>
      <c r="BG214" s="2613"/>
      <c r="BH214" s="588"/>
      <c r="BI214" s="588"/>
      <c r="BJ214" s="588"/>
    </row>
    <row r="215" spans="1:63" ht="21" customHeight="1" x14ac:dyDescent="0.25">
      <c r="A215" s="433" t="s">
        <v>1038</v>
      </c>
      <c r="B215" s="329"/>
      <c r="C215" s="329"/>
      <c r="D215" s="329"/>
      <c r="E215" s="266"/>
      <c r="F215" s="266"/>
      <c r="G215" s="250"/>
      <c r="H215" s="250"/>
      <c r="I215" s="250"/>
      <c r="J215" s="250"/>
      <c r="K215" s="250"/>
      <c r="L215" s="250"/>
      <c r="M215" s="250"/>
    </row>
    <row r="216" spans="1:63" ht="20.25" customHeight="1" x14ac:dyDescent="0.25">
      <c r="A216" s="433" t="s">
        <v>1038</v>
      </c>
      <c r="B216" s="287" t="s">
        <v>3351</v>
      </c>
      <c r="C216" s="1235"/>
      <c r="D216" s="1235"/>
      <c r="E216" s="1235"/>
      <c r="F216" s="1235"/>
      <c r="G216" s="1235"/>
      <c r="H216" s="1235"/>
      <c r="I216" s="1235"/>
      <c r="J216" s="1235"/>
      <c r="K216" s="1235"/>
      <c r="L216" s="1235"/>
      <c r="M216" s="1235"/>
    </row>
    <row r="217" spans="1:63" s="1235" customFormat="1" ht="43.95" customHeight="1" x14ac:dyDescent="0.25">
      <c r="A217" s="2165" t="s">
        <v>1038</v>
      </c>
      <c r="B217" s="3911" t="s">
        <v>354</v>
      </c>
      <c r="C217" s="3911"/>
      <c r="D217" s="3911"/>
      <c r="E217" s="3911"/>
      <c r="F217" s="3911"/>
      <c r="G217" s="2167" t="s">
        <v>373</v>
      </c>
      <c r="H217" s="2167" t="s">
        <v>372</v>
      </c>
      <c r="I217" s="2167" t="s">
        <v>371</v>
      </c>
      <c r="J217" s="2167" t="s">
        <v>370</v>
      </c>
      <c r="K217" s="3859" t="s">
        <v>369</v>
      </c>
      <c r="L217" s="3358"/>
      <c r="M217" s="3881"/>
      <c r="BD217" s="2356" t="s">
        <v>1635</v>
      </c>
    </row>
    <row r="218" spans="1:63" ht="13.8" hidden="1" x14ac:dyDescent="0.25">
      <c r="A218" s="433" t="s">
        <v>1038</v>
      </c>
      <c r="B218" s="1454" t="s">
        <v>1396</v>
      </c>
      <c r="C218" s="1454"/>
      <c r="D218" s="1454"/>
      <c r="E218" s="1454"/>
      <c r="F218" s="1454"/>
      <c r="G218" s="1452" t="s">
        <v>1425</v>
      </c>
      <c r="H218" s="1452" t="s">
        <v>1426</v>
      </c>
      <c r="I218" s="1452" t="s">
        <v>1427</v>
      </c>
      <c r="J218" s="1452" t="s">
        <v>1428</v>
      </c>
      <c r="K218" s="1452" t="s">
        <v>1454</v>
      </c>
      <c r="L218" s="1454"/>
      <c r="M218" s="1532"/>
      <c r="R218" s="628" t="s">
        <v>1407</v>
      </c>
      <c r="S218" s="628" t="s">
        <v>1408</v>
      </c>
      <c r="BD218" s="2831"/>
    </row>
    <row r="219" spans="1:63" ht="15" customHeight="1" x14ac:dyDescent="0.25">
      <c r="A219" s="433" t="s">
        <v>1038</v>
      </c>
      <c r="B219" s="3893" t="str">
        <f t="shared" ref="B219:B224" si="121">IFERROR(IF(ISBLANK(B17),"",B17),"")</f>
        <v/>
      </c>
      <c r="C219" s="3894"/>
      <c r="D219" s="3894"/>
      <c r="E219" s="3894"/>
      <c r="F219" s="1672" t="str">
        <f t="shared" ref="F219:F224" si="122">IFERROR(IF(ISBLANK($B219),"",VLOOKUP($B219,PO_Enrgy_1_Table,MATCH($C$16,PO_Enrgy_1_Hdr,0),FALSE) ),"")</f>
        <v/>
      </c>
      <c r="G219" s="1306"/>
      <c r="H219" s="1306"/>
      <c r="I219" s="1306"/>
      <c r="J219" s="1306"/>
      <c r="K219" s="3895" t="str">
        <f>IFERROR(AVERAGEIF(G219:J219,"&lt;&gt;0"),"")</f>
        <v/>
      </c>
      <c r="L219" s="3896"/>
      <c r="M219" s="3897"/>
      <c r="R219" s="627" t="str">
        <f t="shared" ref="R219:R224" si="123">IFERROR(IF(ISBLANK($B219),"",VLOOKUP($B219,PO_Enrgy_1_Table,MATCH($K$16,PO_Enrgy_1_Hdr,0),FALSE)),"")</f>
        <v/>
      </c>
      <c r="S219" s="627" t="str">
        <f t="shared" ref="S219:S224" si="124">IFERROR(IF(ISBLANK($B219),"",VLOOKUP($B219,PO_Enrgy_1_Table,MATCH($M$16,PO_Enrgy_1_Hdr,0),FALSE)),"")</f>
        <v/>
      </c>
      <c r="AE219" s="263"/>
      <c r="BD219" s="2779"/>
    </row>
    <row r="220" spans="1:63" ht="15" customHeight="1" x14ac:dyDescent="0.25">
      <c r="A220" s="433" t="s">
        <v>1038</v>
      </c>
      <c r="B220" s="3893" t="str">
        <f t="shared" si="121"/>
        <v/>
      </c>
      <c r="C220" s="3894"/>
      <c r="D220" s="3894"/>
      <c r="E220" s="3894"/>
      <c r="F220" s="1672" t="str">
        <f t="shared" si="122"/>
        <v/>
      </c>
      <c r="G220" s="1306"/>
      <c r="H220" s="1306"/>
      <c r="I220" s="1306"/>
      <c r="J220" s="1306"/>
      <c r="K220" s="3895" t="str">
        <f t="shared" ref="K220:K224" si="125">IFERROR(AVERAGEIF(G220:J220,"&lt;&gt;0"),"")</f>
        <v/>
      </c>
      <c r="L220" s="3896"/>
      <c r="M220" s="3897"/>
      <c r="R220" s="627" t="str">
        <f t="shared" si="123"/>
        <v/>
      </c>
      <c r="S220" s="627" t="str">
        <f t="shared" si="124"/>
        <v/>
      </c>
      <c r="AE220" s="263"/>
      <c r="BD220" s="2779"/>
    </row>
    <row r="221" spans="1:63" ht="15" customHeight="1" x14ac:dyDescent="0.25">
      <c r="A221" s="433" t="s">
        <v>1038</v>
      </c>
      <c r="B221" s="3893" t="str">
        <f t="shared" si="121"/>
        <v/>
      </c>
      <c r="C221" s="3894"/>
      <c r="D221" s="3894"/>
      <c r="E221" s="3894"/>
      <c r="F221" s="1672" t="str">
        <f t="shared" si="122"/>
        <v/>
      </c>
      <c r="G221" s="1306"/>
      <c r="H221" s="1306"/>
      <c r="I221" s="1306"/>
      <c r="J221" s="1306"/>
      <c r="K221" s="3895" t="str">
        <f t="shared" si="125"/>
        <v/>
      </c>
      <c r="L221" s="3896"/>
      <c r="M221" s="3897"/>
      <c r="R221" s="627" t="str">
        <f t="shared" si="123"/>
        <v/>
      </c>
      <c r="S221" s="627" t="str">
        <f t="shared" si="124"/>
        <v/>
      </c>
      <c r="AE221" s="263"/>
      <c r="BD221" s="2779"/>
    </row>
    <row r="222" spans="1:63" ht="15" customHeight="1" x14ac:dyDescent="0.25">
      <c r="A222" s="433" t="s">
        <v>1038</v>
      </c>
      <c r="B222" s="3893" t="str">
        <f t="shared" si="121"/>
        <v/>
      </c>
      <c r="C222" s="3894"/>
      <c r="D222" s="3894"/>
      <c r="E222" s="3894"/>
      <c r="F222" s="1672" t="str">
        <f t="shared" si="122"/>
        <v/>
      </c>
      <c r="G222" s="1306"/>
      <c r="H222" s="1306"/>
      <c r="I222" s="1306"/>
      <c r="J222" s="1306"/>
      <c r="K222" s="3895" t="str">
        <f t="shared" si="125"/>
        <v/>
      </c>
      <c r="L222" s="3896"/>
      <c r="M222" s="3897"/>
      <c r="R222" s="627" t="str">
        <f t="shared" si="123"/>
        <v/>
      </c>
      <c r="S222" s="627" t="str">
        <f t="shared" si="124"/>
        <v/>
      </c>
      <c r="AE222" s="263"/>
      <c r="BD222" s="2779"/>
    </row>
    <row r="223" spans="1:63" ht="15" customHeight="1" x14ac:dyDescent="0.25">
      <c r="A223" s="433" t="s">
        <v>1038</v>
      </c>
      <c r="B223" s="3893" t="str">
        <f t="shared" si="121"/>
        <v/>
      </c>
      <c r="C223" s="3894"/>
      <c r="D223" s="3894"/>
      <c r="E223" s="3894"/>
      <c r="F223" s="1672" t="str">
        <f t="shared" si="122"/>
        <v/>
      </c>
      <c r="G223" s="1306"/>
      <c r="H223" s="1306"/>
      <c r="I223" s="1306"/>
      <c r="J223" s="1306"/>
      <c r="K223" s="3895" t="str">
        <f t="shared" si="125"/>
        <v/>
      </c>
      <c r="L223" s="3896"/>
      <c r="M223" s="3897"/>
      <c r="R223" s="627" t="str">
        <f t="shared" si="123"/>
        <v/>
      </c>
      <c r="S223" s="627" t="str">
        <f t="shared" si="124"/>
        <v/>
      </c>
      <c r="AE223" s="263"/>
      <c r="BD223" s="2779"/>
    </row>
    <row r="224" spans="1:63" ht="15" customHeight="1" x14ac:dyDescent="0.25">
      <c r="A224" s="433" t="s">
        <v>1038</v>
      </c>
      <c r="B224" s="3893" t="str">
        <f t="shared" si="121"/>
        <v/>
      </c>
      <c r="C224" s="3894"/>
      <c r="D224" s="3894"/>
      <c r="E224" s="3894"/>
      <c r="F224" s="1672" t="str">
        <f t="shared" si="122"/>
        <v/>
      </c>
      <c r="G224" s="1306"/>
      <c r="H224" s="1306"/>
      <c r="I224" s="1306"/>
      <c r="J224" s="1306"/>
      <c r="K224" s="3895" t="str">
        <f t="shared" si="125"/>
        <v/>
      </c>
      <c r="L224" s="3896"/>
      <c r="M224" s="3897"/>
      <c r="R224" s="627" t="str">
        <f t="shared" si="123"/>
        <v/>
      </c>
      <c r="S224" s="627" t="str">
        <f t="shared" si="124"/>
        <v/>
      </c>
      <c r="AE224" s="263"/>
      <c r="BD224" s="2779"/>
    </row>
    <row r="225" spans="1:85" ht="21" customHeight="1" x14ac:dyDescent="0.25">
      <c r="A225" s="433" t="s">
        <v>1038</v>
      </c>
      <c r="B225" s="3898" t="s">
        <v>1008</v>
      </c>
      <c r="C225" s="3880"/>
      <c r="D225" s="3880"/>
      <c r="E225" s="3880"/>
      <c r="F225" s="3880"/>
      <c r="G225" s="1307">
        <f t="shared" ref="G225:M225" si="126">IFERROR(SUM(INDEX(PO_Enrgy_6_Table,0,MATCH(G$218,PO_Enrgy_6_Hdr,0))),"")</f>
        <v>0</v>
      </c>
      <c r="H225" s="1307">
        <f t="shared" si="126"/>
        <v>0</v>
      </c>
      <c r="I225" s="1307">
        <f t="shared" si="126"/>
        <v>0</v>
      </c>
      <c r="J225" s="1307">
        <f t="shared" si="126"/>
        <v>0</v>
      </c>
      <c r="K225" s="3899">
        <f t="shared" si="126"/>
        <v>0</v>
      </c>
      <c r="L225" s="3900" t="str">
        <f t="shared" si="126"/>
        <v/>
      </c>
      <c r="M225" s="3901" t="str">
        <f t="shared" si="126"/>
        <v/>
      </c>
      <c r="BD225" s="2779"/>
    </row>
    <row r="226" spans="1:85" ht="18" customHeight="1" x14ac:dyDescent="0.25">
      <c r="A226" s="433" t="s">
        <v>1038</v>
      </c>
      <c r="B226" s="329"/>
      <c r="C226" s="329"/>
      <c r="D226" s="329"/>
      <c r="E226" s="266"/>
      <c r="F226" s="266"/>
      <c r="G226" s="337"/>
      <c r="H226" s="337"/>
      <c r="I226" s="337"/>
      <c r="J226" s="337"/>
      <c r="K226" s="251"/>
      <c r="L226" s="251"/>
      <c r="M226" s="251"/>
    </row>
    <row r="227" spans="1:85" ht="33" customHeight="1" x14ac:dyDescent="0.25">
      <c r="A227" s="433" t="s">
        <v>1038</v>
      </c>
      <c r="B227" s="329"/>
      <c r="C227" s="329"/>
      <c r="D227" s="329"/>
      <c r="E227" s="266"/>
      <c r="F227" s="266"/>
      <c r="G227" s="338"/>
      <c r="H227" s="338"/>
      <c r="I227" s="338"/>
      <c r="J227" s="338"/>
      <c r="K227" s="250"/>
      <c r="L227" s="250"/>
      <c r="M227" s="250"/>
    </row>
    <row r="228" spans="1:85" ht="21.75" customHeight="1" x14ac:dyDescent="0.25">
      <c r="A228" s="433" t="s">
        <v>1038</v>
      </c>
      <c r="B228" s="287" t="s">
        <v>3352</v>
      </c>
      <c r="C228" s="1235"/>
      <c r="D228" s="1235"/>
      <c r="E228" s="1235"/>
      <c r="F228" s="1235"/>
      <c r="G228" s="1235"/>
      <c r="H228" s="1235"/>
      <c r="I228" s="1235"/>
      <c r="J228" s="1235"/>
      <c r="K228" s="1235"/>
      <c r="L228" s="1235"/>
      <c r="M228" s="1235"/>
    </row>
    <row r="229" spans="1:85" ht="34.5" hidden="1" customHeight="1" x14ac:dyDescent="0.25">
      <c r="A229" s="433" t="s">
        <v>1038</v>
      </c>
      <c r="B229" s="3201" t="s">
        <v>368</v>
      </c>
      <c r="C229" s="3201"/>
      <c r="D229" s="3201"/>
      <c r="E229" s="3201"/>
      <c r="F229" s="3201"/>
      <c r="G229" s="3201"/>
      <c r="H229" s="3201"/>
      <c r="I229" s="3201"/>
      <c r="J229" s="3201"/>
      <c r="K229" s="3201"/>
      <c r="L229" s="3201"/>
      <c r="M229" s="3201"/>
    </row>
    <row r="230" spans="1:85" ht="33" hidden="1" customHeight="1" x14ac:dyDescent="0.25">
      <c r="A230" s="433" t="s">
        <v>1038</v>
      </c>
      <c r="B230" s="3201" t="s">
        <v>951</v>
      </c>
      <c r="C230" s="3201"/>
      <c r="D230" s="3201"/>
      <c r="E230" s="3201"/>
      <c r="F230" s="3201"/>
      <c r="G230" s="3201"/>
      <c r="H230" s="3201"/>
      <c r="I230" s="3201"/>
      <c r="J230" s="3201"/>
      <c r="K230" s="3201"/>
      <c r="L230" s="3201"/>
      <c r="M230" s="3201"/>
    </row>
    <row r="231" spans="1:85" ht="33" hidden="1" customHeight="1" x14ac:dyDescent="0.25">
      <c r="A231" s="433" t="s">
        <v>1038</v>
      </c>
      <c r="B231" s="3201" t="s">
        <v>939</v>
      </c>
      <c r="C231" s="3201"/>
      <c r="D231" s="3201"/>
      <c r="E231" s="3201"/>
      <c r="F231" s="3201"/>
      <c r="G231" s="3201"/>
      <c r="H231" s="3201"/>
      <c r="I231" s="3201"/>
      <c r="J231" s="3201"/>
      <c r="K231" s="3201"/>
      <c r="L231" s="3201"/>
      <c r="M231" s="3201"/>
    </row>
    <row r="232" spans="1:85" ht="33" hidden="1" customHeight="1" x14ac:dyDescent="0.25">
      <c r="A232" s="433" t="s">
        <v>1038</v>
      </c>
      <c r="B232" s="3201" t="s">
        <v>953</v>
      </c>
      <c r="C232" s="3201"/>
      <c r="D232" s="3201"/>
      <c r="E232" s="3201"/>
      <c r="F232" s="3201"/>
      <c r="G232" s="3201"/>
      <c r="H232" s="3201"/>
      <c r="I232" s="3201"/>
      <c r="J232" s="3201"/>
      <c r="K232" s="3201"/>
      <c r="L232" s="3201"/>
      <c r="M232" s="3201"/>
    </row>
    <row r="233" spans="1:85" ht="33" hidden="1" customHeight="1" x14ac:dyDescent="0.25">
      <c r="A233" s="433" t="s">
        <v>1038</v>
      </c>
      <c r="B233" s="3201" t="s">
        <v>940</v>
      </c>
      <c r="C233" s="3220"/>
      <c r="D233" s="3220"/>
      <c r="E233" s="3220"/>
      <c r="F233" s="3220"/>
      <c r="G233" s="3220"/>
      <c r="H233" s="3220"/>
      <c r="I233" s="3220"/>
      <c r="J233" s="3220"/>
      <c r="K233" s="3220"/>
      <c r="L233" s="3220"/>
      <c r="M233" s="3220"/>
    </row>
    <row r="234" spans="1:85" ht="45" hidden="1" customHeight="1" x14ac:dyDescent="0.25">
      <c r="A234" s="433" t="s">
        <v>1038</v>
      </c>
      <c r="B234" s="3201" t="s">
        <v>1033</v>
      </c>
      <c r="C234" s="3220"/>
      <c r="D234" s="3220"/>
      <c r="E234" s="3220"/>
      <c r="F234" s="3220"/>
      <c r="G234" s="3220"/>
      <c r="H234" s="3220"/>
      <c r="I234" s="3220"/>
      <c r="J234" s="3220"/>
      <c r="K234" s="3220"/>
      <c r="L234" s="3220"/>
      <c r="M234" s="3220"/>
    </row>
    <row r="235" spans="1:85" ht="15" customHeight="1" thickBot="1" x14ac:dyDescent="0.3">
      <c r="A235" s="433" t="s">
        <v>1038</v>
      </c>
      <c r="B235" s="243"/>
      <c r="BG235" s="3229" t="s">
        <v>2084</v>
      </c>
      <c r="BH235" s="3229"/>
      <c r="BI235" s="3229"/>
      <c r="BJ235" s="3229"/>
    </row>
    <row r="236" spans="1:85" s="1235" customFormat="1" ht="84" customHeight="1" thickBot="1" x14ac:dyDescent="0.3">
      <c r="A236" s="2165" t="s">
        <v>1038</v>
      </c>
      <c r="B236" s="3859" t="s">
        <v>367</v>
      </c>
      <c r="C236" s="3881"/>
      <c r="D236" s="2170" t="s">
        <v>366</v>
      </c>
      <c r="E236" s="2043" t="s">
        <v>354</v>
      </c>
      <c r="F236" s="2043" t="s">
        <v>1010</v>
      </c>
      <c r="G236" s="2043" t="s">
        <v>272</v>
      </c>
      <c r="H236" s="2043" t="s">
        <v>2682</v>
      </c>
      <c r="I236" s="2043" t="s">
        <v>1011</v>
      </c>
      <c r="J236" s="2043" t="s">
        <v>1012</v>
      </c>
      <c r="K236" s="3859" t="s">
        <v>1022</v>
      </c>
      <c r="L236" s="3859"/>
      <c r="M236" s="2043" t="s">
        <v>1013</v>
      </c>
      <c r="Y236" s="2171" t="s">
        <v>880</v>
      </c>
      <c r="AA236" s="2171" t="s">
        <v>881</v>
      </c>
      <c r="AB236" s="1235" t="s">
        <v>882</v>
      </c>
      <c r="AI236" s="2171" t="s">
        <v>1470</v>
      </c>
      <c r="AK236" s="2172" t="s">
        <v>2863</v>
      </c>
      <c r="AL236" s="2172" t="s">
        <v>2856</v>
      </c>
      <c r="AM236" s="2043" t="s">
        <v>3077</v>
      </c>
      <c r="AR236" s="2173"/>
      <c r="AS236" s="2173"/>
      <c r="AT236" s="2173"/>
      <c r="AV236" s="2173"/>
      <c r="AW236" s="2173"/>
      <c r="AX236" s="2173"/>
      <c r="AY236" s="2173"/>
      <c r="BD236" s="1358" t="s">
        <v>1635</v>
      </c>
      <c r="BG236" s="2833" t="s">
        <v>2085</v>
      </c>
      <c r="BH236" s="2169" t="s">
        <v>2087</v>
      </c>
      <c r="BI236" s="2169" t="s">
        <v>2088</v>
      </c>
      <c r="BJ236" s="2169" t="s">
        <v>2086</v>
      </c>
      <c r="BP236" s="2393" t="s">
        <v>3251</v>
      </c>
      <c r="BQ236" s="2394" t="s">
        <v>3252</v>
      </c>
      <c r="BR236" s="2395" t="s">
        <v>3253</v>
      </c>
      <c r="BT236" s="2393" t="s">
        <v>3192</v>
      </c>
      <c r="BU236" s="2394" t="s">
        <v>3194</v>
      </c>
      <c r="BV236" s="2394" t="s">
        <v>3193</v>
      </c>
      <c r="BW236" s="2395" t="s">
        <v>3195</v>
      </c>
      <c r="BY236" s="2393" t="s">
        <v>3196</v>
      </c>
      <c r="BZ236" s="2394" t="s">
        <v>3198</v>
      </c>
      <c r="CA236" s="2394" t="s">
        <v>3199</v>
      </c>
      <c r="CB236" s="2395" t="s">
        <v>3200</v>
      </c>
      <c r="CD236" s="2393" t="s">
        <v>3197</v>
      </c>
      <c r="CE236" s="2394" t="s">
        <v>3201</v>
      </c>
      <c r="CF236" s="2394" t="s">
        <v>3202</v>
      </c>
      <c r="CG236" s="2395" t="s">
        <v>3203</v>
      </c>
    </row>
    <row r="237" spans="1:85" s="243" customFormat="1" ht="13.95" hidden="1" customHeight="1" x14ac:dyDescent="0.25">
      <c r="A237" s="433" t="s">
        <v>1038</v>
      </c>
      <c r="B237" s="1452" t="s">
        <v>1422</v>
      </c>
      <c r="C237" s="1532"/>
      <c r="D237" s="1452" t="s">
        <v>1423</v>
      </c>
      <c r="E237" s="1452" t="s">
        <v>1396</v>
      </c>
      <c r="F237" s="1452" t="s">
        <v>1424</v>
      </c>
      <c r="G237" s="1452" t="s">
        <v>1429</v>
      </c>
      <c r="H237" s="1452" t="s">
        <v>1431</v>
      </c>
      <c r="I237" s="1452" t="s">
        <v>1432</v>
      </c>
      <c r="J237" s="1452" t="s">
        <v>1433</v>
      </c>
      <c r="K237" s="1452" t="s">
        <v>1434</v>
      </c>
      <c r="L237" s="1452"/>
      <c r="M237" s="1452" t="s">
        <v>1435</v>
      </c>
      <c r="R237" s="628" t="s">
        <v>1407</v>
      </c>
      <c r="S237" s="628" t="s">
        <v>1408</v>
      </c>
      <c r="T237" s="628" t="s">
        <v>1483</v>
      </c>
      <c r="U237" s="628" t="s">
        <v>1484</v>
      </c>
      <c r="Y237" s="243" t="s">
        <v>880</v>
      </c>
      <c r="AA237" s="243" t="s">
        <v>881</v>
      </c>
      <c r="AB237" s="243" t="s">
        <v>882</v>
      </c>
      <c r="AR237" s="235"/>
      <c r="AS237" s="235"/>
      <c r="AT237" s="235"/>
      <c r="AV237" s="235"/>
      <c r="AW237" s="235"/>
      <c r="AX237" s="235"/>
      <c r="AY237" s="235"/>
      <c r="BD237" s="2153"/>
      <c r="BG237" s="588"/>
      <c r="BH237" s="235"/>
      <c r="BI237" s="235"/>
      <c r="BJ237" s="235"/>
      <c r="BP237" s="2487"/>
      <c r="BQ237" s="1286"/>
      <c r="BR237" s="2488"/>
      <c r="BT237" s="2487"/>
      <c r="BU237" s="1286"/>
      <c r="BV237" s="1286"/>
      <c r="BW237" s="2488"/>
      <c r="BY237" s="2487"/>
      <c r="BZ237" s="1286"/>
      <c r="CA237" s="1286"/>
      <c r="CB237" s="2488"/>
      <c r="CC237" s="1286"/>
      <c r="CD237" s="2487"/>
      <c r="CE237" s="1286"/>
      <c r="CF237" s="1286"/>
      <c r="CG237" s="2488"/>
    </row>
    <row r="238" spans="1:85" ht="15.75" customHeight="1" x14ac:dyDescent="0.25">
      <c r="A238" s="433" t="s">
        <v>1038</v>
      </c>
      <c r="B238" s="3854" t="str">
        <f>INDEX(PO_baseline_table,1, 1)</f>
        <v>Interior lighting</v>
      </c>
      <c r="C238" s="3902"/>
      <c r="D238" s="3855">
        <f>INDEX(PO_baseline_table,1, 3)</f>
        <v>0</v>
      </c>
      <c r="E238" s="3839" t="str">
        <f>INDEX(PO_baseline_table,1, 4)</f>
        <v>Electricity</v>
      </c>
      <c r="F238" s="1299" t="str">
        <f>IFERROR(IF(ISBLANK(E238),"","Consumption (" &amp; VLOOKUP($E238,PO_Enrgy_1_Table,MATCH($C$16,PO_Enrgy_1_Hdr,0),FALSE) &amp; ")"),"")</f>
        <v/>
      </c>
      <c r="G238" s="1782" t="str">
        <f>INDEX(PO_baseline_table,1, 10)</f>
        <v/>
      </c>
      <c r="H238" s="1783"/>
      <c r="I238" s="1877" t="str">
        <f>IFERROR(1-H238/G238,"")</f>
        <v/>
      </c>
      <c r="J238" s="3849" t="str">
        <f>IFERROR(IF($E$457-$I$457&lt;0,"",($G238-$H238)*VLOOKUP($E238,PO_Enrgy_1_Table,MATCH($K$16,PO_Enrgy_1_Hdr,0),FALSE)/($E$457-$I$457)),"")</f>
        <v/>
      </c>
      <c r="K238" s="3851" t="str">
        <f>IFERROR(IF($G$457-$K$457&lt;0,"",($G238*VLOOKUP($E238,PO_Enrgy_8_Table,MATCH($E$310,PO_Enrgy_8_Hdr,0),FALSE)-($H238*VLOOKUP($E238,PO_Enrgy_8_Table,MATCH($H$310,PO_Enrgy_8_Hdr,0),FALSE)))/($G$457-$K$457)),"")</f>
        <v/>
      </c>
      <c r="L238" s="3851"/>
      <c r="M238" s="3852" t="str">
        <f>IFERROR((H238*R238)/$I$305,"")</f>
        <v/>
      </c>
      <c r="R238" s="627" t="str">
        <f>IFERROR(IF(ISBLANK($E238),"",VLOOKUP($E238,PO_Enrgy_1_Table,MATCH($K$16,PO_Enrgy_1_Hdr,0),FALSE)),"")</f>
        <v/>
      </c>
      <c r="S238" s="627" t="str">
        <f>IFERROR(IF(ISBLANK($E238),"",VLOOKUP($E238,PO_Enrgy_1_Table,MATCH($M$16,PO_Enrgy_1_Hdr,0),FALSE)),"")</f>
        <v/>
      </c>
      <c r="T238" s="627" t="str">
        <f>IFERROR(IF(FIND("Consumption",F238),(G238*VLOOKUP(MID(F238,FIND("(",F238)+1,LEN(F238)-FIND("(",F238)-1),EnergyUnitsTable,3,FALSE))/(G239*VLOOKUP(MID(F239,FIND("(",F239)+1,LEN(F239)-FIND("(",F239)-1),DemandTable,3,FALSE)),1),"")</f>
        <v/>
      </c>
      <c r="U238" s="627" t="str">
        <f t="shared" ref="U238:U248" si="127">IFERROR(IF(FIND("Consumption",$F238),(H238*VLOOKUP(MID($F238,FIND("(",$F238)+1,LEN($F238)-FIND("(",$F238)-1),EnergyUnitsTable,3,FALSE))/(H239*VLOOKUP(MID($F239,FIND("(",$F239)+1,LEN($F239)-FIND("(",$F239)-1),DemandTable,3,FALSE)),1),"")</f>
        <v/>
      </c>
      <c r="V238" s="627" t="str">
        <f>IF(G238="","",G238*R238)</f>
        <v/>
      </c>
      <c r="W238" s="627" t="str">
        <f>IF(H238="","",H238*R238)</f>
        <v/>
      </c>
      <c r="X238" s="636">
        <f t="shared" ref="X238:X269" si="128">IFERROR($AO238*H238,0)</f>
        <v>0</v>
      </c>
      <c r="Y238" s="627">
        <f t="shared" ref="Y238:Y269" si="129">IFERROR(G238*VLOOKUP($AG238,PO_Enrgy_8_Table,4,FALSE),0)</f>
        <v>0</v>
      </c>
      <c r="Z238" s="627">
        <f t="shared" ref="Z238:Z269" si="130">IFERROR(H238*VLOOKUP($AG238,PO_Enrgy_8_Table,7,FALSE),0)</f>
        <v>0</v>
      </c>
      <c r="AA238" s="627" t="b">
        <f>IFERROR(IF(D238="x",IF(OR(G238/H238&gt;1.03,G238/H238&lt;0.97),TRUE,FALSE),FALSE),FALSE)</f>
        <v>0</v>
      </c>
      <c r="AB238" s="627">
        <f>IFERROR(J238*100,)</f>
        <v>0</v>
      </c>
      <c r="AC238" s="627"/>
      <c r="AD238" s="627">
        <f ca="1">RANK(AB238,$AB$238:$AB$293,0)</f>
        <v>1</v>
      </c>
      <c r="AE238" s="627">
        <f ca="1">AD238</f>
        <v>1</v>
      </c>
      <c r="AF238" s="1682" t="str">
        <f>B238</f>
        <v>Interior lighting</v>
      </c>
      <c r="AG238" s="627">
        <f>IF(D238="x",1,0)</f>
        <v>0</v>
      </c>
      <c r="AH238" s="2287" t="str">
        <f>IFERROR(G238/'6b - General Lighting'!O108,"")</f>
        <v/>
      </c>
      <c r="AI238" s="2287"/>
      <c r="AJ238" s="627">
        <f>IF(AND(AG238=1,AK238=1),1,0)</f>
        <v>0</v>
      </c>
      <c r="AK238" s="627"/>
      <c r="AL238" s="627" t="str">
        <f t="shared" ref="AL238:AL268" si="131">IFERROR(IF(D238="x",(ABS(G238-H238))/(MIN(G238,H238)),""),0)</f>
        <v/>
      </c>
      <c r="AM238" s="1783" t="str">
        <f t="shared" ref="AM238:AM269" ca="1" si="132">IFERROR(IF(SimTool="eQUEST",INDIRECT("'Results from eQuest'!"&amp;$BG238&amp;"13"),IF(SimTool="Trace",INDIRECT("'Results from Trace'!H"&amp;$BJ238)/$R238,"")),"")</f>
        <v/>
      </c>
      <c r="AP238" s="252"/>
      <c r="AR238" s="2486"/>
      <c r="AS238" s="2486"/>
      <c r="AT238" s="2486"/>
      <c r="AV238" s="2580"/>
      <c r="AW238" s="2486"/>
      <c r="AX238" s="2486"/>
      <c r="AY238" s="2486"/>
      <c r="BD238" s="2154"/>
      <c r="BG238" s="2832" t="str">
        <f t="shared" ref="BG238:BI239" si="133">BK146</f>
        <v>L</v>
      </c>
      <c r="BH238" s="983" t="str">
        <f t="shared" si="133"/>
        <v>Lighting - Conditioned</v>
      </c>
      <c r="BI238" s="983" t="str">
        <f t="shared" si="133"/>
        <v>Electricity</v>
      </c>
      <c r="BJ238" s="983">
        <f>IF(BH238&lt;&gt;"",IFERROR(MATCH(BH238&amp;BI238,'Results from Trace'!$L$1:$L$21,0),""),"")</f>
        <v>7</v>
      </c>
      <c r="BP238" s="2385" t="str">
        <f>G238</f>
        <v/>
      </c>
      <c r="BQ238" s="1300" t="str">
        <f>IF(D238="x",BP238,"0")</f>
        <v>0</v>
      </c>
      <c r="BR238" s="2387">
        <f>IFERROR(BP238-BQ238,0)</f>
        <v>0</v>
      </c>
      <c r="BT238" s="2396" t="str">
        <f t="shared" ref="BT238:BT269" si="134">IFERROR(VLOOKUP(E238,PO_virtual_rate_table,MATCH($E$310,PO_virtual_rate_hdr,0),0),"")</f>
        <v/>
      </c>
      <c r="BU238" s="2386" t="str">
        <f>IFERROR(BT238*G238,"")</f>
        <v/>
      </c>
      <c r="BV238" s="2386" t="str">
        <f>IF(D238="x",BU238,"0")</f>
        <v>0</v>
      </c>
      <c r="BW238" s="2387">
        <f>IFERROR(BU238-BV238,0)</f>
        <v>0</v>
      </c>
      <c r="BY238" s="2396" t="str">
        <f t="shared" ref="BY238:BY269" si="135">IFERROR(VLOOKUP(E238,PO_Enrgy_1_Table,MATCH($M$16,PO_Enrgy_1_Hdr,0),0),"")</f>
        <v/>
      </c>
      <c r="BZ238" s="2386" t="str">
        <f>IFERROR(BY238*G238,"")</f>
        <v/>
      </c>
      <c r="CA238" s="2386" t="str">
        <f>IF(D238="x",BZ238,"0")</f>
        <v>0</v>
      </c>
      <c r="CB238" s="2387">
        <f>IFERROR(BZ238-CA238,0)</f>
        <v>0</v>
      </c>
      <c r="CD238" s="2385" t="str">
        <f t="shared" ref="CD238:CD269" si="136">IFERROR(VLOOKUP(E238,PO_Enrgy_1_Table,MATCH($T$16,PO_Enrgy_1_Hdr,0),0),"")</f>
        <v/>
      </c>
      <c r="CE238" s="2386" t="str">
        <f>IFERROR(CD238*G238,"")</f>
        <v/>
      </c>
      <c r="CF238" s="2386" t="str">
        <f>IF(D238="x",CE238,"0")</f>
        <v>0</v>
      </c>
      <c r="CG238" s="2387">
        <f>IFERROR(CE238-CF238,0)</f>
        <v>0</v>
      </c>
    </row>
    <row r="239" spans="1:85" ht="16.2" customHeight="1" x14ac:dyDescent="0.25">
      <c r="A239" s="433" t="s">
        <v>1038</v>
      </c>
      <c r="B239" s="3902"/>
      <c r="C239" s="3902"/>
      <c r="D239" s="3855"/>
      <c r="E239" s="3839"/>
      <c r="F239" s="1299" t="str">
        <f>IFERROR(IF(ISBLANK(E238),"","Demand (" &amp; VLOOKUP($E238,PO_Enrgy_1_Table,MATCH($E$16,PO_Enrgy_1_Hdr,0),FALSE) &amp; ")"),"")</f>
        <v/>
      </c>
      <c r="G239" s="1782" t="str">
        <f>INDEX(PO_baseline_table,2, 10)</f>
        <v/>
      </c>
      <c r="H239" s="1783" t="str">
        <f t="shared" ref="H239:H293" ca="1" si="137">AM239</f>
        <v/>
      </c>
      <c r="I239" s="1308" t="str">
        <f ca="1">IFERROR(1-H239/G239,"")</f>
        <v/>
      </c>
      <c r="J239" s="3850"/>
      <c r="K239" s="3851"/>
      <c r="L239" s="3851"/>
      <c r="M239" s="3853"/>
      <c r="R239" s="627" t="str">
        <f t="shared" ref="R239:R293" si="138">IFERROR(IF(ISBLANK($E239),"",VLOOKUP($E239,PO_Enrgy_1_Table,MATCH($K$16,PO_Enrgy_1_Hdr,0),FALSE)),"")</f>
        <v/>
      </c>
      <c r="S239" s="627" t="str">
        <f t="shared" ref="S239:S293" si="139">IFERROR(IF(ISBLANK($E239),"",VLOOKUP($E239,PO_Enrgy_1_Table,MATCH($M$16,PO_Enrgy_1_Hdr,0),FALSE)),"")</f>
        <v/>
      </c>
      <c r="T239" s="627" t="str">
        <f t="shared" ref="T239:T248" si="140">IFERROR(IF(FIND("Consumption",F239),(G239*VLOOKUP(MID(F239,FIND("(",F239)+1,LEN(F239)-FIND("(",F239)-1),EnergyUnitsTable,3,FALSE))/(G240*VLOOKUP(MID(F240,FIND("(",F240)+1,LEN(F240)-FIND("(",F240)-1),DemandTable,3,FALSE)),1),"")</f>
        <v/>
      </c>
      <c r="U239" s="627" t="str">
        <f t="shared" si="127"/>
        <v/>
      </c>
      <c r="V239" s="627"/>
      <c r="W239" s="627"/>
      <c r="X239" s="636">
        <f t="shared" ca="1" si="128"/>
        <v>0</v>
      </c>
      <c r="Y239" s="627">
        <f t="shared" si="129"/>
        <v>0</v>
      </c>
      <c r="Z239" s="627">
        <f t="shared" ca="1" si="130"/>
        <v>0</v>
      </c>
      <c r="AA239" s="627"/>
      <c r="AB239" s="627"/>
      <c r="AC239" s="627"/>
      <c r="AD239" s="627"/>
      <c r="AE239" s="627"/>
      <c r="AF239" s="627"/>
      <c r="AG239" s="627">
        <f>IF(D239="x",1,0)</f>
        <v>0</v>
      </c>
      <c r="AH239" s="2287"/>
      <c r="AI239" s="2287"/>
      <c r="AJ239" s="627">
        <f t="shared" ref="AJ239:AJ293" si="141">IF(AND(AG239=1,AK239=1),1,0)</f>
        <v>0</v>
      </c>
      <c r="AK239" s="627"/>
      <c r="AL239" s="627" t="str">
        <f t="shared" si="131"/>
        <v/>
      </c>
      <c r="AM239" s="1783" t="str">
        <f t="shared" ca="1" si="132"/>
        <v/>
      </c>
      <c r="AP239" s="252"/>
      <c r="AR239" s="2486"/>
      <c r="AS239" s="2486"/>
      <c r="AT239" s="2486"/>
      <c r="AV239" s="2580"/>
      <c r="AW239" s="2486"/>
      <c r="AX239" s="2486"/>
      <c r="AY239" s="2486"/>
      <c r="BD239" s="2154"/>
      <c r="BG239" s="2832" t="str">
        <f t="shared" si="133"/>
        <v>Y</v>
      </c>
      <c r="BH239" s="983">
        <f t="shared" si="133"/>
        <v>0</v>
      </c>
      <c r="BI239" s="983">
        <f t="shared" si="133"/>
        <v>0</v>
      </c>
      <c r="BJ239" s="983"/>
      <c r="BP239" s="2388" t="str">
        <f t="shared" ref="BP239:BP293" si="142">G239</f>
        <v/>
      </c>
      <c r="BQ239" s="1300" t="str">
        <f t="shared" ref="BQ239:BQ293" si="143">IF(D239="x",BP239,"0")</f>
        <v>0</v>
      </c>
      <c r="BR239" s="2389">
        <f t="shared" ref="BR239:BR293" si="144">IFERROR(BP239-BQ239,0)</f>
        <v>0</v>
      </c>
      <c r="BT239" s="2397" t="str">
        <f t="shared" si="134"/>
        <v/>
      </c>
      <c r="BU239" s="1300" t="str">
        <f t="shared" ref="BU239:BU293" si="145">IFERROR(BT239*G239,"")</f>
        <v/>
      </c>
      <c r="BV239" s="1300" t="str">
        <f t="shared" ref="BV239:BV293" si="146">IF(D239="x",BU239,"0")</f>
        <v>0</v>
      </c>
      <c r="BW239" s="2389">
        <f t="shared" ref="BW239:BW293" si="147">IFERROR(BU239-BV239,0)</f>
        <v>0</v>
      </c>
      <c r="BY239" s="2397" t="str">
        <f t="shared" si="135"/>
        <v/>
      </c>
      <c r="BZ239" s="1300" t="str">
        <f t="shared" ref="BZ239:BZ293" si="148">IFERROR(BY239*G239,"")</f>
        <v/>
      </c>
      <c r="CA239" s="1300" t="str">
        <f t="shared" ref="CA239:CA293" si="149">IF(D239="x",BZ239,"0")</f>
        <v>0</v>
      </c>
      <c r="CB239" s="2389">
        <f t="shared" ref="CB239:CB293" si="150">IFERROR(BZ239-CA239,0)</f>
        <v>0</v>
      </c>
      <c r="CD239" s="2388" t="str">
        <f t="shared" si="136"/>
        <v/>
      </c>
      <c r="CE239" s="1300" t="str">
        <f t="shared" ref="CE239:CE293" si="151">IFERROR(CD239*G239,"")</f>
        <v/>
      </c>
      <c r="CF239" s="1300" t="str">
        <f t="shared" ref="CF239:CF293" si="152">IF(D239="x",CE239,"0")</f>
        <v>0</v>
      </c>
      <c r="CG239" s="2389">
        <f t="shared" ref="CG239:CG293" si="153">IFERROR(CE239-CF239,0)</f>
        <v>0</v>
      </c>
    </row>
    <row r="240" spans="1:85" ht="16.2" customHeight="1" x14ac:dyDescent="0.25">
      <c r="A240" s="433" t="s">
        <v>1038</v>
      </c>
      <c r="B240" s="3854" t="str">
        <f>INDEX(PO_baseline_table,3, 1)</f>
        <v>Lighting in Apartments</v>
      </c>
      <c r="C240" s="3854"/>
      <c r="D240" s="3855">
        <f>INDEX(PO_baseline_table,3, 3)</f>
        <v>0</v>
      </c>
      <c r="E240" s="3839" t="str">
        <f>INDEX(PO_baseline_table,3, 4)</f>
        <v>Electricity</v>
      </c>
      <c r="F240" s="1299" t="str">
        <f>IFERROR(IF(ISBLANK(E240),"","Consumption (" &amp; VLOOKUP($E240,PO_Enrgy_1_Table,MATCH($C$16,PO_Enrgy_1_Hdr,0),FALSE) &amp; ")"),"")</f>
        <v/>
      </c>
      <c r="G240" s="1782" t="str">
        <f>INDEX(PO_baseline_table,3, 10)</f>
        <v/>
      </c>
      <c r="H240" s="1783" t="str">
        <f t="shared" ca="1" si="137"/>
        <v/>
      </c>
      <c r="I240" s="1877" t="str">
        <f ca="1">IFERROR(1-H240/G240,"")</f>
        <v/>
      </c>
      <c r="J240" s="3849" t="str">
        <f ca="1">IFERROR(IF($E$457-$I$457&lt;0,"",($G240-$H240)*VLOOKUP($E240,PO_Enrgy_1_Table,MATCH($K$16,PO_Enrgy_1_Hdr,0),FALSE)/($E$457-$I$457)),"")</f>
        <v/>
      </c>
      <c r="K240" s="3851" t="str">
        <f ca="1">IFERROR(IF($G$457-$K$457&lt;0,"",($G240*VLOOKUP($E240,PO_Enrgy_8_Table,MATCH($E$310,PO_Enrgy_8_Hdr,0),FALSE)-($H240*VLOOKUP($E240,PO_Enrgy_8_Table,MATCH($H$310,PO_Enrgy_8_Hdr,0),FALSE)))/($G$457-$K$457)),"")</f>
        <v/>
      </c>
      <c r="L240" s="3851"/>
      <c r="M240" s="3852" t="str">
        <f ca="1">IFERROR((H240*R240)/$I$305,"")</f>
        <v/>
      </c>
      <c r="R240" s="627" t="str">
        <f>IFERROR(IF(ISBLANK($E240),"",VLOOKUP($E240,PO_Enrgy_1_Table,MATCH($K$16,PO_Enrgy_1_Hdr,0),FALSE)),"")</f>
        <v/>
      </c>
      <c r="S240" s="627" t="str">
        <f>IFERROR(IF(ISBLANK($E240),"",VLOOKUP($E240,PO_Enrgy_1_Table,MATCH($M$16,PO_Enrgy_1_Hdr,0),FALSE)),"")</f>
        <v/>
      </c>
      <c r="T240" s="627" t="str">
        <f t="shared" si="140"/>
        <v/>
      </c>
      <c r="U240" s="627" t="str">
        <f t="shared" si="127"/>
        <v/>
      </c>
      <c r="V240" s="627" t="str">
        <f>IF(G240="","",G240*R240)</f>
        <v/>
      </c>
      <c r="W240" s="627" t="str">
        <f ca="1">IF(H240="","",H240*R240)</f>
        <v/>
      </c>
      <c r="X240" s="636">
        <f t="shared" ca="1" si="128"/>
        <v>0</v>
      </c>
      <c r="Y240" s="627">
        <f t="shared" si="129"/>
        <v>0</v>
      </c>
      <c r="Z240" s="627">
        <f t="shared" ca="1" si="130"/>
        <v>0</v>
      </c>
      <c r="AA240" s="627" t="b">
        <f>IFERROR(IF(D240="x",IF(OR(G240/H240&gt;1.03,G240/H240&lt;0.97),TRUE,FALSE),FALSE),FALSE)</f>
        <v>0</v>
      </c>
      <c r="AB240" s="627">
        <f ca="1">IFERROR(J240*100,)</f>
        <v>0</v>
      </c>
      <c r="AC240" s="627"/>
      <c r="AD240" s="627">
        <f ca="1">RANK(AB240,$AB$238:$AB$293,0)</f>
        <v>1</v>
      </c>
      <c r="AE240" s="627">
        <f ca="1">AD240+COUNTIF($AD238:$AD$239,AD240)</f>
        <v>2</v>
      </c>
      <c r="AF240" s="1682" t="str">
        <f>B240</f>
        <v>Lighting in Apartments</v>
      </c>
      <c r="AG240" s="627">
        <f t="shared" ref="AG240:AG293" si="154">IF(D240="x",1,0)</f>
        <v>0</v>
      </c>
      <c r="AJ240" s="627">
        <f t="shared" si="141"/>
        <v>0</v>
      </c>
      <c r="AK240" s="627"/>
      <c r="AL240" s="627" t="str">
        <f t="shared" si="131"/>
        <v/>
      </c>
      <c r="AM240" s="1783" t="str">
        <f t="shared" ca="1" si="132"/>
        <v/>
      </c>
      <c r="AR240" s="2486"/>
      <c r="AS240" s="2486"/>
      <c r="AT240" s="2486"/>
      <c r="AV240" s="2580"/>
      <c r="AW240" s="2486"/>
      <c r="AX240" s="2486"/>
      <c r="AY240" s="2486"/>
      <c r="BD240" s="2154"/>
      <c r="BG240" s="2832" t="str">
        <f t="shared" ref="BG240:BG271" si="155">BK148</f>
        <v>M</v>
      </c>
      <c r="BH240" s="983" t="s">
        <v>1981</v>
      </c>
      <c r="BI240" s="983" t="s">
        <v>374</v>
      </c>
      <c r="BJ240" s="983"/>
      <c r="BP240" s="2388" t="str">
        <f t="shared" si="142"/>
        <v/>
      </c>
      <c r="BQ240" s="1300" t="str">
        <f t="shared" si="143"/>
        <v>0</v>
      </c>
      <c r="BR240" s="2389">
        <f t="shared" si="144"/>
        <v>0</v>
      </c>
      <c r="BT240" s="2397" t="str">
        <f t="shared" si="134"/>
        <v/>
      </c>
      <c r="BU240" s="1300" t="str">
        <f t="shared" si="145"/>
        <v/>
      </c>
      <c r="BV240" s="1300" t="str">
        <f t="shared" si="146"/>
        <v>0</v>
      </c>
      <c r="BW240" s="2389">
        <f t="shared" si="147"/>
        <v>0</v>
      </c>
      <c r="BY240" s="2397" t="str">
        <f t="shared" si="135"/>
        <v/>
      </c>
      <c r="BZ240" s="1300" t="str">
        <f t="shared" si="148"/>
        <v/>
      </c>
      <c r="CA240" s="1300" t="str">
        <f t="shared" si="149"/>
        <v>0</v>
      </c>
      <c r="CB240" s="2389">
        <f t="shared" si="150"/>
        <v>0</v>
      </c>
      <c r="CD240" s="2388" t="str">
        <f t="shared" si="136"/>
        <v/>
      </c>
      <c r="CE240" s="1300" t="str">
        <f t="shared" si="151"/>
        <v/>
      </c>
      <c r="CF240" s="1300" t="str">
        <f t="shared" si="152"/>
        <v>0</v>
      </c>
      <c r="CG240" s="2389">
        <f t="shared" si="153"/>
        <v>0</v>
      </c>
    </row>
    <row r="241" spans="1:85" ht="16.2" customHeight="1" x14ac:dyDescent="0.25">
      <c r="A241" s="433" t="s">
        <v>1038</v>
      </c>
      <c r="B241" s="3854"/>
      <c r="C241" s="3854"/>
      <c r="D241" s="3855"/>
      <c r="E241" s="3839"/>
      <c r="F241" s="1299" t="str">
        <f>IFERROR(IF(ISBLANK(E240),"","Demand (" &amp; VLOOKUP($E240,PO_Enrgy_1_Table,MATCH($E$16,PO_Enrgy_1_Hdr,0),FALSE) &amp; ")"),"")</f>
        <v/>
      </c>
      <c r="G241" s="1782" t="str">
        <f>INDEX(PO_baseline_table,4, 10)</f>
        <v/>
      </c>
      <c r="H241" s="1783" t="str">
        <f t="shared" ca="1" si="137"/>
        <v/>
      </c>
      <c r="I241" s="1308" t="str">
        <f ca="1">IFERROR(1-H241/G241,"")</f>
        <v/>
      </c>
      <c r="J241" s="3850"/>
      <c r="K241" s="3851"/>
      <c r="L241" s="3851"/>
      <c r="M241" s="3853"/>
      <c r="R241" s="627" t="str">
        <f t="shared" si="138"/>
        <v/>
      </c>
      <c r="S241" s="627" t="str">
        <f>IFERROR(IF(ISBLANK($E241),"",VLOOKUP($E241,PO_Enrgy_1_Table,MATCH($M$16,PO_Enrgy_1_Hdr,0),FALSE)),"")</f>
        <v/>
      </c>
      <c r="T241" s="627" t="str">
        <f t="shared" si="140"/>
        <v/>
      </c>
      <c r="U241" s="627" t="str">
        <f t="shared" si="127"/>
        <v/>
      </c>
      <c r="V241" s="627"/>
      <c r="W241" s="627"/>
      <c r="X241" s="636">
        <f t="shared" ca="1" si="128"/>
        <v>0</v>
      </c>
      <c r="Y241" s="627">
        <f t="shared" si="129"/>
        <v>0</v>
      </c>
      <c r="Z241" s="627">
        <f t="shared" ca="1" si="130"/>
        <v>0</v>
      </c>
      <c r="AA241" s="627"/>
      <c r="AB241" s="627"/>
      <c r="AC241" s="627"/>
      <c r="AD241" s="627"/>
      <c r="AE241" s="627"/>
      <c r="AF241" s="627"/>
      <c r="AG241" s="627">
        <f t="shared" si="154"/>
        <v>0</v>
      </c>
      <c r="AJ241" s="627">
        <f t="shared" si="141"/>
        <v>0</v>
      </c>
      <c r="AK241" s="627"/>
      <c r="AL241" s="627" t="str">
        <f t="shared" si="131"/>
        <v/>
      </c>
      <c r="AM241" s="1783" t="str">
        <f t="shared" ca="1" si="132"/>
        <v/>
      </c>
      <c r="AR241" s="2486"/>
      <c r="AS241" s="2486"/>
      <c r="AT241" s="2486"/>
      <c r="AV241" s="2580"/>
      <c r="AW241" s="2486"/>
      <c r="AX241" s="2486"/>
      <c r="AY241" s="2486"/>
      <c r="BD241" s="2154"/>
      <c r="BG241" s="2832" t="str">
        <f t="shared" si="155"/>
        <v>Z</v>
      </c>
      <c r="BH241" s="983"/>
      <c r="BI241" s="983"/>
      <c r="BJ241" s="983"/>
      <c r="BP241" s="2388" t="str">
        <f t="shared" si="142"/>
        <v/>
      </c>
      <c r="BQ241" s="1300" t="str">
        <f t="shared" si="143"/>
        <v>0</v>
      </c>
      <c r="BR241" s="2389">
        <f t="shared" si="144"/>
        <v>0</v>
      </c>
      <c r="BT241" s="2397" t="str">
        <f t="shared" si="134"/>
        <v/>
      </c>
      <c r="BU241" s="1300" t="str">
        <f t="shared" si="145"/>
        <v/>
      </c>
      <c r="BV241" s="1300" t="str">
        <f t="shared" si="146"/>
        <v>0</v>
      </c>
      <c r="BW241" s="2389">
        <f t="shared" si="147"/>
        <v>0</v>
      </c>
      <c r="BY241" s="2397" t="str">
        <f t="shared" si="135"/>
        <v/>
      </c>
      <c r="BZ241" s="1300" t="str">
        <f t="shared" si="148"/>
        <v/>
      </c>
      <c r="CA241" s="1300" t="str">
        <f t="shared" si="149"/>
        <v>0</v>
      </c>
      <c r="CB241" s="2389">
        <f t="shared" si="150"/>
        <v>0</v>
      </c>
      <c r="CD241" s="2388" t="str">
        <f t="shared" si="136"/>
        <v/>
      </c>
      <c r="CE241" s="1300" t="str">
        <f t="shared" si="151"/>
        <v/>
      </c>
      <c r="CF241" s="1300" t="str">
        <f t="shared" si="152"/>
        <v>0</v>
      </c>
      <c r="CG241" s="2389">
        <f t="shared" si="153"/>
        <v>0</v>
      </c>
    </row>
    <row r="242" spans="1:85" ht="16.2" customHeight="1" x14ac:dyDescent="0.25">
      <c r="A242" s="433" t="s">
        <v>1038</v>
      </c>
      <c r="B242" s="3854" t="str">
        <f>INDEX(PO_baseline_table,5, 1)</f>
        <v>Interior lighting - process</v>
      </c>
      <c r="C242" s="3854"/>
      <c r="D242" s="3856">
        <f>INDEX(PO_baseline_table,5, 3)</f>
        <v>0</v>
      </c>
      <c r="E242" s="3839" t="str">
        <f>INDEX(PO_baseline_table,5, 4)</f>
        <v>Electricity</v>
      </c>
      <c r="F242" s="1299" t="str">
        <f>IFERROR(IF(ISBLANK(E242),"","Consumption (" &amp; VLOOKUP($E242,PO_Enrgy_1_Table,MATCH($C$16,PO_Enrgy_1_Hdr,0),FALSE) &amp; ")"),"")</f>
        <v/>
      </c>
      <c r="G242" s="1782" t="str">
        <f>INDEX(PO_baseline_table,5, 10)</f>
        <v/>
      </c>
      <c r="H242" s="1783" t="str">
        <f t="shared" ca="1" si="137"/>
        <v/>
      </c>
      <c r="I242" s="1877" t="str">
        <f ca="1">IFERROR(1-H242/G242,"")</f>
        <v/>
      </c>
      <c r="J242" s="3849" t="str">
        <f ca="1">IFERROR(IF($E$457-$I$457&lt;0,"",($G242-$H242)*VLOOKUP($E242,PO_Enrgy_1_Table,MATCH($K$16,PO_Enrgy_1_Hdr,0),FALSE)/($E$457-$I$457)),"")</f>
        <v/>
      </c>
      <c r="K242" s="3851" t="str">
        <f ca="1">IFERROR(IF($G$457-$K$457&lt;0,"",($G242*VLOOKUP($E242,PO_Enrgy_8_Table,MATCH($E$310,PO_Enrgy_8_Hdr,0),FALSE)-($H242*VLOOKUP($E242,PO_Enrgy_8_Table,MATCH($H$310,PO_Enrgy_8_Hdr,0),FALSE)))/($G$457-$K$457)),"")</f>
        <v/>
      </c>
      <c r="L242" s="3851"/>
      <c r="M242" s="3852" t="str">
        <f ca="1">IFERROR((H242*R242)/$I$305,"")</f>
        <v/>
      </c>
      <c r="R242" s="627" t="str">
        <f>IFERROR(IF(ISBLANK($E242),"",VLOOKUP($E242,PO_Enrgy_1_Table,MATCH($K$16,PO_Enrgy_1_Hdr,0),FALSE)),"")</f>
        <v/>
      </c>
      <c r="S242" s="627" t="str">
        <f>IFERROR(IF(ISBLANK($E242),"",VLOOKUP($E242,PO_Enrgy_1_Table,MATCH($M$16,PO_Enrgy_1_Hdr,0),FALSE)),"")</f>
        <v/>
      </c>
      <c r="T242" s="627" t="str">
        <f t="shared" si="140"/>
        <v/>
      </c>
      <c r="U242" s="627" t="str">
        <f t="shared" si="127"/>
        <v/>
      </c>
      <c r="V242" s="627" t="str">
        <f>IF(G242="","",G242*R242)</f>
        <v/>
      </c>
      <c r="W242" s="627" t="str">
        <f ca="1">IF(H242="","",H242*R242)</f>
        <v/>
      </c>
      <c r="X242" s="636">
        <f t="shared" ca="1" si="128"/>
        <v>0</v>
      </c>
      <c r="Y242" s="627">
        <f t="shared" si="129"/>
        <v>0</v>
      </c>
      <c r="Z242" s="627">
        <f t="shared" ca="1" si="130"/>
        <v>0</v>
      </c>
      <c r="AA242" s="627" t="b">
        <f>IFERROR(IF(D242="x",IF(OR(G242/H242&gt;1.03,G242/H242&lt;0.97),TRUE,FALSE),FALSE),FALSE)</f>
        <v>0</v>
      </c>
      <c r="AB242" s="627">
        <f ca="1">IFERROR(J242*100,)</f>
        <v>0</v>
      </c>
      <c r="AC242" s="627"/>
      <c r="AD242" s="627">
        <f ca="1">RANK(AB242,$AB$238:$AB$293,0)</f>
        <v>1</v>
      </c>
      <c r="AE242" s="627">
        <f ca="1">AD242+COUNTIF($AD$238:$AD241,AD242)</f>
        <v>3</v>
      </c>
      <c r="AF242" s="627" t="str">
        <f>B242</f>
        <v>Interior lighting - process</v>
      </c>
      <c r="AG242" s="627">
        <f t="shared" si="154"/>
        <v>0</v>
      </c>
      <c r="AH242" s="363"/>
      <c r="AI242" s="363"/>
      <c r="AJ242" s="627">
        <f t="shared" si="141"/>
        <v>0</v>
      </c>
      <c r="AK242" s="627">
        <v>1</v>
      </c>
      <c r="AL242" s="627" t="str">
        <f t="shared" si="131"/>
        <v/>
      </c>
      <c r="AM242" s="1783" t="str">
        <f t="shared" ca="1" si="132"/>
        <v/>
      </c>
      <c r="AP242" s="252"/>
      <c r="AR242" s="2486"/>
      <c r="AS242" s="2486"/>
      <c r="AT242" s="2486"/>
      <c r="AV242" s="2580"/>
      <c r="AW242" s="2486"/>
      <c r="AX242" s="2486"/>
      <c r="AY242" s="2486"/>
      <c r="BD242" s="2154"/>
      <c r="BG242" s="2832">
        <f t="shared" si="155"/>
        <v>0</v>
      </c>
      <c r="BH242" s="983" t="str">
        <f t="shared" ref="BH242:BI247" si="156">BL152</f>
        <v>Stand-alone Base Utilities</v>
      </c>
      <c r="BI242" s="983" t="str">
        <f t="shared" si="156"/>
        <v>Electricity</v>
      </c>
      <c r="BJ242" s="983">
        <f>IF(BH242&lt;&gt;"",IFERROR(MATCH(BH242&amp;BI242,'Results from Trace'!$L$1:$L$21,0),""),"")</f>
        <v>15</v>
      </c>
      <c r="BP242" s="2388" t="str">
        <f t="shared" si="142"/>
        <v/>
      </c>
      <c r="BQ242" s="1300" t="str">
        <f t="shared" si="143"/>
        <v>0</v>
      </c>
      <c r="BR242" s="2389">
        <f t="shared" si="144"/>
        <v>0</v>
      </c>
      <c r="BT242" s="2397" t="str">
        <f t="shared" si="134"/>
        <v/>
      </c>
      <c r="BU242" s="1300" t="str">
        <f t="shared" si="145"/>
        <v/>
      </c>
      <c r="BV242" s="1300" t="str">
        <f t="shared" si="146"/>
        <v>0</v>
      </c>
      <c r="BW242" s="2389">
        <f t="shared" si="147"/>
        <v>0</v>
      </c>
      <c r="BY242" s="2397" t="str">
        <f t="shared" si="135"/>
        <v/>
      </c>
      <c r="BZ242" s="1300" t="str">
        <f t="shared" si="148"/>
        <v/>
      </c>
      <c r="CA242" s="1300" t="str">
        <f t="shared" si="149"/>
        <v>0</v>
      </c>
      <c r="CB242" s="2389">
        <f t="shared" si="150"/>
        <v>0</v>
      </c>
      <c r="CD242" s="2388" t="str">
        <f t="shared" si="136"/>
        <v/>
      </c>
      <c r="CE242" s="1300" t="str">
        <f t="shared" si="151"/>
        <v/>
      </c>
      <c r="CF242" s="1300" t="str">
        <f t="shared" si="152"/>
        <v>0</v>
      </c>
      <c r="CG242" s="2389">
        <f t="shared" si="153"/>
        <v>0</v>
      </c>
    </row>
    <row r="243" spans="1:85" ht="16.2" customHeight="1" x14ac:dyDescent="0.25">
      <c r="A243" s="433" t="s">
        <v>1038</v>
      </c>
      <c r="B243" s="3854"/>
      <c r="C243" s="3854"/>
      <c r="D243" s="3857"/>
      <c r="E243" s="3839"/>
      <c r="F243" s="1299" t="str">
        <f>IFERROR(IF(ISBLANK(E242),"","Demand (" &amp; VLOOKUP($E242,PO_Enrgy_1_Table,MATCH($E$16,PO_Enrgy_1_Hdr,0),FALSE) &amp; ")"),"")</f>
        <v/>
      </c>
      <c r="G243" s="2790" t="str">
        <f>INDEX(PO_baseline_table,6, 10)</f>
        <v/>
      </c>
      <c r="H243" s="1783" t="str">
        <f t="shared" ca="1" si="137"/>
        <v/>
      </c>
      <c r="I243" s="1308" t="str">
        <f t="shared" ref="I243:I281" ca="1" si="157">IFERROR(1-H243/G243,"")</f>
        <v/>
      </c>
      <c r="J243" s="3850"/>
      <c r="K243" s="3851"/>
      <c r="L243" s="3851"/>
      <c r="M243" s="3853"/>
      <c r="R243" s="627" t="str">
        <f t="shared" si="138"/>
        <v/>
      </c>
      <c r="S243" s="627" t="str">
        <f t="shared" si="139"/>
        <v/>
      </c>
      <c r="T243" s="627" t="str">
        <f t="shared" si="140"/>
        <v/>
      </c>
      <c r="U243" s="627" t="str">
        <f t="shared" si="127"/>
        <v/>
      </c>
      <c r="V243" s="627"/>
      <c r="W243" s="627"/>
      <c r="X243" s="636">
        <f t="shared" ca="1" si="128"/>
        <v>0</v>
      </c>
      <c r="Y243" s="627">
        <f t="shared" si="129"/>
        <v>0</v>
      </c>
      <c r="Z243" s="627">
        <f t="shared" ca="1" si="130"/>
        <v>0</v>
      </c>
      <c r="AA243" s="627"/>
      <c r="AB243" s="627"/>
      <c r="AC243" s="627"/>
      <c r="AD243" s="627"/>
      <c r="AE243" s="627"/>
      <c r="AF243" s="627"/>
      <c r="AG243" s="627">
        <f t="shared" si="154"/>
        <v>0</v>
      </c>
      <c r="AH243" s="363"/>
      <c r="AI243" s="363"/>
      <c r="AJ243" s="627">
        <f t="shared" si="141"/>
        <v>0</v>
      </c>
      <c r="AK243" s="627"/>
      <c r="AL243" s="627" t="str">
        <f t="shared" si="131"/>
        <v/>
      </c>
      <c r="AM243" s="1783" t="str">
        <f t="shared" ca="1" si="132"/>
        <v/>
      </c>
      <c r="AP243" s="252"/>
      <c r="AR243" s="2486"/>
      <c r="AS243" s="2486"/>
      <c r="AT243" s="2486"/>
      <c r="AV243" s="2580"/>
      <c r="AW243" s="2486"/>
      <c r="AX243" s="2486"/>
      <c r="AY243" s="2486"/>
      <c r="BD243" s="2154"/>
      <c r="BG243" s="2832">
        <f t="shared" si="155"/>
        <v>0</v>
      </c>
      <c r="BH243" s="983">
        <f t="shared" si="156"/>
        <v>0</v>
      </c>
      <c r="BI243" s="983">
        <f t="shared" si="156"/>
        <v>0</v>
      </c>
      <c r="BJ243" s="983"/>
      <c r="BP243" s="2388" t="str">
        <f t="shared" si="142"/>
        <v/>
      </c>
      <c r="BQ243" s="1300" t="str">
        <f t="shared" si="143"/>
        <v>0</v>
      </c>
      <c r="BR243" s="2389">
        <f t="shared" si="144"/>
        <v>0</v>
      </c>
      <c r="BT243" s="2397" t="str">
        <f t="shared" si="134"/>
        <v/>
      </c>
      <c r="BU243" s="1300" t="str">
        <f t="shared" si="145"/>
        <v/>
      </c>
      <c r="BV243" s="1300" t="str">
        <f t="shared" si="146"/>
        <v>0</v>
      </c>
      <c r="BW243" s="2389">
        <f t="shared" si="147"/>
        <v>0</v>
      </c>
      <c r="BY243" s="2397" t="str">
        <f t="shared" si="135"/>
        <v/>
      </c>
      <c r="BZ243" s="1300" t="str">
        <f t="shared" si="148"/>
        <v/>
      </c>
      <c r="CA243" s="1300" t="str">
        <f t="shared" si="149"/>
        <v>0</v>
      </c>
      <c r="CB243" s="2389">
        <f t="shared" si="150"/>
        <v>0</v>
      </c>
      <c r="CD243" s="2388" t="str">
        <f t="shared" si="136"/>
        <v/>
      </c>
      <c r="CE243" s="1300" t="str">
        <f t="shared" si="151"/>
        <v/>
      </c>
      <c r="CF243" s="1300" t="str">
        <f t="shared" si="152"/>
        <v>0</v>
      </c>
      <c r="CG243" s="2389">
        <f t="shared" si="153"/>
        <v>0</v>
      </c>
    </row>
    <row r="244" spans="1:85" ht="16.2" customHeight="1" x14ac:dyDescent="0.25">
      <c r="A244" s="433" t="s">
        <v>1038</v>
      </c>
      <c r="B244" s="3854" t="str">
        <f>INDEX(PO_baseline_table,7, 1)</f>
        <v>Exterior lighting</v>
      </c>
      <c r="C244" s="3854"/>
      <c r="D244" s="3856">
        <f>INDEX(PO_baseline_table,7, 3)</f>
        <v>0</v>
      </c>
      <c r="E244" s="3839" t="str">
        <f>INDEX(PO_baseline_table,7, 4)</f>
        <v>Electricity</v>
      </c>
      <c r="F244" s="1299" t="str">
        <f>IFERROR(IF(ISBLANK(E244),"","Consumption (" &amp; VLOOKUP($E244,PO_Enrgy_1_Table,MATCH($C$16,PO_Enrgy_1_Hdr,0),FALSE) &amp; ")"),"")</f>
        <v/>
      </c>
      <c r="G244" s="1782" t="str">
        <f>INDEX(PO_baseline_table,7, 10)</f>
        <v/>
      </c>
      <c r="H244" s="1783" t="str">
        <f t="shared" ca="1" si="137"/>
        <v/>
      </c>
      <c r="I244" s="1877" t="str">
        <f t="shared" ca="1" si="157"/>
        <v/>
      </c>
      <c r="J244" s="3849" t="str">
        <f ca="1">IFERROR(IF($E$457-$I$457&lt;0,"",($G244-$H244)*VLOOKUP($E244,PO_Enrgy_1_Table,MATCH($K$16,PO_Enrgy_1_Hdr,0),FALSE)/($E$457-$I$457)),"")</f>
        <v/>
      </c>
      <c r="K244" s="3851" t="str">
        <f ca="1">IFERROR(IF($G$457-$K$457&lt;0,"",($G244*VLOOKUP($E244,PO_Enrgy_8_Table,MATCH($E$310,PO_Enrgy_8_Hdr,0),FALSE)-($H244*VLOOKUP($E244,PO_Enrgy_8_Table,MATCH($H$310,PO_Enrgy_8_Hdr,0),FALSE)))/($G$457-$K$457)),"")</f>
        <v/>
      </c>
      <c r="L244" s="3851"/>
      <c r="M244" s="3852" t="str">
        <f ca="1">IFERROR((H244*R244)/$I$305,"")</f>
        <v/>
      </c>
      <c r="R244" s="627" t="str">
        <f t="shared" si="138"/>
        <v/>
      </c>
      <c r="S244" s="627" t="str">
        <f t="shared" si="139"/>
        <v/>
      </c>
      <c r="T244" s="627" t="str">
        <f t="shared" si="140"/>
        <v/>
      </c>
      <c r="U244" s="627" t="str">
        <f t="shared" si="127"/>
        <v/>
      </c>
      <c r="V244" s="627" t="str">
        <f>IF(G244="","",G244*R244)</f>
        <v/>
      </c>
      <c r="W244" s="627" t="str">
        <f ca="1">IF(H244="","",H244*R244)</f>
        <v/>
      </c>
      <c r="X244" s="636">
        <f t="shared" ca="1" si="128"/>
        <v>0</v>
      </c>
      <c r="Y244" s="627">
        <f t="shared" si="129"/>
        <v>0</v>
      </c>
      <c r="Z244" s="627">
        <f t="shared" ca="1" si="130"/>
        <v>0</v>
      </c>
      <c r="AA244" s="627" t="b">
        <f>IFERROR(IF(D244="x",IF(OR(G244/H244&gt;1.03,G244/H244&lt;0.97),TRUE,FALSE),FALSE),FALSE)</f>
        <v>0</v>
      </c>
      <c r="AB244" s="627">
        <f ca="1">IFERROR(J244*100,)</f>
        <v>0</v>
      </c>
      <c r="AC244" s="627"/>
      <c r="AD244" s="627">
        <f ca="1">RANK(AB244,$AB$238:$AB$293,0)</f>
        <v>1</v>
      </c>
      <c r="AE244" s="627">
        <f ca="1">AD244+COUNTIF($AD$238:$AD243,AD244)</f>
        <v>4</v>
      </c>
      <c r="AF244" s="627" t="str">
        <f>B244</f>
        <v>Exterior lighting</v>
      </c>
      <c r="AG244" s="627">
        <f t="shared" si="154"/>
        <v>0</v>
      </c>
      <c r="AH244" s="363"/>
      <c r="AI244" s="363"/>
      <c r="AJ244" s="627">
        <f t="shared" si="141"/>
        <v>0</v>
      </c>
      <c r="AK244" s="627"/>
      <c r="AL244" s="627" t="str">
        <f t="shared" si="131"/>
        <v/>
      </c>
      <c r="AM244" s="1783" t="str">
        <f t="shared" ca="1" si="132"/>
        <v/>
      </c>
      <c r="AP244" s="252"/>
      <c r="AR244" s="2486"/>
      <c r="AS244" s="2486"/>
      <c r="AT244" s="2486"/>
      <c r="AV244" s="2580"/>
      <c r="AW244" s="2486"/>
      <c r="AX244" s="2486"/>
      <c r="AY244" s="2486"/>
      <c r="BD244" s="2154"/>
      <c r="BG244" s="2832" t="str">
        <f t="shared" si="155"/>
        <v>W</v>
      </c>
      <c r="BH244" s="983" t="str">
        <f t="shared" si="156"/>
        <v>Space Heating</v>
      </c>
      <c r="BI244" s="983" t="str">
        <f t="shared" si="156"/>
        <v>Gas</v>
      </c>
      <c r="BJ244" s="983">
        <f>IF(BH244&lt;&gt;"",IFERROR(MATCH(BH244&amp;BI244,'Results from Trace'!$L$1:$L$21,0),""),"")</f>
        <v>9</v>
      </c>
      <c r="BP244" s="2388" t="str">
        <f t="shared" si="142"/>
        <v/>
      </c>
      <c r="BQ244" s="1300" t="str">
        <f t="shared" si="143"/>
        <v>0</v>
      </c>
      <c r="BR244" s="2389">
        <f t="shared" si="144"/>
        <v>0</v>
      </c>
      <c r="BT244" s="2397" t="str">
        <f t="shared" si="134"/>
        <v/>
      </c>
      <c r="BU244" s="1300" t="str">
        <f t="shared" si="145"/>
        <v/>
      </c>
      <c r="BV244" s="1300" t="str">
        <f t="shared" si="146"/>
        <v>0</v>
      </c>
      <c r="BW244" s="2389">
        <f t="shared" si="147"/>
        <v>0</v>
      </c>
      <c r="BY244" s="2397" t="str">
        <f t="shared" si="135"/>
        <v/>
      </c>
      <c r="BZ244" s="1300" t="str">
        <f t="shared" si="148"/>
        <v/>
      </c>
      <c r="CA244" s="1300" t="str">
        <f t="shared" si="149"/>
        <v>0</v>
      </c>
      <c r="CB244" s="2389">
        <f t="shared" si="150"/>
        <v>0</v>
      </c>
      <c r="CD244" s="2388" t="str">
        <f t="shared" si="136"/>
        <v/>
      </c>
      <c r="CE244" s="1300" t="str">
        <f t="shared" si="151"/>
        <v/>
      </c>
      <c r="CF244" s="1300" t="str">
        <f t="shared" si="152"/>
        <v>0</v>
      </c>
      <c r="CG244" s="2389">
        <f t="shared" si="153"/>
        <v>0</v>
      </c>
    </row>
    <row r="245" spans="1:85" ht="16.2" customHeight="1" x14ac:dyDescent="0.25">
      <c r="A245" s="433" t="s">
        <v>1038</v>
      </c>
      <c r="B245" s="3854"/>
      <c r="C245" s="3854"/>
      <c r="D245" s="3857"/>
      <c r="E245" s="3839"/>
      <c r="F245" s="1299" t="str">
        <f>IFERROR(IF(ISBLANK(E244),"","Demand (" &amp; VLOOKUP($E244,PO_Enrgy_1_Table,MATCH($E$16,PO_Enrgy_1_Hdr,0),FALSE) &amp; ")"),"")</f>
        <v/>
      </c>
      <c r="G245" s="2790" t="str">
        <f>INDEX(PO_baseline_table,8, 10)</f>
        <v/>
      </c>
      <c r="H245" s="1783" t="str">
        <f t="shared" ca="1" si="137"/>
        <v/>
      </c>
      <c r="I245" s="1308" t="str">
        <f t="shared" ca="1" si="157"/>
        <v/>
      </c>
      <c r="J245" s="3850"/>
      <c r="K245" s="3851"/>
      <c r="L245" s="3851"/>
      <c r="M245" s="3853"/>
      <c r="R245" s="627" t="str">
        <f t="shared" si="138"/>
        <v/>
      </c>
      <c r="S245" s="627" t="str">
        <f t="shared" si="139"/>
        <v/>
      </c>
      <c r="T245" s="627" t="str">
        <f>IFERROR(IF(FIND("Consumption",F245),(G245*VLOOKUP(MID(F245,FIND("(",F245)+1,LEN(F245)-FIND("(",F245)-1),EnergyUnitsTable,3,FALSE))/(G248*VLOOKUP(MID(F248,FIND("(",F248)+1,LEN(F248)-FIND("(",F248)-1),DemandTable,3,FALSE)),1),"")</f>
        <v/>
      </c>
      <c r="U245" s="627" t="str">
        <f>IFERROR(IF(FIND("Consumption",$F245),(H245*VLOOKUP(MID($F245,FIND("(",$F245)+1,LEN($F245)-FIND("(",$F245)-1),EnergyUnitsTable,3,FALSE))/(H248*VLOOKUP(MID($F248,FIND("(",$F248)+1,LEN($F248)-FIND("(",$F248)-1),DemandTable,3,FALSE)),1),"")</f>
        <v/>
      </c>
      <c r="V245" s="627"/>
      <c r="W245" s="627"/>
      <c r="X245" s="636">
        <f t="shared" ca="1" si="128"/>
        <v>0</v>
      </c>
      <c r="Y245" s="627">
        <f t="shared" si="129"/>
        <v>0</v>
      </c>
      <c r="Z245" s="627">
        <f t="shared" ca="1" si="130"/>
        <v>0</v>
      </c>
      <c r="AA245" s="627"/>
      <c r="AB245" s="627"/>
      <c r="AC245" s="627"/>
      <c r="AD245" s="627"/>
      <c r="AE245" s="627"/>
      <c r="AF245" s="627"/>
      <c r="AG245" s="627">
        <f t="shared" si="154"/>
        <v>0</v>
      </c>
      <c r="AH245" s="363"/>
      <c r="AI245" s="363"/>
      <c r="AJ245" s="627">
        <f t="shared" si="141"/>
        <v>0</v>
      </c>
      <c r="AK245" s="627"/>
      <c r="AL245" s="627" t="str">
        <f t="shared" si="131"/>
        <v/>
      </c>
      <c r="AM245" s="1783" t="str">
        <f t="shared" ca="1" si="132"/>
        <v/>
      </c>
      <c r="AO245" s="627" t="s">
        <v>2890</v>
      </c>
      <c r="AP245" s="252"/>
      <c r="AR245" s="2486"/>
      <c r="AS245" s="2486"/>
      <c r="AT245" s="2486"/>
      <c r="AV245" s="2580"/>
      <c r="AW245" s="2486"/>
      <c r="AX245" s="2486"/>
      <c r="AY245" s="2486"/>
      <c r="BD245" s="2154"/>
      <c r="BG245" s="2832" t="str">
        <f t="shared" si="155"/>
        <v>AJ</v>
      </c>
      <c r="BH245" s="983">
        <f t="shared" si="156"/>
        <v>0</v>
      </c>
      <c r="BI245" s="983">
        <f t="shared" si="156"/>
        <v>0</v>
      </c>
      <c r="BJ245" s="983"/>
      <c r="BP245" s="2388" t="str">
        <f t="shared" si="142"/>
        <v/>
      </c>
      <c r="BQ245" s="1300" t="str">
        <f t="shared" si="143"/>
        <v>0</v>
      </c>
      <c r="BR245" s="2389">
        <f t="shared" si="144"/>
        <v>0</v>
      </c>
      <c r="BT245" s="2397" t="str">
        <f t="shared" si="134"/>
        <v/>
      </c>
      <c r="BU245" s="1300" t="str">
        <f t="shared" si="145"/>
        <v/>
      </c>
      <c r="BV245" s="1300" t="str">
        <f t="shared" si="146"/>
        <v>0</v>
      </c>
      <c r="BW245" s="2389">
        <f t="shared" si="147"/>
        <v>0</v>
      </c>
      <c r="BY245" s="2397" t="str">
        <f t="shared" si="135"/>
        <v/>
      </c>
      <c r="BZ245" s="1300" t="str">
        <f t="shared" si="148"/>
        <v/>
      </c>
      <c r="CA245" s="1300" t="str">
        <f t="shared" si="149"/>
        <v>0</v>
      </c>
      <c r="CB245" s="2389">
        <f t="shared" si="150"/>
        <v>0</v>
      </c>
      <c r="CD245" s="2388" t="str">
        <f t="shared" si="136"/>
        <v/>
      </c>
      <c r="CE245" s="1300" t="str">
        <f t="shared" si="151"/>
        <v/>
      </c>
      <c r="CF245" s="1300" t="str">
        <f t="shared" si="152"/>
        <v>0</v>
      </c>
      <c r="CG245" s="2389">
        <f t="shared" si="153"/>
        <v>0</v>
      </c>
    </row>
    <row r="246" spans="1:85" ht="16.2" customHeight="1" x14ac:dyDescent="0.25">
      <c r="A246" s="433" t="s">
        <v>1038</v>
      </c>
      <c r="B246" s="3854" t="str">
        <f>INDEX(PO_baseline_table,9, 1)</f>
        <v>Space heating</v>
      </c>
      <c r="C246" s="3854"/>
      <c r="D246" s="3856">
        <f>INDEX(PO_baseline_table,9, 3)</f>
        <v>0</v>
      </c>
      <c r="E246" s="3839" t="str">
        <f>INDEX(PO_baseline_table,9, 4)</f>
        <v>Natural Gas</v>
      </c>
      <c r="F246" s="1299" t="str">
        <f>IFERROR(IF(ISBLANK(E246),"","Consumption (" &amp; VLOOKUP($E246,PO_Enrgy_1_Table,MATCH($C$16,PO_Enrgy_1_Hdr,0),FALSE) &amp; ")"),"")</f>
        <v/>
      </c>
      <c r="G246" s="1782" t="str">
        <f>INDEX(PO_baseline_table,9, 10)</f>
        <v/>
      </c>
      <c r="H246" s="1783" t="str">
        <f t="shared" ca="1" si="137"/>
        <v/>
      </c>
      <c r="I246" s="1877" t="str">
        <f ca="1">IFERROR(1-H246/G246,"")</f>
        <v/>
      </c>
      <c r="J246" s="3849" t="str">
        <f ca="1">IFERROR(IF($E$457-$I$457&lt;0,"",($G246-$H246)*VLOOKUP($E246,PO_Enrgy_1_Table,MATCH($K$16,PO_Enrgy_1_Hdr,0),FALSE)/($E$457-$I$457)),"")</f>
        <v/>
      </c>
      <c r="K246" s="3851" t="str">
        <f ca="1">IFERROR(IF($G$457-$K$457&lt;0,"",($G246*VLOOKUP($E246,PO_Enrgy_8_Table,MATCH($E$310,PO_Enrgy_8_Hdr,0),FALSE)-($H246*VLOOKUP($E246,PO_Enrgy_8_Table,MATCH($H$310,PO_Enrgy_8_Hdr,0),FALSE)))/($G$457-$K$457)),"")</f>
        <v/>
      </c>
      <c r="L246" s="3851"/>
      <c r="M246" s="3852" t="str">
        <f ca="1">IFERROR((H246*R246)/$I$305,"")</f>
        <v/>
      </c>
      <c r="R246" s="627" t="str">
        <f>IFERROR(IF(ISBLANK($E246),"",VLOOKUP($E246,PO_Enrgy_1_Table,MATCH($K$16,PO_Enrgy_1_Hdr,0),FALSE)),"")</f>
        <v/>
      </c>
      <c r="S246" s="627" t="str">
        <f>IFERROR(IF(ISBLANK($E246),"",VLOOKUP($E246,PO_Enrgy_1_Table,MATCH($M$16,PO_Enrgy_1_Hdr,0),FALSE)),"")</f>
        <v/>
      </c>
      <c r="T246" s="627" t="str">
        <f>IFERROR(IF(FIND("Consumption",F246),(G246*VLOOKUP(MID(F246,FIND("(",F246)+1,LEN(F246)-FIND("(",F246)-1),EnergyUnitsTable,3,FALSE))/(G247*VLOOKUP(MID(F247,FIND("(",F247)+1,LEN(F247)-FIND("(",F247)-1),DemandTable,3,FALSE)),1),"")</f>
        <v/>
      </c>
      <c r="U246" s="627" t="str">
        <f>IFERROR(IF(FIND("Consumption",$F246),(H246*VLOOKUP(MID($F246,FIND("(",$F246)+1,LEN($F246)-FIND("(",$F246)-1),EnergyUnitsTable,3,FALSE))/(H247*VLOOKUP(MID($F247,FIND("(",$F247)+1,LEN($F247)-FIND("(",$F247)-1),DemandTable,3,FALSE)),1),"")</f>
        <v/>
      </c>
      <c r="V246" s="627" t="str">
        <f>IF(G246="","",G246*R246)</f>
        <v/>
      </c>
      <c r="W246" s="627" t="str">
        <f ca="1">IF(H246="","",H246*R246)</f>
        <v/>
      </c>
      <c r="X246" s="636">
        <f t="shared" ca="1" si="128"/>
        <v>0</v>
      </c>
      <c r="Y246" s="627">
        <f t="shared" si="129"/>
        <v>0</v>
      </c>
      <c r="Z246" s="627">
        <f t="shared" ca="1" si="130"/>
        <v>0</v>
      </c>
      <c r="AA246" s="627" t="b">
        <f>IFERROR(IF(D246="x",IF(OR(G246/H246&gt;1.03,G246/H246&lt;0.97),TRUE,FALSE),FALSE),FALSE)</f>
        <v>0</v>
      </c>
      <c r="AB246" s="627">
        <f ca="1">IFERROR(J246*100,)</f>
        <v>0</v>
      </c>
      <c r="AC246" s="627"/>
      <c r="AD246" s="627">
        <f ca="1">RANK(AB246,$AB$238:$AB$293,0)</f>
        <v>1</v>
      </c>
      <c r="AE246" s="627">
        <f ca="1">AD246+COUNTIF($AD$238:$AD245,AD246)</f>
        <v>5</v>
      </c>
      <c r="AF246" s="627" t="str">
        <f>B246</f>
        <v>Space heating</v>
      </c>
      <c r="AG246" s="627">
        <f t="shared" si="154"/>
        <v>0</v>
      </c>
      <c r="AH246" s="363"/>
      <c r="AI246" s="363"/>
      <c r="AJ246" s="627">
        <f t="shared" si="141"/>
        <v>0</v>
      </c>
      <c r="AK246" s="627"/>
      <c r="AL246" s="627" t="str">
        <f t="shared" si="131"/>
        <v/>
      </c>
      <c r="AM246" s="1783" t="str">
        <f t="shared" ca="1" si="132"/>
        <v/>
      </c>
      <c r="AO246" s="627">
        <f ca="1">IF(AND(E246="Electricity",H246&gt;0),1,0)</f>
        <v>0</v>
      </c>
      <c r="AP246" s="252"/>
      <c r="AR246" s="2486"/>
      <c r="AS246" s="2486"/>
      <c r="AT246" s="2486"/>
      <c r="AV246" s="2580"/>
      <c r="AW246" s="2486"/>
      <c r="AX246" s="2486"/>
      <c r="AY246" s="2486"/>
      <c r="BD246" s="2154"/>
      <c r="BG246" s="2832" t="str">
        <f t="shared" si="155"/>
        <v>BA</v>
      </c>
      <c r="BH246" s="983">
        <f t="shared" si="156"/>
        <v>0</v>
      </c>
      <c r="BI246" s="983">
        <f t="shared" si="156"/>
        <v>0</v>
      </c>
      <c r="BJ246" s="983" t="str">
        <f>IF(BH246&lt;&gt;"",IFERROR(MATCH(BH246&amp;BI246,'Results from Trace'!$L$1:$L$21,0),""),"")</f>
        <v/>
      </c>
      <c r="BP246" s="2388" t="str">
        <f t="shared" si="142"/>
        <v/>
      </c>
      <c r="BQ246" s="1300" t="str">
        <f t="shared" si="143"/>
        <v>0</v>
      </c>
      <c r="BR246" s="2389">
        <f t="shared" si="144"/>
        <v>0</v>
      </c>
      <c r="BT246" s="2397" t="str">
        <f t="shared" si="134"/>
        <v/>
      </c>
      <c r="BU246" s="1300" t="str">
        <f t="shared" si="145"/>
        <v/>
      </c>
      <c r="BV246" s="1300" t="str">
        <f t="shared" si="146"/>
        <v>0</v>
      </c>
      <c r="BW246" s="2389">
        <f t="shared" si="147"/>
        <v>0</v>
      </c>
      <c r="BY246" s="2397" t="str">
        <f t="shared" si="135"/>
        <v/>
      </c>
      <c r="BZ246" s="1300" t="str">
        <f t="shared" si="148"/>
        <v/>
      </c>
      <c r="CA246" s="1300" t="str">
        <f t="shared" si="149"/>
        <v>0</v>
      </c>
      <c r="CB246" s="2389">
        <f t="shared" si="150"/>
        <v>0</v>
      </c>
      <c r="CD246" s="2388" t="str">
        <f t="shared" si="136"/>
        <v/>
      </c>
      <c r="CE246" s="1300" t="str">
        <f t="shared" si="151"/>
        <v/>
      </c>
      <c r="CF246" s="1300" t="str">
        <f t="shared" si="152"/>
        <v>0</v>
      </c>
      <c r="CG246" s="2389">
        <f t="shared" si="153"/>
        <v>0</v>
      </c>
    </row>
    <row r="247" spans="1:85" ht="16.2" customHeight="1" x14ac:dyDescent="0.25">
      <c r="A247" s="433" t="s">
        <v>1038</v>
      </c>
      <c r="B247" s="3854"/>
      <c r="C247" s="3854"/>
      <c r="D247" s="3857"/>
      <c r="E247" s="3839"/>
      <c r="F247" s="1299" t="str">
        <f>IFERROR(IF(ISBLANK(E246),"","Demand (" &amp; VLOOKUP($E246,PO_Enrgy_1_Table,MATCH($E$16,PO_Enrgy_1_Hdr,0),FALSE) &amp; ")"),"")</f>
        <v/>
      </c>
      <c r="G247" s="2790" t="str">
        <f>INDEX(PO_baseline_table,10, 10)</f>
        <v/>
      </c>
      <c r="H247" s="1783" t="str">
        <f t="shared" ca="1" si="137"/>
        <v/>
      </c>
      <c r="I247" s="1308" t="str">
        <f ca="1">IFERROR(1-H247/G247,"")</f>
        <v/>
      </c>
      <c r="J247" s="3850"/>
      <c r="K247" s="3851"/>
      <c r="L247" s="3851"/>
      <c r="M247" s="3853"/>
      <c r="R247" s="627" t="str">
        <f>IFERROR(IF(ISBLANK($E247),"",VLOOKUP($E247,PO_Enrgy_1_Table,MATCH($K$16,PO_Enrgy_1_Hdr,0),FALSE)),"")</f>
        <v/>
      </c>
      <c r="S247" s="627" t="str">
        <f>IFERROR(IF(ISBLANK($E247),"",VLOOKUP($E247,PO_Enrgy_1_Table,MATCH($M$16,PO_Enrgy_1_Hdr,0),FALSE)),"")</f>
        <v/>
      </c>
      <c r="T247" s="627" t="str">
        <f>IFERROR(IF(FIND("Consumption",F247),(G247*VLOOKUP(MID(F247,FIND("(",F247)+1,LEN(F247)-FIND("(",F247)-1),EnergyUnitsTable,3,FALSE))/(G280*VLOOKUP(MID(F280,FIND("(",F280)+1,LEN(F280)-FIND("(",F280)-1),DemandTable,3,FALSE)),1),"")</f>
        <v/>
      </c>
      <c r="U247" s="627" t="str">
        <f>IFERROR(IF(FIND("Consumption",$F247),(H247*VLOOKUP(MID($F247,FIND("(",$F247)+1,LEN($F247)-FIND("(",$F247)-1),EnergyUnitsTable,3,FALSE))/(H280*VLOOKUP(MID($F280,FIND("(",$F280)+1,LEN($F280)-FIND("(",$F280)-1),DemandTable,3,FALSE)),1),"")</f>
        <v/>
      </c>
      <c r="V247" s="627"/>
      <c r="W247" s="627"/>
      <c r="X247" s="636">
        <f t="shared" ca="1" si="128"/>
        <v>0</v>
      </c>
      <c r="Y247" s="627">
        <f t="shared" si="129"/>
        <v>0</v>
      </c>
      <c r="Z247" s="627">
        <f t="shared" ca="1" si="130"/>
        <v>0</v>
      </c>
      <c r="AA247" s="627"/>
      <c r="AB247" s="627"/>
      <c r="AC247" s="627"/>
      <c r="AD247" s="627"/>
      <c r="AE247" s="627"/>
      <c r="AF247" s="627"/>
      <c r="AG247" s="627">
        <f t="shared" si="154"/>
        <v>0</v>
      </c>
      <c r="AH247" s="363"/>
      <c r="AI247" s="363"/>
      <c r="AJ247" s="627">
        <f t="shared" si="141"/>
        <v>0</v>
      </c>
      <c r="AK247" s="627"/>
      <c r="AL247" s="627" t="str">
        <f t="shared" si="131"/>
        <v/>
      </c>
      <c r="AM247" s="1783" t="str">
        <f t="shared" ca="1" si="132"/>
        <v/>
      </c>
      <c r="AO247" s="627">
        <f ca="1">IF(AND(E248="Electricity",H248&gt;0),1,0)</f>
        <v>1</v>
      </c>
      <c r="AP247" s="252"/>
      <c r="AR247" s="2486"/>
      <c r="AS247" s="2486"/>
      <c r="AT247" s="2486"/>
      <c r="AV247" s="2580"/>
      <c r="AW247" s="2486"/>
      <c r="AX247" s="2486"/>
      <c r="AY247" s="2486"/>
      <c r="BD247" s="2154"/>
      <c r="BG247" s="2832">
        <f t="shared" si="155"/>
        <v>0</v>
      </c>
      <c r="BH247" s="983">
        <f t="shared" si="156"/>
        <v>0</v>
      </c>
      <c r="BI247" s="983">
        <f t="shared" si="156"/>
        <v>0</v>
      </c>
      <c r="BJ247" s="983"/>
      <c r="BP247" s="2388" t="str">
        <f t="shared" si="142"/>
        <v/>
      </c>
      <c r="BQ247" s="1300" t="str">
        <f t="shared" si="143"/>
        <v>0</v>
      </c>
      <c r="BR247" s="2389">
        <f t="shared" si="144"/>
        <v>0</v>
      </c>
      <c r="BT247" s="2397" t="str">
        <f t="shared" si="134"/>
        <v/>
      </c>
      <c r="BU247" s="1300" t="str">
        <f t="shared" si="145"/>
        <v/>
      </c>
      <c r="BV247" s="1300" t="str">
        <f t="shared" si="146"/>
        <v>0</v>
      </c>
      <c r="BW247" s="2389">
        <f t="shared" si="147"/>
        <v>0</v>
      </c>
      <c r="BY247" s="2397" t="str">
        <f t="shared" si="135"/>
        <v/>
      </c>
      <c r="BZ247" s="1300" t="str">
        <f t="shared" si="148"/>
        <v/>
      </c>
      <c r="CA247" s="1300" t="str">
        <f t="shared" si="149"/>
        <v>0</v>
      </c>
      <c r="CB247" s="2389">
        <f t="shared" si="150"/>
        <v>0</v>
      </c>
      <c r="CD247" s="2388" t="str">
        <f t="shared" si="136"/>
        <v/>
      </c>
      <c r="CE247" s="1300" t="str">
        <f t="shared" si="151"/>
        <v/>
      </c>
      <c r="CF247" s="1300" t="str">
        <f t="shared" si="152"/>
        <v>0</v>
      </c>
      <c r="CG247" s="2389">
        <f t="shared" si="153"/>
        <v>0</v>
      </c>
    </row>
    <row r="248" spans="1:85" ht="16.2" customHeight="1" x14ac:dyDescent="0.25">
      <c r="A248" s="433" t="s">
        <v>1038</v>
      </c>
      <c r="B248" s="3854" t="str">
        <f>INDEX(PO_baseline_table,11, 1)</f>
        <v>Space heating</v>
      </c>
      <c r="C248" s="3854"/>
      <c r="D248" s="3856">
        <f>INDEX(PO_baseline_table,11, 3)</f>
        <v>0</v>
      </c>
      <c r="E248" s="3839" t="str">
        <f>INDEX(PO_baseline_table,11, 4)</f>
        <v>Electricity</v>
      </c>
      <c r="F248" s="1299" t="str">
        <f>IFERROR(IF(ISBLANK(E248),"","Consumption (" &amp; VLOOKUP($E248,PO_Enrgy_1_Table,MATCH($C$16,PO_Enrgy_1_Hdr,0),FALSE) &amp; ")"),"")</f>
        <v/>
      </c>
      <c r="G248" s="1782" t="str">
        <f>INDEX(PO_baseline_table,11, 10)</f>
        <v/>
      </c>
      <c r="H248" s="1783" t="str">
        <f t="shared" ca="1" si="137"/>
        <v/>
      </c>
      <c r="I248" s="1877" t="str">
        <f t="shared" ca="1" si="157"/>
        <v/>
      </c>
      <c r="J248" s="3849" t="str">
        <f ca="1">IFERROR(IF($E$457-$I$457&lt;0,"",($G248-$H248)*VLOOKUP($E248,PO_Enrgy_1_Table,MATCH($K$16,PO_Enrgy_1_Hdr,0),FALSE)/($E$457-$I$457)),"")</f>
        <v/>
      </c>
      <c r="K248" s="3851" t="str">
        <f ca="1">IFERROR(IF($G$457-$K$457&lt;0,"",($G248*VLOOKUP($E248,PO_Enrgy_8_Table,MATCH($E$310,PO_Enrgy_8_Hdr,0),FALSE)-($H248*VLOOKUP($E248,PO_Enrgy_8_Table,MATCH($H$310,PO_Enrgy_8_Hdr,0),FALSE)))/($G$457-$K$457)),"")</f>
        <v/>
      </c>
      <c r="L248" s="3851"/>
      <c r="M248" s="3852" t="str">
        <f ca="1">IFERROR((H248*R248)/$I$305,"")</f>
        <v/>
      </c>
      <c r="R248" s="627" t="str">
        <f t="shared" si="138"/>
        <v/>
      </c>
      <c r="S248" s="627" t="str">
        <f t="shared" si="139"/>
        <v/>
      </c>
      <c r="T248" s="627" t="str">
        <f t="shared" si="140"/>
        <v/>
      </c>
      <c r="U248" s="627" t="str">
        <f t="shared" si="127"/>
        <v/>
      </c>
      <c r="V248" s="627" t="str">
        <f>IF(G248="","",G248*R248)</f>
        <v/>
      </c>
      <c r="W248" s="627" t="str">
        <f ca="1">IF(H248="","",H248*R248)</f>
        <v/>
      </c>
      <c r="X248" s="636">
        <f t="shared" ca="1" si="128"/>
        <v>0</v>
      </c>
      <c r="Y248" s="627">
        <f t="shared" si="129"/>
        <v>0</v>
      </c>
      <c r="Z248" s="627">
        <f t="shared" ca="1" si="130"/>
        <v>0</v>
      </c>
      <c r="AA248" s="627" t="b">
        <f>IFERROR(IF(D248="x",IF(OR(G248/H248&gt;1.03,G248/H248&lt;0.97),TRUE,FALSE),FALSE),FALSE)</f>
        <v>0</v>
      </c>
      <c r="AB248" s="627">
        <f ca="1">IFERROR(J248*100,)</f>
        <v>0</v>
      </c>
      <c r="AC248" s="627"/>
      <c r="AD248" s="627">
        <f ca="1">RANK(AB248,$AB$238:$AB$293,0)</f>
        <v>1</v>
      </c>
      <c r="AE248" s="627">
        <f ca="1">AD248+COUNTIF($AD$238:$AD247,AD248)</f>
        <v>6</v>
      </c>
      <c r="AF248" s="627" t="str">
        <f>B248</f>
        <v>Space heating</v>
      </c>
      <c r="AG248" s="627">
        <f t="shared" si="154"/>
        <v>0</v>
      </c>
      <c r="AH248" s="363"/>
      <c r="AI248" s="363"/>
      <c r="AJ248" s="627">
        <f t="shared" si="141"/>
        <v>0</v>
      </c>
      <c r="AK248" s="627"/>
      <c r="AL248" s="627" t="str">
        <f t="shared" si="131"/>
        <v/>
      </c>
      <c r="AM248" s="1783" t="str">
        <f t="shared" ca="1" si="132"/>
        <v/>
      </c>
      <c r="AO248" s="627">
        <f ca="1">SUM(AO246:AO247)</f>
        <v>1</v>
      </c>
      <c r="AP248" s="252"/>
      <c r="AR248" s="2486"/>
      <c r="AS248" s="2486"/>
      <c r="AT248" s="2486"/>
      <c r="AV248" s="2580"/>
      <c r="AW248" s="2486"/>
      <c r="AX248" s="2486"/>
      <c r="AY248" s="2486"/>
      <c r="BD248" s="2154"/>
      <c r="BG248" s="2832" t="str">
        <f t="shared" si="155"/>
        <v>O</v>
      </c>
      <c r="BH248" s="983" t="str">
        <f>BL160</f>
        <v>Space Cooling</v>
      </c>
      <c r="BI248" s="983" t="str">
        <f>BM160</f>
        <v>Electricity</v>
      </c>
      <c r="BJ248" s="983">
        <f>IF(BH248&lt;&gt;"",IFERROR(MATCH(BH248&amp;BI248,'Results from Trace'!$L$1:$L$21,0),""),"")</f>
        <v>10</v>
      </c>
      <c r="BP248" s="2388" t="str">
        <f t="shared" si="142"/>
        <v/>
      </c>
      <c r="BQ248" s="1300" t="str">
        <f t="shared" si="143"/>
        <v>0</v>
      </c>
      <c r="BR248" s="2389">
        <f t="shared" si="144"/>
        <v>0</v>
      </c>
      <c r="BT248" s="2397" t="str">
        <f t="shared" si="134"/>
        <v/>
      </c>
      <c r="BU248" s="1300" t="str">
        <f t="shared" si="145"/>
        <v/>
      </c>
      <c r="BV248" s="1300" t="str">
        <f t="shared" si="146"/>
        <v>0</v>
      </c>
      <c r="BW248" s="2389">
        <f t="shared" si="147"/>
        <v>0</v>
      </c>
      <c r="BY248" s="2397" t="str">
        <f t="shared" si="135"/>
        <v/>
      </c>
      <c r="BZ248" s="1300" t="str">
        <f t="shared" si="148"/>
        <v/>
      </c>
      <c r="CA248" s="1300" t="str">
        <f t="shared" si="149"/>
        <v>0</v>
      </c>
      <c r="CB248" s="2389">
        <f t="shared" si="150"/>
        <v>0</v>
      </c>
      <c r="CD248" s="2388" t="str">
        <f t="shared" si="136"/>
        <v/>
      </c>
      <c r="CE248" s="1300" t="str">
        <f t="shared" si="151"/>
        <v/>
      </c>
      <c r="CF248" s="1300" t="str">
        <f t="shared" si="152"/>
        <v>0</v>
      </c>
      <c r="CG248" s="2389">
        <f t="shared" si="153"/>
        <v>0</v>
      </c>
    </row>
    <row r="249" spans="1:85" ht="16.2" customHeight="1" x14ac:dyDescent="0.25">
      <c r="A249" s="433" t="s">
        <v>1038</v>
      </c>
      <c r="B249" s="3854"/>
      <c r="C249" s="3854"/>
      <c r="D249" s="3857"/>
      <c r="E249" s="3839"/>
      <c r="F249" s="1299" t="str">
        <f>IFERROR(IF(ISBLANK(E248),"","Demand (" &amp; VLOOKUP($E248,PO_Enrgy_1_Table,MATCH($E$16,PO_Enrgy_1_Hdr,0),FALSE) &amp; ")"),"")</f>
        <v/>
      </c>
      <c r="G249" s="2790" t="str">
        <f>INDEX(PO_baseline_table,12, 10)</f>
        <v/>
      </c>
      <c r="H249" s="1783" t="str">
        <f t="shared" ca="1" si="137"/>
        <v/>
      </c>
      <c r="I249" s="1308" t="str">
        <f t="shared" ca="1" si="157"/>
        <v/>
      </c>
      <c r="J249" s="3850"/>
      <c r="K249" s="3851"/>
      <c r="L249" s="3851"/>
      <c r="M249" s="3853"/>
      <c r="R249" s="627" t="str">
        <f t="shared" si="138"/>
        <v/>
      </c>
      <c r="S249" s="627" t="str">
        <f t="shared" si="139"/>
        <v/>
      </c>
      <c r="T249" s="627" t="str">
        <f>IFERROR(IF(FIND("Consumption",F249),(G249*VLOOKUP(MID(F249,FIND("(",F249)+1,LEN(F249)-FIND("(",F249)-1),EnergyUnitsTable,3,FALSE))/(G252*VLOOKUP(MID(F252,FIND("(",F252)+1,LEN(F252)-FIND("(",F252)-1),DemandTable,3,FALSE)),1),"")</f>
        <v/>
      </c>
      <c r="U249" s="627" t="str">
        <f>IFERROR(IF(FIND("Consumption",$F249),(H249*VLOOKUP(MID($F249,FIND("(",$F249)+1,LEN($F249)-FIND("(",$F249)-1),EnergyUnitsTable,3,FALSE))/(H252*VLOOKUP(MID($F252,FIND("(",$F252)+1,LEN($F252)-FIND("(",$F252)-1),DemandTable,3,FALSE)),1),"")</f>
        <v/>
      </c>
      <c r="V249" s="627"/>
      <c r="W249" s="627"/>
      <c r="X249" s="636">
        <f t="shared" ca="1" si="128"/>
        <v>0</v>
      </c>
      <c r="Y249" s="627">
        <f t="shared" si="129"/>
        <v>0</v>
      </c>
      <c r="Z249" s="627">
        <f t="shared" ca="1" si="130"/>
        <v>0</v>
      </c>
      <c r="AA249" s="627"/>
      <c r="AB249" s="627"/>
      <c r="AC249" s="627"/>
      <c r="AD249" s="627"/>
      <c r="AE249" s="627"/>
      <c r="AF249" s="627"/>
      <c r="AG249" s="627">
        <f t="shared" si="154"/>
        <v>0</v>
      </c>
      <c r="AH249" s="363"/>
      <c r="AI249" s="363"/>
      <c r="AJ249" s="627">
        <f t="shared" si="141"/>
        <v>0</v>
      </c>
      <c r="AK249" s="627"/>
      <c r="AL249" s="627" t="str">
        <f t="shared" si="131"/>
        <v/>
      </c>
      <c r="AM249" s="1783" t="str">
        <f t="shared" ca="1" si="132"/>
        <v/>
      </c>
      <c r="AP249" s="252"/>
      <c r="AR249" s="2486"/>
      <c r="AS249" s="2486"/>
      <c r="AT249" s="2486"/>
      <c r="AV249" s="2580"/>
      <c r="AW249" s="2486"/>
      <c r="AX249" s="2486"/>
      <c r="AY249" s="2486"/>
      <c r="BD249" s="2154"/>
      <c r="BG249" s="2832" t="str">
        <f t="shared" si="155"/>
        <v>AB</v>
      </c>
      <c r="BH249" s="983">
        <f>BL161</f>
        <v>0</v>
      </c>
      <c r="BI249" s="983">
        <f>BM161</f>
        <v>0</v>
      </c>
      <c r="BJ249" s="983"/>
      <c r="BP249" s="2388" t="str">
        <f t="shared" si="142"/>
        <v/>
      </c>
      <c r="BQ249" s="1300" t="str">
        <f t="shared" si="143"/>
        <v>0</v>
      </c>
      <c r="BR249" s="2389">
        <f t="shared" si="144"/>
        <v>0</v>
      </c>
      <c r="BT249" s="2397" t="str">
        <f t="shared" si="134"/>
        <v/>
      </c>
      <c r="BU249" s="1300" t="str">
        <f t="shared" si="145"/>
        <v/>
      </c>
      <c r="BV249" s="1300" t="str">
        <f t="shared" si="146"/>
        <v>0</v>
      </c>
      <c r="BW249" s="2389">
        <f t="shared" si="147"/>
        <v>0</v>
      </c>
      <c r="BY249" s="2397" t="str">
        <f t="shared" si="135"/>
        <v/>
      </c>
      <c r="BZ249" s="1300" t="str">
        <f t="shared" si="148"/>
        <v/>
      </c>
      <c r="CA249" s="1300" t="str">
        <f t="shared" si="149"/>
        <v>0</v>
      </c>
      <c r="CB249" s="2389">
        <f t="shared" si="150"/>
        <v>0</v>
      </c>
      <c r="CD249" s="2388" t="str">
        <f t="shared" si="136"/>
        <v/>
      </c>
      <c r="CE249" s="1300" t="str">
        <f t="shared" si="151"/>
        <v/>
      </c>
      <c r="CF249" s="1300" t="str">
        <f t="shared" si="152"/>
        <v>0</v>
      </c>
      <c r="CG249" s="2389">
        <f t="shared" si="153"/>
        <v>0</v>
      </c>
    </row>
    <row r="250" spans="1:85" ht="16.2" customHeight="1" x14ac:dyDescent="0.25">
      <c r="A250" s="433" t="s">
        <v>1038</v>
      </c>
      <c r="B250" s="3839" t="str">
        <f>INDEX(PO_baseline_table,13, 1)</f>
        <v>Heat Pump Supplementary</v>
      </c>
      <c r="C250" s="3854"/>
      <c r="D250" s="3856">
        <f>INDEX(PO_baseline_table,13, 3)</f>
        <v>0</v>
      </c>
      <c r="E250" s="3839" t="str">
        <f>INDEX(PO_baseline_table,13, 4)</f>
        <v>Electricity</v>
      </c>
      <c r="F250" s="1299" t="str">
        <f>IFERROR(IF(ISBLANK(E250),"","Consumption (" &amp; VLOOKUP($E250,PO_Enrgy_1_Table,MATCH($C$16,PO_Enrgy_1_Hdr,0),FALSE) &amp; ")"),"")</f>
        <v/>
      </c>
      <c r="G250" s="1782" t="str">
        <f>INDEX(PO_baseline_table,13, 10)</f>
        <v/>
      </c>
      <c r="H250" s="1783" t="str">
        <f t="shared" ca="1" si="137"/>
        <v/>
      </c>
      <c r="I250" s="1877" t="str">
        <f ca="1">IFERROR(1-H250/G250,"")</f>
        <v/>
      </c>
      <c r="J250" s="3849" t="str">
        <f ca="1">IFERROR(IF($E$457-$I$457&lt;0,"",($G250-$H250)*VLOOKUP($E250,PO_Enrgy_1_Table,MATCH($K$16,PO_Enrgy_1_Hdr,0),FALSE)/($E$457-$I$457)),"")</f>
        <v/>
      </c>
      <c r="K250" s="3851" t="str">
        <f ca="1">IFERROR(IF($G$457-$K$457&lt;0,"",($G250*VLOOKUP($E250,PO_Enrgy_8_Table,MATCH($E$310,PO_Enrgy_8_Hdr,0),FALSE)-($H250*VLOOKUP($E250,PO_Enrgy_8_Table,MATCH($H$310,PO_Enrgy_8_Hdr,0),FALSE)))/($G$457-$K$457)),"")</f>
        <v/>
      </c>
      <c r="L250" s="3851"/>
      <c r="M250" s="3852" t="str">
        <f ca="1">IFERROR((H250*R250)/$I$305,"")</f>
        <v/>
      </c>
      <c r="R250" s="627" t="str">
        <f>IFERROR(IF(ISBLANK($E250),"",VLOOKUP($E250,PO_Enrgy_1_Table,MATCH($K$16,PO_Enrgy_1_Hdr,0),FALSE)),"")</f>
        <v/>
      </c>
      <c r="S250" s="627" t="str">
        <f>IFERROR(IF(ISBLANK($E250),"",VLOOKUP($E250,PO_Enrgy_1_Table,MATCH($M$16,PO_Enrgy_1_Hdr,0),FALSE)),"")</f>
        <v/>
      </c>
      <c r="T250" s="627" t="str">
        <f>IFERROR(IF(FIND("Consumption",F250),(G250*VLOOKUP(MID(F250,FIND("(",F250)+1,LEN(F250)-FIND("(",F250)-1),EnergyUnitsTable,3,FALSE))/(G251*VLOOKUP(MID(F251,FIND("(",F251)+1,LEN(F251)-FIND("(",F251)-1),DemandTable,3,FALSE)),1),"")</f>
        <v/>
      </c>
      <c r="U250" s="627" t="str">
        <f>IFERROR(IF(FIND("Consumption",$F250),(H250*VLOOKUP(MID($F250,FIND("(",$F250)+1,LEN($F250)-FIND("(",$F250)-1),EnergyUnitsTable,3,FALSE))/(H251*VLOOKUP(MID($F251,FIND("(",$F251)+1,LEN($F251)-FIND("(",$F251)-1),DemandTable,3,FALSE)),1),"")</f>
        <v/>
      </c>
      <c r="V250" s="627" t="str">
        <f>IF(G250="","",G250*R250)</f>
        <v/>
      </c>
      <c r="W250" s="627" t="str">
        <f ca="1">IF(H250="","",H250*R250)</f>
        <v/>
      </c>
      <c r="X250" s="636">
        <f t="shared" ca="1" si="128"/>
        <v>0</v>
      </c>
      <c r="Y250" s="627">
        <f t="shared" si="129"/>
        <v>0</v>
      </c>
      <c r="Z250" s="627">
        <f t="shared" ca="1" si="130"/>
        <v>0</v>
      </c>
      <c r="AA250" s="627" t="b">
        <f>IFERROR(IF(D250="x",IF(OR(G250/H250&gt;1.03,G250/H250&lt;0.97),TRUE,FALSE),FALSE),FALSE)</f>
        <v>0</v>
      </c>
      <c r="AB250" s="627">
        <f ca="1">IFERROR(J250*100,)</f>
        <v>0</v>
      </c>
      <c r="AC250" s="627"/>
      <c r="AD250" s="627">
        <f ca="1">RANK(AB250,$AB$238:$AB$293,0)</f>
        <v>1</v>
      </c>
      <c r="AE250" s="627">
        <f ca="1">AD250+COUNTIF($AD$238:$AD249,AD250)</f>
        <v>7</v>
      </c>
      <c r="AF250" s="627" t="str">
        <f>B250</f>
        <v>Heat Pump Supplementary</v>
      </c>
      <c r="AG250" s="627">
        <f t="shared" si="154"/>
        <v>0</v>
      </c>
      <c r="AH250" s="363"/>
      <c r="AI250" s="363"/>
      <c r="AJ250" s="627">
        <f t="shared" si="141"/>
        <v>0</v>
      </c>
      <c r="AK250" s="627"/>
      <c r="AL250" s="627" t="str">
        <f t="shared" si="131"/>
        <v/>
      </c>
      <c r="AM250" s="1783" t="str">
        <f t="shared" ca="1" si="132"/>
        <v/>
      </c>
      <c r="AP250" s="252"/>
      <c r="AR250" s="2486"/>
      <c r="AS250" s="2486"/>
      <c r="AT250" s="2486"/>
      <c r="AV250" s="2580"/>
      <c r="AW250" s="2486"/>
      <c r="AX250" s="2486"/>
      <c r="AY250" s="2486"/>
      <c r="BD250" s="2154"/>
      <c r="BG250" s="2832" t="str">
        <f t="shared" si="155"/>
        <v>U</v>
      </c>
      <c r="BH250" s="983">
        <f>BL198</f>
        <v>0</v>
      </c>
      <c r="BI250" s="983">
        <f>BM198</f>
        <v>0</v>
      </c>
      <c r="BJ250" s="983" t="str">
        <f>IF(BH250&lt;&gt;"",IFERROR(MATCH(BH250&amp;BI250,'Results from Trace'!$L$1:$L$21,0),""),"")</f>
        <v/>
      </c>
      <c r="BP250" s="2388" t="str">
        <f t="shared" si="142"/>
        <v/>
      </c>
      <c r="BQ250" s="1300" t="str">
        <f t="shared" si="143"/>
        <v>0</v>
      </c>
      <c r="BR250" s="2389">
        <f t="shared" si="144"/>
        <v>0</v>
      </c>
      <c r="BT250" s="2397" t="str">
        <f t="shared" si="134"/>
        <v/>
      </c>
      <c r="BU250" s="1300" t="str">
        <f t="shared" si="145"/>
        <v/>
      </c>
      <c r="BV250" s="1300" t="str">
        <f t="shared" si="146"/>
        <v>0</v>
      </c>
      <c r="BW250" s="2389">
        <f t="shared" si="147"/>
        <v>0</v>
      </c>
      <c r="BY250" s="2397" t="str">
        <f t="shared" si="135"/>
        <v/>
      </c>
      <c r="BZ250" s="1300" t="str">
        <f t="shared" si="148"/>
        <v/>
      </c>
      <c r="CA250" s="1300" t="str">
        <f t="shared" si="149"/>
        <v>0</v>
      </c>
      <c r="CB250" s="2389">
        <f t="shared" si="150"/>
        <v>0</v>
      </c>
      <c r="CD250" s="2388" t="str">
        <f t="shared" si="136"/>
        <v/>
      </c>
      <c r="CE250" s="1300" t="str">
        <f t="shared" si="151"/>
        <v/>
      </c>
      <c r="CF250" s="1300" t="str">
        <f t="shared" si="152"/>
        <v>0</v>
      </c>
      <c r="CG250" s="2389">
        <f t="shared" si="153"/>
        <v>0</v>
      </c>
    </row>
    <row r="251" spans="1:85" ht="16.5" customHeight="1" x14ac:dyDescent="0.25">
      <c r="A251" s="433" t="s">
        <v>1038</v>
      </c>
      <c r="B251" s="3839"/>
      <c r="C251" s="3854"/>
      <c r="D251" s="3857"/>
      <c r="E251" s="3839"/>
      <c r="F251" s="1299" t="str">
        <f>IFERROR(IF(ISBLANK(E250),"","Demand (" &amp; VLOOKUP($E250,PO_Enrgy_1_Table,MATCH($E$16,PO_Enrgy_1_Hdr,0),FALSE) &amp; ")"),"")</f>
        <v/>
      </c>
      <c r="G251" s="2790" t="str">
        <f>INDEX(PO_baseline_table,14, 10)</f>
        <v/>
      </c>
      <c r="H251" s="1783" t="str">
        <f t="shared" ca="1" si="137"/>
        <v/>
      </c>
      <c r="I251" s="1308" t="str">
        <f ca="1">IFERROR(1-H251/G251,"")</f>
        <v/>
      </c>
      <c r="J251" s="3850"/>
      <c r="K251" s="3851"/>
      <c r="L251" s="3851"/>
      <c r="M251" s="3853"/>
      <c r="R251" s="627" t="str">
        <f>IFERROR(IF(ISBLANK($E251),"",VLOOKUP($E251,PO_Enrgy_1_Table,MATCH($K$16,PO_Enrgy_1_Hdr,0),FALSE)),"")</f>
        <v/>
      </c>
      <c r="S251" s="627" t="str">
        <f>IFERROR(IF(ISBLANK($E251),"",VLOOKUP($E251,PO_Enrgy_1_Table,MATCH($M$16,PO_Enrgy_1_Hdr,0),FALSE)),"")</f>
        <v/>
      </c>
      <c r="T251" s="627" t="str">
        <f>IFERROR(IF(FIND("Consumption",F251),(G251*VLOOKUP(MID(F251,FIND("(",F251)+1,LEN(F251)-FIND("(",F251)-1),EnergyUnitsTable,3,FALSE))/(G282*VLOOKUP(MID(F282,FIND("(",F282)+1,LEN(F282)-FIND("(",F282)-1),DemandTable,3,FALSE)),1),"")</f>
        <v/>
      </c>
      <c r="U251" s="627" t="str">
        <f>IFERROR(IF(FIND("Consumption",$F251),(H251*VLOOKUP(MID($F251,FIND("(",$F251)+1,LEN($F251)-FIND("(",$F251)-1),EnergyUnitsTable,3,FALSE))/(H282*VLOOKUP(MID($F282,FIND("(",$F282)+1,LEN($F282)-FIND("(",$F282)-1),DemandTable,3,FALSE)),1),"")</f>
        <v/>
      </c>
      <c r="V251" s="627"/>
      <c r="W251" s="627"/>
      <c r="X251" s="636">
        <f t="shared" ca="1" si="128"/>
        <v>0</v>
      </c>
      <c r="Y251" s="627">
        <f t="shared" si="129"/>
        <v>0</v>
      </c>
      <c r="Z251" s="627">
        <f t="shared" ca="1" si="130"/>
        <v>0</v>
      </c>
      <c r="AA251" s="627"/>
      <c r="AB251" s="627"/>
      <c r="AC251" s="627"/>
      <c r="AD251" s="627"/>
      <c r="AE251" s="627"/>
      <c r="AF251" s="627"/>
      <c r="AG251" s="627">
        <f t="shared" si="154"/>
        <v>0</v>
      </c>
      <c r="AH251" s="363"/>
      <c r="AI251" s="363"/>
      <c r="AJ251" s="627">
        <f t="shared" si="141"/>
        <v>0</v>
      </c>
      <c r="AK251" s="627"/>
      <c r="AL251" s="627" t="str">
        <f t="shared" si="131"/>
        <v/>
      </c>
      <c r="AM251" s="1783" t="str">
        <f t="shared" ca="1" si="132"/>
        <v/>
      </c>
      <c r="AP251" s="252"/>
      <c r="AR251" s="2486"/>
      <c r="AS251" s="2486"/>
      <c r="AT251" s="2486"/>
      <c r="AV251" s="2580"/>
      <c r="AW251" s="2486"/>
      <c r="AX251" s="2486"/>
      <c r="AY251" s="2486"/>
      <c r="BD251" s="2154"/>
      <c r="BG251" s="2832" t="str">
        <f t="shared" si="155"/>
        <v>AH</v>
      </c>
      <c r="BH251" s="983">
        <f>BL199</f>
        <v>0</v>
      </c>
      <c r="BI251" s="983">
        <f>BM199</f>
        <v>0</v>
      </c>
      <c r="BJ251" s="983"/>
      <c r="BP251" s="2388" t="str">
        <f t="shared" si="142"/>
        <v/>
      </c>
      <c r="BQ251" s="1300" t="str">
        <f t="shared" si="143"/>
        <v>0</v>
      </c>
      <c r="BR251" s="2389">
        <f t="shared" si="144"/>
        <v>0</v>
      </c>
      <c r="BT251" s="2397" t="str">
        <f t="shared" si="134"/>
        <v/>
      </c>
      <c r="BU251" s="1300" t="str">
        <f t="shared" si="145"/>
        <v/>
      </c>
      <c r="BV251" s="1300" t="str">
        <f t="shared" si="146"/>
        <v>0</v>
      </c>
      <c r="BW251" s="2389">
        <f t="shared" si="147"/>
        <v>0</v>
      </c>
      <c r="BY251" s="2397" t="str">
        <f t="shared" si="135"/>
        <v/>
      </c>
      <c r="BZ251" s="1300" t="str">
        <f t="shared" si="148"/>
        <v/>
      </c>
      <c r="CA251" s="1300" t="str">
        <f t="shared" si="149"/>
        <v>0</v>
      </c>
      <c r="CB251" s="2389">
        <f t="shared" si="150"/>
        <v>0</v>
      </c>
      <c r="CD251" s="2388" t="str">
        <f t="shared" si="136"/>
        <v/>
      </c>
      <c r="CE251" s="1300" t="str">
        <f t="shared" si="151"/>
        <v/>
      </c>
      <c r="CF251" s="1300" t="str">
        <f t="shared" si="152"/>
        <v>0</v>
      </c>
      <c r="CG251" s="2389">
        <f t="shared" si="153"/>
        <v>0</v>
      </c>
    </row>
    <row r="252" spans="1:85" ht="16.2" customHeight="1" x14ac:dyDescent="0.25">
      <c r="A252" s="433" t="s">
        <v>1038</v>
      </c>
      <c r="B252" s="3839" t="str">
        <f>INDEX(PO_baseline_table,15, 1)</f>
        <v>Space cooling</v>
      </c>
      <c r="C252" s="3854"/>
      <c r="D252" s="3856">
        <f>INDEX(PO_baseline_table,15, 3)</f>
        <v>0</v>
      </c>
      <c r="E252" s="3839" t="str">
        <f>INDEX(PO_baseline_table,15, 4)</f>
        <v>Electricity</v>
      </c>
      <c r="F252" s="1299" t="str">
        <f>IFERROR(IF(ISBLANK(E252),"","Consumption (" &amp; VLOOKUP($E252,PO_Enrgy_1_Table,MATCH($C$16,PO_Enrgy_1_Hdr,0),FALSE) &amp; ")"),"")</f>
        <v/>
      </c>
      <c r="G252" s="1782" t="str">
        <f>INDEX(PO_baseline_table,15, 10)</f>
        <v/>
      </c>
      <c r="H252" s="1783" t="str">
        <f t="shared" ca="1" si="137"/>
        <v/>
      </c>
      <c r="I252" s="1877" t="str">
        <f t="shared" ca="1" si="157"/>
        <v/>
      </c>
      <c r="J252" s="3849" t="str">
        <f ca="1">IFERROR(IF($E$457-$I$457&lt;0,"",($G252-$H252)*VLOOKUP($E252,PO_Enrgy_1_Table,MATCH($K$16,PO_Enrgy_1_Hdr,0),FALSE)/($E$457-$I$457)),"")</f>
        <v/>
      </c>
      <c r="K252" s="3851" t="str">
        <f ca="1">IFERROR(IF($G$457-$K$457&lt;0,"",($G252*VLOOKUP($E252,PO_Enrgy_8_Table,MATCH($E$310,PO_Enrgy_8_Hdr,0),FALSE)-($H252*VLOOKUP($E252,PO_Enrgy_8_Table,MATCH($H$310,PO_Enrgy_8_Hdr,0),FALSE)))/($G$457-$K$457)),"")</f>
        <v/>
      </c>
      <c r="L252" s="3851"/>
      <c r="M252" s="3852" t="str">
        <f ca="1">IFERROR((H252*R252)/$I$305,"")</f>
        <v/>
      </c>
      <c r="R252" s="627" t="str">
        <f t="shared" si="138"/>
        <v/>
      </c>
      <c r="S252" s="627" t="str">
        <f t="shared" si="139"/>
        <v/>
      </c>
      <c r="T252" s="627" t="str">
        <f t="shared" ref="T252:T284" si="158">IFERROR(IF(FIND("Consumption",F252),(G252*VLOOKUP(MID(F252,FIND("(",F252)+1,LEN(F252)-FIND("(",F252)-1),EnergyUnitsTable,3,FALSE))/(G253*VLOOKUP(MID(F253,FIND("(",F253)+1,LEN(F253)-FIND("(",F253)-1),DemandTable,3,FALSE)),1),"")</f>
        <v/>
      </c>
      <c r="U252" s="627" t="str">
        <f t="shared" ref="U252:U284" si="159">IFERROR(IF(FIND("Consumption",$F252),(H252*VLOOKUP(MID($F252,FIND("(",$F252)+1,LEN($F252)-FIND("(",$F252)-1),EnergyUnitsTable,3,FALSE))/(H253*VLOOKUP(MID($F253,FIND("(",$F253)+1,LEN($F253)-FIND("(",$F253)-1),DemandTable,3,FALSE)),1),"")</f>
        <v/>
      </c>
      <c r="V252" s="627" t="str">
        <f>IF(G252="","",G252*R252)</f>
        <v/>
      </c>
      <c r="W252" s="627" t="str">
        <f ca="1">IF(H252="","",H252*R252)</f>
        <v/>
      </c>
      <c r="X252" s="636">
        <f t="shared" ca="1" si="128"/>
        <v>0</v>
      </c>
      <c r="Y252" s="627">
        <f t="shared" si="129"/>
        <v>0</v>
      </c>
      <c r="Z252" s="627">
        <f t="shared" ca="1" si="130"/>
        <v>0</v>
      </c>
      <c r="AA252" s="627" t="b">
        <f>IFERROR(IF(D252="x",IF(OR(G252/H252&gt;1.03,G252/H252&lt;0.97),TRUE,FALSE),FALSE),FALSE)</f>
        <v>0</v>
      </c>
      <c r="AB252" s="627">
        <f ca="1">IFERROR(J252*100,)</f>
        <v>0</v>
      </c>
      <c r="AC252" s="627"/>
      <c r="AD252" s="627">
        <f ca="1">RANK(AB252,$AB$238:$AB$293,0)</f>
        <v>1</v>
      </c>
      <c r="AE252" s="627">
        <f ca="1">AD252+COUNTIF($AD$238:$AD251,AD252)</f>
        <v>8</v>
      </c>
      <c r="AF252" s="627" t="str">
        <f>B252</f>
        <v>Space cooling</v>
      </c>
      <c r="AG252" s="627">
        <f t="shared" si="154"/>
        <v>0</v>
      </c>
      <c r="AH252" s="363"/>
      <c r="AI252" s="363"/>
      <c r="AJ252" s="627">
        <f t="shared" si="141"/>
        <v>0</v>
      </c>
      <c r="AK252" s="627"/>
      <c r="AL252" s="627" t="str">
        <f t="shared" si="131"/>
        <v/>
      </c>
      <c r="AM252" s="1783" t="str">
        <f t="shared" ca="1" si="132"/>
        <v/>
      </c>
      <c r="AP252" s="252"/>
      <c r="AR252" s="2486"/>
      <c r="AS252" s="2486"/>
      <c r="AT252" s="2486"/>
      <c r="AV252" s="2580"/>
      <c r="AW252" s="2486"/>
      <c r="AX252" s="2486"/>
      <c r="AY252" s="2486"/>
      <c r="BD252" s="2154"/>
      <c r="BG252" s="2832" t="str">
        <f t="shared" si="155"/>
        <v>P</v>
      </c>
      <c r="BH252" s="983" t="str">
        <f t="shared" ref="BH252:BI259" si="160">BL164</f>
        <v>Pumps</v>
      </c>
      <c r="BI252" s="983" t="str">
        <f t="shared" si="160"/>
        <v>Electricity</v>
      </c>
      <c r="BJ252" s="983">
        <f>IF(BH252&lt;&gt;"",IFERROR(MATCH(BH252&amp;BI252,'Results from Trace'!$L$1:$L$21,0),""),"")</f>
        <v>11</v>
      </c>
      <c r="BP252" s="2388" t="str">
        <f t="shared" si="142"/>
        <v/>
      </c>
      <c r="BQ252" s="1300" t="str">
        <f t="shared" si="143"/>
        <v>0</v>
      </c>
      <c r="BR252" s="2389">
        <f t="shared" si="144"/>
        <v>0</v>
      </c>
      <c r="BT252" s="2397" t="str">
        <f t="shared" si="134"/>
        <v/>
      </c>
      <c r="BU252" s="1300" t="str">
        <f t="shared" si="145"/>
        <v/>
      </c>
      <c r="BV252" s="1300" t="str">
        <f t="shared" si="146"/>
        <v>0</v>
      </c>
      <c r="BW252" s="2389">
        <f t="shared" si="147"/>
        <v>0</v>
      </c>
      <c r="BY252" s="2397" t="str">
        <f t="shared" si="135"/>
        <v/>
      </c>
      <c r="BZ252" s="1300" t="str">
        <f t="shared" si="148"/>
        <v/>
      </c>
      <c r="CA252" s="1300" t="str">
        <f t="shared" si="149"/>
        <v>0</v>
      </c>
      <c r="CB252" s="2389">
        <f t="shared" si="150"/>
        <v>0</v>
      </c>
      <c r="CD252" s="2388" t="str">
        <f t="shared" si="136"/>
        <v/>
      </c>
      <c r="CE252" s="1300" t="str">
        <f t="shared" si="151"/>
        <v/>
      </c>
      <c r="CF252" s="1300" t="str">
        <f t="shared" si="152"/>
        <v>0</v>
      </c>
      <c r="CG252" s="2389">
        <f t="shared" si="153"/>
        <v>0</v>
      </c>
    </row>
    <row r="253" spans="1:85" ht="16.2" customHeight="1" x14ac:dyDescent="0.25">
      <c r="A253" s="433" t="s">
        <v>1038</v>
      </c>
      <c r="B253" s="3839"/>
      <c r="C253" s="3854"/>
      <c r="D253" s="3857"/>
      <c r="E253" s="3839"/>
      <c r="F253" s="1299" t="str">
        <f>IFERROR(IF(ISBLANK(E252),"","Demand (" &amp; VLOOKUP($E252,PO_Enrgy_1_Table,MATCH($E$16,PO_Enrgy_1_Hdr,0),FALSE) &amp; ")"),"")</f>
        <v/>
      </c>
      <c r="G253" s="2790" t="str">
        <f>INDEX(PO_baseline_table,16, 10)</f>
        <v/>
      </c>
      <c r="H253" s="1783" t="str">
        <f t="shared" ca="1" si="137"/>
        <v/>
      </c>
      <c r="I253" s="1308" t="str">
        <f t="shared" ca="1" si="157"/>
        <v/>
      </c>
      <c r="J253" s="3850"/>
      <c r="K253" s="3851"/>
      <c r="L253" s="3851"/>
      <c r="M253" s="3853"/>
      <c r="R253" s="627" t="str">
        <f t="shared" si="138"/>
        <v/>
      </c>
      <c r="S253" s="627" t="str">
        <f t="shared" si="139"/>
        <v/>
      </c>
      <c r="T253" s="627" t="str">
        <f t="shared" si="158"/>
        <v/>
      </c>
      <c r="U253" s="627" t="str">
        <f t="shared" si="159"/>
        <v/>
      </c>
      <c r="V253" s="627"/>
      <c r="W253" s="627"/>
      <c r="X253" s="636">
        <f t="shared" ca="1" si="128"/>
        <v>0</v>
      </c>
      <c r="Y253" s="627">
        <f t="shared" si="129"/>
        <v>0</v>
      </c>
      <c r="Z253" s="627">
        <f t="shared" ca="1" si="130"/>
        <v>0</v>
      </c>
      <c r="AA253" s="627"/>
      <c r="AB253" s="627"/>
      <c r="AC253" s="627"/>
      <c r="AD253" s="627"/>
      <c r="AE253" s="627"/>
      <c r="AF253" s="627"/>
      <c r="AG253" s="627">
        <f t="shared" si="154"/>
        <v>0</v>
      </c>
      <c r="AH253" s="363"/>
      <c r="AI253" s="363"/>
      <c r="AJ253" s="627">
        <f t="shared" si="141"/>
        <v>0</v>
      </c>
      <c r="AK253" s="627"/>
      <c r="AL253" s="627" t="str">
        <f t="shared" si="131"/>
        <v/>
      </c>
      <c r="AM253" s="1783" t="str">
        <f t="shared" ca="1" si="132"/>
        <v/>
      </c>
      <c r="AP253" s="252"/>
      <c r="AR253" s="2486"/>
      <c r="AS253" s="2486"/>
      <c r="AT253" s="2486"/>
      <c r="AV253" s="2580"/>
      <c r="AW253" s="2486"/>
      <c r="AX253" s="2486"/>
      <c r="AY253" s="2486"/>
      <c r="BD253" s="2154"/>
      <c r="BG253" s="2832" t="str">
        <f t="shared" si="155"/>
        <v>AC</v>
      </c>
      <c r="BH253" s="983">
        <f t="shared" si="160"/>
        <v>0</v>
      </c>
      <c r="BI253" s="983">
        <f t="shared" si="160"/>
        <v>0</v>
      </c>
      <c r="BJ253" s="983"/>
      <c r="BP253" s="2388" t="str">
        <f t="shared" si="142"/>
        <v/>
      </c>
      <c r="BQ253" s="1300" t="str">
        <f t="shared" si="143"/>
        <v>0</v>
      </c>
      <c r="BR253" s="2389">
        <f t="shared" si="144"/>
        <v>0</v>
      </c>
      <c r="BT253" s="2397" t="str">
        <f t="shared" si="134"/>
        <v/>
      </c>
      <c r="BU253" s="1300" t="str">
        <f t="shared" si="145"/>
        <v/>
      </c>
      <c r="BV253" s="1300" t="str">
        <f t="shared" si="146"/>
        <v>0</v>
      </c>
      <c r="BW253" s="2389">
        <f t="shared" si="147"/>
        <v>0</v>
      </c>
      <c r="BY253" s="2397" t="str">
        <f t="shared" si="135"/>
        <v/>
      </c>
      <c r="BZ253" s="1300" t="str">
        <f t="shared" si="148"/>
        <v/>
      </c>
      <c r="CA253" s="1300" t="str">
        <f t="shared" si="149"/>
        <v>0</v>
      </c>
      <c r="CB253" s="2389">
        <f t="shared" si="150"/>
        <v>0</v>
      </c>
      <c r="CD253" s="2388" t="str">
        <f t="shared" si="136"/>
        <v/>
      </c>
      <c r="CE253" s="1300" t="str">
        <f t="shared" si="151"/>
        <v/>
      </c>
      <c r="CF253" s="1300" t="str">
        <f t="shared" si="152"/>
        <v>0</v>
      </c>
      <c r="CG253" s="2389">
        <f t="shared" si="153"/>
        <v>0</v>
      </c>
    </row>
    <row r="254" spans="1:85" ht="16.2" customHeight="1" x14ac:dyDescent="0.25">
      <c r="A254" s="433" t="s">
        <v>1038</v>
      </c>
      <c r="B254" s="3839" t="str">
        <f>INDEX(PO_baseline_table,17, 1)</f>
        <v>Space cooling</v>
      </c>
      <c r="C254" s="3854"/>
      <c r="D254" s="3856">
        <f>INDEX(PO_baseline_table,17, 3)</f>
        <v>0</v>
      </c>
      <c r="E254" s="3839" t="str">
        <f>INDEX(PO_baseline_table,17, 4)</f>
        <v>Natural Gas</v>
      </c>
      <c r="F254" s="1299" t="str">
        <f>IFERROR(IF(ISBLANK(E254),"","Consumption (" &amp; VLOOKUP($E254,PO_Enrgy_1_Table,MATCH($C$16,PO_Enrgy_1_Hdr,0),FALSE) &amp; ")"),"")</f>
        <v/>
      </c>
      <c r="G254" s="1782" t="str">
        <f>INDEX(PO_baseline_table,17, 10)</f>
        <v/>
      </c>
      <c r="H254" s="1783" t="str">
        <f t="shared" ca="1" si="137"/>
        <v/>
      </c>
      <c r="I254" s="1877" t="str">
        <f t="shared" ca="1" si="157"/>
        <v/>
      </c>
      <c r="J254" s="3849" t="str">
        <f ca="1">IFERROR(IF($E$457-$I$457&lt;0,"",($G254-$H254)*VLOOKUP($E254,PO_Enrgy_1_Table,MATCH($K$16,PO_Enrgy_1_Hdr,0),FALSE)/($E$457-$I$457)),"")</f>
        <v/>
      </c>
      <c r="K254" s="3851" t="str">
        <f ca="1">IFERROR(IF($G$457-$K$457&lt;0,"",($G254*VLOOKUP($E254,PO_Enrgy_8_Table,MATCH($E$310,PO_Enrgy_8_Hdr,0),FALSE)-($H254*VLOOKUP($E254,PO_Enrgy_8_Table,MATCH($H$310,PO_Enrgy_8_Hdr,0),FALSE)))/($G$457-$K$457)),"")</f>
        <v/>
      </c>
      <c r="L254" s="3851"/>
      <c r="M254" s="3852" t="str">
        <f ca="1">IFERROR((H254*R254)/$I$305,"")</f>
        <v/>
      </c>
      <c r="R254" s="627" t="str">
        <f t="shared" si="138"/>
        <v/>
      </c>
      <c r="S254" s="627" t="str">
        <f t="shared" si="139"/>
        <v/>
      </c>
      <c r="T254" s="627" t="str">
        <f t="shared" si="158"/>
        <v/>
      </c>
      <c r="U254" s="627" t="str">
        <f t="shared" si="159"/>
        <v/>
      </c>
      <c r="V254" s="627" t="str">
        <f>IF(G254="","",G254*R254)</f>
        <v/>
      </c>
      <c r="W254" s="627" t="str">
        <f ca="1">IF(H254="","",H254*R254)</f>
        <v/>
      </c>
      <c r="X254" s="636">
        <f t="shared" ca="1" si="128"/>
        <v>0</v>
      </c>
      <c r="Y254" s="627">
        <f t="shared" si="129"/>
        <v>0</v>
      </c>
      <c r="Z254" s="627">
        <f t="shared" ca="1" si="130"/>
        <v>0</v>
      </c>
      <c r="AA254" s="627" t="b">
        <f>IFERROR(IF(D254="x",IF(OR(G254/H254&gt;1.03,G254/H254&lt;0.97),TRUE,FALSE),FALSE),FALSE)</f>
        <v>0</v>
      </c>
      <c r="AB254" s="627">
        <f ca="1">IFERROR(J254*100,)</f>
        <v>0</v>
      </c>
      <c r="AC254" s="627"/>
      <c r="AD254" s="627">
        <f ca="1">RANK(AB254,$AB$238:$AB$293,0)</f>
        <v>1</v>
      </c>
      <c r="AE254" s="627">
        <f ca="1">AD254+COUNTIF($AD$238:$AD253,AD254)</f>
        <v>9</v>
      </c>
      <c r="AF254" s="627" t="str">
        <f>B254</f>
        <v>Space cooling</v>
      </c>
      <c r="AG254" s="627">
        <f t="shared" si="154"/>
        <v>0</v>
      </c>
      <c r="AH254" s="363"/>
      <c r="AI254" s="363"/>
      <c r="AJ254" s="627">
        <f t="shared" si="141"/>
        <v>0</v>
      </c>
      <c r="AK254" s="627"/>
      <c r="AL254" s="627" t="str">
        <f t="shared" si="131"/>
        <v/>
      </c>
      <c r="AM254" s="1783" t="str">
        <f t="shared" ca="1" si="132"/>
        <v/>
      </c>
      <c r="AP254" s="252"/>
      <c r="AR254" s="2486"/>
      <c r="AS254" s="2486"/>
      <c r="AT254" s="2486"/>
      <c r="AV254" s="2580"/>
      <c r="AW254" s="2486"/>
      <c r="AX254" s="2486"/>
      <c r="AY254" s="2486"/>
      <c r="BD254" s="2154"/>
      <c r="BG254" s="2832" t="str">
        <f t="shared" si="155"/>
        <v>BB</v>
      </c>
      <c r="BH254" s="983" t="str">
        <f t="shared" si="160"/>
        <v>Heat Rejection</v>
      </c>
      <c r="BI254" s="983" t="str">
        <f t="shared" si="160"/>
        <v>Electricity</v>
      </c>
      <c r="BJ254" s="983">
        <f>IF(BH254&lt;&gt;"",IFERROR(MATCH(BH254&amp;BI254,'Results from Trace'!$L$1:$L$21,0),""),"")</f>
        <v>12</v>
      </c>
      <c r="BP254" s="2388" t="str">
        <f t="shared" si="142"/>
        <v/>
      </c>
      <c r="BQ254" s="1300" t="str">
        <f t="shared" si="143"/>
        <v>0</v>
      </c>
      <c r="BR254" s="2389">
        <f t="shared" si="144"/>
        <v>0</v>
      </c>
      <c r="BT254" s="2397" t="str">
        <f t="shared" si="134"/>
        <v/>
      </c>
      <c r="BU254" s="1300" t="str">
        <f t="shared" si="145"/>
        <v/>
      </c>
      <c r="BV254" s="1300" t="str">
        <f t="shared" si="146"/>
        <v>0</v>
      </c>
      <c r="BW254" s="2389">
        <f t="shared" si="147"/>
        <v>0</v>
      </c>
      <c r="BY254" s="2397" t="str">
        <f t="shared" si="135"/>
        <v/>
      </c>
      <c r="BZ254" s="1300" t="str">
        <f t="shared" si="148"/>
        <v/>
      </c>
      <c r="CA254" s="1300" t="str">
        <f t="shared" si="149"/>
        <v>0</v>
      </c>
      <c r="CB254" s="2389">
        <f t="shared" si="150"/>
        <v>0</v>
      </c>
      <c r="CD254" s="2388" t="str">
        <f t="shared" si="136"/>
        <v/>
      </c>
      <c r="CE254" s="1300" t="str">
        <f t="shared" si="151"/>
        <v/>
      </c>
      <c r="CF254" s="1300" t="str">
        <f t="shared" si="152"/>
        <v>0</v>
      </c>
      <c r="CG254" s="2389">
        <f t="shared" si="153"/>
        <v>0</v>
      </c>
    </row>
    <row r="255" spans="1:85" ht="16.2" customHeight="1" x14ac:dyDescent="0.25">
      <c r="A255" s="433" t="s">
        <v>1038</v>
      </c>
      <c r="B255" s="3839"/>
      <c r="C255" s="3854"/>
      <c r="D255" s="3857"/>
      <c r="E255" s="3839"/>
      <c r="F255" s="1299" t="str">
        <f>IFERROR(IF(ISBLANK(E254),"","Demand (" &amp; VLOOKUP($E254,PO_Enrgy_1_Table,MATCH($E$16,PO_Enrgy_1_Hdr,0),FALSE) &amp; ")"),"")</f>
        <v/>
      </c>
      <c r="G255" s="2790" t="str">
        <f>INDEX(PO_baseline_table,18, 10)</f>
        <v/>
      </c>
      <c r="H255" s="1783" t="str">
        <f t="shared" ca="1" si="137"/>
        <v/>
      </c>
      <c r="I255" s="1308" t="str">
        <f t="shared" ca="1" si="157"/>
        <v/>
      </c>
      <c r="J255" s="3850"/>
      <c r="K255" s="3851"/>
      <c r="L255" s="3851"/>
      <c r="M255" s="3853"/>
      <c r="R255" s="627" t="str">
        <f t="shared" si="138"/>
        <v/>
      </c>
      <c r="S255" s="627" t="str">
        <f t="shared" si="139"/>
        <v/>
      </c>
      <c r="T255" s="627" t="str">
        <f t="shared" si="158"/>
        <v/>
      </c>
      <c r="U255" s="627" t="str">
        <f t="shared" si="159"/>
        <v/>
      </c>
      <c r="V255" s="627"/>
      <c r="W255" s="627"/>
      <c r="X255" s="636">
        <f t="shared" ca="1" si="128"/>
        <v>0</v>
      </c>
      <c r="Y255" s="627">
        <f t="shared" si="129"/>
        <v>0</v>
      </c>
      <c r="Z255" s="627">
        <f t="shared" ca="1" si="130"/>
        <v>0</v>
      </c>
      <c r="AA255" s="627"/>
      <c r="AB255" s="627"/>
      <c r="AC255" s="627"/>
      <c r="AD255" s="627"/>
      <c r="AE255" s="627"/>
      <c r="AF255" s="627"/>
      <c r="AG255" s="627">
        <f t="shared" si="154"/>
        <v>0</v>
      </c>
      <c r="AH255" s="363"/>
      <c r="AI255" s="363"/>
      <c r="AJ255" s="627">
        <f t="shared" si="141"/>
        <v>0</v>
      </c>
      <c r="AK255" s="627"/>
      <c r="AL255" s="627" t="str">
        <f t="shared" si="131"/>
        <v/>
      </c>
      <c r="AM255" s="1783" t="str">
        <f t="shared" ca="1" si="132"/>
        <v/>
      </c>
      <c r="AP255" s="252"/>
      <c r="AR255" s="2486"/>
      <c r="AS255" s="2486"/>
      <c r="AT255" s="2486"/>
      <c r="AV255" s="2580"/>
      <c r="AW255" s="2486"/>
      <c r="AX255" s="2486"/>
      <c r="AY255" s="2486"/>
      <c r="BD255" s="2154"/>
      <c r="BG255" s="2832">
        <f t="shared" si="155"/>
        <v>0</v>
      </c>
      <c r="BH255" s="983">
        <f t="shared" si="160"/>
        <v>0</v>
      </c>
      <c r="BI255" s="983">
        <f t="shared" si="160"/>
        <v>0</v>
      </c>
      <c r="BJ255" s="983"/>
      <c r="BP255" s="2388" t="str">
        <f t="shared" si="142"/>
        <v/>
      </c>
      <c r="BQ255" s="1300" t="str">
        <f t="shared" si="143"/>
        <v>0</v>
      </c>
      <c r="BR255" s="2389">
        <f t="shared" si="144"/>
        <v>0</v>
      </c>
      <c r="BT255" s="2397" t="str">
        <f t="shared" si="134"/>
        <v/>
      </c>
      <c r="BU255" s="1300" t="str">
        <f t="shared" si="145"/>
        <v/>
      </c>
      <c r="BV255" s="1300" t="str">
        <f t="shared" si="146"/>
        <v>0</v>
      </c>
      <c r="BW255" s="2389">
        <f t="shared" si="147"/>
        <v>0</v>
      </c>
      <c r="BY255" s="2397" t="str">
        <f t="shared" si="135"/>
        <v/>
      </c>
      <c r="BZ255" s="1300" t="str">
        <f t="shared" si="148"/>
        <v/>
      </c>
      <c r="CA255" s="1300" t="str">
        <f t="shared" si="149"/>
        <v>0</v>
      </c>
      <c r="CB255" s="2389">
        <f t="shared" si="150"/>
        <v>0</v>
      </c>
      <c r="CD255" s="2388" t="str">
        <f t="shared" si="136"/>
        <v/>
      </c>
      <c r="CE255" s="1300" t="str">
        <f t="shared" si="151"/>
        <v/>
      </c>
      <c r="CF255" s="1300" t="str">
        <f t="shared" si="152"/>
        <v>0</v>
      </c>
      <c r="CG255" s="2389">
        <f t="shared" si="153"/>
        <v>0</v>
      </c>
    </row>
    <row r="256" spans="1:85" ht="16.2" customHeight="1" x14ac:dyDescent="0.25">
      <c r="A256" s="433" t="s">
        <v>1038</v>
      </c>
      <c r="B256" s="3839" t="str">
        <f>INDEX(PO_baseline_table,19, 1)</f>
        <v>Pumps</v>
      </c>
      <c r="C256" s="3854"/>
      <c r="D256" s="3856">
        <f>INDEX(PO_baseline_table,19, 3)</f>
        <v>0</v>
      </c>
      <c r="E256" s="3839" t="str">
        <f>INDEX(PO_baseline_table,19, 4)</f>
        <v>Electricity</v>
      </c>
      <c r="F256" s="1299" t="str">
        <f>IFERROR(IF(ISBLANK(E256),"","Consumption (" &amp; VLOOKUP($E256,PO_Enrgy_1_Table,MATCH($C$16,PO_Enrgy_1_Hdr,0),FALSE) &amp; ")"),"")</f>
        <v/>
      </c>
      <c r="G256" s="1782" t="str">
        <f>INDEX(PO_baseline_table,19, 10)</f>
        <v/>
      </c>
      <c r="H256" s="1783" t="str">
        <f t="shared" ca="1" si="137"/>
        <v/>
      </c>
      <c r="I256" s="1877" t="str">
        <f t="shared" ca="1" si="157"/>
        <v/>
      </c>
      <c r="J256" s="3849" t="str">
        <f ca="1">IFERROR(IF($E$457-$I$457&lt;0,"",($G256-$H256)*VLOOKUP($E256,PO_Enrgy_1_Table,MATCH($K$16,PO_Enrgy_1_Hdr,0),FALSE)/($E$457-$I$457)),"")</f>
        <v/>
      </c>
      <c r="K256" s="3851" t="str">
        <f ca="1">IFERROR(IF($G$457-$K$457&lt;0,"",($G256*VLOOKUP($E256,PO_Enrgy_8_Table,MATCH($E$310,PO_Enrgy_8_Hdr,0),FALSE)-($H256*VLOOKUP($E256,PO_Enrgy_8_Table,MATCH($H$310,PO_Enrgy_8_Hdr,0),FALSE)))/($G$457-$K$457)),"")</f>
        <v/>
      </c>
      <c r="L256" s="3851"/>
      <c r="M256" s="3852" t="str">
        <f ca="1">IFERROR((H256*R256)/$I$305,"")</f>
        <v/>
      </c>
      <c r="R256" s="627" t="str">
        <f t="shared" si="138"/>
        <v/>
      </c>
      <c r="S256" s="627" t="str">
        <f t="shared" si="139"/>
        <v/>
      </c>
      <c r="T256" s="627" t="str">
        <f t="shared" si="158"/>
        <v/>
      </c>
      <c r="U256" s="627" t="str">
        <f t="shared" si="159"/>
        <v/>
      </c>
      <c r="V256" s="627" t="str">
        <f>IF(G256="","",G256*R256)</f>
        <v/>
      </c>
      <c r="W256" s="627" t="str">
        <f ca="1">IF(H256="","",H256*R256)</f>
        <v/>
      </c>
      <c r="X256" s="636">
        <f t="shared" ca="1" si="128"/>
        <v>0</v>
      </c>
      <c r="Y256" s="627">
        <f t="shared" si="129"/>
        <v>0</v>
      </c>
      <c r="Z256" s="627">
        <f t="shared" ca="1" si="130"/>
        <v>0</v>
      </c>
      <c r="AA256" s="627" t="b">
        <f>IFERROR(IF(D256="x",IF(OR(G256/H256&gt;1.03,G256/H256&lt;0.97),TRUE,FALSE),FALSE),FALSE)</f>
        <v>0</v>
      </c>
      <c r="AB256" s="627">
        <f ca="1">IFERROR(J256*100,)</f>
        <v>0</v>
      </c>
      <c r="AC256" s="627"/>
      <c r="AD256" s="627">
        <f ca="1">RANK(AB256,$AB$238:$AB$293,0)</f>
        <v>1</v>
      </c>
      <c r="AE256" s="627">
        <f ca="1">AD256+COUNTIF($AD$238:$AD255,AD256)</f>
        <v>10</v>
      </c>
      <c r="AF256" s="627" t="str">
        <f>B256</f>
        <v>Pumps</v>
      </c>
      <c r="AG256" s="627">
        <f t="shared" si="154"/>
        <v>0</v>
      </c>
      <c r="AH256" s="363"/>
      <c r="AI256" s="363"/>
      <c r="AJ256" s="627">
        <f t="shared" si="141"/>
        <v>0</v>
      </c>
      <c r="AK256" s="627"/>
      <c r="AL256" s="627" t="str">
        <f t="shared" si="131"/>
        <v/>
      </c>
      <c r="AM256" s="1783" t="str">
        <f t="shared" ca="1" si="132"/>
        <v/>
      </c>
      <c r="AP256" s="252"/>
      <c r="AR256" s="2486"/>
      <c r="AS256" s="2486"/>
      <c r="AT256" s="2486"/>
      <c r="AV256" s="2580"/>
      <c r="AW256" s="2486"/>
      <c r="AX256" s="2486"/>
      <c r="AY256" s="2486"/>
      <c r="BD256" s="2154"/>
      <c r="BG256" s="2832" t="str">
        <f t="shared" si="155"/>
        <v>R</v>
      </c>
      <c r="BH256" s="983" t="str">
        <f t="shared" si="160"/>
        <v>Fans - Conditioned</v>
      </c>
      <c r="BI256" s="983" t="str">
        <f t="shared" si="160"/>
        <v>Electricity</v>
      </c>
      <c r="BJ256" s="983">
        <f>IF(BH256&lt;&gt;"",IFERROR(MATCH(BH256&amp;BI256,'Results from Trace'!$L$1:$L$21,0),""),"")</f>
        <v>13</v>
      </c>
      <c r="BP256" s="2388" t="str">
        <f t="shared" si="142"/>
        <v/>
      </c>
      <c r="BQ256" s="1300" t="str">
        <f t="shared" si="143"/>
        <v>0</v>
      </c>
      <c r="BR256" s="2389">
        <f t="shared" si="144"/>
        <v>0</v>
      </c>
      <c r="BT256" s="2397" t="str">
        <f t="shared" si="134"/>
        <v/>
      </c>
      <c r="BU256" s="1300" t="str">
        <f t="shared" si="145"/>
        <v/>
      </c>
      <c r="BV256" s="1300" t="str">
        <f t="shared" si="146"/>
        <v>0</v>
      </c>
      <c r="BW256" s="2389">
        <f t="shared" si="147"/>
        <v>0</v>
      </c>
      <c r="BY256" s="2397" t="str">
        <f t="shared" si="135"/>
        <v/>
      </c>
      <c r="BZ256" s="1300" t="str">
        <f t="shared" si="148"/>
        <v/>
      </c>
      <c r="CA256" s="1300" t="str">
        <f t="shared" si="149"/>
        <v>0</v>
      </c>
      <c r="CB256" s="2389">
        <f t="shared" si="150"/>
        <v>0</v>
      </c>
      <c r="CD256" s="2388" t="str">
        <f t="shared" si="136"/>
        <v/>
      </c>
      <c r="CE256" s="1300" t="str">
        <f t="shared" si="151"/>
        <v/>
      </c>
      <c r="CF256" s="1300" t="str">
        <f t="shared" si="152"/>
        <v>0</v>
      </c>
      <c r="CG256" s="2389">
        <f t="shared" si="153"/>
        <v>0</v>
      </c>
    </row>
    <row r="257" spans="1:85" ht="16.2" customHeight="1" x14ac:dyDescent="0.25">
      <c r="A257" s="433" t="s">
        <v>1038</v>
      </c>
      <c r="B257" s="3839"/>
      <c r="C257" s="3854"/>
      <c r="D257" s="3857"/>
      <c r="E257" s="3839"/>
      <c r="F257" s="1299" t="str">
        <f>IFERROR(IF(ISBLANK(E256),"","Demand (" &amp; VLOOKUP($E256,PO_Enrgy_1_Table,MATCH($E$16,PO_Enrgy_1_Hdr,0),FALSE) &amp; ")"),"")</f>
        <v/>
      </c>
      <c r="G257" s="2790" t="str">
        <f>INDEX(PO_baseline_table,20, 10)</f>
        <v/>
      </c>
      <c r="H257" s="1783" t="str">
        <f t="shared" ca="1" si="137"/>
        <v/>
      </c>
      <c r="I257" s="1308" t="str">
        <f t="shared" ca="1" si="157"/>
        <v/>
      </c>
      <c r="J257" s="3850"/>
      <c r="K257" s="3851"/>
      <c r="L257" s="3851"/>
      <c r="M257" s="3853"/>
      <c r="R257" s="627" t="str">
        <f t="shared" si="138"/>
        <v/>
      </c>
      <c r="S257" s="627" t="str">
        <f t="shared" si="139"/>
        <v/>
      </c>
      <c r="T257" s="627" t="str">
        <f t="shared" si="158"/>
        <v/>
      </c>
      <c r="U257" s="627" t="str">
        <f t="shared" si="159"/>
        <v/>
      </c>
      <c r="V257" s="627"/>
      <c r="W257" s="627"/>
      <c r="X257" s="636">
        <f t="shared" ca="1" si="128"/>
        <v>0</v>
      </c>
      <c r="Y257" s="627">
        <f t="shared" si="129"/>
        <v>0</v>
      </c>
      <c r="Z257" s="627">
        <f t="shared" ca="1" si="130"/>
        <v>0</v>
      </c>
      <c r="AA257" s="627"/>
      <c r="AB257" s="627"/>
      <c r="AC257" s="627"/>
      <c r="AD257" s="627"/>
      <c r="AE257" s="627"/>
      <c r="AF257" s="627"/>
      <c r="AG257" s="627">
        <f t="shared" si="154"/>
        <v>0</v>
      </c>
      <c r="AH257" s="363"/>
      <c r="AI257" s="363"/>
      <c r="AJ257" s="627">
        <f t="shared" si="141"/>
        <v>0</v>
      </c>
      <c r="AK257" s="627"/>
      <c r="AL257" s="627" t="str">
        <f t="shared" si="131"/>
        <v/>
      </c>
      <c r="AM257" s="1783" t="str">
        <f t="shared" ca="1" si="132"/>
        <v/>
      </c>
      <c r="AP257" s="252"/>
      <c r="AR257" s="2486"/>
      <c r="AS257" s="2486"/>
      <c r="AT257" s="2486"/>
      <c r="AV257" s="2580"/>
      <c r="AW257" s="2486"/>
      <c r="AX257" s="2486"/>
      <c r="AY257" s="2486"/>
      <c r="BD257" s="2154"/>
      <c r="BG257" s="2832" t="str">
        <f t="shared" si="155"/>
        <v>AE</v>
      </c>
      <c r="BH257" s="983">
        <f t="shared" si="160"/>
        <v>0</v>
      </c>
      <c r="BI257" s="983">
        <f t="shared" si="160"/>
        <v>0</v>
      </c>
      <c r="BJ257" s="983"/>
      <c r="BP257" s="2388" t="str">
        <f t="shared" si="142"/>
        <v/>
      </c>
      <c r="BQ257" s="1300" t="str">
        <f t="shared" si="143"/>
        <v>0</v>
      </c>
      <c r="BR257" s="2389">
        <f t="shared" si="144"/>
        <v>0</v>
      </c>
      <c r="BT257" s="2397" t="str">
        <f t="shared" si="134"/>
        <v/>
      </c>
      <c r="BU257" s="1300" t="str">
        <f t="shared" si="145"/>
        <v/>
      </c>
      <c r="BV257" s="1300" t="str">
        <f t="shared" si="146"/>
        <v>0</v>
      </c>
      <c r="BW257" s="2389">
        <f t="shared" si="147"/>
        <v>0</v>
      </c>
      <c r="BY257" s="2397" t="str">
        <f t="shared" si="135"/>
        <v/>
      </c>
      <c r="BZ257" s="1300" t="str">
        <f t="shared" si="148"/>
        <v/>
      </c>
      <c r="CA257" s="1300" t="str">
        <f t="shared" si="149"/>
        <v>0</v>
      </c>
      <c r="CB257" s="2389">
        <f t="shared" si="150"/>
        <v>0</v>
      </c>
      <c r="CD257" s="2388" t="str">
        <f t="shared" si="136"/>
        <v/>
      </c>
      <c r="CE257" s="1300" t="str">
        <f t="shared" si="151"/>
        <v/>
      </c>
      <c r="CF257" s="1300" t="str">
        <f t="shared" si="152"/>
        <v>0</v>
      </c>
      <c r="CG257" s="2389">
        <f t="shared" si="153"/>
        <v>0</v>
      </c>
    </row>
    <row r="258" spans="1:85" ht="16.2" customHeight="1" x14ac:dyDescent="0.25">
      <c r="A258" s="433" t="s">
        <v>1038</v>
      </c>
      <c r="B258" s="3839" t="str">
        <f>INDEX(PO_baseline_table,21, 1)</f>
        <v>Heat rejection</v>
      </c>
      <c r="C258" s="3854"/>
      <c r="D258" s="3856">
        <f>INDEX(PO_baseline_table,21, 3)</f>
        <v>0</v>
      </c>
      <c r="E258" s="3839" t="str">
        <f>INDEX(PO_baseline_table,21, 4)</f>
        <v>Electricity</v>
      </c>
      <c r="F258" s="1299" t="str">
        <f>IFERROR(IF(ISBLANK(E258),"","Consumption (" &amp; VLOOKUP($E258,PO_Enrgy_1_Table,MATCH($C$16,PO_Enrgy_1_Hdr,0),FALSE) &amp; ")"),"")</f>
        <v/>
      </c>
      <c r="G258" s="1782" t="str">
        <f>INDEX(PO_baseline_table,21, 10)</f>
        <v/>
      </c>
      <c r="H258" s="1783" t="str">
        <f t="shared" ca="1" si="137"/>
        <v/>
      </c>
      <c r="I258" s="1877" t="str">
        <f t="shared" ca="1" si="157"/>
        <v/>
      </c>
      <c r="J258" s="3849" t="str">
        <f ca="1">IFERROR(IF($E$457-$I$457&lt;0,"",($G258-$H258)*VLOOKUP($E258,PO_Enrgy_1_Table,MATCH($K$16,PO_Enrgy_1_Hdr,0),FALSE)/($E$457-$I$457)),"")</f>
        <v/>
      </c>
      <c r="K258" s="3851" t="str">
        <f ca="1">IFERROR(IF($G$457-$K$457&lt;0,"",($G258*VLOOKUP($E258,PO_Enrgy_8_Table,MATCH($E$310,PO_Enrgy_8_Hdr,0),FALSE)-($H258*VLOOKUP($E258,PO_Enrgy_8_Table,MATCH($H$310,PO_Enrgy_8_Hdr,0),FALSE)))/($G$457-$K$457)),"")</f>
        <v/>
      </c>
      <c r="L258" s="3851"/>
      <c r="M258" s="3852" t="str">
        <f ca="1">IFERROR((H258*R258)/$I$305,"")</f>
        <v/>
      </c>
      <c r="R258" s="627" t="str">
        <f t="shared" si="138"/>
        <v/>
      </c>
      <c r="S258" s="627" t="str">
        <f t="shared" si="139"/>
        <v/>
      </c>
      <c r="T258" s="627" t="str">
        <f t="shared" si="158"/>
        <v/>
      </c>
      <c r="U258" s="627" t="str">
        <f t="shared" si="159"/>
        <v/>
      </c>
      <c r="V258" s="627" t="str">
        <f>IF(G258="","",G258*R258)</f>
        <v/>
      </c>
      <c r="W258" s="627" t="str">
        <f ca="1">IF(H258="","",H258*R258)</f>
        <v/>
      </c>
      <c r="X258" s="636">
        <f t="shared" ca="1" si="128"/>
        <v>0</v>
      </c>
      <c r="Y258" s="627">
        <f t="shared" si="129"/>
        <v>0</v>
      </c>
      <c r="Z258" s="627">
        <f t="shared" ca="1" si="130"/>
        <v>0</v>
      </c>
      <c r="AA258" s="627" t="b">
        <f>IFERROR(IF(D258="x",IF(OR(G258/H258&gt;1.03,G258/H258&lt;0.97),TRUE,FALSE),FALSE),FALSE)</f>
        <v>0</v>
      </c>
      <c r="AB258" s="627">
        <f ca="1">IFERROR(J258*100,)</f>
        <v>0</v>
      </c>
      <c r="AC258" s="627"/>
      <c r="AD258" s="627">
        <f ca="1">RANK(AB258,$AB$238:$AB$293,0)</f>
        <v>1</v>
      </c>
      <c r="AE258" s="627">
        <f ca="1">AD258+COUNTIF($AD$238:$AD257,AD258)</f>
        <v>11</v>
      </c>
      <c r="AF258" s="627" t="str">
        <f>B258</f>
        <v>Heat rejection</v>
      </c>
      <c r="AG258" s="627">
        <f t="shared" si="154"/>
        <v>0</v>
      </c>
      <c r="AH258" s="363"/>
      <c r="AI258" s="363"/>
      <c r="AJ258" s="627">
        <f t="shared" si="141"/>
        <v>0</v>
      </c>
      <c r="AK258" s="627"/>
      <c r="AL258" s="627" t="str">
        <f t="shared" si="131"/>
        <v/>
      </c>
      <c r="AM258" s="1783" t="str">
        <f t="shared" ca="1" si="132"/>
        <v/>
      </c>
      <c r="AP258" s="252"/>
      <c r="AR258" s="2486"/>
      <c r="AS258" s="2486"/>
      <c r="AT258" s="2486"/>
      <c r="AV258" s="2580"/>
      <c r="AW258" s="2486"/>
      <c r="AX258" s="2486"/>
      <c r="AY258" s="2486"/>
      <c r="BD258" s="2154"/>
      <c r="BG258" s="2832" t="str">
        <f t="shared" si="155"/>
        <v>Q</v>
      </c>
      <c r="BH258" s="983">
        <f t="shared" si="160"/>
        <v>0</v>
      </c>
      <c r="BI258" s="983">
        <f t="shared" si="160"/>
        <v>0</v>
      </c>
      <c r="BJ258" s="983" t="str">
        <f>IF(BH258&lt;&gt;"",IFERROR(MATCH(BH258&amp;BI258,'Results from Trace'!$L$1:$L$21,0),""),"")</f>
        <v/>
      </c>
      <c r="BP258" s="2388" t="str">
        <f t="shared" si="142"/>
        <v/>
      </c>
      <c r="BQ258" s="1300" t="str">
        <f t="shared" si="143"/>
        <v>0</v>
      </c>
      <c r="BR258" s="2389">
        <f t="shared" si="144"/>
        <v>0</v>
      </c>
      <c r="BT258" s="2397" t="str">
        <f t="shared" si="134"/>
        <v/>
      </c>
      <c r="BU258" s="1300" t="str">
        <f t="shared" si="145"/>
        <v/>
      </c>
      <c r="BV258" s="1300" t="str">
        <f t="shared" si="146"/>
        <v>0</v>
      </c>
      <c r="BW258" s="2389">
        <f t="shared" si="147"/>
        <v>0</v>
      </c>
      <c r="BY258" s="2397" t="str">
        <f t="shared" si="135"/>
        <v/>
      </c>
      <c r="BZ258" s="1300" t="str">
        <f t="shared" si="148"/>
        <v/>
      </c>
      <c r="CA258" s="1300" t="str">
        <f t="shared" si="149"/>
        <v>0</v>
      </c>
      <c r="CB258" s="2389">
        <f t="shared" si="150"/>
        <v>0</v>
      </c>
      <c r="CD258" s="2388" t="str">
        <f t="shared" si="136"/>
        <v/>
      </c>
      <c r="CE258" s="1300" t="str">
        <f t="shared" si="151"/>
        <v/>
      </c>
      <c r="CF258" s="1300" t="str">
        <f t="shared" si="152"/>
        <v>0</v>
      </c>
      <c r="CG258" s="2389">
        <f t="shared" si="153"/>
        <v>0</v>
      </c>
    </row>
    <row r="259" spans="1:85" ht="16.2" customHeight="1" x14ac:dyDescent="0.25">
      <c r="A259" s="433" t="s">
        <v>1038</v>
      </c>
      <c r="B259" s="3839"/>
      <c r="C259" s="3854"/>
      <c r="D259" s="3857"/>
      <c r="E259" s="3839"/>
      <c r="F259" s="1299" t="str">
        <f>IFERROR(IF(ISBLANK(E258),"","Demand (" &amp; VLOOKUP($E258,PO_Enrgy_1_Table,MATCH($E$16,PO_Enrgy_1_Hdr,0),FALSE) &amp; ")"),"")</f>
        <v/>
      </c>
      <c r="G259" s="2790" t="str">
        <f>INDEX(PO_baseline_table,22, 10)</f>
        <v/>
      </c>
      <c r="H259" s="1783" t="str">
        <f t="shared" ca="1" si="137"/>
        <v/>
      </c>
      <c r="I259" s="1308" t="str">
        <f t="shared" ca="1" si="157"/>
        <v/>
      </c>
      <c r="J259" s="3850"/>
      <c r="K259" s="3851"/>
      <c r="L259" s="3851"/>
      <c r="M259" s="3853"/>
      <c r="R259" s="627" t="str">
        <f t="shared" si="138"/>
        <v/>
      </c>
      <c r="S259" s="627" t="str">
        <f t="shared" si="139"/>
        <v/>
      </c>
      <c r="T259" s="627" t="str">
        <f t="shared" si="158"/>
        <v/>
      </c>
      <c r="U259" s="627" t="str">
        <f t="shared" si="159"/>
        <v/>
      </c>
      <c r="V259" s="627"/>
      <c r="W259" s="627"/>
      <c r="X259" s="636">
        <f t="shared" ca="1" si="128"/>
        <v>0</v>
      </c>
      <c r="Y259" s="627">
        <f t="shared" si="129"/>
        <v>0</v>
      </c>
      <c r="Z259" s="627">
        <f t="shared" ca="1" si="130"/>
        <v>0</v>
      </c>
      <c r="AA259" s="627"/>
      <c r="AB259" s="627"/>
      <c r="AC259" s="627"/>
      <c r="AD259" s="627"/>
      <c r="AE259" s="627"/>
      <c r="AF259" s="627"/>
      <c r="AG259" s="627">
        <f t="shared" si="154"/>
        <v>0</v>
      </c>
      <c r="AH259" s="363"/>
      <c r="AI259" s="363"/>
      <c r="AJ259" s="627">
        <f t="shared" si="141"/>
        <v>0</v>
      </c>
      <c r="AK259" s="627"/>
      <c r="AL259" s="627" t="str">
        <f t="shared" si="131"/>
        <v/>
      </c>
      <c r="AM259" s="1783" t="str">
        <f t="shared" ca="1" si="132"/>
        <v/>
      </c>
      <c r="AP259" s="252"/>
      <c r="AR259" s="2486"/>
      <c r="AS259" s="2486"/>
      <c r="AT259" s="2486"/>
      <c r="AV259" s="2580"/>
      <c r="AW259" s="2486"/>
      <c r="AX259" s="2486"/>
      <c r="AY259" s="2486"/>
      <c r="BD259" s="2154"/>
      <c r="BG259" s="2832" t="str">
        <f t="shared" si="155"/>
        <v>AD</v>
      </c>
      <c r="BH259" s="983">
        <f t="shared" si="160"/>
        <v>0</v>
      </c>
      <c r="BI259" s="983">
        <f t="shared" si="160"/>
        <v>0</v>
      </c>
      <c r="BJ259" s="983"/>
      <c r="BP259" s="2388" t="str">
        <f t="shared" si="142"/>
        <v/>
      </c>
      <c r="BQ259" s="1300" t="str">
        <f t="shared" si="143"/>
        <v>0</v>
      </c>
      <c r="BR259" s="2389">
        <f t="shared" si="144"/>
        <v>0</v>
      </c>
      <c r="BT259" s="2397" t="str">
        <f t="shared" si="134"/>
        <v/>
      </c>
      <c r="BU259" s="1300" t="str">
        <f t="shared" si="145"/>
        <v/>
      </c>
      <c r="BV259" s="1300" t="str">
        <f t="shared" si="146"/>
        <v>0</v>
      </c>
      <c r="BW259" s="2389">
        <f t="shared" si="147"/>
        <v>0</v>
      </c>
      <c r="BY259" s="2397" t="str">
        <f t="shared" si="135"/>
        <v/>
      </c>
      <c r="BZ259" s="1300" t="str">
        <f t="shared" si="148"/>
        <v/>
      </c>
      <c r="CA259" s="1300" t="str">
        <f t="shared" si="149"/>
        <v>0</v>
      </c>
      <c r="CB259" s="2389">
        <f t="shared" si="150"/>
        <v>0</v>
      </c>
      <c r="CD259" s="2388" t="str">
        <f t="shared" si="136"/>
        <v/>
      </c>
      <c r="CE259" s="1300" t="str">
        <f t="shared" si="151"/>
        <v/>
      </c>
      <c r="CF259" s="1300" t="str">
        <f t="shared" si="152"/>
        <v>0</v>
      </c>
      <c r="CG259" s="2389">
        <f t="shared" si="153"/>
        <v>0</v>
      </c>
    </row>
    <row r="260" spans="1:85" ht="16.2" customHeight="1" x14ac:dyDescent="0.25">
      <c r="A260" s="433" t="s">
        <v>1038</v>
      </c>
      <c r="B260" s="3839" t="str">
        <f>INDEX(PO_baseline_table,23, 1)</f>
        <v>Fans - interior ventilation</v>
      </c>
      <c r="C260" s="3854"/>
      <c r="D260" s="3856">
        <f>INDEX(PO_baseline_table,23, 3)</f>
        <v>0</v>
      </c>
      <c r="E260" s="3839" t="str">
        <f>INDEX(PO_baseline_table,23, 4)</f>
        <v>Electricity</v>
      </c>
      <c r="F260" s="1299" t="str">
        <f>IFERROR(IF(ISBLANK(E260),"","Consumption (" &amp; VLOOKUP($E260,PO_Enrgy_1_Table,MATCH($C$16,PO_Enrgy_1_Hdr,0),FALSE) &amp; ")"),"")</f>
        <v/>
      </c>
      <c r="G260" s="1782" t="str">
        <f>INDEX(PO_baseline_table,23, 10)</f>
        <v/>
      </c>
      <c r="H260" s="1783" t="str">
        <f t="shared" ca="1" si="137"/>
        <v/>
      </c>
      <c r="I260" s="1877" t="str">
        <f t="shared" ca="1" si="157"/>
        <v/>
      </c>
      <c r="J260" s="3849" t="str">
        <f ca="1">IFERROR(IF($E$457-$I$457&lt;0,"",($G260-$H260)*VLOOKUP($E260,PO_Enrgy_1_Table,MATCH($K$16,PO_Enrgy_1_Hdr,0),FALSE)/($E$457-$I$457)),"")</f>
        <v/>
      </c>
      <c r="K260" s="3851" t="str">
        <f ca="1">IFERROR(IF($G$457-$K$457&lt;0,"",($G260*VLOOKUP($E260,PO_Enrgy_8_Table,MATCH($E$310,PO_Enrgy_8_Hdr,0),FALSE)-($H260*VLOOKUP($E260,PO_Enrgy_8_Table,MATCH($H$310,PO_Enrgy_8_Hdr,0),FALSE)))/($G$457-$K$457)),"")</f>
        <v/>
      </c>
      <c r="L260" s="3851"/>
      <c r="M260" s="3852" t="str">
        <f ca="1">IFERROR((H260*R260)/$I$305,"")</f>
        <v/>
      </c>
      <c r="R260" s="627" t="str">
        <f t="shared" si="138"/>
        <v/>
      </c>
      <c r="S260" s="627" t="str">
        <f t="shared" si="139"/>
        <v/>
      </c>
      <c r="T260" s="627" t="str">
        <f t="shared" si="158"/>
        <v/>
      </c>
      <c r="U260" s="627" t="str">
        <f t="shared" si="159"/>
        <v/>
      </c>
      <c r="V260" s="627" t="str">
        <f>IF(G260="","",G260*R260)</f>
        <v/>
      </c>
      <c r="W260" s="627" t="str">
        <f ca="1">IF(H260="","",H260*R260)</f>
        <v/>
      </c>
      <c r="X260" s="636">
        <f t="shared" ca="1" si="128"/>
        <v>0</v>
      </c>
      <c r="Y260" s="627">
        <f t="shared" si="129"/>
        <v>0</v>
      </c>
      <c r="Z260" s="627">
        <f t="shared" ca="1" si="130"/>
        <v>0</v>
      </c>
      <c r="AA260" s="627" t="b">
        <f>IFERROR(IF(D260="x",IF(OR(G260/H260&gt;1.03,G260/H260&lt;0.97),TRUE,FALSE),FALSE),FALSE)</f>
        <v>0</v>
      </c>
      <c r="AB260" s="627">
        <f ca="1">IFERROR(J260*100,)</f>
        <v>0</v>
      </c>
      <c r="AC260" s="627"/>
      <c r="AD260" s="627">
        <f ca="1">RANK(AB260,$AB$238:$AB$293,0)</f>
        <v>1</v>
      </c>
      <c r="AE260" s="627">
        <f ca="1">AD260+COUNTIF($AD$238:$AD259,AD260)</f>
        <v>12</v>
      </c>
      <c r="AF260" s="627" t="str">
        <f>B260</f>
        <v>Fans - interior ventilation</v>
      </c>
      <c r="AG260" s="627">
        <f t="shared" si="154"/>
        <v>0</v>
      </c>
      <c r="AH260" s="363"/>
      <c r="AI260" s="363"/>
      <c r="AJ260" s="627">
        <f t="shared" si="141"/>
        <v>0</v>
      </c>
      <c r="AK260" s="627"/>
      <c r="AL260" s="627" t="str">
        <f t="shared" si="131"/>
        <v/>
      </c>
      <c r="AM260" s="1783" t="str">
        <f t="shared" ca="1" si="132"/>
        <v/>
      </c>
      <c r="AP260" s="252"/>
      <c r="AR260" s="2486"/>
      <c r="AS260" s="2486"/>
      <c r="AT260" s="2486"/>
      <c r="AV260" s="2580"/>
      <c r="AW260" s="2486"/>
      <c r="AX260" s="2486"/>
      <c r="AY260" s="2486"/>
      <c r="BD260" s="2154"/>
      <c r="BG260" s="2832" t="str">
        <f t="shared" si="155"/>
        <v>S</v>
      </c>
      <c r="BH260" s="983" t="str">
        <f>BL174</f>
        <v>Stand-alone Base Utilities</v>
      </c>
      <c r="BI260" s="983" t="str">
        <f>BM174</f>
        <v>Gas</v>
      </c>
      <c r="BJ260" s="983">
        <f>IF(BH260&lt;&gt;"",IFERROR(MATCH(BH260&amp;BI260,'Results from Trace'!$L$1:$L$21,0),""),"")</f>
        <v>16</v>
      </c>
      <c r="BP260" s="2388" t="str">
        <f t="shared" si="142"/>
        <v/>
      </c>
      <c r="BQ260" s="1300" t="str">
        <f t="shared" si="143"/>
        <v>0</v>
      </c>
      <c r="BR260" s="2389">
        <f t="shared" si="144"/>
        <v>0</v>
      </c>
      <c r="BT260" s="2397" t="str">
        <f t="shared" si="134"/>
        <v/>
      </c>
      <c r="BU260" s="1300" t="str">
        <f t="shared" si="145"/>
        <v/>
      </c>
      <c r="BV260" s="1300" t="str">
        <f t="shared" si="146"/>
        <v>0</v>
      </c>
      <c r="BW260" s="2389">
        <f t="shared" si="147"/>
        <v>0</v>
      </c>
      <c r="BY260" s="2397" t="str">
        <f t="shared" si="135"/>
        <v/>
      </c>
      <c r="BZ260" s="1300" t="str">
        <f t="shared" si="148"/>
        <v/>
      </c>
      <c r="CA260" s="1300" t="str">
        <f t="shared" si="149"/>
        <v>0</v>
      </c>
      <c r="CB260" s="2389">
        <f t="shared" si="150"/>
        <v>0</v>
      </c>
      <c r="CD260" s="2388" t="str">
        <f t="shared" si="136"/>
        <v/>
      </c>
      <c r="CE260" s="1300" t="str">
        <f t="shared" si="151"/>
        <v/>
      </c>
      <c r="CF260" s="1300" t="str">
        <f t="shared" si="152"/>
        <v>0</v>
      </c>
      <c r="CG260" s="2389">
        <f t="shared" si="153"/>
        <v>0</v>
      </c>
    </row>
    <row r="261" spans="1:85" ht="16.2" customHeight="1" x14ac:dyDescent="0.25">
      <c r="A261" s="433" t="s">
        <v>1038</v>
      </c>
      <c r="B261" s="3839"/>
      <c r="C261" s="3854"/>
      <c r="D261" s="3857"/>
      <c r="E261" s="3839"/>
      <c r="F261" s="1299" t="str">
        <f>IFERROR(IF(ISBLANK(E260),"","Demand (" &amp; VLOOKUP($E260,PO_Enrgy_1_Table,MATCH($E$16,PO_Enrgy_1_Hdr,0),FALSE) &amp; ")"),"")</f>
        <v/>
      </c>
      <c r="G261" s="2790" t="str">
        <f>INDEX(PO_baseline_table,24, 10)</f>
        <v/>
      </c>
      <c r="H261" s="1783" t="str">
        <f t="shared" ca="1" si="137"/>
        <v/>
      </c>
      <c r="I261" s="1308" t="str">
        <f t="shared" ca="1" si="157"/>
        <v/>
      </c>
      <c r="J261" s="3850"/>
      <c r="K261" s="3851"/>
      <c r="L261" s="3851"/>
      <c r="M261" s="3853"/>
      <c r="R261" s="627" t="str">
        <f t="shared" si="138"/>
        <v/>
      </c>
      <c r="S261" s="627" t="str">
        <f t="shared" si="139"/>
        <v/>
      </c>
      <c r="T261" s="627" t="str">
        <f t="shared" si="158"/>
        <v/>
      </c>
      <c r="U261" s="627" t="str">
        <f t="shared" si="159"/>
        <v/>
      </c>
      <c r="V261" s="627"/>
      <c r="W261" s="627"/>
      <c r="X261" s="636">
        <f t="shared" ca="1" si="128"/>
        <v>0</v>
      </c>
      <c r="Y261" s="627">
        <f t="shared" si="129"/>
        <v>0</v>
      </c>
      <c r="Z261" s="627">
        <f t="shared" ca="1" si="130"/>
        <v>0</v>
      </c>
      <c r="AA261" s="627"/>
      <c r="AB261" s="627"/>
      <c r="AC261" s="627"/>
      <c r="AD261" s="627"/>
      <c r="AE261" s="627"/>
      <c r="AF261" s="627"/>
      <c r="AG261" s="627">
        <f t="shared" si="154"/>
        <v>0</v>
      </c>
      <c r="AH261" s="363"/>
      <c r="AI261" s="363"/>
      <c r="AJ261" s="627">
        <f t="shared" si="141"/>
        <v>0</v>
      </c>
      <c r="AK261" s="627"/>
      <c r="AL261" s="627" t="str">
        <f t="shared" si="131"/>
        <v/>
      </c>
      <c r="AM261" s="1783" t="str">
        <f t="shared" ca="1" si="132"/>
        <v/>
      </c>
      <c r="AP261" s="252"/>
      <c r="AR261" s="2486"/>
      <c r="AS261" s="2486"/>
      <c r="AT261" s="2486"/>
      <c r="AV261" s="2580"/>
      <c r="AW261" s="2486"/>
      <c r="AX261" s="2486"/>
      <c r="AY261" s="2486"/>
      <c r="BD261" s="2154"/>
      <c r="BG261" s="2832" t="str">
        <f t="shared" si="155"/>
        <v>AF</v>
      </c>
      <c r="BH261" s="983">
        <f>BL175</f>
        <v>0</v>
      </c>
      <c r="BI261" s="983">
        <f>BM175</f>
        <v>0</v>
      </c>
      <c r="BJ261" s="983"/>
      <c r="BP261" s="2388" t="str">
        <f t="shared" si="142"/>
        <v/>
      </c>
      <c r="BQ261" s="1300" t="str">
        <f t="shared" si="143"/>
        <v>0</v>
      </c>
      <c r="BR261" s="2389">
        <f t="shared" si="144"/>
        <v>0</v>
      </c>
      <c r="BT261" s="2397" t="str">
        <f t="shared" si="134"/>
        <v/>
      </c>
      <c r="BU261" s="1300" t="str">
        <f t="shared" si="145"/>
        <v/>
      </c>
      <c r="BV261" s="1300" t="str">
        <f t="shared" si="146"/>
        <v>0</v>
      </c>
      <c r="BW261" s="2389">
        <f t="shared" si="147"/>
        <v>0</v>
      </c>
      <c r="BY261" s="2397" t="str">
        <f t="shared" si="135"/>
        <v/>
      </c>
      <c r="BZ261" s="1300" t="str">
        <f t="shared" si="148"/>
        <v/>
      </c>
      <c r="CA261" s="1300" t="str">
        <f t="shared" si="149"/>
        <v>0</v>
      </c>
      <c r="CB261" s="2389">
        <f t="shared" si="150"/>
        <v>0</v>
      </c>
      <c r="CD261" s="2388" t="str">
        <f t="shared" si="136"/>
        <v/>
      </c>
      <c r="CE261" s="1300" t="str">
        <f t="shared" si="151"/>
        <v/>
      </c>
      <c r="CF261" s="1300" t="str">
        <f t="shared" si="152"/>
        <v>0</v>
      </c>
      <c r="CG261" s="2389">
        <f t="shared" si="153"/>
        <v>0</v>
      </c>
    </row>
    <row r="262" spans="1:85" ht="16.2" customHeight="1" x14ac:dyDescent="0.25">
      <c r="A262" s="433" t="s">
        <v>1038</v>
      </c>
      <c r="B262" s="3839" t="str">
        <f>INDEX(PO_baseline_table,25, 1)</f>
        <v>Fans - parking garage</v>
      </c>
      <c r="C262" s="3854"/>
      <c r="D262" s="3856">
        <f>INDEX(PO_baseline_table,25, 3)</f>
        <v>0</v>
      </c>
      <c r="E262" s="3839" t="str">
        <f>INDEX(PO_baseline_table,25, 4)</f>
        <v>Electricity</v>
      </c>
      <c r="F262" s="1299" t="str">
        <f>IFERROR(IF(ISBLANK(E262),"","Consumption (" &amp; VLOOKUP($E262,PO_Enrgy_1_Table,MATCH($C$16,PO_Enrgy_1_Hdr,0),FALSE) &amp; ")"),"")</f>
        <v/>
      </c>
      <c r="G262" s="1782" t="str">
        <f>INDEX(PO_baseline_table,25, 10)</f>
        <v/>
      </c>
      <c r="H262" s="1783" t="str">
        <f t="shared" ca="1" si="137"/>
        <v/>
      </c>
      <c r="I262" s="1877" t="str">
        <f t="shared" ca="1" si="157"/>
        <v/>
      </c>
      <c r="J262" s="3849" t="str">
        <f ca="1">IFERROR(IF($E$457-$I$457&lt;0,"",($G262-$H262)*VLOOKUP($E262,PO_Enrgy_1_Table,MATCH($K$16,PO_Enrgy_1_Hdr,0),FALSE)/($E$457-$I$457)),"")</f>
        <v/>
      </c>
      <c r="K262" s="3851" t="str">
        <f ca="1">IFERROR(IF($G$457-$K$457&lt;0,"",($G262*VLOOKUP($E262,PO_Enrgy_8_Table,MATCH($E$310,PO_Enrgy_8_Hdr,0),FALSE)-($H262*VLOOKUP($E262,PO_Enrgy_8_Table,MATCH($H$310,PO_Enrgy_8_Hdr,0),FALSE)))/($G$457-$K$457)),"")</f>
        <v/>
      </c>
      <c r="L262" s="3851"/>
      <c r="M262" s="3852" t="str">
        <f ca="1">IFERROR((H262*R262)/$I$305,"")</f>
        <v/>
      </c>
      <c r="R262" s="627" t="str">
        <f t="shared" si="138"/>
        <v/>
      </c>
      <c r="S262" s="627" t="str">
        <f t="shared" si="139"/>
        <v/>
      </c>
      <c r="T262" s="627" t="str">
        <f t="shared" si="158"/>
        <v/>
      </c>
      <c r="U262" s="627" t="str">
        <f t="shared" si="159"/>
        <v/>
      </c>
      <c r="V262" s="627" t="str">
        <f>IF(G262="","",G262*R262)</f>
        <v/>
      </c>
      <c r="W262" s="627" t="str">
        <f ca="1">IF(H262="","",H262*R262)</f>
        <v/>
      </c>
      <c r="X262" s="636">
        <f t="shared" ca="1" si="128"/>
        <v>0</v>
      </c>
      <c r="Y262" s="627">
        <f t="shared" si="129"/>
        <v>0</v>
      </c>
      <c r="Z262" s="627">
        <f t="shared" ca="1" si="130"/>
        <v>0</v>
      </c>
      <c r="AA262" s="627" t="b">
        <f>IFERROR(IF(D262="x",IF(OR(G262/H262&gt;1.03,G262/H262&lt;0.97),TRUE,FALSE),FALSE),FALSE)</f>
        <v>0</v>
      </c>
      <c r="AB262" s="627">
        <f ca="1">IFERROR(J262*100,)</f>
        <v>0</v>
      </c>
      <c r="AC262" s="627"/>
      <c r="AD262" s="627">
        <f ca="1">RANK(AB262,$AB$238:$AB$293,0)</f>
        <v>1</v>
      </c>
      <c r="AE262" s="627">
        <f ca="1">AD262+COUNTIF($AD$238:$AD261,AD262)</f>
        <v>13</v>
      </c>
      <c r="AF262" s="627" t="str">
        <f>B262</f>
        <v>Fans - parking garage</v>
      </c>
      <c r="AG262" s="627">
        <f t="shared" si="154"/>
        <v>0</v>
      </c>
      <c r="AH262" s="363"/>
      <c r="AI262" s="363"/>
      <c r="AJ262" s="627">
        <f t="shared" si="141"/>
        <v>0</v>
      </c>
      <c r="AK262" s="627">
        <v>1</v>
      </c>
      <c r="AL262" s="627" t="str">
        <f t="shared" si="131"/>
        <v/>
      </c>
      <c r="AM262" s="1783" t="str">
        <f t="shared" ca="1" si="132"/>
        <v/>
      </c>
      <c r="AP262" s="252"/>
      <c r="AR262" s="2486"/>
      <c r="AS262" s="2486"/>
      <c r="AT262" s="2486"/>
      <c r="AV262" s="2580"/>
      <c r="AW262" s="2486"/>
      <c r="AX262" s="2486"/>
      <c r="AY262" s="2486"/>
      <c r="BD262" s="2154"/>
      <c r="BG262" s="2832">
        <f t="shared" si="155"/>
        <v>0</v>
      </c>
      <c r="BH262" s="983" t="str">
        <f>BL178</f>
        <v>Receptacles - Conditioned</v>
      </c>
      <c r="BI262" s="983" t="str">
        <f>BM178</f>
        <v>Electricity</v>
      </c>
      <c r="BJ262" s="983">
        <f>IF(BH262&lt;&gt;"",IFERROR(MATCH(BH262&amp;BI262,'Results from Trace'!$L$1:$L$21,0),""),"")</f>
        <v>14</v>
      </c>
      <c r="BP262" s="2388" t="str">
        <f t="shared" si="142"/>
        <v/>
      </c>
      <c r="BQ262" s="1300" t="str">
        <f t="shared" si="143"/>
        <v>0</v>
      </c>
      <c r="BR262" s="2389">
        <f t="shared" si="144"/>
        <v>0</v>
      </c>
      <c r="BT262" s="2397" t="str">
        <f t="shared" si="134"/>
        <v/>
      </c>
      <c r="BU262" s="1300" t="str">
        <f t="shared" si="145"/>
        <v/>
      </c>
      <c r="BV262" s="1300" t="str">
        <f t="shared" si="146"/>
        <v>0</v>
      </c>
      <c r="BW262" s="2389">
        <f t="shared" si="147"/>
        <v>0</v>
      </c>
      <c r="BY262" s="2397" t="str">
        <f t="shared" si="135"/>
        <v/>
      </c>
      <c r="BZ262" s="1300" t="str">
        <f t="shared" si="148"/>
        <v/>
      </c>
      <c r="CA262" s="1300" t="str">
        <f t="shared" si="149"/>
        <v>0</v>
      </c>
      <c r="CB262" s="2389">
        <f t="shared" si="150"/>
        <v>0</v>
      </c>
      <c r="CD262" s="2388" t="str">
        <f t="shared" si="136"/>
        <v/>
      </c>
      <c r="CE262" s="1300" t="str">
        <f t="shared" si="151"/>
        <v/>
      </c>
      <c r="CF262" s="1300" t="str">
        <f t="shared" si="152"/>
        <v>0</v>
      </c>
      <c r="CG262" s="2389">
        <f t="shared" si="153"/>
        <v>0</v>
      </c>
    </row>
    <row r="263" spans="1:85" ht="16.2" customHeight="1" x14ac:dyDescent="0.25">
      <c r="A263" s="433" t="s">
        <v>1038</v>
      </c>
      <c r="B263" s="3839"/>
      <c r="C263" s="3854"/>
      <c r="D263" s="3857"/>
      <c r="E263" s="3839"/>
      <c r="F263" s="1299" t="str">
        <f>IFERROR(IF(ISBLANK(E262),"","Demand (" &amp; VLOOKUP($E262,PO_Enrgy_1_Table,MATCH($E$16,PO_Enrgy_1_Hdr,0),FALSE) &amp; ")"),"")</f>
        <v/>
      </c>
      <c r="G263" s="2790" t="str">
        <f>INDEX(PO_baseline_table,26, 10)</f>
        <v/>
      </c>
      <c r="H263" s="1783" t="str">
        <f t="shared" ca="1" si="137"/>
        <v/>
      </c>
      <c r="I263" s="1308" t="str">
        <f t="shared" ca="1" si="157"/>
        <v/>
      </c>
      <c r="J263" s="3850"/>
      <c r="K263" s="3851"/>
      <c r="L263" s="3851"/>
      <c r="M263" s="3853"/>
      <c r="R263" s="627" t="str">
        <f t="shared" si="138"/>
        <v/>
      </c>
      <c r="S263" s="627" t="str">
        <f t="shared" si="139"/>
        <v/>
      </c>
      <c r="T263" s="627" t="str">
        <f t="shared" si="158"/>
        <v/>
      </c>
      <c r="U263" s="627" t="str">
        <f t="shared" si="159"/>
        <v/>
      </c>
      <c r="V263" s="627"/>
      <c r="W263" s="627"/>
      <c r="X263" s="636">
        <f t="shared" ca="1" si="128"/>
        <v>0</v>
      </c>
      <c r="Y263" s="627">
        <f t="shared" si="129"/>
        <v>0</v>
      </c>
      <c r="Z263" s="627">
        <f t="shared" ca="1" si="130"/>
        <v>0</v>
      </c>
      <c r="AA263" s="627"/>
      <c r="AB263" s="627"/>
      <c r="AC263" s="627"/>
      <c r="AD263" s="627"/>
      <c r="AE263" s="627"/>
      <c r="AF263" s="627"/>
      <c r="AG263" s="627">
        <f t="shared" si="154"/>
        <v>0</v>
      </c>
      <c r="AH263" s="363"/>
      <c r="AI263" s="363"/>
      <c r="AJ263" s="627">
        <f t="shared" si="141"/>
        <v>0</v>
      </c>
      <c r="AK263" s="627"/>
      <c r="AL263" s="627" t="str">
        <f t="shared" si="131"/>
        <v/>
      </c>
      <c r="AM263" s="1783" t="str">
        <f t="shared" ca="1" si="132"/>
        <v/>
      </c>
      <c r="AP263" s="252"/>
      <c r="AR263" s="2486"/>
      <c r="AS263" s="2486"/>
      <c r="AT263" s="2486"/>
      <c r="AV263" s="2580"/>
      <c r="AW263" s="2486"/>
      <c r="AX263" s="2486"/>
      <c r="AY263" s="2486"/>
      <c r="BD263" s="2154"/>
      <c r="BG263" s="2832">
        <f t="shared" si="155"/>
        <v>0</v>
      </c>
      <c r="BH263" s="983">
        <f>BL179</f>
        <v>0</v>
      </c>
      <c r="BI263" s="983">
        <f>BM179</f>
        <v>0</v>
      </c>
      <c r="BJ263" s="983"/>
      <c r="BP263" s="2388" t="str">
        <f t="shared" si="142"/>
        <v/>
      </c>
      <c r="BQ263" s="1300" t="str">
        <f t="shared" si="143"/>
        <v>0</v>
      </c>
      <c r="BR263" s="2389">
        <f t="shared" si="144"/>
        <v>0</v>
      </c>
      <c r="BT263" s="2397" t="str">
        <f t="shared" si="134"/>
        <v/>
      </c>
      <c r="BU263" s="1300" t="str">
        <f t="shared" si="145"/>
        <v/>
      </c>
      <c r="BV263" s="1300" t="str">
        <f t="shared" si="146"/>
        <v>0</v>
      </c>
      <c r="BW263" s="2389">
        <f t="shared" si="147"/>
        <v>0</v>
      </c>
      <c r="BY263" s="2397" t="str">
        <f t="shared" si="135"/>
        <v/>
      </c>
      <c r="BZ263" s="1300" t="str">
        <f t="shared" si="148"/>
        <v/>
      </c>
      <c r="CA263" s="1300" t="str">
        <f t="shared" si="149"/>
        <v>0</v>
      </c>
      <c r="CB263" s="2389">
        <f t="shared" si="150"/>
        <v>0</v>
      </c>
      <c r="CD263" s="2388" t="str">
        <f t="shared" si="136"/>
        <v/>
      </c>
      <c r="CE263" s="1300" t="str">
        <f t="shared" si="151"/>
        <v/>
      </c>
      <c r="CF263" s="1300" t="str">
        <f t="shared" si="152"/>
        <v>0</v>
      </c>
      <c r="CG263" s="2389">
        <f t="shared" si="153"/>
        <v>0</v>
      </c>
    </row>
    <row r="264" spans="1:85" ht="16.2" customHeight="1" x14ac:dyDescent="0.25">
      <c r="A264" s="433" t="s">
        <v>1038</v>
      </c>
      <c r="B264" s="3839" t="str">
        <f>INDEX(PO_baseline_table,27, 1)</f>
        <v>Fans - Kitchen Ventilation</v>
      </c>
      <c r="C264" s="3854"/>
      <c r="D264" s="3856">
        <f>INDEX(PO_baseline_table,27, 3)</f>
        <v>0</v>
      </c>
      <c r="E264" s="3839" t="str">
        <f>INDEX(PO_baseline_table,27, 4)</f>
        <v>Electricity</v>
      </c>
      <c r="F264" s="1299" t="str">
        <f>IFERROR(IF(ISBLANK(E264),"","Consumption (" &amp; VLOOKUP($E264,PO_Enrgy_1_Table,MATCH($C$16,PO_Enrgy_1_Hdr,0),FALSE) &amp; ")"),"")</f>
        <v/>
      </c>
      <c r="G264" s="1782" t="str">
        <f>INDEX(PO_baseline_table,27, 10)</f>
        <v/>
      </c>
      <c r="H264" s="1783" t="str">
        <f t="shared" ca="1" si="137"/>
        <v/>
      </c>
      <c r="I264" s="1877" t="str">
        <f t="shared" ca="1" si="157"/>
        <v/>
      </c>
      <c r="J264" s="3849" t="str">
        <f ca="1">IFERROR(IF($E$457-$I$457&lt;0,"",($G264-$H264)*VLOOKUP($E264,PO_Enrgy_1_Table,MATCH($K$16,PO_Enrgy_1_Hdr,0),FALSE)/($E$457-$I$457)),"")</f>
        <v/>
      </c>
      <c r="K264" s="3851" t="str">
        <f ca="1">IFERROR(IF($G$457-$K$457&lt;0,"",($G264*VLOOKUP($E264,PO_Enrgy_8_Table,MATCH($E$310,PO_Enrgy_8_Hdr,0),FALSE)-($H264*VLOOKUP($E264,PO_Enrgy_8_Table,MATCH($H$310,PO_Enrgy_8_Hdr,0),FALSE)))/($G$457-$K$457)),"")</f>
        <v/>
      </c>
      <c r="L264" s="3851"/>
      <c r="M264" s="3852" t="str">
        <f ca="1">IFERROR((H264*R264)/$I$305,"")</f>
        <v/>
      </c>
      <c r="R264" s="627" t="str">
        <f t="shared" si="138"/>
        <v/>
      </c>
      <c r="S264" s="627" t="str">
        <f t="shared" si="139"/>
        <v/>
      </c>
      <c r="T264" s="627" t="str">
        <f t="shared" si="158"/>
        <v/>
      </c>
      <c r="U264" s="627" t="str">
        <f t="shared" si="159"/>
        <v/>
      </c>
      <c r="V264" s="627" t="str">
        <f>IF(G264="","",G264*R264)</f>
        <v/>
      </c>
      <c r="W264" s="627" t="str">
        <f ca="1">IF(H264="","",H264*R264)</f>
        <v/>
      </c>
      <c r="X264" s="636">
        <f t="shared" ca="1" si="128"/>
        <v>0</v>
      </c>
      <c r="Y264" s="627">
        <f t="shared" si="129"/>
        <v>0</v>
      </c>
      <c r="Z264" s="627">
        <f t="shared" ca="1" si="130"/>
        <v>0</v>
      </c>
      <c r="AA264" s="627" t="b">
        <f>IFERROR(IF(D264="x",IF(OR(G264/H264&gt;1.03,G264/H264&lt;0.97),TRUE,FALSE),FALSE),FALSE)</f>
        <v>0</v>
      </c>
      <c r="AB264" s="627">
        <f ca="1">IFERROR(J264*100,)</f>
        <v>0</v>
      </c>
      <c r="AC264" s="627"/>
      <c r="AD264" s="627">
        <f ca="1">RANK(AB264,$AB$238:$AB$293,0)</f>
        <v>1</v>
      </c>
      <c r="AE264" s="627">
        <f ca="1">AD264+COUNTIF($AD$238:$AD263,AD264)</f>
        <v>14</v>
      </c>
      <c r="AF264" s="627" t="str">
        <f>B264</f>
        <v>Fans - Kitchen Ventilation</v>
      </c>
      <c r="AG264" s="627">
        <f t="shared" si="154"/>
        <v>0</v>
      </c>
      <c r="AH264" s="363"/>
      <c r="AI264" s="363"/>
      <c r="AJ264" s="627">
        <f t="shared" si="141"/>
        <v>0</v>
      </c>
      <c r="AK264" s="627">
        <v>1</v>
      </c>
      <c r="AL264" s="627" t="str">
        <f t="shared" si="131"/>
        <v/>
      </c>
      <c r="AM264" s="1783" t="str">
        <f t="shared" ca="1" si="132"/>
        <v/>
      </c>
      <c r="AP264" s="252"/>
      <c r="AR264" s="2486"/>
      <c r="AS264" s="2486"/>
      <c r="AT264" s="2486"/>
      <c r="AV264" s="2580"/>
      <c r="AW264" s="2486"/>
      <c r="AX264" s="2486"/>
      <c r="AY264" s="2486"/>
      <c r="BD264" s="2154"/>
      <c r="BG264" s="2832">
        <f t="shared" si="155"/>
        <v>0</v>
      </c>
      <c r="BH264" s="983">
        <f>BL182</f>
        <v>0</v>
      </c>
      <c r="BI264" s="983">
        <f>BM182</f>
        <v>0</v>
      </c>
      <c r="BJ264" s="983" t="str">
        <f>IF(BH264&lt;&gt;"",IFERROR(MATCH(BH264&amp;BI264,'Results from Trace'!$L$1:$L$21,0),""),"")</f>
        <v/>
      </c>
      <c r="BP264" s="2388" t="str">
        <f t="shared" si="142"/>
        <v/>
      </c>
      <c r="BQ264" s="1300" t="str">
        <f t="shared" si="143"/>
        <v>0</v>
      </c>
      <c r="BR264" s="2389">
        <f t="shared" si="144"/>
        <v>0</v>
      </c>
      <c r="BT264" s="2397" t="str">
        <f t="shared" si="134"/>
        <v/>
      </c>
      <c r="BU264" s="1300" t="str">
        <f t="shared" si="145"/>
        <v/>
      </c>
      <c r="BV264" s="1300" t="str">
        <f t="shared" si="146"/>
        <v>0</v>
      </c>
      <c r="BW264" s="2389">
        <f t="shared" si="147"/>
        <v>0</v>
      </c>
      <c r="BY264" s="2397" t="str">
        <f t="shared" si="135"/>
        <v/>
      </c>
      <c r="BZ264" s="1300" t="str">
        <f t="shared" si="148"/>
        <v/>
      </c>
      <c r="CA264" s="1300" t="str">
        <f t="shared" si="149"/>
        <v>0</v>
      </c>
      <c r="CB264" s="2389">
        <f t="shared" si="150"/>
        <v>0</v>
      </c>
      <c r="CD264" s="2388" t="str">
        <f t="shared" si="136"/>
        <v/>
      </c>
      <c r="CE264" s="1300" t="str">
        <f t="shared" si="151"/>
        <v/>
      </c>
      <c r="CF264" s="1300" t="str">
        <f t="shared" si="152"/>
        <v>0</v>
      </c>
      <c r="CG264" s="2389">
        <f t="shared" si="153"/>
        <v>0</v>
      </c>
    </row>
    <row r="265" spans="1:85" ht="16.2" customHeight="1" x14ac:dyDescent="0.25">
      <c r="A265" s="433" t="s">
        <v>1038</v>
      </c>
      <c r="B265" s="3839"/>
      <c r="C265" s="3854"/>
      <c r="D265" s="3857"/>
      <c r="E265" s="3839"/>
      <c r="F265" s="1299" t="str">
        <f>IFERROR(IF(ISBLANK(E264),"","Demand (" &amp; VLOOKUP($E264,PO_Enrgy_1_Table,MATCH($E$16,PO_Enrgy_1_Hdr,0),FALSE) &amp; ")"),"")</f>
        <v/>
      </c>
      <c r="G265" s="2790" t="str">
        <f>INDEX(PO_baseline_table,28, 10)</f>
        <v/>
      </c>
      <c r="H265" s="1783" t="str">
        <f t="shared" ca="1" si="137"/>
        <v/>
      </c>
      <c r="I265" s="1308" t="str">
        <f t="shared" ca="1" si="157"/>
        <v/>
      </c>
      <c r="J265" s="3850"/>
      <c r="K265" s="3851"/>
      <c r="L265" s="3851"/>
      <c r="M265" s="3853"/>
      <c r="R265" s="627" t="str">
        <f t="shared" si="138"/>
        <v/>
      </c>
      <c r="S265" s="627" t="str">
        <f t="shared" si="139"/>
        <v/>
      </c>
      <c r="T265" s="627" t="str">
        <f t="shared" si="158"/>
        <v/>
      </c>
      <c r="U265" s="627" t="str">
        <f t="shared" si="159"/>
        <v/>
      </c>
      <c r="V265" s="627"/>
      <c r="W265" s="627"/>
      <c r="X265" s="636">
        <f t="shared" ca="1" si="128"/>
        <v>0</v>
      </c>
      <c r="Y265" s="627">
        <f t="shared" si="129"/>
        <v>0</v>
      </c>
      <c r="Z265" s="627">
        <f t="shared" ca="1" si="130"/>
        <v>0</v>
      </c>
      <c r="AA265" s="627"/>
      <c r="AB265" s="627"/>
      <c r="AC265" s="627"/>
      <c r="AD265" s="627"/>
      <c r="AE265" s="627"/>
      <c r="AF265" s="627"/>
      <c r="AG265" s="627">
        <f t="shared" si="154"/>
        <v>0</v>
      </c>
      <c r="AH265" s="363"/>
      <c r="AI265" s="363"/>
      <c r="AJ265" s="627">
        <f t="shared" si="141"/>
        <v>0</v>
      </c>
      <c r="AK265" s="627"/>
      <c r="AL265" s="627" t="str">
        <f t="shared" si="131"/>
        <v/>
      </c>
      <c r="AM265" s="1783" t="str">
        <f t="shared" ca="1" si="132"/>
        <v/>
      </c>
      <c r="AP265" s="252"/>
      <c r="AR265" s="2486"/>
      <c r="AS265" s="2486"/>
      <c r="AT265" s="2486"/>
      <c r="AV265" s="2580"/>
      <c r="AW265" s="2486"/>
      <c r="AX265" s="2486"/>
      <c r="AY265" s="2486"/>
      <c r="BD265" s="2154"/>
      <c r="BG265" s="2832">
        <f t="shared" si="155"/>
        <v>0</v>
      </c>
      <c r="BH265" s="983">
        <f>BL183</f>
        <v>0</v>
      </c>
      <c r="BI265" s="983">
        <f>BM183</f>
        <v>0</v>
      </c>
      <c r="BJ265" s="983"/>
      <c r="BP265" s="2388" t="str">
        <f t="shared" si="142"/>
        <v/>
      </c>
      <c r="BQ265" s="1300" t="str">
        <f t="shared" si="143"/>
        <v>0</v>
      </c>
      <c r="BR265" s="2389">
        <f t="shared" si="144"/>
        <v>0</v>
      </c>
      <c r="BT265" s="2397" t="str">
        <f t="shared" si="134"/>
        <v/>
      </c>
      <c r="BU265" s="1300" t="str">
        <f t="shared" si="145"/>
        <v/>
      </c>
      <c r="BV265" s="1300" t="str">
        <f t="shared" si="146"/>
        <v>0</v>
      </c>
      <c r="BW265" s="2389">
        <f t="shared" si="147"/>
        <v>0</v>
      </c>
      <c r="BY265" s="2397" t="str">
        <f t="shared" si="135"/>
        <v/>
      </c>
      <c r="BZ265" s="1300" t="str">
        <f t="shared" si="148"/>
        <v/>
      </c>
      <c r="CA265" s="1300" t="str">
        <f t="shared" si="149"/>
        <v>0</v>
      </c>
      <c r="CB265" s="2389">
        <f t="shared" si="150"/>
        <v>0</v>
      </c>
      <c r="CD265" s="2388" t="str">
        <f t="shared" si="136"/>
        <v/>
      </c>
      <c r="CE265" s="1300" t="str">
        <f t="shared" si="151"/>
        <v/>
      </c>
      <c r="CF265" s="1300" t="str">
        <f t="shared" si="152"/>
        <v>0</v>
      </c>
      <c r="CG265" s="2389">
        <f t="shared" si="153"/>
        <v>0</v>
      </c>
    </row>
    <row r="266" spans="1:85" ht="16.2" customHeight="1" x14ac:dyDescent="0.25">
      <c r="A266" s="433" t="s">
        <v>1038</v>
      </c>
      <c r="B266" s="3839" t="str">
        <f>INDEX(PO_baseline_table,29, 1)</f>
        <v>Service water heating</v>
      </c>
      <c r="C266" s="3854"/>
      <c r="D266" s="3856">
        <f>INDEX(PO_baseline_table,29, 3)</f>
        <v>0</v>
      </c>
      <c r="E266" s="3839" t="str">
        <f>INDEX(PO_baseline_table,29, 4)</f>
        <v>Natural Gas</v>
      </c>
      <c r="F266" s="1299" t="str">
        <f>IFERROR(IF(ISBLANK(E266),"","Consumption (" &amp; VLOOKUP($E266,PO_Enrgy_1_Table,MATCH($C$16,PO_Enrgy_1_Hdr,0),FALSE) &amp; ")"),"")</f>
        <v/>
      </c>
      <c r="G266" s="1782" t="str">
        <f>INDEX(PO_baseline_table,29, 10)</f>
        <v/>
      </c>
      <c r="H266" s="1783" t="str">
        <f t="shared" ca="1" si="137"/>
        <v/>
      </c>
      <c r="I266" s="1877" t="str">
        <f t="shared" ca="1" si="157"/>
        <v/>
      </c>
      <c r="J266" s="3849" t="str">
        <f ca="1">IFERROR(IF($E$457-$I$457&lt;0,"",($G266-$H266)*VLOOKUP($E266,PO_Enrgy_1_Table,MATCH($K$16,PO_Enrgy_1_Hdr,0),FALSE)/($E$457-$I$457)),"")</f>
        <v/>
      </c>
      <c r="K266" s="3851" t="str">
        <f ca="1">IFERROR(IF($G$457-$K$457&lt;0,"",($G266*VLOOKUP($E266,PO_Enrgy_8_Table,MATCH($E$310,PO_Enrgy_8_Hdr,0),FALSE)-($H266*VLOOKUP($E266,PO_Enrgy_8_Table,MATCH($H$310,PO_Enrgy_8_Hdr,0),FALSE)))/($G$457-$K$457)),"")</f>
        <v/>
      </c>
      <c r="L266" s="3851"/>
      <c r="M266" s="3852" t="str">
        <f ca="1">IFERROR((H266*R266)/$I$305,"")</f>
        <v/>
      </c>
      <c r="R266" s="627" t="str">
        <f t="shared" si="138"/>
        <v/>
      </c>
      <c r="S266" s="627" t="str">
        <f t="shared" si="139"/>
        <v/>
      </c>
      <c r="T266" s="627" t="str">
        <f t="shared" si="158"/>
        <v/>
      </c>
      <c r="U266" s="627" t="str">
        <f t="shared" si="159"/>
        <v/>
      </c>
      <c r="V266" s="627" t="str">
        <f>IF(G266="","",G266*R266)</f>
        <v/>
      </c>
      <c r="W266" s="627" t="str">
        <f ca="1">IF(H266="","",H266*R266)</f>
        <v/>
      </c>
      <c r="X266" s="636">
        <f t="shared" ca="1" si="128"/>
        <v>0</v>
      </c>
      <c r="Y266" s="627">
        <f t="shared" si="129"/>
        <v>0</v>
      </c>
      <c r="Z266" s="627">
        <f t="shared" ca="1" si="130"/>
        <v>0</v>
      </c>
      <c r="AA266" s="627" t="b">
        <f>IFERROR(IF(D266="x",IF(OR(G266/H266&gt;1.03,G266/H266&lt;0.97),TRUE,FALSE),FALSE),FALSE)</f>
        <v>0</v>
      </c>
      <c r="AB266" s="627">
        <f ca="1">IFERROR(J266*100,)</f>
        <v>0</v>
      </c>
      <c r="AC266" s="627"/>
      <c r="AD266" s="627">
        <f ca="1">RANK(AB266,$AB$238:$AB$293,0)</f>
        <v>1</v>
      </c>
      <c r="AE266" s="627">
        <f ca="1">AD266+COUNTIF($AD$238:$AD265,AD266)</f>
        <v>15</v>
      </c>
      <c r="AF266" s="627" t="str">
        <f>B266</f>
        <v>Service water heating</v>
      </c>
      <c r="AG266" s="627">
        <f t="shared" si="154"/>
        <v>0</v>
      </c>
      <c r="AH266" s="363"/>
      <c r="AI266" s="363"/>
      <c r="AJ266" s="627">
        <f t="shared" si="141"/>
        <v>0</v>
      </c>
      <c r="AK266" s="627"/>
      <c r="AL266" s="627" t="str">
        <f t="shared" si="131"/>
        <v/>
      </c>
      <c r="AM266" s="1783" t="str">
        <f t="shared" ca="1" si="132"/>
        <v/>
      </c>
      <c r="AP266" s="252"/>
      <c r="AR266" s="2486"/>
      <c r="AS266" s="2486"/>
      <c r="AT266" s="2486"/>
      <c r="AV266" s="2580"/>
      <c r="AW266" s="2486"/>
      <c r="AX266" s="2486"/>
      <c r="AY266" s="2486"/>
      <c r="BD266" s="2154"/>
      <c r="BG266" s="2832" t="str">
        <f t="shared" si="155"/>
        <v>BH</v>
      </c>
      <c r="BH266" s="983">
        <f>BL150</f>
        <v>0</v>
      </c>
      <c r="BI266" s="983">
        <f>BM150</f>
        <v>0</v>
      </c>
      <c r="BJ266" s="983" t="str">
        <f>IF(BH266&lt;&gt;"",IFERROR(MATCH(BH266&amp;BI266,'Results from Trace'!$L$1:$L$21,0),""),"")</f>
        <v/>
      </c>
      <c r="BP266" s="2388" t="str">
        <f t="shared" si="142"/>
        <v/>
      </c>
      <c r="BQ266" s="1300" t="str">
        <f t="shared" si="143"/>
        <v>0</v>
      </c>
      <c r="BR266" s="2389">
        <f t="shared" si="144"/>
        <v>0</v>
      </c>
      <c r="BT266" s="2397" t="str">
        <f t="shared" si="134"/>
        <v/>
      </c>
      <c r="BU266" s="1300" t="str">
        <f t="shared" si="145"/>
        <v/>
      </c>
      <c r="BV266" s="1300" t="str">
        <f t="shared" si="146"/>
        <v>0</v>
      </c>
      <c r="BW266" s="2389">
        <f t="shared" si="147"/>
        <v>0</v>
      </c>
      <c r="BY266" s="2397" t="str">
        <f t="shared" si="135"/>
        <v/>
      </c>
      <c r="BZ266" s="1300" t="str">
        <f t="shared" si="148"/>
        <v/>
      </c>
      <c r="CA266" s="1300" t="str">
        <f t="shared" si="149"/>
        <v>0</v>
      </c>
      <c r="CB266" s="2389">
        <f t="shared" si="150"/>
        <v>0</v>
      </c>
      <c r="CD266" s="2388" t="str">
        <f t="shared" si="136"/>
        <v/>
      </c>
      <c r="CE266" s="1300" t="str">
        <f t="shared" si="151"/>
        <v/>
      </c>
      <c r="CF266" s="1300" t="str">
        <f t="shared" si="152"/>
        <v>0</v>
      </c>
      <c r="CG266" s="2389">
        <f t="shared" si="153"/>
        <v>0</v>
      </c>
    </row>
    <row r="267" spans="1:85" ht="16.2" customHeight="1" x14ac:dyDescent="0.25">
      <c r="A267" s="433" t="s">
        <v>1038</v>
      </c>
      <c r="B267" s="3839"/>
      <c r="C267" s="3854"/>
      <c r="D267" s="3857"/>
      <c r="E267" s="3839"/>
      <c r="F267" s="1299" t="str">
        <f>IFERROR(IF(ISBLANK(E266),"","Demand (" &amp; VLOOKUP($E266,PO_Enrgy_1_Table,MATCH($E$16,PO_Enrgy_1_Hdr,0),FALSE) &amp; ")"),"")</f>
        <v/>
      </c>
      <c r="G267" s="2790" t="str">
        <f>INDEX(PO_baseline_table,30, 10)</f>
        <v/>
      </c>
      <c r="H267" s="1783" t="str">
        <f t="shared" ca="1" si="137"/>
        <v/>
      </c>
      <c r="I267" s="1308" t="str">
        <f t="shared" ca="1" si="157"/>
        <v/>
      </c>
      <c r="J267" s="3850"/>
      <c r="K267" s="3851"/>
      <c r="L267" s="3851"/>
      <c r="M267" s="3853"/>
      <c r="R267" s="627" t="str">
        <f t="shared" si="138"/>
        <v/>
      </c>
      <c r="S267" s="627" t="str">
        <f t="shared" si="139"/>
        <v/>
      </c>
      <c r="T267" s="627" t="str">
        <f t="shared" si="158"/>
        <v/>
      </c>
      <c r="U267" s="627" t="str">
        <f t="shared" si="159"/>
        <v/>
      </c>
      <c r="V267" s="627"/>
      <c r="W267" s="627"/>
      <c r="X267" s="636">
        <f t="shared" ca="1" si="128"/>
        <v>0</v>
      </c>
      <c r="Y267" s="627">
        <f t="shared" si="129"/>
        <v>0</v>
      </c>
      <c r="Z267" s="627">
        <f t="shared" ca="1" si="130"/>
        <v>0</v>
      </c>
      <c r="AA267" s="627"/>
      <c r="AB267" s="627"/>
      <c r="AC267" s="627"/>
      <c r="AD267" s="627"/>
      <c r="AE267" s="627"/>
      <c r="AF267" s="627"/>
      <c r="AG267" s="627">
        <f t="shared" si="154"/>
        <v>0</v>
      </c>
      <c r="AH267" s="363"/>
      <c r="AI267" s="363"/>
      <c r="AJ267" s="627">
        <f t="shared" si="141"/>
        <v>0</v>
      </c>
      <c r="AK267" s="627"/>
      <c r="AL267" s="627" t="str">
        <f t="shared" si="131"/>
        <v/>
      </c>
      <c r="AM267" s="1783" t="str">
        <f t="shared" ca="1" si="132"/>
        <v/>
      </c>
      <c r="AP267" s="252"/>
      <c r="AR267" s="2486"/>
      <c r="AS267" s="2486"/>
      <c r="AT267" s="2486"/>
      <c r="AV267" s="2580"/>
      <c r="AW267" s="2486"/>
      <c r="AX267" s="2486"/>
      <c r="AY267" s="2486"/>
      <c r="BD267" s="2154"/>
      <c r="BG267" s="2832">
        <f t="shared" si="155"/>
        <v>0</v>
      </c>
      <c r="BH267" s="983">
        <f>BL151</f>
        <v>0</v>
      </c>
      <c r="BI267" s="983">
        <f>BM151</f>
        <v>0</v>
      </c>
      <c r="BJ267" s="983"/>
      <c r="BP267" s="2388" t="str">
        <f t="shared" si="142"/>
        <v/>
      </c>
      <c r="BQ267" s="1300" t="str">
        <f t="shared" si="143"/>
        <v>0</v>
      </c>
      <c r="BR267" s="2389">
        <f t="shared" si="144"/>
        <v>0</v>
      </c>
      <c r="BT267" s="2397" t="str">
        <f t="shared" si="134"/>
        <v/>
      </c>
      <c r="BU267" s="1300" t="str">
        <f t="shared" si="145"/>
        <v/>
      </c>
      <c r="BV267" s="1300" t="str">
        <f t="shared" si="146"/>
        <v>0</v>
      </c>
      <c r="BW267" s="2389">
        <f t="shared" si="147"/>
        <v>0</v>
      </c>
      <c r="BY267" s="2397" t="str">
        <f t="shared" si="135"/>
        <v/>
      </c>
      <c r="BZ267" s="1300" t="str">
        <f t="shared" si="148"/>
        <v/>
      </c>
      <c r="CA267" s="1300" t="str">
        <f t="shared" si="149"/>
        <v>0</v>
      </c>
      <c r="CB267" s="2389">
        <f t="shared" si="150"/>
        <v>0</v>
      </c>
      <c r="CD267" s="2388" t="str">
        <f t="shared" si="136"/>
        <v/>
      </c>
      <c r="CE267" s="1300" t="str">
        <f t="shared" si="151"/>
        <v/>
      </c>
      <c r="CF267" s="1300" t="str">
        <f t="shared" si="152"/>
        <v>0</v>
      </c>
      <c r="CG267" s="2389">
        <f t="shared" si="153"/>
        <v>0</v>
      </c>
    </row>
    <row r="268" spans="1:85" ht="16.2" customHeight="1" x14ac:dyDescent="0.25">
      <c r="A268" s="433" t="s">
        <v>1038</v>
      </c>
      <c r="B268" s="3839" t="str">
        <f>INDEX(PO_baseline_table,31, 1)</f>
        <v>Service water heating</v>
      </c>
      <c r="C268" s="3854"/>
      <c r="D268" s="3856">
        <f>INDEX(PO_baseline_table,31, 3)</f>
        <v>0</v>
      </c>
      <c r="E268" s="3839" t="str">
        <f>INDEX(PO_baseline_table,31, 4)</f>
        <v>Electricity</v>
      </c>
      <c r="F268" s="1299" t="str">
        <f>IFERROR(IF(ISBLANK(E268),"","Consumption (" &amp; VLOOKUP($E268,PO_Enrgy_1_Table,MATCH($C$16,PO_Enrgy_1_Hdr,0),FALSE) &amp; ")"),"")</f>
        <v/>
      </c>
      <c r="G268" s="1782" t="str">
        <f>INDEX(PO_baseline_table,31, 10)</f>
        <v/>
      </c>
      <c r="H268" s="1783" t="str">
        <f t="shared" ca="1" si="137"/>
        <v/>
      </c>
      <c r="I268" s="1877" t="str">
        <f t="shared" ca="1" si="157"/>
        <v/>
      </c>
      <c r="J268" s="3849" t="str">
        <f ca="1">IFERROR(IF($E$457-$I$457&lt;0,"",($G268-$H268)*VLOOKUP($E268,PO_Enrgy_1_Table,MATCH($K$16,PO_Enrgy_1_Hdr,0),FALSE)/($E$457-$I$457)),"")</f>
        <v/>
      </c>
      <c r="K268" s="3851" t="str">
        <f ca="1">IFERROR(IF($G$457-$K$457&lt;0,"",($G268*VLOOKUP($E268,PO_Enrgy_8_Table,MATCH($E$310,PO_Enrgy_8_Hdr,0),FALSE)-($H268*VLOOKUP($E268,PO_Enrgy_8_Table,MATCH($H$310,PO_Enrgy_8_Hdr,0),FALSE)))/($G$457-$K$457)),"")</f>
        <v/>
      </c>
      <c r="L268" s="3851"/>
      <c r="M268" s="3852" t="str">
        <f ca="1">IFERROR((H268*R268)/$I$305,"")</f>
        <v/>
      </c>
      <c r="R268" s="627" t="str">
        <f>IFERROR(IF(ISBLANK($E268),"",VLOOKUP($E268,PO_Enrgy_1_Table,MATCH($K$16,PO_Enrgy_1_Hdr,0),FALSE)),"")</f>
        <v/>
      </c>
      <c r="S268" s="627" t="str">
        <f t="shared" si="139"/>
        <v/>
      </c>
      <c r="T268" s="627" t="str">
        <f t="shared" si="158"/>
        <v/>
      </c>
      <c r="U268" s="627" t="str">
        <f t="shared" si="159"/>
        <v/>
      </c>
      <c r="V268" s="627" t="str">
        <f>IF(G268="","",G268*R268)</f>
        <v/>
      </c>
      <c r="W268" s="627" t="str">
        <f ca="1">IF(H268="","",H268*R268)</f>
        <v/>
      </c>
      <c r="X268" s="636">
        <f t="shared" ca="1" si="128"/>
        <v>0</v>
      </c>
      <c r="Y268" s="627">
        <f t="shared" si="129"/>
        <v>0</v>
      </c>
      <c r="Z268" s="627">
        <f t="shared" ca="1" si="130"/>
        <v>0</v>
      </c>
      <c r="AA268" s="627" t="b">
        <f>IFERROR(IF(D268="x",IF(OR(G268/H268&gt;1.03,G268/H268&lt;0.97),TRUE,FALSE),FALSE),FALSE)</f>
        <v>0</v>
      </c>
      <c r="AB268" s="627">
        <f ca="1">IFERROR(J268*100,)</f>
        <v>0</v>
      </c>
      <c r="AC268" s="627"/>
      <c r="AD268" s="627">
        <f ca="1">RANK(AB268,$AB$238:$AB$293,0)</f>
        <v>1</v>
      </c>
      <c r="AE268" s="627">
        <f ca="1">AD268+COUNTIF($AD$238:$AD267,AD268)</f>
        <v>16</v>
      </c>
      <c r="AF268" s="627" t="str">
        <f>B268</f>
        <v>Service water heating</v>
      </c>
      <c r="AG268" s="627">
        <f t="shared" si="154"/>
        <v>0</v>
      </c>
      <c r="AH268" s="363"/>
      <c r="AI268" s="363"/>
      <c r="AJ268" s="627">
        <f t="shared" si="141"/>
        <v>0</v>
      </c>
      <c r="AK268" s="627">
        <v>1</v>
      </c>
      <c r="AL268" s="627" t="str">
        <f t="shared" si="131"/>
        <v/>
      </c>
      <c r="AM268" s="1783" t="str">
        <f t="shared" ca="1" si="132"/>
        <v/>
      </c>
      <c r="AP268" s="252"/>
      <c r="AR268" s="2486"/>
      <c r="AS268" s="2486"/>
      <c r="AT268" s="2486"/>
      <c r="AV268" s="2580"/>
      <c r="AW268" s="2486"/>
      <c r="AX268" s="2486"/>
      <c r="AY268" s="2486"/>
      <c r="BD268" s="2154"/>
      <c r="BG268" s="2832" t="str">
        <f t="shared" si="155"/>
        <v>V</v>
      </c>
      <c r="BH268" s="983">
        <f>BL190</f>
        <v>0</v>
      </c>
      <c r="BI268" s="983">
        <f>BM190</f>
        <v>0</v>
      </c>
      <c r="BJ268" s="983" t="str">
        <f>IF(BH268&lt;&gt;"",IFERROR(MATCH(BH268&amp;BI268,'Results from Trace'!$L$1:$L$21,0),""),"")</f>
        <v/>
      </c>
      <c r="BP268" s="2388" t="str">
        <f t="shared" si="142"/>
        <v/>
      </c>
      <c r="BQ268" s="1300" t="str">
        <f t="shared" si="143"/>
        <v>0</v>
      </c>
      <c r="BR268" s="2389">
        <f t="shared" si="144"/>
        <v>0</v>
      </c>
      <c r="BT268" s="2397" t="str">
        <f t="shared" si="134"/>
        <v/>
      </c>
      <c r="BU268" s="1300" t="str">
        <f t="shared" si="145"/>
        <v/>
      </c>
      <c r="BV268" s="1300" t="str">
        <f t="shared" si="146"/>
        <v>0</v>
      </c>
      <c r="BW268" s="2389">
        <f t="shared" si="147"/>
        <v>0</v>
      </c>
      <c r="BY268" s="2397" t="str">
        <f t="shared" si="135"/>
        <v/>
      </c>
      <c r="BZ268" s="1300" t="str">
        <f t="shared" si="148"/>
        <v/>
      </c>
      <c r="CA268" s="1300" t="str">
        <f t="shared" si="149"/>
        <v>0</v>
      </c>
      <c r="CB268" s="2389">
        <f t="shared" si="150"/>
        <v>0</v>
      </c>
      <c r="CD268" s="2388" t="str">
        <f t="shared" si="136"/>
        <v/>
      </c>
      <c r="CE268" s="1300" t="str">
        <f t="shared" si="151"/>
        <v/>
      </c>
      <c r="CF268" s="1300" t="str">
        <f t="shared" si="152"/>
        <v>0</v>
      </c>
      <c r="CG268" s="2389">
        <f t="shared" si="153"/>
        <v>0</v>
      </c>
    </row>
    <row r="269" spans="1:85" ht="16.2" customHeight="1" x14ac:dyDescent="0.25">
      <c r="A269" s="433" t="s">
        <v>1038</v>
      </c>
      <c r="B269" s="3839"/>
      <c r="C269" s="3854"/>
      <c r="D269" s="3857"/>
      <c r="E269" s="3839"/>
      <c r="F269" s="1299" t="str">
        <f>IFERROR(IF(ISBLANK(E268),"","Demand (" &amp; VLOOKUP($E268,PO_Enrgy_1_Table,MATCH($E$16,PO_Enrgy_1_Hdr,0),FALSE) &amp; ")"),"")</f>
        <v/>
      </c>
      <c r="G269" s="2790" t="str">
        <f>INDEX(PO_baseline_table,32, 10)</f>
        <v/>
      </c>
      <c r="H269" s="1783" t="str">
        <f t="shared" ca="1" si="137"/>
        <v/>
      </c>
      <c r="I269" s="1308" t="str">
        <f t="shared" ca="1" si="157"/>
        <v/>
      </c>
      <c r="J269" s="3850"/>
      <c r="K269" s="3851"/>
      <c r="L269" s="3851"/>
      <c r="M269" s="3853"/>
      <c r="R269" s="627" t="str">
        <f t="shared" si="138"/>
        <v/>
      </c>
      <c r="S269" s="627" t="str">
        <f t="shared" si="139"/>
        <v/>
      </c>
      <c r="T269" s="627" t="str">
        <f t="shared" si="158"/>
        <v/>
      </c>
      <c r="U269" s="627" t="str">
        <f t="shared" si="159"/>
        <v/>
      </c>
      <c r="V269" s="627"/>
      <c r="W269" s="627"/>
      <c r="X269" s="636">
        <f t="shared" ca="1" si="128"/>
        <v>0</v>
      </c>
      <c r="Y269" s="627">
        <f t="shared" si="129"/>
        <v>0</v>
      </c>
      <c r="Z269" s="627">
        <f t="shared" ca="1" si="130"/>
        <v>0</v>
      </c>
      <c r="AA269" s="627"/>
      <c r="AB269" s="627"/>
      <c r="AC269" s="627"/>
      <c r="AD269" s="627"/>
      <c r="AE269" s="627"/>
      <c r="AF269" s="627"/>
      <c r="AG269" s="627">
        <f t="shared" si="154"/>
        <v>0</v>
      </c>
      <c r="AH269" s="363"/>
      <c r="AI269" s="363"/>
      <c r="AJ269" s="627">
        <f t="shared" si="141"/>
        <v>0</v>
      </c>
      <c r="AK269" s="627"/>
      <c r="AL269" s="627" t="str">
        <f>IFERROR(IF(D269="x",(ABS(G269-H269))/(MIN(G269,H269)),""),0)</f>
        <v/>
      </c>
      <c r="AM269" s="1783" t="str">
        <f t="shared" ca="1" si="132"/>
        <v/>
      </c>
      <c r="AP269" s="252"/>
      <c r="AR269" s="2486"/>
      <c r="AS269" s="2486"/>
      <c r="AT269" s="2486"/>
      <c r="AV269" s="2580"/>
      <c r="AW269" s="2486"/>
      <c r="AX269" s="2486"/>
      <c r="AY269" s="2486"/>
      <c r="BD269" s="2154"/>
      <c r="BG269" s="2832" t="str">
        <f t="shared" si="155"/>
        <v>AI</v>
      </c>
      <c r="BH269" s="983">
        <f>BL191</f>
        <v>0</v>
      </c>
      <c r="BI269" s="983">
        <f>BM191</f>
        <v>0</v>
      </c>
      <c r="BJ269" s="983"/>
      <c r="BP269" s="2388" t="str">
        <f t="shared" si="142"/>
        <v/>
      </c>
      <c r="BQ269" s="1300" t="str">
        <f t="shared" si="143"/>
        <v>0</v>
      </c>
      <c r="BR269" s="2389">
        <f t="shared" si="144"/>
        <v>0</v>
      </c>
      <c r="BT269" s="2397" t="str">
        <f t="shared" si="134"/>
        <v/>
      </c>
      <c r="BU269" s="1300" t="str">
        <f t="shared" si="145"/>
        <v/>
      </c>
      <c r="BV269" s="1300" t="str">
        <f t="shared" si="146"/>
        <v>0</v>
      </c>
      <c r="BW269" s="2389">
        <f t="shared" si="147"/>
        <v>0</v>
      </c>
      <c r="BY269" s="2397" t="str">
        <f t="shared" si="135"/>
        <v/>
      </c>
      <c r="BZ269" s="1300" t="str">
        <f t="shared" si="148"/>
        <v/>
      </c>
      <c r="CA269" s="1300" t="str">
        <f t="shared" si="149"/>
        <v>0</v>
      </c>
      <c r="CB269" s="2389">
        <f t="shared" si="150"/>
        <v>0</v>
      </c>
      <c r="CD269" s="2388" t="str">
        <f t="shared" si="136"/>
        <v/>
      </c>
      <c r="CE269" s="1300" t="str">
        <f t="shared" si="151"/>
        <v/>
      </c>
      <c r="CF269" s="1300" t="str">
        <f t="shared" si="152"/>
        <v>0</v>
      </c>
      <c r="CG269" s="2389">
        <f t="shared" si="153"/>
        <v>0</v>
      </c>
    </row>
    <row r="270" spans="1:85" ht="16.2" customHeight="1" x14ac:dyDescent="0.25">
      <c r="A270" s="433" t="s">
        <v>1038</v>
      </c>
      <c r="B270" s="3839" t="str">
        <f>INDEX(PO_baseline_table,33, 1)</f>
        <v>Misc Equipment</v>
      </c>
      <c r="C270" s="3854"/>
      <c r="D270" s="3856" t="str">
        <f>INDEX(PO_baseline_table,33, 3)</f>
        <v>x</v>
      </c>
      <c r="E270" s="3839" t="str">
        <f>INDEX(PO_baseline_table,33, 4)</f>
        <v>Electricity</v>
      </c>
      <c r="F270" s="1299" t="str">
        <f>IFERROR(IF(ISBLANK(E270),"","Consumption (" &amp; VLOOKUP($E270,PO_Enrgy_1_Table,MATCH($C$16,PO_Enrgy_1_Hdr,0),FALSE) &amp; ")"),"")</f>
        <v/>
      </c>
      <c r="G270" s="1782" t="str">
        <f>INDEX(PO_baseline_table,33, 10)</f>
        <v/>
      </c>
      <c r="H270" s="1783" t="str">
        <f t="shared" ca="1" si="137"/>
        <v/>
      </c>
      <c r="I270" s="1877" t="str">
        <f t="shared" ca="1" si="157"/>
        <v/>
      </c>
      <c r="J270" s="3849" t="str">
        <f ca="1">IFERROR(IF($E$457-$I$457&lt;0,"",($G270-$H270)*VLOOKUP($E270,PO_Enrgy_1_Table,MATCH($K$16,PO_Enrgy_1_Hdr,0),FALSE)/($E$457-$I$457)),"")</f>
        <v/>
      </c>
      <c r="K270" s="3851" t="str">
        <f ca="1">IFERROR(IF($G$457-$K$457&lt;0,"",($G270*VLOOKUP($E270,PO_Enrgy_8_Table,MATCH($E$310,PO_Enrgy_8_Hdr,0),FALSE)-($H270*VLOOKUP($E270,PO_Enrgy_8_Table,MATCH($H$310,PO_Enrgy_8_Hdr,0),FALSE)))/($G$457-$K$457)),"")</f>
        <v/>
      </c>
      <c r="L270" s="3851"/>
      <c r="M270" s="3852" t="str">
        <f ca="1">IFERROR((H270*R270)/$I$305,"")</f>
        <v/>
      </c>
      <c r="R270" s="627" t="str">
        <f t="shared" si="138"/>
        <v/>
      </c>
      <c r="S270" s="627" t="str">
        <f t="shared" si="139"/>
        <v/>
      </c>
      <c r="T270" s="627" t="str">
        <f t="shared" si="158"/>
        <v/>
      </c>
      <c r="U270" s="627" t="str">
        <f t="shared" si="159"/>
        <v/>
      </c>
      <c r="V270" s="627" t="str">
        <f>IF(G270="","",G270*R270)</f>
        <v/>
      </c>
      <c r="W270" s="627" t="str">
        <f ca="1">IF(H270="","",H270*R270)</f>
        <v/>
      </c>
      <c r="X270" s="636">
        <f t="shared" ref="X270:X293" ca="1" si="161">IFERROR($AO270*H270,0)</f>
        <v>0</v>
      </c>
      <c r="Y270" s="627">
        <f t="shared" ref="Y270:Y293" si="162">IFERROR(G270*VLOOKUP($AG270,PO_Enrgy_8_Table,4,FALSE),0)</f>
        <v>0</v>
      </c>
      <c r="Z270" s="627">
        <f t="shared" ref="Z270:Z293" ca="1" si="163">IFERROR(H270*VLOOKUP($AG270,PO_Enrgy_8_Table,7,FALSE),0)</f>
        <v>0</v>
      </c>
      <c r="AA270" s="627" t="b">
        <f ca="1">IFERROR(IF(D270="x",IF(OR(G270/H270&gt;1.03,G270/H270&lt;0.97),TRUE,FALSE),FALSE),FALSE)</f>
        <v>0</v>
      </c>
      <c r="AB270" s="627">
        <f ca="1">IFERROR(J270*100,)</f>
        <v>0</v>
      </c>
      <c r="AC270" s="627"/>
      <c r="AD270" s="627">
        <f ca="1">RANK(AB270,$AB$238:$AB$293,0)</f>
        <v>1</v>
      </c>
      <c r="AE270" s="627">
        <f ca="1">AD270+COUNTIF($AD$238:$AD269,AD270)</f>
        <v>17</v>
      </c>
      <c r="AF270" s="627" t="str">
        <f>B270</f>
        <v>Misc Equipment</v>
      </c>
      <c r="AG270" s="627">
        <f t="shared" si="154"/>
        <v>1</v>
      </c>
      <c r="AH270" s="363"/>
      <c r="AI270" s="363"/>
      <c r="AJ270" s="627">
        <f t="shared" si="141"/>
        <v>1</v>
      </c>
      <c r="AK270" s="627">
        <v>1</v>
      </c>
      <c r="AL270" s="627">
        <f t="shared" ref="AL270:AL293" ca="1" si="164">IFERROR(IF(D270="x",(ABS(G270-H270))/(MIN(G270,H270)),""),0)</f>
        <v>0</v>
      </c>
      <c r="AM270" s="1783" t="str">
        <f t="shared" ref="AM270:AM293" ca="1" si="165">IFERROR(IF(SimTool="eQUEST",INDIRECT("'Results from eQuest'!"&amp;$BG270&amp;"13"),IF(SimTool="Trace",INDIRECT("'Results from Trace'!H"&amp;$BJ270)/$R270,"")),"")</f>
        <v/>
      </c>
      <c r="AP270" s="252"/>
      <c r="AR270" s="2486"/>
      <c r="AS270" s="2486"/>
      <c r="AT270" s="2486"/>
      <c r="AV270" s="2580"/>
      <c r="AW270" s="2486"/>
      <c r="AX270" s="2486"/>
      <c r="AY270" s="2486"/>
      <c r="BD270" s="2154"/>
      <c r="BG270" s="2832" t="str">
        <f t="shared" si="155"/>
        <v>N</v>
      </c>
      <c r="BH270" s="983">
        <f>BL172</f>
        <v>0</v>
      </c>
      <c r="BI270" s="983">
        <f>BM172</f>
        <v>0</v>
      </c>
      <c r="BJ270" s="983" t="str">
        <f>IF(BH270&lt;&gt;"",IFERROR(MATCH(BH270&amp;BI270,'Results from Trace'!$L$1:$L$21,0),""),"")</f>
        <v/>
      </c>
      <c r="BP270" s="2388" t="str">
        <f t="shared" si="142"/>
        <v/>
      </c>
      <c r="BQ270" s="1300" t="str">
        <f t="shared" si="143"/>
        <v/>
      </c>
      <c r="BR270" s="2389">
        <f t="shared" si="144"/>
        <v>0</v>
      </c>
      <c r="BT270" s="2397" t="str">
        <f t="shared" ref="BT270:BT293" si="166">IFERROR(VLOOKUP(E270,PO_virtual_rate_table,MATCH($E$310,PO_virtual_rate_hdr,0),0),"")</f>
        <v/>
      </c>
      <c r="BU270" s="1300" t="str">
        <f t="shared" si="145"/>
        <v/>
      </c>
      <c r="BV270" s="1300" t="str">
        <f t="shared" si="146"/>
        <v/>
      </c>
      <c r="BW270" s="2389">
        <f t="shared" si="147"/>
        <v>0</v>
      </c>
      <c r="BY270" s="2397" t="str">
        <f t="shared" ref="BY270:BY293" si="167">IFERROR(VLOOKUP(E270,PO_Enrgy_1_Table,MATCH($M$16,PO_Enrgy_1_Hdr,0),0),"")</f>
        <v/>
      </c>
      <c r="BZ270" s="1300" t="str">
        <f t="shared" si="148"/>
        <v/>
      </c>
      <c r="CA270" s="1300" t="str">
        <f t="shared" si="149"/>
        <v/>
      </c>
      <c r="CB270" s="2389">
        <f t="shared" si="150"/>
        <v>0</v>
      </c>
      <c r="CD270" s="2388" t="str">
        <f t="shared" ref="CD270:CD293" si="168">IFERROR(VLOOKUP(E270,PO_Enrgy_1_Table,MATCH($T$16,PO_Enrgy_1_Hdr,0),0),"")</f>
        <v/>
      </c>
      <c r="CE270" s="1300" t="str">
        <f t="shared" si="151"/>
        <v/>
      </c>
      <c r="CF270" s="1300" t="str">
        <f t="shared" si="152"/>
        <v/>
      </c>
      <c r="CG270" s="2389">
        <f t="shared" si="153"/>
        <v>0</v>
      </c>
    </row>
    <row r="271" spans="1:85" ht="16.2" customHeight="1" x14ac:dyDescent="0.25">
      <c r="A271" s="433" t="s">
        <v>1038</v>
      </c>
      <c r="B271" s="3839"/>
      <c r="C271" s="3854"/>
      <c r="D271" s="3857"/>
      <c r="E271" s="3839"/>
      <c r="F271" s="1299" t="str">
        <f>IFERROR(IF(ISBLANK(E270),"","Demand (" &amp; VLOOKUP($E270,PO_Enrgy_1_Table,MATCH($E$16,PO_Enrgy_1_Hdr,0),FALSE) &amp; ")"),"")</f>
        <v/>
      </c>
      <c r="G271" s="2790" t="str">
        <f>INDEX(PO_baseline_table,34, 10)</f>
        <v/>
      </c>
      <c r="H271" s="1783" t="str">
        <f t="shared" ca="1" si="137"/>
        <v/>
      </c>
      <c r="I271" s="1308" t="str">
        <f t="shared" ca="1" si="157"/>
        <v/>
      </c>
      <c r="J271" s="3850"/>
      <c r="K271" s="3851"/>
      <c r="L271" s="3851"/>
      <c r="M271" s="3853"/>
      <c r="R271" s="627" t="str">
        <f t="shared" si="138"/>
        <v/>
      </c>
      <c r="S271" s="627" t="str">
        <f t="shared" si="139"/>
        <v/>
      </c>
      <c r="T271" s="627" t="str">
        <f t="shared" si="158"/>
        <v/>
      </c>
      <c r="U271" s="627" t="str">
        <f t="shared" si="159"/>
        <v/>
      </c>
      <c r="V271" s="627"/>
      <c r="W271" s="627"/>
      <c r="X271" s="636">
        <f t="shared" ca="1" si="161"/>
        <v>0</v>
      </c>
      <c r="Y271" s="627">
        <f t="shared" si="162"/>
        <v>0</v>
      </c>
      <c r="Z271" s="627">
        <f t="shared" ca="1" si="163"/>
        <v>0</v>
      </c>
      <c r="AA271" s="627"/>
      <c r="AB271" s="627"/>
      <c r="AC271" s="627"/>
      <c r="AD271" s="627"/>
      <c r="AE271" s="627"/>
      <c r="AF271" s="627"/>
      <c r="AG271" s="627">
        <f t="shared" si="154"/>
        <v>0</v>
      </c>
      <c r="AH271" s="363"/>
      <c r="AI271" s="363"/>
      <c r="AJ271" s="627">
        <f t="shared" si="141"/>
        <v>0</v>
      </c>
      <c r="AK271" s="627"/>
      <c r="AL271" s="627" t="str">
        <f t="shared" si="164"/>
        <v/>
      </c>
      <c r="AM271" s="1783" t="str">
        <f t="shared" ca="1" si="165"/>
        <v/>
      </c>
      <c r="AP271" s="252"/>
      <c r="AR271" s="2486"/>
      <c r="AS271" s="2486"/>
      <c r="AT271" s="2486"/>
      <c r="AV271" s="2580"/>
      <c r="AW271" s="2486"/>
      <c r="AX271" s="2486"/>
      <c r="AY271" s="2486"/>
      <c r="BD271" s="2154"/>
      <c r="BG271" s="2832" t="str">
        <f t="shared" si="155"/>
        <v>AA</v>
      </c>
      <c r="BH271" s="983">
        <f>BL173</f>
        <v>0</v>
      </c>
      <c r="BI271" s="983">
        <f>BM173</f>
        <v>0</v>
      </c>
      <c r="BJ271" s="983"/>
      <c r="BP271" s="2388" t="str">
        <f t="shared" si="142"/>
        <v/>
      </c>
      <c r="BQ271" s="1300" t="str">
        <f t="shared" si="143"/>
        <v>0</v>
      </c>
      <c r="BR271" s="2389">
        <f t="shared" si="144"/>
        <v>0</v>
      </c>
      <c r="BT271" s="2397" t="str">
        <f t="shared" si="166"/>
        <v/>
      </c>
      <c r="BU271" s="1300" t="str">
        <f t="shared" si="145"/>
        <v/>
      </c>
      <c r="BV271" s="1300" t="str">
        <f t="shared" si="146"/>
        <v>0</v>
      </c>
      <c r="BW271" s="2389">
        <f t="shared" si="147"/>
        <v>0</v>
      </c>
      <c r="BY271" s="2397" t="str">
        <f t="shared" si="167"/>
        <v/>
      </c>
      <c r="BZ271" s="1300" t="str">
        <f t="shared" si="148"/>
        <v/>
      </c>
      <c r="CA271" s="1300" t="str">
        <f t="shared" si="149"/>
        <v>0</v>
      </c>
      <c r="CB271" s="2389">
        <f t="shared" si="150"/>
        <v>0</v>
      </c>
      <c r="CD271" s="2388" t="str">
        <f t="shared" si="168"/>
        <v/>
      </c>
      <c r="CE271" s="1300" t="str">
        <f t="shared" si="151"/>
        <v/>
      </c>
      <c r="CF271" s="1300" t="str">
        <f t="shared" si="152"/>
        <v>0</v>
      </c>
      <c r="CG271" s="2389">
        <f t="shared" si="153"/>
        <v>0</v>
      </c>
    </row>
    <row r="272" spans="1:85" ht="16.2" customHeight="1" x14ac:dyDescent="0.25">
      <c r="A272" s="433" t="s">
        <v>1038</v>
      </c>
      <c r="B272" s="3839" t="str">
        <f>INDEX(PO_baseline_table,35, 1)</f>
        <v>Misc Equipment</v>
      </c>
      <c r="C272" s="3854"/>
      <c r="D272" s="3856" t="str">
        <f>INDEX(PO_baseline_table,35, 3)</f>
        <v>x</v>
      </c>
      <c r="E272" s="3839" t="str">
        <f>INDEX(PO_baseline_table,35, 4)</f>
        <v>Natural Gas</v>
      </c>
      <c r="F272" s="1299" t="str">
        <f>IFERROR(IF(ISBLANK(E272),"","Consumption (" &amp; VLOOKUP($E272,PO_Enrgy_1_Table,MATCH($C$16,PO_Enrgy_1_Hdr,0),FALSE) &amp; ")"),"")</f>
        <v/>
      </c>
      <c r="G272" s="1782" t="str">
        <f>INDEX(PO_baseline_table,35, 10)</f>
        <v/>
      </c>
      <c r="H272" s="1783" t="str">
        <f t="shared" ca="1" si="137"/>
        <v/>
      </c>
      <c r="I272" s="1877" t="str">
        <f t="shared" ca="1" si="157"/>
        <v/>
      </c>
      <c r="J272" s="3849" t="str">
        <f ca="1">IFERROR(IF($E$457-$I$457&lt;0,"",($G272-$H272)*VLOOKUP($E272,PO_Enrgy_1_Table,MATCH($K$16,PO_Enrgy_1_Hdr,0),FALSE)/($E$457-$I$457)),"")</f>
        <v/>
      </c>
      <c r="K272" s="3851" t="str">
        <f ca="1">IFERROR(IF($G$457-$K$457&lt;0,"",($G272*VLOOKUP($E272,PO_Enrgy_8_Table,MATCH($E$310,PO_Enrgy_8_Hdr,0),FALSE)-($H272*VLOOKUP($E272,PO_Enrgy_8_Table,MATCH($H$310,PO_Enrgy_8_Hdr,0),FALSE)))/($G$457-$K$457)),"")</f>
        <v/>
      </c>
      <c r="L272" s="3851"/>
      <c r="M272" s="3852" t="str">
        <f ca="1">IFERROR((H272*R272)/$I$305,"")</f>
        <v/>
      </c>
      <c r="R272" s="627" t="str">
        <f t="shared" si="138"/>
        <v/>
      </c>
      <c r="S272" s="627" t="str">
        <f t="shared" si="139"/>
        <v/>
      </c>
      <c r="T272" s="627" t="str">
        <f t="shared" si="158"/>
        <v/>
      </c>
      <c r="U272" s="627" t="str">
        <f t="shared" si="159"/>
        <v/>
      </c>
      <c r="V272" s="627" t="str">
        <f>IF(G272="","",G272*R272)</f>
        <v/>
      </c>
      <c r="W272" s="627" t="str">
        <f ca="1">IF(H272="","",H272*R272)</f>
        <v/>
      </c>
      <c r="X272" s="636">
        <f t="shared" ca="1" si="161"/>
        <v>0</v>
      </c>
      <c r="Y272" s="627">
        <f t="shared" si="162"/>
        <v>0</v>
      </c>
      <c r="Z272" s="627">
        <f t="shared" ca="1" si="163"/>
        <v>0</v>
      </c>
      <c r="AA272" s="627" t="b">
        <f ca="1">IFERROR(IF(D272="x",IF(OR(G272/H272&gt;1.03,G272/H272&lt;0.97),TRUE,FALSE),FALSE),FALSE)</f>
        <v>0</v>
      </c>
      <c r="AB272" s="627">
        <f ca="1">IFERROR(J272*100,)</f>
        <v>0</v>
      </c>
      <c r="AC272" s="627"/>
      <c r="AD272" s="627">
        <f ca="1">RANK(AB272,$AB$238:$AB$293,0)</f>
        <v>1</v>
      </c>
      <c r="AE272" s="627">
        <f ca="1">AD272+COUNTIF($AD$238:$AD271,AD272)</f>
        <v>18</v>
      </c>
      <c r="AF272" s="627" t="str">
        <f>B272</f>
        <v>Misc Equipment</v>
      </c>
      <c r="AG272" s="627">
        <f t="shared" si="154"/>
        <v>1</v>
      </c>
      <c r="AH272" s="363"/>
      <c r="AI272" s="363"/>
      <c r="AJ272" s="627">
        <f t="shared" si="141"/>
        <v>1</v>
      </c>
      <c r="AK272" s="627">
        <v>1</v>
      </c>
      <c r="AL272" s="627">
        <f t="shared" ca="1" si="164"/>
        <v>0</v>
      </c>
      <c r="AM272" s="1783" t="str">
        <f t="shared" ca="1" si="165"/>
        <v/>
      </c>
      <c r="AP272" s="252"/>
      <c r="AR272" s="2486"/>
      <c r="AS272" s="2486"/>
      <c r="AT272" s="2486"/>
      <c r="AV272" s="2580"/>
      <c r="AW272" s="2486"/>
      <c r="AX272" s="2486"/>
      <c r="AY272" s="2486"/>
      <c r="BD272" s="2154"/>
      <c r="BG272" s="2832" t="str">
        <f t="shared" ref="BG272:BG293" si="169">BK180</f>
        <v>AZ</v>
      </c>
      <c r="BH272" s="983">
        <f t="shared" ref="BH272:BI275" si="170">BL184</f>
        <v>0</v>
      </c>
      <c r="BI272" s="983">
        <f t="shared" si="170"/>
        <v>0</v>
      </c>
      <c r="BJ272" s="983" t="str">
        <f>IF(BH272&lt;&gt;"",IFERROR(MATCH(BH272&amp;BI272,'Results from Trace'!$L$1:$L$21,0),""),"")</f>
        <v/>
      </c>
      <c r="BP272" s="2388" t="str">
        <f t="shared" si="142"/>
        <v/>
      </c>
      <c r="BQ272" s="1300" t="str">
        <f t="shared" si="143"/>
        <v/>
      </c>
      <c r="BR272" s="2389">
        <f t="shared" si="144"/>
        <v>0</v>
      </c>
      <c r="BT272" s="2397" t="str">
        <f t="shared" si="166"/>
        <v/>
      </c>
      <c r="BU272" s="1300" t="str">
        <f t="shared" si="145"/>
        <v/>
      </c>
      <c r="BV272" s="1300" t="str">
        <f t="shared" si="146"/>
        <v/>
      </c>
      <c r="BW272" s="2389">
        <f t="shared" si="147"/>
        <v>0</v>
      </c>
      <c r="BY272" s="2397" t="str">
        <f t="shared" si="167"/>
        <v/>
      </c>
      <c r="BZ272" s="1300" t="str">
        <f t="shared" si="148"/>
        <v/>
      </c>
      <c r="CA272" s="1300" t="str">
        <f t="shared" si="149"/>
        <v/>
      </c>
      <c r="CB272" s="2389">
        <f t="shared" si="150"/>
        <v>0</v>
      </c>
      <c r="CD272" s="2388" t="str">
        <f t="shared" si="168"/>
        <v/>
      </c>
      <c r="CE272" s="1300" t="str">
        <f t="shared" si="151"/>
        <v/>
      </c>
      <c r="CF272" s="1300" t="str">
        <f t="shared" si="152"/>
        <v/>
      </c>
      <c r="CG272" s="2389">
        <f t="shared" si="153"/>
        <v>0</v>
      </c>
    </row>
    <row r="273" spans="1:85" ht="16.2" customHeight="1" x14ac:dyDescent="0.25">
      <c r="A273" s="433" t="s">
        <v>1038</v>
      </c>
      <c r="B273" s="3839"/>
      <c r="C273" s="3854"/>
      <c r="D273" s="3857"/>
      <c r="E273" s="3839"/>
      <c r="F273" s="1299" t="str">
        <f>IFERROR(IF(ISBLANK(E272),"","Demand (" &amp; VLOOKUP($E272,PO_Enrgy_1_Table,MATCH($E$16,PO_Enrgy_1_Hdr,0),FALSE) &amp; ")"),"")</f>
        <v/>
      </c>
      <c r="G273" s="2790" t="str">
        <f>INDEX(PO_baseline_table,36, 10)</f>
        <v/>
      </c>
      <c r="H273" s="1783" t="str">
        <f t="shared" ca="1" si="137"/>
        <v/>
      </c>
      <c r="I273" s="1308" t="str">
        <f t="shared" ca="1" si="157"/>
        <v/>
      </c>
      <c r="J273" s="3850"/>
      <c r="K273" s="3851"/>
      <c r="L273" s="3851"/>
      <c r="M273" s="3853"/>
      <c r="R273" s="627" t="str">
        <f t="shared" si="138"/>
        <v/>
      </c>
      <c r="S273" s="627" t="str">
        <f t="shared" si="139"/>
        <v/>
      </c>
      <c r="T273" s="627" t="str">
        <f t="shared" si="158"/>
        <v/>
      </c>
      <c r="U273" s="627" t="str">
        <f t="shared" si="159"/>
        <v/>
      </c>
      <c r="V273" s="627"/>
      <c r="W273" s="627"/>
      <c r="X273" s="636">
        <f t="shared" ca="1" si="161"/>
        <v>0</v>
      </c>
      <c r="Y273" s="627">
        <f t="shared" si="162"/>
        <v>0</v>
      </c>
      <c r="Z273" s="627">
        <f t="shared" ca="1" si="163"/>
        <v>0</v>
      </c>
      <c r="AA273" s="627"/>
      <c r="AB273" s="627"/>
      <c r="AC273" s="627"/>
      <c r="AD273" s="627"/>
      <c r="AE273" s="627"/>
      <c r="AF273" s="627"/>
      <c r="AG273" s="627">
        <f t="shared" si="154"/>
        <v>0</v>
      </c>
      <c r="AH273" s="363"/>
      <c r="AI273" s="363"/>
      <c r="AJ273" s="627">
        <f t="shared" si="141"/>
        <v>0</v>
      </c>
      <c r="AK273" s="627"/>
      <c r="AL273" s="627" t="str">
        <f t="shared" si="164"/>
        <v/>
      </c>
      <c r="AM273" s="1783" t="str">
        <f t="shared" ca="1" si="165"/>
        <v/>
      </c>
      <c r="AP273" s="252"/>
      <c r="AR273" s="2486"/>
      <c r="AS273" s="2486"/>
      <c r="AT273" s="2486"/>
      <c r="AV273" s="2580"/>
      <c r="AW273" s="2486"/>
      <c r="AX273" s="2486"/>
      <c r="AY273" s="2486"/>
      <c r="BD273" s="2154"/>
      <c r="BG273" s="2832">
        <f t="shared" si="169"/>
        <v>0</v>
      </c>
      <c r="BH273" s="983">
        <f t="shared" si="170"/>
        <v>0</v>
      </c>
      <c r="BI273" s="983">
        <f t="shared" si="170"/>
        <v>0</v>
      </c>
      <c r="BJ273" s="983"/>
      <c r="BP273" s="2388" t="str">
        <f t="shared" si="142"/>
        <v/>
      </c>
      <c r="BQ273" s="1300" t="str">
        <f t="shared" si="143"/>
        <v>0</v>
      </c>
      <c r="BR273" s="2389">
        <f t="shared" si="144"/>
        <v>0</v>
      </c>
      <c r="BT273" s="2397" t="str">
        <f t="shared" si="166"/>
        <v/>
      </c>
      <c r="BU273" s="1300" t="str">
        <f t="shared" si="145"/>
        <v/>
      </c>
      <c r="BV273" s="1300" t="str">
        <f t="shared" si="146"/>
        <v>0</v>
      </c>
      <c r="BW273" s="2389">
        <f t="shared" si="147"/>
        <v>0</v>
      </c>
      <c r="BY273" s="2397" t="str">
        <f t="shared" si="167"/>
        <v/>
      </c>
      <c r="BZ273" s="1300" t="str">
        <f t="shared" si="148"/>
        <v/>
      </c>
      <c r="CA273" s="1300" t="str">
        <f t="shared" si="149"/>
        <v>0</v>
      </c>
      <c r="CB273" s="2389">
        <f t="shared" si="150"/>
        <v>0</v>
      </c>
      <c r="CD273" s="2388" t="str">
        <f t="shared" si="168"/>
        <v/>
      </c>
      <c r="CE273" s="1300" t="str">
        <f t="shared" si="151"/>
        <v/>
      </c>
      <c r="CF273" s="1300" t="str">
        <f t="shared" si="152"/>
        <v>0</v>
      </c>
      <c r="CG273" s="2389">
        <f t="shared" si="153"/>
        <v>0</v>
      </c>
    </row>
    <row r="274" spans="1:85" ht="16.2" customHeight="1" x14ac:dyDescent="0.25">
      <c r="A274" s="433" t="s">
        <v>1038</v>
      </c>
      <c r="B274" s="3839" t="str">
        <f>INDEX(PO_baseline_table,37, 1)</f>
        <v>IT equipment</v>
      </c>
      <c r="C274" s="3854"/>
      <c r="D274" s="3856" t="str">
        <f>INDEX(PO_baseline_table,37, 3)</f>
        <v>x</v>
      </c>
      <c r="E274" s="3839" t="str">
        <f>INDEX(PO_baseline_table,37, 4)</f>
        <v>Electricity</v>
      </c>
      <c r="F274" s="1299" t="str">
        <f>IFERROR(IF(ISBLANK(E274),"","Consumption (" &amp; VLOOKUP($E274,PO_Enrgy_1_Table,MATCH($C$16,PO_Enrgy_1_Hdr,0),FALSE) &amp; ")"),"")</f>
        <v/>
      </c>
      <c r="G274" s="1782" t="str">
        <f>INDEX(PO_baseline_table,37, 10)</f>
        <v/>
      </c>
      <c r="H274" s="1783" t="str">
        <f t="shared" ca="1" si="137"/>
        <v/>
      </c>
      <c r="I274" s="1877" t="str">
        <f t="shared" ca="1" si="157"/>
        <v/>
      </c>
      <c r="J274" s="3849" t="str">
        <f ca="1">IFERROR(IF($E$457-$I$457&lt;0,"",($G274-$H274)*VLOOKUP($E274,PO_Enrgy_1_Table,MATCH($K$16,PO_Enrgy_1_Hdr,0),FALSE)/($E$457-$I$457)),"")</f>
        <v/>
      </c>
      <c r="K274" s="3851" t="str">
        <f ca="1">IFERROR(IF($G$457-$K$457&lt;0,"",($G274*VLOOKUP($E274,PO_Enrgy_8_Table,MATCH($E$310,PO_Enrgy_8_Hdr,0),FALSE)-($H274*VLOOKUP($E274,PO_Enrgy_8_Table,MATCH($H$310,PO_Enrgy_8_Hdr,0),FALSE)))/($G$457-$K$457)),"")</f>
        <v/>
      </c>
      <c r="L274" s="3851"/>
      <c r="M274" s="3852" t="str">
        <f ca="1">IFERROR((H274*R274)/$I$305,"")</f>
        <v/>
      </c>
      <c r="R274" s="627" t="str">
        <f t="shared" si="138"/>
        <v/>
      </c>
      <c r="S274" s="627" t="str">
        <f t="shared" si="139"/>
        <v/>
      </c>
      <c r="T274" s="627" t="str">
        <f t="shared" si="158"/>
        <v/>
      </c>
      <c r="U274" s="627" t="str">
        <f t="shared" si="159"/>
        <v/>
      </c>
      <c r="V274" s="627" t="str">
        <f>IF(G274="","",G274*R274)</f>
        <v/>
      </c>
      <c r="W274" s="627" t="str">
        <f ca="1">IF(H274="","",H274*R274)</f>
        <v/>
      </c>
      <c r="X274" s="636">
        <f t="shared" ca="1" si="161"/>
        <v>0</v>
      </c>
      <c r="Y274" s="627">
        <f t="shared" si="162"/>
        <v>0</v>
      </c>
      <c r="Z274" s="627">
        <f t="shared" ca="1" si="163"/>
        <v>0</v>
      </c>
      <c r="AA274" s="627" t="b">
        <f ca="1">IFERROR(IF(D274="x",IF(OR(G274/H274&gt;1.03,G274/H274&lt;0.97),TRUE,FALSE),FALSE),FALSE)</f>
        <v>0</v>
      </c>
      <c r="AB274" s="627">
        <f ca="1">IFERROR(J274*100,)</f>
        <v>0</v>
      </c>
      <c r="AC274" s="627"/>
      <c r="AD274" s="627">
        <f ca="1">RANK(AB274,$AB$238:$AB$293,0)</f>
        <v>1</v>
      </c>
      <c r="AE274" s="627">
        <f ca="1">AD274+COUNTIF($AD$238:$AD273,AD274)</f>
        <v>19</v>
      </c>
      <c r="AF274" s="627" t="str">
        <f>B274</f>
        <v>IT equipment</v>
      </c>
      <c r="AG274" s="627">
        <f t="shared" si="154"/>
        <v>1</v>
      </c>
      <c r="AH274" s="363"/>
      <c r="AI274" s="363"/>
      <c r="AJ274" s="627">
        <f t="shared" si="141"/>
        <v>1</v>
      </c>
      <c r="AK274" s="627">
        <v>1</v>
      </c>
      <c r="AL274" s="627">
        <f t="shared" ca="1" si="164"/>
        <v>0</v>
      </c>
      <c r="AM274" s="1783" t="str">
        <f t="shared" ca="1" si="165"/>
        <v/>
      </c>
      <c r="AP274" s="252"/>
      <c r="AR274" s="2486"/>
      <c r="AS274" s="2486"/>
      <c r="AT274" s="2486"/>
      <c r="AV274" s="2580"/>
      <c r="AW274" s="2486"/>
      <c r="AX274" s="2486"/>
      <c r="AY274" s="2486"/>
      <c r="BD274" s="2154"/>
      <c r="BG274" s="2832">
        <f t="shared" si="169"/>
        <v>0</v>
      </c>
      <c r="BH274" s="983">
        <f t="shared" si="170"/>
        <v>0</v>
      </c>
      <c r="BI274" s="983">
        <f t="shared" si="170"/>
        <v>0</v>
      </c>
      <c r="BJ274" s="983" t="str">
        <f>IF(BH274&lt;&gt;"",IFERROR(MATCH(BH274&amp;BI274,'Results from Trace'!$L$1:$L$21,0),""),"")</f>
        <v/>
      </c>
      <c r="BP274" s="2388" t="str">
        <f t="shared" si="142"/>
        <v/>
      </c>
      <c r="BQ274" s="1300" t="str">
        <f t="shared" si="143"/>
        <v/>
      </c>
      <c r="BR274" s="2389">
        <f t="shared" si="144"/>
        <v>0</v>
      </c>
      <c r="BT274" s="2397" t="str">
        <f t="shared" si="166"/>
        <v/>
      </c>
      <c r="BU274" s="1300" t="str">
        <f t="shared" si="145"/>
        <v/>
      </c>
      <c r="BV274" s="1300" t="str">
        <f t="shared" si="146"/>
        <v/>
      </c>
      <c r="BW274" s="2389">
        <f t="shared" si="147"/>
        <v>0</v>
      </c>
      <c r="BY274" s="2397" t="str">
        <f t="shared" si="167"/>
        <v/>
      </c>
      <c r="BZ274" s="1300" t="str">
        <f t="shared" si="148"/>
        <v/>
      </c>
      <c r="CA274" s="1300" t="str">
        <f t="shared" si="149"/>
        <v/>
      </c>
      <c r="CB274" s="2389">
        <f t="shared" si="150"/>
        <v>0</v>
      </c>
      <c r="CD274" s="2388" t="str">
        <f t="shared" si="168"/>
        <v/>
      </c>
      <c r="CE274" s="1300" t="str">
        <f t="shared" si="151"/>
        <v/>
      </c>
      <c r="CF274" s="1300" t="str">
        <f t="shared" si="152"/>
        <v/>
      </c>
      <c r="CG274" s="2389">
        <f t="shared" si="153"/>
        <v>0</v>
      </c>
    </row>
    <row r="275" spans="1:85" ht="16.2" customHeight="1" x14ac:dyDescent="0.25">
      <c r="A275" s="433" t="s">
        <v>1038</v>
      </c>
      <c r="B275" s="3839"/>
      <c r="C275" s="3854"/>
      <c r="D275" s="3857"/>
      <c r="E275" s="3839"/>
      <c r="F275" s="1299" t="str">
        <f>IFERROR(IF(ISBLANK(E274),"","Demand (" &amp; VLOOKUP($E274,PO_Enrgy_1_Table,MATCH($E$16,PO_Enrgy_1_Hdr,0),FALSE) &amp; ")"),"")</f>
        <v/>
      </c>
      <c r="G275" s="2790" t="str">
        <f>INDEX(PO_baseline_table,38, 10)</f>
        <v/>
      </c>
      <c r="H275" s="1783" t="str">
        <f t="shared" ca="1" si="137"/>
        <v/>
      </c>
      <c r="I275" s="1308" t="str">
        <f t="shared" ca="1" si="157"/>
        <v/>
      </c>
      <c r="J275" s="3850"/>
      <c r="K275" s="3851"/>
      <c r="L275" s="3851"/>
      <c r="M275" s="3853"/>
      <c r="R275" s="627" t="str">
        <f t="shared" si="138"/>
        <v/>
      </c>
      <c r="S275" s="627" t="str">
        <f t="shared" si="139"/>
        <v/>
      </c>
      <c r="T275" s="627" t="str">
        <f t="shared" si="158"/>
        <v/>
      </c>
      <c r="U275" s="627" t="str">
        <f t="shared" si="159"/>
        <v/>
      </c>
      <c r="V275" s="627"/>
      <c r="W275" s="627"/>
      <c r="X275" s="636">
        <f t="shared" ca="1" si="161"/>
        <v>0</v>
      </c>
      <c r="Y275" s="627">
        <f t="shared" si="162"/>
        <v>0</v>
      </c>
      <c r="Z275" s="627">
        <f t="shared" ca="1" si="163"/>
        <v>0</v>
      </c>
      <c r="AA275" s="627"/>
      <c r="AB275" s="627"/>
      <c r="AC275" s="627"/>
      <c r="AD275" s="627"/>
      <c r="AE275" s="627"/>
      <c r="AF275" s="627"/>
      <c r="AG275" s="627">
        <f t="shared" si="154"/>
        <v>0</v>
      </c>
      <c r="AH275" s="363"/>
      <c r="AI275" s="363"/>
      <c r="AJ275" s="627">
        <f t="shared" si="141"/>
        <v>0</v>
      </c>
      <c r="AK275" s="627"/>
      <c r="AL275" s="627" t="str">
        <f t="shared" si="164"/>
        <v/>
      </c>
      <c r="AM275" s="1783" t="str">
        <f t="shared" ca="1" si="165"/>
        <v/>
      </c>
      <c r="AP275" s="252"/>
      <c r="AR275" s="2486"/>
      <c r="AS275" s="2486"/>
      <c r="AT275" s="2486"/>
      <c r="AV275" s="2580"/>
      <c r="AW275" s="2486"/>
      <c r="AX275" s="2486"/>
      <c r="AY275" s="2486"/>
      <c r="BD275" s="2154"/>
      <c r="BG275" s="2832">
        <f t="shared" si="169"/>
        <v>0</v>
      </c>
      <c r="BH275" s="983">
        <f t="shared" si="170"/>
        <v>0</v>
      </c>
      <c r="BI275" s="983">
        <f t="shared" si="170"/>
        <v>0</v>
      </c>
      <c r="BJ275" s="983"/>
      <c r="BP275" s="2388" t="str">
        <f t="shared" si="142"/>
        <v/>
      </c>
      <c r="BQ275" s="1300" t="str">
        <f t="shared" si="143"/>
        <v>0</v>
      </c>
      <c r="BR275" s="2389">
        <f t="shared" si="144"/>
        <v>0</v>
      </c>
      <c r="BT275" s="2397" t="str">
        <f t="shared" si="166"/>
        <v/>
      </c>
      <c r="BU275" s="1300" t="str">
        <f t="shared" si="145"/>
        <v/>
      </c>
      <c r="BV275" s="1300" t="str">
        <f t="shared" si="146"/>
        <v>0</v>
      </c>
      <c r="BW275" s="2389">
        <f t="shared" si="147"/>
        <v>0</v>
      </c>
      <c r="BY275" s="2397" t="str">
        <f t="shared" si="167"/>
        <v/>
      </c>
      <c r="BZ275" s="1300" t="str">
        <f t="shared" si="148"/>
        <v/>
      </c>
      <c r="CA275" s="1300" t="str">
        <f t="shared" si="149"/>
        <v>0</v>
      </c>
      <c r="CB275" s="2389">
        <f t="shared" si="150"/>
        <v>0</v>
      </c>
      <c r="CD275" s="2388" t="str">
        <f t="shared" si="168"/>
        <v/>
      </c>
      <c r="CE275" s="1300" t="str">
        <f t="shared" si="151"/>
        <v/>
      </c>
      <c r="CF275" s="1300" t="str">
        <f t="shared" si="152"/>
        <v>0</v>
      </c>
      <c r="CG275" s="2389">
        <f t="shared" si="153"/>
        <v>0</v>
      </c>
    </row>
    <row r="276" spans="1:85" ht="16.2" customHeight="1" x14ac:dyDescent="0.25">
      <c r="A276" s="433" t="s">
        <v>1038</v>
      </c>
      <c r="B276" s="3839" t="str">
        <f>INDEX(PO_baseline_table,39, 1)</f>
        <v>Cooking</v>
      </c>
      <c r="C276" s="3854"/>
      <c r="D276" s="3856" t="str">
        <f>INDEX(PO_baseline_table,39, 3)</f>
        <v>x</v>
      </c>
      <c r="E276" s="3839" t="str">
        <f>INDEX(PO_baseline_table,39, 4)</f>
        <v>Electricity</v>
      </c>
      <c r="F276" s="1299" t="str">
        <f>IFERROR(IF(ISBLANK(E276),"","Consumption (" &amp; VLOOKUP($E276,PO_Enrgy_1_Table,MATCH($C$16,PO_Enrgy_1_Hdr,0),FALSE) &amp; ")"),"")</f>
        <v/>
      </c>
      <c r="G276" s="1782" t="str">
        <f>INDEX(PO_baseline_table,39, 10)</f>
        <v/>
      </c>
      <c r="H276" s="1783" t="str">
        <f t="shared" ca="1" si="137"/>
        <v/>
      </c>
      <c r="I276" s="1877" t="str">
        <f t="shared" ca="1" si="157"/>
        <v/>
      </c>
      <c r="J276" s="3849" t="str">
        <f ca="1">IFERROR(IF($E$457-$I$457&lt;0,"",($G276-$H276)*VLOOKUP($E276,PO_Enrgy_1_Table,MATCH($K$16,PO_Enrgy_1_Hdr,0),FALSE)/($E$457-$I$457)),"")</f>
        <v/>
      </c>
      <c r="K276" s="3851" t="str">
        <f ca="1">IFERROR(IF($G$457-$K$457&lt;0,"",($G276*VLOOKUP($E276,PO_Enrgy_8_Table,MATCH($E$310,PO_Enrgy_8_Hdr,0),FALSE)-($H276*VLOOKUP($E276,PO_Enrgy_8_Table,MATCH($H$310,PO_Enrgy_8_Hdr,0),FALSE)))/($G$457-$K$457)),"")</f>
        <v/>
      </c>
      <c r="L276" s="3851"/>
      <c r="M276" s="3852" t="str">
        <f ca="1">IFERROR((H276*R276)/$I$305,"")</f>
        <v/>
      </c>
      <c r="R276" s="627" t="str">
        <f t="shared" si="138"/>
        <v/>
      </c>
      <c r="S276" s="627" t="str">
        <f t="shared" si="139"/>
        <v/>
      </c>
      <c r="T276" s="627" t="str">
        <f t="shared" si="158"/>
        <v/>
      </c>
      <c r="U276" s="627" t="str">
        <f t="shared" si="159"/>
        <v/>
      </c>
      <c r="V276" s="627" t="str">
        <f>IF(G276="","",G276*R276)</f>
        <v/>
      </c>
      <c r="W276" s="627" t="str">
        <f ca="1">IF(H276="","",H276*R276)</f>
        <v/>
      </c>
      <c r="X276" s="636">
        <f t="shared" ca="1" si="161"/>
        <v>0</v>
      </c>
      <c r="Y276" s="627">
        <f t="shared" si="162"/>
        <v>0</v>
      </c>
      <c r="Z276" s="627">
        <f t="shared" ca="1" si="163"/>
        <v>0</v>
      </c>
      <c r="AA276" s="627" t="b">
        <f ca="1">IFERROR(IF(D276="x",IF(OR(G276/H276&gt;1.03,G276/H276&lt;0.97),TRUE,FALSE),FALSE),FALSE)</f>
        <v>0</v>
      </c>
      <c r="AB276" s="627">
        <f ca="1">IFERROR(J276*100,)</f>
        <v>0</v>
      </c>
      <c r="AC276" s="627"/>
      <c r="AD276" s="627">
        <f ca="1">RANK(AB276,$AB$238:$AB$293,0)</f>
        <v>1</v>
      </c>
      <c r="AE276" s="627">
        <f ca="1">AD276+COUNTIF($AD$238:$AD275,AD276)</f>
        <v>20</v>
      </c>
      <c r="AF276" s="627" t="str">
        <f>B276</f>
        <v>Cooking</v>
      </c>
      <c r="AG276" s="627">
        <f t="shared" si="154"/>
        <v>1</v>
      </c>
      <c r="AH276" s="363"/>
      <c r="AI276" s="363"/>
      <c r="AJ276" s="627">
        <f t="shared" si="141"/>
        <v>1</v>
      </c>
      <c r="AK276" s="627">
        <v>1</v>
      </c>
      <c r="AL276" s="627">
        <f t="shared" ca="1" si="164"/>
        <v>0</v>
      </c>
      <c r="AM276" s="1783" t="str">
        <f t="shared" ca="1" si="165"/>
        <v/>
      </c>
      <c r="AP276" s="252"/>
      <c r="AR276" s="2486"/>
      <c r="AS276" s="2486"/>
      <c r="AT276" s="2486"/>
      <c r="AV276" s="2580"/>
      <c r="AW276" s="2486"/>
      <c r="AX276" s="2486"/>
      <c r="AY276" s="2486"/>
      <c r="BD276" s="2154"/>
      <c r="BG276" s="2832">
        <f t="shared" si="169"/>
        <v>0</v>
      </c>
      <c r="BH276" s="983">
        <f>BL192</f>
        <v>0</v>
      </c>
      <c r="BI276" s="983">
        <f>BM192</f>
        <v>0</v>
      </c>
      <c r="BJ276" s="983" t="str">
        <f>IF(BH276&lt;&gt;"",IFERROR(MATCH(BH276&amp;BI276,'Results from Trace'!$L$1:$L$21,0),""),"")</f>
        <v/>
      </c>
      <c r="BP276" s="2388" t="str">
        <f t="shared" si="142"/>
        <v/>
      </c>
      <c r="BQ276" s="1300" t="str">
        <f t="shared" si="143"/>
        <v/>
      </c>
      <c r="BR276" s="2389">
        <f t="shared" si="144"/>
        <v>0</v>
      </c>
      <c r="BT276" s="2397" t="str">
        <f t="shared" si="166"/>
        <v/>
      </c>
      <c r="BU276" s="1300" t="str">
        <f t="shared" si="145"/>
        <v/>
      </c>
      <c r="BV276" s="1300" t="str">
        <f t="shared" si="146"/>
        <v/>
      </c>
      <c r="BW276" s="2389">
        <f t="shared" si="147"/>
        <v>0</v>
      </c>
      <c r="BY276" s="2397" t="str">
        <f t="shared" si="167"/>
        <v/>
      </c>
      <c r="BZ276" s="1300" t="str">
        <f t="shared" si="148"/>
        <v/>
      </c>
      <c r="CA276" s="1300" t="str">
        <f t="shared" si="149"/>
        <v/>
      </c>
      <c r="CB276" s="2389">
        <f t="shared" si="150"/>
        <v>0</v>
      </c>
      <c r="CD276" s="2388" t="str">
        <f t="shared" si="168"/>
        <v/>
      </c>
      <c r="CE276" s="1300" t="str">
        <f t="shared" si="151"/>
        <v/>
      </c>
      <c r="CF276" s="1300" t="str">
        <f t="shared" si="152"/>
        <v/>
      </c>
      <c r="CG276" s="2389">
        <f t="shared" si="153"/>
        <v>0</v>
      </c>
    </row>
    <row r="277" spans="1:85" ht="16.2" customHeight="1" x14ac:dyDescent="0.25">
      <c r="A277" s="433" t="s">
        <v>1038</v>
      </c>
      <c r="B277" s="3839"/>
      <c r="C277" s="3854"/>
      <c r="D277" s="3857"/>
      <c r="E277" s="3839"/>
      <c r="F277" s="1299" t="str">
        <f>IFERROR(IF(ISBLANK(E276),"","Demand (" &amp; VLOOKUP($E276,PO_Enrgy_1_Table,MATCH($E$16,PO_Enrgy_1_Hdr,0),FALSE) &amp; ")"),"")</f>
        <v/>
      </c>
      <c r="G277" s="2790" t="str">
        <f>INDEX(PO_baseline_table,40, 10)</f>
        <v/>
      </c>
      <c r="H277" s="1783" t="str">
        <f t="shared" ca="1" si="137"/>
        <v/>
      </c>
      <c r="I277" s="1308" t="str">
        <f t="shared" ca="1" si="157"/>
        <v/>
      </c>
      <c r="J277" s="3850"/>
      <c r="K277" s="3851"/>
      <c r="L277" s="3851"/>
      <c r="M277" s="3853"/>
      <c r="R277" s="627" t="str">
        <f t="shared" si="138"/>
        <v/>
      </c>
      <c r="S277" s="627" t="str">
        <f t="shared" si="139"/>
        <v/>
      </c>
      <c r="T277" s="627" t="str">
        <f t="shared" si="158"/>
        <v/>
      </c>
      <c r="U277" s="627" t="str">
        <f t="shared" si="159"/>
        <v/>
      </c>
      <c r="V277" s="627"/>
      <c r="W277" s="627"/>
      <c r="X277" s="636">
        <f t="shared" ca="1" si="161"/>
        <v>0</v>
      </c>
      <c r="Y277" s="627">
        <f t="shared" si="162"/>
        <v>0</v>
      </c>
      <c r="Z277" s="627">
        <f t="shared" ca="1" si="163"/>
        <v>0</v>
      </c>
      <c r="AA277" s="627"/>
      <c r="AB277" s="627"/>
      <c r="AC277" s="627"/>
      <c r="AD277" s="627"/>
      <c r="AE277" s="627"/>
      <c r="AF277" s="627"/>
      <c r="AG277" s="627">
        <f t="shared" si="154"/>
        <v>0</v>
      </c>
      <c r="AH277" s="363"/>
      <c r="AI277" s="363"/>
      <c r="AJ277" s="627">
        <f t="shared" si="141"/>
        <v>0</v>
      </c>
      <c r="AK277" s="627"/>
      <c r="AL277" s="627" t="str">
        <f t="shared" si="164"/>
        <v/>
      </c>
      <c r="AM277" s="1783" t="str">
        <f t="shared" ca="1" si="165"/>
        <v/>
      </c>
      <c r="AP277" s="252"/>
      <c r="AR277" s="2486"/>
      <c r="AS277" s="2486"/>
      <c r="AT277" s="2486"/>
      <c r="AV277" s="2580"/>
      <c r="AW277" s="2486"/>
      <c r="AX277" s="2486"/>
      <c r="AY277" s="2486"/>
      <c r="BD277" s="2154"/>
      <c r="BG277" s="2832">
        <f t="shared" si="169"/>
        <v>0</v>
      </c>
      <c r="BH277" s="983">
        <f>BL193</f>
        <v>0</v>
      </c>
      <c r="BI277" s="983">
        <f>BM193</f>
        <v>0</v>
      </c>
      <c r="BJ277" s="983"/>
      <c r="BP277" s="2388" t="str">
        <f t="shared" si="142"/>
        <v/>
      </c>
      <c r="BQ277" s="1300" t="str">
        <f t="shared" si="143"/>
        <v>0</v>
      </c>
      <c r="BR277" s="2389">
        <f t="shared" si="144"/>
        <v>0</v>
      </c>
      <c r="BT277" s="2397" t="str">
        <f t="shared" si="166"/>
        <v/>
      </c>
      <c r="BU277" s="1300" t="str">
        <f t="shared" si="145"/>
        <v/>
      </c>
      <c r="BV277" s="1300" t="str">
        <f t="shared" si="146"/>
        <v>0</v>
      </c>
      <c r="BW277" s="2389">
        <f t="shared" si="147"/>
        <v>0</v>
      </c>
      <c r="BY277" s="2397" t="str">
        <f t="shared" si="167"/>
        <v/>
      </c>
      <c r="BZ277" s="1300" t="str">
        <f t="shared" si="148"/>
        <v/>
      </c>
      <c r="CA277" s="1300" t="str">
        <f t="shared" si="149"/>
        <v>0</v>
      </c>
      <c r="CB277" s="2389">
        <f t="shared" si="150"/>
        <v>0</v>
      </c>
      <c r="CD277" s="2388" t="str">
        <f t="shared" si="168"/>
        <v/>
      </c>
      <c r="CE277" s="1300" t="str">
        <f t="shared" si="151"/>
        <v/>
      </c>
      <c r="CF277" s="1300" t="str">
        <f t="shared" si="152"/>
        <v>0</v>
      </c>
      <c r="CG277" s="2389">
        <f t="shared" si="153"/>
        <v>0</v>
      </c>
    </row>
    <row r="278" spans="1:85" ht="16.2" customHeight="1" x14ac:dyDescent="0.25">
      <c r="A278" s="433" t="s">
        <v>1038</v>
      </c>
      <c r="B278" s="3839" t="str">
        <f>INDEX(PO_baseline_table,41, 1)</f>
        <v>Industrial Process</v>
      </c>
      <c r="C278" s="3854"/>
      <c r="D278" s="3856" t="str">
        <f>INDEX(PO_baseline_table,41, 3)</f>
        <v>x</v>
      </c>
      <c r="E278" s="3839" t="str">
        <f>INDEX(PO_baseline_table,41, 4)</f>
        <v>Electricity</v>
      </c>
      <c r="F278" s="1299" t="str">
        <f>IFERROR(IF(ISBLANK(E278),"","Consumption (" &amp; VLOOKUP($E278,PO_Enrgy_1_Table,MATCH($C$16,PO_Enrgy_1_Hdr,0),FALSE) &amp; ")"),"")</f>
        <v/>
      </c>
      <c r="G278" s="1782" t="str">
        <f>INDEX(PO_baseline_table,41, 10)</f>
        <v/>
      </c>
      <c r="H278" s="1783" t="str">
        <f t="shared" ca="1" si="137"/>
        <v/>
      </c>
      <c r="I278" s="1877" t="str">
        <f t="shared" ca="1" si="157"/>
        <v/>
      </c>
      <c r="J278" s="3849" t="str">
        <f ca="1">IFERROR(IF($E$457-$I$457&lt;0,"",($G278-$H278)*VLOOKUP($E278,PO_Enrgy_1_Table,MATCH($K$16,PO_Enrgy_1_Hdr,0),FALSE)/($E$457-$I$457)),"")</f>
        <v/>
      </c>
      <c r="K278" s="3851" t="str">
        <f ca="1">IFERROR(IF($G$457-$K$457&lt;0,"",($G278*VLOOKUP($E278,PO_Enrgy_8_Table,MATCH($E$310,PO_Enrgy_8_Hdr,0),FALSE)-($H278*VLOOKUP($E278,PO_Enrgy_8_Table,MATCH($H$310,PO_Enrgy_8_Hdr,0),FALSE)))/($G$457-$K$457)),"")</f>
        <v/>
      </c>
      <c r="L278" s="3851"/>
      <c r="M278" s="3852" t="str">
        <f ca="1">IFERROR((H278*R278)/$I$305,"")</f>
        <v/>
      </c>
      <c r="R278" s="627" t="str">
        <f t="shared" si="138"/>
        <v/>
      </c>
      <c r="S278" s="627" t="str">
        <f t="shared" si="139"/>
        <v/>
      </c>
      <c r="T278" s="627" t="str">
        <f t="shared" si="158"/>
        <v/>
      </c>
      <c r="U278" s="627" t="str">
        <f t="shared" si="159"/>
        <v/>
      </c>
      <c r="V278" s="627" t="str">
        <f>IF(G278="","",G278*R278)</f>
        <v/>
      </c>
      <c r="W278" s="627" t="str">
        <f ca="1">IF(H278="","",H278*R278)</f>
        <v/>
      </c>
      <c r="X278" s="636">
        <f t="shared" ca="1" si="161"/>
        <v>0</v>
      </c>
      <c r="Y278" s="627">
        <f t="shared" si="162"/>
        <v>0</v>
      </c>
      <c r="Z278" s="627">
        <f t="shared" ca="1" si="163"/>
        <v>0</v>
      </c>
      <c r="AA278" s="627" t="b">
        <f ca="1">IFERROR(IF(D278="x",IF(OR(G278/H278&gt;1.03,G278/H278&lt;0.97),TRUE,FALSE),FALSE),FALSE)</f>
        <v>0</v>
      </c>
      <c r="AB278" s="627">
        <f ca="1">IFERROR(J278*100,)</f>
        <v>0</v>
      </c>
      <c r="AC278" s="627"/>
      <c r="AD278" s="627">
        <f ca="1">RANK(AB278,$AB$238:$AB$293,0)</f>
        <v>1</v>
      </c>
      <c r="AE278" s="627">
        <f ca="1">AD278+COUNTIF($AD$238:$AD277,AD278)</f>
        <v>21</v>
      </c>
      <c r="AF278" s="627" t="str">
        <f>B278</f>
        <v>Industrial Process</v>
      </c>
      <c r="AG278" s="627">
        <f t="shared" si="154"/>
        <v>1</v>
      </c>
      <c r="AH278" s="363"/>
      <c r="AI278" s="363"/>
      <c r="AJ278" s="627">
        <f t="shared" si="141"/>
        <v>1</v>
      </c>
      <c r="AK278" s="627">
        <v>1</v>
      </c>
      <c r="AL278" s="627">
        <f ca="1">IFERROR(IF(D278="x",(ABS(G278-H278))/(MIN(G278,H278)),""),0)</f>
        <v>0</v>
      </c>
      <c r="AM278" s="1783" t="str">
        <f t="shared" ca="1" si="165"/>
        <v/>
      </c>
      <c r="AP278" s="252"/>
      <c r="AR278" s="2486"/>
      <c r="AS278" s="2486"/>
      <c r="AT278" s="2486"/>
      <c r="AV278" s="2580"/>
      <c r="AW278" s="2486"/>
      <c r="AX278" s="2486"/>
      <c r="AY278" s="2486"/>
      <c r="BD278" s="2154"/>
      <c r="BG278" s="2832">
        <f t="shared" si="169"/>
        <v>0</v>
      </c>
      <c r="BH278" s="983">
        <f>BL158</f>
        <v>0</v>
      </c>
      <c r="BI278" s="983">
        <f>BM158</f>
        <v>0</v>
      </c>
      <c r="BJ278" s="983" t="str">
        <f>IF(BH278&lt;&gt;"",IFERROR(MATCH(BH278&amp;BI278,'Results from Trace'!$L$1:$L$21,0),""),"")</f>
        <v/>
      </c>
      <c r="BP278" s="2388" t="str">
        <f t="shared" si="142"/>
        <v/>
      </c>
      <c r="BQ278" s="1300" t="str">
        <f t="shared" si="143"/>
        <v/>
      </c>
      <c r="BR278" s="2389">
        <f t="shared" si="144"/>
        <v>0</v>
      </c>
      <c r="BT278" s="2397" t="str">
        <f t="shared" si="166"/>
        <v/>
      </c>
      <c r="BU278" s="1300" t="str">
        <f t="shared" si="145"/>
        <v/>
      </c>
      <c r="BV278" s="1300" t="str">
        <f t="shared" si="146"/>
        <v/>
      </c>
      <c r="BW278" s="2389">
        <f t="shared" si="147"/>
        <v>0</v>
      </c>
      <c r="BY278" s="2397" t="str">
        <f t="shared" si="167"/>
        <v/>
      </c>
      <c r="BZ278" s="1300" t="str">
        <f t="shared" si="148"/>
        <v/>
      </c>
      <c r="CA278" s="1300" t="str">
        <f t="shared" si="149"/>
        <v/>
      </c>
      <c r="CB278" s="2389">
        <f t="shared" si="150"/>
        <v>0</v>
      </c>
      <c r="CD278" s="2388" t="str">
        <f t="shared" si="168"/>
        <v/>
      </c>
      <c r="CE278" s="1300" t="str">
        <f t="shared" si="151"/>
        <v/>
      </c>
      <c r="CF278" s="1300" t="str">
        <f t="shared" si="152"/>
        <v/>
      </c>
      <c r="CG278" s="2389">
        <f t="shared" si="153"/>
        <v>0</v>
      </c>
    </row>
    <row r="279" spans="1:85" ht="16.2" customHeight="1" x14ac:dyDescent="0.25">
      <c r="A279" s="433" t="s">
        <v>1038</v>
      </c>
      <c r="B279" s="3839"/>
      <c r="C279" s="3854"/>
      <c r="D279" s="3857"/>
      <c r="E279" s="3839"/>
      <c r="F279" s="1299" t="str">
        <f>IFERROR(IF(ISBLANK(E278),"","Demand (" &amp; VLOOKUP($E278,PO_Enrgy_1_Table,MATCH($E$16,PO_Enrgy_1_Hdr,0),FALSE) &amp; ")"),"")</f>
        <v/>
      </c>
      <c r="G279" s="2790" t="str">
        <f>INDEX(PO_baseline_table,42, 10)</f>
        <v/>
      </c>
      <c r="H279" s="1783" t="str">
        <f t="shared" ca="1" si="137"/>
        <v/>
      </c>
      <c r="I279" s="1308" t="str">
        <f t="shared" ca="1" si="157"/>
        <v/>
      </c>
      <c r="J279" s="3850"/>
      <c r="K279" s="3851"/>
      <c r="L279" s="3851"/>
      <c r="M279" s="3853"/>
      <c r="R279" s="627" t="str">
        <f t="shared" si="138"/>
        <v/>
      </c>
      <c r="S279" s="627" t="str">
        <f t="shared" si="139"/>
        <v/>
      </c>
      <c r="T279" s="627" t="str">
        <f>IFERROR(IF(FIND("Consumption",F279),(G279*VLOOKUP(MID(F279,FIND("(",F279)+1,LEN(F279)-FIND("(",F279)-1),EnergyUnitsTable,3,FALSE))/(G246*VLOOKUP(MID(F246,FIND("(",F246)+1,LEN(F246)-FIND("(",F246)-1),DemandTable,3,FALSE)),1),"")</f>
        <v/>
      </c>
      <c r="U279" s="627" t="str">
        <f>IFERROR(IF(FIND("Consumption",$F279),(H279*VLOOKUP(MID($F279,FIND("(",$F279)+1,LEN($F279)-FIND("(",$F279)-1),EnergyUnitsTable,3,FALSE))/(H246*VLOOKUP(MID($F246,FIND("(",$F246)+1,LEN($F246)-FIND("(",$F246)-1),DemandTable,3,FALSE)),1),"")</f>
        <v/>
      </c>
      <c r="V279" s="627"/>
      <c r="W279" s="627"/>
      <c r="X279" s="636">
        <f t="shared" ca="1" si="161"/>
        <v>0</v>
      </c>
      <c r="Y279" s="627">
        <f t="shared" si="162"/>
        <v>0</v>
      </c>
      <c r="Z279" s="627">
        <f t="shared" ca="1" si="163"/>
        <v>0</v>
      </c>
      <c r="AA279" s="627"/>
      <c r="AB279" s="627"/>
      <c r="AC279" s="627"/>
      <c r="AD279" s="627"/>
      <c r="AE279" s="627"/>
      <c r="AF279" s="627"/>
      <c r="AG279" s="627">
        <f t="shared" si="154"/>
        <v>0</v>
      </c>
      <c r="AH279" s="363"/>
      <c r="AI279" s="363"/>
      <c r="AJ279" s="627">
        <f t="shared" si="141"/>
        <v>0</v>
      </c>
      <c r="AK279" s="627"/>
      <c r="AL279" s="627" t="str">
        <f t="shared" si="164"/>
        <v/>
      </c>
      <c r="AM279" s="1783" t="str">
        <f t="shared" ca="1" si="165"/>
        <v/>
      </c>
      <c r="AP279" s="252"/>
      <c r="AR279" s="2486"/>
      <c r="AS279" s="2486"/>
      <c r="AT279" s="2486"/>
      <c r="AV279" s="2580"/>
      <c r="AW279" s="2486"/>
      <c r="AX279" s="2486"/>
      <c r="AY279" s="2486"/>
      <c r="BD279" s="2154"/>
      <c r="BG279" s="2832">
        <f t="shared" si="169"/>
        <v>0</v>
      </c>
      <c r="BH279" s="983">
        <f>BL159</f>
        <v>0</v>
      </c>
      <c r="BI279" s="983">
        <f>BM159</f>
        <v>0</v>
      </c>
      <c r="BJ279" s="983"/>
      <c r="BP279" s="2388" t="str">
        <f t="shared" si="142"/>
        <v/>
      </c>
      <c r="BQ279" s="1300" t="str">
        <f t="shared" si="143"/>
        <v>0</v>
      </c>
      <c r="BR279" s="2389">
        <f t="shared" si="144"/>
        <v>0</v>
      </c>
      <c r="BT279" s="2397" t="str">
        <f t="shared" si="166"/>
        <v/>
      </c>
      <c r="BU279" s="1300" t="str">
        <f t="shared" si="145"/>
        <v/>
      </c>
      <c r="BV279" s="1300" t="str">
        <f t="shared" si="146"/>
        <v>0</v>
      </c>
      <c r="BW279" s="2389">
        <f t="shared" si="147"/>
        <v>0</v>
      </c>
      <c r="BY279" s="2397" t="str">
        <f t="shared" si="167"/>
        <v/>
      </c>
      <c r="BZ279" s="1300" t="str">
        <f t="shared" si="148"/>
        <v/>
      </c>
      <c r="CA279" s="1300" t="str">
        <f t="shared" si="149"/>
        <v>0</v>
      </c>
      <c r="CB279" s="2389">
        <f t="shared" si="150"/>
        <v>0</v>
      </c>
      <c r="CD279" s="2388" t="str">
        <f t="shared" si="168"/>
        <v/>
      </c>
      <c r="CE279" s="1300" t="str">
        <f t="shared" si="151"/>
        <v/>
      </c>
      <c r="CF279" s="1300" t="str">
        <f t="shared" si="152"/>
        <v>0</v>
      </c>
      <c r="CG279" s="2389">
        <f t="shared" si="153"/>
        <v>0</v>
      </c>
    </row>
    <row r="280" spans="1:85" ht="16.2" customHeight="1" x14ac:dyDescent="0.25">
      <c r="A280" s="433" t="s">
        <v>1038</v>
      </c>
      <c r="B280" s="3839" t="str">
        <f>INDEX(PO_baseline_table,43, 1)</f>
        <v>Refrigeration Equipment (Regulated)</v>
      </c>
      <c r="C280" s="3854"/>
      <c r="D280" s="3856">
        <f>INDEX(PO_baseline_table,43, 3)</f>
        <v>0</v>
      </c>
      <c r="E280" s="3839" t="str">
        <f>INDEX(PO_baseline_table,43, 4)</f>
        <v>Electricity</v>
      </c>
      <c r="F280" s="1299" t="str">
        <f>IFERROR(IF(ISBLANK(E280),"","Consumption (" &amp; VLOOKUP($E280,PO_Enrgy_1_Table,MATCH($C$16,PO_Enrgy_1_Hdr,0),FALSE) &amp; ")"),"")</f>
        <v/>
      </c>
      <c r="G280" s="1782" t="str">
        <f>INDEX(PO_baseline_table,43, 10)</f>
        <v/>
      </c>
      <c r="H280" s="1783" t="str">
        <f t="shared" ca="1" si="137"/>
        <v/>
      </c>
      <c r="I280" s="1877" t="str">
        <f t="shared" ca="1" si="157"/>
        <v/>
      </c>
      <c r="J280" s="3849" t="str">
        <f ca="1">IFERROR(IF($E$457-$I$457&lt;0,"",($G280-$H280)*VLOOKUP($E280,PO_Enrgy_1_Table,MATCH($K$16,PO_Enrgy_1_Hdr,0),FALSE)/($E$457-$I$457)),"")</f>
        <v/>
      </c>
      <c r="K280" s="3851" t="str">
        <f ca="1">IFERROR(IF($G$457-$K$457&lt;0,"",($G280*VLOOKUP($E280,PO_Enrgy_8_Table,MATCH($E$310,PO_Enrgy_8_Hdr,0),FALSE)-($H280*VLOOKUP($E280,PO_Enrgy_8_Table,MATCH($H$310,PO_Enrgy_8_Hdr,0),FALSE)))/($G$457-$K$457)),"")</f>
        <v/>
      </c>
      <c r="L280" s="3851"/>
      <c r="M280" s="3852" t="str">
        <f ca="1">IFERROR((H280*R280)/$I$305,"")</f>
        <v/>
      </c>
      <c r="R280" s="627" t="str">
        <f t="shared" si="138"/>
        <v/>
      </c>
      <c r="S280" s="627" t="str">
        <f t="shared" si="139"/>
        <v/>
      </c>
      <c r="T280" s="627" t="str">
        <f t="shared" si="158"/>
        <v/>
      </c>
      <c r="U280" s="627" t="str">
        <f t="shared" si="159"/>
        <v/>
      </c>
      <c r="V280" s="627" t="str">
        <f>IF(G280="","",G280*R280)</f>
        <v/>
      </c>
      <c r="W280" s="627" t="str">
        <f ca="1">IF(H280="","",H280*R280)</f>
        <v/>
      </c>
      <c r="X280" s="636">
        <f t="shared" ca="1" si="161"/>
        <v>0</v>
      </c>
      <c r="Y280" s="627">
        <f t="shared" si="162"/>
        <v>0</v>
      </c>
      <c r="Z280" s="627">
        <f t="shared" ca="1" si="163"/>
        <v>0</v>
      </c>
      <c r="AA280" s="627" t="b">
        <f>IFERROR(IF(D280="x",IF(OR(G280/H280&gt;1.03,G280/H280&lt;0.97),TRUE,FALSE),FALSE),FALSE)</f>
        <v>0</v>
      </c>
      <c r="AB280" s="627">
        <f ca="1">IFERROR(J280*100,)</f>
        <v>0</v>
      </c>
      <c r="AC280" s="627"/>
      <c r="AD280" s="627">
        <f ca="1">RANK(AB280,$AB$238:$AB$293,0)</f>
        <v>1</v>
      </c>
      <c r="AE280" s="627">
        <f ca="1">AD280+COUNTIF($AD$238:$AD279,AD280)</f>
        <v>22</v>
      </c>
      <c r="AF280" s="627" t="str">
        <f>B280</f>
        <v>Refrigeration Equipment (Regulated)</v>
      </c>
      <c r="AG280" s="627">
        <f t="shared" si="154"/>
        <v>0</v>
      </c>
      <c r="AH280" s="363"/>
      <c r="AI280" s="363"/>
      <c r="AJ280" s="627">
        <f t="shared" si="141"/>
        <v>0</v>
      </c>
      <c r="AK280" s="627">
        <v>1</v>
      </c>
      <c r="AL280" s="627" t="str">
        <f t="shared" si="164"/>
        <v/>
      </c>
      <c r="AM280" s="1783" t="str">
        <f t="shared" ca="1" si="165"/>
        <v/>
      </c>
      <c r="AP280" s="252"/>
      <c r="AR280" s="2486"/>
      <c r="AS280" s="2486"/>
      <c r="AT280" s="2486"/>
      <c r="AV280" s="2580"/>
      <c r="AW280" s="2486"/>
      <c r="AX280" s="2486"/>
      <c r="AY280" s="2486"/>
      <c r="BD280" s="2154"/>
      <c r="BG280" s="2832" t="str">
        <f t="shared" si="169"/>
        <v>T</v>
      </c>
      <c r="BH280" s="983">
        <f>BL196</f>
        <v>0</v>
      </c>
      <c r="BI280" s="983">
        <f>BM196</f>
        <v>0</v>
      </c>
      <c r="BJ280" s="983" t="str">
        <f>IF(BH280&lt;&gt;"",IFERROR(MATCH(BH280&amp;BI280,'Results from Trace'!$L$1:$L$21,0),""),"")</f>
        <v/>
      </c>
      <c r="BP280" s="2388" t="str">
        <f t="shared" si="142"/>
        <v/>
      </c>
      <c r="BQ280" s="1300" t="str">
        <f t="shared" si="143"/>
        <v>0</v>
      </c>
      <c r="BR280" s="2389">
        <f t="shared" si="144"/>
        <v>0</v>
      </c>
      <c r="BT280" s="2397" t="str">
        <f t="shared" si="166"/>
        <v/>
      </c>
      <c r="BU280" s="1300" t="str">
        <f t="shared" si="145"/>
        <v/>
      </c>
      <c r="BV280" s="1300" t="str">
        <f t="shared" si="146"/>
        <v>0</v>
      </c>
      <c r="BW280" s="2389">
        <f t="shared" si="147"/>
        <v>0</v>
      </c>
      <c r="BY280" s="2397" t="str">
        <f t="shared" si="167"/>
        <v/>
      </c>
      <c r="BZ280" s="1300" t="str">
        <f t="shared" si="148"/>
        <v/>
      </c>
      <c r="CA280" s="1300" t="str">
        <f t="shared" si="149"/>
        <v>0</v>
      </c>
      <c r="CB280" s="2389">
        <f t="shared" si="150"/>
        <v>0</v>
      </c>
      <c r="CD280" s="2388" t="str">
        <f t="shared" si="168"/>
        <v/>
      </c>
      <c r="CE280" s="1300" t="str">
        <f t="shared" si="151"/>
        <v/>
      </c>
      <c r="CF280" s="1300" t="str">
        <f t="shared" si="152"/>
        <v>0</v>
      </c>
      <c r="CG280" s="2389">
        <f t="shared" si="153"/>
        <v>0</v>
      </c>
    </row>
    <row r="281" spans="1:85" ht="15.75" customHeight="1" x14ac:dyDescent="0.25">
      <c r="A281" s="433" t="s">
        <v>1038</v>
      </c>
      <c r="B281" s="3839"/>
      <c r="C281" s="3854"/>
      <c r="D281" s="3857"/>
      <c r="E281" s="3839"/>
      <c r="F281" s="1299" t="str">
        <f>IFERROR(IF(ISBLANK(E280),"","Demand (" &amp; VLOOKUP($E280,PO_Enrgy_1_Table,MATCH($E$16,PO_Enrgy_1_Hdr,0),FALSE) &amp; ")"),"")</f>
        <v/>
      </c>
      <c r="G281" s="2790" t="str">
        <f>INDEX(PO_baseline_table,44, 10)</f>
        <v/>
      </c>
      <c r="H281" s="1783" t="str">
        <f t="shared" ca="1" si="137"/>
        <v/>
      </c>
      <c r="I281" s="1308" t="str">
        <f t="shared" ca="1" si="157"/>
        <v/>
      </c>
      <c r="J281" s="3850"/>
      <c r="K281" s="3851"/>
      <c r="L281" s="3851"/>
      <c r="M281" s="3853"/>
      <c r="R281" s="627" t="str">
        <f t="shared" si="138"/>
        <v/>
      </c>
      <c r="S281" s="627" t="str">
        <f t="shared" si="139"/>
        <v/>
      </c>
      <c r="T281" s="627" t="str">
        <f>IFERROR(IF(FIND("Consumption",F281),(G281*VLOOKUP(MID(F281,FIND("(",F281)+1,LEN(F281)-FIND("(",F281)-1),EnergyUnitsTable,3,FALSE))/(G250*VLOOKUP(MID(F250,FIND("(",F250)+1,LEN(F250)-FIND("(",F250)-1),DemandTable,3,FALSE)),1),"")</f>
        <v/>
      </c>
      <c r="U281" s="627" t="str">
        <f>IFERROR(IF(FIND("Consumption",$F281),(H281*VLOOKUP(MID($F281,FIND("(",$F281)+1,LEN($F281)-FIND("(",$F281)-1),EnergyUnitsTable,3,FALSE))/(H250*VLOOKUP(MID($F250,FIND("(",$F250)+1,LEN($F250)-FIND("(",$F250)-1),DemandTable,3,FALSE)),1),"")</f>
        <v/>
      </c>
      <c r="V281" s="627"/>
      <c r="W281" s="627"/>
      <c r="X281" s="636">
        <f t="shared" ca="1" si="161"/>
        <v>0</v>
      </c>
      <c r="Y281" s="627">
        <f t="shared" si="162"/>
        <v>0</v>
      </c>
      <c r="Z281" s="627">
        <f t="shared" ca="1" si="163"/>
        <v>0</v>
      </c>
      <c r="AA281" s="627"/>
      <c r="AB281" s="627"/>
      <c r="AC281" s="627"/>
      <c r="AD281" s="627"/>
      <c r="AE281" s="627"/>
      <c r="AF281" s="627"/>
      <c r="AG281" s="627">
        <f t="shared" si="154"/>
        <v>0</v>
      </c>
      <c r="AH281" s="363"/>
      <c r="AI281" s="363"/>
      <c r="AJ281" s="627">
        <f t="shared" si="141"/>
        <v>0</v>
      </c>
      <c r="AK281" s="627"/>
      <c r="AL281" s="627" t="str">
        <f t="shared" si="164"/>
        <v/>
      </c>
      <c r="AM281" s="1783" t="str">
        <f t="shared" ca="1" si="165"/>
        <v/>
      </c>
      <c r="AP281" s="252"/>
      <c r="AR281" s="2486"/>
      <c r="AS281" s="2486"/>
      <c r="AT281" s="2486"/>
      <c r="AV281" s="2580"/>
      <c r="AW281" s="2486"/>
      <c r="AX281" s="2486"/>
      <c r="AY281" s="2486"/>
      <c r="BD281" s="2154"/>
      <c r="BG281" s="2832" t="str">
        <f t="shared" si="169"/>
        <v>AG</v>
      </c>
      <c r="BH281" s="983">
        <f>BL197</f>
        <v>0</v>
      </c>
      <c r="BI281" s="983">
        <f>BM197</f>
        <v>0</v>
      </c>
      <c r="BJ281" s="983"/>
      <c r="BP281" s="2388" t="str">
        <f t="shared" si="142"/>
        <v/>
      </c>
      <c r="BQ281" s="1300" t="str">
        <f t="shared" si="143"/>
        <v>0</v>
      </c>
      <c r="BR281" s="2389">
        <f t="shared" si="144"/>
        <v>0</v>
      </c>
      <c r="BT281" s="2397" t="str">
        <f t="shared" si="166"/>
        <v/>
      </c>
      <c r="BU281" s="1300" t="str">
        <f t="shared" si="145"/>
        <v/>
      </c>
      <c r="BV281" s="1300" t="str">
        <f t="shared" si="146"/>
        <v>0</v>
      </c>
      <c r="BW281" s="2389">
        <f t="shared" si="147"/>
        <v>0</v>
      </c>
      <c r="BY281" s="2397" t="str">
        <f t="shared" si="167"/>
        <v/>
      </c>
      <c r="BZ281" s="1300" t="str">
        <f t="shared" si="148"/>
        <v/>
      </c>
      <c r="CA281" s="1300" t="str">
        <f t="shared" si="149"/>
        <v>0</v>
      </c>
      <c r="CB281" s="2389">
        <f t="shared" si="150"/>
        <v>0</v>
      </c>
      <c r="CD281" s="2388" t="str">
        <f t="shared" si="168"/>
        <v/>
      </c>
      <c r="CE281" s="1300" t="str">
        <f t="shared" si="151"/>
        <v/>
      </c>
      <c r="CF281" s="1300" t="str">
        <f t="shared" si="152"/>
        <v>0</v>
      </c>
      <c r="CG281" s="2389">
        <f t="shared" si="153"/>
        <v>0</v>
      </c>
    </row>
    <row r="282" spans="1:85" ht="16.2" customHeight="1" x14ac:dyDescent="0.25">
      <c r="A282" s="433" t="s">
        <v>1038</v>
      </c>
      <c r="B282" s="3839" t="str">
        <f>INDEX(PO_baseline_table,45, 1)</f>
        <v>Refrigeration Equipment (Unregulated)</v>
      </c>
      <c r="C282" s="3854"/>
      <c r="D282" s="3856" t="str">
        <f>INDEX(PO_baseline_table,45, 3)</f>
        <v>x</v>
      </c>
      <c r="E282" s="3839" t="str">
        <f>INDEX(PO_baseline_table,45, 4)</f>
        <v>Electricity</v>
      </c>
      <c r="F282" s="1299" t="str">
        <f>IFERROR(IF(ISBLANK(E282),"","Consumption (" &amp; VLOOKUP($E282,PO_Enrgy_1_Table,MATCH($C$16,PO_Enrgy_1_Hdr,0),FALSE) &amp; ")"),"")</f>
        <v/>
      </c>
      <c r="G282" s="1782" t="str">
        <f>INDEX(PO_baseline_table,45, 10)</f>
        <v/>
      </c>
      <c r="H282" s="1783" t="str">
        <f t="shared" ca="1" si="137"/>
        <v/>
      </c>
      <c r="I282" s="1877" t="str">
        <f ca="1">IFERROR(1-H282/G282,"")</f>
        <v/>
      </c>
      <c r="J282" s="3849" t="str">
        <f ca="1">IFERROR(IF($E$457-$I$457&lt;0,"",($G282-$H282)*VLOOKUP($E282,PO_Enrgy_1_Table,MATCH($K$16,PO_Enrgy_1_Hdr,0),FALSE)/($E$457-$I$457)),"")</f>
        <v/>
      </c>
      <c r="K282" s="3851" t="str">
        <f ca="1">IFERROR(IF($G$457-$K$457&lt;0,"",($G282*VLOOKUP($E282,PO_Enrgy_8_Table,MATCH($E$310,PO_Enrgy_8_Hdr,0),FALSE)-($H282*VLOOKUP($E282,PO_Enrgy_8_Table,MATCH($H$310,PO_Enrgy_8_Hdr,0),FALSE)))/($G$457-$K$457)),"")</f>
        <v/>
      </c>
      <c r="L282" s="3851"/>
      <c r="M282" s="3852" t="str">
        <f ca="1">IFERROR((H282*R282)/$I$305,"")</f>
        <v/>
      </c>
      <c r="R282" s="627" t="str">
        <f t="shared" si="138"/>
        <v/>
      </c>
      <c r="S282" s="627" t="str">
        <f t="shared" si="139"/>
        <v/>
      </c>
      <c r="T282" s="627" t="str">
        <f t="shared" si="158"/>
        <v/>
      </c>
      <c r="U282" s="627" t="str">
        <f t="shared" si="159"/>
        <v/>
      </c>
      <c r="V282" s="627" t="str">
        <f>IF(G282="","",G282*R282)</f>
        <v/>
      </c>
      <c r="W282" s="627" t="str">
        <f ca="1">IF(H282="","",H282*R282)</f>
        <v/>
      </c>
      <c r="X282" s="636">
        <f t="shared" ca="1" si="161"/>
        <v>0</v>
      </c>
      <c r="Y282" s="627">
        <f t="shared" si="162"/>
        <v>0</v>
      </c>
      <c r="Z282" s="627">
        <f t="shared" ca="1" si="163"/>
        <v>0</v>
      </c>
      <c r="AA282" s="627" t="b">
        <f ca="1">IFERROR(IF(D282="x",IF(OR(G282/H282&gt;1.03,G282/H282&lt;0.97),TRUE,FALSE),FALSE),FALSE)</f>
        <v>0</v>
      </c>
      <c r="AB282" s="627">
        <f ca="1">IFERROR(J282*100,)</f>
        <v>0</v>
      </c>
      <c r="AC282" s="627"/>
      <c r="AD282" s="627">
        <f ca="1">RANK(AB282,$AB$238:$AB$293,0)</f>
        <v>1</v>
      </c>
      <c r="AE282" s="627">
        <f ca="1">AD282+COUNTIF($AD$238:$AD281,AD282)</f>
        <v>23</v>
      </c>
      <c r="AF282" s="627" t="str">
        <f>B282</f>
        <v>Refrigeration Equipment (Unregulated)</v>
      </c>
      <c r="AG282" s="627">
        <f t="shared" si="154"/>
        <v>1</v>
      </c>
      <c r="AH282" s="363"/>
      <c r="AI282" s="363"/>
      <c r="AJ282" s="627">
        <f t="shared" si="141"/>
        <v>1</v>
      </c>
      <c r="AK282" s="627">
        <v>1</v>
      </c>
      <c r="AL282" s="627">
        <f t="shared" ca="1" si="164"/>
        <v>0</v>
      </c>
      <c r="AM282" s="1783" t="str">
        <f t="shared" ca="1" si="165"/>
        <v/>
      </c>
      <c r="AP282" s="252"/>
      <c r="AR282" s="2486"/>
      <c r="AS282" s="2486"/>
      <c r="AT282" s="2486"/>
      <c r="AV282" s="2580"/>
      <c r="AW282" s="2486"/>
      <c r="AX282" s="2486"/>
      <c r="AY282" s="2486"/>
      <c r="BD282" s="2154"/>
      <c r="BG282" s="2832">
        <f t="shared" si="169"/>
        <v>0</v>
      </c>
      <c r="BH282" s="983">
        <f>BL162</f>
        <v>0</v>
      </c>
      <c r="BI282" s="983">
        <f>BM162</f>
        <v>0</v>
      </c>
      <c r="BJ282" s="983" t="str">
        <f>IF(BH282&lt;&gt;"",IFERROR(MATCH(BH282&amp;BI282,'Results from Trace'!$L$1:$L$21,0),""),"")</f>
        <v/>
      </c>
      <c r="BP282" s="2388" t="str">
        <f t="shared" si="142"/>
        <v/>
      </c>
      <c r="BQ282" s="1300" t="str">
        <f t="shared" si="143"/>
        <v/>
      </c>
      <c r="BR282" s="2389">
        <f t="shared" si="144"/>
        <v>0</v>
      </c>
      <c r="BT282" s="2397" t="str">
        <f t="shared" si="166"/>
        <v/>
      </c>
      <c r="BU282" s="1300" t="str">
        <f t="shared" si="145"/>
        <v/>
      </c>
      <c r="BV282" s="1300" t="str">
        <f t="shared" si="146"/>
        <v/>
      </c>
      <c r="BW282" s="2389">
        <f t="shared" si="147"/>
        <v>0</v>
      </c>
      <c r="BY282" s="2397" t="str">
        <f t="shared" si="167"/>
        <v/>
      </c>
      <c r="BZ282" s="1300" t="str">
        <f t="shared" si="148"/>
        <v/>
      </c>
      <c r="CA282" s="1300" t="str">
        <f t="shared" si="149"/>
        <v/>
      </c>
      <c r="CB282" s="2389">
        <f t="shared" si="150"/>
        <v>0</v>
      </c>
      <c r="CD282" s="2388" t="str">
        <f t="shared" si="168"/>
        <v/>
      </c>
      <c r="CE282" s="1300" t="str">
        <f t="shared" si="151"/>
        <v/>
      </c>
      <c r="CF282" s="1300" t="str">
        <f t="shared" si="152"/>
        <v/>
      </c>
      <c r="CG282" s="2389">
        <f t="shared" si="153"/>
        <v>0</v>
      </c>
    </row>
    <row r="283" spans="1:85" ht="15.75" customHeight="1" x14ac:dyDescent="0.25">
      <c r="A283" s="433" t="s">
        <v>1038</v>
      </c>
      <c r="B283" s="3839"/>
      <c r="C283" s="3854"/>
      <c r="D283" s="3857"/>
      <c r="E283" s="3839"/>
      <c r="F283" s="1299" t="str">
        <f>IFERROR(IF(ISBLANK(E282),"","Demand (" &amp; VLOOKUP($E282,PO_Enrgy_1_Table,MATCH($E$16,PO_Enrgy_1_Hdr,0),FALSE) &amp; ")"),"")</f>
        <v/>
      </c>
      <c r="G283" s="2790" t="str">
        <f>INDEX(PO_baseline_table,46, 10)</f>
        <v/>
      </c>
      <c r="H283" s="1783" t="str">
        <f t="shared" ca="1" si="137"/>
        <v/>
      </c>
      <c r="I283" s="1308" t="str">
        <f ca="1">IFERROR(1-H283/G283,"")</f>
        <v/>
      </c>
      <c r="J283" s="3850"/>
      <c r="K283" s="3851"/>
      <c r="L283" s="3851"/>
      <c r="M283" s="3853"/>
      <c r="R283" s="627" t="str">
        <f t="shared" si="138"/>
        <v/>
      </c>
      <c r="S283" s="627" t="str">
        <f t="shared" si="139"/>
        <v/>
      </c>
      <c r="T283" s="627" t="str">
        <f t="shared" si="158"/>
        <v/>
      </c>
      <c r="U283" s="627" t="str">
        <f t="shared" si="159"/>
        <v/>
      </c>
      <c r="V283" s="627"/>
      <c r="W283" s="627"/>
      <c r="X283" s="636">
        <f t="shared" ca="1" si="161"/>
        <v>0</v>
      </c>
      <c r="Y283" s="627">
        <f t="shared" si="162"/>
        <v>0</v>
      </c>
      <c r="Z283" s="627">
        <f t="shared" ca="1" si="163"/>
        <v>0</v>
      </c>
      <c r="AA283" s="627"/>
      <c r="AB283" s="627"/>
      <c r="AC283" s="627"/>
      <c r="AD283" s="627"/>
      <c r="AE283" s="627"/>
      <c r="AF283" s="627"/>
      <c r="AG283" s="627">
        <f t="shared" si="154"/>
        <v>0</v>
      </c>
      <c r="AH283" s="363"/>
      <c r="AI283" s="363"/>
      <c r="AJ283" s="627">
        <f t="shared" si="141"/>
        <v>0</v>
      </c>
      <c r="AK283" s="627"/>
      <c r="AL283" s="627" t="str">
        <f t="shared" si="164"/>
        <v/>
      </c>
      <c r="AM283" s="1783" t="str">
        <f t="shared" ca="1" si="165"/>
        <v/>
      </c>
      <c r="AP283" s="252"/>
      <c r="AR283" s="2486"/>
      <c r="AS283" s="2486"/>
      <c r="AT283" s="2486"/>
      <c r="AV283" s="2580"/>
      <c r="AW283" s="2486"/>
      <c r="AX283" s="2486"/>
      <c r="AY283" s="2486"/>
      <c r="BD283" s="2154"/>
      <c r="BG283" s="2832">
        <f t="shared" si="169"/>
        <v>0</v>
      </c>
      <c r="BH283" s="983">
        <f>BL163</f>
        <v>0</v>
      </c>
      <c r="BI283" s="983">
        <f>BM163</f>
        <v>0</v>
      </c>
      <c r="BJ283" s="983"/>
      <c r="BP283" s="2388" t="str">
        <f t="shared" si="142"/>
        <v/>
      </c>
      <c r="BQ283" s="1300" t="str">
        <f t="shared" si="143"/>
        <v>0</v>
      </c>
      <c r="BR283" s="2389">
        <f t="shared" si="144"/>
        <v>0</v>
      </c>
      <c r="BT283" s="2397" t="str">
        <f t="shared" si="166"/>
        <v/>
      </c>
      <c r="BU283" s="1300" t="str">
        <f t="shared" si="145"/>
        <v/>
      </c>
      <c r="BV283" s="1300" t="str">
        <f t="shared" si="146"/>
        <v>0</v>
      </c>
      <c r="BW283" s="2389">
        <f t="shared" si="147"/>
        <v>0</v>
      </c>
      <c r="BY283" s="2397" t="str">
        <f t="shared" si="167"/>
        <v/>
      </c>
      <c r="BZ283" s="1300" t="str">
        <f t="shared" si="148"/>
        <v/>
      </c>
      <c r="CA283" s="1300" t="str">
        <f t="shared" si="149"/>
        <v>0</v>
      </c>
      <c r="CB283" s="2389">
        <f t="shared" si="150"/>
        <v>0</v>
      </c>
      <c r="CD283" s="2388" t="str">
        <f t="shared" si="168"/>
        <v/>
      </c>
      <c r="CE283" s="1300" t="str">
        <f t="shared" si="151"/>
        <v/>
      </c>
      <c r="CF283" s="1300" t="str">
        <f t="shared" si="152"/>
        <v>0</v>
      </c>
      <c r="CG283" s="2389">
        <f t="shared" si="153"/>
        <v>0</v>
      </c>
    </row>
    <row r="284" spans="1:85" ht="16.2" customHeight="1" x14ac:dyDescent="0.25">
      <c r="A284" s="433" t="s">
        <v>1038</v>
      </c>
      <c r="B284" s="3839" t="str">
        <f>INDEX(PO_baseline_table,47, 1)</f>
        <v>Elevators and escalators</v>
      </c>
      <c r="C284" s="3854"/>
      <c r="D284" s="3856">
        <f>INDEX(PO_baseline_table,47, 3)</f>
        <v>0</v>
      </c>
      <c r="E284" s="3839" t="str">
        <f>INDEX(PO_baseline_table,47, 4)</f>
        <v>Electricity</v>
      </c>
      <c r="F284" s="1299" t="str">
        <f>IFERROR(IF(ISBLANK(E284),"","Consumption (" &amp; VLOOKUP($E284,PO_Enrgy_1_Table,MATCH($C$16,PO_Enrgy_1_Hdr,0),FALSE) &amp; ")"),"")</f>
        <v/>
      </c>
      <c r="G284" s="1782" t="str">
        <f>INDEX(PO_baseline_table,47, 10)</f>
        <v/>
      </c>
      <c r="H284" s="1783" t="str">
        <f t="shared" ca="1" si="137"/>
        <v/>
      </c>
      <c r="I284" s="1877" t="str">
        <f ca="1">IFERROR(1-H284/G284,"")</f>
        <v/>
      </c>
      <c r="J284" s="3849" t="str">
        <f ca="1">IFERROR(IF($E$457-$I$457&lt;0,"",($G284-$H284)*VLOOKUP($E284,PO_Enrgy_1_Table,MATCH($K$16,PO_Enrgy_1_Hdr,0),FALSE)/($E$457-$I$457)),"")</f>
        <v/>
      </c>
      <c r="K284" s="3851" t="str">
        <f ca="1">IFERROR(IF($G$457-$K$457&lt;0,"",($G284*VLOOKUP($E284,PO_Enrgy_8_Table,MATCH($E$310,PO_Enrgy_8_Hdr,0),FALSE)-($H284*VLOOKUP($E284,PO_Enrgy_8_Table,MATCH($H$310,PO_Enrgy_8_Hdr,0),FALSE)))/($G$457-$K$457)),"")</f>
        <v/>
      </c>
      <c r="L284" s="3851"/>
      <c r="M284" s="3852" t="str">
        <f ca="1">IFERROR((H284*R284)/$I$305,"")</f>
        <v/>
      </c>
      <c r="R284" s="627" t="str">
        <f t="shared" si="138"/>
        <v/>
      </c>
      <c r="S284" s="627" t="str">
        <f t="shared" si="139"/>
        <v/>
      </c>
      <c r="T284" s="627" t="str">
        <f t="shared" si="158"/>
        <v/>
      </c>
      <c r="U284" s="627" t="str">
        <f t="shared" si="159"/>
        <v/>
      </c>
      <c r="V284" s="627" t="str">
        <f>IF(G284="","",G284*R284)</f>
        <v/>
      </c>
      <c r="W284" s="627" t="str">
        <f ca="1">IF(H284="","",H284*R284)</f>
        <v/>
      </c>
      <c r="X284" s="636">
        <f t="shared" ca="1" si="161"/>
        <v>0</v>
      </c>
      <c r="Y284" s="627">
        <f t="shared" si="162"/>
        <v>0</v>
      </c>
      <c r="Z284" s="627">
        <f t="shared" ca="1" si="163"/>
        <v>0</v>
      </c>
      <c r="AA284" s="627" t="b">
        <f>IFERROR(IF(D284="x",IF(OR(G284/H284&gt;1.03,G284/H284&lt;0.97),TRUE,FALSE),FALSE),FALSE)</f>
        <v>0</v>
      </c>
      <c r="AB284" s="627">
        <f ca="1">IFERROR(J284*100,)</f>
        <v>0</v>
      </c>
      <c r="AC284" s="627"/>
      <c r="AD284" s="627">
        <f ca="1">RANK(AB284,$AB$238:$AB$293,0)</f>
        <v>1</v>
      </c>
      <c r="AE284" s="627">
        <f ca="1">AD284+COUNTIF($AD$238:$AD283,AD284)</f>
        <v>24</v>
      </c>
      <c r="AF284" s="627" t="str">
        <f>B284</f>
        <v>Elevators and escalators</v>
      </c>
      <c r="AG284" s="627">
        <f t="shared" si="154"/>
        <v>0</v>
      </c>
      <c r="AH284" s="363"/>
      <c r="AI284" s="363"/>
      <c r="AJ284" s="627">
        <f t="shared" si="141"/>
        <v>0</v>
      </c>
      <c r="AK284" s="627">
        <v>1</v>
      </c>
      <c r="AL284" s="627" t="str">
        <f t="shared" si="164"/>
        <v/>
      </c>
      <c r="AM284" s="1783" t="str">
        <f t="shared" ca="1" si="165"/>
        <v/>
      </c>
      <c r="AP284" s="252"/>
      <c r="AR284" s="2486"/>
      <c r="AS284" s="2486"/>
      <c r="AT284" s="2486"/>
      <c r="AV284" s="2580"/>
      <c r="AW284" s="2486"/>
      <c r="AX284" s="2486"/>
      <c r="AY284" s="2486"/>
      <c r="BD284" s="2154"/>
      <c r="BG284" s="2832">
        <f t="shared" si="169"/>
        <v>0</v>
      </c>
      <c r="BH284" s="983">
        <f>BL200</f>
        <v>0</v>
      </c>
      <c r="BI284" s="983">
        <f>BM200</f>
        <v>0</v>
      </c>
      <c r="BJ284" s="983" t="str">
        <f>IF(BH284&lt;&gt;"",IFERROR(MATCH(BH284&amp;BI284,'Results from Trace'!$L$1:$L$21,0),""),"")</f>
        <v/>
      </c>
      <c r="BP284" s="2388" t="str">
        <f t="shared" si="142"/>
        <v/>
      </c>
      <c r="BQ284" s="1300" t="str">
        <f t="shared" si="143"/>
        <v>0</v>
      </c>
      <c r="BR284" s="2389">
        <f t="shared" si="144"/>
        <v>0</v>
      </c>
      <c r="BT284" s="2397" t="str">
        <f t="shared" si="166"/>
        <v/>
      </c>
      <c r="BU284" s="1300" t="str">
        <f t="shared" si="145"/>
        <v/>
      </c>
      <c r="BV284" s="1300" t="str">
        <f t="shared" si="146"/>
        <v>0</v>
      </c>
      <c r="BW284" s="2389">
        <f t="shared" si="147"/>
        <v>0</v>
      </c>
      <c r="BY284" s="2397" t="str">
        <f t="shared" si="167"/>
        <v/>
      </c>
      <c r="BZ284" s="1300" t="str">
        <f t="shared" si="148"/>
        <v/>
      </c>
      <c r="CA284" s="1300" t="str">
        <f t="shared" si="149"/>
        <v>0</v>
      </c>
      <c r="CB284" s="2389">
        <f t="shared" si="150"/>
        <v>0</v>
      </c>
      <c r="CD284" s="2388" t="str">
        <f t="shared" si="168"/>
        <v/>
      </c>
      <c r="CE284" s="1300" t="str">
        <f t="shared" si="151"/>
        <v/>
      </c>
      <c r="CF284" s="1300" t="str">
        <f t="shared" si="152"/>
        <v>0</v>
      </c>
      <c r="CG284" s="2389">
        <f t="shared" si="153"/>
        <v>0</v>
      </c>
    </row>
    <row r="285" spans="1:85" ht="16.5" customHeight="1" x14ac:dyDescent="0.25">
      <c r="A285" s="433" t="s">
        <v>1038</v>
      </c>
      <c r="B285" s="3839"/>
      <c r="C285" s="3854"/>
      <c r="D285" s="3857"/>
      <c r="E285" s="3839"/>
      <c r="F285" s="1299" t="str">
        <f>IFERROR(IF(ISBLANK(E284),"","Demand (" &amp; VLOOKUP($E284,PO_Enrgy_1_Table,MATCH($E$16,PO_Enrgy_1_Hdr,0),FALSE) &amp; ")"),"")</f>
        <v/>
      </c>
      <c r="G285" s="2790" t="str">
        <f>INDEX(PO_baseline_table,48, 10)</f>
        <v/>
      </c>
      <c r="H285" s="1783" t="str">
        <f t="shared" ca="1" si="137"/>
        <v/>
      </c>
      <c r="I285" s="1877" t="str">
        <f t="shared" ref="I285:I293" ca="1" si="171">IFERROR(1-H285/G285,"")</f>
        <v/>
      </c>
      <c r="J285" s="3850"/>
      <c r="K285" s="3851"/>
      <c r="L285" s="3851"/>
      <c r="M285" s="3853"/>
      <c r="R285" s="627" t="str">
        <f t="shared" si="138"/>
        <v/>
      </c>
      <c r="S285" s="627" t="str">
        <f t="shared" si="139"/>
        <v/>
      </c>
      <c r="T285" s="627" t="str">
        <f t="shared" ref="T285:T293" si="172">IFERROR(IF(FIND("Consumption",F285),(G285*VLOOKUP(MID(F285,FIND("(",F285)+1,LEN(F285)-FIND("(",F285)-1),EnergyUnitsTable,3,FALSE))/(G286*VLOOKUP(MID(F286,FIND("(",F286)+1,LEN(F286)-FIND("(",F286)-1),DemandTable,3,FALSE)),1),"")</f>
        <v/>
      </c>
      <c r="U285" s="627" t="str">
        <f t="shared" ref="U285:U293" si="173">IFERROR(IF(FIND("Consumption",$F285),(H285*VLOOKUP(MID($F285,FIND("(",$F285)+1,LEN($F285)-FIND("(",$F285)-1),EnergyUnitsTable,3,FALSE))/(H286*VLOOKUP(MID($F286,FIND("(",$F286)+1,LEN($F286)-FIND("(",$F286)-1),DemandTable,3,FALSE)),1),"")</f>
        <v/>
      </c>
      <c r="V285" s="627"/>
      <c r="W285" s="627"/>
      <c r="X285" s="636">
        <f t="shared" ca="1" si="161"/>
        <v>0</v>
      </c>
      <c r="Y285" s="627">
        <f t="shared" si="162"/>
        <v>0</v>
      </c>
      <c r="Z285" s="627">
        <f t="shared" ca="1" si="163"/>
        <v>0</v>
      </c>
      <c r="AA285" s="627"/>
      <c r="AB285" s="627"/>
      <c r="AC285" s="627"/>
      <c r="AD285" s="627"/>
      <c r="AE285" s="627"/>
      <c r="AF285" s="627"/>
      <c r="AG285" s="627">
        <f t="shared" si="154"/>
        <v>0</v>
      </c>
      <c r="AH285" s="363"/>
      <c r="AI285" s="363"/>
      <c r="AJ285" s="627">
        <f t="shared" si="141"/>
        <v>0</v>
      </c>
      <c r="AK285" s="627"/>
      <c r="AL285" s="627" t="str">
        <f t="shared" si="164"/>
        <v/>
      </c>
      <c r="AM285" s="1783" t="str">
        <f t="shared" ca="1" si="165"/>
        <v/>
      </c>
      <c r="AP285" s="252"/>
      <c r="AR285" s="2486"/>
      <c r="AS285" s="2486"/>
      <c r="AT285" s="2486"/>
      <c r="AV285" s="2580"/>
      <c r="AW285" s="2486"/>
      <c r="AX285" s="2486"/>
      <c r="AY285" s="2486"/>
      <c r="BD285" s="2154"/>
      <c r="BG285" s="2832">
        <f t="shared" si="169"/>
        <v>0</v>
      </c>
      <c r="BH285" s="983">
        <f>BL201</f>
        <v>0</v>
      </c>
      <c r="BI285" s="983">
        <f>BM201</f>
        <v>0</v>
      </c>
      <c r="BJ285" s="983"/>
      <c r="BP285" s="2388" t="str">
        <f t="shared" si="142"/>
        <v/>
      </c>
      <c r="BQ285" s="1300" t="str">
        <f t="shared" si="143"/>
        <v>0</v>
      </c>
      <c r="BR285" s="2389">
        <f t="shared" si="144"/>
        <v>0</v>
      </c>
      <c r="BT285" s="2397" t="str">
        <f t="shared" si="166"/>
        <v/>
      </c>
      <c r="BU285" s="1300" t="str">
        <f t="shared" si="145"/>
        <v/>
      </c>
      <c r="BV285" s="1300" t="str">
        <f t="shared" si="146"/>
        <v>0</v>
      </c>
      <c r="BW285" s="2389">
        <f t="shared" si="147"/>
        <v>0</v>
      </c>
      <c r="BY285" s="2397" t="str">
        <f t="shared" si="167"/>
        <v/>
      </c>
      <c r="BZ285" s="1300" t="str">
        <f t="shared" si="148"/>
        <v/>
      </c>
      <c r="CA285" s="1300" t="str">
        <f t="shared" si="149"/>
        <v>0</v>
      </c>
      <c r="CB285" s="2389">
        <f t="shared" si="150"/>
        <v>0</v>
      </c>
      <c r="CD285" s="2388" t="str">
        <f t="shared" si="168"/>
        <v/>
      </c>
      <c r="CE285" s="1300" t="str">
        <f t="shared" si="151"/>
        <v/>
      </c>
      <c r="CF285" s="1300" t="str">
        <f t="shared" si="152"/>
        <v>0</v>
      </c>
      <c r="CG285" s="2389">
        <f t="shared" si="153"/>
        <v>0</v>
      </c>
    </row>
    <row r="286" spans="1:85" ht="16.2" customHeight="1" x14ac:dyDescent="0.25">
      <c r="A286" s="433" t="s">
        <v>1038</v>
      </c>
      <c r="B286" s="3839" t="str">
        <f>INDEX(PO_baseline_table,49, 1)</f>
        <v>Building Transformers</v>
      </c>
      <c r="C286" s="3854"/>
      <c r="D286" s="3855">
        <f>INDEX(PO_baseline_table,49, 3)</f>
        <v>0</v>
      </c>
      <c r="E286" s="3839" t="str">
        <f>INDEX(PO_baseline_table,49, 4)</f>
        <v>Electricity</v>
      </c>
      <c r="F286" s="1299" t="str">
        <f>IFERROR(IF(ISBLANK(E286),"","Consumption (" &amp; VLOOKUP($E286,PO_Enrgy_1_Table,MATCH($C$16,PO_Enrgy_1_Hdr,0),FALSE) &amp; ")"),"")</f>
        <v/>
      </c>
      <c r="G286" s="1782" t="str">
        <f>INDEX(PO_baseline_table,49, 10)</f>
        <v/>
      </c>
      <c r="H286" s="1783" t="str">
        <f t="shared" ca="1" si="137"/>
        <v/>
      </c>
      <c r="I286" s="1877" t="str">
        <f t="shared" ca="1" si="171"/>
        <v/>
      </c>
      <c r="J286" s="3849" t="str">
        <f ca="1">IFERROR(IF($E$457-$I$457&lt;0,"",($G286-$H286)*VLOOKUP($E286,PO_Enrgy_1_Table,MATCH($K$16,PO_Enrgy_1_Hdr,0),FALSE)/($E$457-$I$457)),"")</f>
        <v/>
      </c>
      <c r="K286" s="3851" t="str">
        <f ca="1">IFERROR(IF($G$457-$K$457&lt;0,"",($G286*VLOOKUP($E286,PO_Enrgy_8_Table,MATCH($E$310,PO_Enrgy_8_Hdr,0),FALSE)-($H286*VLOOKUP($E286,PO_Enrgy_8_Table,MATCH($H$310,PO_Enrgy_8_Hdr,0),FALSE)))/($G$457-$K$457)),"")</f>
        <v/>
      </c>
      <c r="L286" s="3851"/>
      <c r="M286" s="3852" t="str">
        <f ca="1">IFERROR((H286*R286)/$I$305,"")</f>
        <v/>
      </c>
      <c r="R286" s="627" t="str">
        <f t="shared" si="138"/>
        <v/>
      </c>
      <c r="S286" s="627" t="str">
        <f t="shared" si="139"/>
        <v/>
      </c>
      <c r="T286" s="627" t="str">
        <f t="shared" si="172"/>
        <v/>
      </c>
      <c r="U286" s="627" t="str">
        <f t="shared" si="173"/>
        <v/>
      </c>
      <c r="V286" s="627" t="str">
        <f>IF(G286="","",G286*R286)</f>
        <v/>
      </c>
      <c r="W286" s="627" t="str">
        <f ca="1">IF(H286="","",H286*R286)</f>
        <v/>
      </c>
      <c r="X286" s="636">
        <f t="shared" ca="1" si="161"/>
        <v>0</v>
      </c>
      <c r="Y286" s="627">
        <f t="shared" si="162"/>
        <v>0</v>
      </c>
      <c r="Z286" s="627">
        <f t="shared" ca="1" si="163"/>
        <v>0</v>
      </c>
      <c r="AA286" s="627" t="b">
        <f>IFERROR(IF(D286="x",IF(OR(G286/H286&gt;1.03,G286/H286&lt;0.97),TRUE,FALSE),FALSE),FALSE)</f>
        <v>0</v>
      </c>
      <c r="AB286" s="627">
        <f ca="1">IFERROR(J286*100,)</f>
        <v>0</v>
      </c>
      <c r="AC286" s="627"/>
      <c r="AD286" s="627">
        <f ca="1">RANK(AB286,$AB$238:$AB$293,0)</f>
        <v>1</v>
      </c>
      <c r="AE286" s="627">
        <f ca="1">AD286+COUNTIF($AD$238:$AD285,AD286)</f>
        <v>25</v>
      </c>
      <c r="AF286" s="627" t="str">
        <f>B286</f>
        <v>Building Transformers</v>
      </c>
      <c r="AG286" s="627">
        <f t="shared" si="154"/>
        <v>0</v>
      </c>
      <c r="AH286" s="363"/>
      <c r="AI286" s="363"/>
      <c r="AJ286" s="627">
        <f t="shared" si="141"/>
        <v>0</v>
      </c>
      <c r="AK286" s="627">
        <v>1</v>
      </c>
      <c r="AL286" s="627" t="str">
        <f t="shared" si="164"/>
        <v/>
      </c>
      <c r="AM286" s="1783" t="str">
        <f t="shared" ca="1" si="165"/>
        <v/>
      </c>
      <c r="AP286" s="252"/>
      <c r="AR286" s="2486"/>
      <c r="AS286" s="2486"/>
      <c r="AT286" s="2486"/>
      <c r="AV286" s="2580"/>
      <c r="AW286" s="2486"/>
      <c r="AX286" s="2486"/>
      <c r="AY286" s="2486"/>
      <c r="BD286" s="2154"/>
      <c r="BG286" s="2832">
        <f t="shared" si="169"/>
        <v>0</v>
      </c>
      <c r="BH286" s="983">
        <v>0</v>
      </c>
      <c r="BI286" s="983">
        <v>0</v>
      </c>
      <c r="BJ286" s="983" t="s">
        <v>853</v>
      </c>
      <c r="BP286" s="2388" t="str">
        <f t="shared" si="142"/>
        <v/>
      </c>
      <c r="BQ286" s="1300" t="str">
        <f t="shared" si="143"/>
        <v>0</v>
      </c>
      <c r="BR286" s="2389">
        <f t="shared" si="144"/>
        <v>0</v>
      </c>
      <c r="BT286" s="2397" t="str">
        <f t="shared" si="166"/>
        <v/>
      </c>
      <c r="BU286" s="1300" t="str">
        <f t="shared" si="145"/>
        <v/>
      </c>
      <c r="BV286" s="1300" t="str">
        <f t="shared" si="146"/>
        <v>0</v>
      </c>
      <c r="BW286" s="2389">
        <f t="shared" si="147"/>
        <v>0</v>
      </c>
      <c r="BY286" s="2397" t="str">
        <f t="shared" si="167"/>
        <v/>
      </c>
      <c r="BZ286" s="1300" t="str">
        <f t="shared" si="148"/>
        <v/>
      </c>
      <c r="CA286" s="1300" t="str">
        <f t="shared" si="149"/>
        <v>0</v>
      </c>
      <c r="CB286" s="2389">
        <f t="shared" si="150"/>
        <v>0</v>
      </c>
      <c r="CD286" s="2388" t="str">
        <f t="shared" si="168"/>
        <v/>
      </c>
      <c r="CE286" s="1300" t="str">
        <f t="shared" si="151"/>
        <v/>
      </c>
      <c r="CF286" s="1300" t="str">
        <f t="shared" si="152"/>
        <v>0</v>
      </c>
      <c r="CG286" s="2389">
        <f t="shared" si="153"/>
        <v>0</v>
      </c>
    </row>
    <row r="287" spans="1:85" ht="15.75" customHeight="1" x14ac:dyDescent="0.25">
      <c r="A287" s="433" t="s">
        <v>1038</v>
      </c>
      <c r="B287" s="3839"/>
      <c r="C287" s="3854"/>
      <c r="D287" s="3855"/>
      <c r="E287" s="3839"/>
      <c r="F287" s="1299" t="str">
        <f>IFERROR(IF(ISBLANK(E286),"","Demand (" &amp; VLOOKUP($E286,PO_Enrgy_1_Table,MATCH($E$16,PO_Enrgy_1_Hdr,0),FALSE) &amp; ")"),"")</f>
        <v/>
      </c>
      <c r="G287" s="2790" t="str">
        <f>INDEX(PO_baseline_table,50, 10)</f>
        <v/>
      </c>
      <c r="H287" s="1783" t="str">
        <f t="shared" ca="1" si="137"/>
        <v/>
      </c>
      <c r="I287" s="1877" t="str">
        <f t="shared" ca="1" si="171"/>
        <v/>
      </c>
      <c r="J287" s="3850"/>
      <c r="K287" s="3851"/>
      <c r="L287" s="3851"/>
      <c r="M287" s="3853"/>
      <c r="R287" s="627" t="str">
        <f t="shared" si="138"/>
        <v/>
      </c>
      <c r="S287" s="627" t="str">
        <f t="shared" si="139"/>
        <v/>
      </c>
      <c r="T287" s="627" t="str">
        <f t="shared" si="172"/>
        <v/>
      </c>
      <c r="U287" s="627" t="str">
        <f t="shared" si="173"/>
        <v/>
      </c>
      <c r="V287" s="627"/>
      <c r="W287" s="627"/>
      <c r="X287" s="636">
        <f t="shared" ca="1" si="161"/>
        <v>0</v>
      </c>
      <c r="Y287" s="627">
        <f t="shared" si="162"/>
        <v>0</v>
      </c>
      <c r="Z287" s="627">
        <f t="shared" ca="1" si="163"/>
        <v>0</v>
      </c>
      <c r="AA287" s="627"/>
      <c r="AB287" s="627"/>
      <c r="AC287" s="627"/>
      <c r="AD287" s="627"/>
      <c r="AE287" s="627"/>
      <c r="AF287" s="627"/>
      <c r="AG287" s="627">
        <f t="shared" si="154"/>
        <v>0</v>
      </c>
      <c r="AH287" s="363"/>
      <c r="AI287" s="363"/>
      <c r="AJ287" s="627">
        <f t="shared" si="141"/>
        <v>0</v>
      </c>
      <c r="AK287" s="627"/>
      <c r="AL287" s="627" t="str">
        <f t="shared" si="164"/>
        <v/>
      </c>
      <c r="AM287" s="1783" t="str">
        <f t="shared" ca="1" si="165"/>
        <v/>
      </c>
      <c r="AP287" s="252"/>
      <c r="AR287" s="2486"/>
      <c r="AS287" s="2486"/>
      <c r="AT287" s="2486"/>
      <c r="AV287" s="2580"/>
      <c r="AW287" s="2486"/>
      <c r="AX287" s="2486"/>
      <c r="AY287" s="2486"/>
      <c r="BD287" s="2154"/>
      <c r="BG287" s="2832">
        <f t="shared" si="169"/>
        <v>0</v>
      </c>
      <c r="BH287" s="983">
        <v>0</v>
      </c>
      <c r="BI287" s="983">
        <v>0</v>
      </c>
      <c r="BJ287" s="983"/>
      <c r="BP287" s="2388" t="str">
        <f t="shared" si="142"/>
        <v/>
      </c>
      <c r="BQ287" s="1300" t="str">
        <f t="shared" si="143"/>
        <v>0</v>
      </c>
      <c r="BR287" s="2389">
        <f t="shared" si="144"/>
        <v>0</v>
      </c>
      <c r="BT287" s="2397" t="str">
        <f t="shared" si="166"/>
        <v/>
      </c>
      <c r="BU287" s="1300" t="str">
        <f t="shared" si="145"/>
        <v/>
      </c>
      <c r="BV287" s="1300" t="str">
        <f t="shared" si="146"/>
        <v>0</v>
      </c>
      <c r="BW287" s="2389">
        <f t="shared" si="147"/>
        <v>0</v>
      </c>
      <c r="BY287" s="2397" t="str">
        <f t="shared" si="167"/>
        <v/>
      </c>
      <c r="BZ287" s="1300" t="str">
        <f t="shared" si="148"/>
        <v/>
      </c>
      <c r="CA287" s="1300" t="str">
        <f t="shared" si="149"/>
        <v>0</v>
      </c>
      <c r="CB287" s="2389">
        <f t="shared" si="150"/>
        <v>0</v>
      </c>
      <c r="CD287" s="2388" t="str">
        <f t="shared" si="168"/>
        <v/>
      </c>
      <c r="CE287" s="1300" t="str">
        <f t="shared" si="151"/>
        <v/>
      </c>
      <c r="CF287" s="1300" t="str">
        <f t="shared" si="152"/>
        <v>0</v>
      </c>
      <c r="CG287" s="2389">
        <f t="shared" si="153"/>
        <v>0</v>
      </c>
    </row>
    <row r="288" spans="1:85" ht="16.2" customHeight="1" x14ac:dyDescent="0.25">
      <c r="A288" s="433" t="s">
        <v>1038</v>
      </c>
      <c r="B288" s="3847">
        <f>INDEX(PO_base_Add_EndUses,1, 1)</f>
        <v>0</v>
      </c>
      <c r="C288" s="3847"/>
      <c r="D288" s="3848">
        <f>INDEX(PO_baseline_table,51, 3)</f>
        <v>0</v>
      </c>
      <c r="E288" s="3847">
        <f>INDEX(PO_baseline_table,51, 4)</f>
        <v>0</v>
      </c>
      <c r="F288" s="1299" t="str">
        <f>IFERROR(IF(ISBLANK(E288),"","Consumption (" &amp; VLOOKUP($E288,PO_Enrgy_1_Table,MATCH($C$16,PO_Enrgy_1_Hdr,0),FALSE) &amp; ")"),"")</f>
        <v/>
      </c>
      <c r="G288" s="1782" t="str">
        <f>INDEX(PO_baseline_table,51, 10)</f>
        <v/>
      </c>
      <c r="H288" s="1783" t="str">
        <f t="shared" ca="1" si="137"/>
        <v/>
      </c>
      <c r="I288" s="1877" t="str">
        <f t="shared" ca="1" si="171"/>
        <v/>
      </c>
      <c r="J288" s="3849" t="str">
        <f ca="1">IFERROR(IF($E$457-$I$457&lt;0,"",($G288-$H288)*VLOOKUP($E288,PO_Enrgy_1_Table,MATCH($K$16,PO_Enrgy_1_Hdr,0),FALSE)/($E$457-$I$457)),"")</f>
        <v/>
      </c>
      <c r="K288" s="3851" t="str">
        <f ca="1">IFERROR(IF($G$457-$K$457&lt;0,"",($G288*VLOOKUP($E288,PO_Enrgy_8_Table,MATCH($E$310,PO_Enrgy_8_Hdr,0),FALSE)-($H288*VLOOKUP($E288,PO_Enrgy_8_Table,MATCH($H$310,PO_Enrgy_8_Hdr,0),FALSE)))/($G$457-$K$457)),"")</f>
        <v/>
      </c>
      <c r="L288" s="3851"/>
      <c r="M288" s="3852" t="str">
        <f ca="1">IFERROR((H288*R288)/$I$305,"")</f>
        <v/>
      </c>
      <c r="R288" s="627" t="str">
        <f t="shared" si="138"/>
        <v/>
      </c>
      <c r="S288" s="627" t="str">
        <f t="shared" si="139"/>
        <v/>
      </c>
      <c r="T288" s="627" t="str">
        <f t="shared" si="172"/>
        <v/>
      </c>
      <c r="U288" s="627" t="str">
        <f t="shared" si="173"/>
        <v/>
      </c>
      <c r="V288" s="627" t="str">
        <f>IF(G288="","",G288*R288)</f>
        <v/>
      </c>
      <c r="W288" s="627" t="str">
        <f ca="1">IF(H288="","",H288*R288)</f>
        <v/>
      </c>
      <c r="X288" s="636">
        <f t="shared" ca="1" si="161"/>
        <v>0</v>
      </c>
      <c r="Y288" s="627">
        <f t="shared" si="162"/>
        <v>0</v>
      </c>
      <c r="Z288" s="627">
        <f t="shared" ca="1" si="163"/>
        <v>0</v>
      </c>
      <c r="AA288" s="627" t="b">
        <f>IFERROR(IF(D288="x",IF(OR(G288/H288&gt;1.03,G288/H288&lt;0.97),TRUE,FALSE),FALSE),FALSE)</f>
        <v>0</v>
      </c>
      <c r="AB288" s="627">
        <f ca="1">IFERROR(J288*100,)</f>
        <v>0</v>
      </c>
      <c r="AC288" s="627"/>
      <c r="AD288" s="627">
        <f ca="1">RANK(AB288,$AB$238:$AB$293,0)</f>
        <v>1</v>
      </c>
      <c r="AE288" s="627">
        <f ca="1">AD288+COUNTIF($AD$238:$AD287,AD288)</f>
        <v>26</v>
      </c>
      <c r="AF288" s="627">
        <f>B288</f>
        <v>0</v>
      </c>
      <c r="AG288" s="627">
        <f t="shared" si="154"/>
        <v>0</v>
      </c>
      <c r="AH288" s="363"/>
      <c r="AI288" s="363"/>
      <c r="AJ288" s="627">
        <f t="shared" si="141"/>
        <v>0</v>
      </c>
      <c r="AK288" s="627">
        <v>1</v>
      </c>
      <c r="AL288" s="627" t="str">
        <f t="shared" si="164"/>
        <v/>
      </c>
      <c r="AM288" s="1783" t="str">
        <f t="shared" ca="1" si="165"/>
        <v/>
      </c>
      <c r="AP288" s="252"/>
      <c r="AR288" s="2486"/>
      <c r="AS288" s="2486"/>
      <c r="AT288" s="2486"/>
      <c r="AV288" s="2580"/>
      <c r="AW288" s="2486"/>
      <c r="AX288" s="2486"/>
      <c r="AY288" s="2486"/>
      <c r="BD288" s="2154"/>
      <c r="BG288" s="2832">
        <f t="shared" si="169"/>
        <v>0</v>
      </c>
      <c r="BH288" s="983">
        <v>0</v>
      </c>
      <c r="BI288" s="983">
        <v>0</v>
      </c>
      <c r="BJ288" s="983" t="s">
        <v>853</v>
      </c>
      <c r="BP288" s="2388" t="str">
        <f t="shared" si="142"/>
        <v/>
      </c>
      <c r="BQ288" s="1300" t="str">
        <f t="shared" si="143"/>
        <v>0</v>
      </c>
      <c r="BR288" s="2389">
        <f t="shared" si="144"/>
        <v>0</v>
      </c>
      <c r="BT288" s="2397" t="str">
        <f t="shared" si="166"/>
        <v/>
      </c>
      <c r="BU288" s="1300" t="str">
        <f t="shared" si="145"/>
        <v/>
      </c>
      <c r="BV288" s="1300" t="str">
        <f t="shared" si="146"/>
        <v>0</v>
      </c>
      <c r="BW288" s="2389">
        <f t="shared" si="147"/>
        <v>0</v>
      </c>
      <c r="BY288" s="2397" t="str">
        <f t="shared" si="167"/>
        <v/>
      </c>
      <c r="BZ288" s="1300" t="str">
        <f t="shared" si="148"/>
        <v/>
      </c>
      <c r="CA288" s="1300" t="str">
        <f t="shared" si="149"/>
        <v>0</v>
      </c>
      <c r="CB288" s="2389">
        <f t="shared" si="150"/>
        <v>0</v>
      </c>
      <c r="CD288" s="2388" t="str">
        <f t="shared" si="168"/>
        <v/>
      </c>
      <c r="CE288" s="1300" t="str">
        <f t="shared" si="151"/>
        <v/>
      </c>
      <c r="CF288" s="1300" t="str">
        <f t="shared" si="152"/>
        <v>0</v>
      </c>
      <c r="CG288" s="2389">
        <f t="shared" si="153"/>
        <v>0</v>
      </c>
    </row>
    <row r="289" spans="1:85" ht="15.75" customHeight="1" x14ac:dyDescent="0.25">
      <c r="A289" s="433" t="s">
        <v>1038</v>
      </c>
      <c r="B289" s="3847"/>
      <c r="C289" s="3847"/>
      <c r="D289" s="3848"/>
      <c r="E289" s="3847"/>
      <c r="F289" s="1299" t="str">
        <f>IFERROR(IF(ISBLANK(E288),"","Demand (" &amp; VLOOKUP($E288,PO_Enrgy_1_Table,MATCH($E$16,PO_Enrgy_1_Hdr,0),FALSE) &amp; ")"),"")</f>
        <v/>
      </c>
      <c r="G289" s="2790" t="str">
        <f>INDEX(PO_baseline_table,52, 10)</f>
        <v/>
      </c>
      <c r="H289" s="1783" t="str">
        <f t="shared" ca="1" si="137"/>
        <v/>
      </c>
      <c r="I289" s="1877" t="str">
        <f ca="1">IFERROR(1-H289/G289,"")</f>
        <v/>
      </c>
      <c r="J289" s="3850"/>
      <c r="K289" s="3851"/>
      <c r="L289" s="3851"/>
      <c r="M289" s="3853"/>
      <c r="R289" s="627" t="str">
        <f t="shared" si="138"/>
        <v/>
      </c>
      <c r="S289" s="627" t="str">
        <f t="shared" si="139"/>
        <v/>
      </c>
      <c r="T289" s="627" t="str">
        <f t="shared" si="172"/>
        <v/>
      </c>
      <c r="U289" s="627" t="str">
        <f t="shared" si="173"/>
        <v/>
      </c>
      <c r="V289" s="627"/>
      <c r="W289" s="627"/>
      <c r="X289" s="636">
        <f t="shared" ca="1" si="161"/>
        <v>0</v>
      </c>
      <c r="Y289" s="627">
        <f t="shared" si="162"/>
        <v>0</v>
      </c>
      <c r="Z289" s="627">
        <f t="shared" ca="1" si="163"/>
        <v>0</v>
      </c>
      <c r="AA289" s="627"/>
      <c r="AB289" s="627"/>
      <c r="AC289" s="627"/>
      <c r="AD289" s="627"/>
      <c r="AE289" s="627"/>
      <c r="AF289" s="627"/>
      <c r="AG289" s="627">
        <f t="shared" si="154"/>
        <v>0</v>
      </c>
      <c r="AH289" s="363"/>
      <c r="AI289" s="363"/>
      <c r="AJ289" s="627">
        <f t="shared" si="141"/>
        <v>0</v>
      </c>
      <c r="AK289" s="627"/>
      <c r="AL289" s="627" t="str">
        <f t="shared" si="164"/>
        <v/>
      </c>
      <c r="AM289" s="1783" t="str">
        <f t="shared" ca="1" si="165"/>
        <v/>
      </c>
      <c r="AP289" s="252"/>
      <c r="AR289" s="2486"/>
      <c r="AS289" s="2486"/>
      <c r="AT289" s="2486"/>
      <c r="AV289" s="2580"/>
      <c r="AW289" s="2486"/>
      <c r="AX289" s="2486"/>
      <c r="AY289" s="2486"/>
      <c r="BD289" s="2154"/>
      <c r="BG289" s="2832">
        <f t="shared" si="169"/>
        <v>0</v>
      </c>
      <c r="BH289" s="983">
        <v>0</v>
      </c>
      <c r="BI289" s="983">
        <v>0</v>
      </c>
      <c r="BJ289" s="983"/>
      <c r="BP289" s="2388" t="str">
        <f t="shared" si="142"/>
        <v/>
      </c>
      <c r="BQ289" s="1300" t="str">
        <f t="shared" si="143"/>
        <v>0</v>
      </c>
      <c r="BR289" s="2389">
        <f t="shared" si="144"/>
        <v>0</v>
      </c>
      <c r="BT289" s="2397" t="str">
        <f t="shared" si="166"/>
        <v/>
      </c>
      <c r="BU289" s="1300" t="str">
        <f t="shared" si="145"/>
        <v/>
      </c>
      <c r="BV289" s="1300" t="str">
        <f t="shared" si="146"/>
        <v>0</v>
      </c>
      <c r="BW289" s="2389">
        <f t="shared" si="147"/>
        <v>0</v>
      </c>
      <c r="BY289" s="2397" t="str">
        <f t="shared" si="167"/>
        <v/>
      </c>
      <c r="BZ289" s="1300" t="str">
        <f t="shared" si="148"/>
        <v/>
      </c>
      <c r="CA289" s="1300" t="str">
        <f t="shared" si="149"/>
        <v>0</v>
      </c>
      <c r="CB289" s="2389">
        <f t="shared" si="150"/>
        <v>0</v>
      </c>
      <c r="CD289" s="2388" t="str">
        <f t="shared" si="168"/>
        <v/>
      </c>
      <c r="CE289" s="1300" t="str">
        <f t="shared" si="151"/>
        <v/>
      </c>
      <c r="CF289" s="1300" t="str">
        <f t="shared" si="152"/>
        <v>0</v>
      </c>
      <c r="CG289" s="2389">
        <f t="shared" si="153"/>
        <v>0</v>
      </c>
    </row>
    <row r="290" spans="1:85" ht="16.2" customHeight="1" x14ac:dyDescent="0.25">
      <c r="A290" s="433" t="s">
        <v>1038</v>
      </c>
      <c r="B290" s="3847">
        <f>INDEX(PO_base_Add_EndUses,3, 1)</f>
        <v>0</v>
      </c>
      <c r="C290" s="3847"/>
      <c r="D290" s="3848">
        <f>INDEX(PO_baseline_table,53, 3)</f>
        <v>0</v>
      </c>
      <c r="E290" s="3847">
        <f>INDEX(PO_baseline_table,53, 4)</f>
        <v>0</v>
      </c>
      <c r="F290" s="1299" t="str">
        <f>IFERROR(IF(ISBLANK(E290),"","Consumption (" &amp; VLOOKUP($E290,PO_Enrgy_1_Table,MATCH($C$16,PO_Enrgy_1_Hdr,0),FALSE) &amp; ")"),"")</f>
        <v/>
      </c>
      <c r="G290" s="1782" t="str">
        <f>INDEX(PO_baseline_table,53, 10)</f>
        <v/>
      </c>
      <c r="H290" s="1783" t="str">
        <f t="shared" ca="1" si="137"/>
        <v/>
      </c>
      <c r="I290" s="1877" t="str">
        <f t="shared" ca="1" si="171"/>
        <v/>
      </c>
      <c r="J290" s="3849" t="str">
        <f ca="1">IFERROR(IF($E$457-$I$457&lt;0,"",($G290-$H290)*VLOOKUP($E290,PO_Enrgy_1_Table,MATCH($K$16,PO_Enrgy_1_Hdr,0),FALSE)/($E$457-$I$457)),"")</f>
        <v/>
      </c>
      <c r="K290" s="3851" t="str">
        <f ca="1">IFERROR(IF($G$457-$K$457&lt;0,"",($G290*VLOOKUP($E290,PO_Enrgy_8_Table,MATCH($E$310,PO_Enrgy_8_Hdr,0),FALSE)-($H290*VLOOKUP($E290,PO_Enrgy_8_Table,MATCH($H$310,PO_Enrgy_8_Hdr,0),FALSE)))/($G$457-$K$457)),"")</f>
        <v/>
      </c>
      <c r="L290" s="3851"/>
      <c r="M290" s="3852" t="str">
        <f ca="1">IFERROR((H290*R290)/$I$305,"")</f>
        <v/>
      </c>
      <c r="R290" s="627" t="str">
        <f t="shared" si="138"/>
        <v/>
      </c>
      <c r="S290" s="627" t="str">
        <f t="shared" si="139"/>
        <v/>
      </c>
      <c r="T290" s="627" t="str">
        <f t="shared" si="172"/>
        <v/>
      </c>
      <c r="U290" s="627" t="str">
        <f t="shared" si="173"/>
        <v/>
      </c>
      <c r="V290" s="627" t="str">
        <f>IF(G290="","",G290*R290)</f>
        <v/>
      </c>
      <c r="W290" s="627" t="str">
        <f ca="1">IF(H290="","",H290*R290)</f>
        <v/>
      </c>
      <c r="X290" s="636">
        <f t="shared" ca="1" si="161"/>
        <v>0</v>
      </c>
      <c r="Y290" s="627">
        <f t="shared" si="162"/>
        <v>0</v>
      </c>
      <c r="Z290" s="627">
        <f t="shared" ca="1" si="163"/>
        <v>0</v>
      </c>
      <c r="AA290" s="627" t="b">
        <f>IFERROR(IF(D290="x",IF(OR(G290/H290&gt;1.03,G290/H290&lt;0.97),TRUE,FALSE),FALSE),FALSE)</f>
        <v>0</v>
      </c>
      <c r="AB290" s="627">
        <f ca="1">IFERROR(J290*100,)</f>
        <v>0</v>
      </c>
      <c r="AC290" s="627"/>
      <c r="AD290" s="627">
        <f ca="1">RANK(AB290,$AB$238:$AB$293,0)</f>
        <v>1</v>
      </c>
      <c r="AE290" s="627">
        <f ca="1">AD290+COUNTIF($AD$238:$AD289,AD290)</f>
        <v>27</v>
      </c>
      <c r="AF290" s="627">
        <f>B290</f>
        <v>0</v>
      </c>
      <c r="AG290" s="627">
        <f t="shared" si="154"/>
        <v>0</v>
      </c>
      <c r="AH290" s="363"/>
      <c r="AI290" s="363"/>
      <c r="AJ290" s="627">
        <f t="shared" si="141"/>
        <v>0</v>
      </c>
      <c r="AK290" s="627">
        <v>1</v>
      </c>
      <c r="AL290" s="627" t="str">
        <f t="shared" si="164"/>
        <v/>
      </c>
      <c r="AM290" s="1783" t="str">
        <f t="shared" ca="1" si="165"/>
        <v/>
      </c>
      <c r="AP290" s="252"/>
      <c r="AR290" s="2486"/>
      <c r="AS290" s="2486"/>
      <c r="AT290" s="2486"/>
      <c r="AV290" s="2580"/>
      <c r="AW290" s="2486"/>
      <c r="AX290" s="2486"/>
      <c r="AY290" s="2486"/>
      <c r="BD290" s="2154"/>
      <c r="BG290" s="2832">
        <f t="shared" si="169"/>
        <v>0</v>
      </c>
      <c r="BH290" s="983">
        <v>0</v>
      </c>
      <c r="BI290" s="983">
        <v>0</v>
      </c>
      <c r="BJ290" s="983" t="s">
        <v>853</v>
      </c>
      <c r="BP290" s="2388" t="str">
        <f t="shared" si="142"/>
        <v/>
      </c>
      <c r="BQ290" s="1300" t="str">
        <f t="shared" si="143"/>
        <v>0</v>
      </c>
      <c r="BR290" s="2389">
        <f t="shared" si="144"/>
        <v>0</v>
      </c>
      <c r="BT290" s="2397" t="str">
        <f t="shared" si="166"/>
        <v/>
      </c>
      <c r="BU290" s="1300" t="str">
        <f t="shared" si="145"/>
        <v/>
      </c>
      <c r="BV290" s="1300" t="str">
        <f t="shared" si="146"/>
        <v>0</v>
      </c>
      <c r="BW290" s="2389">
        <f t="shared" si="147"/>
        <v>0</v>
      </c>
      <c r="BY290" s="2397" t="str">
        <f t="shared" si="167"/>
        <v/>
      </c>
      <c r="BZ290" s="1300" t="str">
        <f t="shared" si="148"/>
        <v/>
      </c>
      <c r="CA290" s="1300" t="str">
        <f t="shared" si="149"/>
        <v>0</v>
      </c>
      <c r="CB290" s="2389">
        <f t="shared" si="150"/>
        <v>0</v>
      </c>
      <c r="CD290" s="2388" t="str">
        <f t="shared" si="168"/>
        <v/>
      </c>
      <c r="CE290" s="1300" t="str">
        <f t="shared" si="151"/>
        <v/>
      </c>
      <c r="CF290" s="1300" t="str">
        <f t="shared" si="152"/>
        <v>0</v>
      </c>
      <c r="CG290" s="2389">
        <f t="shared" si="153"/>
        <v>0</v>
      </c>
    </row>
    <row r="291" spans="1:85" ht="15.75" customHeight="1" x14ac:dyDescent="0.25">
      <c r="A291" s="433" t="s">
        <v>1038</v>
      </c>
      <c r="B291" s="3847"/>
      <c r="C291" s="3847"/>
      <c r="D291" s="3848"/>
      <c r="E291" s="3847"/>
      <c r="F291" s="1299" t="str">
        <f>IFERROR(IF(ISBLANK(E290),"","Demand (" &amp; VLOOKUP($E290,PO_Enrgy_1_Table,MATCH($E$16,PO_Enrgy_1_Hdr,0),FALSE) &amp; ")"),"")</f>
        <v/>
      </c>
      <c r="G291" s="2790" t="str">
        <f>INDEX(PO_baseline_table,54, 10)</f>
        <v/>
      </c>
      <c r="H291" s="1783" t="str">
        <f t="shared" ca="1" si="137"/>
        <v/>
      </c>
      <c r="I291" s="1877" t="str">
        <f t="shared" ca="1" si="171"/>
        <v/>
      </c>
      <c r="J291" s="3850"/>
      <c r="K291" s="3851"/>
      <c r="L291" s="3851"/>
      <c r="M291" s="3853"/>
      <c r="R291" s="627" t="str">
        <f t="shared" si="138"/>
        <v/>
      </c>
      <c r="S291" s="627" t="str">
        <f t="shared" si="139"/>
        <v/>
      </c>
      <c r="T291" s="627" t="str">
        <f t="shared" si="172"/>
        <v/>
      </c>
      <c r="U291" s="627" t="str">
        <f t="shared" si="173"/>
        <v/>
      </c>
      <c r="V291" s="627"/>
      <c r="W291" s="627"/>
      <c r="X291" s="636">
        <f t="shared" ca="1" si="161"/>
        <v>0</v>
      </c>
      <c r="Y291" s="627">
        <f t="shared" si="162"/>
        <v>0</v>
      </c>
      <c r="Z291" s="627">
        <f t="shared" ca="1" si="163"/>
        <v>0</v>
      </c>
      <c r="AA291" s="627"/>
      <c r="AB291" s="627"/>
      <c r="AC291" s="627"/>
      <c r="AD291" s="627"/>
      <c r="AE291" s="627"/>
      <c r="AF291" s="627"/>
      <c r="AG291" s="627">
        <f t="shared" si="154"/>
        <v>0</v>
      </c>
      <c r="AH291" s="363"/>
      <c r="AI291" s="363"/>
      <c r="AJ291" s="627">
        <f t="shared" si="141"/>
        <v>0</v>
      </c>
      <c r="AK291" s="627"/>
      <c r="AL291" s="627" t="str">
        <f t="shared" si="164"/>
        <v/>
      </c>
      <c r="AM291" s="1783" t="str">
        <f t="shared" ca="1" si="165"/>
        <v/>
      </c>
      <c r="AP291" s="252"/>
      <c r="AR291" s="2486"/>
      <c r="AS291" s="2486"/>
      <c r="AT291" s="2486"/>
      <c r="AV291" s="2580"/>
      <c r="AW291" s="2486"/>
      <c r="AX291" s="2486"/>
      <c r="AY291" s="2486"/>
      <c r="BD291" s="2154"/>
      <c r="BG291" s="2832">
        <f t="shared" si="169"/>
        <v>0</v>
      </c>
      <c r="BH291" s="983">
        <v>0</v>
      </c>
      <c r="BI291" s="983">
        <v>0</v>
      </c>
      <c r="BJ291" s="983"/>
      <c r="BP291" s="2388" t="str">
        <f t="shared" si="142"/>
        <v/>
      </c>
      <c r="BQ291" s="1300" t="str">
        <f t="shared" si="143"/>
        <v>0</v>
      </c>
      <c r="BR291" s="2389">
        <f t="shared" si="144"/>
        <v>0</v>
      </c>
      <c r="BT291" s="2397" t="str">
        <f t="shared" si="166"/>
        <v/>
      </c>
      <c r="BU291" s="1300" t="str">
        <f t="shared" si="145"/>
        <v/>
      </c>
      <c r="BV291" s="1300" t="str">
        <f t="shared" si="146"/>
        <v>0</v>
      </c>
      <c r="BW291" s="2389">
        <f t="shared" si="147"/>
        <v>0</v>
      </c>
      <c r="BY291" s="2397" t="str">
        <f t="shared" si="167"/>
        <v/>
      </c>
      <c r="BZ291" s="1300" t="str">
        <f t="shared" si="148"/>
        <v/>
      </c>
      <c r="CA291" s="1300" t="str">
        <f t="shared" si="149"/>
        <v>0</v>
      </c>
      <c r="CB291" s="2389">
        <f t="shared" si="150"/>
        <v>0</v>
      </c>
      <c r="CD291" s="2388" t="str">
        <f t="shared" si="168"/>
        <v/>
      </c>
      <c r="CE291" s="1300" t="str">
        <f t="shared" si="151"/>
        <v/>
      </c>
      <c r="CF291" s="1300" t="str">
        <f t="shared" si="152"/>
        <v>0</v>
      </c>
      <c r="CG291" s="2389">
        <f t="shared" si="153"/>
        <v>0</v>
      </c>
    </row>
    <row r="292" spans="1:85" ht="16.2" customHeight="1" x14ac:dyDescent="0.25">
      <c r="A292" s="433" t="s">
        <v>1038</v>
      </c>
      <c r="B292" s="3847">
        <f>INDEX(PO_base_Add_EndUses,5, 1)</f>
        <v>0</v>
      </c>
      <c r="C292" s="3847"/>
      <c r="D292" s="3848">
        <f>INDEX(PO_baseline_table,55, 3)</f>
        <v>0</v>
      </c>
      <c r="E292" s="3847">
        <f>INDEX(PO_baseline_table,55, 4)</f>
        <v>0</v>
      </c>
      <c r="F292" s="1299" t="str">
        <f>IFERROR(IF(ISBLANK(E292),"","Consumption (" &amp; VLOOKUP($E292,PO_Enrgy_1_Table,MATCH($C$16,PO_Enrgy_1_Hdr,0),FALSE) &amp; ")"),"")</f>
        <v/>
      </c>
      <c r="G292" s="1782" t="str">
        <f>INDEX(PO_baseline_table,55, 10)</f>
        <v/>
      </c>
      <c r="H292" s="1783" t="str">
        <f t="shared" ca="1" si="137"/>
        <v/>
      </c>
      <c r="I292" s="1877" t="str">
        <f t="shared" ca="1" si="171"/>
        <v/>
      </c>
      <c r="J292" s="3849" t="str">
        <f ca="1">IFERROR(IF($E$457-$I$457&lt;0,"",($G292-$H292)*VLOOKUP($E292,PO_Enrgy_1_Table,MATCH($K$16,PO_Enrgy_1_Hdr,0),FALSE)/($E$457-$I$457)),"")</f>
        <v/>
      </c>
      <c r="K292" s="3851" t="str">
        <f ca="1">IFERROR(IF($G$457-$K$457&lt;0,"",($G292*VLOOKUP($E292,PO_Enrgy_8_Table,MATCH($E$310,PO_Enrgy_8_Hdr,0),FALSE)-($H292*VLOOKUP($E292,PO_Enrgy_8_Table,MATCH($H$310,PO_Enrgy_8_Hdr,0),FALSE)))/($G$457-$K$457)),"")</f>
        <v/>
      </c>
      <c r="L292" s="3851"/>
      <c r="M292" s="3852" t="str">
        <f ca="1">IFERROR((H292*R292)/$I$305,"")</f>
        <v/>
      </c>
      <c r="R292" s="627" t="str">
        <f t="shared" si="138"/>
        <v/>
      </c>
      <c r="S292" s="627" t="str">
        <f t="shared" si="139"/>
        <v/>
      </c>
      <c r="T292" s="627" t="str">
        <f t="shared" si="172"/>
        <v/>
      </c>
      <c r="U292" s="627" t="str">
        <f t="shared" si="173"/>
        <v/>
      </c>
      <c r="V292" s="627" t="str">
        <f>IF(G292="","",G292*R292)</f>
        <v/>
      </c>
      <c r="W292" s="627" t="str">
        <f ca="1">IF(H292="","",H292*R292)</f>
        <v/>
      </c>
      <c r="X292" s="636">
        <f t="shared" ca="1" si="161"/>
        <v>0</v>
      </c>
      <c r="Y292" s="627">
        <f t="shared" si="162"/>
        <v>0</v>
      </c>
      <c r="Z292" s="627">
        <f t="shared" ca="1" si="163"/>
        <v>0</v>
      </c>
      <c r="AA292" s="627" t="b">
        <f>IFERROR(IF(D292="x",IF(OR(G292/H292&gt;1.03,G292/H292&lt;0.97),TRUE,FALSE),FALSE),FALSE)</f>
        <v>0</v>
      </c>
      <c r="AB292" s="627">
        <f ca="1">IFERROR(J292*100,)</f>
        <v>0</v>
      </c>
      <c r="AC292" s="627"/>
      <c r="AD292" s="627">
        <f ca="1">RANK(AB292,$AB$238:$AB$293,0)</f>
        <v>1</v>
      </c>
      <c r="AE292" s="627">
        <f ca="1">AD292+COUNTIF($AD$238:$AD291,AD292)</f>
        <v>28</v>
      </c>
      <c r="AF292" s="627">
        <f>B292</f>
        <v>0</v>
      </c>
      <c r="AG292" s="627">
        <f t="shared" si="154"/>
        <v>0</v>
      </c>
      <c r="AH292" s="363"/>
      <c r="AI292" s="363"/>
      <c r="AJ292" s="627">
        <f t="shared" si="141"/>
        <v>0</v>
      </c>
      <c r="AK292" s="627">
        <v>1</v>
      </c>
      <c r="AL292" s="627" t="str">
        <f t="shared" si="164"/>
        <v/>
      </c>
      <c r="AM292" s="1783" t="str">
        <f t="shared" ca="1" si="165"/>
        <v/>
      </c>
      <c r="AP292" s="252"/>
      <c r="AR292" s="2486"/>
      <c r="AS292" s="2486"/>
      <c r="AT292" s="2486"/>
      <c r="AV292" s="2580"/>
      <c r="AW292" s="2486"/>
      <c r="AX292" s="2486"/>
      <c r="AY292" s="2486"/>
      <c r="BD292" s="2154"/>
      <c r="BG292" s="2832">
        <f t="shared" si="169"/>
        <v>0</v>
      </c>
      <c r="BH292" s="983">
        <v>0</v>
      </c>
      <c r="BI292" s="983">
        <v>0</v>
      </c>
      <c r="BJ292" s="983" t="s">
        <v>853</v>
      </c>
      <c r="BP292" s="2388" t="str">
        <f t="shared" si="142"/>
        <v/>
      </c>
      <c r="BQ292" s="1300" t="str">
        <f t="shared" si="143"/>
        <v>0</v>
      </c>
      <c r="BR292" s="2389">
        <f t="shared" si="144"/>
        <v>0</v>
      </c>
      <c r="BT292" s="2397" t="str">
        <f t="shared" si="166"/>
        <v/>
      </c>
      <c r="BU292" s="1300" t="str">
        <f t="shared" si="145"/>
        <v/>
      </c>
      <c r="BV292" s="1300" t="str">
        <f t="shared" si="146"/>
        <v>0</v>
      </c>
      <c r="BW292" s="2389">
        <f t="shared" si="147"/>
        <v>0</v>
      </c>
      <c r="BY292" s="2397" t="str">
        <f t="shared" si="167"/>
        <v/>
      </c>
      <c r="BZ292" s="1300" t="str">
        <f t="shared" si="148"/>
        <v/>
      </c>
      <c r="CA292" s="1300" t="str">
        <f t="shared" si="149"/>
        <v>0</v>
      </c>
      <c r="CB292" s="2389">
        <f t="shared" si="150"/>
        <v>0</v>
      </c>
      <c r="CD292" s="2388" t="str">
        <f t="shared" si="168"/>
        <v/>
      </c>
      <c r="CE292" s="1300" t="str">
        <f t="shared" si="151"/>
        <v/>
      </c>
      <c r="CF292" s="1300" t="str">
        <f t="shared" si="152"/>
        <v>0</v>
      </c>
      <c r="CG292" s="2389">
        <f t="shared" si="153"/>
        <v>0</v>
      </c>
    </row>
    <row r="293" spans="1:85" ht="15.75" customHeight="1" x14ac:dyDescent="0.25">
      <c r="A293" s="433" t="s">
        <v>1038</v>
      </c>
      <c r="B293" s="3847"/>
      <c r="C293" s="3847"/>
      <c r="D293" s="3848"/>
      <c r="E293" s="3847"/>
      <c r="F293" s="1299" t="str">
        <f>IFERROR(IF(ISBLANK(E292),"","Demand (" &amp; VLOOKUP($E292,PO_Enrgy_1_Table,MATCH($E$16,PO_Enrgy_1_Hdr,0),FALSE) &amp; ")"),"")</f>
        <v/>
      </c>
      <c r="G293" s="2790" t="str">
        <f>INDEX(PO_baseline_table,56, 10)</f>
        <v/>
      </c>
      <c r="H293" s="1783" t="str">
        <f t="shared" ca="1" si="137"/>
        <v/>
      </c>
      <c r="I293" s="1877" t="str">
        <f t="shared" ca="1" si="171"/>
        <v/>
      </c>
      <c r="J293" s="3850"/>
      <c r="K293" s="3851"/>
      <c r="L293" s="3851"/>
      <c r="M293" s="3853"/>
      <c r="R293" s="627" t="str">
        <f t="shared" si="138"/>
        <v/>
      </c>
      <c r="S293" s="627" t="str">
        <f t="shared" si="139"/>
        <v/>
      </c>
      <c r="T293" s="627" t="str">
        <f t="shared" si="172"/>
        <v/>
      </c>
      <c r="U293" s="627" t="str">
        <f t="shared" si="173"/>
        <v/>
      </c>
      <c r="V293" s="627"/>
      <c r="W293" s="627"/>
      <c r="X293" s="636">
        <f t="shared" ca="1" si="161"/>
        <v>0</v>
      </c>
      <c r="Y293" s="627">
        <f t="shared" si="162"/>
        <v>0</v>
      </c>
      <c r="Z293" s="627">
        <f t="shared" ca="1" si="163"/>
        <v>0</v>
      </c>
      <c r="AA293" s="627"/>
      <c r="AB293" s="627"/>
      <c r="AC293" s="627"/>
      <c r="AD293" s="627"/>
      <c r="AE293" s="627"/>
      <c r="AF293" s="627"/>
      <c r="AG293" s="627">
        <f t="shared" si="154"/>
        <v>0</v>
      </c>
      <c r="AH293" s="363"/>
      <c r="AI293" s="363"/>
      <c r="AJ293" s="627">
        <f t="shared" si="141"/>
        <v>0</v>
      </c>
      <c r="AK293" s="627"/>
      <c r="AL293" s="627" t="str">
        <f t="shared" si="164"/>
        <v/>
      </c>
      <c r="AM293" s="1783" t="str">
        <f t="shared" ca="1" si="165"/>
        <v/>
      </c>
      <c r="AP293" s="252"/>
      <c r="AR293" s="2486"/>
      <c r="AS293" s="2486"/>
      <c r="AT293" s="2486"/>
      <c r="AV293" s="2580"/>
      <c r="AW293" s="2486"/>
      <c r="AX293" s="2486"/>
      <c r="AY293" s="2486"/>
      <c r="BD293" s="2154"/>
      <c r="BG293" s="2832">
        <f t="shared" si="169"/>
        <v>0</v>
      </c>
      <c r="BH293" s="983">
        <v>0</v>
      </c>
      <c r="BI293" s="983">
        <v>0</v>
      </c>
      <c r="BJ293" s="983"/>
      <c r="BP293" s="2388" t="str">
        <f t="shared" si="142"/>
        <v/>
      </c>
      <c r="BQ293" s="1300" t="str">
        <f t="shared" si="143"/>
        <v>0</v>
      </c>
      <c r="BR293" s="2389">
        <f t="shared" si="144"/>
        <v>0</v>
      </c>
      <c r="BT293" s="2581" t="str">
        <f t="shared" si="166"/>
        <v/>
      </c>
      <c r="BU293" s="2575" t="str">
        <f t="shared" si="145"/>
        <v/>
      </c>
      <c r="BV293" s="2575" t="str">
        <f t="shared" si="146"/>
        <v>0</v>
      </c>
      <c r="BW293" s="2582">
        <f t="shared" si="147"/>
        <v>0</v>
      </c>
      <c r="BY293" s="2581" t="str">
        <f t="shared" si="167"/>
        <v/>
      </c>
      <c r="BZ293" s="2575" t="str">
        <f t="shared" si="148"/>
        <v/>
      </c>
      <c r="CA293" s="2575" t="str">
        <f t="shared" si="149"/>
        <v>0</v>
      </c>
      <c r="CB293" s="2582">
        <f t="shared" si="150"/>
        <v>0</v>
      </c>
      <c r="CD293" s="2585" t="str">
        <f t="shared" si="168"/>
        <v/>
      </c>
      <c r="CE293" s="2575" t="str">
        <f t="shared" si="151"/>
        <v/>
      </c>
      <c r="CF293" s="2575" t="str">
        <f t="shared" si="152"/>
        <v>0</v>
      </c>
      <c r="CG293" s="2582">
        <f t="shared" si="153"/>
        <v>0</v>
      </c>
    </row>
    <row r="294" spans="1:85" ht="21" customHeight="1" thickBot="1" x14ac:dyDescent="0.3">
      <c r="A294" s="433" t="s">
        <v>1038</v>
      </c>
      <c r="B294" s="243"/>
      <c r="C294" s="243"/>
      <c r="D294" s="588"/>
      <c r="E294" s="265"/>
      <c r="F294" s="243"/>
      <c r="G294" s="277"/>
      <c r="H294" s="277"/>
      <c r="I294" s="278"/>
      <c r="J294" s="277"/>
      <c r="K294" s="277"/>
      <c r="L294" s="279"/>
      <c r="M294" s="279"/>
      <c r="T294" s="601"/>
      <c r="AR294" s="2583"/>
      <c r="AS294" s="2583"/>
      <c r="AT294" s="2583"/>
      <c r="AV294" s="2583"/>
      <c r="AW294" s="2583"/>
      <c r="AX294" s="2583"/>
      <c r="AY294" s="2583"/>
      <c r="BP294" s="2577">
        <f>SUM(BP238:BP293)</f>
        <v>0</v>
      </c>
      <c r="BQ294" s="2578">
        <f t="shared" ref="BQ294" si="174">SUM(BQ238:BQ293)</f>
        <v>0</v>
      </c>
      <c r="BR294" s="2579">
        <f t="shared" ref="BR294" si="175">SUM(BR238:BR293)</f>
        <v>0</v>
      </c>
      <c r="BT294" s="2589">
        <f>SUM(BT238:BT293)</f>
        <v>0</v>
      </c>
      <c r="BU294" s="2590">
        <f t="shared" ref="BU294" si="176">SUM(BU238:BU293)</f>
        <v>0</v>
      </c>
      <c r="BV294" s="2590">
        <f t="shared" ref="BV294" si="177">SUM(BV238:BV293)</f>
        <v>0</v>
      </c>
      <c r="BW294" s="2591">
        <f t="shared" ref="BW294" si="178">SUM(BW238:BW293)</f>
        <v>0</v>
      </c>
      <c r="BY294" s="2589">
        <f>SUM(BY238:BY293)</f>
        <v>0</v>
      </c>
      <c r="BZ294" s="2590">
        <f t="shared" ref="BZ294" si="179">SUM(BZ238:BZ293)</f>
        <v>0</v>
      </c>
      <c r="CA294" s="2590">
        <f t="shared" ref="CA294" si="180">SUM(CA238:CA293)</f>
        <v>0</v>
      </c>
      <c r="CB294" s="2591">
        <f t="shared" ref="CB294" si="181">SUM(CB238:CB293)</f>
        <v>0</v>
      </c>
      <c r="CD294" s="2589">
        <f>SUM(CD238:CD293)</f>
        <v>0</v>
      </c>
      <c r="CE294" s="2590">
        <f t="shared" ref="CE294" si="182">SUM(CE238:CE293)</f>
        <v>0</v>
      </c>
      <c r="CF294" s="2590">
        <f t="shared" ref="CF294" si="183">SUM(CF238:CF293)</f>
        <v>0</v>
      </c>
      <c r="CG294" s="2591">
        <f t="shared" ref="CG294" si="184">SUM(CG238:CG293)</f>
        <v>0</v>
      </c>
    </row>
    <row r="295" spans="1:85" ht="24" customHeight="1" thickBot="1" x14ac:dyDescent="0.3">
      <c r="A295" s="433" t="s">
        <v>1038</v>
      </c>
      <c r="B295" s="287" t="s">
        <v>3353</v>
      </c>
      <c r="C295" s="1235"/>
      <c r="D295" s="1235"/>
      <c r="E295" s="1235"/>
      <c r="F295" s="1235"/>
      <c r="G295" s="1235"/>
      <c r="H295" s="1235"/>
      <c r="I295" s="1235"/>
      <c r="J295" s="1235"/>
      <c r="K295" s="1235"/>
      <c r="L295" s="1235"/>
      <c r="M295" s="1235"/>
      <c r="T295" s="2"/>
      <c r="AR295" s="2486"/>
      <c r="AS295" s="2486"/>
      <c r="AT295" s="2584"/>
      <c r="AV295" s="2580"/>
      <c r="AW295" s="2486"/>
      <c r="AX295" s="2486"/>
      <c r="AY295" s="2584"/>
      <c r="BP295" s="2586"/>
      <c r="BQ295" s="2587"/>
      <c r="BR295" s="2588" t="e">
        <f>BR294/BP294</f>
        <v>#DIV/0!</v>
      </c>
      <c r="BT295" s="2592"/>
      <c r="BU295" s="2587"/>
      <c r="BV295" s="2587"/>
      <c r="BW295" s="2588" t="e">
        <f>BW294/BU294</f>
        <v>#DIV/0!</v>
      </c>
      <c r="BY295" s="2592"/>
      <c r="BZ295" s="2587"/>
      <c r="CA295" s="2587"/>
      <c r="CB295" s="2588" t="e">
        <f>CB294/BZ294</f>
        <v>#DIV/0!</v>
      </c>
      <c r="CD295" s="2592"/>
      <c r="CE295" s="2587"/>
      <c r="CF295" s="2587"/>
      <c r="CG295" s="2588" t="e">
        <f>CG294/CE294</f>
        <v>#DIV/0!</v>
      </c>
    </row>
    <row r="296" spans="1:85" s="1235" customFormat="1" ht="19.95" customHeight="1" x14ac:dyDescent="0.25">
      <c r="A296" s="2165" t="s">
        <v>1038</v>
      </c>
      <c r="B296" s="3358" t="s">
        <v>354</v>
      </c>
      <c r="C296" s="3433" t="s">
        <v>1436</v>
      </c>
      <c r="D296" s="3881"/>
      <c r="E296" s="3886" t="s">
        <v>272</v>
      </c>
      <c r="F296" s="3887"/>
      <c r="G296" s="3887"/>
      <c r="H296" s="3888"/>
      <c r="I296" s="3886" t="s">
        <v>2682</v>
      </c>
      <c r="J296" s="3887"/>
      <c r="K296" s="3887"/>
      <c r="L296" s="3888"/>
      <c r="M296" s="3886" t="s">
        <v>358</v>
      </c>
      <c r="N296" s="3887"/>
      <c r="O296" s="3887"/>
      <c r="P296" s="3888"/>
      <c r="Q296" s="2173"/>
      <c r="V296" s="2164"/>
      <c r="AR296" s="2486"/>
      <c r="AS296" s="2486"/>
      <c r="AT296" s="2486"/>
      <c r="AV296" s="2580"/>
      <c r="AW296" s="2486"/>
      <c r="AX296" s="2486"/>
      <c r="AY296" s="2486"/>
      <c r="BF296" s="2159"/>
      <c r="BY296" s="235"/>
      <c r="BZ296" s="2486"/>
      <c r="CA296" s="2486"/>
      <c r="CB296" s="2486"/>
      <c r="CC296" s="235"/>
      <c r="CD296" s="235"/>
      <c r="CE296" s="235"/>
      <c r="CF296" s="235"/>
      <c r="CG296" s="235"/>
    </row>
    <row r="297" spans="1:85" s="1235" customFormat="1" ht="54.45" customHeight="1" thickBot="1" x14ac:dyDescent="0.3">
      <c r="A297" s="2165" t="s">
        <v>1038</v>
      </c>
      <c r="B297" s="3881"/>
      <c r="C297" s="3881"/>
      <c r="D297" s="3881"/>
      <c r="E297" s="2043" t="s">
        <v>902</v>
      </c>
      <c r="F297" s="1358" t="str">
        <f>"Source Energy Use 
("  &amp; PO_SourceUnits &amp; ")"</f>
        <v>Source Energy Use 
(kWh)</v>
      </c>
      <c r="G297" s="2357" t="s">
        <v>356</v>
      </c>
      <c r="H297" s="2043" t="s">
        <v>3205</v>
      </c>
      <c r="I297" s="2358" t="s">
        <v>902</v>
      </c>
      <c r="J297" s="1358" t="str">
        <f>"Source Energy Use 
("  &amp; PO_SourceUnits &amp; ")"</f>
        <v>Source Energy Use 
(kWh)</v>
      </c>
      <c r="K297" s="2357" t="s">
        <v>356</v>
      </c>
      <c r="L297" s="2043" t="s">
        <v>3205</v>
      </c>
      <c r="M297" s="2358" t="s">
        <v>2584</v>
      </c>
      <c r="N297" s="2043" t="s">
        <v>2585</v>
      </c>
      <c r="O297" s="2357" t="s">
        <v>356</v>
      </c>
      <c r="P297" s="2043" t="s">
        <v>3204</v>
      </c>
      <c r="Q297" s="2173"/>
      <c r="Z297" s="446" t="s">
        <v>3268</v>
      </c>
      <c r="AG297" s="2164"/>
      <c r="AH297" s="2164"/>
      <c r="AI297" s="2164"/>
      <c r="AJ297" s="2164"/>
      <c r="AK297" s="2164"/>
      <c r="AL297" s="2164"/>
      <c r="AM297" s="2164"/>
      <c r="AN297" s="2164"/>
      <c r="AO297" s="2164"/>
      <c r="AP297" s="2164"/>
      <c r="AQ297" s="2164"/>
      <c r="AR297" s="2576"/>
      <c r="AS297" s="2576"/>
      <c r="AT297" s="2576"/>
      <c r="AW297" s="2576"/>
      <c r="AX297" s="2576"/>
      <c r="AY297" s="2576"/>
      <c r="BD297" s="1358" t="s">
        <v>1635</v>
      </c>
      <c r="BF297" s="2564"/>
      <c r="BZ297" s="2576"/>
      <c r="CA297" s="2576"/>
      <c r="CB297" s="2576"/>
      <c r="CC297" s="235"/>
      <c r="CE297" s="2576"/>
      <c r="CF297" s="2576"/>
      <c r="CG297" s="2576"/>
    </row>
    <row r="298" spans="1:85" s="446" customFormat="1" ht="21.75" hidden="1" customHeight="1" thickBot="1" x14ac:dyDescent="0.3">
      <c r="A298" s="433" t="s">
        <v>1038</v>
      </c>
      <c r="B298" s="1454" t="s">
        <v>1396</v>
      </c>
      <c r="C298" s="1454" t="s">
        <v>1424</v>
      </c>
      <c r="D298" s="1454"/>
      <c r="E298" s="1452" t="s">
        <v>1452</v>
      </c>
      <c r="F298" s="1454" t="s">
        <v>1453</v>
      </c>
      <c r="G298" s="2408" t="s">
        <v>1454</v>
      </c>
      <c r="H298" s="1452" t="s">
        <v>3208</v>
      </c>
      <c r="I298" s="2411" t="s">
        <v>1437</v>
      </c>
      <c r="J298" s="1454" t="s">
        <v>1438</v>
      </c>
      <c r="K298" s="2408" t="s">
        <v>1439</v>
      </c>
      <c r="L298" s="1452" t="s">
        <v>3209</v>
      </c>
      <c r="M298" s="2411" t="s">
        <v>1440</v>
      </c>
      <c r="N298" s="1454"/>
      <c r="O298" s="2408" t="s">
        <v>1441</v>
      </c>
      <c r="P298" s="1452" t="s">
        <v>3229</v>
      </c>
      <c r="Q298" s="463"/>
      <c r="T298" s="415" t="s">
        <v>1407</v>
      </c>
      <c r="U298" s="415" t="s">
        <v>1408</v>
      </c>
      <c r="Z298" s="446" t="s">
        <v>272</v>
      </c>
      <c r="AA298" s="446" t="s">
        <v>273</v>
      </c>
      <c r="AG298" s="447"/>
      <c r="AH298" s="447"/>
      <c r="AI298" s="447"/>
      <c r="AJ298" s="447"/>
      <c r="AK298" s="447"/>
      <c r="AL298" s="447"/>
      <c r="AM298" s="447"/>
      <c r="AN298" s="447"/>
      <c r="AO298" s="447"/>
      <c r="AP298" s="447"/>
      <c r="AQ298" s="447"/>
      <c r="AR298" s="447"/>
      <c r="BD298" s="2161"/>
      <c r="BF298" s="2162"/>
      <c r="BY298" s="235"/>
      <c r="BZ298" s="235"/>
      <c r="CA298" s="2476"/>
      <c r="CB298" s="2476" t="e">
        <f>CB297/BZ297</f>
        <v>#DIV/0!</v>
      </c>
      <c r="CC298" s="235"/>
      <c r="CD298" s="235"/>
      <c r="CE298" s="235"/>
      <c r="CF298" s="2476"/>
      <c r="CG298" s="2476" t="e">
        <f>CG297/CE297</f>
        <v>#DIV/0!</v>
      </c>
    </row>
    <row r="299" spans="1:85" ht="18" customHeight="1" x14ac:dyDescent="0.25">
      <c r="A299" s="433" t="s">
        <v>1038</v>
      </c>
      <c r="B299" s="1669" t="str">
        <f t="shared" ref="B299:B304" si="185">IFERROR(IF(ISBLANK(B17),"",B17),"")</f>
        <v/>
      </c>
      <c r="C299" s="3838" t="str">
        <f t="shared" ref="C299:C304" si="186">IFERROR(IF(ISBLANK($B299),"",VLOOKUP($B299,PO_Enrgy_1_Table,MATCH($C$16,PO_Enrgy_1_Hdr,0),FALSE) ),"")</f>
        <v/>
      </c>
      <c r="D299" s="3840" t="str">
        <f>IF(C299="","",VLOOKUP(C299,ProjectEnergyTypeTable,3,FALSE))</f>
        <v/>
      </c>
      <c r="E299" s="1309">
        <f>IFERROR(SUMIFS(G$238:G$293,$F$238:$F$293,"=Con*",$E$238:$E$293,$B299), 0)</f>
        <v>0</v>
      </c>
      <c r="F299" s="1309">
        <f t="shared" ref="F299:F304" si="187">IFERROR(SUMIFS(G$238:G$293,$F$238:$F$293,"=Con*",$E$238:$E$293,$B299)*VLOOKUP($B299,PO_Enrgy_1_Table,MATCH($M$16,PO_Enrgy_1_Hdr,0),FALSE), 0)</f>
        <v>0</v>
      </c>
      <c r="G299" s="2791" t="str">
        <f>INDEX(PO_Enrgy_6_Table,1, 10)</f>
        <v/>
      </c>
      <c r="H299" s="1309" t="str">
        <f t="shared" ref="H299:H304" si="188">Z299</f>
        <v/>
      </c>
      <c r="I299" s="2412">
        <f t="shared" ref="I299:I304" si="189">IFERROR(SUMIFS(H$238:H$293,$F$238:$F$293,"=Con*",$E$238:$E$293,$B299), 0)</f>
        <v>0</v>
      </c>
      <c r="J299" s="1309">
        <f t="shared" ref="J299:J304" si="190">IFERROR(SUMIFS(H$238:H$293,$F$238:$F$293,"=Con*",$E$238:$E$293,$B299)*VLOOKUP($B299,PO_Enrgy_1_Table,MATCH($M$16,PO_Enrgy_1_Hdr,0),FALSE), 0)</f>
        <v>0</v>
      </c>
      <c r="K299" s="2448"/>
      <c r="L299" s="1309" t="str">
        <f t="shared" ref="L299:L304" si="191">AA299</f>
        <v/>
      </c>
      <c r="M299" s="2415" t="str">
        <f t="shared" ref="M299:P305" si="192">IFERROR(1-I299/E299,"")</f>
        <v/>
      </c>
      <c r="N299" s="1852" t="str">
        <f t="shared" si="192"/>
        <v/>
      </c>
      <c r="O299" s="2438" t="str">
        <f t="shared" si="192"/>
        <v/>
      </c>
      <c r="P299" s="2968" t="str">
        <f t="shared" si="192"/>
        <v/>
      </c>
      <c r="Q299" s="2599"/>
      <c r="R299" s="3214"/>
      <c r="T299" s="627" t="str">
        <f t="shared" ref="T299:T304" si="193">IFERROR(IF(ISBLANK($B299),"",VLOOKUP($B299,PO_Enrgy_1_Table,MATCH($K$16,PO_Enrgy_1_Hdr,0),FALSE)),"")</f>
        <v/>
      </c>
      <c r="U299" s="627" t="str">
        <f t="shared" ref="U299:U304" si="194">IFERROR(IF(ISBLANK($B299),"",VLOOKUP($B299,PO_Enrgy_1_Table,MATCH($M$16,PO_Enrgy_1_Hdr,0),FALSE)),"")</f>
        <v/>
      </c>
      <c r="X299" s="2405" t="str">
        <f t="shared" ref="X299:X304" si="195">IFERROR(VLOOKUP(B299,PO_Enrgy_1_Table,MATCH($T$16,PO_Enrgy_1_Hdr,0),0),"")</f>
        <v/>
      </c>
      <c r="Z299" s="2614" t="str">
        <f>IFERROR(E299*X299,"")</f>
        <v/>
      </c>
      <c r="AA299" s="2614" t="str">
        <f>IFERROR(I299*X299,"")</f>
        <v/>
      </c>
      <c r="AG299" s="449"/>
      <c r="AH299" s="449"/>
      <c r="AI299" s="253"/>
      <c r="AJ299" s="253"/>
      <c r="AK299" s="450"/>
      <c r="AL299" s="451"/>
      <c r="AM299" s="2"/>
      <c r="AN299" s="2"/>
      <c r="AO299" s="2"/>
      <c r="AP299" s="2"/>
      <c r="AQ299" s="2"/>
      <c r="AR299" s="2"/>
      <c r="BD299" s="2154"/>
      <c r="BF299" s="2612"/>
    </row>
    <row r="300" spans="1:85" ht="18" customHeight="1" x14ac:dyDescent="0.25">
      <c r="A300" s="433" t="s">
        <v>1038</v>
      </c>
      <c r="B300" s="1669" t="str">
        <f t="shared" si="185"/>
        <v/>
      </c>
      <c r="C300" s="3838" t="str">
        <f t="shared" si="186"/>
        <v/>
      </c>
      <c r="D300" s="3840" t="str">
        <f>IF(C300="","",VLOOKUP(C300,ProjectEnergyTypeTable,3,FALSE))</f>
        <v/>
      </c>
      <c r="E300" s="1309">
        <f t="shared" ref="E300:E304" si="196">IFERROR(SUMIFS(G$238:G$293,$F$238:$F$293,"=Con*",$E$238:$E$293,$B300), 0)</f>
        <v>0</v>
      </c>
      <c r="F300" s="1309">
        <f t="shared" si="187"/>
        <v>0</v>
      </c>
      <c r="G300" s="2791" t="str">
        <f>INDEX(PO_Enrgy_6_Table,2, 10)</f>
        <v/>
      </c>
      <c r="H300" s="1309" t="str">
        <f t="shared" si="188"/>
        <v/>
      </c>
      <c r="I300" s="2412">
        <f t="shared" si="189"/>
        <v>0</v>
      </c>
      <c r="J300" s="1309">
        <f t="shared" si="190"/>
        <v>0</v>
      </c>
      <c r="K300" s="2448"/>
      <c r="L300" s="1309" t="str">
        <f t="shared" si="191"/>
        <v/>
      </c>
      <c r="M300" s="2415" t="str">
        <f t="shared" si="192"/>
        <v/>
      </c>
      <c r="N300" s="1852" t="str">
        <f t="shared" si="192"/>
        <v/>
      </c>
      <c r="O300" s="2438" t="str">
        <f t="shared" si="192"/>
        <v/>
      </c>
      <c r="P300" s="2968" t="str">
        <f t="shared" si="192"/>
        <v/>
      </c>
      <c r="Q300" s="2599"/>
      <c r="R300" s="3214"/>
      <c r="T300" s="1478" t="str">
        <f t="shared" si="193"/>
        <v/>
      </c>
      <c r="U300" s="627" t="str">
        <f t="shared" si="194"/>
        <v/>
      </c>
      <c r="X300" s="2406" t="str">
        <f t="shared" si="195"/>
        <v/>
      </c>
      <c r="Z300" s="2614" t="str">
        <f t="shared" ref="Z300:Z304" si="197">IFERROR(E300*X300,"")</f>
        <v/>
      </c>
      <c r="AA300" s="2614" t="str">
        <f t="shared" ref="AA300:AA304" si="198">IFERROR(I300*X300,"")</f>
        <v/>
      </c>
      <c r="AG300" s="449"/>
      <c r="AH300" s="449"/>
      <c r="AI300" s="253"/>
      <c r="AJ300" s="253"/>
      <c r="AK300" s="450"/>
      <c r="AL300" s="451"/>
      <c r="AM300" s="2"/>
      <c r="AN300" s="2"/>
      <c r="AO300" s="2"/>
      <c r="AP300" s="2"/>
      <c r="AQ300" s="2"/>
      <c r="AR300" s="2"/>
      <c r="BD300" s="2154"/>
      <c r="BF300" s="2612"/>
    </row>
    <row r="301" spans="1:85" ht="18" customHeight="1" x14ac:dyDescent="0.25">
      <c r="A301" s="433" t="s">
        <v>1038</v>
      </c>
      <c r="B301" s="1669" t="str">
        <f t="shared" si="185"/>
        <v/>
      </c>
      <c r="C301" s="3838" t="str">
        <f t="shared" si="186"/>
        <v/>
      </c>
      <c r="D301" s="3840" t="str">
        <f>IF(C301="","",VLOOKUP(C301,ProjectEnergyTypeTable,3,FALSE))</f>
        <v/>
      </c>
      <c r="E301" s="1309">
        <f t="shared" si="196"/>
        <v>0</v>
      </c>
      <c r="F301" s="1309">
        <f t="shared" si="187"/>
        <v>0</v>
      </c>
      <c r="G301" s="2791" t="str">
        <f>INDEX(PO_Enrgy_6_Table,3, 10)</f>
        <v/>
      </c>
      <c r="H301" s="1309" t="str">
        <f t="shared" si="188"/>
        <v/>
      </c>
      <c r="I301" s="2412">
        <f t="shared" si="189"/>
        <v>0</v>
      </c>
      <c r="J301" s="1309">
        <f t="shared" si="190"/>
        <v>0</v>
      </c>
      <c r="K301" s="2448"/>
      <c r="L301" s="1309" t="str">
        <f t="shared" si="191"/>
        <v/>
      </c>
      <c r="M301" s="2415" t="str">
        <f t="shared" si="192"/>
        <v/>
      </c>
      <c r="N301" s="1852" t="str">
        <f t="shared" si="192"/>
        <v/>
      </c>
      <c r="O301" s="2438" t="str">
        <f t="shared" si="192"/>
        <v/>
      </c>
      <c r="P301" s="2968" t="str">
        <f t="shared" si="192"/>
        <v/>
      </c>
      <c r="Q301" s="2599"/>
      <c r="R301" s="3214"/>
      <c r="T301" s="627" t="str">
        <f t="shared" si="193"/>
        <v/>
      </c>
      <c r="U301" s="627" t="str">
        <f t="shared" si="194"/>
        <v/>
      </c>
      <c r="X301" s="2406" t="str">
        <f t="shared" si="195"/>
        <v/>
      </c>
      <c r="Z301" s="2614" t="str">
        <f t="shared" si="197"/>
        <v/>
      </c>
      <c r="AA301" s="2614" t="str">
        <f t="shared" si="198"/>
        <v/>
      </c>
      <c r="AG301" s="449"/>
      <c r="AH301" s="449"/>
      <c r="AI301" s="253"/>
      <c r="AJ301" s="253"/>
      <c r="AK301" s="450"/>
      <c r="AL301" s="451"/>
      <c r="AM301" s="2"/>
      <c r="AN301" s="2"/>
      <c r="AO301" s="2"/>
      <c r="AP301" s="2"/>
      <c r="AQ301" s="2"/>
      <c r="AR301" s="2"/>
      <c r="BD301" s="2154"/>
      <c r="BF301" s="2612"/>
    </row>
    <row r="302" spans="1:85" ht="18" customHeight="1" x14ac:dyDescent="0.25">
      <c r="A302" s="433" t="s">
        <v>1038</v>
      </c>
      <c r="B302" s="1669" t="str">
        <f t="shared" si="185"/>
        <v/>
      </c>
      <c r="C302" s="3838" t="str">
        <f t="shared" si="186"/>
        <v/>
      </c>
      <c r="D302" s="3840" t="str">
        <f>IF(C302="","",VLOOKUP(C302,ProjectEnergyTypeTable,3,FALSE))</f>
        <v/>
      </c>
      <c r="E302" s="1309">
        <f t="shared" si="196"/>
        <v>0</v>
      </c>
      <c r="F302" s="1309">
        <f t="shared" si="187"/>
        <v>0</v>
      </c>
      <c r="G302" s="2791" t="str">
        <f>INDEX(PO_Enrgy_6_Table,4, 10)</f>
        <v/>
      </c>
      <c r="H302" s="1309" t="str">
        <f t="shared" si="188"/>
        <v/>
      </c>
      <c r="I302" s="2412">
        <f t="shared" si="189"/>
        <v>0</v>
      </c>
      <c r="J302" s="1309">
        <f t="shared" si="190"/>
        <v>0</v>
      </c>
      <c r="K302" s="2448"/>
      <c r="L302" s="1309" t="str">
        <f t="shared" si="191"/>
        <v/>
      </c>
      <c r="M302" s="2415" t="str">
        <f t="shared" si="192"/>
        <v/>
      </c>
      <c r="N302" s="1852" t="str">
        <f t="shared" si="192"/>
        <v/>
      </c>
      <c r="O302" s="2438" t="str">
        <f t="shared" si="192"/>
        <v/>
      </c>
      <c r="P302" s="2968" t="str">
        <f t="shared" si="192"/>
        <v/>
      </c>
      <c r="Q302" s="2599"/>
      <c r="R302" s="3214"/>
      <c r="T302" s="627" t="str">
        <f t="shared" si="193"/>
        <v/>
      </c>
      <c r="U302" s="627" t="str">
        <f t="shared" si="194"/>
        <v/>
      </c>
      <c r="X302" s="2406" t="str">
        <f t="shared" si="195"/>
        <v/>
      </c>
      <c r="Z302" s="2614" t="str">
        <f t="shared" si="197"/>
        <v/>
      </c>
      <c r="AA302" s="2614" t="str">
        <f t="shared" si="198"/>
        <v/>
      </c>
      <c r="AG302" s="449"/>
      <c r="AH302" s="449"/>
      <c r="AI302" s="253"/>
      <c r="AJ302" s="253"/>
      <c r="AK302" s="450"/>
      <c r="AL302" s="451"/>
      <c r="AM302" s="2"/>
      <c r="AN302" s="2"/>
      <c r="AO302" s="2"/>
      <c r="AP302" s="2"/>
      <c r="AQ302" s="2"/>
      <c r="AR302" s="2"/>
      <c r="BD302" s="2154"/>
      <c r="BF302" s="2612"/>
    </row>
    <row r="303" spans="1:85" ht="18" customHeight="1" x14ac:dyDescent="0.25">
      <c r="A303" s="433" t="s">
        <v>1038</v>
      </c>
      <c r="B303" s="1669" t="str">
        <f t="shared" si="185"/>
        <v/>
      </c>
      <c r="C303" s="3838" t="str">
        <f t="shared" si="186"/>
        <v/>
      </c>
      <c r="D303" s="3840" t="str">
        <f>IF(C303="","",VLOOKUP(C303,ProjectEnergyTypeTable,3,FALSE))</f>
        <v/>
      </c>
      <c r="E303" s="1309">
        <f t="shared" si="196"/>
        <v>0</v>
      </c>
      <c r="F303" s="1309">
        <f t="shared" si="187"/>
        <v>0</v>
      </c>
      <c r="G303" s="2791" t="str">
        <f>INDEX(PO_Enrgy_6_Table,5, 10)</f>
        <v/>
      </c>
      <c r="H303" s="1309" t="str">
        <f t="shared" si="188"/>
        <v/>
      </c>
      <c r="I303" s="2412">
        <f t="shared" si="189"/>
        <v>0</v>
      </c>
      <c r="J303" s="1309">
        <f t="shared" si="190"/>
        <v>0</v>
      </c>
      <c r="K303" s="2448"/>
      <c r="L303" s="1309" t="str">
        <f t="shared" si="191"/>
        <v/>
      </c>
      <c r="M303" s="2415" t="str">
        <f t="shared" si="192"/>
        <v/>
      </c>
      <c r="N303" s="1852" t="str">
        <f t="shared" si="192"/>
        <v/>
      </c>
      <c r="O303" s="2438" t="str">
        <f t="shared" si="192"/>
        <v/>
      </c>
      <c r="P303" s="2968" t="str">
        <f t="shared" si="192"/>
        <v/>
      </c>
      <c r="Q303" s="2599"/>
      <c r="R303" s="3214"/>
      <c r="T303" s="627" t="str">
        <f t="shared" si="193"/>
        <v/>
      </c>
      <c r="U303" s="627" t="str">
        <f t="shared" si="194"/>
        <v/>
      </c>
      <c r="X303" s="2406" t="str">
        <f t="shared" si="195"/>
        <v/>
      </c>
      <c r="Z303" s="2614" t="str">
        <f t="shared" si="197"/>
        <v/>
      </c>
      <c r="AA303" s="2614" t="str">
        <f t="shared" si="198"/>
        <v/>
      </c>
      <c r="AG303" s="449"/>
      <c r="AH303" s="449"/>
      <c r="AI303" s="253"/>
      <c r="AJ303" s="253"/>
      <c r="AK303" s="450"/>
      <c r="AL303" s="451"/>
      <c r="AM303" s="2"/>
      <c r="AN303" s="2"/>
      <c r="AO303" s="2"/>
      <c r="AP303" s="2"/>
      <c r="AQ303" s="2"/>
      <c r="AR303" s="2"/>
      <c r="BD303" s="2154"/>
      <c r="BF303" s="2612"/>
    </row>
    <row r="304" spans="1:85" ht="18" customHeight="1" thickBot="1" x14ac:dyDescent="0.3">
      <c r="A304" s="433" t="s">
        <v>1038</v>
      </c>
      <c r="B304" s="1669" t="str">
        <f t="shared" si="185"/>
        <v/>
      </c>
      <c r="C304" s="3838" t="str">
        <f t="shared" si="186"/>
        <v/>
      </c>
      <c r="D304" s="3840" t="str">
        <f>IF(C304="","",VLOOKUP(C304,ProjectEnergyTypeTable,3,FALSE))</f>
        <v/>
      </c>
      <c r="E304" s="1309">
        <f t="shared" si="196"/>
        <v>0</v>
      </c>
      <c r="F304" s="1309">
        <f t="shared" si="187"/>
        <v>0</v>
      </c>
      <c r="G304" s="2791" t="str">
        <f>INDEX(PO_Enrgy_6_Table,6, 10)</f>
        <v/>
      </c>
      <c r="H304" s="1309" t="str">
        <f t="shared" si="188"/>
        <v/>
      </c>
      <c r="I304" s="2412">
        <f t="shared" si="189"/>
        <v>0</v>
      </c>
      <c r="J304" s="1309">
        <f t="shared" si="190"/>
        <v>0</v>
      </c>
      <c r="K304" s="2448"/>
      <c r="L304" s="1309" t="str">
        <f t="shared" si="191"/>
        <v/>
      </c>
      <c r="M304" s="2415" t="str">
        <f t="shared" si="192"/>
        <v/>
      </c>
      <c r="N304" s="1852" t="str">
        <f t="shared" si="192"/>
        <v/>
      </c>
      <c r="O304" s="2438" t="str">
        <f t="shared" si="192"/>
        <v/>
      </c>
      <c r="P304" s="2968" t="str">
        <f t="shared" si="192"/>
        <v/>
      </c>
      <c r="Q304" s="2599"/>
      <c r="R304" s="3214"/>
      <c r="T304" s="627" t="str">
        <f t="shared" si="193"/>
        <v/>
      </c>
      <c r="U304" s="627" t="str">
        <f t="shared" si="194"/>
        <v/>
      </c>
      <c r="X304" s="2407" t="str">
        <f t="shared" si="195"/>
        <v/>
      </c>
      <c r="Z304" s="2614" t="str">
        <f t="shared" si="197"/>
        <v/>
      </c>
      <c r="AA304" s="2614" t="str">
        <f t="shared" si="198"/>
        <v/>
      </c>
      <c r="AG304" s="449"/>
      <c r="AH304" s="449"/>
      <c r="AI304" s="253"/>
      <c r="AJ304" s="253"/>
      <c r="AK304" s="450"/>
      <c r="AL304" s="451"/>
      <c r="AM304" s="2"/>
      <c r="AN304" s="2"/>
      <c r="AO304" s="2"/>
      <c r="AP304" s="2"/>
      <c r="AQ304" s="2"/>
      <c r="AR304" s="2"/>
      <c r="BD304" s="2154"/>
      <c r="BF304" s="2612"/>
    </row>
    <row r="305" spans="1:58" s="245" customFormat="1" ht="21" customHeight="1" x14ac:dyDescent="0.25">
      <c r="A305" s="433" t="s">
        <v>1038</v>
      </c>
      <c r="B305" s="3817" t="str">
        <f>"Energy model subtotal (" &amp; PO_SiteUnits &amp; ")"</f>
        <v>Energy model subtotal (kWh)</v>
      </c>
      <c r="C305" s="3817"/>
      <c r="D305" s="3817"/>
      <c r="E305" s="1310">
        <f>IFERROR(SUMPRODUCT(INDEX(PO_Enrgy_7_Table,0,MATCH(E$298,PO_Enrgy_7_Hdr,0)),INDEX(PO_Enrgy_7_Table,0,MATCH($T$298,PO_Enrgy_7_Hdr,0))),"")</f>
        <v>0</v>
      </c>
      <c r="F305" s="1310">
        <f>IFERROR(SUM(INDEX(PO_Enrgy_7_Table,0,MATCH(F$298,PO_Enrgy_7_Hdr,0))),"")</f>
        <v>0</v>
      </c>
      <c r="G305" s="2410">
        <f>IFERROR(SUM(INDEX(PO_Enrgy_7_Table,0,MATCH(G$298,PO_Enrgy_7_Hdr,0))),"")</f>
        <v>0</v>
      </c>
      <c r="H305" s="1310">
        <f>SUM(H299:H304)</f>
        <v>0</v>
      </c>
      <c r="I305" s="2447">
        <f>IFERROR(SUMPRODUCT(INDEX(PO_Enrgy_7_Table,0,MATCH(I$298,PO_Enrgy_7_Hdr,0)),INDEX(PO_Enrgy_7_Table,0,MATCH($T$298,PO_Enrgy_7_Hdr,0))),"")</f>
        <v>0</v>
      </c>
      <c r="J305" s="1310">
        <f>IFERROR(SUM(INDEX(PO_Enrgy_7_Table,0,MATCH(J$298,PO_Enrgy_7_Hdr,0))),"")</f>
        <v>0</v>
      </c>
      <c r="K305" s="2410">
        <f>IFERROR(SUM(INDEX(PO_Enrgy_7_Table,0,MATCH(K$298,PO_Enrgy_7_Hdr,0))),"")</f>
        <v>0</v>
      </c>
      <c r="L305" s="1310">
        <f>SUM(L299:L304)</f>
        <v>0</v>
      </c>
      <c r="M305" s="2416" t="str">
        <f t="shared" si="192"/>
        <v/>
      </c>
      <c r="N305" s="1852" t="str">
        <f t="shared" si="192"/>
        <v/>
      </c>
      <c r="O305" s="2439" t="str">
        <f t="shared" si="192"/>
        <v/>
      </c>
      <c r="P305" s="1671" t="str">
        <f t="shared" si="192"/>
        <v/>
      </c>
      <c r="Q305" s="2467"/>
      <c r="R305" s="235"/>
      <c r="S305" s="235"/>
      <c r="AG305" s="2"/>
      <c r="AH305" s="2"/>
      <c r="AI305" s="2"/>
      <c r="AJ305" s="2"/>
      <c r="AK305" s="450"/>
      <c r="AL305" s="451"/>
      <c r="AM305" s="2"/>
      <c r="AN305" s="2"/>
      <c r="AO305" s="2"/>
      <c r="AP305" s="2"/>
      <c r="AQ305" s="2"/>
      <c r="AR305" s="2"/>
      <c r="BD305" s="2154"/>
      <c r="BE305" s="235"/>
      <c r="BF305" s="2612"/>
    </row>
    <row r="306" spans="1:58" s="245" customFormat="1" ht="5.25" customHeight="1" x14ac:dyDescent="0.25">
      <c r="A306" s="433" t="s">
        <v>1038</v>
      </c>
      <c r="B306" s="249"/>
      <c r="C306" s="249"/>
      <c r="D306" s="249"/>
      <c r="E306" s="250"/>
      <c r="F306" s="250"/>
      <c r="G306" s="294"/>
      <c r="H306" s="250"/>
      <c r="I306" s="250"/>
      <c r="J306" s="294"/>
      <c r="K306" s="332"/>
      <c r="L306" s="332"/>
      <c r="M306" s="332"/>
      <c r="N306" s="235"/>
      <c r="O306" s="235"/>
      <c r="P306" s="235"/>
      <c r="Q306" s="235"/>
      <c r="AE306" s="2"/>
      <c r="AF306" s="2"/>
      <c r="AG306" s="2"/>
      <c r="AH306" s="2"/>
      <c r="AI306" s="450"/>
      <c r="AJ306" s="451"/>
      <c r="AK306" s="2"/>
      <c r="AL306" s="2"/>
      <c r="AM306" s="2"/>
      <c r="AN306" s="2"/>
      <c r="AO306" s="2"/>
      <c r="AP306" s="2"/>
      <c r="BD306" s="2155"/>
      <c r="BE306" s="235"/>
      <c r="BF306" s="235"/>
    </row>
    <row r="307" spans="1:58" s="245" customFormat="1" ht="33" customHeight="1" x14ac:dyDescent="0.25">
      <c r="A307" s="433" t="s">
        <v>1038</v>
      </c>
      <c r="B307" s="249"/>
      <c r="C307" s="249"/>
      <c r="D307" s="249"/>
      <c r="E307" s="250"/>
      <c r="F307" s="1477"/>
      <c r="G307" s="294"/>
      <c r="H307" s="250"/>
      <c r="I307" s="250"/>
      <c r="J307" s="294"/>
      <c r="K307" s="332"/>
      <c r="L307" s="332"/>
      <c r="M307" s="332"/>
      <c r="N307" s="235"/>
      <c r="O307" s="235"/>
      <c r="P307" s="235"/>
      <c r="Q307" s="235"/>
      <c r="AE307" s="2"/>
      <c r="AF307" s="2"/>
      <c r="AG307" s="2"/>
      <c r="AH307" s="2"/>
      <c r="AI307" s="450"/>
      <c r="AJ307" s="451"/>
      <c r="AK307" s="2"/>
      <c r="AL307" s="2"/>
      <c r="AM307" s="2"/>
      <c r="AN307" s="2"/>
      <c r="AO307" s="2"/>
      <c r="AP307" s="2"/>
      <c r="BD307" s="2155"/>
      <c r="BE307" s="235"/>
      <c r="BF307" s="235"/>
    </row>
    <row r="308" spans="1:58" s="245" customFormat="1" ht="21" customHeight="1" x14ac:dyDescent="0.25">
      <c r="A308" s="433" t="s">
        <v>1038</v>
      </c>
      <c r="B308" s="3219" t="s">
        <v>3354</v>
      </c>
      <c r="C308" s="3220"/>
      <c r="D308" s="3220"/>
      <c r="E308" s="3220"/>
      <c r="F308" s="3220"/>
      <c r="G308" s="3220"/>
      <c r="H308" s="3220"/>
      <c r="I308" s="3220"/>
      <c r="J308" s="3220"/>
      <c r="K308" s="3220"/>
      <c r="L308" s="3220"/>
      <c r="M308" s="332"/>
      <c r="Q308" s="235"/>
      <c r="AA308" s="267"/>
      <c r="AB308" s="268"/>
      <c r="AE308" s="2"/>
      <c r="AF308" s="2"/>
      <c r="AG308" s="2"/>
      <c r="AH308" s="2"/>
      <c r="AI308" s="2"/>
      <c r="AJ308" s="2"/>
      <c r="AK308" s="2"/>
      <c r="AL308" s="2"/>
      <c r="AM308" s="2"/>
      <c r="AN308" s="2"/>
      <c r="AO308" s="2"/>
      <c r="AP308" s="2"/>
      <c r="BD308" s="2155"/>
      <c r="BE308" s="235"/>
      <c r="BF308" s="235"/>
    </row>
    <row r="309" spans="1:58" s="1235" customFormat="1" ht="28.95" customHeight="1" x14ac:dyDescent="0.25">
      <c r="A309" s="2165" t="s">
        <v>1038</v>
      </c>
      <c r="B309" s="3358" t="s">
        <v>354</v>
      </c>
      <c r="C309" s="3866"/>
      <c r="D309" s="3866"/>
      <c r="E309" s="3859" t="s">
        <v>272</v>
      </c>
      <c r="F309" s="3358"/>
      <c r="G309" s="3358"/>
      <c r="H309" s="3859" t="s">
        <v>2682</v>
      </c>
      <c r="I309" s="3358"/>
      <c r="J309" s="3358"/>
      <c r="K309" s="3859" t="s">
        <v>365</v>
      </c>
      <c r="L309" s="3358"/>
      <c r="M309" s="3860"/>
      <c r="N309" s="2813" t="s">
        <v>3262</v>
      </c>
      <c r="O309" s="2813" t="s">
        <v>3263</v>
      </c>
      <c r="P309" s="2813" t="s">
        <v>3264</v>
      </c>
      <c r="AE309" s="2164"/>
      <c r="AF309" s="2164"/>
      <c r="AG309" s="2164"/>
      <c r="AH309" s="2164"/>
      <c r="AI309" s="2164"/>
      <c r="AJ309" s="2164"/>
      <c r="AK309" s="2164"/>
      <c r="AL309" s="2164"/>
      <c r="AM309" s="2164"/>
      <c r="AN309" s="2164"/>
      <c r="AO309" s="2164"/>
      <c r="AP309" s="2164"/>
      <c r="BD309" s="1358" t="s">
        <v>1635</v>
      </c>
    </row>
    <row r="310" spans="1:58" s="446" customFormat="1" ht="26.4" hidden="1" x14ac:dyDescent="0.25">
      <c r="A310" s="433" t="s">
        <v>1038</v>
      </c>
      <c r="B310" s="1454" t="s">
        <v>1396</v>
      </c>
      <c r="C310" s="1533" t="s">
        <v>143</v>
      </c>
      <c r="D310" s="1533"/>
      <c r="E310" s="1452" t="s">
        <v>1442</v>
      </c>
      <c r="F310" s="1454"/>
      <c r="G310" s="1454"/>
      <c r="H310" s="1452" t="s">
        <v>1443</v>
      </c>
      <c r="I310" s="1454"/>
      <c r="J310" s="1454"/>
      <c r="K310" s="1452" t="s">
        <v>1444</v>
      </c>
      <c r="L310" s="1454"/>
      <c r="M310" s="2620"/>
      <c r="N310" s="1454" t="s">
        <v>3271</v>
      </c>
      <c r="O310" s="1454" t="s">
        <v>3272</v>
      </c>
      <c r="P310" s="1452" t="s">
        <v>1444</v>
      </c>
      <c r="R310" s="415" t="s">
        <v>1407</v>
      </c>
      <c r="S310" s="415" t="s">
        <v>1408</v>
      </c>
      <c r="U310" s="655" t="s">
        <v>1575</v>
      </c>
      <c r="V310" s="655" t="s">
        <v>1576</v>
      </c>
      <c r="W310" s="2615" t="s">
        <v>3269</v>
      </c>
      <c r="X310" s="2616" t="s">
        <v>3270</v>
      </c>
      <c r="AE310" s="447"/>
      <c r="AF310" s="447"/>
      <c r="AG310" s="447"/>
      <c r="AH310" s="447"/>
      <c r="AI310" s="447"/>
      <c r="AJ310" s="447"/>
      <c r="AK310" s="447"/>
      <c r="AL310" s="447"/>
      <c r="AM310" s="447"/>
      <c r="AN310" s="447"/>
      <c r="AO310" s="447"/>
      <c r="AP310" s="447"/>
      <c r="BD310" s="2161"/>
    </row>
    <row r="311" spans="1:58" ht="18" customHeight="1" x14ac:dyDescent="0.25">
      <c r="A311" s="433" t="s">
        <v>1038</v>
      </c>
      <c r="B311" s="1669" t="str">
        <f t="shared" ref="B311:B316" si="199">IFERROR(IF(ISBLANK(B17),"",B17),"")</f>
        <v/>
      </c>
      <c r="C311" s="3838" t="str">
        <f t="shared" ref="C311:C316" si="200">IFERROR(CONCATENATE("$ / ",VLOOKUP($B311,PO_Enrgy_1_Table,MATCH($C$16,PO_Enrgy_1_Hdr,0),FALSE)),"")</f>
        <v/>
      </c>
      <c r="D311" s="3840" t="str">
        <f>IF(C311="","",VLOOKUP(C311,ProjectEnergyTypeTable,3,FALSE))</f>
        <v/>
      </c>
      <c r="E311" s="3861" t="str">
        <f t="shared" ref="E311:G316" si="201">IFERROR(IF(AND(DESPath=3,OR($B311="District Cooling",$B311="District Steam",$B311="District Hot Water")),IF($B311="District Cooling",$W$335,$X$335),VLOOKUP($B311,PO_Enrgy_7_Table,MATCH($G$298,PO_Enrgy_7_Hdr,0),FALSE)/VLOOKUP($B311,PO_Enrgy_7_Table,MATCH($E$298,PO_Enrgy_7_Hdr,0),FALSE)),"")</f>
        <v/>
      </c>
      <c r="F311" s="3862" t="str">
        <f t="shared" si="201"/>
        <v/>
      </c>
      <c r="G311" s="3862" t="str">
        <f t="shared" si="201"/>
        <v/>
      </c>
      <c r="H311" s="3861" t="str">
        <f t="shared" ref="H311:J316" si="202">IFERROR(IF(AND(DESPath=3,OR($B311="District Cooling",$B311="District Steam",$B311="District Hot Water")),IF($B311="District Cooling",$W$339,$X$339),VLOOKUP($B311,PO_Enrgy_7_Table,MATCH($K$298,PO_Enrgy_7_Hdr,0),FALSE)/VLOOKUP($B311,PO_Enrgy_7_Table,MATCH($I$298,PO_Enrgy_7_Hdr,0),FALSE)),"")</f>
        <v/>
      </c>
      <c r="I311" s="3862" t="str">
        <f t="shared" si="202"/>
        <v/>
      </c>
      <c r="J311" s="3862" t="str">
        <f t="shared" si="202"/>
        <v/>
      </c>
      <c r="K311" s="3863" t="str">
        <f>IFERROR(ABS(1-H311/E311),"")</f>
        <v/>
      </c>
      <c r="L311" s="3864"/>
      <c r="M311" s="3865"/>
      <c r="N311" s="2619" t="str">
        <f t="shared" ref="N311:O316" si="203">W311</f>
        <v/>
      </c>
      <c r="O311" s="2619" t="str">
        <f t="shared" si="203"/>
        <v/>
      </c>
      <c r="P311" s="2619" t="str">
        <f>IFERROR(ABS(1-O311/N311),"")</f>
        <v/>
      </c>
      <c r="R311" s="627" t="str">
        <f t="shared" ref="R311:R316" si="204">IFERROR(IF(ISBLANK($B311),"",VLOOKUP($B311,PO_Enrgy_1_Table,MATCH($K$16,PO_Enrgy_1_Hdr,0),FALSE)),"")</f>
        <v/>
      </c>
      <c r="S311" s="627" t="str">
        <f t="shared" ref="S311:S316" si="205">IFERROR(IF(ISBLANK($B311),"",VLOOKUP($B311,PO_Enrgy_1_Table,MATCH($M$16,PO_Enrgy_1_Hdr,0),FALSE)),"")</f>
        <v/>
      </c>
      <c r="U311" s="627" t="str">
        <f t="shared" ref="U311:U316" si="206">IFERROR(IF(AND(DESPath=3,OR($B311="District Cooling",$B311="District Steam",$B311="District Hot Water")),IF($B311="District Cooling",$W$335,$X$335),VLOOKUP($B311,PO_Enrgy_7_Table,MATCH($G$298,PO_Enrgy_7_Hdr,0),FALSE)/VLOOKUP($B311,PO_Enrgy_7_Table,MATCH($E$298,PO_Enrgy_7_Hdr,0),FALSE)),"")</f>
        <v/>
      </c>
      <c r="V311" s="2404" t="str">
        <f t="shared" ref="V311:V316" si="207">IFERROR(IF(AND(DESPath=3,OR($B311="District Cooling",$B311="District Steam",$B311="District Hot Water")),IF($B311="District Cooling",$W$339,$X$339),VLOOKUP($B311,PO_Enrgy_7_Table,MATCH($K$298,PO_Enrgy_7_Hdr,0),FALSE)/VLOOKUP($B311,PO_Enrgy_7_Table,MATCH($I$298,PO_Enrgy_7_Hdr,0),FALSE)),"")</f>
        <v/>
      </c>
      <c r="W311" s="2617" t="str">
        <f t="shared" ref="W311:W316" si="208">IFERROR(VLOOKUP($B311,PO_Enrgy_7_Table,MATCH($H$298,PO_Enrgy_7_Hdr,0),FALSE)/VLOOKUP($B311,PO_Enrgy_7_Table,MATCH($E$298,PO_Enrgy_7_Hdr,0),FALSE),"")</f>
        <v/>
      </c>
      <c r="X311" s="2618" t="str">
        <f t="shared" ref="X311:X316" si="209">IFERROR(VLOOKUP($B311,PO_Enrgy_7_Table,MATCH($L$298,PO_Enrgy_7_Hdr,0),FALSE)/VLOOKUP($B311,PO_Enrgy_7_Table,MATCH($I$298,PO_Enrgy_7_Hdr,0),FALSE),"")</f>
        <v/>
      </c>
      <c r="AE311" s="449"/>
      <c r="AF311" s="449"/>
      <c r="AG311" s="253"/>
      <c r="AH311" s="2"/>
      <c r="AI311" s="450"/>
      <c r="AJ311" s="451"/>
      <c r="AK311" s="452"/>
      <c r="AL311" s="2"/>
      <c r="AM311" s="2"/>
      <c r="AN311" s="2"/>
      <c r="AO311" s="2"/>
      <c r="AP311" s="2"/>
      <c r="BD311" s="2154"/>
    </row>
    <row r="312" spans="1:58" ht="18" customHeight="1" x14ac:dyDescent="0.25">
      <c r="A312" s="433" t="s">
        <v>1038</v>
      </c>
      <c r="B312" s="1669" t="str">
        <f t="shared" si="199"/>
        <v/>
      </c>
      <c r="C312" s="3838" t="str">
        <f t="shared" si="200"/>
        <v/>
      </c>
      <c r="D312" s="3840" t="str">
        <f>IF(C312="","",VLOOKUP(C312,ProjectEnergyTypeTable,3,FALSE))</f>
        <v/>
      </c>
      <c r="E312" s="3861" t="str">
        <f>IFERROR(IF(AND(DESPath=3,OR($B312="District Cooling",$B312="District Steam",$B312="District Hot Water")),IF($B312="District Cooling",$W$335,$X$335),VLOOKUP($B312,PO_Enrgy_7_Table,MATCH($G$298,PO_Enrgy_7_Hdr,0),FALSE)/VLOOKUP($B312,PO_Enrgy_7_Table,MATCH($E$298,PO_Enrgy_7_Hdr,0),FALSE)),"")</f>
        <v/>
      </c>
      <c r="F312" s="3862" t="str">
        <f t="shared" si="201"/>
        <v/>
      </c>
      <c r="G312" s="3862" t="str">
        <f t="shared" si="201"/>
        <v/>
      </c>
      <c r="H312" s="3861" t="str">
        <f t="shared" si="202"/>
        <v/>
      </c>
      <c r="I312" s="3862" t="str">
        <f t="shared" si="202"/>
        <v/>
      </c>
      <c r="J312" s="3862" t="str">
        <f t="shared" si="202"/>
        <v/>
      </c>
      <c r="K312" s="3863" t="str">
        <f>IFERROR(ABS(1-H312/E312),"")</f>
        <v/>
      </c>
      <c r="L312" s="3864"/>
      <c r="M312" s="3865"/>
      <c r="N312" s="2619" t="str">
        <f t="shared" si="203"/>
        <v/>
      </c>
      <c r="O312" s="2619" t="str">
        <f t="shared" si="203"/>
        <v/>
      </c>
      <c r="P312" s="2619" t="str">
        <f t="shared" ref="P312:P316" si="210">IFERROR(ABS(1-O312/N312),"")</f>
        <v/>
      </c>
      <c r="R312" s="627" t="str">
        <f t="shared" si="204"/>
        <v/>
      </c>
      <c r="S312" s="627" t="str">
        <f t="shared" si="205"/>
        <v/>
      </c>
      <c r="U312" s="627" t="str">
        <f t="shared" si="206"/>
        <v/>
      </c>
      <c r="V312" s="2404" t="str">
        <f t="shared" si="207"/>
        <v/>
      </c>
      <c r="W312" s="2617" t="str">
        <f t="shared" si="208"/>
        <v/>
      </c>
      <c r="X312" s="2618" t="str">
        <f t="shared" si="209"/>
        <v/>
      </c>
      <c r="AE312" s="449"/>
      <c r="AF312" s="449"/>
      <c r="AG312" s="253"/>
      <c r="AH312" s="2"/>
      <c r="AI312" s="450"/>
      <c r="AJ312" s="451"/>
      <c r="AK312" s="452"/>
      <c r="AL312" s="2"/>
      <c r="AM312" s="2"/>
      <c r="AN312" s="2"/>
      <c r="AO312" s="2"/>
      <c r="AP312" s="2"/>
      <c r="BD312" s="2154"/>
    </row>
    <row r="313" spans="1:58" ht="18" customHeight="1" x14ac:dyDescent="0.25">
      <c r="A313" s="433" t="s">
        <v>1038</v>
      </c>
      <c r="B313" s="1669" t="str">
        <f t="shared" si="199"/>
        <v/>
      </c>
      <c r="C313" s="3838" t="str">
        <f t="shared" si="200"/>
        <v/>
      </c>
      <c r="D313" s="3840" t="str">
        <f>IF(C313="","",VLOOKUP(C313,ProjectEnergyTypeTable,3,FALSE))</f>
        <v/>
      </c>
      <c r="E313" s="3861" t="str">
        <f t="shared" si="201"/>
        <v/>
      </c>
      <c r="F313" s="3862" t="str">
        <f t="shared" si="201"/>
        <v/>
      </c>
      <c r="G313" s="3862" t="str">
        <f t="shared" si="201"/>
        <v/>
      </c>
      <c r="H313" s="3861" t="str">
        <f t="shared" si="202"/>
        <v/>
      </c>
      <c r="I313" s="3862" t="str">
        <f t="shared" si="202"/>
        <v/>
      </c>
      <c r="J313" s="3862" t="str">
        <f t="shared" si="202"/>
        <v/>
      </c>
      <c r="K313" s="3863" t="str">
        <f>IFERROR(ABS(1-H313/E313),"")</f>
        <v/>
      </c>
      <c r="L313" s="3853"/>
      <c r="M313" s="3870"/>
      <c r="N313" s="2619" t="str">
        <f t="shared" si="203"/>
        <v/>
      </c>
      <c r="O313" s="2619" t="str">
        <f t="shared" si="203"/>
        <v/>
      </c>
      <c r="P313" s="2619" t="str">
        <f t="shared" si="210"/>
        <v/>
      </c>
      <c r="R313" s="627" t="str">
        <f t="shared" si="204"/>
        <v/>
      </c>
      <c r="S313" s="627" t="str">
        <f t="shared" si="205"/>
        <v/>
      </c>
      <c r="U313" s="627" t="str">
        <f t="shared" si="206"/>
        <v/>
      </c>
      <c r="V313" s="2404" t="str">
        <f t="shared" si="207"/>
        <v/>
      </c>
      <c r="W313" s="2617" t="str">
        <f t="shared" si="208"/>
        <v/>
      </c>
      <c r="X313" s="2618" t="str">
        <f t="shared" si="209"/>
        <v/>
      </c>
      <c r="AE313" s="449"/>
      <c r="AF313" s="449"/>
      <c r="AG313" s="253"/>
      <c r="AH313" s="2"/>
      <c r="AI313" s="450"/>
      <c r="AJ313" s="451"/>
      <c r="AK313" s="452"/>
      <c r="AL313" s="2"/>
      <c r="AM313" s="2"/>
      <c r="AN313" s="2"/>
      <c r="AO313" s="2"/>
      <c r="AP313" s="2"/>
      <c r="BD313" s="2154"/>
    </row>
    <row r="314" spans="1:58" ht="18" customHeight="1" x14ac:dyDescent="0.25">
      <c r="A314" s="433" t="s">
        <v>1038</v>
      </c>
      <c r="B314" s="1669" t="str">
        <f t="shared" si="199"/>
        <v/>
      </c>
      <c r="C314" s="3838" t="str">
        <f t="shared" si="200"/>
        <v/>
      </c>
      <c r="D314" s="3840" t="str">
        <f>IF(C314="","",VLOOKUP(C314,ProjectEnergyTypeTable,3,FALSE))</f>
        <v/>
      </c>
      <c r="E314" s="3861" t="str">
        <f t="shared" si="201"/>
        <v/>
      </c>
      <c r="F314" s="3862" t="str">
        <f t="shared" si="201"/>
        <v/>
      </c>
      <c r="G314" s="3862" t="str">
        <f t="shared" si="201"/>
        <v/>
      </c>
      <c r="H314" s="3861" t="str">
        <f t="shared" si="202"/>
        <v/>
      </c>
      <c r="I314" s="3862" t="str">
        <f t="shared" si="202"/>
        <v/>
      </c>
      <c r="J314" s="3862" t="str">
        <f t="shared" si="202"/>
        <v/>
      </c>
      <c r="K314" s="3863" t="str">
        <f t="shared" ref="K314:K316" si="211">IFERROR(ABS(1-H314/E314),"")</f>
        <v/>
      </c>
      <c r="L314" s="3853"/>
      <c r="M314" s="3870"/>
      <c r="N314" s="2619" t="str">
        <f t="shared" si="203"/>
        <v/>
      </c>
      <c r="O314" s="2619" t="str">
        <f t="shared" si="203"/>
        <v/>
      </c>
      <c r="P314" s="2619" t="str">
        <f t="shared" si="210"/>
        <v/>
      </c>
      <c r="R314" s="627" t="str">
        <f t="shared" si="204"/>
        <v/>
      </c>
      <c r="S314" s="627" t="str">
        <f t="shared" si="205"/>
        <v/>
      </c>
      <c r="U314" s="627" t="str">
        <f t="shared" si="206"/>
        <v/>
      </c>
      <c r="V314" s="2404" t="str">
        <f t="shared" si="207"/>
        <v/>
      </c>
      <c r="W314" s="2617" t="str">
        <f t="shared" si="208"/>
        <v/>
      </c>
      <c r="X314" s="2618" t="str">
        <f t="shared" si="209"/>
        <v/>
      </c>
      <c r="AE314" s="449"/>
      <c r="AF314" s="449"/>
      <c r="AG314" s="253"/>
      <c r="AH314" s="2"/>
      <c r="AI314" s="450"/>
      <c r="AJ314" s="451"/>
      <c r="AK314" s="452"/>
      <c r="AL314" s="2"/>
      <c r="AM314" s="2"/>
      <c r="AN314" s="2"/>
      <c r="AO314" s="2"/>
      <c r="AP314" s="2"/>
      <c r="BD314" s="2154"/>
    </row>
    <row r="315" spans="1:58" ht="18" customHeight="1" x14ac:dyDescent="0.25">
      <c r="A315" s="433" t="s">
        <v>1038</v>
      </c>
      <c r="B315" s="1669" t="str">
        <f t="shared" si="199"/>
        <v/>
      </c>
      <c r="C315" s="3838" t="str">
        <f t="shared" si="200"/>
        <v/>
      </c>
      <c r="D315" s="3840" t="str">
        <f>IF(C315="","",VLOOKUP(C315,ProjectEnergyTypeTable,3,FALSE))</f>
        <v/>
      </c>
      <c r="E315" s="3861" t="str">
        <f t="shared" si="201"/>
        <v/>
      </c>
      <c r="F315" s="3862" t="str">
        <f t="shared" si="201"/>
        <v/>
      </c>
      <c r="G315" s="3862" t="str">
        <f t="shared" si="201"/>
        <v/>
      </c>
      <c r="H315" s="3861" t="str">
        <f t="shared" si="202"/>
        <v/>
      </c>
      <c r="I315" s="3862" t="str">
        <f t="shared" si="202"/>
        <v/>
      </c>
      <c r="J315" s="3862" t="str">
        <f t="shared" si="202"/>
        <v/>
      </c>
      <c r="K315" s="3863" t="str">
        <f t="shared" si="211"/>
        <v/>
      </c>
      <c r="L315" s="3853"/>
      <c r="M315" s="3870"/>
      <c r="N315" s="2619" t="str">
        <f t="shared" si="203"/>
        <v/>
      </c>
      <c r="O315" s="2619" t="str">
        <f t="shared" si="203"/>
        <v/>
      </c>
      <c r="P315" s="2619" t="str">
        <f t="shared" si="210"/>
        <v/>
      </c>
      <c r="R315" s="627" t="str">
        <f t="shared" si="204"/>
        <v/>
      </c>
      <c r="S315" s="627" t="str">
        <f t="shared" si="205"/>
        <v/>
      </c>
      <c r="U315" s="627" t="str">
        <f t="shared" si="206"/>
        <v/>
      </c>
      <c r="V315" s="2404" t="str">
        <f t="shared" si="207"/>
        <v/>
      </c>
      <c r="W315" s="2617" t="str">
        <f t="shared" si="208"/>
        <v/>
      </c>
      <c r="X315" s="2618" t="str">
        <f t="shared" si="209"/>
        <v/>
      </c>
      <c r="AE315" s="449"/>
      <c r="AF315" s="449"/>
      <c r="AG315" s="253"/>
      <c r="AH315" s="2"/>
      <c r="AI315" s="450"/>
      <c r="AJ315" s="451"/>
      <c r="AK315" s="452"/>
      <c r="AL315" s="2"/>
      <c r="AM315" s="2"/>
      <c r="AN315" s="2"/>
      <c r="AO315" s="2"/>
      <c r="AP315" s="2"/>
      <c r="BD315" s="2154"/>
    </row>
    <row r="316" spans="1:58" ht="18" customHeight="1" thickBot="1" x14ac:dyDescent="0.3">
      <c r="A316" s="433" t="s">
        <v>1038</v>
      </c>
      <c r="B316" s="1669" t="str">
        <f t="shared" si="199"/>
        <v/>
      </c>
      <c r="C316" s="3838" t="str">
        <f t="shared" si="200"/>
        <v/>
      </c>
      <c r="D316" s="3840" t="str">
        <f>IF(C316="","",VLOOKUP(C316,ProjectEnergyTypeTable,3,FALSE))</f>
        <v/>
      </c>
      <c r="E316" s="3861" t="str">
        <f t="shared" si="201"/>
        <v/>
      </c>
      <c r="F316" s="3862" t="str">
        <f t="shared" si="201"/>
        <v/>
      </c>
      <c r="G316" s="3862" t="str">
        <f t="shared" si="201"/>
        <v/>
      </c>
      <c r="H316" s="3861" t="str">
        <f t="shared" si="202"/>
        <v/>
      </c>
      <c r="I316" s="3862" t="str">
        <f t="shared" si="202"/>
        <v/>
      </c>
      <c r="J316" s="3862" t="str">
        <f t="shared" si="202"/>
        <v/>
      </c>
      <c r="K316" s="3863" t="str">
        <f t="shared" si="211"/>
        <v/>
      </c>
      <c r="L316" s="3853"/>
      <c r="M316" s="3870"/>
      <c r="N316" s="2619" t="str">
        <f t="shared" si="203"/>
        <v/>
      </c>
      <c r="O316" s="2619" t="str">
        <f t="shared" si="203"/>
        <v/>
      </c>
      <c r="P316" s="2619" t="str">
        <f t="shared" si="210"/>
        <v/>
      </c>
      <c r="R316" s="627" t="str">
        <f t="shared" si="204"/>
        <v/>
      </c>
      <c r="S316" s="627" t="str">
        <f t="shared" si="205"/>
        <v/>
      </c>
      <c r="U316" s="627" t="str">
        <f t="shared" si="206"/>
        <v/>
      </c>
      <c r="V316" s="2404" t="str">
        <f t="shared" si="207"/>
        <v/>
      </c>
      <c r="W316" s="2750" t="str">
        <f t="shared" si="208"/>
        <v/>
      </c>
      <c r="X316" s="2751" t="str">
        <f t="shared" si="209"/>
        <v/>
      </c>
      <c r="AE316" s="449"/>
      <c r="AF316" s="449"/>
      <c r="AG316" s="253"/>
      <c r="AH316" s="2"/>
      <c r="AI316" s="450"/>
      <c r="AJ316" s="451"/>
      <c r="AK316" s="452"/>
      <c r="AL316" s="2"/>
      <c r="AM316" s="2"/>
      <c r="AN316" s="2"/>
      <c r="AO316" s="2"/>
      <c r="AP316" s="2"/>
      <c r="BD316" s="2154"/>
    </row>
    <row r="317" spans="1:58" s="245" customFormat="1" ht="31.5" customHeight="1" x14ac:dyDescent="0.25">
      <c r="A317" s="433" t="s">
        <v>1038</v>
      </c>
      <c r="B317" s="249"/>
      <c r="C317" s="249"/>
      <c r="D317" s="249"/>
      <c r="E317" s="250"/>
      <c r="F317" s="250"/>
      <c r="G317" s="294"/>
      <c r="H317" s="250"/>
      <c r="I317" s="250"/>
      <c r="J317" s="294"/>
      <c r="K317" s="335"/>
      <c r="L317" s="332"/>
      <c r="M317" s="332"/>
      <c r="N317" s="235"/>
      <c r="O317" s="235"/>
      <c r="P317" s="235"/>
      <c r="Q317" s="235"/>
      <c r="AE317" s="2"/>
      <c r="AF317" s="2"/>
      <c r="AG317" s="2"/>
      <c r="AH317" s="2"/>
      <c r="AI317" s="450"/>
      <c r="AJ317" s="451"/>
      <c r="AK317" s="2"/>
      <c r="AL317" s="2"/>
      <c r="AM317" s="2"/>
      <c r="AN317" s="2"/>
      <c r="AO317" s="2"/>
      <c r="AP317" s="2"/>
      <c r="BD317" s="2155"/>
      <c r="BE317" s="235"/>
      <c r="BF317" s="235"/>
    </row>
    <row r="318" spans="1:58" ht="21" customHeight="1" x14ac:dyDescent="0.25">
      <c r="A318" s="433" t="s">
        <v>1038</v>
      </c>
      <c r="B318" s="3219" t="s">
        <v>3355</v>
      </c>
      <c r="C318" s="3220"/>
      <c r="D318" s="3220"/>
      <c r="E318" s="3220"/>
      <c r="F318" s="3220"/>
      <c r="G318" s="3220"/>
      <c r="H318" s="3220"/>
      <c r="I318" s="3220"/>
      <c r="J318" s="3220"/>
      <c r="K318" s="3220"/>
      <c r="L318" s="3220"/>
      <c r="AA318" s="267"/>
      <c r="AB318" s="268"/>
      <c r="AE318" s="2"/>
      <c r="AF318" s="2"/>
      <c r="AG318" s="2"/>
      <c r="AH318" s="2"/>
      <c r="AI318" s="2"/>
      <c r="AJ318" s="2"/>
      <c r="AK318" s="2"/>
      <c r="AL318" s="2"/>
      <c r="AM318" s="2"/>
      <c r="AN318" s="2"/>
      <c r="AO318" s="2"/>
      <c r="AP318" s="2"/>
    </row>
    <row r="319" spans="1:58" ht="41.25" customHeight="1" x14ac:dyDescent="0.25">
      <c r="A319" s="433" t="s">
        <v>1038</v>
      </c>
      <c r="B319" s="3357" t="s">
        <v>354</v>
      </c>
      <c r="C319" s="3395" t="s">
        <v>1436</v>
      </c>
      <c r="D319" s="3842"/>
      <c r="E319" s="3393" t="s">
        <v>1017</v>
      </c>
      <c r="F319" s="3831"/>
      <c r="G319" s="3831"/>
      <c r="H319" s="3832"/>
      <c r="I319" s="3828" t="s">
        <v>941</v>
      </c>
      <c r="J319" s="3829"/>
      <c r="K319" s="3829"/>
      <c r="L319" s="3830"/>
      <c r="M319" s="3867" t="s">
        <v>358</v>
      </c>
      <c r="N319" s="3868"/>
      <c r="O319" s="3868"/>
      <c r="P319" s="3869"/>
      <c r="Q319" s="2607"/>
      <c r="AG319" s="2"/>
      <c r="AH319" s="2"/>
      <c r="AI319" s="2"/>
      <c r="AJ319" s="2"/>
      <c r="AK319" s="450"/>
      <c r="AL319" s="451"/>
      <c r="AM319" s="2"/>
      <c r="AN319" s="2"/>
      <c r="AO319" s="2"/>
      <c r="AP319" s="2"/>
      <c r="AQ319" s="2"/>
      <c r="AR319" s="2"/>
      <c r="BD319" s="235"/>
      <c r="BF319" s="261"/>
    </row>
    <row r="320" spans="1:58" ht="63" customHeight="1" thickBot="1" x14ac:dyDescent="0.3">
      <c r="A320" s="433" t="s">
        <v>1038</v>
      </c>
      <c r="B320" s="3842"/>
      <c r="C320" s="3842"/>
      <c r="D320" s="3842"/>
      <c r="E320" s="1670" t="s">
        <v>902</v>
      </c>
      <c r="F320" s="780" t="str">
        <f>"Source Energy Use 
("  &amp; PO_SourceUnits &amp; ")"</f>
        <v>Source Energy Use 
(kWh)</v>
      </c>
      <c r="G320" s="1881" t="s">
        <v>356</v>
      </c>
      <c r="H320" s="1670" t="s">
        <v>3205</v>
      </c>
      <c r="I320" s="2359" t="s">
        <v>902</v>
      </c>
      <c r="J320" s="780" t="str">
        <f>"Source Energy Use 
("  &amp; PO_SourceUnits &amp; ")"</f>
        <v>Source Energy Use 
(kWh)</v>
      </c>
      <c r="K320" s="1881" t="s">
        <v>356</v>
      </c>
      <c r="L320" s="1670" t="s">
        <v>3205</v>
      </c>
      <c r="M320" s="2359" t="s">
        <v>2584</v>
      </c>
      <c r="N320" s="1670" t="s">
        <v>2585</v>
      </c>
      <c r="O320" s="1881" t="s">
        <v>356</v>
      </c>
      <c r="P320" s="1670" t="s">
        <v>3210</v>
      </c>
      <c r="Q320" s="334"/>
      <c r="R320" s="334"/>
      <c r="S320" s="334"/>
      <c r="AG320" s="2"/>
      <c r="AH320" s="2"/>
      <c r="AI320" s="2"/>
      <c r="AJ320" s="2"/>
      <c r="AK320" s="2"/>
      <c r="AL320" s="2"/>
      <c r="AM320" s="2"/>
      <c r="AN320" s="2"/>
      <c r="AO320" s="2"/>
      <c r="AP320" s="2"/>
      <c r="AQ320" s="2"/>
      <c r="AR320" s="2"/>
      <c r="BD320" s="1358" t="s">
        <v>1635</v>
      </c>
      <c r="BF320" s="261"/>
    </row>
    <row r="321" spans="1:58" s="446" customFormat="1" ht="21.75" hidden="1" customHeight="1" thickBot="1" x14ac:dyDescent="0.3">
      <c r="A321" s="433" t="s">
        <v>1038</v>
      </c>
      <c r="B321" s="1454" t="s">
        <v>1396</v>
      </c>
      <c r="C321" s="1454" t="s">
        <v>1424</v>
      </c>
      <c r="D321" s="1454"/>
      <c r="E321" s="1452" t="s">
        <v>1452</v>
      </c>
      <c r="F321" s="1454" t="s">
        <v>1453</v>
      </c>
      <c r="G321" s="2408" t="s">
        <v>1454</v>
      </c>
      <c r="H321" s="1452"/>
      <c r="I321" s="2411" t="s">
        <v>1437</v>
      </c>
      <c r="J321" s="1454" t="s">
        <v>1438</v>
      </c>
      <c r="K321" s="2408" t="s">
        <v>1439</v>
      </c>
      <c r="L321" s="1452"/>
      <c r="M321" s="2411" t="s">
        <v>1440</v>
      </c>
      <c r="N321" s="1454"/>
      <c r="O321" s="2408" t="s">
        <v>1441</v>
      </c>
      <c r="P321" s="1452"/>
      <c r="Q321" s="463"/>
      <c r="T321" s="415" t="s">
        <v>1407</v>
      </c>
      <c r="U321" s="415" t="s">
        <v>1408</v>
      </c>
      <c r="AG321" s="447"/>
      <c r="AH321" s="447"/>
      <c r="AI321" s="447"/>
      <c r="AJ321" s="447"/>
      <c r="AK321" s="447"/>
      <c r="AL321" s="447"/>
      <c r="AM321" s="447"/>
      <c r="AN321" s="447"/>
      <c r="AO321" s="447"/>
      <c r="AP321" s="447"/>
      <c r="AQ321" s="447"/>
      <c r="AR321" s="447"/>
      <c r="BD321" s="2161"/>
      <c r="BF321" s="2162"/>
    </row>
    <row r="322" spans="1:58" ht="15" customHeight="1" x14ac:dyDescent="0.25">
      <c r="A322" s="433" t="s">
        <v>1038</v>
      </c>
      <c r="B322" s="1669" t="str">
        <f t="shared" ref="B322:B327" si="212">IFERROR(IF(ISBLANK(B17),"",B17),"")</f>
        <v/>
      </c>
      <c r="C322" s="3838" t="str">
        <f t="shared" ref="C322:C327" si="213">IFERROR(IF(ISBLANK($B322),"",VLOOKUP($B322,PO_Enrgy_1_Table,MATCH($C$16,PO_Enrgy_1_Hdr,0),FALSE) ),"")</f>
        <v/>
      </c>
      <c r="D322" s="3840" t="str">
        <f>IF(C322="","",VLOOKUP(C322,ProjectEnergyTypeTable,3,FALSE))</f>
        <v/>
      </c>
      <c r="E322" s="1310">
        <f t="shared" ref="E322:E327" si="214">IFERROR(VLOOKUP($B322,PO_Enrgy_7_Table,MATCH($E$298,PO_Enrgy_7_Hdr,0),FALSE)+IF(PO_ShowExCalc=TRUE,VLOOKUP($B322,PO_Enrgy_3_Table,MATCH($G$97,PO_Enrgy_3_Hdr,0),FALSE),0),0)</f>
        <v>0</v>
      </c>
      <c r="F322" s="1310">
        <f t="shared" ref="F322:F327" si="215">IFERROR(VLOOKUP($B322,PO_Enrgy_7_Table,MATCH($F$298,PO_Enrgy_7_Hdr,0),FALSE)+IF(PO_ShowExCalc=TRUE,VLOOKUP($B322,PO_Enrgy_3_Table,MATCH($J$97,PO_Enrgy_3_Hdr,0),FALSE),0),0)</f>
        <v>0</v>
      </c>
      <c r="G322" s="2410">
        <f t="shared" ref="G322:G327" si="216">IFERROR(VLOOKUP($B322,PO_Enrgy_7_Table,MATCH($G$298,PO_Enrgy_7_Hdr,0),FALSE)+IF(PO_ShowExCalc=TRUE,VLOOKUP($B322,PO_Enrgy_3_Table,MATCH($L$97,PO_Enrgy_3_Hdr,0),FALSE),0),0)</f>
        <v>0</v>
      </c>
      <c r="H322" s="1310" t="str">
        <f t="shared" ref="H322" si="217">IFERROR(E322*X322,"")</f>
        <v/>
      </c>
      <c r="I322" s="2447">
        <f t="shared" ref="I322:I327" si="218">IFERROR(VLOOKUP($B322,PO_Enrgy_7_Table,MATCH($I$298,PO_Enrgy_7_Hdr,0),FALSE)-IF(PO_ShowExCalc=TRUE,VLOOKUP($B322,PO_Enrgy_4_Table,MATCH($G$97,PO_Enrgy_3_Hdr,0),FALSE),0)+IF(PO_ShowExCalc=TRUE,VLOOKUP($B322,PO_Enrgy_4_Table_Add_P,MATCH($G$97,PO_Enrgy_3_Hdr,0),FALSE),0),0)</f>
        <v>0</v>
      </c>
      <c r="J322" s="1310">
        <f t="shared" ref="J322:J327" si="219">IFERROR(VLOOKUP($B322,PO_Enrgy_7_Table,MATCH($J$298,PO_Enrgy_7_Hdr,0),FALSE)-IF(PO_ShowExCalc=TRUE,VLOOKUP($B322,PO_Enrgy_4_Table,MATCH($J$97,PO_Enrgy_3_Hdr,0),FALSE),0)+IF(PO_ShowExCalc=TRUE,VLOOKUP($B322,PO_Enrgy_4_Table_Add_P,MATCH($J$97,PO_Enrgy_3_Hdr,0),FALSE),0),0)</f>
        <v>0</v>
      </c>
      <c r="K322" s="2410">
        <f t="shared" ref="K322:K327" si="220">IFERROR(VLOOKUP($B322,PO_Enrgy_7_Table,MATCH($K$298,PO_Enrgy_7_Hdr,0),FALSE)-IF(PO_ShowExCalc=TRUE,VLOOKUP($B322,PO_Enrgy_4_Table,MATCH($L$97,PO_Enrgy_3_Hdr,0),FALSE),0)+IF(PO_ShowExCalc=TRUE,VLOOKUP($B322,PO_Enrgy_4_Table_Add_P,MATCH($L$97,PO_Enrgy_3_Hdr,0),FALSE),0),0)</f>
        <v>0</v>
      </c>
      <c r="L322" s="1310" t="str">
        <f t="shared" ref="L322" si="221">IFERROR(I322*X322,"")</f>
        <v/>
      </c>
      <c r="M322" s="2416" t="str">
        <f t="shared" ref="M322" si="222">IFERROR(1-I322/E322,"")</f>
        <v/>
      </c>
      <c r="N322" s="1853" t="str">
        <f t="shared" ref="N322" si="223">IFERROR(1-J322/F322,"")</f>
        <v/>
      </c>
      <c r="O322" s="2439" t="str">
        <f t="shared" ref="O322" si="224">IFERROR(1-K322/G322,"")</f>
        <v/>
      </c>
      <c r="P322" s="1671" t="str">
        <f t="shared" ref="P322" si="225">IFERROR(1-L322/H322,"")</f>
        <v/>
      </c>
      <c r="Q322" s="2467"/>
      <c r="T322" s="627" t="str">
        <f t="shared" ref="T322:T327" si="226">IFERROR(IF(ISBLANK($B322),"",VLOOKUP($B322,PO_Enrgy_1_Table,MATCH($K$16,PO_Enrgy_1_Hdr,0),FALSE)),"")</f>
        <v/>
      </c>
      <c r="U322" s="627" t="str">
        <f t="shared" ref="U322:U327" si="227">IFERROR(IF(ISBLANK($B322),"",VLOOKUP($B322,PO_Enrgy_1_Table,MATCH($M$16,PO_Enrgy_1_Hdr,0),FALSE)),"")</f>
        <v/>
      </c>
      <c r="X322" s="2405" t="str">
        <f t="shared" ref="X322:X327" si="228">IFERROR(VLOOKUP(B322,PO_Enrgy_1_Table,MATCH($T$16,PO_Enrgy_1_Hdr,0),0),"")</f>
        <v/>
      </c>
      <c r="AG322" s="449"/>
      <c r="AH322" s="449"/>
      <c r="AI322" s="2"/>
      <c r="AJ322" s="2"/>
      <c r="AK322" s="453"/>
      <c r="AL322" s="453"/>
      <c r="AM322" s="454"/>
      <c r="AN322" s="454"/>
      <c r="AO322" s="2"/>
      <c r="AP322" s="455"/>
      <c r="AQ322" s="2"/>
      <c r="AR322" s="2"/>
      <c r="AS322" s="296"/>
      <c r="AT322" s="296"/>
      <c r="BD322" s="2154"/>
      <c r="BF322" s="2612"/>
    </row>
    <row r="323" spans="1:58" ht="15" customHeight="1" x14ac:dyDescent="0.25">
      <c r="A323" s="433" t="s">
        <v>1038</v>
      </c>
      <c r="B323" s="1669" t="str">
        <f t="shared" si="212"/>
        <v/>
      </c>
      <c r="C323" s="3838" t="str">
        <f t="shared" si="213"/>
        <v/>
      </c>
      <c r="D323" s="3840" t="str">
        <f>IF(C323="","",VLOOKUP(C323,ProjectEnergyTypeTable,3,FALSE))</f>
        <v/>
      </c>
      <c r="E323" s="1310">
        <f t="shared" si="214"/>
        <v>0</v>
      </c>
      <c r="F323" s="1310">
        <f t="shared" si="215"/>
        <v>0</v>
      </c>
      <c r="G323" s="2410">
        <f t="shared" si="216"/>
        <v>0</v>
      </c>
      <c r="H323" s="1310" t="str">
        <f t="shared" ref="H323:H327" si="229">IFERROR(E323*X323,"")</f>
        <v/>
      </c>
      <c r="I323" s="2447">
        <f t="shared" si="218"/>
        <v>0</v>
      </c>
      <c r="J323" s="1310">
        <f t="shared" si="219"/>
        <v>0</v>
      </c>
      <c r="K323" s="2410">
        <f t="shared" si="220"/>
        <v>0</v>
      </c>
      <c r="L323" s="1310" t="str">
        <f t="shared" ref="L323:L327" si="230">IFERROR(I323*X323,"")</f>
        <v/>
      </c>
      <c r="M323" s="2416" t="str">
        <f t="shared" ref="M323:O328" si="231">IFERROR(1-I323/E323,"")</f>
        <v/>
      </c>
      <c r="N323" s="1853" t="str">
        <f t="shared" si="231"/>
        <v/>
      </c>
      <c r="O323" s="2439" t="str">
        <f t="shared" si="231"/>
        <v/>
      </c>
      <c r="P323" s="1671" t="str">
        <f t="shared" ref="P323:P327" si="232">IFERROR(1-L323/H323,"")</f>
        <v/>
      </c>
      <c r="Q323" s="2467"/>
      <c r="T323" s="627" t="str">
        <f t="shared" si="226"/>
        <v/>
      </c>
      <c r="U323" s="627" t="str">
        <f t="shared" si="227"/>
        <v/>
      </c>
      <c r="X323" s="2406" t="str">
        <f t="shared" si="228"/>
        <v/>
      </c>
      <c r="AG323" s="449"/>
      <c r="AH323" s="449"/>
      <c r="AI323" s="2"/>
      <c r="AJ323" s="2"/>
      <c r="AK323" s="453"/>
      <c r="AL323" s="453"/>
      <c r="AM323" s="454"/>
      <c r="AN323" s="454"/>
      <c r="AO323" s="2"/>
      <c r="AP323" s="455"/>
      <c r="AQ323" s="2"/>
      <c r="AR323" s="2"/>
      <c r="AS323" s="296"/>
      <c r="AT323" s="296"/>
      <c r="BD323" s="2154"/>
      <c r="BF323" s="2612"/>
    </row>
    <row r="324" spans="1:58" ht="15" customHeight="1" x14ac:dyDescent="0.25">
      <c r="A324" s="433" t="s">
        <v>1038</v>
      </c>
      <c r="B324" s="1669" t="str">
        <f t="shared" si="212"/>
        <v/>
      </c>
      <c r="C324" s="3838" t="str">
        <f t="shared" si="213"/>
        <v/>
      </c>
      <c r="D324" s="3840" t="str">
        <f>IF(C324="","",VLOOKUP(C324,ProjectEnergyTypeTable,3,FALSE))</f>
        <v/>
      </c>
      <c r="E324" s="1310">
        <f t="shared" si="214"/>
        <v>0</v>
      </c>
      <c r="F324" s="1310">
        <f t="shared" si="215"/>
        <v>0</v>
      </c>
      <c r="G324" s="2410">
        <f t="shared" si="216"/>
        <v>0</v>
      </c>
      <c r="H324" s="1310" t="str">
        <f t="shared" si="229"/>
        <v/>
      </c>
      <c r="I324" s="2447">
        <f t="shared" si="218"/>
        <v>0</v>
      </c>
      <c r="J324" s="1310">
        <f t="shared" si="219"/>
        <v>0</v>
      </c>
      <c r="K324" s="2410">
        <f t="shared" si="220"/>
        <v>0</v>
      </c>
      <c r="L324" s="1310" t="str">
        <f t="shared" si="230"/>
        <v/>
      </c>
      <c r="M324" s="2416" t="str">
        <f t="shared" si="231"/>
        <v/>
      </c>
      <c r="N324" s="1853" t="str">
        <f t="shared" si="231"/>
        <v/>
      </c>
      <c r="O324" s="2439" t="str">
        <f t="shared" si="231"/>
        <v/>
      </c>
      <c r="P324" s="1671" t="str">
        <f t="shared" si="232"/>
        <v/>
      </c>
      <c r="Q324" s="2467"/>
      <c r="T324" s="627" t="str">
        <f t="shared" si="226"/>
        <v/>
      </c>
      <c r="U324" s="627" t="str">
        <f t="shared" si="227"/>
        <v/>
      </c>
      <c r="X324" s="2406" t="str">
        <f t="shared" si="228"/>
        <v/>
      </c>
      <c r="AG324" s="449"/>
      <c r="AH324" s="449"/>
      <c r="AI324" s="2"/>
      <c r="AJ324" s="2"/>
      <c r="AK324" s="453"/>
      <c r="AL324" s="453"/>
      <c r="AM324" s="454"/>
      <c r="AN324" s="454"/>
      <c r="AO324" s="2"/>
      <c r="AP324" s="455"/>
      <c r="AQ324" s="2"/>
      <c r="AR324" s="2"/>
      <c r="AS324" s="296"/>
      <c r="AT324" s="296"/>
      <c r="BD324" s="2154"/>
      <c r="BF324" s="2612"/>
    </row>
    <row r="325" spans="1:58" ht="15" customHeight="1" x14ac:dyDescent="0.25">
      <c r="A325" s="433" t="s">
        <v>1038</v>
      </c>
      <c r="B325" s="1669" t="str">
        <f t="shared" si="212"/>
        <v/>
      </c>
      <c r="C325" s="3838" t="str">
        <f t="shared" si="213"/>
        <v/>
      </c>
      <c r="D325" s="3840" t="str">
        <f>IF(C325="","",VLOOKUP(C325,ProjectEnergyTypeTable,3,FALSE))</f>
        <v/>
      </c>
      <c r="E325" s="1310">
        <f t="shared" si="214"/>
        <v>0</v>
      </c>
      <c r="F325" s="1310">
        <f t="shared" si="215"/>
        <v>0</v>
      </c>
      <c r="G325" s="2410">
        <f t="shared" si="216"/>
        <v>0</v>
      </c>
      <c r="H325" s="1310" t="str">
        <f t="shared" si="229"/>
        <v/>
      </c>
      <c r="I325" s="2447">
        <f t="shared" si="218"/>
        <v>0</v>
      </c>
      <c r="J325" s="1310">
        <f t="shared" si="219"/>
        <v>0</v>
      </c>
      <c r="K325" s="2410">
        <f t="shared" si="220"/>
        <v>0</v>
      </c>
      <c r="L325" s="1310" t="str">
        <f t="shared" si="230"/>
        <v/>
      </c>
      <c r="M325" s="2416" t="str">
        <f t="shared" si="231"/>
        <v/>
      </c>
      <c r="N325" s="1853" t="str">
        <f t="shared" si="231"/>
        <v/>
      </c>
      <c r="O325" s="2439" t="str">
        <f t="shared" si="231"/>
        <v/>
      </c>
      <c r="P325" s="1671" t="str">
        <f t="shared" si="232"/>
        <v/>
      </c>
      <c r="Q325" s="2467"/>
      <c r="T325" s="627" t="str">
        <f t="shared" si="226"/>
        <v/>
      </c>
      <c r="U325" s="627" t="str">
        <f t="shared" si="227"/>
        <v/>
      </c>
      <c r="X325" s="2406" t="str">
        <f t="shared" si="228"/>
        <v/>
      </c>
      <c r="AG325" s="449"/>
      <c r="AH325" s="449"/>
      <c r="AI325" s="2"/>
      <c r="AJ325" s="2"/>
      <c r="AK325" s="453"/>
      <c r="AL325" s="453"/>
      <c r="AM325" s="454"/>
      <c r="AN325" s="454"/>
      <c r="AO325" s="2"/>
      <c r="AP325" s="455"/>
      <c r="AQ325" s="2"/>
      <c r="AR325" s="2"/>
      <c r="AS325" s="296"/>
      <c r="AT325" s="296"/>
      <c r="BD325" s="2154"/>
      <c r="BF325" s="2612"/>
    </row>
    <row r="326" spans="1:58" ht="15" customHeight="1" x14ac:dyDescent="0.25">
      <c r="A326" s="433" t="s">
        <v>1038</v>
      </c>
      <c r="B326" s="1669" t="str">
        <f t="shared" si="212"/>
        <v/>
      </c>
      <c r="C326" s="3838" t="str">
        <f t="shared" si="213"/>
        <v/>
      </c>
      <c r="D326" s="3840" t="str">
        <f>IF(C326="","",VLOOKUP(C326,ProjectEnergyTypeTable,3,FALSE))</f>
        <v/>
      </c>
      <c r="E326" s="1310">
        <f t="shared" si="214"/>
        <v>0</v>
      </c>
      <c r="F326" s="1310">
        <f t="shared" si="215"/>
        <v>0</v>
      </c>
      <c r="G326" s="2410">
        <f t="shared" si="216"/>
        <v>0</v>
      </c>
      <c r="H326" s="1310" t="str">
        <f t="shared" si="229"/>
        <v/>
      </c>
      <c r="I326" s="2447">
        <f t="shared" si="218"/>
        <v>0</v>
      </c>
      <c r="J326" s="1310">
        <f t="shared" si="219"/>
        <v>0</v>
      </c>
      <c r="K326" s="2410">
        <f t="shared" si="220"/>
        <v>0</v>
      </c>
      <c r="L326" s="1310" t="str">
        <f t="shared" si="230"/>
        <v/>
      </c>
      <c r="M326" s="2416" t="str">
        <f t="shared" si="231"/>
        <v/>
      </c>
      <c r="N326" s="1853" t="str">
        <f t="shared" si="231"/>
        <v/>
      </c>
      <c r="O326" s="2439" t="str">
        <f t="shared" si="231"/>
        <v/>
      </c>
      <c r="P326" s="1671" t="str">
        <f t="shared" si="232"/>
        <v/>
      </c>
      <c r="Q326" s="2467"/>
      <c r="T326" s="627" t="str">
        <f t="shared" si="226"/>
        <v/>
      </c>
      <c r="U326" s="627" t="str">
        <f t="shared" si="227"/>
        <v/>
      </c>
      <c r="X326" s="2406" t="str">
        <f t="shared" si="228"/>
        <v/>
      </c>
      <c r="AG326" s="449"/>
      <c r="AH326" s="449"/>
      <c r="AI326" s="2"/>
      <c r="AJ326" s="2"/>
      <c r="AK326" s="453"/>
      <c r="AL326" s="453"/>
      <c r="AM326" s="454"/>
      <c r="AN326" s="454"/>
      <c r="AO326" s="2"/>
      <c r="AP326" s="455"/>
      <c r="AQ326" s="2"/>
      <c r="AR326" s="2"/>
      <c r="AS326" s="296"/>
      <c r="AT326" s="296"/>
      <c r="BD326" s="2154"/>
      <c r="BF326" s="2612"/>
    </row>
    <row r="327" spans="1:58" ht="15" customHeight="1" thickBot="1" x14ac:dyDescent="0.3">
      <c r="A327" s="433" t="s">
        <v>1038</v>
      </c>
      <c r="B327" s="1669" t="str">
        <f t="shared" si="212"/>
        <v/>
      </c>
      <c r="C327" s="3838" t="str">
        <f t="shared" si="213"/>
        <v/>
      </c>
      <c r="D327" s="3840" t="str">
        <f>IF(C327="","",VLOOKUP(C327,ProjectEnergyTypeTable,3,FALSE))</f>
        <v/>
      </c>
      <c r="E327" s="1310">
        <f t="shared" si="214"/>
        <v>0</v>
      </c>
      <c r="F327" s="1310">
        <f t="shared" si="215"/>
        <v>0</v>
      </c>
      <c r="G327" s="2410">
        <f t="shared" si="216"/>
        <v>0</v>
      </c>
      <c r="H327" s="1310" t="str">
        <f t="shared" si="229"/>
        <v/>
      </c>
      <c r="I327" s="2447">
        <f t="shared" si="218"/>
        <v>0</v>
      </c>
      <c r="J327" s="1310">
        <f t="shared" si="219"/>
        <v>0</v>
      </c>
      <c r="K327" s="2410">
        <f t="shared" si="220"/>
        <v>0</v>
      </c>
      <c r="L327" s="1310" t="str">
        <f t="shared" si="230"/>
        <v/>
      </c>
      <c r="M327" s="2416" t="str">
        <f t="shared" si="231"/>
        <v/>
      </c>
      <c r="N327" s="1853" t="str">
        <f t="shared" si="231"/>
        <v/>
      </c>
      <c r="O327" s="2439" t="str">
        <f t="shared" si="231"/>
        <v/>
      </c>
      <c r="P327" s="1671" t="str">
        <f t="shared" si="232"/>
        <v/>
      </c>
      <c r="Q327" s="2467"/>
      <c r="T327" s="627" t="str">
        <f t="shared" si="226"/>
        <v/>
      </c>
      <c r="U327" s="627" t="str">
        <f t="shared" si="227"/>
        <v/>
      </c>
      <c r="X327" s="2407" t="str">
        <f t="shared" si="228"/>
        <v/>
      </c>
      <c r="AG327" s="449"/>
      <c r="AH327" s="449"/>
      <c r="AI327" s="2"/>
      <c r="AJ327" s="2"/>
      <c r="AK327" s="453"/>
      <c r="AL327" s="453"/>
      <c r="AM327" s="454"/>
      <c r="AN327" s="454"/>
      <c r="AO327" s="2"/>
      <c r="AP327" s="455"/>
      <c r="AQ327" s="2"/>
      <c r="AR327" s="2"/>
      <c r="AS327" s="296"/>
      <c r="AT327" s="296"/>
      <c r="BD327" s="2154"/>
      <c r="BF327" s="2612"/>
    </row>
    <row r="328" spans="1:58" s="245" customFormat="1" ht="21" customHeight="1" x14ac:dyDescent="0.25">
      <c r="A328" s="433" t="s">
        <v>1038</v>
      </c>
      <c r="B328" s="3817" t="str">
        <f>"Energy model subtotal (" &amp; PO_SiteUnits &amp; ")"</f>
        <v>Energy model subtotal (kWh)</v>
      </c>
      <c r="C328" s="3817"/>
      <c r="D328" s="3817"/>
      <c r="E328" s="1310">
        <f>IFERROR(SUMPRODUCT(INDEX(PO_Enrgy_9_Table,0,MATCH(E$321,PO_Enrgy_9_Hdr,0)),INDEX(PO_Enrgy_9_Table,0,MATCH($T$321,PO_Enrgy_9_Hdr,0))),"")</f>
        <v>0</v>
      </c>
      <c r="F328" s="1310">
        <f>IFERROR(SUM(INDEX(PO_Enrgy_9_Table,0,MATCH(F$321,PO_Enrgy_9_Hdr,0))),"")</f>
        <v>0</v>
      </c>
      <c r="G328" s="2410">
        <f>IFERROR(SUM(INDEX(PO_Enrgy_9_Table,0,MATCH(G$321,PO_Enrgy_9_Hdr,0))),"")</f>
        <v>0</v>
      </c>
      <c r="H328" s="1310">
        <f>SUM(H322:H327)</f>
        <v>0</v>
      </c>
      <c r="I328" s="2447">
        <f>IFERROR(SUMPRODUCT(INDEX(PO_Enrgy_9_Table,0,MATCH(I$321,PO_Enrgy_9_Hdr,0)),INDEX(PO_Enrgy_9_Table,0,MATCH($T$321,PO_Enrgy_9_Hdr,0))),"")</f>
        <v>0</v>
      </c>
      <c r="J328" s="1310">
        <f>IFERROR(SUM(INDEX(PO_Enrgy_9_Table,0,MATCH(J$321,PO_Enrgy_9_Hdr,0))),"")</f>
        <v>0</v>
      </c>
      <c r="K328" s="2410">
        <f>IFERROR(SUM(INDEX(PO_Enrgy_9_Table,0,MATCH(K$321,PO_Enrgy_9_Hdr,0))),"")</f>
        <v>0</v>
      </c>
      <c r="L328" s="1310">
        <f>SUM(L322:L327)</f>
        <v>0</v>
      </c>
      <c r="M328" s="2416" t="str">
        <f t="shared" si="231"/>
        <v/>
      </c>
      <c r="N328" s="1853" t="str">
        <f t="shared" si="231"/>
        <v/>
      </c>
      <c r="O328" s="2439" t="str">
        <f t="shared" si="231"/>
        <v/>
      </c>
      <c r="P328" s="1671" t="str">
        <f>IFERROR(1-L328/H328,"")</f>
        <v/>
      </c>
      <c r="Q328" s="2467"/>
      <c r="R328" s="235"/>
      <c r="S328" s="235"/>
      <c r="AG328" s="2"/>
      <c r="AH328" s="2"/>
      <c r="AI328" s="2"/>
      <c r="AJ328" s="2"/>
      <c r="AK328" s="450"/>
      <c r="AL328" s="451"/>
      <c r="AM328" s="2"/>
      <c r="AN328" s="2"/>
      <c r="AO328" s="2"/>
      <c r="AP328" s="2"/>
      <c r="AQ328" s="2"/>
      <c r="AR328" s="2"/>
      <c r="BD328" s="2154"/>
      <c r="BE328" s="235"/>
      <c r="BF328" s="2612"/>
    </row>
    <row r="329" spans="1:58" s="245" customFormat="1" ht="33" customHeight="1" x14ac:dyDescent="0.25">
      <c r="A329" s="433" t="s">
        <v>1038</v>
      </c>
      <c r="B329" s="456"/>
      <c r="C329" s="456"/>
      <c r="D329" s="456"/>
      <c r="E329" s="457"/>
      <c r="F329" s="457"/>
      <c r="G329" s="458"/>
      <c r="H329" s="250"/>
      <c r="I329" s="457"/>
      <c r="J329" s="458"/>
      <c r="K329" s="459"/>
      <c r="L329" s="332"/>
      <c r="M329" s="459"/>
      <c r="N329" s="235"/>
      <c r="O329" s="235"/>
      <c r="P329" s="235"/>
      <c r="Q329" s="235"/>
      <c r="AI329" s="267"/>
      <c r="AJ329" s="268"/>
      <c r="BD329" s="2155"/>
      <c r="BE329" s="235"/>
      <c r="BF329" s="235"/>
    </row>
    <row r="330" spans="1:58" ht="21" customHeight="1" x14ac:dyDescent="0.25">
      <c r="A330" s="433" t="s">
        <v>1038</v>
      </c>
      <c r="B330" s="3219" t="s">
        <v>907</v>
      </c>
      <c r="C330" s="3220"/>
      <c r="D330" s="3220"/>
      <c r="E330" s="3220"/>
      <c r="F330" s="3220"/>
      <c r="G330" s="3220"/>
      <c r="H330" s="3220"/>
      <c r="I330" s="3220"/>
      <c r="J330" s="3220"/>
      <c r="K330" s="3220"/>
      <c r="L330" s="3220"/>
      <c r="Y330" s="2"/>
      <c r="AA330" s="267"/>
      <c r="AB330" s="268"/>
    </row>
    <row r="331" spans="1:58" ht="116.25" customHeight="1" x14ac:dyDescent="0.25">
      <c r="A331" s="433" t="s">
        <v>1038</v>
      </c>
      <c r="B331" s="3201" t="s">
        <v>954</v>
      </c>
      <c r="C331" s="3201"/>
      <c r="D331" s="3201"/>
      <c r="E331" s="3201"/>
      <c r="F331" s="3201"/>
      <c r="G331" s="3201"/>
      <c r="H331" s="3201"/>
      <c r="I331" s="3201"/>
      <c r="J331" s="3201"/>
      <c r="K331" s="3201"/>
      <c r="L331" s="3201"/>
      <c r="M331" s="3201"/>
      <c r="Y331" s="2"/>
      <c r="AA331" s="267"/>
      <c r="AB331" s="268"/>
    </row>
    <row r="332" spans="1:58" ht="21" customHeight="1" x14ac:dyDescent="0.25">
      <c r="A332" s="409" t="s">
        <v>1038</v>
      </c>
      <c r="B332" s="3357" t="s">
        <v>1445</v>
      </c>
      <c r="C332" s="3395" t="s">
        <v>1436</v>
      </c>
      <c r="D332" s="3842"/>
      <c r="E332" s="3891" t="s">
        <v>363</v>
      </c>
      <c r="F332" s="3357"/>
      <c r="G332" s="3357"/>
      <c r="H332" s="3891" t="s">
        <v>130</v>
      </c>
      <c r="I332" s="3357"/>
      <c r="J332" s="3357"/>
      <c r="K332" s="3218"/>
      <c r="L332" s="3214"/>
      <c r="M332" s="588"/>
      <c r="O332" s="296"/>
      <c r="AG332" s="2"/>
    </row>
    <row r="333" spans="1:58" ht="39.6" x14ac:dyDescent="0.25">
      <c r="A333" s="409" t="s">
        <v>1038</v>
      </c>
      <c r="B333" s="3842"/>
      <c r="C333" s="3842"/>
      <c r="D333" s="3842"/>
      <c r="E333" s="780" t="s">
        <v>1039</v>
      </c>
      <c r="F333" s="1670" t="s">
        <v>1040</v>
      </c>
      <c r="G333" s="1670" t="s">
        <v>356</v>
      </c>
      <c r="H333" s="780" t="s">
        <v>1039</v>
      </c>
      <c r="I333" s="1670" t="s">
        <v>902</v>
      </c>
      <c r="J333" s="1670" t="s">
        <v>356</v>
      </c>
      <c r="K333" s="334"/>
      <c r="L333" s="334"/>
      <c r="M333" s="588"/>
      <c r="AI333" s="2"/>
      <c r="AJ333" s="2"/>
      <c r="AK333" s="2"/>
      <c r="AL333" s="2"/>
    </row>
    <row r="334" spans="1:58" s="446" customFormat="1" ht="13.8" hidden="1" x14ac:dyDescent="0.25">
      <c r="A334" s="409" t="s">
        <v>1038</v>
      </c>
      <c r="B334" s="1532" t="s">
        <v>1396</v>
      </c>
      <c r="C334" s="1532" t="s">
        <v>1424</v>
      </c>
      <c r="D334" s="1532"/>
      <c r="E334" s="1454" t="s">
        <v>1446</v>
      </c>
      <c r="F334" s="1452" t="s">
        <v>1447</v>
      </c>
      <c r="G334" s="1452" t="s">
        <v>1448</v>
      </c>
      <c r="H334" s="1454" t="s">
        <v>1449</v>
      </c>
      <c r="I334" s="1452" t="s">
        <v>1450</v>
      </c>
      <c r="J334" s="1452" t="s">
        <v>1451</v>
      </c>
      <c r="K334" s="463"/>
      <c r="L334" s="463"/>
      <c r="V334" s="235" t="s">
        <v>959</v>
      </c>
      <c r="W334" s="464" t="s">
        <v>961</v>
      </c>
      <c r="X334" s="464" t="s">
        <v>962</v>
      </c>
      <c r="AK334" s="447"/>
      <c r="AL334" s="447"/>
      <c r="BD334" s="2162"/>
    </row>
    <row r="335" spans="1:58" ht="17.25" customHeight="1" x14ac:dyDescent="0.25">
      <c r="A335" s="409" t="s">
        <v>1038</v>
      </c>
      <c r="B335" s="3892" t="s">
        <v>272</v>
      </c>
      <c r="C335" s="3892"/>
      <c r="D335" s="3892"/>
      <c r="E335" s="1455"/>
      <c r="F335" s="1455"/>
      <c r="G335" s="1456"/>
      <c r="H335" s="1455"/>
      <c r="I335" s="1455"/>
      <c r="J335" s="1456"/>
      <c r="K335" s="332"/>
      <c r="L335" s="332"/>
      <c r="R335" s="415" t="s">
        <v>1407</v>
      </c>
      <c r="S335" s="415" t="s">
        <v>1408</v>
      </c>
      <c r="W335" s="465" t="str">
        <f>IFERROR(W337+W336,"")</f>
        <v/>
      </c>
      <c r="X335" s="465" t="str">
        <f>IFERROR(X337+X336,"")</f>
        <v/>
      </c>
      <c r="AI335" s="2"/>
      <c r="AJ335" s="2"/>
      <c r="AK335" s="2"/>
      <c r="AL335" s="2"/>
      <c r="AM335" s="270"/>
      <c r="AN335" s="271"/>
      <c r="BD335" s="1358" t="s">
        <v>1635</v>
      </c>
    </row>
    <row r="336" spans="1:58" ht="18" customHeight="1" x14ac:dyDescent="0.25">
      <c r="A336" s="409" t="s">
        <v>1038</v>
      </c>
      <c r="B336" s="1314" t="str">
        <f>IFERROR(IF(DESPath=3,"Electricity",""),"")</f>
        <v/>
      </c>
      <c r="C336" s="3838" t="str">
        <f>IFERROR(IF(ISBLANK($B336),"",VLOOKUP($B336,PO_Enrgy_1_Table,MATCH($C$16,PO_Enrgy_1_Hdr,0),FALSE) ),"")</f>
        <v/>
      </c>
      <c r="D336" s="3840" t="str">
        <f>IF(C336="","",VLOOKUP(C336,ProjectEnergyTypeTable,3,FALSE))</f>
        <v/>
      </c>
      <c r="E336" s="1315" t="str">
        <f>IFERROR(IF(AND(DESPath=3,DistrictCooling,$B$336="Electricity"),DESPath3_Cooling_COP,""),"")</f>
        <v/>
      </c>
      <c r="F336" s="1316" t="str">
        <f>IFERROR(IF(DESPath=3,VLOOKUP("District Cooling",PO_Enrgy_9_Table,MATCH($E$321,PO_Enrgy_9_Hdr,0),FALSE)/$E336*VLOOKUP(VLOOKUP("District Cooling",PO_Enrgy_9_Table,MATCH($C$321,PO_Enrgy_9_Hdr,0),FALSE),EnergyUnitsTable,3,FALSE)/VLOOKUP($C336,EnergyUnitsTable,3,FALSE),""),"")</f>
        <v/>
      </c>
      <c r="G336" s="1312" t="str">
        <f>IFERROR(F336*VLOOKUP($B336,PO_Enrgy_8_Table,MATCH($E$310,PO_Enrgy_8_Hdr,0),FALSE),"")</f>
        <v/>
      </c>
      <c r="H336" s="1316" t="str">
        <f>IFERROR(IF(AND(DESPath=3,DistrictHeating,$B$336="Electricity"),DESPath3_Heating_eCOP,""),"")</f>
        <v/>
      </c>
      <c r="I336" s="1316">
        <f>IF(DESPath = 3,IFERROR(VLOOKUP("District Hot Water",PO_Enrgy_9_Table,MATCH($E$321,PO_Enrgy_9_Hdr,0),FALSE)/$H336*VLOOKUP(VLOOKUP("District Hot Water",PO_Enrgy_9_Table,MATCH($C$321,PO_Enrgy_9_Hdr,0),FALSE),EnergyUnitsTable,3,FALSE)/VLOOKUP($C336,EnergyUnitsTable,3,FALSE),0)+IFERROR(VLOOKUP("District Steam",PO_Enrgy_9_Table,MATCH($E$321,PO_Enrgy_9_Hdr,0),FALSE)/$H336*VLOOKUP(VLOOKUP("District Steam",PO_Enrgy_9_Table,MATCH($C$321,PO_Enrgy_9_Hdr,0),FALSE),EnergyUnitsTable,3,FALSE)/VLOOKUP($H336,EnergyUnitsTable,3,FALSE),0),0)</f>
        <v>0</v>
      </c>
      <c r="J336" s="1312" t="str">
        <f>IFERROR(I336*VLOOKUP($B336,PO_Enrgy_8_Table,MATCH($E$310,PO_Enrgy_8_Hdr,0),FALSE),"")</f>
        <v/>
      </c>
      <c r="K336" s="332"/>
      <c r="L336" s="332"/>
      <c r="M336" s="332"/>
      <c r="R336" s="416" t="str">
        <f>IFERROR(IF(ISBLANK($B336),"",VLOOKUP($B336,PO_Enrgy_1_Table,MATCH($K$16,PO_Enrgy_1_Hdr,0),FALSE)),"")</f>
        <v/>
      </c>
      <c r="S336" s="416" t="str">
        <f>IFERROR(IF(ISBLANK($B336),"",VLOOKUP($B336,PO_Enrgy_1_Table,MATCH($M$16,PO_Enrgy_1_Hdr,0),FALSE)),"")</f>
        <v/>
      </c>
      <c r="V336" s="235" t="s">
        <v>957</v>
      </c>
      <c r="W336" s="466" t="str">
        <f>IFERROR(VLOOKUP($B336,PO_Enrgy_8_Table,MATCH($E$310,PO_Enrgy_8_Hdr,0),FALSE)/$E$336*VLOOKUP(VLOOKUP("District Cooling",PO_Enrgy_9_Table,MATCH($C$321,PO_Enrgy_9_Hdr,0),FALSE),EnergyUnitsTable,3,FALSE)/VLOOKUP($C336,EnergyUnitsTable,3,FALSE),"")</f>
        <v/>
      </c>
      <c r="X336" s="466" t="str">
        <f>IFERROR(VLOOKUP($B336,PO_Enrgy_8_Table,MATCH($E$310,PO_Enrgy_8_Hdr,0),FALSE)/$H$336*(IFERROR(VLOOKUP(VLOOKUP("District Hot Water",PO_Enrgy_9_Table,MATCH($C$321,PO_Enrgy_9_Hdr,0),FALSE),EnergyUnitsTable,3,FALSE),1)+IFERROR(VLOOKUP(VLOOKUP("District Steam",PO_Enrgy_9_Table,MATCH($C$321,PO_Enrgy_9_Hdr,0),FALSE),EnergyUnitsTable,3,FALSE),1))/VLOOKUP($C336,EnergyUnitsTable,3,FALSE),"")</f>
        <v/>
      </c>
      <c r="AI336" s="449"/>
      <c r="AJ336" s="449"/>
      <c r="AK336" s="253"/>
      <c r="AL336" s="2"/>
      <c r="AM336" s="270"/>
      <c r="AN336" s="271"/>
      <c r="BD336" s="2154"/>
    </row>
    <row r="337" spans="1:58" ht="18" customHeight="1" x14ac:dyDescent="0.25">
      <c r="A337" s="409" t="s">
        <v>1038</v>
      </c>
      <c r="B337" s="1674"/>
      <c r="C337" s="3838" t="str">
        <f>IFERROR(IF(ISBLANK($B337),"",VLOOKUP($B337,PO_Enrgy_1_Table,MATCH($C$16,PO_Enrgy_1_Hdr,0),FALSE) ),"")</f>
        <v/>
      </c>
      <c r="D337" s="3840" t="str">
        <f>IF(C337="","",VLOOKUP(C337,ProjectEnergyTypeTable,3,FALSE))</f>
        <v/>
      </c>
      <c r="E337" s="1317"/>
      <c r="F337" s="1317"/>
      <c r="G337" s="1318"/>
      <c r="H337" s="1316" t="str">
        <f>IFERROR(IF(AND(DESPath=3,DistrictHeating,$B$336="Electricity"),DESPath3_Heating_fCOP,""),"")</f>
        <v/>
      </c>
      <c r="I337" s="1316">
        <f>IF(DESPath = 3,IFERROR(VLOOKUP("District Hot Water",PO_Enrgy_9_Table,MATCH($E$321,PO_Enrgy_9_Hdr,0),FALSE)/$H337*VLOOKUP(VLOOKUP("District Hot Water",PO_Enrgy_9_Table,MATCH($C$321,PO_Enrgy_9_Hdr,0),FALSE),EnergyUnitsTable,3,FALSE)/VLOOKUP($C337,EnergyUnitsTable,3,FALSE),0)+IFERROR(VLOOKUP("District Steam",PO_Enrgy_9_Table,MATCH($E$321,PO_Enrgy_9_Hdr,0),FALSE)/$H337*VLOOKUP(VLOOKUP("District Steam",PO_Enrgy_9_Table,MATCH($C$321,PO_Enrgy_9_Hdr,0),FALSE),EnergyUnitsTable,3,FALSE)/VLOOKUP($H337,EnergyUnitsTable,3,FALSE),0),0)</f>
        <v>0</v>
      </c>
      <c r="J337" s="1312" t="str">
        <f>IFERROR(I337*VLOOKUP($B337,PO_Enrgy_8_Table,MATCH($E$310,PO_Enrgy_8_Hdr,0),FALSE),"")</f>
        <v/>
      </c>
      <c r="K337" s="332"/>
      <c r="L337" s="332"/>
      <c r="M337" s="332"/>
      <c r="R337" s="416" t="str">
        <f>IFERROR(IF(ISBLANK($B337),"",VLOOKUP($B337,PO_Enrgy_1_Table,MATCH($K$16,PO_Enrgy_1_Hdr,0),FALSE)),"")</f>
        <v/>
      </c>
      <c r="S337" s="416" t="str">
        <f>IFERROR(IF(ISBLANK($B337),"",VLOOKUP($B337,PO_Enrgy_1_Table,MATCH($M$16,PO_Enrgy_1_Hdr,0),FALSE)),"")</f>
        <v/>
      </c>
      <c r="V337" s="235" t="s">
        <v>958</v>
      </c>
      <c r="W337" s="466" t="str">
        <f>IFERROR(VLOOKUP($B337,PO_Enrgy_8_Table,MATCH($E$310,PO_Enrgy_8_Hdr,0),FALSE)/$E$336*VLOOKUP(VLOOKUP("District Cooling",PO_Enrgy_9_Table,MATCH($C$321,PO_Enrgy_9_Hdr,0),FALSE),EnergyUnitsTable,3,FALSE)/VLOOKUP($C337,EnergyUnitsTable,3,FALSE),"")</f>
        <v/>
      </c>
      <c r="X337" s="466" t="str">
        <f>IFERROR(VLOOKUP($B337,PO_Enrgy_8_Table,MATCH($E$310,PO_Enrgy_8_Hdr,0),FALSE)/$H$336*(IFERROR(VLOOKUP(VLOOKUP("District Hot Water",PO_Enrgy_9_Table,MATCH($C$321,PO_Enrgy_9_Hdr,0),FALSE),EnergyUnitsTable,3,FALSE),1)+IFERROR(VLOOKUP(VLOOKUP("District Steam",PO_Enrgy_9_Table,MATCH($C$321,PO_Enrgy_9_Hdr,0),FALSE),EnergyUnitsTable,3,FALSE),1))/VLOOKUP($C337,EnergyUnitsTable,3,FALSE),"")</f>
        <v/>
      </c>
      <c r="AI337" s="449"/>
      <c r="AJ337" s="449"/>
      <c r="AK337" s="253"/>
      <c r="AL337" s="2"/>
      <c r="AM337" s="270"/>
      <c r="AN337" s="271"/>
      <c r="BD337" s="2154"/>
    </row>
    <row r="338" spans="1:58" s="446" customFormat="1" ht="13.8" hidden="1" x14ac:dyDescent="0.25">
      <c r="A338" s="409" t="s">
        <v>1038</v>
      </c>
      <c r="B338" s="1532" t="s">
        <v>1396</v>
      </c>
      <c r="C338" s="1532" t="s">
        <v>1424</v>
      </c>
      <c r="D338" s="1532"/>
      <c r="E338" s="1454" t="s">
        <v>1446</v>
      </c>
      <c r="F338" s="1452" t="s">
        <v>1447</v>
      </c>
      <c r="G338" s="1452" t="s">
        <v>1448</v>
      </c>
      <c r="H338" s="1454" t="s">
        <v>1449</v>
      </c>
      <c r="I338" s="1452" t="s">
        <v>1450</v>
      </c>
      <c r="J338" s="1452" t="s">
        <v>1451</v>
      </c>
      <c r="K338" s="463"/>
      <c r="L338" s="463"/>
      <c r="R338" s="415" t="s">
        <v>1407</v>
      </c>
      <c r="S338" s="415" t="s">
        <v>1408</v>
      </c>
      <c r="W338" s="464" t="s">
        <v>961</v>
      </c>
      <c r="X338" s="464" t="s">
        <v>962</v>
      </c>
      <c r="AI338" s="447"/>
      <c r="AJ338" s="447"/>
      <c r="AK338" s="447"/>
      <c r="AL338" s="447"/>
      <c r="BD338" s="2834"/>
    </row>
    <row r="339" spans="1:58" ht="17.25" customHeight="1" x14ac:dyDescent="0.25">
      <c r="A339" s="409" t="s">
        <v>1038</v>
      </c>
      <c r="B339" s="3892" t="s">
        <v>273</v>
      </c>
      <c r="C339" s="3892"/>
      <c r="D339" s="3892"/>
      <c r="E339" s="1457"/>
      <c r="F339" s="1457"/>
      <c r="G339" s="1458"/>
      <c r="H339" s="1457"/>
      <c r="I339" s="1457"/>
      <c r="J339" s="1458"/>
      <c r="K339" s="332"/>
      <c r="L339" s="332"/>
      <c r="V339" s="235" t="s">
        <v>960</v>
      </c>
      <c r="W339" s="465" t="str">
        <f>IFERROR(W340+W341,"")</f>
        <v/>
      </c>
      <c r="X339" s="465" t="str">
        <f>IFERROR(X340+X341,"")</f>
        <v/>
      </c>
      <c r="AJ339" s="2"/>
      <c r="AK339" s="2"/>
      <c r="AL339" s="2"/>
      <c r="AM339" s="270"/>
      <c r="AN339" s="271"/>
      <c r="BD339" s="2154"/>
    </row>
    <row r="340" spans="1:58" ht="18" customHeight="1" x14ac:dyDescent="0.25">
      <c r="A340" s="409" t="s">
        <v>1038</v>
      </c>
      <c r="B340" s="1311" t="str">
        <f>IFERROR(IF(ISBLANK(B17),"",B17),"")</f>
        <v/>
      </c>
      <c r="C340" s="3838" t="str">
        <f>IFERROR(IF(ISBLANK($B340),"",VLOOKUP($B340,PO_Enrgy_1_Table,MATCH($C$16,PO_Enrgy_1_Hdr,0),FALSE) ),"")</f>
        <v/>
      </c>
      <c r="D340" s="3840" t="str">
        <f>IF(C340="","",VLOOKUP(C340,ProjectEnergyTypeTable,3,FALSE))</f>
        <v/>
      </c>
      <c r="E340" s="1319"/>
      <c r="F340" s="1316" t="str">
        <f>IFERROR(VLOOKUP($B340,PO_Enrgy_9_Table,MATCH($E$321,PO_Enrgy_9_Hdr,0),FALSE)/$E$340*VLOOKUP(VLOOKUP("District Cooling",PO_Enrgy_9_Table,MATCH($C$321,PO_Enrgy_9_Hdr,0),FALSE),EnergyUnitsTable,3,FALSE)/VLOOKUP($C340,EnergyUnitsTable,3,FALSE),"")</f>
        <v/>
      </c>
      <c r="G340" s="1312" t="str">
        <f>IFERROR(F340*VLOOKUP($B340,PO_Enrgy_8_Table,MATCH($H$310,PO_Enrgy_8_Hdr,0),FALSE),"")</f>
        <v/>
      </c>
      <c r="H340" s="1320">
        <v>2</v>
      </c>
      <c r="I340" s="1316">
        <f>IF(DESPath = 3,IFERROR(VLOOKUP("District Hot Water",PO_Enrgy_9_Table,MATCH($I$321,PO_Enrgy_9_Hdr,0),FALSE)/$H340*VLOOKUP(VLOOKUP("District Hot Water",PO_Enrgy_9_Table,MATCH($C$321,PO_Enrgy_9_Hdr,0),FALSE),EnergyUnitsTable,3,FALSE)/VLOOKUP($C340,EnergyUnitsTable,3,FALSE),0)+IFERROR(VLOOKUP("District Steam",PO_Enrgy_9_Table,MATCH($I$321,PO_Enrgy_9_Hdr,0),FALSE)/$H340*VLOOKUP(VLOOKUP("District Steam",PO_Enrgy_9_Table,MATCH($C$321,PO_Enrgy_9_Hdr,0),FALSE),EnergyUnitsTable,3,FALSE)/VLOOKUP($H340,EnergyUnitsTable,3,FALSE),0),0)</f>
        <v>0</v>
      </c>
      <c r="J340" s="1312" t="str">
        <f>IFERROR(I340*VLOOKUP($B340,PO_Enrgy_8_Table,MATCH($H$310,PO_Enrgy_8_Hdr,0),FALSE),"")</f>
        <v/>
      </c>
      <c r="K340" s="332"/>
      <c r="L340" s="332"/>
      <c r="M340" s="332"/>
      <c r="R340" s="416" t="str">
        <f>IFERROR(IF(ISBLANK($B340),"",VLOOKUP($B340,PO_Enrgy_1_Table,MATCH($K$16,PO_Enrgy_1_Hdr,0),FALSE)),"")</f>
        <v/>
      </c>
      <c r="S340" s="416" t="str">
        <f>IFERROR(IF(ISBLANK($B340),"",VLOOKUP($B340,PO_Enrgy_1_Table,MATCH($M$16,PO_Enrgy_1_Hdr,0),FALSE)),"")</f>
        <v/>
      </c>
      <c r="V340" s="235" t="s">
        <v>957</v>
      </c>
      <c r="W340" s="466" t="str">
        <f>IFERROR(VLOOKUP($B340,PO_Enrgy_8_Table,MATCH($H$310,PO_Enrgy_8_Hdr,0),FALSE)/$E$340*VLOOKUP(VLOOKUP("District Cooling",PO_Enrgy_9_Table,MATCH($C$321,PO_Enrgy_9_Hdr,0),FALSE),EnergyUnitsTable,3,FALSE)/VLOOKUP($C340,EnergyUnitsTable,3,FALSE),"")</f>
        <v/>
      </c>
      <c r="X340" s="466" t="str">
        <f>IFERROR(VLOOKUP($B340,PO_Enrgy_8_Table,MATCH($H$310,PO_Enrgy_8_Hdr,0),FALSE)/$H$340*(IFERROR(VLOOKUP(VLOOKUP("District Hot Water",PO_Enrgy_9_Table,MATCH($C$321,PO_Enrgy_9_Hdr,0),FALSE),EnergyUnitsTable,3,FALSE),1)+IFERROR(VLOOKUP(VLOOKUP("District Steam",PO_Enrgy_9_Table,MATCH($C$321,PO_Enrgy_9_Hdr,0),FALSE),EnergyUnitsTable,3,FALSE),1))/VLOOKUP($C340,EnergyUnitsTable,3,FALSE),"")</f>
        <v/>
      </c>
      <c r="AI340" s="449"/>
      <c r="AJ340" s="449"/>
      <c r="AK340" s="253"/>
      <c r="AL340" s="2"/>
      <c r="AM340" s="270"/>
      <c r="AN340" s="271"/>
      <c r="BD340" s="2154"/>
    </row>
    <row r="341" spans="1:58" ht="18" customHeight="1" x14ac:dyDescent="0.25">
      <c r="A341" s="409" t="s">
        <v>1038</v>
      </c>
      <c r="B341" s="1311" t="str">
        <f>IFERROR(IF(ISBLANK($B$337),"",$B$337),"")</f>
        <v/>
      </c>
      <c r="C341" s="3838" t="str">
        <f>IFERROR(IF(ISBLANK($B341),"",VLOOKUP($B341,PO_Enrgy_1_Table,MATCH($C$16,PO_Enrgy_1_Hdr,0),FALSE) ),"")</f>
        <v/>
      </c>
      <c r="D341" s="3840" t="str">
        <f>IF(C341="","",VLOOKUP(C341,ProjectEnergyTypeTable,3,FALSE))</f>
        <v/>
      </c>
      <c r="E341" s="1320"/>
      <c r="F341" s="1316" t="str">
        <f>IFERROR(VLOOKUP($B341,PO_Enrgy_9_Table,MATCH($E$321,PO_Enrgy_9_Hdr,0),FALSE)/$E$340*VLOOKUP(VLOOKUP("District Cooling",PO_Enrgy_9_Table,MATCH($C$321,PO_Enrgy_9_Hdr,0),FALSE),EnergyUnitsTable,3,FALSE)/VLOOKUP($C341,EnergyUnitsTable,3,FALSE),"")</f>
        <v/>
      </c>
      <c r="G341" s="1312" t="str">
        <f>IFERROR(F341*VLOOKUP($B341,PO_Enrgy_8_Table,MATCH($H$310,PO_Enrgy_8_Hdr,0),FALSE),"")</f>
        <v/>
      </c>
      <c r="H341" s="1321">
        <v>3</v>
      </c>
      <c r="I341" s="1316">
        <f>IF(DESPath = 3,IFERROR(VLOOKUP("District Hot Water",PO_Enrgy_9_Table,MATCH($I$321,PO_Enrgy_9_Hdr,0),FALSE)/$H341*VLOOKUP(VLOOKUP("District Hot Water",PO_Enrgy_9_Table,MATCH($C$321,PO_Enrgy_9_Hdr,0),FALSE),EnergyUnitsTable,3,FALSE)/VLOOKUP($C341,EnergyUnitsTable,3,FALSE),0)+IFERROR(VLOOKUP("District Steam",PO_Enrgy_9_Table,MATCH($I$321,PO_Enrgy_9_Hdr,0),FALSE)/$H341*VLOOKUP(VLOOKUP("District Steam",PO_Enrgy_9_Table,MATCH($C$321,PO_Enrgy_9_Hdr,0),FALSE),EnergyUnitsTable,3,FALSE)/VLOOKUP($H341,EnergyUnitsTable,3,FALSE),0),0)</f>
        <v>0</v>
      </c>
      <c r="J341" s="1312" t="str">
        <f>IFERROR(I341*VLOOKUP($B341,PO_Enrgy_8_Table,MATCH($H$310,PO_Enrgy_8_Hdr,0),FALSE),"")</f>
        <v/>
      </c>
      <c r="K341" s="332"/>
      <c r="L341" s="332"/>
      <c r="M341" s="332"/>
      <c r="R341" s="416" t="str">
        <f>IFERROR(IF(ISBLANK($B341),"",VLOOKUP($B341,PO_Enrgy_1_Table,MATCH($K$16,PO_Enrgy_1_Hdr,0),FALSE)),"")</f>
        <v/>
      </c>
      <c r="S341" s="416" t="str">
        <f>IFERROR(IF(ISBLANK($B341),"",VLOOKUP($B341,PO_Enrgy_1_Table,MATCH($M$16,PO_Enrgy_1_Hdr,0),FALSE)),"")</f>
        <v/>
      </c>
      <c r="V341" s="235" t="s">
        <v>958</v>
      </c>
      <c r="W341" s="466" t="str">
        <f>IFERROR(VLOOKUP($B341,PO_Enrgy_8_Table,MATCH($H$310,PO_Enrgy_8_Hdr,0),FALSE)/$E$340*VLOOKUP(VLOOKUP("District Cooling",PO_Enrgy_9_Table,MATCH($C$321,PO_Enrgy_9_Hdr,0),FALSE),EnergyUnitsTable,3,FALSE)/VLOOKUP($C341,EnergyUnitsTable,3,FALSE),"")</f>
        <v/>
      </c>
      <c r="X341" s="466" t="str">
        <f>IFERROR(VLOOKUP($B341,PO_Enrgy_8_Table,MATCH($H$310,PO_Enrgy_8_Hdr,0),FALSE)/$H$340*(IFERROR(VLOOKUP(VLOOKUP("District Hot Water",PO_Enrgy_9_Table,MATCH($C$321,PO_Enrgy_9_Hdr,0),FALSE),EnergyUnitsTable,3,FALSE),1)+IFERROR(VLOOKUP(VLOOKUP("District Steam",PO_Enrgy_9_Table,MATCH($C$321,PO_Enrgy_9_Hdr,0),FALSE),EnergyUnitsTable,3,FALSE),1))/VLOOKUP($C341,EnergyUnitsTable,3,FALSE),"")</f>
        <v/>
      </c>
      <c r="AI341" s="449"/>
      <c r="AJ341" s="449"/>
      <c r="AK341" s="253"/>
      <c r="AL341" s="2"/>
      <c r="AM341" s="270" t="str">
        <f>IFERROR(G341/E341,"")</f>
        <v/>
      </c>
      <c r="AN341" s="271" t="str">
        <f>IFERROR(J341/H341,"")</f>
        <v/>
      </c>
      <c r="BD341" s="2154"/>
    </row>
    <row r="342" spans="1:58" s="245" customFormat="1" ht="1.95" customHeight="1" x14ac:dyDescent="0.25">
      <c r="A342" s="409" t="s">
        <v>1038</v>
      </c>
      <c r="B342" s="531"/>
      <c r="C342" s="532"/>
      <c r="D342" s="531"/>
      <c r="E342" s="531"/>
      <c r="F342" s="531"/>
      <c r="G342" s="533"/>
      <c r="H342" s="532"/>
      <c r="I342" s="532" t="s">
        <v>867</v>
      </c>
      <c r="J342" s="531"/>
      <c r="K342" s="249"/>
      <c r="L342" s="249"/>
      <c r="M342" s="588"/>
      <c r="N342" s="235"/>
      <c r="O342" s="235"/>
      <c r="P342" s="235"/>
      <c r="Q342" s="235"/>
      <c r="AF342" s="302"/>
      <c r="AG342" s="302"/>
      <c r="AI342" s="2"/>
      <c r="AJ342" s="2"/>
      <c r="AK342" s="2"/>
      <c r="AL342" s="2"/>
      <c r="BD342" s="2155"/>
      <c r="BE342" s="235"/>
      <c r="BF342" s="235"/>
    </row>
    <row r="343" spans="1:58" s="245" customFormat="1" ht="19.5" customHeight="1" x14ac:dyDescent="0.25">
      <c r="A343" s="409" t="s">
        <v>1038</v>
      </c>
      <c r="B343" s="3214"/>
      <c r="C343" s="3214"/>
      <c r="D343" s="3214"/>
      <c r="E343" s="249"/>
      <c r="F343" s="249"/>
      <c r="G343" s="235"/>
      <c r="H343" s="334"/>
      <c r="I343" s="334"/>
      <c r="J343" s="294"/>
      <c r="K343" s="232"/>
      <c r="L343" s="232"/>
      <c r="M343" s="293"/>
      <c r="N343" s="235"/>
      <c r="O343" s="235"/>
      <c r="P343" s="235"/>
      <c r="Q343" s="235"/>
      <c r="AI343" s="2"/>
      <c r="AJ343" s="2"/>
      <c r="AK343" s="2"/>
      <c r="AL343" s="2"/>
      <c r="AM343" s="270"/>
      <c r="AN343" s="271"/>
      <c r="BD343" s="2155"/>
      <c r="BE343" s="235"/>
      <c r="BF343" s="235"/>
    </row>
    <row r="344" spans="1:58" ht="60" customHeight="1" x14ac:dyDescent="0.25">
      <c r="A344" s="409" t="s">
        <v>1038</v>
      </c>
      <c r="B344" s="3357" t="s">
        <v>354</v>
      </c>
      <c r="C344" s="3395" t="s">
        <v>1436</v>
      </c>
      <c r="D344" s="3842"/>
      <c r="E344" s="3393" t="s">
        <v>1041</v>
      </c>
      <c r="F344" s="3831"/>
      <c r="G344" s="3831"/>
      <c r="H344" s="3832"/>
      <c r="I344" s="3393" t="s">
        <v>1042</v>
      </c>
      <c r="J344" s="3831"/>
      <c r="K344" s="3831"/>
      <c r="L344" s="3832"/>
      <c r="M344" s="3828" t="s">
        <v>358</v>
      </c>
      <c r="N344" s="3829"/>
      <c r="O344" s="3829"/>
      <c r="P344" s="3830"/>
      <c r="Q344" s="334"/>
      <c r="AM344" s="2"/>
      <c r="AO344" s="270"/>
      <c r="AP344" s="271"/>
      <c r="BD344" s="235"/>
      <c r="BF344" s="261"/>
    </row>
    <row r="345" spans="1:58" ht="48" customHeight="1" thickBot="1" x14ac:dyDescent="0.3">
      <c r="A345" s="409" t="s">
        <v>1038</v>
      </c>
      <c r="B345" s="3842"/>
      <c r="C345" s="3842"/>
      <c r="D345" s="3842"/>
      <c r="E345" s="1670" t="s">
        <v>902</v>
      </c>
      <c r="F345" s="780" t="str">
        <f>"Source Energy Use ("  &amp; PO_SourceUnits &amp; ")"</f>
        <v>Source Energy Use (kWh)</v>
      </c>
      <c r="G345" s="1881" t="s">
        <v>356</v>
      </c>
      <c r="H345" s="1670" t="s">
        <v>3205</v>
      </c>
      <c r="I345" s="2359" t="s">
        <v>902</v>
      </c>
      <c r="J345" s="780" t="str">
        <f>"Source Energy Use ("  &amp; PO_SourceUnits &amp; ")"</f>
        <v>Source Energy Use (kWh)</v>
      </c>
      <c r="K345" s="1881" t="s">
        <v>356</v>
      </c>
      <c r="L345" s="1670" t="s">
        <v>3205</v>
      </c>
      <c r="M345" s="2359" t="s">
        <v>2584</v>
      </c>
      <c r="N345" s="1670" t="s">
        <v>2585</v>
      </c>
      <c r="O345" s="1881" t="s">
        <v>356</v>
      </c>
      <c r="P345" s="1670" t="s">
        <v>3210</v>
      </c>
      <c r="Q345" s="334"/>
      <c r="R345" s="334"/>
      <c r="S345" s="334"/>
      <c r="AM345" s="2"/>
      <c r="BD345" s="1358" t="s">
        <v>1635</v>
      </c>
      <c r="BF345" s="261"/>
    </row>
    <row r="346" spans="1:58" s="446" customFormat="1" ht="14.4" hidden="1" thickBot="1" x14ac:dyDescent="0.3">
      <c r="A346" s="409" t="s">
        <v>1038</v>
      </c>
      <c r="B346" s="1454" t="s">
        <v>1396</v>
      </c>
      <c r="C346" s="1532" t="s">
        <v>1424</v>
      </c>
      <c r="D346" s="1454"/>
      <c r="E346" s="1452" t="s">
        <v>1452</v>
      </c>
      <c r="F346" s="1454" t="s">
        <v>1453</v>
      </c>
      <c r="G346" s="2408" t="s">
        <v>1454</v>
      </c>
      <c r="H346" s="1452"/>
      <c r="I346" s="2411" t="s">
        <v>1437</v>
      </c>
      <c r="J346" s="1454" t="s">
        <v>1438</v>
      </c>
      <c r="K346" s="2408" t="s">
        <v>1439</v>
      </c>
      <c r="L346" s="1452"/>
      <c r="M346" s="2411" t="s">
        <v>1455</v>
      </c>
      <c r="N346" s="1532"/>
      <c r="O346" s="2408" t="s">
        <v>1441</v>
      </c>
      <c r="P346" s="1452" t="s">
        <v>1441</v>
      </c>
      <c r="Q346" s="463"/>
      <c r="R346" s="463"/>
      <c r="S346" s="463"/>
      <c r="T346" s="415" t="s">
        <v>1407</v>
      </c>
      <c r="U346" s="415" t="s">
        <v>1408</v>
      </c>
      <c r="AM346" s="447"/>
      <c r="BD346" s="2161"/>
      <c r="BF346" s="2162"/>
    </row>
    <row r="347" spans="1:58" ht="15" customHeight="1" x14ac:dyDescent="0.25">
      <c r="A347" s="409" t="s">
        <v>1038</v>
      </c>
      <c r="B347" s="1311" t="str">
        <f t="shared" ref="B347:B352" si="233">IFERROR(IF(ISBLANK(B17),"",B17),"")</f>
        <v/>
      </c>
      <c r="C347" s="3838" t="str">
        <f t="shared" ref="C347:C352" si="234">IFERROR(IF(ISBLANK($B347),"",VLOOKUP($B347,PO_Enrgy_1_Table,MATCH($C$16,PO_Enrgy_1_Hdr,0),FALSE) ),"")</f>
        <v/>
      </c>
      <c r="D347" s="3840" t="str">
        <f>IF(C347="","",VLOOKUP(C347,ProjectEnergyTypeTable,3,FALSE))</f>
        <v/>
      </c>
      <c r="E347" s="1313">
        <f t="shared" ref="E347:E352" si="235">IFERROR(IFERROR(IFERROR(VLOOKUP($B347,PO_DESbase_Enrgy_Table,MATCH($F$334,PO_DESbase_Enrgy_Hdr,0),FALSE),0)+IFERROR(VLOOKUP($B347,PO_DESbase_Enrgy_Table,MATCH($I$334,PO_DESbase_Enrgy_Hdr,0),FALSE),0),0)+IF(OR(DESPath&lt;&gt;3,AND(B347&lt;&gt;"District Cooling",B347&lt;&gt;"District Hot Water",B347&lt;&gt;"District Steam")),VLOOKUP($B347,PO_Enrgy_9_Table,MATCH($E$321,PO_Enrgy_9_Hdr,0),FALSE),0),"")</f>
        <v>0</v>
      </c>
      <c r="F347" s="1313" t="str">
        <f t="shared" ref="F347:F352" si="236">IFERROR(E347*$U347,"")</f>
        <v/>
      </c>
      <c r="G347" s="2410">
        <f t="shared" ref="G347:G352" si="237">IFERROR(IFERROR(IFERROR(VLOOKUP($B347,PO_DESbase_Enrgy_Table,MATCH($G$334,PO_DESbase_Enrgy_Hdr,0),FALSE),0)+IFERROR(VLOOKUP($B347,PO_DESbase_Enrgy_Table,MATCH($J$334,PO_DESbase_Enrgy_Hdr,0),FALSE),0),0)+IF(OR(DESPath&lt;&gt;3,AND(B347&lt;&gt;"District Cooling",B347&lt;&gt;"District Hot Water",B347&lt;&gt;"District Steam")),VLOOKUP($B347,PO_Enrgy_9_Table,MATCH($G$321,PO_Enrgy_9_Hdr,0),FALSE),0),"")</f>
        <v>0</v>
      </c>
      <c r="H347" s="1313" t="str">
        <f>IFERROR(X347*E347,"")</f>
        <v/>
      </c>
      <c r="I347" s="2413">
        <f t="shared" ref="I347:I352" si="238">IFERROR(IFERROR(IFERROR(VLOOKUP($B347,PO_DESdesign_Enrgy_Table,MATCH($F$338,PO_DESdesign_Enrgy_Hdr,0),FALSE),0)+IFERROR(VLOOKUP($B347,PO_DESdesign_Enrgy_Table,MATCH($I$338,PO_DESdesign_Enrgy_Hdr,0),FALSE),0),0)+IF(OR(DESPath&lt;&gt;3,AND(B347&lt;&gt;"District Cooling",B347&lt;&gt;"District Hot Water",B347&lt;&gt;"District Steam")),VLOOKUP($B347,PO_Enrgy_9_Table,MATCH($I$321,PO_Enrgy_9_Hdr,0),FALSE),0),"")</f>
        <v>0</v>
      </c>
      <c r="J347" s="1313" t="str">
        <f t="shared" ref="J347:J352" si="239">IFERROR(I347*$U347,"")</f>
        <v/>
      </c>
      <c r="K347" s="2410">
        <f t="shared" ref="K347:K352" si="240">IFERROR(IFERROR(IFERROR(VLOOKUP($B347,PO_DESdesign_Enrgy_Table,MATCH($G$338,PO_DESdesign_Enrgy_Hdr,0),FALSE),0)+IFERROR(VLOOKUP($B347,PO_DESdesign_Enrgy_Table,MATCH($J$338,PO_DESdesign_Enrgy_Hdr,0),FALSE),0),0)+IF(OR(DESPath&lt;&gt;3,AND(B347&lt;&gt;"District Cooling",B347&lt;&gt;"District Hot Water",B347&lt;&gt;"District Steam")),VLOOKUP($B347,PO_Enrgy_9_Table,MATCH($K$321,PO_Enrgy_9_Hdr,0),FALSE),0),"")</f>
        <v>0</v>
      </c>
      <c r="L347" s="1313" t="str">
        <f>IFERROR(X347*I347,"")</f>
        <v/>
      </c>
      <c r="M347" s="2415" t="str">
        <f t="shared" ref="M347:P353" si="241">IFERROR(1-I347/E347,"")</f>
        <v/>
      </c>
      <c r="N347" s="1852" t="str">
        <f t="shared" si="241"/>
        <v/>
      </c>
      <c r="O347" s="2438" t="str">
        <f t="shared" si="241"/>
        <v/>
      </c>
      <c r="P347" s="2968" t="str">
        <f t="shared" si="241"/>
        <v/>
      </c>
      <c r="Q347" s="2599"/>
      <c r="T347" s="416" t="str">
        <f t="shared" ref="T347:T352" si="242">IFERROR(IF(ISBLANK($B347),"",VLOOKUP($B347,PO_Enrgy_1_Table,MATCH($K$16,PO_Enrgy_1_Hdr,0),FALSE)),"")</f>
        <v/>
      </c>
      <c r="U347" s="416" t="str">
        <f t="shared" ref="U347:U352" si="243">IFERROR(IF(ISBLANK($B347),"",VLOOKUP($B347,PO_Enrgy_1_Table,MATCH($M$16,PO_Enrgy_1_Hdr,0),FALSE)),"")</f>
        <v/>
      </c>
      <c r="X347" s="2405" t="str">
        <f t="shared" ref="X347:X352" si="244">IFERROR(VLOOKUP(B347,PO_Enrgy_1_Table,MATCH($T$16,PO_Enrgy_1_Hdr,0),0),"")</f>
        <v/>
      </c>
      <c r="AK347" s="263"/>
      <c r="AL347" s="263"/>
      <c r="AM347" s="253"/>
      <c r="AO347" s="270"/>
      <c r="AP347" s="271"/>
      <c r="AU347" s="254"/>
      <c r="BD347" s="2154"/>
      <c r="BF347" s="2612"/>
    </row>
    <row r="348" spans="1:58" ht="15" customHeight="1" x14ac:dyDescent="0.25">
      <c r="A348" s="409" t="s">
        <v>1038</v>
      </c>
      <c r="B348" s="1311" t="str">
        <f t="shared" si="233"/>
        <v/>
      </c>
      <c r="C348" s="3838" t="str">
        <f t="shared" si="234"/>
        <v/>
      </c>
      <c r="D348" s="3840" t="str">
        <f>IF(C348="","",VLOOKUP(C348,ProjectEnergyTypeTable,3,FALSE))</f>
        <v/>
      </c>
      <c r="E348" s="1313">
        <f t="shared" si="235"/>
        <v>0</v>
      </c>
      <c r="F348" s="1313" t="str">
        <f t="shared" si="236"/>
        <v/>
      </c>
      <c r="G348" s="2410">
        <f t="shared" si="237"/>
        <v>0</v>
      </c>
      <c r="H348" s="1313" t="str">
        <f t="shared" ref="H348:H352" si="245">IFERROR(X348*E348,"")</f>
        <v/>
      </c>
      <c r="I348" s="2413">
        <f t="shared" si="238"/>
        <v>0</v>
      </c>
      <c r="J348" s="1313" t="str">
        <f t="shared" si="239"/>
        <v/>
      </c>
      <c r="K348" s="2410">
        <f t="shared" si="240"/>
        <v>0</v>
      </c>
      <c r="L348" s="1313" t="str">
        <f t="shared" ref="L348:L352" si="246">IFERROR(X348*I348,"")</f>
        <v/>
      </c>
      <c r="M348" s="2415" t="str">
        <f t="shared" si="241"/>
        <v/>
      </c>
      <c r="N348" s="1852" t="str">
        <f t="shared" si="241"/>
        <v/>
      </c>
      <c r="O348" s="2438" t="str">
        <f t="shared" si="241"/>
        <v/>
      </c>
      <c r="P348" s="2968" t="str">
        <f t="shared" si="241"/>
        <v/>
      </c>
      <c r="Q348" s="2599"/>
      <c r="T348" s="416" t="str">
        <f t="shared" si="242"/>
        <v/>
      </c>
      <c r="U348" s="416" t="str">
        <f t="shared" si="243"/>
        <v/>
      </c>
      <c r="X348" s="2406" t="str">
        <f t="shared" si="244"/>
        <v/>
      </c>
      <c r="AK348" s="263"/>
      <c r="AL348" s="263"/>
      <c r="AM348" s="253"/>
      <c r="AO348" s="270"/>
      <c r="AP348" s="271"/>
      <c r="AU348" s="254"/>
      <c r="BD348" s="2154"/>
      <c r="BF348" s="2612"/>
    </row>
    <row r="349" spans="1:58" ht="15" customHeight="1" x14ac:dyDescent="0.25">
      <c r="A349" s="409" t="s">
        <v>1038</v>
      </c>
      <c r="B349" s="1311" t="str">
        <f t="shared" si="233"/>
        <v/>
      </c>
      <c r="C349" s="3838" t="str">
        <f t="shared" si="234"/>
        <v/>
      </c>
      <c r="D349" s="3840" t="str">
        <f>IF(C349="","",VLOOKUP(C349,ProjectEnergyTypeTable,3,FALSE))</f>
        <v/>
      </c>
      <c r="E349" s="1313">
        <f t="shared" si="235"/>
        <v>0</v>
      </c>
      <c r="F349" s="1313" t="str">
        <f t="shared" si="236"/>
        <v/>
      </c>
      <c r="G349" s="2410">
        <f t="shared" si="237"/>
        <v>0</v>
      </c>
      <c r="H349" s="1313" t="str">
        <f t="shared" si="245"/>
        <v/>
      </c>
      <c r="I349" s="2413">
        <f t="shared" si="238"/>
        <v>0</v>
      </c>
      <c r="J349" s="1313" t="str">
        <f t="shared" si="239"/>
        <v/>
      </c>
      <c r="K349" s="2410">
        <f t="shared" si="240"/>
        <v>0</v>
      </c>
      <c r="L349" s="1313" t="str">
        <f t="shared" si="246"/>
        <v/>
      </c>
      <c r="M349" s="2415" t="str">
        <f t="shared" si="241"/>
        <v/>
      </c>
      <c r="N349" s="1852" t="str">
        <f t="shared" si="241"/>
        <v/>
      </c>
      <c r="O349" s="2438" t="str">
        <f t="shared" si="241"/>
        <v/>
      </c>
      <c r="P349" s="2968" t="str">
        <f t="shared" si="241"/>
        <v/>
      </c>
      <c r="Q349" s="2599"/>
      <c r="T349" s="416" t="str">
        <f t="shared" si="242"/>
        <v/>
      </c>
      <c r="U349" s="416" t="str">
        <f t="shared" si="243"/>
        <v/>
      </c>
      <c r="X349" s="2406" t="str">
        <f t="shared" si="244"/>
        <v/>
      </c>
      <c r="AK349" s="263"/>
      <c r="AL349" s="263"/>
      <c r="AM349" s="253"/>
      <c r="AO349" s="270"/>
      <c r="AP349" s="271"/>
      <c r="AU349" s="254"/>
      <c r="BD349" s="2154"/>
      <c r="BF349" s="2612"/>
    </row>
    <row r="350" spans="1:58" ht="15" customHeight="1" x14ac:dyDescent="0.25">
      <c r="A350" s="409" t="s">
        <v>1038</v>
      </c>
      <c r="B350" s="1311" t="str">
        <f t="shared" si="233"/>
        <v/>
      </c>
      <c r="C350" s="3838" t="str">
        <f t="shared" si="234"/>
        <v/>
      </c>
      <c r="D350" s="3840" t="str">
        <f>IF(C350="","",VLOOKUP(C350,ProjectEnergyTypeTable,3,FALSE))</f>
        <v/>
      </c>
      <c r="E350" s="1313">
        <f t="shared" si="235"/>
        <v>0</v>
      </c>
      <c r="F350" s="1313" t="str">
        <f t="shared" si="236"/>
        <v/>
      </c>
      <c r="G350" s="2410">
        <f t="shared" si="237"/>
        <v>0</v>
      </c>
      <c r="H350" s="1313" t="str">
        <f t="shared" si="245"/>
        <v/>
      </c>
      <c r="I350" s="2413">
        <f t="shared" si="238"/>
        <v>0</v>
      </c>
      <c r="J350" s="1313" t="str">
        <f t="shared" si="239"/>
        <v/>
      </c>
      <c r="K350" s="2410">
        <f t="shared" si="240"/>
        <v>0</v>
      </c>
      <c r="L350" s="1313" t="str">
        <f t="shared" si="246"/>
        <v/>
      </c>
      <c r="M350" s="2415" t="str">
        <f t="shared" si="241"/>
        <v/>
      </c>
      <c r="N350" s="1852" t="str">
        <f t="shared" si="241"/>
        <v/>
      </c>
      <c r="O350" s="2438" t="str">
        <f t="shared" si="241"/>
        <v/>
      </c>
      <c r="P350" s="2968" t="str">
        <f t="shared" si="241"/>
        <v/>
      </c>
      <c r="Q350" s="2599"/>
      <c r="T350" s="416" t="str">
        <f t="shared" si="242"/>
        <v/>
      </c>
      <c r="U350" s="416" t="str">
        <f t="shared" si="243"/>
        <v/>
      </c>
      <c r="X350" s="2406" t="str">
        <f t="shared" si="244"/>
        <v/>
      </c>
      <c r="AK350" s="263"/>
      <c r="AL350" s="263"/>
      <c r="AM350" s="253"/>
      <c r="AO350" s="270"/>
      <c r="AP350" s="271"/>
      <c r="AU350" s="254"/>
      <c r="BD350" s="2154"/>
      <c r="BF350" s="2612"/>
    </row>
    <row r="351" spans="1:58" ht="15" customHeight="1" x14ac:dyDescent="0.25">
      <c r="A351" s="409" t="s">
        <v>1038</v>
      </c>
      <c r="B351" s="1311" t="str">
        <f t="shared" si="233"/>
        <v/>
      </c>
      <c r="C351" s="3838" t="str">
        <f t="shared" si="234"/>
        <v/>
      </c>
      <c r="D351" s="3840" t="str">
        <f>IF(C351="","",VLOOKUP(C351,ProjectEnergyTypeTable,3,FALSE))</f>
        <v/>
      </c>
      <c r="E351" s="1313">
        <f t="shared" si="235"/>
        <v>0</v>
      </c>
      <c r="F351" s="1313" t="str">
        <f t="shared" si="236"/>
        <v/>
      </c>
      <c r="G351" s="2410">
        <f t="shared" si="237"/>
        <v>0</v>
      </c>
      <c r="H351" s="1313" t="str">
        <f t="shared" si="245"/>
        <v/>
      </c>
      <c r="I351" s="2413">
        <f t="shared" si="238"/>
        <v>0</v>
      </c>
      <c r="J351" s="1313" t="str">
        <f t="shared" si="239"/>
        <v/>
      </c>
      <c r="K351" s="2410">
        <f t="shared" si="240"/>
        <v>0</v>
      </c>
      <c r="L351" s="1313" t="str">
        <f t="shared" si="246"/>
        <v/>
      </c>
      <c r="M351" s="2415" t="str">
        <f t="shared" si="241"/>
        <v/>
      </c>
      <c r="N351" s="1852" t="str">
        <f t="shared" si="241"/>
        <v/>
      </c>
      <c r="O351" s="2438" t="str">
        <f t="shared" si="241"/>
        <v/>
      </c>
      <c r="P351" s="2968" t="str">
        <f t="shared" si="241"/>
        <v/>
      </c>
      <c r="Q351" s="2599"/>
      <c r="T351" s="416" t="str">
        <f t="shared" si="242"/>
        <v/>
      </c>
      <c r="U351" s="416" t="str">
        <f t="shared" si="243"/>
        <v/>
      </c>
      <c r="X351" s="2406" t="str">
        <f t="shared" si="244"/>
        <v/>
      </c>
      <c r="AK351" s="263"/>
      <c r="AL351" s="263"/>
      <c r="AM351" s="253"/>
      <c r="AO351" s="270"/>
      <c r="AP351" s="271"/>
      <c r="AU351" s="254"/>
      <c r="BD351" s="2154"/>
      <c r="BF351" s="2612"/>
    </row>
    <row r="352" spans="1:58" ht="15" customHeight="1" thickBot="1" x14ac:dyDescent="0.3">
      <c r="A352" s="409" t="s">
        <v>1038</v>
      </c>
      <c r="B352" s="1311" t="str">
        <f t="shared" si="233"/>
        <v/>
      </c>
      <c r="C352" s="3838" t="str">
        <f t="shared" si="234"/>
        <v/>
      </c>
      <c r="D352" s="3840" t="str">
        <f>IF(C352="","",VLOOKUP(C352,ProjectEnergyTypeTable,3,FALSE))</f>
        <v/>
      </c>
      <c r="E352" s="1313">
        <f t="shared" si="235"/>
        <v>0</v>
      </c>
      <c r="F352" s="1313" t="str">
        <f t="shared" si="236"/>
        <v/>
      </c>
      <c r="G352" s="2410">
        <f t="shared" si="237"/>
        <v>0</v>
      </c>
      <c r="H352" s="1313" t="str">
        <f t="shared" si="245"/>
        <v/>
      </c>
      <c r="I352" s="2413">
        <f t="shared" si="238"/>
        <v>0</v>
      </c>
      <c r="J352" s="1313" t="str">
        <f t="shared" si="239"/>
        <v/>
      </c>
      <c r="K352" s="2410">
        <f t="shared" si="240"/>
        <v>0</v>
      </c>
      <c r="L352" s="1313" t="str">
        <f t="shared" si="246"/>
        <v/>
      </c>
      <c r="M352" s="2415" t="str">
        <f t="shared" si="241"/>
        <v/>
      </c>
      <c r="N352" s="1852" t="str">
        <f t="shared" si="241"/>
        <v/>
      </c>
      <c r="O352" s="2438" t="str">
        <f t="shared" si="241"/>
        <v/>
      </c>
      <c r="P352" s="2968" t="str">
        <f t="shared" si="241"/>
        <v/>
      </c>
      <c r="Q352" s="2599"/>
      <c r="T352" s="416" t="str">
        <f t="shared" si="242"/>
        <v/>
      </c>
      <c r="U352" s="416" t="str">
        <f t="shared" si="243"/>
        <v/>
      </c>
      <c r="X352" s="2407" t="str">
        <f t="shared" si="244"/>
        <v/>
      </c>
      <c r="AK352" s="263"/>
      <c r="AL352" s="263"/>
      <c r="AM352" s="253"/>
      <c r="AO352" s="270"/>
      <c r="AP352" s="271"/>
      <c r="AU352" s="254"/>
      <c r="BD352" s="2154"/>
      <c r="BF352" s="2612"/>
    </row>
    <row r="353" spans="1:58" s="245" customFormat="1" ht="21" customHeight="1" x14ac:dyDescent="0.25">
      <c r="A353" s="409" t="s">
        <v>1038</v>
      </c>
      <c r="B353" s="3817" t="str">
        <f>"Energy Model Subtotal (" &amp; PO_SiteUnits &amp; ")"</f>
        <v>Energy Model Subtotal (kWh)</v>
      </c>
      <c r="C353" s="3817"/>
      <c r="D353" s="3817"/>
      <c r="E353" s="1310">
        <f>IFERROR(SUMPRODUCT(INDEX(PO_Enrgy_10_Table,0,MATCH(E$346,PO_Enrgy_10_Hdr,0)),INDEX(PO_Enrgy_10_Table,0,MATCH($T$346,PO_Enrgy_10_Hdr,0))),"")</f>
        <v>0</v>
      </c>
      <c r="F353" s="1310">
        <f>IFERROR(SUM(INDEX(PO_Enrgy_10_Table,0,MATCH(F$346,PO_Enrgy_10_Hdr,0))),"")</f>
        <v>0</v>
      </c>
      <c r="G353" s="2410">
        <f>IFERROR(SUM(INDEX(PO_Enrgy_10_Table,0,MATCH(G$346,PO_Enrgy_10_Hdr,0))),"")</f>
        <v>0</v>
      </c>
      <c r="H353" s="1313">
        <f>SUM(H347:H352)</f>
        <v>0</v>
      </c>
      <c r="I353" s="2447">
        <f>IFERROR(SUMPRODUCT(INDEX(PO_Enrgy_10_Table,0,MATCH(I$346,PO_Enrgy_10_Hdr,0)),INDEX(PO_Enrgy_10_Table,0,MATCH($T$346,PO_Enrgy_10_Hdr,0))),"")</f>
        <v>0</v>
      </c>
      <c r="J353" s="1310">
        <f>IFERROR(SUM(INDEX(PO_Enrgy_10_Table,0,MATCH(J$346,PO_Enrgy_10_Hdr,0))),"")</f>
        <v>0</v>
      </c>
      <c r="K353" s="2410">
        <f>IFERROR(SUM(INDEX(PO_Enrgy_10_Table,0,MATCH(K$346,PO_Enrgy_10_Hdr,0))),"")</f>
        <v>0</v>
      </c>
      <c r="L353" s="1313">
        <f>SUM(L347:L352)</f>
        <v>0</v>
      </c>
      <c r="M353" s="2416" t="str">
        <f t="shared" si="241"/>
        <v/>
      </c>
      <c r="N353" s="1852" t="str">
        <f t="shared" si="241"/>
        <v/>
      </c>
      <c r="O353" s="2439" t="str">
        <f t="shared" si="241"/>
        <v/>
      </c>
      <c r="P353" s="1671" t="str">
        <f t="shared" si="241"/>
        <v/>
      </c>
      <c r="Q353" s="2467"/>
      <c r="R353" s="235"/>
      <c r="S353" s="235"/>
      <c r="AM353" s="2"/>
      <c r="AO353" s="270"/>
      <c r="AP353" s="271"/>
      <c r="BD353" s="2154"/>
      <c r="BE353" s="235"/>
      <c r="BF353" s="2612"/>
    </row>
    <row r="354" spans="1:58" s="245" customFormat="1" ht="33" customHeight="1" x14ac:dyDescent="0.25">
      <c r="A354" s="409" t="s">
        <v>1038</v>
      </c>
      <c r="B354" s="3214"/>
      <c r="C354" s="3214"/>
      <c r="D354" s="3214"/>
      <c r="E354" s="545"/>
      <c r="F354" s="546"/>
      <c r="G354" s="545"/>
      <c r="H354" s="545"/>
      <c r="I354" s="545"/>
      <c r="J354" s="235"/>
      <c r="K354" s="232"/>
      <c r="L354" s="232"/>
      <c r="M354" s="293"/>
      <c r="N354" s="235"/>
      <c r="O354" s="235"/>
      <c r="P354" s="235"/>
      <c r="Q354" s="235"/>
      <c r="AK354" s="2"/>
      <c r="AM354" s="270"/>
      <c r="AN354" s="271"/>
      <c r="BD354" s="2155"/>
      <c r="BE354" s="235"/>
      <c r="BF354" s="235"/>
    </row>
    <row r="355" spans="1:58" ht="21.75" customHeight="1" x14ac:dyDescent="0.25">
      <c r="A355" s="409" t="s">
        <v>1038</v>
      </c>
      <c r="B355" s="310" t="s">
        <v>908</v>
      </c>
      <c r="AM355" s="289"/>
      <c r="AN355" s="290"/>
    </row>
    <row r="356" spans="1:58" s="245" customFormat="1" ht="76.5" customHeight="1" x14ac:dyDescent="0.25">
      <c r="A356" s="409" t="s">
        <v>1038</v>
      </c>
      <c r="B356" s="3201" t="str">
        <f>CONCATENATE("Startup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 Also upload simulation outputs and performance rating method calculations with and without the exceptional calculation methods for both Startup IT Loads, and the full buildout IT loads.","
",IF(DESPath=3," Note: The calculations using DES Path 3 must be performed manually for the Startup IT Load method, and supplemental documentation uploaded for the project must show these calculations.",""))</f>
        <v xml:space="preserv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Also upload simulation outputs and performance rating method calculations with and without the exceptional calculation methods for both Startup IT Loads, and the full buildout IT loads.
</v>
      </c>
      <c r="C356" s="3201"/>
      <c r="D356" s="3201"/>
      <c r="E356" s="3201"/>
      <c r="F356" s="3201"/>
      <c r="G356" s="3201"/>
      <c r="H356" s="3201"/>
      <c r="I356" s="3201"/>
      <c r="J356" s="3201"/>
      <c r="K356" s="3201"/>
      <c r="L356" s="3201"/>
      <c r="M356" s="3201"/>
      <c r="N356" s="235"/>
      <c r="O356" s="235"/>
      <c r="P356" s="235"/>
      <c r="Q356" s="235"/>
      <c r="AM356" s="270"/>
      <c r="AN356" s="271"/>
      <c r="BD356" s="2155"/>
      <c r="BE356" s="235"/>
      <c r="BF356" s="235"/>
    </row>
    <row r="357" spans="1:58" ht="21.75" customHeight="1" x14ac:dyDescent="0.25">
      <c r="A357" s="409" t="s">
        <v>1038</v>
      </c>
      <c r="B357" s="583" t="s">
        <v>1043</v>
      </c>
      <c r="AM357" s="289"/>
      <c r="AN357" s="290"/>
    </row>
    <row r="358" spans="1:58" ht="32.25" customHeight="1" x14ac:dyDescent="0.25">
      <c r="A358" s="409" t="s">
        <v>1038</v>
      </c>
      <c r="B358" s="3357" t="s">
        <v>354</v>
      </c>
      <c r="C358" s="3395" t="s">
        <v>1436</v>
      </c>
      <c r="D358" s="3842"/>
      <c r="E358" s="3393" t="s">
        <v>1017</v>
      </c>
      <c r="F358" s="3831"/>
      <c r="G358" s="3831"/>
      <c r="H358" s="3832"/>
      <c r="I358" s="3828" t="s">
        <v>941</v>
      </c>
      <c r="J358" s="3829"/>
      <c r="K358" s="3829"/>
      <c r="L358" s="3830"/>
      <c r="M358" s="3828" t="s">
        <v>358</v>
      </c>
      <c r="N358" s="3829"/>
      <c r="O358" s="3829"/>
      <c r="P358" s="3830"/>
      <c r="Q358" s="334"/>
      <c r="AM358" s="2"/>
      <c r="AO358" s="267"/>
      <c r="AP358" s="268"/>
      <c r="BD358" s="235"/>
      <c r="BF358" s="261"/>
    </row>
    <row r="359" spans="1:58" ht="48" customHeight="1" thickBot="1" x14ac:dyDescent="0.3">
      <c r="A359" s="409" t="s">
        <v>1038</v>
      </c>
      <c r="B359" s="3842"/>
      <c r="C359" s="3842"/>
      <c r="D359" s="3842"/>
      <c r="E359" s="1670" t="s">
        <v>902</v>
      </c>
      <c r="F359" s="780" t="str">
        <f>"Source Energy Use ("  &amp; PO_SourceUnits &amp; ")"</f>
        <v>Source Energy Use (kWh)</v>
      </c>
      <c r="G359" s="1881" t="s">
        <v>356</v>
      </c>
      <c r="H359" s="1670" t="s">
        <v>3205</v>
      </c>
      <c r="I359" s="2359" t="s">
        <v>902</v>
      </c>
      <c r="J359" s="780" t="str">
        <f>"Source Energy Use ("  &amp; PO_SourceUnits &amp; ")"</f>
        <v>Source Energy Use (kWh)</v>
      </c>
      <c r="K359" s="1881" t="s">
        <v>356</v>
      </c>
      <c r="L359" s="1670" t="s">
        <v>3205</v>
      </c>
      <c r="M359" s="2359" t="s">
        <v>2584</v>
      </c>
      <c r="N359" s="1670" t="s">
        <v>2585</v>
      </c>
      <c r="O359" s="1881" t="s">
        <v>356</v>
      </c>
      <c r="P359" s="1670" t="s">
        <v>3210</v>
      </c>
      <c r="Q359" s="334"/>
      <c r="R359" s="334"/>
      <c r="S359" s="334"/>
      <c r="AM359" s="2"/>
      <c r="BD359" s="1358" t="s">
        <v>1635</v>
      </c>
      <c r="BF359" s="261"/>
    </row>
    <row r="360" spans="1:58" s="446" customFormat="1" ht="14.4" hidden="1" thickBot="1" x14ac:dyDescent="0.3">
      <c r="A360" s="409" t="s">
        <v>1038</v>
      </c>
      <c r="B360" s="1454" t="s">
        <v>1396</v>
      </c>
      <c r="C360" s="1532" t="s">
        <v>1424</v>
      </c>
      <c r="D360" s="1454"/>
      <c r="E360" s="1452" t="s">
        <v>1452</v>
      </c>
      <c r="F360" s="1454" t="s">
        <v>1453</v>
      </c>
      <c r="G360" s="2408" t="s">
        <v>1454</v>
      </c>
      <c r="H360" s="1452" t="s">
        <v>3208</v>
      </c>
      <c r="I360" s="2411" t="s">
        <v>1437</v>
      </c>
      <c r="J360" s="1454" t="s">
        <v>1438</v>
      </c>
      <c r="K360" s="2408" t="s">
        <v>1439</v>
      </c>
      <c r="L360" s="1452" t="s">
        <v>3209</v>
      </c>
      <c r="M360" s="2411" t="s">
        <v>1455</v>
      </c>
      <c r="N360" s="1532"/>
      <c r="O360" s="2408" t="s">
        <v>1441</v>
      </c>
      <c r="P360" s="1452"/>
      <c r="Q360" s="463"/>
      <c r="R360" s="463"/>
      <c r="S360" s="463"/>
      <c r="T360" s="415" t="s">
        <v>1407</v>
      </c>
      <c r="U360" s="415" t="s">
        <v>1408</v>
      </c>
      <c r="AM360" s="447"/>
      <c r="BD360" s="2161"/>
      <c r="BF360" s="2162"/>
    </row>
    <row r="361" spans="1:58" ht="15" customHeight="1" x14ac:dyDescent="0.25">
      <c r="A361" s="409" t="s">
        <v>1038</v>
      </c>
      <c r="B361" s="1311" t="str">
        <f t="shared" ref="B361:B366" si="247">IFERROR(IF(ISBLANK(B17),"",B17),"")</f>
        <v/>
      </c>
      <c r="C361" s="3838" t="str">
        <f t="shared" ref="C361:C366" si="248">IFERROR(IF(ISBLANK($B361),"",VLOOKUP($B361,PO_Enrgy_1_Table,MATCH($C$16,PO_Enrgy_1_Hdr,0),FALSE) ),"")</f>
        <v/>
      </c>
      <c r="D361" s="3840" t="str">
        <f>IF(C361="","",VLOOKUP(C361,ProjectEnergyTypeTable,3,FALSE))</f>
        <v/>
      </c>
      <c r="E361" s="1322"/>
      <c r="F361" s="1323" t="str">
        <f>IFERROR(E361*$T361,"")</f>
        <v/>
      </c>
      <c r="G361" s="2814"/>
      <c r="H361" s="1309" t="str">
        <f>IFERROR(E361*X361,"")</f>
        <v/>
      </c>
      <c r="I361" s="2815"/>
      <c r="J361" s="1323" t="str">
        <f t="shared" ref="J361:J366" si="249">IFERROR(I361*$T361,"")</f>
        <v/>
      </c>
      <c r="K361" s="2814"/>
      <c r="L361" s="1309" t="str">
        <f>IFERROR(I361*X361,"")</f>
        <v/>
      </c>
      <c r="M361" s="2415" t="str">
        <f>IFERROR(1-I361/E361,"")</f>
        <v/>
      </c>
      <c r="N361" s="1852" t="str">
        <f>IFERROR(1-J361/F361,"")</f>
        <v/>
      </c>
      <c r="O361" s="2438" t="str">
        <f>IFERROR(1-K361/G361,"")</f>
        <v/>
      </c>
      <c r="P361" s="2968" t="str">
        <f>IFERROR(1-L361/H361,"")</f>
        <v/>
      </c>
      <c r="Q361" s="2599"/>
      <c r="T361" s="416" t="str">
        <f t="shared" ref="T361:T366" si="250">IFERROR(IF(ISBLANK($B361),"",VLOOKUP($B361,PO_Enrgy_1_Table,MATCH($K$16,PO_Enrgy_1_Hdr,0),FALSE)),"")</f>
        <v/>
      </c>
      <c r="U361" s="416" t="str">
        <f t="shared" ref="U361:U366" si="251">IFERROR(IF(ISBLANK($B361),"",VLOOKUP($B361,PO_Enrgy_1_Table,MATCH($M$16,PO_Enrgy_1_Hdr,0),FALSE)),"")</f>
        <v/>
      </c>
      <c r="X361" s="2405" t="str">
        <f t="shared" ref="X361:X366" si="252">IFERROR(VLOOKUP(B361,PO_Enrgy_1_Table,MATCH($T$16,PO_Enrgy_1_Hdr,0),0),"")</f>
        <v/>
      </c>
      <c r="AK361" s="263"/>
      <c r="AL361" s="263"/>
      <c r="AM361" s="2"/>
      <c r="AO361" s="267"/>
      <c r="AP361" s="268"/>
      <c r="AQ361" s="269"/>
      <c r="BD361" s="2154"/>
      <c r="BF361" s="261"/>
    </row>
    <row r="362" spans="1:58" ht="15" customHeight="1" x14ac:dyDescent="0.25">
      <c r="A362" s="409" t="s">
        <v>1038</v>
      </c>
      <c r="B362" s="1311" t="str">
        <f t="shared" si="247"/>
        <v/>
      </c>
      <c r="C362" s="3838" t="str">
        <f t="shared" si="248"/>
        <v/>
      </c>
      <c r="D362" s="3840" t="str">
        <f>IF(C362="","",VLOOKUP(C362,ProjectEnergyTypeTable,3,FALSE))</f>
        <v/>
      </c>
      <c r="E362" s="1322"/>
      <c r="F362" s="1323" t="str">
        <f t="shared" ref="F362:F366" si="253">IFERROR(E362*$T362,"")</f>
        <v/>
      </c>
      <c r="G362" s="2814"/>
      <c r="H362" s="1309" t="str">
        <f t="shared" ref="H362:H366" si="254">IFERROR(E362*X362,"")</f>
        <v/>
      </c>
      <c r="I362" s="2815"/>
      <c r="J362" s="1323" t="str">
        <f t="shared" si="249"/>
        <v/>
      </c>
      <c r="K362" s="2814"/>
      <c r="L362" s="1309" t="str">
        <f t="shared" ref="L362:L366" si="255">IFERROR(I362*X362,"")</f>
        <v/>
      </c>
      <c r="M362" s="2415" t="str">
        <f t="shared" ref="M362:O367" si="256">IFERROR(1-I362/E362,"")</f>
        <v/>
      </c>
      <c r="N362" s="1852" t="str">
        <f t="shared" si="256"/>
        <v/>
      </c>
      <c r="O362" s="2438" t="str">
        <f t="shared" si="256"/>
        <v/>
      </c>
      <c r="P362" s="2968" t="str">
        <f t="shared" ref="P362:P366" si="257">IFERROR(1-L362/H362,"")</f>
        <v/>
      </c>
      <c r="Q362" s="2599"/>
      <c r="T362" s="416" t="str">
        <f t="shared" si="250"/>
        <v/>
      </c>
      <c r="U362" s="416" t="str">
        <f t="shared" si="251"/>
        <v/>
      </c>
      <c r="X362" s="2406" t="str">
        <f t="shared" si="252"/>
        <v/>
      </c>
      <c r="AK362" s="263"/>
      <c r="AL362" s="263"/>
      <c r="AM362" s="2"/>
      <c r="AO362" s="267"/>
      <c r="AP362" s="268"/>
      <c r="AQ362" s="269"/>
      <c r="BD362" s="2154"/>
      <c r="BF362" s="261"/>
    </row>
    <row r="363" spans="1:58" ht="15" customHeight="1" x14ac:dyDescent="0.25">
      <c r="A363" s="409" t="s">
        <v>1038</v>
      </c>
      <c r="B363" s="1311" t="str">
        <f t="shared" si="247"/>
        <v/>
      </c>
      <c r="C363" s="3838" t="str">
        <f t="shared" si="248"/>
        <v/>
      </c>
      <c r="D363" s="3840" t="str">
        <f>IF(C363="","",VLOOKUP(C363,ProjectEnergyTypeTable,3,FALSE))</f>
        <v/>
      </c>
      <c r="E363" s="1322"/>
      <c r="F363" s="1323" t="str">
        <f t="shared" si="253"/>
        <v/>
      </c>
      <c r="G363" s="2814"/>
      <c r="H363" s="1309" t="str">
        <f t="shared" si="254"/>
        <v/>
      </c>
      <c r="I363" s="2815"/>
      <c r="J363" s="1323" t="str">
        <f t="shared" si="249"/>
        <v/>
      </c>
      <c r="K363" s="2814"/>
      <c r="L363" s="1309" t="str">
        <f t="shared" si="255"/>
        <v/>
      </c>
      <c r="M363" s="2415" t="str">
        <f t="shared" si="256"/>
        <v/>
      </c>
      <c r="N363" s="1852" t="str">
        <f t="shared" si="256"/>
        <v/>
      </c>
      <c r="O363" s="2438" t="str">
        <f t="shared" si="256"/>
        <v/>
      </c>
      <c r="P363" s="2968" t="str">
        <f t="shared" si="257"/>
        <v/>
      </c>
      <c r="Q363" s="2599"/>
      <c r="T363" s="416" t="str">
        <f t="shared" si="250"/>
        <v/>
      </c>
      <c r="U363" s="416" t="str">
        <f t="shared" si="251"/>
        <v/>
      </c>
      <c r="X363" s="2406" t="str">
        <f t="shared" si="252"/>
        <v/>
      </c>
      <c r="AK363" s="263"/>
      <c r="AL363" s="263"/>
      <c r="AM363" s="2"/>
      <c r="AO363" s="267"/>
      <c r="AP363" s="268"/>
      <c r="AQ363" s="269"/>
      <c r="BD363" s="2154"/>
      <c r="BF363" s="261"/>
    </row>
    <row r="364" spans="1:58" ht="15" customHeight="1" x14ac:dyDescent="0.25">
      <c r="A364" s="409" t="s">
        <v>1038</v>
      </c>
      <c r="B364" s="1311" t="str">
        <f t="shared" si="247"/>
        <v/>
      </c>
      <c r="C364" s="3838" t="str">
        <f t="shared" si="248"/>
        <v/>
      </c>
      <c r="D364" s="3840" t="str">
        <f>IF(C364="","",VLOOKUP(C364,ProjectEnergyTypeTable,3,FALSE))</f>
        <v/>
      </c>
      <c r="E364" s="1322"/>
      <c r="F364" s="1323" t="str">
        <f t="shared" si="253"/>
        <v/>
      </c>
      <c r="G364" s="2814"/>
      <c r="H364" s="1309" t="str">
        <f t="shared" si="254"/>
        <v/>
      </c>
      <c r="I364" s="2815"/>
      <c r="J364" s="1323" t="str">
        <f t="shared" si="249"/>
        <v/>
      </c>
      <c r="K364" s="2814"/>
      <c r="L364" s="1309" t="str">
        <f t="shared" si="255"/>
        <v/>
      </c>
      <c r="M364" s="2415" t="str">
        <f t="shared" si="256"/>
        <v/>
      </c>
      <c r="N364" s="1852" t="str">
        <f t="shared" si="256"/>
        <v/>
      </c>
      <c r="O364" s="2438" t="str">
        <f t="shared" si="256"/>
        <v/>
      </c>
      <c r="P364" s="2968" t="str">
        <f t="shared" si="257"/>
        <v/>
      </c>
      <c r="Q364" s="2599"/>
      <c r="T364" s="416" t="str">
        <f t="shared" si="250"/>
        <v/>
      </c>
      <c r="U364" s="416" t="str">
        <f t="shared" si="251"/>
        <v/>
      </c>
      <c r="X364" s="2406" t="str">
        <f t="shared" si="252"/>
        <v/>
      </c>
      <c r="AK364" s="263"/>
      <c r="AL364" s="263"/>
      <c r="AM364" s="2"/>
      <c r="AO364" s="267"/>
      <c r="AP364" s="268"/>
      <c r="AQ364" s="269"/>
      <c r="BD364" s="2154"/>
      <c r="BF364" s="261"/>
    </row>
    <row r="365" spans="1:58" ht="15" customHeight="1" x14ac:dyDescent="0.25">
      <c r="A365" s="409" t="s">
        <v>1038</v>
      </c>
      <c r="B365" s="1311" t="str">
        <f t="shared" si="247"/>
        <v/>
      </c>
      <c r="C365" s="3838" t="str">
        <f t="shared" si="248"/>
        <v/>
      </c>
      <c r="D365" s="3840" t="str">
        <f>IF(C365="","",VLOOKUP(C365,ProjectEnergyTypeTable,3,FALSE))</f>
        <v/>
      </c>
      <c r="E365" s="1322"/>
      <c r="F365" s="1323" t="str">
        <f t="shared" si="253"/>
        <v/>
      </c>
      <c r="G365" s="2814"/>
      <c r="H365" s="1309" t="str">
        <f t="shared" si="254"/>
        <v/>
      </c>
      <c r="I365" s="2815"/>
      <c r="J365" s="1323" t="str">
        <f t="shared" si="249"/>
        <v/>
      </c>
      <c r="K365" s="2814"/>
      <c r="L365" s="1309" t="str">
        <f t="shared" si="255"/>
        <v/>
      </c>
      <c r="M365" s="2415" t="str">
        <f t="shared" si="256"/>
        <v/>
      </c>
      <c r="N365" s="1852" t="str">
        <f t="shared" si="256"/>
        <v/>
      </c>
      <c r="O365" s="2438" t="str">
        <f t="shared" si="256"/>
        <v/>
      </c>
      <c r="P365" s="2968" t="str">
        <f t="shared" si="257"/>
        <v/>
      </c>
      <c r="Q365" s="2599"/>
      <c r="T365" s="416" t="str">
        <f t="shared" si="250"/>
        <v/>
      </c>
      <c r="U365" s="416" t="str">
        <f t="shared" si="251"/>
        <v/>
      </c>
      <c r="X365" s="2406" t="str">
        <f t="shared" si="252"/>
        <v/>
      </c>
      <c r="AK365" s="263"/>
      <c r="AL365" s="263"/>
      <c r="AM365" s="2"/>
      <c r="AO365" s="267"/>
      <c r="AP365" s="268"/>
      <c r="AQ365" s="269"/>
      <c r="BD365" s="2154"/>
      <c r="BF365" s="261"/>
    </row>
    <row r="366" spans="1:58" ht="15" customHeight="1" thickBot="1" x14ac:dyDescent="0.3">
      <c r="A366" s="409" t="s">
        <v>1038</v>
      </c>
      <c r="B366" s="2440" t="str">
        <f t="shared" si="247"/>
        <v/>
      </c>
      <c r="C366" s="3843" t="str">
        <f t="shared" si="248"/>
        <v/>
      </c>
      <c r="D366" s="3844" t="str">
        <f>IF(C366="","",VLOOKUP(C366,ProjectEnergyTypeTable,3,FALSE))</f>
        <v/>
      </c>
      <c r="E366" s="1322"/>
      <c r="F366" s="1323" t="str">
        <f t="shared" si="253"/>
        <v/>
      </c>
      <c r="G366" s="2814"/>
      <c r="H366" s="1309" t="str">
        <f t="shared" si="254"/>
        <v/>
      </c>
      <c r="I366" s="2815"/>
      <c r="J366" s="1323" t="str">
        <f t="shared" si="249"/>
        <v/>
      </c>
      <c r="K366" s="2814"/>
      <c r="L366" s="1309" t="str">
        <f t="shared" si="255"/>
        <v/>
      </c>
      <c r="M366" s="2415" t="str">
        <f t="shared" si="256"/>
        <v/>
      </c>
      <c r="N366" s="1852" t="str">
        <f t="shared" si="256"/>
        <v/>
      </c>
      <c r="O366" s="2438" t="str">
        <f t="shared" si="256"/>
        <v/>
      </c>
      <c r="P366" s="2968" t="str">
        <f t="shared" si="257"/>
        <v/>
      </c>
      <c r="Q366" s="2599"/>
      <c r="T366" s="416" t="str">
        <f t="shared" si="250"/>
        <v/>
      </c>
      <c r="U366" s="416" t="str">
        <f t="shared" si="251"/>
        <v/>
      </c>
      <c r="X366" s="2407" t="str">
        <f t="shared" si="252"/>
        <v/>
      </c>
      <c r="AK366" s="263"/>
      <c r="AL366" s="263"/>
      <c r="AM366" s="2"/>
      <c r="AO366" s="267"/>
      <c r="AP366" s="268"/>
      <c r="AQ366" s="269"/>
      <c r="BD366" s="2154"/>
      <c r="BF366" s="261"/>
    </row>
    <row r="367" spans="1:58" s="245" customFormat="1" ht="21" customHeight="1" x14ac:dyDescent="0.25">
      <c r="A367" s="409" t="s">
        <v>1038</v>
      </c>
      <c r="B367" s="3841" t="str">
        <f>"Energy Model Subtotal"</f>
        <v>Energy Model Subtotal</v>
      </c>
      <c r="C367" s="3841"/>
      <c r="D367" s="3841"/>
      <c r="E367" s="2413">
        <f>IFERROR(SUMPRODUCT(INDEX(PO_Enrgy_11_Table,0,MATCH(E$360,PO_Enrgy_11_Hdr,0)),INDEX(PO_Enrgy_11_Table,0,MATCH($T$360,PO_Enrgy_11_Hdr,0))),"")</f>
        <v>0</v>
      </c>
      <c r="F367" s="1316">
        <f>IFERROR(SUM(INDEX(PO_Enrgy_11_Table,0,MATCH(F$360,PO_Enrgy_11_Hdr,0))),"")</f>
        <v>0</v>
      </c>
      <c r="G367" s="2410">
        <f>IFERROR(SUM(INDEX(PO_Enrgy_11_Table,0,MATCH(G$360,PO_Enrgy_11_Hdr,0))),"")</f>
        <v>0</v>
      </c>
      <c r="H367" s="1309">
        <f>SUM(H361:H366)</f>
        <v>0</v>
      </c>
      <c r="I367" s="2413">
        <f>IFERROR(SUMPRODUCT(INDEX(PO_Enrgy_11_Table,0,MATCH(I$360,PO_Enrgy_11_Hdr,0)),INDEX(PO_Enrgy_11_Table,0,MATCH($T$360,PO_Enrgy_11_Hdr,0))),"")</f>
        <v>0</v>
      </c>
      <c r="J367" s="1316">
        <f>IFERROR(SUM(INDEX(PO_Enrgy_11_Table,0,MATCH(J$360,PO_Enrgy_11_Hdr,0))),"")</f>
        <v>0</v>
      </c>
      <c r="K367" s="2410">
        <f>IFERROR(SUM(INDEX(PO_Enrgy_11_Table,0,MATCH(K$360,PO_Enrgy_11_Hdr,0))),"")</f>
        <v>0</v>
      </c>
      <c r="L367" s="1309">
        <f>SUM(L361:L366)</f>
        <v>0</v>
      </c>
      <c r="M367" s="2416" t="str">
        <f t="shared" si="256"/>
        <v/>
      </c>
      <c r="N367" s="1852" t="str">
        <f t="shared" si="256"/>
        <v/>
      </c>
      <c r="O367" s="2439" t="str">
        <f t="shared" si="256"/>
        <v/>
      </c>
      <c r="P367" s="1671" t="str">
        <f>IFERROR(1-L367/H367,"")</f>
        <v/>
      </c>
      <c r="Q367" s="2467"/>
      <c r="R367" s="235"/>
      <c r="S367" s="235"/>
      <c r="AM367" s="2"/>
      <c r="AO367" s="267"/>
      <c r="AP367" s="268"/>
      <c r="BD367" s="2154"/>
      <c r="BE367" s="235"/>
      <c r="BF367" s="261"/>
    </row>
    <row r="368" spans="1:58" s="245" customFormat="1" ht="21.75" customHeight="1" x14ac:dyDescent="0.25">
      <c r="A368" s="409" t="s">
        <v>1038</v>
      </c>
      <c r="B368" s="3203"/>
      <c r="C368" s="3204"/>
      <c r="D368" s="3204"/>
      <c r="E368" s="3204"/>
      <c r="F368" s="3204"/>
      <c r="G368" s="3204"/>
      <c r="H368" s="3204"/>
      <c r="I368" s="3204"/>
      <c r="J368" s="3204"/>
      <c r="K368" s="3204"/>
      <c r="L368" s="3204"/>
      <c r="M368" s="332"/>
      <c r="N368" s="235"/>
      <c r="O368" s="235"/>
      <c r="P368" s="235"/>
      <c r="Q368" s="235"/>
      <c r="AM368" s="270"/>
      <c r="AN368" s="271"/>
      <c r="BD368" s="2155"/>
      <c r="BE368" s="235"/>
      <c r="BF368" s="235"/>
    </row>
    <row r="369" spans="1:58" ht="19.5" customHeight="1" x14ac:dyDescent="0.25">
      <c r="A369" s="409" t="s">
        <v>1038</v>
      </c>
      <c r="B369" s="583" t="s">
        <v>1044</v>
      </c>
      <c r="AM369" s="289"/>
      <c r="AN369" s="290"/>
    </row>
    <row r="370" spans="1:58" ht="32.25" customHeight="1" x14ac:dyDescent="0.25">
      <c r="A370" s="409" t="s">
        <v>1038</v>
      </c>
      <c r="B370" s="3357" t="s">
        <v>354</v>
      </c>
      <c r="C370" s="3395" t="s">
        <v>1436</v>
      </c>
      <c r="D370" s="3842"/>
      <c r="E370" s="3393" t="s">
        <v>1017</v>
      </c>
      <c r="F370" s="3831"/>
      <c r="G370" s="3831"/>
      <c r="H370" s="3832"/>
      <c r="I370" s="3828" t="s">
        <v>941</v>
      </c>
      <c r="J370" s="3829"/>
      <c r="K370" s="3829"/>
      <c r="L370" s="3830"/>
      <c r="M370" s="3828" t="s">
        <v>358</v>
      </c>
      <c r="N370" s="3829"/>
      <c r="O370" s="3829"/>
      <c r="P370" s="3830"/>
      <c r="Q370" s="334"/>
      <c r="AM370" s="2"/>
      <c r="AO370" s="267"/>
      <c r="AP370" s="268"/>
      <c r="BD370" s="235"/>
      <c r="BF370" s="261"/>
    </row>
    <row r="371" spans="1:58" ht="48" customHeight="1" thickBot="1" x14ac:dyDescent="0.3">
      <c r="A371" s="409" t="s">
        <v>1038</v>
      </c>
      <c r="B371" s="3842"/>
      <c r="C371" s="3842"/>
      <c r="D371" s="3842"/>
      <c r="E371" s="1670" t="s">
        <v>902</v>
      </c>
      <c r="F371" s="780" t="str">
        <f>"Source Energy Use ("  &amp; PO_SourceUnits &amp; ")"</f>
        <v>Source Energy Use (kWh)</v>
      </c>
      <c r="G371" s="1881" t="s">
        <v>356</v>
      </c>
      <c r="H371" s="1670" t="s">
        <v>3205</v>
      </c>
      <c r="I371" s="2359" t="s">
        <v>902</v>
      </c>
      <c r="J371" s="780" t="str">
        <f>"Source Energy Use ("  &amp; PO_SourceUnits &amp; ")"</f>
        <v>Source Energy Use (kWh)</v>
      </c>
      <c r="K371" s="1881" t="s">
        <v>356</v>
      </c>
      <c r="L371" s="1670" t="s">
        <v>3205</v>
      </c>
      <c r="M371" s="2359" t="s">
        <v>2584</v>
      </c>
      <c r="N371" s="1670" t="s">
        <v>2585</v>
      </c>
      <c r="O371" s="1881" t="s">
        <v>356</v>
      </c>
      <c r="P371" s="1670" t="s">
        <v>3210</v>
      </c>
      <c r="Q371" s="334"/>
      <c r="R371" s="334"/>
      <c r="S371" s="334"/>
      <c r="AM371" s="2"/>
      <c r="BD371" s="1358" t="s">
        <v>1635</v>
      </c>
      <c r="BF371" s="261"/>
    </row>
    <row r="372" spans="1:58" s="446" customFormat="1" ht="14.4" hidden="1" thickBot="1" x14ac:dyDescent="0.3">
      <c r="A372" s="409" t="s">
        <v>1038</v>
      </c>
      <c r="B372" s="1454" t="s">
        <v>1396</v>
      </c>
      <c r="C372" s="1532" t="s">
        <v>1424</v>
      </c>
      <c r="D372" s="1454"/>
      <c r="E372" s="1452" t="s">
        <v>1452</v>
      </c>
      <c r="F372" s="1454" t="s">
        <v>1453</v>
      </c>
      <c r="G372" s="2408" t="s">
        <v>1454</v>
      </c>
      <c r="H372" s="1452" t="s">
        <v>3208</v>
      </c>
      <c r="I372" s="2411" t="s">
        <v>1437</v>
      </c>
      <c r="J372" s="1454" t="s">
        <v>1438</v>
      </c>
      <c r="K372" s="2408" t="s">
        <v>1439</v>
      </c>
      <c r="L372" s="1452" t="s">
        <v>3209</v>
      </c>
      <c r="M372" s="2411" t="s">
        <v>1455</v>
      </c>
      <c r="N372" s="1532"/>
      <c r="O372" s="2408" t="s">
        <v>1441</v>
      </c>
      <c r="P372" s="1452"/>
      <c r="Q372" s="463"/>
      <c r="R372" s="463"/>
      <c r="S372" s="463"/>
      <c r="T372" s="415" t="s">
        <v>1407</v>
      </c>
      <c r="U372" s="415" t="s">
        <v>1408</v>
      </c>
      <c r="AM372" s="447"/>
      <c r="BD372" s="2161"/>
      <c r="BF372" s="2162"/>
    </row>
    <row r="373" spans="1:58" ht="15" customHeight="1" x14ac:dyDescent="0.25">
      <c r="A373" s="409" t="s">
        <v>1038</v>
      </c>
      <c r="B373" s="1311" t="str">
        <f t="shared" ref="B373:B378" si="258">IFERROR(IF(ISBLANK(B17),"",B17),"")</f>
        <v/>
      </c>
      <c r="C373" s="3838" t="str">
        <f t="shared" ref="C373:C378" si="259">IFERROR(IF(ISBLANK($B373),"",VLOOKUP($B373,PO_Enrgy_1_Table,MATCH($C$16,PO_Enrgy_1_Hdr,0),FALSE) ),"")</f>
        <v/>
      </c>
      <c r="D373" s="3840" t="str">
        <f>IF(C373="","",VLOOKUP(C373,ProjectEnergyTypeTable,3,FALSE))</f>
        <v/>
      </c>
      <c r="E373" s="1309">
        <f t="shared" ref="E373:E378" si="260">IFERROR(VLOOKUP($B373,PO_Enrgy_10_Table,MATCH($E$346,PO_Enrgy_10_Hdr,0),FALSE),"")</f>
        <v>0</v>
      </c>
      <c r="F373" s="1309" t="str">
        <f t="shared" ref="F373:F378" si="261">IFERROR(E373*$U373,"")</f>
        <v/>
      </c>
      <c r="G373" s="2410">
        <f t="shared" ref="G373:G378" si="262">IFERROR(VLOOKUP($B373,PO_Enrgy_10_Table,MATCH($G$346,PO_Enrgy_10_Hdr,0),FALSE),"")</f>
        <v>0</v>
      </c>
      <c r="H373" s="1309" t="str">
        <f>IFERROR(E373*X373,"")</f>
        <v/>
      </c>
      <c r="I373" s="2412">
        <f t="shared" ref="I373:I378" si="263">IFERROR(VLOOKUP($B373,PO_Enrgy_10_Table,MATCH($I$346,PO_Enrgy_10_Hdr,0),FALSE),"")</f>
        <v>0</v>
      </c>
      <c r="J373" s="1309" t="str">
        <f t="shared" ref="J373:J378" si="264">IFERROR(I373*$U373,"")</f>
        <v/>
      </c>
      <c r="K373" s="2410">
        <f t="shared" ref="K373:K378" si="265">IFERROR(VLOOKUP($B373,PO_Enrgy_10_Table,MATCH($K$346,PO_Enrgy_10_Hdr,0),FALSE),"")</f>
        <v>0</v>
      </c>
      <c r="L373" s="1309" t="str">
        <f>IFERROR(I373*X373,"")</f>
        <v/>
      </c>
      <c r="M373" s="2415" t="str">
        <f>IFERROR(1-I373/E373,"")</f>
        <v/>
      </c>
      <c r="N373" s="1852" t="str">
        <f>IFERROR(1-J373/F373,"")</f>
        <v/>
      </c>
      <c r="O373" s="2438" t="str">
        <f>IFERROR(1-K373/G373,"")</f>
        <v/>
      </c>
      <c r="P373" s="2968" t="str">
        <f>IFERROR(1-L373/H373,"")</f>
        <v/>
      </c>
      <c r="Q373" s="2599"/>
      <c r="T373" s="416" t="str">
        <f t="shared" ref="T373:T378" si="266">IFERROR(IF(ISBLANK($B373),"",VLOOKUP($B373,PO_Enrgy_1_Table,MATCH($K$16,PO_Enrgy_1_Hdr,0),FALSE)),"")</f>
        <v/>
      </c>
      <c r="U373" s="416" t="str">
        <f t="shared" ref="U373:U378" si="267">IFERROR(IF(ISBLANK($B373),"",VLOOKUP($B373,PO_Enrgy_1_Table,MATCH($M$16,PO_Enrgy_1_Hdr,0),FALSE)),"")</f>
        <v/>
      </c>
      <c r="X373" s="2405" t="str">
        <f t="shared" ref="X373:X378" si="268">IFERROR(VLOOKUP(B373,PO_Enrgy_1_Table,MATCH($T$16,PO_Enrgy_1_Hdr,0),0),"")</f>
        <v/>
      </c>
      <c r="AK373" s="263"/>
      <c r="AL373" s="263"/>
      <c r="AM373" s="2"/>
      <c r="AO373" s="267"/>
      <c r="AP373" s="268"/>
      <c r="AQ373" s="269"/>
      <c r="BD373" s="2154"/>
      <c r="BF373" s="261"/>
    </row>
    <row r="374" spans="1:58" ht="15" customHeight="1" x14ac:dyDescent="0.25">
      <c r="A374" s="409" t="s">
        <v>1038</v>
      </c>
      <c r="B374" s="1311" t="str">
        <f t="shared" si="258"/>
        <v/>
      </c>
      <c r="C374" s="3838" t="str">
        <f t="shared" si="259"/>
        <v/>
      </c>
      <c r="D374" s="3840" t="str">
        <f>IF(C374="","",VLOOKUP(C374,ProjectEnergyTypeTable,3,FALSE))</f>
        <v/>
      </c>
      <c r="E374" s="1309">
        <f t="shared" si="260"/>
        <v>0</v>
      </c>
      <c r="F374" s="1309" t="str">
        <f t="shared" si="261"/>
        <v/>
      </c>
      <c r="G374" s="2410">
        <f t="shared" si="262"/>
        <v>0</v>
      </c>
      <c r="H374" s="1309" t="str">
        <f t="shared" ref="H374:H378" si="269">IFERROR(E374*X374,"")</f>
        <v/>
      </c>
      <c r="I374" s="2412">
        <f t="shared" si="263"/>
        <v>0</v>
      </c>
      <c r="J374" s="1309" t="str">
        <f t="shared" si="264"/>
        <v/>
      </c>
      <c r="K374" s="2410">
        <f t="shared" si="265"/>
        <v>0</v>
      </c>
      <c r="L374" s="1309" t="str">
        <f t="shared" ref="L374:L378" si="270">IFERROR(I374*X374,"")</f>
        <v/>
      </c>
      <c r="M374" s="2415" t="str">
        <f t="shared" ref="M374:O379" si="271">IFERROR(1-I374/E374,"")</f>
        <v/>
      </c>
      <c r="N374" s="1852" t="str">
        <f t="shared" si="271"/>
        <v/>
      </c>
      <c r="O374" s="2438" t="str">
        <f t="shared" si="271"/>
        <v/>
      </c>
      <c r="P374" s="2968" t="str">
        <f t="shared" ref="P374:P378" si="272">IFERROR(1-L374/H374,"")</f>
        <v/>
      </c>
      <c r="Q374" s="2599"/>
      <c r="T374" s="416" t="str">
        <f t="shared" si="266"/>
        <v/>
      </c>
      <c r="U374" s="416" t="str">
        <f t="shared" si="267"/>
        <v/>
      </c>
      <c r="X374" s="2406" t="str">
        <f t="shared" si="268"/>
        <v/>
      </c>
      <c r="AK374" s="263"/>
      <c r="AL374" s="263"/>
      <c r="AM374" s="2"/>
      <c r="AO374" s="267"/>
      <c r="AP374" s="268"/>
      <c r="AQ374" s="269"/>
      <c r="BD374" s="2154"/>
      <c r="BF374" s="261"/>
    </row>
    <row r="375" spans="1:58" ht="15" customHeight="1" x14ac:dyDescent="0.25">
      <c r="A375" s="409" t="s">
        <v>1038</v>
      </c>
      <c r="B375" s="1311" t="str">
        <f t="shared" si="258"/>
        <v/>
      </c>
      <c r="C375" s="3838" t="str">
        <f t="shared" si="259"/>
        <v/>
      </c>
      <c r="D375" s="3840" t="str">
        <f>IF(C375="","",VLOOKUP(C375,ProjectEnergyTypeTable,3,FALSE))</f>
        <v/>
      </c>
      <c r="E375" s="1309">
        <f t="shared" si="260"/>
        <v>0</v>
      </c>
      <c r="F375" s="1309" t="str">
        <f t="shared" si="261"/>
        <v/>
      </c>
      <c r="G375" s="2410">
        <f t="shared" si="262"/>
        <v>0</v>
      </c>
      <c r="H375" s="1309" t="str">
        <f t="shared" si="269"/>
        <v/>
      </c>
      <c r="I375" s="2412">
        <f t="shared" si="263"/>
        <v>0</v>
      </c>
      <c r="J375" s="1309" t="str">
        <f t="shared" si="264"/>
        <v/>
      </c>
      <c r="K375" s="2410">
        <f t="shared" si="265"/>
        <v>0</v>
      </c>
      <c r="L375" s="1309" t="str">
        <f t="shared" si="270"/>
        <v/>
      </c>
      <c r="M375" s="2415" t="str">
        <f t="shared" si="271"/>
        <v/>
      </c>
      <c r="N375" s="1852" t="str">
        <f t="shared" si="271"/>
        <v/>
      </c>
      <c r="O375" s="2438" t="str">
        <f t="shared" si="271"/>
        <v/>
      </c>
      <c r="P375" s="2968" t="str">
        <f t="shared" si="272"/>
        <v/>
      </c>
      <c r="Q375" s="2599"/>
      <c r="T375" s="416" t="str">
        <f t="shared" si="266"/>
        <v/>
      </c>
      <c r="U375" s="416" t="str">
        <f t="shared" si="267"/>
        <v/>
      </c>
      <c r="X375" s="2406" t="str">
        <f t="shared" si="268"/>
        <v/>
      </c>
      <c r="AK375" s="263"/>
      <c r="AL375" s="263"/>
      <c r="AM375" s="2"/>
      <c r="AO375" s="267"/>
      <c r="AP375" s="268"/>
      <c r="AQ375" s="269"/>
      <c r="BD375" s="2154"/>
      <c r="BF375" s="261"/>
    </row>
    <row r="376" spans="1:58" ht="15" customHeight="1" x14ac:dyDescent="0.25">
      <c r="A376" s="409" t="s">
        <v>1038</v>
      </c>
      <c r="B376" s="1311" t="str">
        <f t="shared" si="258"/>
        <v/>
      </c>
      <c r="C376" s="3838" t="str">
        <f t="shared" si="259"/>
        <v/>
      </c>
      <c r="D376" s="3840" t="str">
        <f>IF(C376="","",VLOOKUP(C376,ProjectEnergyTypeTable,3,FALSE))</f>
        <v/>
      </c>
      <c r="E376" s="1309">
        <f t="shared" si="260"/>
        <v>0</v>
      </c>
      <c r="F376" s="1309" t="str">
        <f t="shared" si="261"/>
        <v/>
      </c>
      <c r="G376" s="2410">
        <f t="shared" si="262"/>
        <v>0</v>
      </c>
      <c r="H376" s="1309" t="str">
        <f t="shared" si="269"/>
        <v/>
      </c>
      <c r="I376" s="2412">
        <f t="shared" si="263"/>
        <v>0</v>
      </c>
      <c r="J376" s="1309" t="str">
        <f t="shared" si="264"/>
        <v/>
      </c>
      <c r="K376" s="2410">
        <f t="shared" si="265"/>
        <v>0</v>
      </c>
      <c r="L376" s="1309" t="str">
        <f t="shared" si="270"/>
        <v/>
      </c>
      <c r="M376" s="2415" t="str">
        <f t="shared" si="271"/>
        <v/>
      </c>
      <c r="N376" s="1852" t="str">
        <f t="shared" si="271"/>
        <v/>
      </c>
      <c r="O376" s="2438" t="str">
        <f t="shared" si="271"/>
        <v/>
      </c>
      <c r="P376" s="2968" t="str">
        <f t="shared" si="272"/>
        <v/>
      </c>
      <c r="Q376" s="2599"/>
      <c r="T376" s="416" t="str">
        <f t="shared" si="266"/>
        <v/>
      </c>
      <c r="U376" s="416" t="str">
        <f t="shared" si="267"/>
        <v/>
      </c>
      <c r="X376" s="2406" t="str">
        <f t="shared" si="268"/>
        <v/>
      </c>
      <c r="AK376" s="263"/>
      <c r="AL376" s="263"/>
      <c r="AM376" s="2"/>
      <c r="AO376" s="267"/>
      <c r="AP376" s="268"/>
      <c r="AQ376" s="269"/>
      <c r="BD376" s="2154"/>
      <c r="BF376" s="261"/>
    </row>
    <row r="377" spans="1:58" ht="15" customHeight="1" x14ac:dyDescent="0.25">
      <c r="A377" s="409" t="s">
        <v>1038</v>
      </c>
      <c r="B377" s="1311" t="str">
        <f t="shared" si="258"/>
        <v/>
      </c>
      <c r="C377" s="3838" t="str">
        <f t="shared" si="259"/>
        <v/>
      </c>
      <c r="D377" s="3840" t="str">
        <f>IF(C377="","",VLOOKUP(C377,ProjectEnergyTypeTable,3,FALSE))</f>
        <v/>
      </c>
      <c r="E377" s="1309">
        <f t="shared" si="260"/>
        <v>0</v>
      </c>
      <c r="F377" s="1309" t="str">
        <f t="shared" si="261"/>
        <v/>
      </c>
      <c r="G377" s="2410">
        <f t="shared" si="262"/>
        <v>0</v>
      </c>
      <c r="H377" s="1309" t="str">
        <f t="shared" si="269"/>
        <v/>
      </c>
      <c r="I377" s="2412">
        <f t="shared" si="263"/>
        <v>0</v>
      </c>
      <c r="J377" s="1309" t="str">
        <f t="shared" si="264"/>
        <v/>
      </c>
      <c r="K377" s="2410">
        <f t="shared" si="265"/>
        <v>0</v>
      </c>
      <c r="L377" s="1309" t="str">
        <f t="shared" si="270"/>
        <v/>
      </c>
      <c r="M377" s="2415" t="str">
        <f t="shared" si="271"/>
        <v/>
      </c>
      <c r="N377" s="1852" t="str">
        <f t="shared" si="271"/>
        <v/>
      </c>
      <c r="O377" s="2438" t="str">
        <f t="shared" si="271"/>
        <v/>
      </c>
      <c r="P377" s="2968" t="str">
        <f t="shared" si="272"/>
        <v/>
      </c>
      <c r="Q377" s="2599"/>
      <c r="T377" s="416" t="str">
        <f t="shared" si="266"/>
        <v/>
      </c>
      <c r="U377" s="416" t="str">
        <f t="shared" si="267"/>
        <v/>
      </c>
      <c r="X377" s="2406" t="str">
        <f t="shared" si="268"/>
        <v/>
      </c>
      <c r="AK377" s="263"/>
      <c r="AL377" s="263"/>
      <c r="AM377" s="2"/>
      <c r="AO377" s="267"/>
      <c r="AP377" s="268"/>
      <c r="AQ377" s="269"/>
      <c r="BD377" s="2154"/>
      <c r="BF377" s="261"/>
    </row>
    <row r="378" spans="1:58" ht="15" customHeight="1" thickBot="1" x14ac:dyDescent="0.3">
      <c r="A378" s="409" t="s">
        <v>1038</v>
      </c>
      <c r="B378" s="2440" t="str">
        <f t="shared" si="258"/>
        <v/>
      </c>
      <c r="C378" s="3843" t="str">
        <f t="shared" si="259"/>
        <v/>
      </c>
      <c r="D378" s="3844" t="str">
        <f>IF(C378="","",VLOOKUP(C378,ProjectEnergyTypeTable,3,FALSE))</f>
        <v/>
      </c>
      <c r="E378" s="1309">
        <f t="shared" si="260"/>
        <v>0</v>
      </c>
      <c r="F378" s="1309" t="str">
        <f t="shared" si="261"/>
        <v/>
      </c>
      <c r="G378" s="2410">
        <f t="shared" si="262"/>
        <v>0</v>
      </c>
      <c r="H378" s="1309" t="str">
        <f t="shared" si="269"/>
        <v/>
      </c>
      <c r="I378" s="2412">
        <f t="shared" si="263"/>
        <v>0</v>
      </c>
      <c r="J378" s="1309" t="str">
        <f t="shared" si="264"/>
        <v/>
      </c>
      <c r="K378" s="2410">
        <f t="shared" si="265"/>
        <v>0</v>
      </c>
      <c r="L378" s="1309" t="str">
        <f t="shared" si="270"/>
        <v/>
      </c>
      <c r="M378" s="2415" t="str">
        <f t="shared" si="271"/>
        <v/>
      </c>
      <c r="N378" s="1852" t="str">
        <f t="shared" si="271"/>
        <v/>
      </c>
      <c r="O378" s="2438" t="str">
        <f t="shared" si="271"/>
        <v/>
      </c>
      <c r="P378" s="2968" t="str">
        <f t="shared" si="272"/>
        <v/>
      </c>
      <c r="Q378" s="2599"/>
      <c r="T378" s="416" t="str">
        <f t="shared" si="266"/>
        <v/>
      </c>
      <c r="U378" s="416" t="str">
        <f t="shared" si="267"/>
        <v/>
      </c>
      <c r="X378" s="2407" t="str">
        <f t="shared" si="268"/>
        <v/>
      </c>
      <c r="AK378" s="263"/>
      <c r="AL378" s="263"/>
      <c r="AM378" s="2"/>
      <c r="AO378" s="267"/>
      <c r="AP378" s="268"/>
      <c r="AQ378" s="269"/>
      <c r="BD378" s="2154"/>
      <c r="BF378" s="261"/>
    </row>
    <row r="379" spans="1:58" s="245" customFormat="1" ht="21" customHeight="1" x14ac:dyDescent="0.25">
      <c r="A379" s="409" t="s">
        <v>1038</v>
      </c>
      <c r="B379" s="3841" t="str">
        <f>"Energy Model Subtotal"</f>
        <v>Energy Model Subtotal</v>
      </c>
      <c r="C379" s="3841"/>
      <c r="D379" s="3841"/>
      <c r="E379" s="2447">
        <f>IFERROR(SUMPRODUCT(INDEX(PO_Enrgy_12_Table,0,MATCH(E$372,PO_Enrgy_12_Hdr,0)),INDEX(PO_Enrgy_12_Table,0,MATCH($T$372,PO_Enrgy_12_Hdr,0))),"")</f>
        <v>0</v>
      </c>
      <c r="F379" s="1310">
        <f>IFERROR(SUM(INDEX(PO_Enrgy_12_Table,0,MATCH(F$372,PO_Enrgy_12_Hdr,0))),"")</f>
        <v>0</v>
      </c>
      <c r="G379" s="2410">
        <f>IFERROR(SUM(INDEX(PO_Enrgy_12_Table,0,MATCH(G$372,PO_Enrgy_12_Hdr,0))),"")</f>
        <v>0</v>
      </c>
      <c r="H379" s="1309">
        <f>SUM(H373:H378)</f>
        <v>0</v>
      </c>
      <c r="I379" s="2447">
        <f>IFERROR(SUMPRODUCT(INDEX(PO_Enrgy_12_Table,0,MATCH(I$372,PO_Enrgy_12_Hdr,0)),INDEX(PO_Enrgy_12_Table,0,MATCH($T$372,PO_Enrgy_12_Hdr,0))),"")</f>
        <v>0</v>
      </c>
      <c r="J379" s="1310">
        <f>IFERROR(SUM(INDEX(PO_Enrgy_12_Table,0,MATCH(J$372,PO_Enrgy_12_Hdr,0))),"")</f>
        <v>0</v>
      </c>
      <c r="K379" s="2410">
        <f>IFERROR(SUM(INDEX(PO_Enrgy_12_Table,0,MATCH(K$372,PO_Enrgy_12_Hdr,0))),"")</f>
        <v>0</v>
      </c>
      <c r="L379" s="1309">
        <f>SUM(L373:L378)</f>
        <v>0</v>
      </c>
      <c r="M379" s="2416" t="str">
        <f t="shared" si="271"/>
        <v/>
      </c>
      <c r="N379" s="1852" t="str">
        <f t="shared" si="271"/>
        <v/>
      </c>
      <c r="O379" s="2439" t="str">
        <f t="shared" si="271"/>
        <v/>
      </c>
      <c r="P379" s="1671" t="str">
        <f>IFERROR(1-L379/H379,"")</f>
        <v/>
      </c>
      <c r="Q379" s="2467"/>
      <c r="R379" s="235"/>
      <c r="S379" s="235"/>
      <c r="AM379" s="2"/>
      <c r="AO379" s="267"/>
      <c r="AP379" s="268"/>
      <c r="BD379" s="2154"/>
      <c r="BE379" s="235"/>
      <c r="BF379" s="261"/>
    </row>
    <row r="380" spans="1:58" s="245" customFormat="1" ht="21.75" customHeight="1" x14ac:dyDescent="0.25">
      <c r="A380" s="433" t="s">
        <v>1038</v>
      </c>
      <c r="B380" s="3203"/>
      <c r="C380" s="3204"/>
      <c r="D380" s="3204"/>
      <c r="E380" s="3204"/>
      <c r="F380" s="3204"/>
      <c r="G380" s="3204"/>
      <c r="H380" s="3204"/>
      <c r="I380" s="3204"/>
      <c r="J380" s="3204"/>
      <c r="K380" s="3204"/>
      <c r="L380" s="3204"/>
      <c r="M380" s="332"/>
      <c r="N380" s="235"/>
      <c r="O380" s="235"/>
      <c r="P380" s="235"/>
      <c r="Q380" s="235"/>
      <c r="AM380" s="270"/>
      <c r="AN380" s="271"/>
      <c r="BD380" s="2155"/>
      <c r="BE380" s="235"/>
      <c r="BF380" s="235"/>
    </row>
    <row r="381" spans="1:58" ht="21.75" customHeight="1" x14ac:dyDescent="0.25">
      <c r="A381" s="433" t="s">
        <v>1038</v>
      </c>
      <c r="B381" s="583" t="s">
        <v>1045</v>
      </c>
      <c r="AM381" s="289"/>
      <c r="AN381" s="290"/>
    </row>
    <row r="382" spans="1:58" ht="32.25" customHeight="1" x14ac:dyDescent="0.25">
      <c r="A382" s="433" t="s">
        <v>1038</v>
      </c>
      <c r="B382" s="3357" t="s">
        <v>354</v>
      </c>
      <c r="C382" s="3395" t="s">
        <v>1436</v>
      </c>
      <c r="D382" s="3842"/>
      <c r="E382" s="3393" t="s">
        <v>1046</v>
      </c>
      <c r="F382" s="3831"/>
      <c r="G382" s="3831"/>
      <c r="H382" s="3832"/>
      <c r="I382" s="3828" t="s">
        <v>364</v>
      </c>
      <c r="J382" s="3829"/>
      <c r="K382" s="3829"/>
      <c r="L382" s="3830"/>
      <c r="M382" s="3828" t="s">
        <v>358</v>
      </c>
      <c r="N382" s="3829"/>
      <c r="O382" s="3829"/>
      <c r="P382" s="3830"/>
      <c r="Q382" s="334"/>
      <c r="AM382" s="2"/>
      <c r="AO382" s="267"/>
      <c r="AP382" s="268"/>
      <c r="BD382" s="235"/>
      <c r="BF382" s="261"/>
    </row>
    <row r="383" spans="1:58" ht="48" customHeight="1" thickBot="1" x14ac:dyDescent="0.3">
      <c r="A383" s="433" t="s">
        <v>1038</v>
      </c>
      <c r="B383" s="3842"/>
      <c r="C383" s="3842"/>
      <c r="D383" s="3842"/>
      <c r="E383" s="1670" t="s">
        <v>902</v>
      </c>
      <c r="F383" s="780" t="str">
        <f>"Source Energy Use ("  &amp; PO_SourceUnits &amp; ")"</f>
        <v>Source Energy Use (kWh)</v>
      </c>
      <c r="G383" s="1881" t="s">
        <v>356</v>
      </c>
      <c r="H383" s="1670" t="s">
        <v>3205</v>
      </c>
      <c r="I383" s="2359" t="s">
        <v>902</v>
      </c>
      <c r="J383" s="780" t="str">
        <f>"Source Energy Use ("  &amp; PO_SourceUnits &amp; ")"</f>
        <v>Source Energy Use (kWh)</v>
      </c>
      <c r="K383" s="1881" t="s">
        <v>356</v>
      </c>
      <c r="L383" s="1670" t="s">
        <v>3205</v>
      </c>
      <c r="M383" s="2359" t="s">
        <v>2584</v>
      </c>
      <c r="N383" s="1670" t="s">
        <v>2585</v>
      </c>
      <c r="O383" s="1881" t="s">
        <v>356</v>
      </c>
      <c r="P383" s="1670" t="s">
        <v>3210</v>
      </c>
      <c r="Q383" s="334"/>
      <c r="R383" s="334"/>
      <c r="S383" s="334"/>
      <c r="AM383" s="2"/>
      <c r="BD383" s="1358" t="s">
        <v>1635</v>
      </c>
      <c r="BF383" s="261"/>
    </row>
    <row r="384" spans="1:58" s="446" customFormat="1" ht="14.4" hidden="1" thickBot="1" x14ac:dyDescent="0.3">
      <c r="A384" s="433" t="s">
        <v>1038</v>
      </c>
      <c r="B384" s="1454" t="s">
        <v>1396</v>
      </c>
      <c r="C384" s="1532" t="s">
        <v>1424</v>
      </c>
      <c r="D384" s="1454"/>
      <c r="E384" s="1452" t="s">
        <v>1452</v>
      </c>
      <c r="F384" s="1454" t="s">
        <v>1453</v>
      </c>
      <c r="G384" s="2408" t="s">
        <v>1454</v>
      </c>
      <c r="H384" s="1452" t="s">
        <v>3208</v>
      </c>
      <c r="I384" s="2411" t="s">
        <v>1437</v>
      </c>
      <c r="J384" s="1454" t="s">
        <v>1438</v>
      </c>
      <c r="K384" s="2408" t="s">
        <v>1439</v>
      </c>
      <c r="L384" s="1452" t="s">
        <v>3209</v>
      </c>
      <c r="M384" s="2411" t="s">
        <v>1455</v>
      </c>
      <c r="N384" s="1532"/>
      <c r="O384" s="2408" t="s">
        <v>1441</v>
      </c>
      <c r="P384" s="1452"/>
      <c r="Q384" s="463"/>
      <c r="R384" s="463"/>
      <c r="S384" s="463"/>
      <c r="T384" s="415" t="s">
        <v>1407</v>
      </c>
      <c r="U384" s="415" t="s">
        <v>1408</v>
      </c>
      <c r="AM384" s="447"/>
      <c r="BD384" s="2161"/>
      <c r="BF384" s="2162"/>
    </row>
    <row r="385" spans="1:58" ht="15" customHeight="1" x14ac:dyDescent="0.25">
      <c r="A385" s="433" t="s">
        <v>1038</v>
      </c>
      <c r="B385" s="1311" t="str">
        <f t="shared" ref="B385:B390" si="273">IFERROR(IF(ISBLANK(B17),"",B17),"")</f>
        <v/>
      </c>
      <c r="C385" s="3838" t="str">
        <f t="shared" ref="C385:C390" si="274">IFERROR(IF(ISBLANK($B385),"",VLOOKUP($B385,PO_Enrgy_1_Table,MATCH($C$16,PO_Enrgy_1_Hdr,0),FALSE) ),"")</f>
        <v/>
      </c>
      <c r="D385" s="3840" t="str">
        <f>IF(C385="","",VLOOKUP(C385,ProjectEnergyTypeTable,3,FALSE))</f>
        <v/>
      </c>
      <c r="E385" s="1324">
        <f t="shared" ref="E385:E390" si="275">IFERROR(IF(Datacenter_Avg=TRUE,AVERAGE(VLOOKUP($B385,PO_Enrgy_11_Table,MATCH($E$360,PO_Enrgy_11_Hdr,0),FALSE),VLOOKUP($B385,PO_Enrgy_12_Table,MATCH($E$372,PO_Enrgy_12_Hdr,0),FALSE)),VLOOKUP($B385,PO_Enrgy_12_Table,MATCH($E$372,PO_Enrgy_12_Hdr,0),FALSE)),"")</f>
        <v>0</v>
      </c>
      <c r="F385" s="1324" t="str">
        <f t="shared" ref="F385:F390" si="276">IFERROR(E385*$U385,"")</f>
        <v/>
      </c>
      <c r="G385" s="2410">
        <f t="shared" ref="G385:G390" si="277">IFERROR(IF(Datacenter_Avg=TRUE,AVERAGE(VLOOKUP($B385,PO_Enrgy_11_Table,MATCH($G$360,PO_Enrgy_11_Hdr,0),FALSE),VLOOKUP($B385,PO_Enrgy_12_Table,MATCH($G$372,PO_Enrgy_12_Hdr,0),FALSE)),VLOOKUP($B385,PO_Enrgy_12_Table,MATCH($G$372,PO_Enrgy_12_Hdr,0),FALSE)),"")</f>
        <v>0</v>
      </c>
      <c r="H385" s="1309" t="str">
        <f>IFERROR(E385*X385,"")</f>
        <v/>
      </c>
      <c r="I385" s="2437">
        <f t="shared" ref="I385:I390" si="278">IFERROR(IF(Datacenter_Avg=TRUE,AVERAGE(VLOOKUP($B385,PO_Enrgy_11_Table,MATCH($I$360,PO_Enrgy_11_Hdr,0),FALSE),VLOOKUP($B385,PO_Enrgy_12_Table,MATCH($I$372,PO_Enrgy_12_Hdr,0),FALSE)),VLOOKUP($B385,PO_Enrgy_12_Table,MATCH($I$372,PO_Enrgy_12_Hdr,0),FALSE)),"")</f>
        <v>0</v>
      </c>
      <c r="J385" s="1324" t="str">
        <f t="shared" ref="J385:J390" si="279">IFERROR(I385*$U385,"")</f>
        <v/>
      </c>
      <c r="K385" s="2410">
        <f t="shared" ref="K385:K390" si="280">IFERROR(IF(Datacenter_Avg=TRUE,AVERAGE(VLOOKUP($B385,PO_Enrgy_11_Table,MATCH($K$360,PO_Enrgy_11_Hdr,0),FALSE),VLOOKUP($B385,PO_Enrgy_12_Table,MATCH($K$372,PO_Enrgy_12_Hdr,0),FALSE)),VLOOKUP($B385,PO_Enrgy_12_Table,MATCH($K$372,PO_Enrgy_12_Hdr,0),FALSE)),"")</f>
        <v>0</v>
      </c>
      <c r="L385" s="1309" t="str">
        <f>IFERROR(I385*X385,"")</f>
        <v/>
      </c>
      <c r="M385" s="2415" t="str">
        <f>IFERROR(1-I385/E385,"")</f>
        <v/>
      </c>
      <c r="N385" s="1852" t="str">
        <f>IFERROR(1-J385/F385,"")</f>
        <v/>
      </c>
      <c r="O385" s="2438" t="str">
        <f>IFERROR(1-K385/G385,"")</f>
        <v/>
      </c>
      <c r="P385" s="2968" t="str">
        <f>IFERROR(1-L385/H385,"")</f>
        <v/>
      </c>
      <c r="Q385" s="2599"/>
      <c r="T385" s="416" t="str">
        <f t="shared" ref="T385:T390" si="281">IFERROR(IF(ISBLANK($B385),"",VLOOKUP($B385,PO_Enrgy_1_Table,MATCH($K$16,PO_Enrgy_1_Hdr,0),FALSE)),"")</f>
        <v/>
      </c>
      <c r="U385" s="416" t="str">
        <f>IFERROR(IF(ISBLANK($B385),"",VLOOKUP($B385,PO_Enrgy_1_Table,MATCH($M$16,PO_Enrgy_1_Hdr,0),FALSE)),"")</f>
        <v/>
      </c>
      <c r="X385" s="2405" t="str">
        <f t="shared" ref="X385:X390" si="282">IFERROR(VLOOKUP(B385,PO_Enrgy_1_Table,MATCH($T$16,PO_Enrgy_1_Hdr,0),0),"")</f>
        <v/>
      </c>
      <c r="AK385" s="263"/>
      <c r="AL385" s="263"/>
      <c r="AM385" s="2"/>
      <c r="AO385" s="267"/>
      <c r="AP385" s="268"/>
      <c r="AQ385" s="269"/>
      <c r="BD385" s="2154"/>
      <c r="BF385" s="261"/>
    </row>
    <row r="386" spans="1:58" ht="15" customHeight="1" x14ac:dyDescent="0.25">
      <c r="A386" s="433" t="s">
        <v>1038</v>
      </c>
      <c r="B386" s="1311" t="str">
        <f t="shared" si="273"/>
        <v/>
      </c>
      <c r="C386" s="3838" t="str">
        <f t="shared" si="274"/>
        <v/>
      </c>
      <c r="D386" s="3840" t="str">
        <f>IF(C386="","",VLOOKUP(C386,ProjectEnergyTypeTable,3,FALSE))</f>
        <v/>
      </c>
      <c r="E386" s="1324">
        <f t="shared" si="275"/>
        <v>0</v>
      </c>
      <c r="F386" s="1324" t="str">
        <f t="shared" si="276"/>
        <v/>
      </c>
      <c r="G386" s="2410">
        <f t="shared" si="277"/>
        <v>0</v>
      </c>
      <c r="H386" s="1309" t="str">
        <f t="shared" ref="H386:H390" si="283">IFERROR(E386*X386,"")</f>
        <v/>
      </c>
      <c r="I386" s="2437">
        <f t="shared" si="278"/>
        <v>0</v>
      </c>
      <c r="J386" s="1324" t="str">
        <f t="shared" si="279"/>
        <v/>
      </c>
      <c r="K386" s="2410">
        <f t="shared" si="280"/>
        <v>0</v>
      </c>
      <c r="L386" s="1309" t="str">
        <f t="shared" ref="L386:L390" si="284">IFERROR(I386*X386,"")</f>
        <v/>
      </c>
      <c r="M386" s="2415" t="str">
        <f t="shared" ref="M386:O391" si="285">IFERROR(1-I386/E386,"")</f>
        <v/>
      </c>
      <c r="N386" s="1852" t="str">
        <f t="shared" si="285"/>
        <v/>
      </c>
      <c r="O386" s="2438" t="str">
        <f t="shared" si="285"/>
        <v/>
      </c>
      <c r="P386" s="2968" t="str">
        <f t="shared" ref="P386:P390" si="286">IFERROR(1-L386/H386,"")</f>
        <v/>
      </c>
      <c r="Q386" s="2599"/>
      <c r="T386" s="416" t="str">
        <f t="shared" si="281"/>
        <v/>
      </c>
      <c r="U386" s="416" t="str">
        <f t="shared" ref="U386:U390" si="287">IFERROR(IF(ISBLANK($B386),"",VLOOKUP($B386,PO_Enrgy_1_Table,MATCH($M$16,PO_Enrgy_1_Hdr,0),FALSE)),"")</f>
        <v/>
      </c>
      <c r="X386" s="2406" t="str">
        <f t="shared" si="282"/>
        <v/>
      </c>
      <c r="AK386" s="263"/>
      <c r="AL386" s="263"/>
      <c r="AM386" s="2"/>
      <c r="AO386" s="267"/>
      <c r="AP386" s="268"/>
      <c r="AQ386" s="269"/>
      <c r="BD386" s="2154"/>
      <c r="BF386" s="261"/>
    </row>
    <row r="387" spans="1:58" ht="15" customHeight="1" x14ac:dyDescent="0.25">
      <c r="A387" s="433" t="s">
        <v>1038</v>
      </c>
      <c r="B387" s="1311" t="str">
        <f t="shared" si="273"/>
        <v/>
      </c>
      <c r="C387" s="3838" t="str">
        <f t="shared" si="274"/>
        <v/>
      </c>
      <c r="D387" s="3840" t="str">
        <f>IF(C387="","",VLOOKUP(C387,ProjectEnergyTypeTable,3,FALSE))</f>
        <v/>
      </c>
      <c r="E387" s="1324">
        <f t="shared" si="275"/>
        <v>0</v>
      </c>
      <c r="F387" s="1324" t="str">
        <f t="shared" si="276"/>
        <v/>
      </c>
      <c r="G387" s="2410">
        <f t="shared" si="277"/>
        <v>0</v>
      </c>
      <c r="H387" s="1309" t="str">
        <f t="shared" si="283"/>
        <v/>
      </c>
      <c r="I387" s="2437">
        <f t="shared" si="278"/>
        <v>0</v>
      </c>
      <c r="J387" s="1324" t="str">
        <f t="shared" si="279"/>
        <v/>
      </c>
      <c r="K387" s="2410">
        <f t="shared" si="280"/>
        <v>0</v>
      </c>
      <c r="L387" s="1309" t="str">
        <f t="shared" si="284"/>
        <v/>
      </c>
      <c r="M387" s="2415" t="str">
        <f t="shared" si="285"/>
        <v/>
      </c>
      <c r="N387" s="1852" t="str">
        <f t="shared" si="285"/>
        <v/>
      </c>
      <c r="O387" s="2438" t="str">
        <f t="shared" si="285"/>
        <v/>
      </c>
      <c r="P387" s="2968" t="str">
        <f t="shared" si="286"/>
        <v/>
      </c>
      <c r="Q387" s="2599"/>
      <c r="T387" s="416" t="str">
        <f t="shared" si="281"/>
        <v/>
      </c>
      <c r="U387" s="416" t="str">
        <f t="shared" si="287"/>
        <v/>
      </c>
      <c r="X387" s="2406" t="str">
        <f t="shared" si="282"/>
        <v/>
      </c>
      <c r="AK387" s="263"/>
      <c r="AL387" s="263"/>
      <c r="AM387" s="2"/>
      <c r="AO387" s="267"/>
      <c r="AP387" s="268"/>
      <c r="AQ387" s="269"/>
      <c r="BD387" s="2154"/>
      <c r="BF387" s="261"/>
    </row>
    <row r="388" spans="1:58" ht="15" customHeight="1" x14ac:dyDescent="0.25">
      <c r="A388" s="433" t="s">
        <v>1038</v>
      </c>
      <c r="B388" s="1311" t="str">
        <f t="shared" si="273"/>
        <v/>
      </c>
      <c r="C388" s="3838" t="str">
        <f t="shared" si="274"/>
        <v/>
      </c>
      <c r="D388" s="3840" t="str">
        <f>IF(C388="","",VLOOKUP(C388,ProjectEnergyTypeTable,3,FALSE))</f>
        <v/>
      </c>
      <c r="E388" s="1324">
        <f t="shared" si="275"/>
        <v>0</v>
      </c>
      <c r="F388" s="1324" t="str">
        <f t="shared" si="276"/>
        <v/>
      </c>
      <c r="G388" s="2410">
        <f t="shared" si="277"/>
        <v>0</v>
      </c>
      <c r="H388" s="1309" t="str">
        <f t="shared" si="283"/>
        <v/>
      </c>
      <c r="I388" s="2437">
        <f t="shared" si="278"/>
        <v>0</v>
      </c>
      <c r="J388" s="1324" t="str">
        <f t="shared" si="279"/>
        <v/>
      </c>
      <c r="K388" s="2410">
        <f t="shared" si="280"/>
        <v>0</v>
      </c>
      <c r="L388" s="1309" t="str">
        <f t="shared" si="284"/>
        <v/>
      </c>
      <c r="M388" s="2415" t="str">
        <f t="shared" si="285"/>
        <v/>
      </c>
      <c r="N388" s="1852" t="str">
        <f t="shared" si="285"/>
        <v/>
      </c>
      <c r="O388" s="2438" t="str">
        <f t="shared" si="285"/>
        <v/>
      </c>
      <c r="P388" s="2968" t="str">
        <f t="shared" si="286"/>
        <v/>
      </c>
      <c r="Q388" s="2599"/>
      <c r="T388" s="416" t="str">
        <f t="shared" si="281"/>
        <v/>
      </c>
      <c r="U388" s="416" t="str">
        <f t="shared" si="287"/>
        <v/>
      </c>
      <c r="X388" s="2406" t="str">
        <f t="shared" si="282"/>
        <v/>
      </c>
      <c r="AK388" s="263"/>
      <c r="AL388" s="263"/>
      <c r="AM388" s="2"/>
      <c r="AO388" s="267"/>
      <c r="AP388" s="268"/>
      <c r="AQ388" s="269"/>
      <c r="BD388" s="2154"/>
      <c r="BF388" s="261"/>
    </row>
    <row r="389" spans="1:58" ht="15" customHeight="1" x14ac:dyDescent="0.25">
      <c r="A389" s="433" t="s">
        <v>1038</v>
      </c>
      <c r="B389" s="1311" t="str">
        <f t="shared" si="273"/>
        <v/>
      </c>
      <c r="C389" s="3838" t="str">
        <f t="shared" si="274"/>
        <v/>
      </c>
      <c r="D389" s="3840" t="str">
        <f>IF(C389="","",VLOOKUP(C389,ProjectEnergyTypeTable,3,FALSE))</f>
        <v/>
      </c>
      <c r="E389" s="1324">
        <f t="shared" si="275"/>
        <v>0</v>
      </c>
      <c r="F389" s="1324" t="str">
        <f t="shared" si="276"/>
        <v/>
      </c>
      <c r="G389" s="2410">
        <f t="shared" si="277"/>
        <v>0</v>
      </c>
      <c r="H389" s="1309" t="str">
        <f t="shared" si="283"/>
        <v/>
      </c>
      <c r="I389" s="2437">
        <f t="shared" si="278"/>
        <v>0</v>
      </c>
      <c r="J389" s="1324" t="str">
        <f t="shared" si="279"/>
        <v/>
      </c>
      <c r="K389" s="2410">
        <f t="shared" si="280"/>
        <v>0</v>
      </c>
      <c r="L389" s="1309" t="str">
        <f t="shared" si="284"/>
        <v/>
      </c>
      <c r="M389" s="2415" t="str">
        <f t="shared" si="285"/>
        <v/>
      </c>
      <c r="N389" s="1852" t="str">
        <f t="shared" si="285"/>
        <v/>
      </c>
      <c r="O389" s="2438" t="str">
        <f t="shared" si="285"/>
        <v/>
      </c>
      <c r="P389" s="2968" t="str">
        <f t="shared" si="286"/>
        <v/>
      </c>
      <c r="Q389" s="2599"/>
      <c r="T389" s="416" t="str">
        <f t="shared" si="281"/>
        <v/>
      </c>
      <c r="U389" s="416" t="str">
        <f t="shared" si="287"/>
        <v/>
      </c>
      <c r="X389" s="2406" t="str">
        <f t="shared" si="282"/>
        <v/>
      </c>
      <c r="AK389" s="263"/>
      <c r="AL389" s="263"/>
      <c r="AM389" s="2"/>
      <c r="AO389" s="267"/>
      <c r="AP389" s="268"/>
      <c r="AQ389" s="269"/>
      <c r="BD389" s="2154"/>
      <c r="BF389" s="261"/>
    </row>
    <row r="390" spans="1:58" ht="15" customHeight="1" thickBot="1" x14ac:dyDescent="0.3">
      <c r="A390" s="433" t="s">
        <v>1038</v>
      </c>
      <c r="B390" s="2440" t="str">
        <f t="shared" si="273"/>
        <v/>
      </c>
      <c r="C390" s="3843" t="str">
        <f t="shared" si="274"/>
        <v/>
      </c>
      <c r="D390" s="3844" t="str">
        <f>IF(C390="","",VLOOKUP(C390,ProjectEnergyTypeTable,3,FALSE))</f>
        <v/>
      </c>
      <c r="E390" s="2441">
        <f t="shared" si="275"/>
        <v>0</v>
      </c>
      <c r="F390" s="2441" t="str">
        <f t="shared" si="276"/>
        <v/>
      </c>
      <c r="G390" s="2442">
        <f t="shared" si="277"/>
        <v>0</v>
      </c>
      <c r="H390" s="1309" t="str">
        <f t="shared" si="283"/>
        <v/>
      </c>
      <c r="I390" s="2443">
        <f t="shared" si="278"/>
        <v>0</v>
      </c>
      <c r="J390" s="2441" t="str">
        <f t="shared" si="279"/>
        <v/>
      </c>
      <c r="K390" s="2442">
        <f t="shared" si="280"/>
        <v>0</v>
      </c>
      <c r="L390" s="1309" t="str">
        <f t="shared" si="284"/>
        <v/>
      </c>
      <c r="M390" s="2444" t="str">
        <f t="shared" si="285"/>
        <v/>
      </c>
      <c r="N390" s="2445" t="str">
        <f t="shared" si="285"/>
        <v/>
      </c>
      <c r="O390" s="2446" t="str">
        <f t="shared" si="285"/>
        <v/>
      </c>
      <c r="P390" s="2968" t="str">
        <f t="shared" si="286"/>
        <v/>
      </c>
      <c r="Q390" s="2599"/>
      <c r="T390" s="416" t="str">
        <f t="shared" si="281"/>
        <v/>
      </c>
      <c r="U390" s="416" t="str">
        <f t="shared" si="287"/>
        <v/>
      </c>
      <c r="X390" s="2407" t="str">
        <f t="shared" si="282"/>
        <v/>
      </c>
      <c r="AK390" s="263"/>
      <c r="AL390" s="263"/>
      <c r="AM390" s="2"/>
      <c r="AO390" s="267"/>
      <c r="AP390" s="268"/>
      <c r="AQ390" s="269"/>
      <c r="BD390" s="2154"/>
      <c r="BF390" s="261"/>
    </row>
    <row r="391" spans="1:58" s="245" customFormat="1" ht="21" customHeight="1" thickBot="1" x14ac:dyDescent="0.3">
      <c r="A391" s="433" t="s">
        <v>1038</v>
      </c>
      <c r="B391" s="3841" t="str">
        <f>"Energy Model Subtotal"</f>
        <v>Energy Model Subtotal</v>
      </c>
      <c r="C391" s="3841"/>
      <c r="D391" s="3952"/>
      <c r="E391" s="1324">
        <f>IFERROR(SUMPRODUCT(INDEX(PO_Enrgy_13_Table,0,MATCH(E$384,PO_Enrgy_13_Hdr,0)),INDEX(PO_Enrgy_13_Table,0,MATCH($T$384,PO_Enrgy_13_Hdr,0))),"")</f>
        <v>0</v>
      </c>
      <c r="F391" s="2818">
        <f>IFERROR(SUM(INDEX(PO_Enrgy_13_Table,0,MATCH(F$384,PO_Enrgy_13_Hdr,0))),"")</f>
        <v>0</v>
      </c>
      <c r="G391" s="2410">
        <f>IFERROR(SUM(INDEX(PO_Enrgy_13_Table,0,MATCH(G$384,PO_Enrgy_13_Hdr,0))),"")</f>
        <v>0</v>
      </c>
      <c r="H391" s="1309">
        <f>SUM(H385:H390)</f>
        <v>0</v>
      </c>
      <c r="I391" s="2437">
        <f>IFERROR(SUMPRODUCT(INDEX(PO_Enrgy_13_Table,0,MATCH(I$384,PO_Enrgy_13_Hdr,0)),INDEX(PO_Enrgy_13_Table,0,MATCH($T$384,PO_Enrgy_13_Hdr,0))),"")</f>
        <v>0</v>
      </c>
      <c r="J391" s="2816">
        <f>IFERROR(SUM(INDEX(PO_Enrgy_13_Table,0,MATCH(J$384,PO_Enrgy_13_Hdr,0))),"")</f>
        <v>0</v>
      </c>
      <c r="K391" s="2410">
        <f>IFERROR(SUM(INDEX(PO_Enrgy_13_Table,0,MATCH(K$384,PO_Enrgy_13_Hdr,0))),"")</f>
        <v>0</v>
      </c>
      <c r="L391" s="1309">
        <f>SUM(L385:L390)</f>
        <v>0</v>
      </c>
      <c r="M391" s="2416" t="str">
        <f t="shared" si="285"/>
        <v/>
      </c>
      <c r="N391" s="2817" t="str">
        <f t="shared" si="285"/>
        <v/>
      </c>
      <c r="O391" s="1671" t="str">
        <f t="shared" si="285"/>
        <v/>
      </c>
      <c r="P391" s="2819" t="str">
        <f>IFERROR(1-L391/H391,"")</f>
        <v/>
      </c>
      <c r="Q391" s="2467"/>
      <c r="R391" s="235"/>
      <c r="S391" s="235"/>
      <c r="AM391" s="2"/>
      <c r="AO391" s="267"/>
      <c r="AP391" s="268"/>
      <c r="BD391" s="2154"/>
      <c r="BE391" s="235"/>
      <c r="BF391" s="261"/>
    </row>
    <row r="392" spans="1:58" s="245" customFormat="1" ht="19.5" customHeight="1" x14ac:dyDescent="0.25">
      <c r="A392" s="433" t="s">
        <v>1038</v>
      </c>
      <c r="B392" s="3203"/>
      <c r="C392" s="3204"/>
      <c r="D392" s="3204"/>
      <c r="E392" s="3204"/>
      <c r="F392" s="3204"/>
      <c r="G392" s="3204"/>
      <c r="H392" s="3204"/>
      <c r="I392" s="3204"/>
      <c r="J392" s="3204"/>
      <c r="K392" s="3204"/>
      <c r="L392" s="3204"/>
      <c r="M392" s="332"/>
      <c r="N392" s="235"/>
      <c r="O392" s="235"/>
      <c r="P392" s="235"/>
      <c r="Q392" s="235"/>
      <c r="R392" s="235"/>
      <c r="S392" s="235"/>
      <c r="T392" s="2417"/>
      <c r="U392" s="2418"/>
      <c r="V392" s="2418"/>
      <c r="W392" s="2418"/>
      <c r="X392" s="2418"/>
      <c r="Y392" s="2419" t="s">
        <v>2587</v>
      </c>
      <c r="Z392" s="2418"/>
      <c r="AA392" s="2420"/>
      <c r="AO392" s="270"/>
      <c r="AP392" s="271"/>
      <c r="BE392" s="235"/>
      <c r="BF392" s="261"/>
    </row>
    <row r="393" spans="1:58" ht="18" hidden="1" customHeight="1" x14ac:dyDescent="0.25">
      <c r="T393" s="2421" t="s">
        <v>1423</v>
      </c>
      <c r="V393" s="549" t="s">
        <v>1423</v>
      </c>
      <c r="Y393" s="549" t="s">
        <v>1423</v>
      </c>
      <c r="AA393" s="2384"/>
      <c r="AM393" s="2"/>
      <c r="BD393" s="235"/>
      <c r="BF393" s="2612"/>
    </row>
    <row r="394" spans="1:58" ht="18" hidden="1" customHeight="1" x14ac:dyDescent="0.25">
      <c r="T394" s="2422">
        <f>SUMIF($W$146:$W$203,U394,$V$146:$V$203)+SUMIF($Y$92:$Y$95,U394,$X$92:$X$95)</f>
        <v>0</v>
      </c>
      <c r="U394" s="549" t="s">
        <v>398</v>
      </c>
      <c r="V394" s="2475" t="str">
        <f>IFERROR(T394*E311,"-")</f>
        <v>-</v>
      </c>
      <c r="W394" s="549" t="s">
        <v>828</v>
      </c>
      <c r="X394" s="1237" t="e">
        <f>SUM(V394:V399)/X404</f>
        <v>#DIV/0!</v>
      </c>
      <c r="Y394" s="1857">
        <f>IFERROR(T394*IFERROR(VLOOKUP("Electricity",PO_Enrgy_1_Table,MATCH($M$16,PO_Enrgy_1_Hdr,0),FALSE),0),0)</f>
        <v>0</v>
      </c>
      <c r="Z394" s="549" t="str">
        <f t="shared" ref="Z394:Z399" si="288">$L$23</f>
        <v>kWh</v>
      </c>
      <c r="AA394" s="2423" t="e">
        <f>SUM(Y394:Y399)/AA404</f>
        <v>#DIV/0!</v>
      </c>
      <c r="AM394" s="2"/>
      <c r="BD394" s="235"/>
      <c r="BF394" s="2612"/>
    </row>
    <row r="395" spans="1:58" ht="18" hidden="1" customHeight="1" x14ac:dyDescent="0.25">
      <c r="T395" s="2422"/>
      <c r="U395" s="549"/>
      <c r="V395" s="1236"/>
      <c r="W395" s="549"/>
      <c r="X395" s="1238"/>
      <c r="Y395" s="1236"/>
      <c r="Z395" s="549" t="str">
        <f t="shared" si="288"/>
        <v>kWh</v>
      </c>
      <c r="AA395" s="2384"/>
      <c r="AM395" s="2"/>
      <c r="BD395" s="235"/>
      <c r="BF395" s="2612"/>
    </row>
    <row r="396" spans="1:58" ht="18" hidden="1" customHeight="1" x14ac:dyDescent="0.25">
      <c r="L396" s="438"/>
      <c r="T396" s="2422"/>
      <c r="U396" s="549"/>
      <c r="V396" s="1236"/>
      <c r="W396" s="549"/>
      <c r="X396" s="1238"/>
      <c r="Y396" s="1236"/>
      <c r="Z396" s="549" t="str">
        <f t="shared" si="288"/>
        <v>kWh</v>
      </c>
      <c r="AA396" s="2384"/>
      <c r="AM396" s="2"/>
      <c r="BD396" s="235"/>
      <c r="BF396" s="2612"/>
    </row>
    <row r="397" spans="1:58" ht="18" hidden="1" customHeight="1" x14ac:dyDescent="0.25">
      <c r="T397" s="2422"/>
      <c r="U397" s="549"/>
      <c r="V397" s="1236"/>
      <c r="W397" s="549"/>
      <c r="X397" s="1238"/>
      <c r="Y397" s="1236"/>
      <c r="Z397" s="549" t="str">
        <f t="shared" si="288"/>
        <v>kWh</v>
      </c>
      <c r="AA397" s="2384"/>
      <c r="AM397" s="2"/>
      <c r="BD397" s="235"/>
      <c r="BF397" s="2612"/>
    </row>
    <row r="398" spans="1:58" ht="18" hidden="1" customHeight="1" x14ac:dyDescent="0.25">
      <c r="T398" s="2422">
        <f>SUMIF($W$146:$W$203,U398,$V$146:$V$203)+SUMIF($Y$92:$Y$95,U398,$X$92:$X$95)</f>
        <v>0</v>
      </c>
      <c r="U398" s="549" t="s">
        <v>2224</v>
      </c>
      <c r="V398" s="1676" t="str">
        <f>IFERROR(T398*E312,"-")</f>
        <v>-</v>
      </c>
      <c r="W398" s="549" t="s">
        <v>828</v>
      </c>
      <c r="Y398" s="1857">
        <f>IFERROR(T398*IFERROR(VLOOKUP("Natural Gas",PO_Enrgy_1_Table,MATCH($M$16,PO_Enrgy_1_Hdr,0),FALSE),0),0)</f>
        <v>0</v>
      </c>
      <c r="Z398" s="549" t="str">
        <f t="shared" si="288"/>
        <v>kWh</v>
      </c>
      <c r="AA398" s="2384"/>
      <c r="AM398" s="2"/>
      <c r="BD398" s="235"/>
      <c r="BF398" s="2612"/>
    </row>
    <row r="399" spans="1:58" ht="18" hidden="1" customHeight="1" x14ac:dyDescent="0.25">
      <c r="T399" s="2422">
        <f>SUMIF($W$146:$W$203,U399,$V$146:$V$203)+SUMIF($Y$92:$Y$95,U399,$X$92:$X$95)</f>
        <v>0</v>
      </c>
      <c r="U399" s="549" t="s">
        <v>568</v>
      </c>
      <c r="V399" s="1676" t="str">
        <f>IFERROR(T399*E313,"-")</f>
        <v>-</v>
      </c>
      <c r="W399" s="549" t="s">
        <v>828</v>
      </c>
      <c r="Y399" s="1857">
        <f>IFERROR(T399*IFERROR(IF(DistrictCooling=FALSE,0,VLOOKUP("District Cooling",PO_Enrgy_1_Table,MATCH($M$16,PO_Enrgy_1_Hdr,0),FALSE)),0),0)</f>
        <v>0</v>
      </c>
      <c r="Z399" s="549" t="str">
        <f t="shared" si="288"/>
        <v>kWh</v>
      </c>
      <c r="AA399" s="2384"/>
      <c r="AM399" s="2"/>
      <c r="BD399" s="235"/>
      <c r="BF399" s="2612"/>
    </row>
    <row r="400" spans="1:58" ht="18" hidden="1" customHeight="1" x14ac:dyDescent="0.25">
      <c r="T400" s="2421" t="s">
        <v>2223</v>
      </c>
      <c r="V400" s="549" t="s">
        <v>2223</v>
      </c>
      <c r="Y400" s="549" t="s">
        <v>2223</v>
      </c>
      <c r="AA400" s="2384"/>
      <c r="AM400" s="2"/>
      <c r="BD400" s="235"/>
      <c r="BF400" s="2612"/>
    </row>
    <row r="401" spans="1:58" s="245" customFormat="1" ht="18" hidden="1" customHeight="1" x14ac:dyDescent="0.25">
      <c r="A401" s="433" t="s">
        <v>1038</v>
      </c>
      <c r="B401" s="249"/>
      <c r="C401" s="249"/>
      <c r="D401" s="249"/>
      <c r="E401" s="250"/>
      <c r="F401" s="250"/>
      <c r="G401" s="294"/>
      <c r="H401" s="250"/>
      <c r="I401" s="250"/>
      <c r="J401" s="294"/>
      <c r="K401" s="332"/>
      <c r="L401" s="332"/>
      <c r="M401" s="332"/>
      <c r="N401" s="235"/>
      <c r="O401" s="235"/>
      <c r="P401" s="235"/>
      <c r="Q401" s="235"/>
      <c r="R401" s="235"/>
      <c r="S401" s="235"/>
      <c r="T401" s="2424">
        <f>(E322)-T394</f>
        <v>0</v>
      </c>
      <c r="U401" s="549" t="s">
        <v>398</v>
      </c>
      <c r="V401" s="1236" t="str">
        <f>IFERROR(T401*E311,"")</f>
        <v/>
      </c>
      <c r="W401" s="549" t="s">
        <v>828</v>
      </c>
      <c r="X401" s="1237" t="e">
        <f>SUM(V401:V404)/X404</f>
        <v>#DIV/0!</v>
      </c>
      <c r="Y401" s="1857">
        <f>T401*IFERROR(VLOOKUP("Electricity",PO_Enrgy_1_Table,MATCH($M$16,PO_Enrgy_1_Hdr,0),FALSE),0)</f>
        <v>0</v>
      </c>
      <c r="Z401" s="549" t="str">
        <f>$L$23</f>
        <v>kWh</v>
      </c>
      <c r="AA401" s="2425" t="e">
        <f>SUM(Y401:Y404)/AA404</f>
        <v>#DIV/0!</v>
      </c>
      <c r="AO401" s="270"/>
      <c r="AP401" s="271"/>
      <c r="BE401" s="235"/>
      <c r="BF401" s="261"/>
    </row>
    <row r="402" spans="1:58" s="245" customFormat="1" ht="33" hidden="1" customHeight="1" x14ac:dyDescent="0.25">
      <c r="A402" s="433"/>
      <c r="B402" s="249"/>
      <c r="C402" s="249"/>
      <c r="D402" s="249"/>
      <c r="E402" s="250"/>
      <c r="F402" s="250"/>
      <c r="G402" s="294"/>
      <c r="H402" s="250"/>
      <c r="I402" s="250"/>
      <c r="J402" s="294"/>
      <c r="K402" s="332"/>
      <c r="L402" s="332"/>
      <c r="M402" s="332"/>
      <c r="N402" s="235"/>
      <c r="O402" s="235"/>
      <c r="P402" s="235"/>
      <c r="Q402" s="235"/>
      <c r="R402" s="235"/>
      <c r="S402" s="235"/>
      <c r="T402" s="2424"/>
      <c r="U402" s="549"/>
      <c r="V402" s="1236"/>
      <c r="W402" s="549"/>
      <c r="X402" s="1238"/>
      <c r="Y402" s="1856"/>
      <c r="Z402" s="549" t="str">
        <f>$L$23</f>
        <v>kWh</v>
      </c>
      <c r="AA402" s="2426"/>
      <c r="AO402" s="270"/>
      <c r="AP402" s="271"/>
      <c r="BE402" s="235"/>
      <c r="BF402" s="261"/>
    </row>
    <row r="403" spans="1:58" ht="21.75" customHeight="1" x14ac:dyDescent="0.25">
      <c r="A403" s="433" t="s">
        <v>1038</v>
      </c>
      <c r="B403" s="583" t="s">
        <v>3356</v>
      </c>
      <c r="T403" s="2424">
        <f>(E323)-T398</f>
        <v>0</v>
      </c>
      <c r="U403" s="549" t="s">
        <v>2224</v>
      </c>
      <c r="V403" s="1236" t="str">
        <f>IFERROR(T403*E312,"-")</f>
        <v>-</v>
      </c>
      <c r="W403" s="549" t="s">
        <v>828</v>
      </c>
      <c r="Y403" s="1857">
        <f>T403*IFERROR(VLOOKUP("Natural Gas",PO_Enrgy_1_Table,MATCH($M$16,PO_Enrgy_1_Hdr,0),FALSE),0)</f>
        <v>0</v>
      </c>
      <c r="Z403" s="549" t="str">
        <f>$L$23</f>
        <v>kWh</v>
      </c>
      <c r="AA403" s="2384"/>
      <c r="AO403" s="289"/>
      <c r="AP403" s="290"/>
      <c r="BD403" s="235"/>
      <c r="BF403" s="261"/>
    </row>
    <row r="404" spans="1:58" ht="42" customHeight="1" thickBot="1" x14ac:dyDescent="0.3">
      <c r="A404" s="433" t="s">
        <v>1038</v>
      </c>
      <c r="B404" s="3357" t="s">
        <v>354</v>
      </c>
      <c r="C404" s="3395" t="s">
        <v>1436</v>
      </c>
      <c r="D404" s="3842"/>
      <c r="E404" s="3820" t="s">
        <v>362</v>
      </c>
      <c r="F404" s="3961"/>
      <c r="G404" s="3961"/>
      <c r="H404" s="3962"/>
      <c r="I404" s="3828" t="s">
        <v>942</v>
      </c>
      <c r="J404" s="3829"/>
      <c r="K404" s="3829"/>
      <c r="L404" s="3830"/>
      <c r="M404" s="3393" t="s">
        <v>3256</v>
      </c>
      <c r="N404" s="3831"/>
      <c r="O404" s="3831"/>
      <c r="P404" s="3832"/>
      <c r="Q404" s="249"/>
      <c r="S404" s="2384"/>
      <c r="T404" s="2427">
        <f>(E324)-T399</f>
        <v>0</v>
      </c>
      <c r="U404" s="2428" t="s">
        <v>568</v>
      </c>
      <c r="V404" s="2429" t="str">
        <f>IFERROR(T404*E313,"-")</f>
        <v>-</v>
      </c>
      <c r="W404" s="2428" t="s">
        <v>828</v>
      </c>
      <c r="X404" s="2429">
        <f>SUM(V394:V399,V401:V404)</f>
        <v>0</v>
      </c>
      <c r="Y404" s="2430">
        <f>T404*IFERROR(IF(DistrictCooling=FALSE,0,VLOOKUP("District Cooling",PO_Enrgy_1_Table,MATCH($M$16,PO_Enrgy_1_Hdr,0),FALSE)),0)</f>
        <v>0</v>
      </c>
      <c r="Z404" s="2428" t="str">
        <f>$L$23</f>
        <v>kWh</v>
      </c>
      <c r="AA404" s="2431">
        <f>SUM(Y394:Y399,Y401:Y404)</f>
        <v>0</v>
      </c>
      <c r="AM404" s="2"/>
      <c r="AO404" s="267"/>
      <c r="AP404" s="268"/>
      <c r="AU404" s="399"/>
      <c r="AV404" s="400"/>
      <c r="AW404" s="400"/>
      <c r="AX404" s="400"/>
      <c r="AY404" s="272"/>
      <c r="BD404" s="235"/>
      <c r="BF404" s="261"/>
    </row>
    <row r="405" spans="1:58" ht="56.25" customHeight="1" thickBot="1" x14ac:dyDescent="0.3">
      <c r="A405" s="433" t="s">
        <v>1038</v>
      </c>
      <c r="B405" s="3842"/>
      <c r="C405" s="3842"/>
      <c r="D405" s="3842"/>
      <c r="E405" s="1670" t="s">
        <v>360</v>
      </c>
      <c r="F405" s="780" t="str">
        <f>"Source Energy Use Savings 
("  &amp; PO_SourceUnits &amp; ")"</f>
        <v>Source Energy Use Savings 
(kWh)</v>
      </c>
      <c r="G405" s="1881" t="s">
        <v>359</v>
      </c>
      <c r="H405" s="1670" t="s">
        <v>3206</v>
      </c>
      <c r="I405" s="2359" t="s">
        <v>902</v>
      </c>
      <c r="J405" s="780" t="str">
        <f>"Source Energy Use 
("  &amp; PO_SourceUnits &amp; ")"</f>
        <v>Source Energy Use 
(kWh)</v>
      </c>
      <c r="K405" s="1881" t="s">
        <v>356</v>
      </c>
      <c r="L405" s="1670" t="s">
        <v>3204</v>
      </c>
      <c r="M405" s="2359" t="s">
        <v>2584</v>
      </c>
      <c r="N405" s="1670" t="s">
        <v>2585</v>
      </c>
      <c r="O405" s="1881" t="s">
        <v>356</v>
      </c>
      <c r="P405" s="1670" t="s">
        <v>3204</v>
      </c>
      <c r="Q405" s="334"/>
      <c r="R405" s="588"/>
      <c r="S405" s="588"/>
      <c r="AM405" s="2"/>
      <c r="AO405" s="267"/>
      <c r="AP405" s="268"/>
      <c r="AU405" s="400"/>
      <c r="AV405" s="283"/>
      <c r="AW405" s="283"/>
      <c r="AX405" s="283"/>
      <c r="BD405" s="1358" t="s">
        <v>1635</v>
      </c>
      <c r="BF405" s="261"/>
    </row>
    <row r="406" spans="1:58" s="446" customFormat="1" ht="14.4" hidden="1" thickBot="1" x14ac:dyDescent="0.3">
      <c r="A406" s="433" t="s">
        <v>1038</v>
      </c>
      <c r="B406" s="1454" t="s">
        <v>1396</v>
      </c>
      <c r="C406" s="1532" t="s">
        <v>1424</v>
      </c>
      <c r="D406" s="1454"/>
      <c r="E406" s="1452" t="s">
        <v>1456</v>
      </c>
      <c r="F406" s="1454" t="s">
        <v>1457</v>
      </c>
      <c r="G406" s="2408" t="s">
        <v>1458</v>
      </c>
      <c r="H406" s="1452"/>
      <c r="I406" s="2411" t="s">
        <v>1437</v>
      </c>
      <c r="J406" s="1454" t="s">
        <v>1438</v>
      </c>
      <c r="K406" s="2408" t="s">
        <v>1439</v>
      </c>
      <c r="L406" s="1452"/>
      <c r="M406" s="2411" t="s">
        <v>1455</v>
      </c>
      <c r="N406" s="1532"/>
      <c r="O406" s="2408" t="s">
        <v>1441</v>
      </c>
      <c r="P406" s="1452"/>
      <c r="Q406" s="463"/>
      <c r="R406" s="463"/>
      <c r="S406" s="463"/>
      <c r="T406" s="415" t="s">
        <v>1407</v>
      </c>
      <c r="U406" s="415" t="s">
        <v>1408</v>
      </c>
      <c r="V406" s="415" t="s">
        <v>1506</v>
      </c>
      <c r="AM406" s="447"/>
      <c r="BD406" s="2161"/>
      <c r="BF406" s="2162"/>
    </row>
    <row r="407" spans="1:58" ht="15" customHeight="1" x14ac:dyDescent="0.25">
      <c r="A407" s="433" t="s">
        <v>1038</v>
      </c>
      <c r="B407" s="1311" t="str">
        <f t="shared" ref="B407:B412" si="289">IFERROR(IF(ISBLANK(B17),"",B17),"")</f>
        <v/>
      </c>
      <c r="C407" s="3838" t="str">
        <f t="shared" ref="C407:C412" si="290">IFERROR(IF(ISBLANK($B407),"",VLOOKUP($B407,PO_Enrgy_1_Table,MATCH($C$16,PO_Enrgy_1_Hdr,0),FALSE) ),"")</f>
        <v/>
      </c>
      <c r="D407" s="3838" t="str">
        <f>IF(C407="","",VLOOKUP(C407,ProjectEnergyTypeTable,3,FALSE))</f>
        <v/>
      </c>
      <c r="E407" s="1309">
        <f>IFERROR(IF(PO_SiteRenewable=TRUE,VLOOKUP($B407,PO_Enrgy_2_Table,MATCH($E$70,PO_Enrgy_2_Hdr,0),FALSE),0),"")</f>
        <v>0</v>
      </c>
      <c r="F407" s="1309" t="str">
        <f t="shared" ref="F407:F412" si="291">IFERROR(E407*$U407,"")</f>
        <v/>
      </c>
      <c r="G407" s="2410">
        <f t="shared" ref="G407:G412" si="292">IFERROR(IF(PO_SiteRenewable=TRUE,VLOOKUP($B407,PO_Enrgy_2_Table,MATCH($K$70,PO_Enrgy_2_Hdr,0),FALSE),0),"")</f>
        <v>0</v>
      </c>
      <c r="H407" s="1309" t="str">
        <f>IFERROR(E407*X407,"")</f>
        <v/>
      </c>
      <c r="I407" s="2412">
        <f t="shared" ref="I407:I412" si="293">IFERROR(VLOOKUP($B407,PO_Enrgy_13_Table,MATCH($I$384,PO_Enrgy_13_Hdr,0),FALSE)-IF(PO_SiteRenewable=TRUE,VLOOKUP($B407,PO_Enrgy_2_Table,MATCH($E$70,PO_Enrgy_2_Hdr,0),FALSE),0),0)</f>
        <v>0</v>
      </c>
      <c r="J407" s="1309" t="str">
        <f t="shared" ref="J407:J412" si="294">IFERROR(I407*$U407,"")</f>
        <v/>
      </c>
      <c r="K407" s="2410">
        <f t="shared" ref="K407:K412" si="295">IFERROR(VLOOKUP($B407,PO_Enrgy_13_Table,MATCH($K$384,PO_Enrgy_13_Hdr,0),FALSE)-IF(PO_SiteRenewable=TRUE,VLOOKUP($B407,PO_Enrgy_2_Table,MATCH($K$70,PO_Enrgy_2_Hdr,0),FALSE),0),0)</f>
        <v>0</v>
      </c>
      <c r="L407" s="1309" t="str">
        <f>IFERROR(I407*X407,"")</f>
        <v/>
      </c>
      <c r="M407" s="2432" t="str">
        <f t="shared" ref="M407:M412" si="296">IFERROR(1-$I407/VLOOKUP($B407,PO_Enrgy_13_Table,MATCH($E$384,PO_Enrgy_13_Hdr,0),FALSE),"")</f>
        <v/>
      </c>
      <c r="N407" s="1854" t="str">
        <f t="shared" ref="N407:N412" si="297">IFERROR(1-$J407/VLOOKUP($B407,PO_Enrgy_13_Table,MATCH($F$384,PO_Enrgy_13_Hdr,0),FALSE),"")</f>
        <v/>
      </c>
      <c r="O407" s="2433" t="str">
        <f t="shared" ref="O407:O412" si="298">IFERROR(1-$K407/VLOOKUP($B407,PO_Enrgy_13_Table,MATCH($G$384,PO_Enrgy_13_Hdr,0),FALSE),"")</f>
        <v/>
      </c>
      <c r="P407" s="2820" t="str">
        <f t="shared" ref="P407:P412" si="299">IFERROR(1-$L407/VLOOKUP($B407,PO_Enrgy_13_Table,MATCH($H$384,PO_Enrgy_13_Hdr,0),FALSE),"")</f>
        <v/>
      </c>
      <c r="Q407" s="2600"/>
      <c r="T407" s="627" t="str">
        <f t="shared" ref="T407:T412" si="300">IFERROR(IF(ISBLANK($B407),"",VLOOKUP($B407,PO_Enrgy_1_Table,MATCH($K$16,PO_Enrgy_1_Hdr,0),FALSE)),"")</f>
        <v/>
      </c>
      <c r="U407" s="627" t="str">
        <f t="shared" ref="U407:U412" si="301">IFERROR(IF(ISBLANK($B407),"",VLOOKUP($B407,PO_Enrgy_1_Table,MATCH($M$16,PO_Enrgy_1_Hdr,0),FALSE)),"")</f>
        <v/>
      </c>
      <c r="V407" s="627" t="str">
        <f t="shared" ref="V407:V412" si="302">IFERROR(G407/E407,"")</f>
        <v/>
      </c>
      <c r="X407" s="2405" t="str">
        <f t="shared" ref="X407:X412" si="303">IFERROR(VLOOKUP(B407,PO_Enrgy_1_Table,MATCH($T$16,PO_Enrgy_1_Hdr,0),0),"")</f>
        <v/>
      </c>
      <c r="AK407" s="263"/>
      <c r="AL407" s="263"/>
      <c r="AM407" s="256"/>
      <c r="AO407" s="267"/>
      <c r="AP407" s="267"/>
      <c r="AQ407" s="300"/>
      <c r="AS407" s="273"/>
      <c r="AU407" s="274"/>
      <c r="AV407" s="257"/>
      <c r="AW407" s="257"/>
      <c r="AX407" s="284"/>
      <c r="BD407" s="2154"/>
      <c r="BF407" s="2612"/>
    </row>
    <row r="408" spans="1:58" ht="15" customHeight="1" x14ac:dyDescent="0.25">
      <c r="A408" s="433" t="s">
        <v>1038</v>
      </c>
      <c r="B408" s="1311" t="str">
        <f t="shared" si="289"/>
        <v/>
      </c>
      <c r="C408" s="3838" t="str">
        <f t="shared" si="290"/>
        <v/>
      </c>
      <c r="D408" s="3838" t="str">
        <f>IF(C408="","",VLOOKUP(C408,ProjectEnergyTypeTable,3,FALSE))</f>
        <v/>
      </c>
      <c r="E408" s="1309">
        <f t="shared" ref="E408:E412" si="304">IFERROR(IF(PO_SiteRenewable=TRUE,VLOOKUP($B408,PO_Enrgy_2_Table,MATCH($E$70,PO_Enrgy_2_Hdr,0),FALSE),0),"")</f>
        <v>0</v>
      </c>
      <c r="F408" s="1309" t="str">
        <f t="shared" si="291"/>
        <v/>
      </c>
      <c r="G408" s="2410">
        <f t="shared" si="292"/>
        <v>0</v>
      </c>
      <c r="H408" s="1309" t="str">
        <f t="shared" ref="H408:H412" si="305">IFERROR(E408*X408,"")</f>
        <v/>
      </c>
      <c r="I408" s="2412">
        <f t="shared" si="293"/>
        <v>0</v>
      </c>
      <c r="J408" s="1309" t="str">
        <f t="shared" si="294"/>
        <v/>
      </c>
      <c r="K408" s="2410">
        <f t="shared" si="295"/>
        <v>0</v>
      </c>
      <c r="L408" s="1309" t="str">
        <f t="shared" ref="L408:L412" si="306">IFERROR(I408*X408,"")</f>
        <v/>
      </c>
      <c r="M408" s="2432" t="str">
        <f t="shared" si="296"/>
        <v/>
      </c>
      <c r="N408" s="1854" t="str">
        <f t="shared" si="297"/>
        <v/>
      </c>
      <c r="O408" s="2433" t="str">
        <f t="shared" si="298"/>
        <v/>
      </c>
      <c r="P408" s="2820" t="str">
        <f t="shared" si="299"/>
        <v/>
      </c>
      <c r="Q408" s="2600"/>
      <c r="T408" s="627" t="str">
        <f t="shared" si="300"/>
        <v/>
      </c>
      <c r="U408" s="627" t="str">
        <f t="shared" si="301"/>
        <v/>
      </c>
      <c r="V408" s="627" t="str">
        <f t="shared" si="302"/>
        <v/>
      </c>
      <c r="X408" s="2406" t="str">
        <f t="shared" si="303"/>
        <v/>
      </c>
      <c r="AK408" s="263"/>
      <c r="AL408" s="263"/>
      <c r="AM408" s="256"/>
      <c r="AO408" s="267"/>
      <c r="AP408" s="267"/>
      <c r="AQ408" s="300"/>
      <c r="AS408" s="273"/>
      <c r="AU408" s="274"/>
      <c r="AV408" s="257"/>
      <c r="AW408" s="257"/>
      <c r="AX408" s="284"/>
      <c r="BD408" s="2154"/>
      <c r="BF408" s="2612"/>
    </row>
    <row r="409" spans="1:58" ht="15" customHeight="1" x14ac:dyDescent="0.25">
      <c r="A409" s="433" t="s">
        <v>1038</v>
      </c>
      <c r="B409" s="1311" t="str">
        <f t="shared" si="289"/>
        <v/>
      </c>
      <c r="C409" s="3838" t="str">
        <f t="shared" si="290"/>
        <v/>
      </c>
      <c r="D409" s="3838" t="str">
        <f>IF(C409="","",VLOOKUP(C409,ProjectEnergyTypeTable,3,FALSE))</f>
        <v/>
      </c>
      <c r="E409" s="1309">
        <f t="shared" si="304"/>
        <v>0</v>
      </c>
      <c r="F409" s="1309" t="str">
        <f t="shared" si="291"/>
        <v/>
      </c>
      <c r="G409" s="2410">
        <f t="shared" si="292"/>
        <v>0</v>
      </c>
      <c r="H409" s="1309" t="str">
        <f t="shared" si="305"/>
        <v/>
      </c>
      <c r="I409" s="2412">
        <f t="shared" si="293"/>
        <v>0</v>
      </c>
      <c r="J409" s="1309" t="str">
        <f t="shared" si="294"/>
        <v/>
      </c>
      <c r="K409" s="2410">
        <f t="shared" si="295"/>
        <v>0</v>
      </c>
      <c r="L409" s="1309" t="str">
        <f t="shared" si="306"/>
        <v/>
      </c>
      <c r="M409" s="2432" t="str">
        <f t="shared" si="296"/>
        <v/>
      </c>
      <c r="N409" s="1854" t="str">
        <f t="shared" si="297"/>
        <v/>
      </c>
      <c r="O409" s="2433" t="str">
        <f t="shared" si="298"/>
        <v/>
      </c>
      <c r="P409" s="2820" t="str">
        <f t="shared" si="299"/>
        <v/>
      </c>
      <c r="Q409" s="2600"/>
      <c r="T409" s="627" t="str">
        <f t="shared" si="300"/>
        <v/>
      </c>
      <c r="U409" s="627" t="str">
        <f t="shared" si="301"/>
        <v/>
      </c>
      <c r="V409" s="627" t="str">
        <f t="shared" si="302"/>
        <v/>
      </c>
      <c r="X409" s="2406" t="str">
        <f t="shared" si="303"/>
        <v/>
      </c>
      <c r="AK409" s="263"/>
      <c r="AL409" s="263"/>
      <c r="AM409" s="256"/>
      <c r="AO409" s="267"/>
      <c r="AP409" s="267"/>
      <c r="AQ409" s="300"/>
      <c r="AS409" s="273"/>
      <c r="AU409" s="274"/>
      <c r="AV409" s="257"/>
      <c r="AW409" s="257"/>
      <c r="AX409" s="284"/>
      <c r="BD409" s="2154"/>
      <c r="BF409" s="2612"/>
    </row>
    <row r="410" spans="1:58" ht="15" customHeight="1" x14ac:dyDescent="0.25">
      <c r="A410" s="433" t="s">
        <v>1038</v>
      </c>
      <c r="B410" s="1311" t="str">
        <f t="shared" si="289"/>
        <v/>
      </c>
      <c r="C410" s="3838" t="str">
        <f t="shared" si="290"/>
        <v/>
      </c>
      <c r="D410" s="3838" t="str">
        <f>IF(C410="","",VLOOKUP(C410,ProjectEnergyTypeTable,3,FALSE))</f>
        <v/>
      </c>
      <c r="E410" s="1309">
        <f t="shared" si="304"/>
        <v>0</v>
      </c>
      <c r="F410" s="1309" t="str">
        <f t="shared" si="291"/>
        <v/>
      </c>
      <c r="G410" s="2410">
        <f t="shared" si="292"/>
        <v>0</v>
      </c>
      <c r="H410" s="1309" t="str">
        <f t="shared" si="305"/>
        <v/>
      </c>
      <c r="I410" s="2412">
        <f t="shared" si="293"/>
        <v>0</v>
      </c>
      <c r="J410" s="1309" t="str">
        <f t="shared" si="294"/>
        <v/>
      </c>
      <c r="K410" s="2410">
        <f t="shared" si="295"/>
        <v>0</v>
      </c>
      <c r="L410" s="1309" t="str">
        <f t="shared" si="306"/>
        <v/>
      </c>
      <c r="M410" s="2432" t="str">
        <f t="shared" si="296"/>
        <v/>
      </c>
      <c r="N410" s="1854" t="str">
        <f t="shared" si="297"/>
        <v/>
      </c>
      <c r="O410" s="2433" t="str">
        <f t="shared" si="298"/>
        <v/>
      </c>
      <c r="P410" s="2820" t="str">
        <f t="shared" si="299"/>
        <v/>
      </c>
      <c r="Q410" s="2600"/>
      <c r="T410" s="627" t="str">
        <f t="shared" si="300"/>
        <v/>
      </c>
      <c r="U410" s="627" t="str">
        <f t="shared" si="301"/>
        <v/>
      </c>
      <c r="V410" s="627" t="str">
        <f t="shared" si="302"/>
        <v/>
      </c>
      <c r="X410" s="2406" t="str">
        <f t="shared" si="303"/>
        <v/>
      </c>
      <c r="AK410" s="263"/>
      <c r="AL410" s="263"/>
      <c r="AM410" s="256"/>
      <c r="AO410" s="267"/>
      <c r="AP410" s="267"/>
      <c r="AQ410" s="300"/>
      <c r="AS410" s="273"/>
      <c r="AU410" s="274"/>
      <c r="AV410" s="257"/>
      <c r="AW410" s="257"/>
      <c r="AX410" s="284"/>
      <c r="BD410" s="2154"/>
      <c r="BF410" s="2612"/>
    </row>
    <row r="411" spans="1:58" ht="15" customHeight="1" x14ac:dyDescent="0.25">
      <c r="A411" s="433" t="s">
        <v>1038</v>
      </c>
      <c r="B411" s="1311" t="str">
        <f t="shared" si="289"/>
        <v/>
      </c>
      <c r="C411" s="3838" t="str">
        <f t="shared" si="290"/>
        <v/>
      </c>
      <c r="D411" s="3838" t="str">
        <f>IF(C411="","",VLOOKUP(C411,ProjectEnergyTypeTable,3,FALSE))</f>
        <v/>
      </c>
      <c r="E411" s="1309">
        <f t="shared" si="304"/>
        <v>0</v>
      </c>
      <c r="F411" s="1309" t="str">
        <f t="shared" si="291"/>
        <v/>
      </c>
      <c r="G411" s="2410">
        <f t="shared" si="292"/>
        <v>0</v>
      </c>
      <c r="H411" s="1309" t="str">
        <f t="shared" si="305"/>
        <v/>
      </c>
      <c r="I411" s="2412">
        <f t="shared" si="293"/>
        <v>0</v>
      </c>
      <c r="J411" s="1309" t="str">
        <f t="shared" si="294"/>
        <v/>
      </c>
      <c r="K411" s="2410">
        <f t="shared" si="295"/>
        <v>0</v>
      </c>
      <c r="L411" s="1309" t="str">
        <f t="shared" si="306"/>
        <v/>
      </c>
      <c r="M411" s="2432" t="str">
        <f t="shared" si="296"/>
        <v/>
      </c>
      <c r="N411" s="1854" t="str">
        <f t="shared" si="297"/>
        <v/>
      </c>
      <c r="O411" s="2433" t="str">
        <f t="shared" si="298"/>
        <v/>
      </c>
      <c r="P411" s="2820" t="str">
        <f t="shared" si="299"/>
        <v/>
      </c>
      <c r="Q411" s="2600"/>
      <c r="T411" s="627" t="str">
        <f t="shared" si="300"/>
        <v/>
      </c>
      <c r="U411" s="627" t="str">
        <f t="shared" si="301"/>
        <v/>
      </c>
      <c r="V411" s="627" t="str">
        <f t="shared" si="302"/>
        <v/>
      </c>
      <c r="X411" s="2406" t="str">
        <f t="shared" si="303"/>
        <v/>
      </c>
      <c r="AK411" s="263"/>
      <c r="AL411" s="263"/>
      <c r="AM411" s="256"/>
      <c r="AO411" s="267"/>
      <c r="AP411" s="267"/>
      <c r="AQ411" s="300"/>
      <c r="AS411" s="273"/>
      <c r="AU411" s="274"/>
      <c r="AV411" s="257"/>
      <c r="AW411" s="257"/>
      <c r="AX411" s="284"/>
      <c r="BD411" s="2154"/>
      <c r="BF411" s="2612"/>
    </row>
    <row r="412" spans="1:58" ht="15" customHeight="1" thickBot="1" x14ac:dyDescent="0.3">
      <c r="A412" s="433" t="s">
        <v>1038</v>
      </c>
      <c r="B412" s="2440" t="str">
        <f t="shared" si="289"/>
        <v/>
      </c>
      <c r="C412" s="3843" t="str">
        <f t="shared" si="290"/>
        <v/>
      </c>
      <c r="D412" s="3843" t="str">
        <f>IF(C412="","",VLOOKUP(C412,ProjectEnergyTypeTable,3,FALSE))</f>
        <v/>
      </c>
      <c r="E412" s="2434">
        <f t="shared" si="304"/>
        <v>0</v>
      </c>
      <c r="F412" s="2434" t="str">
        <f t="shared" si="291"/>
        <v/>
      </c>
      <c r="G412" s="2442">
        <f t="shared" si="292"/>
        <v>0</v>
      </c>
      <c r="H412" s="1309" t="str">
        <f t="shared" si="305"/>
        <v/>
      </c>
      <c r="I412" s="2435">
        <f t="shared" si="293"/>
        <v>0</v>
      </c>
      <c r="J412" s="2434" t="str">
        <f t="shared" si="294"/>
        <v/>
      </c>
      <c r="K412" s="2442">
        <f t="shared" si="295"/>
        <v>0</v>
      </c>
      <c r="L412" s="1309" t="str">
        <f t="shared" si="306"/>
        <v/>
      </c>
      <c r="M412" s="2477" t="str">
        <f t="shared" si="296"/>
        <v/>
      </c>
      <c r="N412" s="2436" t="str">
        <f t="shared" si="297"/>
        <v/>
      </c>
      <c r="O412" s="2478" t="str">
        <f t="shared" si="298"/>
        <v/>
      </c>
      <c r="P412" s="2820" t="str">
        <f t="shared" si="299"/>
        <v/>
      </c>
      <c r="Q412" s="2600"/>
      <c r="T412" s="627" t="str">
        <f t="shared" si="300"/>
        <v/>
      </c>
      <c r="U412" s="627" t="str">
        <f t="shared" si="301"/>
        <v/>
      </c>
      <c r="V412" s="627" t="str">
        <f t="shared" si="302"/>
        <v/>
      </c>
      <c r="X412" s="2407" t="str">
        <f t="shared" si="303"/>
        <v/>
      </c>
      <c r="AK412" s="263"/>
      <c r="AL412" s="263"/>
      <c r="AM412" s="256"/>
      <c r="AO412" s="267"/>
      <c r="AP412" s="267"/>
      <c r="AQ412" s="300"/>
      <c r="AS412" s="273"/>
      <c r="AU412" s="274"/>
      <c r="AV412" s="257"/>
      <c r="AW412" s="257"/>
      <c r="AX412" s="284"/>
      <c r="BD412" s="2154"/>
      <c r="BF412" s="2612"/>
    </row>
    <row r="413" spans="1:58" s="245" customFormat="1" ht="21" customHeight="1" x14ac:dyDescent="0.25">
      <c r="A413" s="433" t="s">
        <v>1038</v>
      </c>
      <c r="B413" s="3817" t="str">
        <f>"Energy Model Subtotal"</f>
        <v>Energy Model Subtotal</v>
      </c>
      <c r="C413" s="3817"/>
      <c r="D413" s="3817"/>
      <c r="E413" s="1309">
        <f>IFERROR(SUMPRODUCT(INDEX(PO_Enrgy_14_Table,0,MATCH(E$406,PO_Enrgy_14_Hdr,0)),INDEX(PO_Enrgy_14_Table,0,MATCH($T$406,PO_Enrgy_14_Hdr,0))),"")</f>
        <v>0</v>
      </c>
      <c r="F413" s="1310">
        <f>IFERROR(SUM(INDEX(PO_Enrgy_14_Table,0,MATCH(F$406,PO_Enrgy_14_Hdr,0))),"")</f>
        <v>0</v>
      </c>
      <c r="G413" s="1312">
        <f>IFERROR(SUM(INDEX(PO_Enrgy_14_Table,0,MATCH(G$406,PO_Enrgy_14_Hdr,0))),"")</f>
        <v>0</v>
      </c>
      <c r="H413" s="1309">
        <f>SUM(H407:H412)</f>
        <v>0</v>
      </c>
      <c r="I413" s="1309">
        <f>IFERROR(SUMPRODUCT(INDEX(PO_Enrgy_14_Table,0,MATCH(I$406,PO_Enrgy_14_Hdr,0)),INDEX(PO_Enrgy_14_Table,0,MATCH($T$406,PO_Enrgy_14_Hdr,0))),"")</f>
        <v>0</v>
      </c>
      <c r="J413" s="1310">
        <f>IFERROR(SUM(INDEX(PO_Enrgy_14_Table,0,MATCH(J$406,PO_Enrgy_14_Hdr,0))),"")</f>
        <v>0</v>
      </c>
      <c r="K413" s="1312">
        <f>IFERROR(SUM(INDEX(PO_Enrgy_14_Table,0,MATCH(K$406,PO_Enrgy_14_Hdr,0))),"")</f>
        <v>0</v>
      </c>
      <c r="L413" s="1309">
        <f>SUM(L407:L412)</f>
        <v>0</v>
      </c>
      <c r="M413" s="2821" t="str">
        <f>IFERROR(1-$I413/$E$391,"")</f>
        <v/>
      </c>
      <c r="N413" s="1854" t="str">
        <f>IFERROR(1-$J413/$F$391,"")</f>
        <v/>
      </c>
      <c r="O413" s="2822" t="str">
        <f>IFERROR(1-$K413/$G$391,"")</f>
        <v/>
      </c>
      <c r="P413" s="1671" t="str">
        <f>IFERROR(1-$L413/$H$391,"")</f>
        <v/>
      </c>
      <c r="Q413" s="2467"/>
      <c r="R413" s="235"/>
      <c r="S413" s="235"/>
      <c r="AM413" s="2"/>
      <c r="AO413" s="267"/>
      <c r="AP413" s="268"/>
      <c r="AU413" s="274"/>
      <c r="AV413" s="257"/>
      <c r="AW413" s="257"/>
      <c r="AX413" s="258"/>
      <c r="BD413" s="2154"/>
      <c r="BE413" s="235"/>
      <c r="BF413" s="2612"/>
    </row>
    <row r="414" spans="1:58" s="245" customFormat="1" ht="21" customHeight="1" x14ac:dyDescent="0.25">
      <c r="A414" s="433"/>
      <c r="B414" s="243"/>
      <c r="C414" s="243"/>
      <c r="D414" s="243"/>
      <c r="E414" s="2469"/>
      <c r="F414" s="2462"/>
      <c r="G414" s="2463"/>
      <c r="H414" s="2463"/>
      <c r="I414" s="2469"/>
      <c r="J414" s="2462"/>
      <c r="K414" s="2463"/>
      <c r="L414" s="2463"/>
      <c r="M414" s="2470"/>
      <c r="N414" s="2471"/>
      <c r="O414" s="2467"/>
      <c r="P414" s="2463"/>
      <c r="Q414" s="2463"/>
      <c r="R414" s="235"/>
      <c r="S414" s="235"/>
      <c r="T414" s="235"/>
      <c r="U414" s="235"/>
      <c r="V414" s="235"/>
      <c r="W414" s="235"/>
      <c r="X414" s="235"/>
      <c r="Y414" s="235"/>
      <c r="Z414" s="235"/>
      <c r="AA414" s="235"/>
      <c r="AB414" s="235"/>
      <c r="AC414" s="235"/>
      <c r="AD414" s="235"/>
      <c r="AE414" s="235"/>
      <c r="AF414" s="235"/>
      <c r="AM414" s="2"/>
      <c r="AO414" s="267"/>
      <c r="AP414" s="268"/>
      <c r="AU414" s="274"/>
      <c r="AV414" s="257"/>
      <c r="AW414" s="257"/>
      <c r="AX414" s="258"/>
      <c r="BE414" s="235"/>
      <c r="BF414" s="2612"/>
    </row>
    <row r="415" spans="1:58" ht="21.75" customHeight="1" x14ac:dyDescent="0.25">
      <c r="A415" s="409" t="s">
        <v>1038</v>
      </c>
      <c r="B415" s="287" t="s">
        <v>3357</v>
      </c>
      <c r="C415" s="287"/>
      <c r="D415" s="287"/>
      <c r="E415" s="287"/>
      <c r="F415" s="287"/>
      <c r="G415" s="287"/>
      <c r="H415" s="287"/>
      <c r="I415" s="287"/>
      <c r="T415" s="1238"/>
      <c r="U415" s="334"/>
      <c r="V415" s="2473"/>
      <c r="W415" s="334"/>
      <c r="Y415" s="2474"/>
      <c r="Z415" s="334"/>
      <c r="AO415" s="289"/>
      <c r="AP415" s="290"/>
      <c r="BD415" s="235"/>
      <c r="BF415" s="261"/>
    </row>
    <row r="416" spans="1:58" ht="42" customHeight="1" x14ac:dyDescent="0.25">
      <c r="A416" s="409" t="s">
        <v>1038</v>
      </c>
      <c r="B416" s="2824" t="s">
        <v>354</v>
      </c>
      <c r="C416" s="3395" t="s">
        <v>1436</v>
      </c>
      <c r="D416" s="3395"/>
      <c r="E416" s="3890" t="s">
        <v>3236</v>
      </c>
      <c r="F416" s="3890"/>
      <c r="G416" s="3890"/>
      <c r="H416" s="3890"/>
      <c r="I416" s="3891" t="s">
        <v>3224</v>
      </c>
      <c r="J416" s="3891"/>
      <c r="K416" s="3891"/>
      <c r="L416" s="3891"/>
      <c r="M416" s="3357" t="s">
        <v>3223</v>
      </c>
      <c r="N416" s="3357"/>
      <c r="O416" s="3357"/>
      <c r="P416" s="3357"/>
      <c r="Q416" s="249"/>
      <c r="R416" s="588"/>
      <c r="S416" s="588"/>
      <c r="AM416" s="2"/>
      <c r="AO416" s="267"/>
      <c r="AP416" s="268"/>
      <c r="AU416" s="400"/>
      <c r="AV416" s="283"/>
      <c r="AW416" s="283"/>
      <c r="AX416" s="283"/>
      <c r="BD416" s="1358" t="s">
        <v>1635</v>
      </c>
      <c r="BF416" s="261"/>
    </row>
    <row r="417" spans="1:58" s="446" customFormat="1" ht="14.4" thickBot="1" x14ac:dyDescent="0.3">
      <c r="A417" s="409" t="s">
        <v>1038</v>
      </c>
      <c r="B417" s="1454" t="s">
        <v>1396</v>
      </c>
      <c r="C417" s="1532" t="s">
        <v>1424</v>
      </c>
      <c r="D417" s="1454"/>
      <c r="E417" s="3889" t="s">
        <v>3227</v>
      </c>
      <c r="F417" s="3889"/>
      <c r="G417" s="3889"/>
      <c r="H417" s="3889"/>
      <c r="I417" s="3889" t="s">
        <v>3228</v>
      </c>
      <c r="J417" s="3889"/>
      <c r="K417" s="3889"/>
      <c r="L417" s="3889"/>
      <c r="M417" s="3889" t="s">
        <v>3229</v>
      </c>
      <c r="N417" s="3889"/>
      <c r="O417" s="3889"/>
      <c r="P417" s="3889"/>
      <c r="Q417" s="2608"/>
      <c r="R417" s="463"/>
      <c r="S417" s="463"/>
      <c r="T417" s="2472" t="s">
        <v>1407</v>
      </c>
      <c r="U417" s="2472" t="s">
        <v>1408</v>
      </c>
      <c r="V417" s="2472" t="s">
        <v>1506</v>
      </c>
      <c r="AM417" s="447"/>
      <c r="BD417" s="2161"/>
      <c r="BF417" s="2162"/>
    </row>
    <row r="418" spans="1:58" ht="15" customHeight="1" x14ac:dyDescent="0.25">
      <c r="A418" s="409" t="s">
        <v>1038</v>
      </c>
      <c r="B418" s="1311" t="str">
        <f t="shared" ref="B418:B423" si="307">IFERROR(IF(ISBLANK(B17),"",B17),"")</f>
        <v/>
      </c>
      <c r="C418" s="3838" t="str">
        <f t="shared" ref="C418:C423" si="308">IFERROR(IF(ISBLANK($B418),"",VLOOKUP($B418,PO_Enrgy_1_Table,MATCH($C$16,PO_Enrgy_1_Hdr,0),FALSE) ),"")</f>
        <v/>
      </c>
      <c r="D418" s="3838" t="str">
        <f>IF(C418="","",VLOOKUP(C418,ProjectEnergyTypeTable,3,FALSE))</f>
        <v/>
      </c>
      <c r="E418" s="3834">
        <f t="shared" ref="E418:E423" si="309">IFERROR(IF(PO_offSiteRenewable=TRUE,VLOOKUP($B418,PO_OSEnrgy_Table,MATCH($E$43,PO_OSEnrgy_Hdr,0),FALSE)*X418,0),"")</f>
        <v>0</v>
      </c>
      <c r="F418" s="3834"/>
      <c r="G418" s="3834"/>
      <c r="H418" s="3834"/>
      <c r="I418" s="3834" t="str">
        <f>IFERROR(L407-E418,"")</f>
        <v/>
      </c>
      <c r="J418" s="3834"/>
      <c r="K418" s="3834"/>
      <c r="L418" s="3834"/>
      <c r="M418" s="3835" t="str">
        <f>IFERROR(1-$I418/VLOOKUP($B418,PO_Enrgy_13_Table,MATCH($H$384,PO_Enrgy_13_Hdr,0),FALSE),"")</f>
        <v/>
      </c>
      <c r="N418" s="3835"/>
      <c r="O418" s="3835"/>
      <c r="P418" s="3835"/>
      <c r="Q418" s="2601"/>
      <c r="T418" s="627" t="str">
        <f t="shared" ref="T418:T423" si="310">IFERROR(IF(ISBLANK($B418),"",VLOOKUP($B418,PO_Enrgy_1_Table,MATCH($K$16,PO_Enrgy_1_Hdr,0),FALSE)),"")</f>
        <v/>
      </c>
      <c r="U418" s="627" t="str">
        <f t="shared" ref="U418:U423" si="311">IFERROR(IF(ISBLANK($B418),"",VLOOKUP($B418,PO_Enrgy_1_Table,MATCH($M$16,PO_Enrgy_1_Hdr,0),FALSE)),"")</f>
        <v/>
      </c>
      <c r="V418" s="627" t="str">
        <f t="shared" ref="V418:V423" si="312">IFERROR(G418/E418,"")</f>
        <v/>
      </c>
      <c r="X418" s="2405" t="str">
        <f t="shared" ref="X418:X423" si="313">IFERROR(VLOOKUP(B418,PO_Enrgy_1_Table,MATCH($T$16,PO_Enrgy_1_Hdr,0),0),"")</f>
        <v/>
      </c>
      <c r="AK418" s="263"/>
      <c r="AL418" s="263"/>
      <c r="AM418" s="256"/>
      <c r="AO418" s="267"/>
      <c r="AP418" s="267"/>
      <c r="AQ418" s="300"/>
      <c r="AS418" s="273"/>
      <c r="AU418" s="274"/>
      <c r="AV418" s="257"/>
      <c r="AW418" s="257"/>
      <c r="AX418" s="284"/>
      <c r="BD418" s="2154"/>
      <c r="BF418" s="2612"/>
    </row>
    <row r="419" spans="1:58" ht="15" customHeight="1" x14ac:dyDescent="0.25">
      <c r="A419" s="409" t="s">
        <v>1038</v>
      </c>
      <c r="B419" s="1311" t="str">
        <f t="shared" si="307"/>
        <v/>
      </c>
      <c r="C419" s="3838" t="str">
        <f t="shared" si="308"/>
        <v/>
      </c>
      <c r="D419" s="3838" t="str">
        <f>IF(C419="","",VLOOKUP(C419,ProjectEnergyTypeTable,3,FALSE))</f>
        <v/>
      </c>
      <c r="E419" s="3834">
        <f t="shared" si="309"/>
        <v>0</v>
      </c>
      <c r="F419" s="3834"/>
      <c r="G419" s="3834"/>
      <c r="H419" s="3834"/>
      <c r="I419" s="3834" t="str">
        <f t="shared" ref="I419:I423" si="314">IFERROR(L408-E419,"")</f>
        <v/>
      </c>
      <c r="J419" s="3834"/>
      <c r="K419" s="3834"/>
      <c r="L419" s="3834"/>
      <c r="M419" s="3835" t="str">
        <f>IFERROR(1-$I419/VLOOKUP($B419,PO_Enrgy_13_Table,MATCH($H$384,PO_Enrgy_13_Hdr,0),FALSE),"")</f>
        <v/>
      </c>
      <c r="N419" s="3835"/>
      <c r="O419" s="3835"/>
      <c r="P419" s="3835"/>
      <c r="Q419" s="2601"/>
      <c r="T419" s="627" t="str">
        <f t="shared" si="310"/>
        <v/>
      </c>
      <c r="U419" s="627" t="str">
        <f t="shared" si="311"/>
        <v/>
      </c>
      <c r="V419" s="627" t="str">
        <f t="shared" si="312"/>
        <v/>
      </c>
      <c r="X419" s="2406" t="str">
        <f t="shared" si="313"/>
        <v/>
      </c>
      <c r="AK419" s="263"/>
      <c r="AL419" s="263"/>
      <c r="AM419" s="256"/>
      <c r="AO419" s="267"/>
      <c r="AP419" s="267"/>
      <c r="AQ419" s="300"/>
      <c r="AS419" s="273"/>
      <c r="AU419" s="274"/>
      <c r="AV419" s="257"/>
      <c r="AW419" s="257"/>
      <c r="AX419" s="284"/>
      <c r="BD419" s="2154"/>
      <c r="BF419" s="2612"/>
    </row>
    <row r="420" spans="1:58" ht="15" customHeight="1" x14ac:dyDescent="0.25">
      <c r="A420" s="409" t="s">
        <v>1038</v>
      </c>
      <c r="B420" s="1311" t="str">
        <f t="shared" si="307"/>
        <v/>
      </c>
      <c r="C420" s="3838" t="str">
        <f t="shared" si="308"/>
        <v/>
      </c>
      <c r="D420" s="3838" t="str">
        <f>IF(C420="","",VLOOKUP(C420,ProjectEnergyTypeTable,3,FALSE))</f>
        <v/>
      </c>
      <c r="E420" s="3834">
        <f t="shared" si="309"/>
        <v>0</v>
      </c>
      <c r="F420" s="3834"/>
      <c r="G420" s="3834"/>
      <c r="H420" s="3834"/>
      <c r="I420" s="3834" t="str">
        <f t="shared" si="314"/>
        <v/>
      </c>
      <c r="J420" s="3834"/>
      <c r="K420" s="3834"/>
      <c r="L420" s="3834"/>
      <c r="M420" s="3835"/>
      <c r="N420" s="3835"/>
      <c r="O420" s="3835"/>
      <c r="P420" s="3835"/>
      <c r="Q420" s="2601"/>
      <c r="T420" s="627" t="str">
        <f t="shared" si="310"/>
        <v/>
      </c>
      <c r="U420" s="627" t="str">
        <f t="shared" si="311"/>
        <v/>
      </c>
      <c r="V420" s="627" t="str">
        <f t="shared" si="312"/>
        <v/>
      </c>
      <c r="X420" s="2406" t="str">
        <f t="shared" si="313"/>
        <v/>
      </c>
      <c r="AK420" s="263"/>
      <c r="AL420" s="263"/>
      <c r="AM420" s="256"/>
      <c r="AO420" s="267"/>
      <c r="AP420" s="267"/>
      <c r="AQ420" s="300"/>
      <c r="AS420" s="273"/>
      <c r="AU420" s="274"/>
      <c r="AV420" s="257"/>
      <c r="AW420" s="257"/>
      <c r="AX420" s="284"/>
      <c r="BD420" s="2154"/>
      <c r="BF420" s="2612"/>
    </row>
    <row r="421" spans="1:58" ht="15" customHeight="1" x14ac:dyDescent="0.25">
      <c r="A421" s="409" t="s">
        <v>1038</v>
      </c>
      <c r="B421" s="1311" t="str">
        <f t="shared" si="307"/>
        <v/>
      </c>
      <c r="C421" s="3838" t="str">
        <f t="shared" si="308"/>
        <v/>
      </c>
      <c r="D421" s="3838" t="str">
        <f>IF(C421="","",VLOOKUP(C421,ProjectEnergyTypeTable,3,FALSE))</f>
        <v/>
      </c>
      <c r="E421" s="3834">
        <f t="shared" si="309"/>
        <v>0</v>
      </c>
      <c r="F421" s="3834"/>
      <c r="G421" s="3834"/>
      <c r="H421" s="3834"/>
      <c r="I421" s="3834" t="str">
        <f t="shared" si="314"/>
        <v/>
      </c>
      <c r="J421" s="3834"/>
      <c r="K421" s="3834"/>
      <c r="L421" s="3834"/>
      <c r="M421" s="3835"/>
      <c r="N421" s="3835"/>
      <c r="O421" s="3835"/>
      <c r="P421" s="3835"/>
      <c r="Q421" s="2601"/>
      <c r="T421" s="627" t="str">
        <f t="shared" si="310"/>
        <v/>
      </c>
      <c r="U421" s="627" t="str">
        <f t="shared" si="311"/>
        <v/>
      </c>
      <c r="V421" s="627" t="str">
        <f t="shared" si="312"/>
        <v/>
      </c>
      <c r="X421" s="2406" t="str">
        <f t="shared" si="313"/>
        <v/>
      </c>
      <c r="AK421" s="263"/>
      <c r="AL421" s="263"/>
      <c r="AM421" s="256"/>
      <c r="AO421" s="267"/>
      <c r="AP421" s="267"/>
      <c r="AQ421" s="300"/>
      <c r="AS421" s="273"/>
      <c r="AU421" s="274"/>
      <c r="AV421" s="257"/>
      <c r="AW421" s="257"/>
      <c r="AX421" s="284"/>
      <c r="BD421" s="2154"/>
      <c r="BF421" s="2612"/>
    </row>
    <row r="422" spans="1:58" ht="15" customHeight="1" x14ac:dyDescent="0.25">
      <c r="A422" s="409" t="s">
        <v>1038</v>
      </c>
      <c r="B422" s="1311" t="str">
        <f t="shared" si="307"/>
        <v/>
      </c>
      <c r="C422" s="3838" t="str">
        <f t="shared" si="308"/>
        <v/>
      </c>
      <c r="D422" s="3838" t="str">
        <f>IF(C422="","",VLOOKUP(C422,ProjectEnergyTypeTable,3,FALSE))</f>
        <v/>
      </c>
      <c r="E422" s="3834">
        <f t="shared" si="309"/>
        <v>0</v>
      </c>
      <c r="F422" s="3834"/>
      <c r="G422" s="3834"/>
      <c r="H422" s="3834"/>
      <c r="I422" s="3834" t="str">
        <f t="shared" si="314"/>
        <v/>
      </c>
      <c r="J422" s="3834"/>
      <c r="K422" s="3834"/>
      <c r="L422" s="3834"/>
      <c r="M422" s="3835"/>
      <c r="N422" s="3835"/>
      <c r="O422" s="3835"/>
      <c r="P422" s="3835"/>
      <c r="Q422" s="2601"/>
      <c r="T422" s="627" t="str">
        <f t="shared" si="310"/>
        <v/>
      </c>
      <c r="U422" s="627" t="str">
        <f t="shared" si="311"/>
        <v/>
      </c>
      <c r="V422" s="627" t="str">
        <f t="shared" si="312"/>
        <v/>
      </c>
      <c r="X422" s="2406" t="str">
        <f t="shared" si="313"/>
        <v/>
      </c>
      <c r="AK422" s="263"/>
      <c r="AL422" s="263"/>
      <c r="AM422" s="256"/>
      <c r="AO422" s="267"/>
      <c r="AP422" s="267"/>
      <c r="AQ422" s="300"/>
      <c r="AS422" s="273"/>
      <c r="AU422" s="274"/>
      <c r="AV422" s="257"/>
      <c r="AW422" s="257"/>
      <c r="AX422" s="284"/>
      <c r="BD422" s="2154"/>
      <c r="BF422" s="2612"/>
    </row>
    <row r="423" spans="1:58" ht="15" customHeight="1" thickBot="1" x14ac:dyDescent="0.3">
      <c r="A423" s="409" t="s">
        <v>1038</v>
      </c>
      <c r="B423" s="1311" t="str">
        <f t="shared" si="307"/>
        <v/>
      </c>
      <c r="C423" s="3838" t="str">
        <f t="shared" si="308"/>
        <v/>
      </c>
      <c r="D423" s="3838" t="str">
        <f>IF(C423="","",VLOOKUP(C423,ProjectEnergyTypeTable,3,FALSE))</f>
        <v/>
      </c>
      <c r="E423" s="3834">
        <f t="shared" si="309"/>
        <v>0</v>
      </c>
      <c r="F423" s="3834"/>
      <c r="G423" s="3834"/>
      <c r="H423" s="3834"/>
      <c r="I423" s="3834" t="str">
        <f t="shared" si="314"/>
        <v/>
      </c>
      <c r="J423" s="3834"/>
      <c r="K423" s="3834"/>
      <c r="L423" s="3834"/>
      <c r="M423" s="3835"/>
      <c r="N423" s="3835"/>
      <c r="O423" s="3835"/>
      <c r="P423" s="3835"/>
      <c r="Q423" s="2601"/>
      <c r="T423" s="627" t="str">
        <f t="shared" si="310"/>
        <v/>
      </c>
      <c r="U423" s="627" t="str">
        <f t="shared" si="311"/>
        <v/>
      </c>
      <c r="V423" s="627" t="str">
        <f t="shared" si="312"/>
        <v/>
      </c>
      <c r="X423" s="2407" t="str">
        <f t="shared" si="313"/>
        <v/>
      </c>
      <c r="AK423" s="263"/>
      <c r="AL423" s="263"/>
      <c r="AM423" s="256"/>
      <c r="AO423" s="267"/>
      <c r="AP423" s="267"/>
      <c r="AQ423" s="300"/>
      <c r="AS423" s="273"/>
      <c r="AU423" s="274"/>
      <c r="AV423" s="257"/>
      <c r="AW423" s="257"/>
      <c r="AX423" s="284"/>
      <c r="BD423" s="2154"/>
      <c r="BF423" s="2612"/>
    </row>
    <row r="424" spans="1:58" s="245" customFormat="1" ht="21" customHeight="1" x14ac:dyDescent="0.25">
      <c r="A424" s="409" t="s">
        <v>1038</v>
      </c>
      <c r="B424" s="3396" t="s">
        <v>3207</v>
      </c>
      <c r="C424" s="3396"/>
      <c r="D424" s="3396"/>
      <c r="E424" s="3836">
        <f>SUM(E418:H423)</f>
        <v>0</v>
      </c>
      <c r="F424" s="3836"/>
      <c r="G424" s="3836"/>
      <c r="H424" s="3836"/>
      <c r="I424" s="3834">
        <f>SUM(I418:L423)</f>
        <v>0</v>
      </c>
      <c r="J424" s="3834"/>
      <c r="K424" s="3834"/>
      <c r="L424" s="3834"/>
      <c r="M424" s="3837" t="str">
        <f>IFERROR(1-$I424/$H$391,"")</f>
        <v/>
      </c>
      <c r="N424" s="3837"/>
      <c r="O424" s="3837"/>
      <c r="P424" s="3837"/>
      <c r="Q424" s="2602"/>
      <c r="R424" s="235"/>
      <c r="S424" s="235"/>
      <c r="AM424" s="2"/>
      <c r="AO424" s="267"/>
      <c r="AP424" s="268"/>
      <c r="AU424" s="274"/>
      <c r="AV424" s="257"/>
      <c r="AW424" s="257"/>
      <c r="AX424" s="258"/>
      <c r="BD424" s="2154"/>
      <c r="BE424" s="235"/>
      <c r="BF424" s="2612"/>
    </row>
    <row r="425" spans="1:58" s="245" customFormat="1" ht="21" customHeight="1" x14ac:dyDescent="0.25">
      <c r="A425" s="433"/>
      <c r="B425" s="243"/>
      <c r="C425" s="243"/>
      <c r="D425" s="243"/>
      <c r="E425" s="2469"/>
      <c r="F425" s="2462"/>
      <c r="G425" s="2463"/>
      <c r="H425" s="2463"/>
      <c r="I425" s="2469"/>
      <c r="J425" s="2462"/>
      <c r="K425" s="2463"/>
      <c r="L425" s="2463"/>
      <c r="M425" s="2470"/>
      <c r="N425" s="2471"/>
      <c r="O425" s="2467"/>
      <c r="P425" s="2463"/>
      <c r="Q425" s="2463"/>
      <c r="R425" s="235"/>
      <c r="S425" s="235"/>
      <c r="AM425" s="2"/>
      <c r="AO425" s="267"/>
      <c r="AP425" s="268"/>
      <c r="AU425" s="274"/>
      <c r="AV425" s="257"/>
      <c r="AW425" s="257"/>
      <c r="AX425" s="258"/>
      <c r="BE425" s="235"/>
      <c r="BF425" s="2612"/>
    </row>
    <row r="426" spans="1:58" s="245" customFormat="1" ht="21" customHeight="1" x14ac:dyDescent="0.25">
      <c r="A426" s="433"/>
      <c r="B426" s="243"/>
      <c r="C426" s="243"/>
      <c r="D426" s="243"/>
      <c r="E426" s="2469"/>
      <c r="F426" s="2462"/>
      <c r="G426" s="2463"/>
      <c r="H426" s="2463"/>
      <c r="I426" s="2469"/>
      <c r="J426" s="2462"/>
      <c r="K426" s="2463"/>
      <c r="L426" s="2463"/>
      <c r="M426" s="2470"/>
      <c r="N426" s="2471"/>
      <c r="O426" s="2467"/>
      <c r="P426" s="2463"/>
      <c r="Q426" s="2463"/>
      <c r="R426" s="235"/>
      <c r="S426" s="235"/>
      <c r="AM426" s="2"/>
      <c r="AO426" s="267"/>
      <c r="AP426" s="268"/>
      <c r="AU426" s="274"/>
      <c r="AV426" s="257"/>
      <c r="AW426" s="257"/>
      <c r="AX426" s="258"/>
      <c r="BE426" s="235"/>
      <c r="BF426" s="2612"/>
    </row>
    <row r="427" spans="1:58" s="245" customFormat="1" ht="21" customHeight="1" x14ac:dyDescent="0.25">
      <c r="A427" s="433"/>
      <c r="B427" s="243"/>
      <c r="C427" s="243"/>
      <c r="D427" s="243"/>
      <c r="E427" s="2469"/>
      <c r="F427" s="2462"/>
      <c r="G427" s="2463"/>
      <c r="H427" s="2463"/>
      <c r="I427" s="2469"/>
      <c r="J427" s="2462"/>
      <c r="K427" s="2463"/>
      <c r="L427" s="2463"/>
      <c r="M427" s="2470"/>
      <c r="N427" s="2471"/>
      <c r="O427" s="2467"/>
      <c r="P427" s="2463"/>
      <c r="Q427" s="2463"/>
      <c r="R427" s="235"/>
      <c r="S427" s="235"/>
      <c r="AM427" s="2"/>
      <c r="AO427" s="267"/>
      <c r="AP427" s="268"/>
      <c r="AU427" s="274"/>
      <c r="AV427" s="257"/>
      <c r="AW427" s="257"/>
      <c r="AX427" s="258"/>
      <c r="BE427" s="235"/>
      <c r="BF427" s="2612"/>
    </row>
    <row r="428" spans="1:58" s="245" customFormat="1" ht="21" customHeight="1" x14ac:dyDescent="0.25">
      <c r="A428" s="433"/>
      <c r="B428" s="243"/>
      <c r="C428" s="243"/>
      <c r="D428" s="243"/>
      <c r="E428" s="2469"/>
      <c r="F428" s="2462"/>
      <c r="G428" s="2463"/>
      <c r="H428" s="2463"/>
      <c r="I428" s="2469"/>
      <c r="J428" s="2462"/>
      <c r="K428" s="2463"/>
      <c r="L428" s="2463"/>
      <c r="M428" s="2470"/>
      <c r="N428" s="2471"/>
      <c r="O428" s="2467"/>
      <c r="P428" s="2463"/>
      <c r="Q428" s="2463"/>
      <c r="R428" s="235"/>
      <c r="S428" s="235"/>
      <c r="AM428" s="2"/>
      <c r="AO428" s="267"/>
      <c r="AP428" s="268"/>
      <c r="AU428" s="274"/>
      <c r="AV428" s="257"/>
      <c r="AW428" s="257"/>
      <c r="AX428" s="258"/>
      <c r="BE428" s="235"/>
      <c r="BF428" s="2612"/>
    </row>
    <row r="429" spans="1:58" s="245" customFormat="1" ht="21" customHeight="1" x14ac:dyDescent="0.25">
      <c r="A429" s="433"/>
      <c r="B429" s="243"/>
      <c r="C429" s="243"/>
      <c r="D429" s="243"/>
      <c r="E429" s="2469"/>
      <c r="F429" s="2462"/>
      <c r="G429" s="2463"/>
      <c r="H429" s="2463"/>
      <c r="I429" s="2469"/>
      <c r="J429" s="2462"/>
      <c r="K429" s="2463"/>
      <c r="L429" s="2463"/>
      <c r="M429" s="2470"/>
      <c r="N429" s="2471"/>
      <c r="O429" s="2467"/>
      <c r="P429" s="2463"/>
      <c r="Q429" s="2463"/>
      <c r="R429" s="235"/>
      <c r="S429" s="235"/>
      <c r="AM429" s="2"/>
      <c r="AO429" s="267"/>
      <c r="AP429" s="268"/>
      <c r="AU429" s="274"/>
      <c r="AV429" s="257"/>
      <c r="AW429" s="257"/>
      <c r="AX429" s="258"/>
      <c r="BE429" s="235"/>
      <c r="BF429" s="2612"/>
    </row>
    <row r="430" spans="1:58" s="245" customFormat="1" ht="21" customHeight="1" x14ac:dyDescent="0.25">
      <c r="A430" s="433"/>
      <c r="B430" s="243"/>
      <c r="C430" s="243"/>
      <c r="D430" s="243"/>
      <c r="E430" s="2469"/>
      <c r="F430" s="2462"/>
      <c r="G430" s="2463"/>
      <c r="H430" s="2463"/>
      <c r="I430" s="2469"/>
      <c r="J430" s="2462"/>
      <c r="K430" s="2463"/>
      <c r="L430" s="2463"/>
      <c r="M430" s="2470"/>
      <c r="N430" s="2471"/>
      <c r="O430" s="2467"/>
      <c r="P430" s="2463"/>
      <c r="Q430" s="2463"/>
      <c r="R430" s="235"/>
      <c r="S430" s="235"/>
      <c r="AM430" s="2"/>
      <c r="AO430" s="267"/>
      <c r="AP430" s="268"/>
      <c r="AU430" s="274"/>
      <c r="AV430" s="257"/>
      <c r="AW430" s="257"/>
      <c r="AX430" s="258"/>
      <c r="BE430" s="235"/>
      <c r="BF430" s="2612"/>
    </row>
    <row r="431" spans="1:58" s="245" customFormat="1" ht="33" customHeight="1" x14ac:dyDescent="0.25">
      <c r="A431" s="433" t="s">
        <v>1038</v>
      </c>
      <c r="B431" s="249"/>
      <c r="C431" s="249"/>
      <c r="D431" s="249"/>
      <c r="E431" s="255"/>
      <c r="F431" s="255"/>
      <c r="G431" s="294"/>
      <c r="H431" s="255"/>
      <c r="I431" s="255"/>
      <c r="J431" s="294"/>
      <c r="K431" s="332"/>
      <c r="L431" s="235"/>
      <c r="M431" s="332"/>
      <c r="N431" s="235"/>
      <c r="O431" s="235"/>
      <c r="P431" s="235"/>
      <c r="Q431" s="235"/>
      <c r="AK431" s="2"/>
      <c r="AM431" s="267"/>
      <c r="AN431" s="268"/>
      <c r="AS431" s="274"/>
      <c r="AT431" s="257"/>
      <c r="AU431" s="257"/>
      <c r="AV431" s="258"/>
      <c r="BD431" s="2155"/>
      <c r="BE431" s="235"/>
      <c r="BF431" s="235"/>
    </row>
    <row r="432" spans="1:58" ht="21.75" customHeight="1" x14ac:dyDescent="0.25">
      <c r="A432" s="433" t="s">
        <v>1038</v>
      </c>
      <c r="B432" s="583" t="s">
        <v>1031</v>
      </c>
      <c r="C432" s="184"/>
      <c r="D432" s="184"/>
      <c r="E432" s="184"/>
      <c r="F432" s="184"/>
      <c r="G432" s="184"/>
      <c r="H432" s="184"/>
      <c r="I432" s="184"/>
      <c r="J432" s="184"/>
      <c r="AM432" s="289"/>
      <c r="AN432" s="290"/>
    </row>
    <row r="433" spans="1:58" ht="39.75" customHeight="1" x14ac:dyDescent="0.25">
      <c r="A433" s="433" t="s">
        <v>1038</v>
      </c>
      <c r="B433" s="3201" t="str">
        <f>"Enter the IT equipment energy consumption " &amp; IF(Datacenter_Avg=FALSE, " and total building consumption by end-use including renewable energy ","") &amp; "for the Startup IT loads.  The information for the full buildout loads is tabulated from the data above.  PUE3 is calculated based on source energy."</f>
        <v>Enter the IT equipment energy consumption  and total building consumption by end-use including renewable energy for the Startup IT loads.  The information for the full buildout loads is tabulated from the data above.  PUE3 is calculated based on source energy.</v>
      </c>
      <c r="C433" s="3871"/>
      <c r="D433" s="3871"/>
      <c r="E433" s="3871"/>
      <c r="F433" s="3871"/>
      <c r="G433" s="3871"/>
      <c r="H433" s="3871"/>
      <c r="I433" s="3871"/>
      <c r="J433" s="3871"/>
      <c r="K433" s="3871"/>
      <c r="L433" s="3871"/>
      <c r="M433" s="3871"/>
      <c r="AM433" s="289"/>
      <c r="AN433" s="290"/>
    </row>
    <row r="434" spans="1:58" ht="54" customHeight="1" x14ac:dyDescent="0.25">
      <c r="A434" s="433" t="s">
        <v>1038</v>
      </c>
      <c r="B434" s="3138" t="s">
        <v>354</v>
      </c>
      <c r="C434" s="3279" t="s">
        <v>1436</v>
      </c>
      <c r="D434" s="3885"/>
      <c r="E434" s="3138" t="s">
        <v>1035</v>
      </c>
      <c r="F434" s="3138"/>
      <c r="G434" s="3138"/>
      <c r="H434" s="3872"/>
      <c r="I434" s="3138" t="s">
        <v>1036</v>
      </c>
      <c r="J434" s="3873"/>
      <c r="K434" s="3873"/>
      <c r="L434" s="3873"/>
      <c r="M434" s="3873"/>
      <c r="N434" s="3190"/>
      <c r="O434" s="3190"/>
      <c r="P434" s="3190"/>
      <c r="Q434" s="588"/>
      <c r="AK434" s="2"/>
      <c r="AM434" s="267"/>
      <c r="AN434" s="268"/>
    </row>
    <row r="435" spans="1:58" ht="48" customHeight="1" x14ac:dyDescent="0.25">
      <c r="A435" s="433" t="s">
        <v>1038</v>
      </c>
      <c r="B435" s="3885"/>
      <c r="C435" s="3885"/>
      <c r="D435" s="3885"/>
      <c r="E435" s="580" t="s">
        <v>902</v>
      </c>
      <c r="F435" s="579" t="str">
        <f>"Source Energy Use 
("  &amp; PO_SourceUnits &amp; ")"</f>
        <v>Source Energy Use 
(kWh)</v>
      </c>
      <c r="G435" s="3140" t="s">
        <v>903</v>
      </c>
      <c r="H435" s="3874"/>
      <c r="I435" s="580" t="s">
        <v>902</v>
      </c>
      <c r="J435" s="579" t="str">
        <f>"Source Energy Use 
("  &amp; PO_SourceUnits &amp; ")"</f>
        <v>Source Energy Use 
(kWh)</v>
      </c>
      <c r="K435" s="3140" t="s">
        <v>903</v>
      </c>
      <c r="L435" s="3873"/>
      <c r="M435" s="3873"/>
      <c r="N435" s="334"/>
      <c r="O435" s="334"/>
      <c r="P435" s="334"/>
      <c r="Q435" s="334"/>
      <c r="AK435" s="2"/>
      <c r="BD435" s="1358" t="s">
        <v>1635</v>
      </c>
    </row>
    <row r="436" spans="1:58" s="446" customFormat="1" ht="13.8" hidden="1" x14ac:dyDescent="0.25">
      <c r="A436" s="433" t="s">
        <v>1038</v>
      </c>
      <c r="B436" s="468" t="s">
        <v>1396</v>
      </c>
      <c r="C436" s="1534" t="s">
        <v>1424</v>
      </c>
      <c r="D436" s="468"/>
      <c r="E436" s="469" t="s">
        <v>1459</v>
      </c>
      <c r="F436" s="468" t="s">
        <v>1460</v>
      </c>
      <c r="G436" s="469" t="s">
        <v>1461</v>
      </c>
      <c r="H436" s="469"/>
      <c r="I436" s="468" t="s">
        <v>1462</v>
      </c>
      <c r="J436" s="469" t="s">
        <v>1463</v>
      </c>
      <c r="K436" s="469" t="s">
        <v>1464</v>
      </c>
      <c r="L436" s="1534"/>
      <c r="M436" s="469"/>
      <c r="N436" s="463"/>
      <c r="O436" s="463"/>
      <c r="P436" s="463"/>
      <c r="Q436" s="463"/>
      <c r="R436" s="415" t="s">
        <v>1407</v>
      </c>
      <c r="S436" s="415" t="s">
        <v>1408</v>
      </c>
      <c r="AK436" s="447"/>
      <c r="BD436" s="2161"/>
    </row>
    <row r="437" spans="1:58" ht="15" customHeight="1" x14ac:dyDescent="0.25">
      <c r="A437" s="433" t="s">
        <v>1038</v>
      </c>
      <c r="B437" s="577" t="str">
        <f>B264</f>
        <v>Fans - Kitchen Ventilation</v>
      </c>
      <c r="C437" s="3079" t="s">
        <v>398</v>
      </c>
      <c r="D437" s="3080" t="e">
        <f>IF(C437="","",VLOOKUP(C437,ProjectEnergyTypeTable,3,FALSE))</f>
        <v>#NAME?</v>
      </c>
      <c r="E437" s="556"/>
      <c r="F437" s="527" t="str">
        <f>IFERROR(E437*$S437,"")</f>
        <v/>
      </c>
      <c r="G437" s="3197"/>
      <c r="H437" s="3875"/>
      <c r="I437" s="557" t="str">
        <f ca="1">IFERROR(VLOOKUP(B437,PO_design_table,MATCH($H$237,PO_design_hdr,0),FALSE),"")</f>
        <v/>
      </c>
      <c r="J437" s="527" t="str">
        <f ca="1">IFERROR(I437*$S437,"")</f>
        <v/>
      </c>
      <c r="K437" s="3199"/>
      <c r="L437" s="3199"/>
      <c r="M437" s="3199"/>
      <c r="R437" s="416" t="str">
        <f>IFERROR(VLOOKUP("Electricity",PO_Enrgy_1_Table,MATCH($K$16,PO_Enrgy_1_Hdr,0),FALSE),"")</f>
        <v/>
      </c>
      <c r="S437" s="416" t="str">
        <f>IFERROR(VLOOKUP("electricity",PO_Enrgy_1_Table,MATCH($M$16,PO_Enrgy_1_Hdr,0),FALSE),"")</f>
        <v/>
      </c>
      <c r="AI437" s="263"/>
      <c r="AJ437" s="263"/>
      <c r="AK437" s="2"/>
      <c r="AM437" s="267"/>
      <c r="AN437" s="268"/>
      <c r="AO437" s="269"/>
      <c r="BD437" s="2154"/>
    </row>
    <row r="438" spans="1:58" ht="21" customHeight="1" x14ac:dyDescent="0.25">
      <c r="A438" s="433" t="s">
        <v>1038</v>
      </c>
      <c r="B438" s="3170" t="s">
        <v>899</v>
      </c>
      <c r="C438" s="3186"/>
      <c r="D438" s="3877"/>
      <c r="E438" s="558"/>
      <c r="F438" s="558"/>
      <c r="G438" s="3188"/>
      <c r="H438" s="3188"/>
      <c r="I438" s="559"/>
      <c r="J438" s="559"/>
      <c r="K438" s="3189"/>
      <c r="L438" s="3189"/>
      <c r="M438" s="3189"/>
      <c r="R438" s="415" t="s">
        <v>1407</v>
      </c>
      <c r="S438" s="415" t="s">
        <v>1408</v>
      </c>
      <c r="AI438" s="263"/>
      <c r="AJ438" s="263"/>
      <c r="AK438" s="2"/>
      <c r="AM438" s="267"/>
      <c r="AN438" s="268"/>
      <c r="AO438" s="269"/>
      <c r="BD438" s="2154"/>
    </row>
    <row r="439" spans="1:58" ht="15" customHeight="1" x14ac:dyDescent="0.25">
      <c r="A439" s="433" t="s">
        <v>1038</v>
      </c>
      <c r="B439" s="577" t="str">
        <f t="shared" ref="B439:B444" si="315">IFERROR(IF(ISBLANK(B17),"",B17),"")</f>
        <v/>
      </c>
      <c r="C439" s="3079" t="str">
        <f t="shared" ref="C439:C444" si="316">IFERROR(IF(ISBLANK($B439),"",VLOOKUP($B439,PO_Enrgy_1_Table,MATCH($C$16,PO_Enrgy_1_Hdr,0),FALSE) ),"")</f>
        <v/>
      </c>
      <c r="D439" s="3080" t="str">
        <f>IF(C439="","",VLOOKUP(C439,ProjectEnergyTypeTable,3,FALSE))</f>
        <v/>
      </c>
      <c r="E439" s="571" t="str">
        <f t="shared" ref="E439:E444" si="317">IFERROR(IF(Datacenter_Avg=TRUE,VLOOKUP($B439,PO_Enrgy_11_Table,MATCH($I$360,PO_Enrgy_11_Hdr,0),FALSE)-VLOOKUP($B439,PO_Enrgy_14_Table,MATCH($E$406,PO_Enrgy_14_Hdr,0),FALSE),""),"")</f>
        <v/>
      </c>
      <c r="F439" s="555" t="str">
        <f>IFERROR(E439*$S439,"")</f>
        <v/>
      </c>
      <c r="G439" s="3081"/>
      <c r="H439" s="3876"/>
      <c r="I439" s="555">
        <f t="shared" ref="I439:I444" si="318">IFERROR(VLOOKUP($B439,PO_Enrgy_12_Table,MATCH($I$372,PO_Enrgy_12_Hdr,0),FALSE)-VLOOKUP($B439,PO_Enrgy_14_Table,MATCH($E$406,PO_Enrgy_14_Hdr,0),FALSE),"")</f>
        <v>0</v>
      </c>
      <c r="J439" s="555" t="str">
        <f>IFERROR(I439*$S439,"")</f>
        <v/>
      </c>
      <c r="K439" s="3083"/>
      <c r="L439" s="3083"/>
      <c r="M439" s="3083"/>
      <c r="R439" s="416" t="str">
        <f t="shared" ref="R439:R444" si="319">IFERROR(IF(ISBLANK($B439),"",VLOOKUP($B439,PO_Enrgy_1_Table,MATCH($K$16,PO_Enrgy_1_Hdr,0),FALSE)),"")</f>
        <v/>
      </c>
      <c r="S439" s="416" t="str">
        <f t="shared" ref="S439:S444" si="320">IFERROR(IF(ISBLANK($B439),"",VLOOKUP($B439,PO_Enrgy_1_Table,MATCH($M$16,PO_Enrgy_1_Hdr,0),FALSE)),"")</f>
        <v/>
      </c>
      <c r="AI439" s="263"/>
      <c r="AJ439" s="263"/>
      <c r="AK439" s="471"/>
      <c r="AL439" s="255"/>
      <c r="AM439" s="267"/>
      <c r="AN439" s="268"/>
      <c r="AO439" s="269"/>
      <c r="BD439" s="2154"/>
    </row>
    <row r="440" spans="1:58" ht="15" customHeight="1" x14ac:dyDescent="0.25">
      <c r="A440" s="433" t="s">
        <v>1038</v>
      </c>
      <c r="B440" s="577" t="str">
        <f t="shared" si="315"/>
        <v/>
      </c>
      <c r="C440" s="3079" t="str">
        <f t="shared" si="316"/>
        <v/>
      </c>
      <c r="D440" s="3080" t="str">
        <f>IF(C440="","",VLOOKUP(C440,ProjectEnergyTypeTable,3,FALSE))</f>
        <v/>
      </c>
      <c r="E440" s="571" t="str">
        <f t="shared" si="317"/>
        <v/>
      </c>
      <c r="F440" s="555" t="str">
        <f>IFERROR(E440*$S440,"")</f>
        <v/>
      </c>
      <c r="G440" s="3081"/>
      <c r="H440" s="3876"/>
      <c r="I440" s="555">
        <f t="shared" si="318"/>
        <v>0</v>
      </c>
      <c r="J440" s="555" t="str">
        <f>IFERROR(I440*$S440,"")</f>
        <v/>
      </c>
      <c r="K440" s="3083"/>
      <c r="L440" s="3083"/>
      <c r="M440" s="3083"/>
      <c r="R440" s="416" t="str">
        <f t="shared" si="319"/>
        <v/>
      </c>
      <c r="S440" s="416" t="str">
        <f t="shared" si="320"/>
        <v/>
      </c>
      <c r="AI440" s="263"/>
      <c r="AJ440" s="263"/>
      <c r="AK440" s="471"/>
      <c r="AL440" s="255"/>
      <c r="AM440" s="267"/>
      <c r="AN440" s="268"/>
      <c r="AO440" s="269"/>
      <c r="BD440" s="2154"/>
    </row>
    <row r="441" spans="1:58" ht="15" customHeight="1" x14ac:dyDescent="0.25">
      <c r="A441" s="433" t="s">
        <v>1038</v>
      </c>
      <c r="B441" s="577" t="str">
        <f t="shared" si="315"/>
        <v/>
      </c>
      <c r="C441" s="3079" t="str">
        <f t="shared" si="316"/>
        <v/>
      </c>
      <c r="D441" s="3080" t="str">
        <f>IF(C441="","",VLOOKUP(C441,ProjectEnergyTypeTable,3,FALSE))</f>
        <v/>
      </c>
      <c r="E441" s="571" t="str">
        <f t="shared" si="317"/>
        <v/>
      </c>
      <c r="F441" s="555" t="str">
        <f>IFERROR(E441*$S441,"")</f>
        <v/>
      </c>
      <c r="G441" s="3081"/>
      <c r="H441" s="3876"/>
      <c r="I441" s="555">
        <f t="shared" si="318"/>
        <v>0</v>
      </c>
      <c r="J441" s="555" t="str">
        <f>IFERROR(I441*$S441,"")</f>
        <v/>
      </c>
      <c r="K441" s="3083"/>
      <c r="L441" s="3083"/>
      <c r="M441" s="3083"/>
      <c r="R441" s="416" t="str">
        <f t="shared" si="319"/>
        <v/>
      </c>
      <c r="S441" s="416" t="str">
        <f t="shared" si="320"/>
        <v/>
      </c>
      <c r="AI441" s="263"/>
      <c r="AJ441" s="263"/>
      <c r="AK441" s="471"/>
      <c r="AL441" s="255"/>
      <c r="AM441" s="267"/>
      <c r="AN441" s="268"/>
      <c r="AO441" s="269"/>
      <c r="BD441" s="2154"/>
    </row>
    <row r="442" spans="1:58" ht="15" customHeight="1" x14ac:dyDescent="0.25">
      <c r="A442" s="433" t="s">
        <v>1038</v>
      </c>
      <c r="B442" s="577" t="str">
        <f t="shared" si="315"/>
        <v/>
      </c>
      <c r="C442" s="3079" t="str">
        <f t="shared" si="316"/>
        <v/>
      </c>
      <c r="D442" s="3080" t="str">
        <f>IF(C442="","",VLOOKUP(C442,ProjectEnergyTypeTable,3,FALSE))</f>
        <v/>
      </c>
      <c r="E442" s="571" t="str">
        <f t="shared" si="317"/>
        <v/>
      </c>
      <c r="F442" s="555" t="str">
        <f t="shared" ref="F442:F444" si="321">IFERROR(E442*$S442,"")</f>
        <v/>
      </c>
      <c r="G442" s="3081"/>
      <c r="H442" s="3876"/>
      <c r="I442" s="555">
        <f t="shared" si="318"/>
        <v>0</v>
      </c>
      <c r="J442" s="555" t="str">
        <f t="shared" ref="J442:J444" si="322">IFERROR(I442*$S442,"")</f>
        <v/>
      </c>
      <c r="K442" s="3083"/>
      <c r="L442" s="3083"/>
      <c r="M442" s="3083"/>
      <c r="R442" s="416" t="str">
        <f t="shared" si="319"/>
        <v/>
      </c>
      <c r="S442" s="416" t="str">
        <f t="shared" si="320"/>
        <v/>
      </c>
      <c r="AI442" s="263"/>
      <c r="AJ442" s="263"/>
      <c r="AK442" s="471"/>
      <c r="AL442" s="255"/>
      <c r="AM442" s="267"/>
      <c r="AN442" s="268"/>
      <c r="AO442" s="269"/>
      <c r="BD442" s="2154"/>
    </row>
    <row r="443" spans="1:58" ht="15" customHeight="1" x14ac:dyDescent="0.25">
      <c r="A443" s="433" t="s">
        <v>1038</v>
      </c>
      <c r="B443" s="577" t="str">
        <f t="shared" si="315"/>
        <v/>
      </c>
      <c r="C443" s="3079" t="str">
        <f t="shared" si="316"/>
        <v/>
      </c>
      <c r="D443" s="3080" t="str">
        <f>IF(C443="","",VLOOKUP(C443,ProjectEnergyTypeTable,3,FALSE))</f>
        <v/>
      </c>
      <c r="E443" s="571" t="str">
        <f t="shared" si="317"/>
        <v/>
      </c>
      <c r="F443" s="555" t="str">
        <f t="shared" si="321"/>
        <v/>
      </c>
      <c r="G443" s="3081"/>
      <c r="H443" s="3876"/>
      <c r="I443" s="555">
        <f t="shared" si="318"/>
        <v>0</v>
      </c>
      <c r="J443" s="555" t="str">
        <f t="shared" si="322"/>
        <v/>
      </c>
      <c r="K443" s="3083"/>
      <c r="L443" s="3083"/>
      <c r="M443" s="3083"/>
      <c r="R443" s="416" t="str">
        <f t="shared" si="319"/>
        <v/>
      </c>
      <c r="S443" s="416" t="str">
        <f t="shared" si="320"/>
        <v/>
      </c>
      <c r="AI443" s="263"/>
      <c r="AJ443" s="263"/>
      <c r="AK443" s="471"/>
      <c r="AL443" s="255"/>
      <c r="AM443" s="267"/>
      <c r="AN443" s="268"/>
      <c r="AO443" s="269"/>
      <c r="BD443" s="2154"/>
    </row>
    <row r="444" spans="1:58" ht="15" customHeight="1" x14ac:dyDescent="0.25">
      <c r="A444" s="433" t="s">
        <v>1038</v>
      </c>
      <c r="B444" s="577" t="str">
        <f t="shared" si="315"/>
        <v/>
      </c>
      <c r="C444" s="3079" t="str">
        <f t="shared" si="316"/>
        <v/>
      </c>
      <c r="D444" s="3080" t="str">
        <f>IF(C444="","",VLOOKUP(C444,ProjectEnergyTypeTable,3,FALSE))</f>
        <v/>
      </c>
      <c r="E444" s="571" t="str">
        <f t="shared" si="317"/>
        <v/>
      </c>
      <c r="F444" s="555" t="str">
        <f t="shared" si="321"/>
        <v/>
      </c>
      <c r="G444" s="3081"/>
      <c r="H444" s="3876"/>
      <c r="I444" s="555">
        <f t="shared" si="318"/>
        <v>0</v>
      </c>
      <c r="J444" s="555" t="str">
        <f t="shared" si="322"/>
        <v/>
      </c>
      <c r="K444" s="3083"/>
      <c r="L444" s="3083"/>
      <c r="M444" s="3083"/>
      <c r="R444" s="416" t="str">
        <f t="shared" si="319"/>
        <v/>
      </c>
      <c r="S444" s="416" t="str">
        <f t="shared" si="320"/>
        <v/>
      </c>
      <c r="AI444" s="263"/>
      <c r="AJ444" s="263"/>
      <c r="AK444" s="471"/>
      <c r="AL444" s="255"/>
      <c r="AM444" s="267"/>
      <c r="AN444" s="268"/>
      <c r="AO444" s="269"/>
    </row>
    <row r="445" spans="1:58" s="245" customFormat="1" ht="21" customHeight="1" x14ac:dyDescent="0.25">
      <c r="A445" s="433" t="s">
        <v>1038</v>
      </c>
      <c r="B445" s="3135" t="str">
        <f>"Energy model subtotal (" &amp; PO_SiteUnits &amp; ")"</f>
        <v>Energy model subtotal (kWh)</v>
      </c>
      <c r="C445" s="3135"/>
      <c r="D445" s="3135"/>
      <c r="E445" s="555">
        <f>IFERROR(SUMPRODUCT(INDEX(PO_Enrgy_15_Table,0,MATCH(E$436,PO_Enrgy_15_Hdr,0)),INDEX(PO_Enrgy_15_Table,0,MATCH($R$436,PO_Enrgy_15_Hdr,0))),"")</f>
        <v>0</v>
      </c>
      <c r="F445" s="527">
        <f>IFERROR(SUM(INDEX(PO_Enrgy_15_Table,0,MATCH(F$436,PO_Enrgy_15_Hdr,0))),"")</f>
        <v>0</v>
      </c>
      <c r="G445" s="3136" t="str">
        <f>IFERROR(F445/F437,"")</f>
        <v/>
      </c>
      <c r="H445" s="3951"/>
      <c r="I445" s="555">
        <f>IFERROR(SUMPRODUCT(INDEX(PO_Enrgy_15_Table,0,MATCH(I$436,PO_Enrgy_15_Hdr,0)),INDEX(PO_Enrgy_15_Table,0,MATCH($R$436,PO_Enrgy_15_Hdr,0))),"")</f>
        <v>0</v>
      </c>
      <c r="J445" s="527">
        <f>IFERROR(SUM(INDEX(PO_Enrgy_15_Table,0,MATCH(J$436,PO_Enrgy_15_Hdr,0))),"")</f>
        <v>0</v>
      </c>
      <c r="K445" s="3136" t="str">
        <f ca="1">IFERROR(J445/J437,"")</f>
        <v/>
      </c>
      <c r="L445" s="3136"/>
      <c r="M445" s="3136"/>
      <c r="N445" s="235"/>
      <c r="O445" s="235"/>
      <c r="P445" s="235"/>
      <c r="Q445" s="235"/>
      <c r="AK445" s="2"/>
      <c r="AM445" s="267"/>
      <c r="AN445" s="268"/>
      <c r="BD445" s="2155"/>
      <c r="BE445" s="235"/>
      <c r="BF445" s="235"/>
    </row>
    <row r="446" spans="1:58" s="245" customFormat="1" ht="10.5" customHeight="1" x14ac:dyDescent="0.25">
      <c r="A446" s="433" t="s">
        <v>1038</v>
      </c>
      <c r="B446" s="249"/>
      <c r="C446" s="249"/>
      <c r="D446" s="249"/>
      <c r="E446" s="336"/>
      <c r="F446" s="255"/>
      <c r="G446" s="297"/>
      <c r="I446" s="255"/>
      <c r="J446" s="255"/>
      <c r="K446" s="332"/>
      <c r="L446" s="332"/>
      <c r="M446" s="332"/>
      <c r="N446" s="235"/>
      <c r="O446" s="235"/>
      <c r="P446" s="235"/>
      <c r="Q446" s="235"/>
      <c r="AK446" s="2"/>
      <c r="AM446" s="267"/>
      <c r="AN446" s="268"/>
      <c r="BD446" s="2155"/>
      <c r="BE446" s="235"/>
      <c r="BF446" s="235"/>
    </row>
    <row r="447" spans="1:58" ht="21" customHeight="1" x14ac:dyDescent="0.25">
      <c r="A447" s="433" t="s">
        <v>1038</v>
      </c>
      <c r="B447" s="583" t="s">
        <v>3358</v>
      </c>
      <c r="AM447" s="289"/>
      <c r="AN447" s="290"/>
    </row>
    <row r="448" spans="1:58" s="1235" customFormat="1" ht="21.75" customHeight="1" x14ac:dyDescent="0.25">
      <c r="A448" s="2165" t="s">
        <v>1038</v>
      </c>
      <c r="B448" s="3358" t="s">
        <v>354</v>
      </c>
      <c r="C448" s="3433" t="s">
        <v>1436</v>
      </c>
      <c r="D448" s="3881"/>
      <c r="E448" s="3886" t="s">
        <v>272</v>
      </c>
      <c r="F448" s="3887"/>
      <c r="G448" s="3887"/>
      <c r="H448" s="3888"/>
      <c r="I448" s="3886" t="s">
        <v>2682</v>
      </c>
      <c r="J448" s="3887"/>
      <c r="K448" s="3887"/>
      <c r="L448" s="3888"/>
      <c r="M448" s="3886" t="s">
        <v>358</v>
      </c>
      <c r="N448" s="3887"/>
      <c r="O448" s="3887"/>
      <c r="P448" s="3888"/>
      <c r="Q448" s="2173"/>
      <c r="AM448" s="2164"/>
      <c r="BF448" s="2159"/>
    </row>
    <row r="449" spans="1:58" s="1235" customFormat="1" ht="54.45" customHeight="1" thickBot="1" x14ac:dyDescent="0.3">
      <c r="A449" s="2165" t="s">
        <v>1038</v>
      </c>
      <c r="B449" s="3881"/>
      <c r="C449" s="3881"/>
      <c r="D449" s="3881"/>
      <c r="E449" s="2043" t="s">
        <v>902</v>
      </c>
      <c r="F449" s="1358" t="str">
        <f>"Source Energy Use 
("  &amp; PO_SourceUnits &amp; ")"</f>
        <v>Source Energy Use 
(kWh)</v>
      </c>
      <c r="G449" s="2357" t="s">
        <v>356</v>
      </c>
      <c r="H449" s="2043" t="s">
        <v>3205</v>
      </c>
      <c r="I449" s="2358" t="s">
        <v>902</v>
      </c>
      <c r="J449" s="1358" t="str">
        <f>"Source Energy Use 
("  &amp; PO_SourceUnits &amp; ")"</f>
        <v>Source Energy Use 
(kWh)</v>
      </c>
      <c r="K449" s="2357" t="s">
        <v>356</v>
      </c>
      <c r="L449" s="2043" t="s">
        <v>3205</v>
      </c>
      <c r="M449" s="2358" t="s">
        <v>2584</v>
      </c>
      <c r="N449" s="2043" t="s">
        <v>2585</v>
      </c>
      <c r="O449" s="2357" t="s">
        <v>356</v>
      </c>
      <c r="P449" s="2043" t="s">
        <v>3205</v>
      </c>
      <c r="Q449" s="2173"/>
      <c r="AM449" s="2164"/>
      <c r="BD449" s="1358" t="s">
        <v>1635</v>
      </c>
      <c r="BF449" s="2564"/>
    </row>
    <row r="450" spans="1:58" s="446" customFormat="1" ht="14.4" hidden="1" thickBot="1" x14ac:dyDescent="0.3">
      <c r="A450" s="433" t="s">
        <v>1038</v>
      </c>
      <c r="B450" s="1454" t="s">
        <v>1396</v>
      </c>
      <c r="C450" s="1532" t="s">
        <v>1424</v>
      </c>
      <c r="D450" s="1454"/>
      <c r="E450" s="1452" t="s">
        <v>1452</v>
      </c>
      <c r="F450" s="1454" t="s">
        <v>1453</v>
      </c>
      <c r="G450" s="2408" t="s">
        <v>1454</v>
      </c>
      <c r="H450" s="1452"/>
      <c r="I450" s="2411" t="s">
        <v>1437</v>
      </c>
      <c r="J450" s="1454" t="s">
        <v>1438</v>
      </c>
      <c r="K450" s="2408" t="s">
        <v>1439</v>
      </c>
      <c r="L450" s="1452"/>
      <c r="M450" s="2411" t="s">
        <v>1455</v>
      </c>
      <c r="N450" s="1532"/>
      <c r="O450" s="2408" t="s">
        <v>1441</v>
      </c>
      <c r="P450" s="1452" t="s">
        <v>1441</v>
      </c>
      <c r="Q450" s="463"/>
      <c r="R450" s="463"/>
      <c r="S450" s="463"/>
      <c r="T450" s="415" t="s">
        <v>1407</v>
      </c>
      <c r="U450" s="415" t="s">
        <v>1408</v>
      </c>
      <c r="AM450" s="447"/>
      <c r="BD450" s="2161"/>
      <c r="BF450" s="2162"/>
    </row>
    <row r="451" spans="1:58" ht="15" customHeight="1" x14ac:dyDescent="0.25">
      <c r="A451" s="433" t="s">
        <v>1038</v>
      </c>
      <c r="B451" s="1669" t="str">
        <f t="shared" ref="B451:B456" si="323">IFERROR(IF(ISBLANK(B17),"",B17),"")</f>
        <v/>
      </c>
      <c r="C451" s="3838" t="str">
        <f t="shared" ref="C451:C456" si="324">IFERROR(IF(ISBLANK($B451),"",VLOOKUP($B451,PO_Enrgy_1_Table,MATCH($C$16,PO_Enrgy_1_Hdr,0),FALSE) ),"")</f>
        <v/>
      </c>
      <c r="D451" s="3840" t="str">
        <f>IF(C451="","",VLOOKUP(C451,ProjectEnergyTypeTable,3,FALSE))</f>
        <v/>
      </c>
      <c r="E451" s="1309">
        <f t="shared" ref="E451:E456" si="325">IFERROR(VLOOKUP($B451,PO_Enrgy_13_Table,MATCH($E$384,PO_Enrgy_13_Hdr,0),FALSE),"")</f>
        <v>0</v>
      </c>
      <c r="F451" s="1309" t="str">
        <f t="shared" ref="F451:F456" si="326">IFERROR(E451*$U451,"")</f>
        <v/>
      </c>
      <c r="G451" s="2409">
        <f t="shared" ref="G451:G456" si="327">IFERROR(VLOOKUP($B451,PO_Enrgy_13_Table,MATCH($G$384,PO_Enrgy_13_Hdr,0),FALSE),"")</f>
        <v>0</v>
      </c>
      <c r="H451" s="2823" t="str">
        <f>IFERROR(E451*V451,"")</f>
        <v/>
      </c>
      <c r="I451" s="2412">
        <f t="shared" ref="I451:I456" si="328">IFERROR(VLOOKUP($B451,PO_Enrgy_14_Table,MATCH($I$384,PO_Enrgy_14_Hdr,0),FALSE),"")</f>
        <v>0</v>
      </c>
      <c r="J451" s="1309" t="str">
        <f t="shared" ref="J451:J456" si="329">IFERROR(I451*$U451,"")</f>
        <v/>
      </c>
      <c r="K451" s="2414">
        <f t="shared" ref="K451:K456" si="330">IFERROR(VLOOKUP($B451,PO_Enrgy_14_Table,MATCH($K$384,PO_Enrgy_14_Hdr,0),FALSE),"")</f>
        <v>0</v>
      </c>
      <c r="L451" s="2823" t="str">
        <f>IFERROR(I451*V451-E418,"")</f>
        <v/>
      </c>
      <c r="M451" s="2415" t="str">
        <f t="shared" ref="M451:P457" si="331">IFERROR(1-I451/E451,"")</f>
        <v/>
      </c>
      <c r="N451" s="1852" t="str">
        <f t="shared" si="331"/>
        <v/>
      </c>
      <c r="O451" s="2438" t="str">
        <f t="shared" si="331"/>
        <v/>
      </c>
      <c r="P451" s="2968" t="str">
        <f t="shared" si="331"/>
        <v/>
      </c>
      <c r="Q451" s="2599"/>
      <c r="T451" s="627" t="str">
        <f t="shared" ref="T451:T456" si="332">IFERROR(IF(ISBLANK($B451),"",VLOOKUP($B451,PO_Enrgy_1_Table,MATCH($K$16,PO_Enrgy_1_Hdr,0),FALSE)),"")</f>
        <v/>
      </c>
      <c r="U451" s="2404" t="str">
        <f t="shared" ref="U451:U456" si="333">IFERROR(IF(ISBLANK($B451),"",VLOOKUP($B451,PO_Enrgy_1_Table,MATCH($M$16,PO_Enrgy_1_Hdr,0),FALSE)),"")</f>
        <v/>
      </c>
      <c r="V451" s="2405" t="str">
        <f t="shared" ref="V451:V456" si="334">IFERROR(VLOOKUP(B451,PO_Enrgy_1_Table,MATCH($T$16,PO_Enrgy_1_Hdr,0),0),"")</f>
        <v/>
      </c>
      <c r="AK451" s="263"/>
      <c r="AL451" s="263"/>
      <c r="AM451" s="2"/>
      <c r="AO451" s="267"/>
      <c r="AP451" s="268"/>
      <c r="BD451" s="2154"/>
      <c r="BF451" s="2612"/>
    </row>
    <row r="452" spans="1:58" ht="15" customHeight="1" x14ac:dyDescent="0.25">
      <c r="A452" s="433" t="s">
        <v>1038</v>
      </c>
      <c r="B452" s="1669" t="str">
        <f t="shared" si="323"/>
        <v/>
      </c>
      <c r="C452" s="3838" t="str">
        <f t="shared" si="324"/>
        <v/>
      </c>
      <c r="D452" s="3840" t="str">
        <f>IF(C452="","",VLOOKUP(C452,ProjectEnergyTypeTable,3,FALSE))</f>
        <v/>
      </c>
      <c r="E452" s="1309">
        <f t="shared" si="325"/>
        <v>0</v>
      </c>
      <c r="F452" s="1309" t="str">
        <f t="shared" si="326"/>
        <v/>
      </c>
      <c r="G452" s="2409">
        <f t="shared" si="327"/>
        <v>0</v>
      </c>
      <c r="H452" s="2823" t="str">
        <f t="shared" ref="H452:H456" si="335">IFERROR(E452*V452,"")</f>
        <v/>
      </c>
      <c r="I452" s="2412">
        <f t="shared" si="328"/>
        <v>0</v>
      </c>
      <c r="J452" s="1309" t="str">
        <f t="shared" si="329"/>
        <v/>
      </c>
      <c r="K452" s="2414">
        <f t="shared" si="330"/>
        <v>0</v>
      </c>
      <c r="L452" s="2823" t="str">
        <f t="shared" ref="L452:L456" si="336">IFERROR(I452*V452-E419,"")</f>
        <v/>
      </c>
      <c r="M452" s="2415" t="str">
        <f t="shared" si="331"/>
        <v/>
      </c>
      <c r="N452" s="1852" t="str">
        <f t="shared" si="331"/>
        <v/>
      </c>
      <c r="O452" s="2438" t="str">
        <f t="shared" si="331"/>
        <v/>
      </c>
      <c r="P452" s="2968" t="str">
        <f t="shared" si="331"/>
        <v/>
      </c>
      <c r="Q452" s="2599"/>
      <c r="T452" s="627" t="str">
        <f t="shared" si="332"/>
        <v/>
      </c>
      <c r="U452" s="2404" t="str">
        <f t="shared" si="333"/>
        <v/>
      </c>
      <c r="V452" s="2406" t="str">
        <f t="shared" si="334"/>
        <v/>
      </c>
      <c r="AK452" s="263"/>
      <c r="AL452" s="263"/>
      <c r="AM452" s="2"/>
      <c r="AO452" s="267"/>
      <c r="AP452" s="268"/>
      <c r="BD452" s="2154"/>
      <c r="BF452" s="2612"/>
    </row>
    <row r="453" spans="1:58" ht="15" customHeight="1" x14ac:dyDescent="0.25">
      <c r="A453" s="433" t="s">
        <v>1038</v>
      </c>
      <c r="B453" s="1669" t="str">
        <f t="shared" si="323"/>
        <v/>
      </c>
      <c r="C453" s="3838" t="str">
        <f t="shared" si="324"/>
        <v/>
      </c>
      <c r="D453" s="3840" t="str">
        <f>IF(C453="","",VLOOKUP(C453,ProjectEnergyTypeTable,3,FALSE))</f>
        <v/>
      </c>
      <c r="E453" s="1309">
        <f t="shared" si="325"/>
        <v>0</v>
      </c>
      <c r="F453" s="1309" t="str">
        <f t="shared" si="326"/>
        <v/>
      </c>
      <c r="G453" s="2409">
        <f t="shared" si="327"/>
        <v>0</v>
      </c>
      <c r="H453" s="2823" t="str">
        <f t="shared" si="335"/>
        <v/>
      </c>
      <c r="I453" s="2412">
        <f t="shared" si="328"/>
        <v>0</v>
      </c>
      <c r="J453" s="1309" t="str">
        <f t="shared" si="329"/>
        <v/>
      </c>
      <c r="K453" s="2414">
        <f t="shared" si="330"/>
        <v>0</v>
      </c>
      <c r="L453" s="2823" t="str">
        <f t="shared" si="336"/>
        <v/>
      </c>
      <c r="M453" s="2415" t="str">
        <f t="shared" si="331"/>
        <v/>
      </c>
      <c r="N453" s="1852" t="str">
        <f t="shared" si="331"/>
        <v/>
      </c>
      <c r="O453" s="2438" t="str">
        <f t="shared" si="331"/>
        <v/>
      </c>
      <c r="P453" s="2968" t="str">
        <f t="shared" si="331"/>
        <v/>
      </c>
      <c r="Q453" s="2599"/>
      <c r="T453" s="627" t="str">
        <f t="shared" si="332"/>
        <v/>
      </c>
      <c r="U453" s="2404" t="str">
        <f t="shared" si="333"/>
        <v/>
      </c>
      <c r="V453" s="2406" t="str">
        <f t="shared" si="334"/>
        <v/>
      </c>
      <c r="AK453" s="263"/>
      <c r="AL453" s="263"/>
      <c r="AM453" s="2"/>
      <c r="AO453" s="267"/>
      <c r="AP453" s="268"/>
      <c r="BD453" s="2154"/>
      <c r="BF453" s="2612"/>
    </row>
    <row r="454" spans="1:58" ht="15" customHeight="1" x14ac:dyDescent="0.25">
      <c r="A454" s="433" t="s">
        <v>1038</v>
      </c>
      <c r="B454" s="1669" t="str">
        <f t="shared" si="323"/>
        <v/>
      </c>
      <c r="C454" s="3838" t="str">
        <f t="shared" si="324"/>
        <v/>
      </c>
      <c r="D454" s="3840" t="str">
        <f>IF(C454="","",VLOOKUP(C454,ProjectEnergyTypeTable,3,FALSE))</f>
        <v/>
      </c>
      <c r="E454" s="1309">
        <f t="shared" si="325"/>
        <v>0</v>
      </c>
      <c r="F454" s="1309" t="str">
        <f t="shared" si="326"/>
        <v/>
      </c>
      <c r="G454" s="2409">
        <f t="shared" si="327"/>
        <v>0</v>
      </c>
      <c r="H454" s="2823" t="str">
        <f t="shared" si="335"/>
        <v/>
      </c>
      <c r="I454" s="2412">
        <f t="shared" si="328"/>
        <v>0</v>
      </c>
      <c r="J454" s="1309" t="str">
        <f t="shared" si="329"/>
        <v/>
      </c>
      <c r="K454" s="2414">
        <f t="shared" si="330"/>
        <v>0</v>
      </c>
      <c r="L454" s="2823" t="str">
        <f t="shared" si="336"/>
        <v/>
      </c>
      <c r="M454" s="2415" t="str">
        <f t="shared" si="331"/>
        <v/>
      </c>
      <c r="N454" s="1852" t="str">
        <f t="shared" si="331"/>
        <v/>
      </c>
      <c r="O454" s="2438" t="str">
        <f t="shared" si="331"/>
        <v/>
      </c>
      <c r="P454" s="2968" t="str">
        <f t="shared" si="331"/>
        <v/>
      </c>
      <c r="Q454" s="2599"/>
      <c r="T454" s="627" t="str">
        <f t="shared" si="332"/>
        <v/>
      </c>
      <c r="U454" s="2404" t="str">
        <f t="shared" si="333"/>
        <v/>
      </c>
      <c r="V454" s="2406" t="str">
        <f t="shared" si="334"/>
        <v/>
      </c>
      <c r="AK454" s="263"/>
      <c r="AL454" s="263"/>
      <c r="AM454" s="2"/>
      <c r="AO454" s="267"/>
      <c r="AP454" s="268"/>
      <c r="BD454" s="2154"/>
      <c r="BF454" s="2612"/>
    </row>
    <row r="455" spans="1:58" ht="15" customHeight="1" x14ac:dyDescent="0.25">
      <c r="A455" s="433" t="s">
        <v>1038</v>
      </c>
      <c r="B455" s="1669" t="str">
        <f t="shared" si="323"/>
        <v/>
      </c>
      <c r="C455" s="3838" t="str">
        <f t="shared" si="324"/>
        <v/>
      </c>
      <c r="D455" s="3840" t="str">
        <f>IF(C455="","",VLOOKUP(C455,ProjectEnergyTypeTable,3,FALSE))</f>
        <v/>
      </c>
      <c r="E455" s="1309">
        <f t="shared" si="325"/>
        <v>0</v>
      </c>
      <c r="F455" s="1309" t="str">
        <f t="shared" si="326"/>
        <v/>
      </c>
      <c r="G455" s="2409">
        <f t="shared" si="327"/>
        <v>0</v>
      </c>
      <c r="H455" s="2823" t="str">
        <f t="shared" si="335"/>
        <v/>
      </c>
      <c r="I455" s="2412">
        <f t="shared" si="328"/>
        <v>0</v>
      </c>
      <c r="J455" s="1309" t="str">
        <f t="shared" si="329"/>
        <v/>
      </c>
      <c r="K455" s="2414">
        <f t="shared" si="330"/>
        <v>0</v>
      </c>
      <c r="L455" s="2823" t="str">
        <f t="shared" si="336"/>
        <v/>
      </c>
      <c r="M455" s="2415" t="str">
        <f t="shared" si="331"/>
        <v/>
      </c>
      <c r="N455" s="1852" t="str">
        <f t="shared" si="331"/>
        <v/>
      </c>
      <c r="O455" s="2438" t="str">
        <f t="shared" si="331"/>
        <v/>
      </c>
      <c r="P455" s="2968" t="str">
        <f t="shared" si="331"/>
        <v/>
      </c>
      <c r="Q455" s="2599"/>
      <c r="T455" s="627" t="str">
        <f t="shared" si="332"/>
        <v/>
      </c>
      <c r="U455" s="2404" t="str">
        <f t="shared" si="333"/>
        <v/>
      </c>
      <c r="V455" s="2406" t="str">
        <f t="shared" si="334"/>
        <v/>
      </c>
      <c r="AK455" s="263"/>
      <c r="AL455" s="263"/>
      <c r="AM455" s="2"/>
      <c r="AO455" s="267"/>
      <c r="AP455" s="268"/>
      <c r="BD455" s="2154"/>
      <c r="BF455" s="2612"/>
    </row>
    <row r="456" spans="1:58" ht="15" customHeight="1" thickBot="1" x14ac:dyDescent="0.3">
      <c r="A456" s="433" t="s">
        <v>1038</v>
      </c>
      <c r="B456" s="1669" t="str">
        <f t="shared" si="323"/>
        <v/>
      </c>
      <c r="C456" s="3838" t="str">
        <f t="shared" si="324"/>
        <v/>
      </c>
      <c r="D456" s="3840" t="str">
        <f>IF(C456="","",VLOOKUP(C456,ProjectEnergyTypeTable,3,FALSE))</f>
        <v/>
      </c>
      <c r="E456" s="1309">
        <f t="shared" si="325"/>
        <v>0</v>
      </c>
      <c r="F456" s="1309" t="str">
        <f t="shared" si="326"/>
        <v/>
      </c>
      <c r="G456" s="2409">
        <f t="shared" si="327"/>
        <v>0</v>
      </c>
      <c r="H456" s="2823" t="str">
        <f t="shared" si="335"/>
        <v/>
      </c>
      <c r="I456" s="2412">
        <f t="shared" si="328"/>
        <v>0</v>
      </c>
      <c r="J456" s="1309" t="str">
        <f t="shared" si="329"/>
        <v/>
      </c>
      <c r="K456" s="2414">
        <f t="shared" si="330"/>
        <v>0</v>
      </c>
      <c r="L456" s="2823" t="str">
        <f t="shared" si="336"/>
        <v/>
      </c>
      <c r="M456" s="2415" t="str">
        <f t="shared" si="331"/>
        <v/>
      </c>
      <c r="N456" s="1852" t="str">
        <f t="shared" si="331"/>
        <v/>
      </c>
      <c r="O456" s="2438" t="str">
        <f t="shared" si="331"/>
        <v/>
      </c>
      <c r="P456" s="2968" t="str">
        <f t="shared" si="331"/>
        <v/>
      </c>
      <c r="Q456" s="2599"/>
      <c r="T456" s="627" t="str">
        <f t="shared" si="332"/>
        <v/>
      </c>
      <c r="U456" s="2404" t="str">
        <f t="shared" si="333"/>
        <v/>
      </c>
      <c r="V456" s="2407" t="str">
        <f t="shared" si="334"/>
        <v/>
      </c>
      <c r="AK456" s="263"/>
      <c r="AL456" s="263"/>
      <c r="AM456" s="2"/>
      <c r="AO456" s="267"/>
      <c r="AP456" s="268"/>
      <c r="BD456" s="2154"/>
      <c r="BF456" s="2612"/>
    </row>
    <row r="457" spans="1:58" ht="21" customHeight="1" x14ac:dyDescent="0.25">
      <c r="A457" s="433" t="s">
        <v>1038</v>
      </c>
      <c r="B457" s="3883" t="s">
        <v>122</v>
      </c>
      <c r="C457" s="3884"/>
      <c r="D457" s="3884"/>
      <c r="E457" s="1313">
        <f>IFERROR(SUMPRODUCT(INDEX(PO_Enrgy_16_Table,0,MATCH(E$450,PO_Enrgy_16_Hdr,0)),INDEX(PO_Enrgy_16_Table,0,MATCH($T$450,PO_Enrgy_16_Hdr,0))),"")</f>
        <v>0</v>
      </c>
      <c r="F457" s="1310">
        <f>IFERROR(SUM(INDEX(PO_Enrgy_16_Table,0,MATCH(F$450,PO_Enrgy_16_Hdr,0))),"")</f>
        <v>0</v>
      </c>
      <c r="G457" s="2410">
        <f>IFERROR(SUM(INDEX(PO_Enrgy_16_Table,0,MATCH(G$450,PO_Enrgy_16_Hdr,0))),"")</f>
        <v>0</v>
      </c>
      <c r="H457" s="2823">
        <f>SUM(H451:H456)</f>
        <v>0</v>
      </c>
      <c r="I457" s="2413">
        <f>IFERROR(SUMPRODUCT(INDEX(PO_Enrgy_16_Table,0,MATCH(I$450,PO_Enrgy_16_Hdr,0)),INDEX(PO_Enrgy_16_Table,0,MATCH($T$450,PO_Enrgy_16_Hdr,0))),"")</f>
        <v>0</v>
      </c>
      <c r="J457" s="1310">
        <f>IFERROR(SUM(INDEX(PO_Enrgy_16_Table,0,MATCH(J$450,PO_Enrgy_16_Hdr,0))),"")</f>
        <v>0</v>
      </c>
      <c r="K457" s="2410">
        <f>IFERROR(SUM(INDEX(PO_Enrgy_16_Table,0,MATCH(K$450,PO_Enrgy_16_Hdr,0))),"")</f>
        <v>0</v>
      </c>
      <c r="L457" s="2823">
        <f>SUM(L451:L456)</f>
        <v>0</v>
      </c>
      <c r="M457" s="2416" t="str">
        <f t="shared" si="331"/>
        <v/>
      </c>
      <c r="N457" s="1852" t="str">
        <f t="shared" si="331"/>
        <v/>
      </c>
      <c r="O457" s="2439" t="str">
        <f t="shared" si="331"/>
        <v/>
      </c>
      <c r="P457" s="1671" t="str">
        <f t="shared" si="331"/>
        <v/>
      </c>
      <c r="Q457" s="2467"/>
      <c r="AM457" s="2"/>
      <c r="BD457" s="2154"/>
      <c r="BF457" s="2612"/>
    </row>
    <row r="458" spans="1:58" ht="21" customHeight="1" x14ac:dyDescent="0.25">
      <c r="A458" s="433"/>
      <c r="B458" s="2468"/>
      <c r="E458" s="2461"/>
      <c r="F458" s="2462"/>
      <c r="G458" s="2463"/>
      <c r="H458" s="2464"/>
      <c r="I458" s="2461"/>
      <c r="J458" s="2462"/>
      <c r="K458" s="2463"/>
      <c r="L458" s="2464"/>
      <c r="M458" s="2465"/>
      <c r="N458" s="2466"/>
      <c r="O458" s="2467"/>
      <c r="P458" s="2467"/>
      <c r="Q458" s="2467"/>
      <c r="AM458" s="2"/>
      <c r="BD458" s="235"/>
      <c r="BF458" s="2612"/>
    </row>
    <row r="459" spans="1:58" ht="21" customHeight="1" x14ac:dyDescent="0.25">
      <c r="A459" s="433"/>
      <c r="B459" s="2468"/>
      <c r="E459" s="2461"/>
      <c r="F459" s="2462"/>
      <c r="G459" s="2463"/>
      <c r="H459" s="2464"/>
      <c r="I459" s="2461"/>
      <c r="J459" s="2462"/>
      <c r="K459" s="2463"/>
      <c r="L459" s="2464"/>
      <c r="M459" s="2465"/>
      <c r="N459" s="2466"/>
      <c r="O459" s="2467"/>
      <c r="P459" s="2467"/>
      <c r="Q459" s="2467"/>
      <c r="AM459" s="2"/>
      <c r="BD459" s="235"/>
      <c r="BF459" s="2612"/>
    </row>
    <row r="460" spans="1:58" ht="21" customHeight="1" x14ac:dyDescent="0.25"/>
    <row r="461" spans="1:58" s="1235" customFormat="1" ht="37.5" customHeight="1" x14ac:dyDescent="0.25">
      <c r="M461" s="1358" t="str">
        <f>"Site Energy 
("  &amp; PO_SourceUnits &amp; ")"</f>
        <v>Site Energy 
(kWh)</v>
      </c>
      <c r="N461" s="2043" t="s">
        <v>2586</v>
      </c>
      <c r="O461" s="1358" t="str">
        <f>"Source Energy 
("  &amp; PO_SourceUnits &amp; ")"</f>
        <v>Source Energy 
(kWh)</v>
      </c>
      <c r="P461" s="1358" t="s">
        <v>3183</v>
      </c>
      <c r="Q461" s="2564"/>
      <c r="BD461" s="1358" t="s">
        <v>1635</v>
      </c>
      <c r="BE461" s="2564"/>
    </row>
    <row r="462" spans="1:58" ht="21" customHeight="1" x14ac:dyDescent="0.25">
      <c r="B462" s="3833" t="s">
        <v>3244</v>
      </c>
      <c r="C462" s="3833"/>
      <c r="D462" s="3833"/>
      <c r="E462" s="3833"/>
      <c r="F462" s="3833"/>
      <c r="G462" s="3833"/>
      <c r="H462" s="3833"/>
      <c r="I462" s="3833"/>
      <c r="J462" s="3833"/>
      <c r="K462" s="3833"/>
      <c r="L462" s="3833"/>
      <c r="M462" s="2825">
        <f>I305</f>
        <v>0</v>
      </c>
      <c r="N462" s="2826">
        <f>K305</f>
        <v>0</v>
      </c>
      <c r="O462" s="2825">
        <f>J305</f>
        <v>0</v>
      </c>
      <c r="P462" s="2825">
        <f>L305</f>
        <v>0</v>
      </c>
      <c r="Q462" s="2603"/>
      <c r="S462" s="295"/>
      <c r="AL462" s="2"/>
      <c r="BD462" s="2154"/>
      <c r="BE462" s="2612"/>
    </row>
    <row r="463" spans="1:58" ht="21" customHeight="1" x14ac:dyDescent="0.25">
      <c r="B463" s="3833" t="s">
        <v>3245</v>
      </c>
      <c r="C463" s="3833"/>
      <c r="D463" s="3833"/>
      <c r="E463" s="3833"/>
      <c r="F463" s="3833"/>
      <c r="G463" s="3833"/>
      <c r="H463" s="3833"/>
      <c r="I463" s="3833"/>
      <c r="J463" s="3833"/>
      <c r="K463" s="3833"/>
      <c r="L463" s="3833"/>
      <c r="M463" s="2825">
        <f>E413</f>
        <v>0</v>
      </c>
      <c r="N463" s="2826">
        <f>G413</f>
        <v>0</v>
      </c>
      <c r="O463" s="2825">
        <f>F413</f>
        <v>0</v>
      </c>
      <c r="P463" s="2825">
        <f>H413</f>
        <v>0</v>
      </c>
      <c r="Q463" s="2603"/>
      <c r="AL463" s="2"/>
      <c r="BD463" s="2154"/>
      <c r="BE463" s="2612"/>
    </row>
    <row r="464" spans="1:58" ht="21" customHeight="1" x14ac:dyDescent="0.25">
      <c r="B464" s="3833" t="s">
        <v>3226</v>
      </c>
      <c r="C464" s="3833"/>
      <c r="D464" s="3833"/>
      <c r="E464" s="3833"/>
      <c r="F464" s="3833"/>
      <c r="G464" s="3833"/>
      <c r="H464" s="3833"/>
      <c r="I464" s="3833"/>
      <c r="J464" s="3833"/>
      <c r="K464" s="3833"/>
      <c r="L464" s="3833"/>
      <c r="M464" s="2825"/>
      <c r="N464" s="2826"/>
      <c r="O464" s="2825"/>
      <c r="P464" s="2825">
        <f>E424</f>
        <v>0</v>
      </c>
      <c r="Q464" s="2603"/>
      <c r="AL464" s="2"/>
      <c r="BD464" s="2154"/>
      <c r="BE464" s="2612"/>
    </row>
    <row r="465" spans="1:61" ht="21" customHeight="1" x14ac:dyDescent="0.25">
      <c r="B465" s="3833" t="s">
        <v>3246</v>
      </c>
      <c r="C465" s="3833"/>
      <c r="D465" s="3833"/>
      <c r="E465" s="3833"/>
      <c r="F465" s="3833"/>
      <c r="G465" s="3833"/>
      <c r="H465" s="3833"/>
      <c r="I465" s="3833"/>
      <c r="J465" s="3833"/>
      <c r="K465" s="3833"/>
      <c r="L465" s="3833"/>
      <c r="M465" s="2825">
        <f>I120</f>
        <v>0</v>
      </c>
      <c r="N465" s="2826">
        <f>L120</f>
        <v>0</v>
      </c>
      <c r="O465" s="2825">
        <f>J120</f>
        <v>0</v>
      </c>
      <c r="P465" s="2825">
        <f>N120</f>
        <v>0</v>
      </c>
      <c r="Q465" s="2603"/>
      <c r="S465" s="3190"/>
      <c r="T465" s="3190"/>
      <c r="AL465" s="2"/>
      <c r="BD465" s="2154"/>
      <c r="BE465" s="2612"/>
    </row>
    <row r="466" spans="1:61" ht="21" customHeight="1" x14ac:dyDescent="0.25">
      <c r="B466" s="3833" t="s">
        <v>3247</v>
      </c>
      <c r="C466" s="3833"/>
      <c r="D466" s="3833"/>
      <c r="E466" s="3833"/>
      <c r="F466" s="3833"/>
      <c r="G466" s="3833"/>
      <c r="H466" s="3833"/>
      <c r="I466" s="3833"/>
      <c r="J466" s="3833"/>
      <c r="K466" s="3833"/>
      <c r="L466" s="3833"/>
      <c r="M466" s="2825">
        <f>I457</f>
        <v>0</v>
      </c>
      <c r="N466" s="2826">
        <f>K457</f>
        <v>0</v>
      </c>
      <c r="O466" s="2825">
        <f>J457</f>
        <v>0</v>
      </c>
      <c r="P466" s="2825">
        <f>L457</f>
        <v>0</v>
      </c>
      <c r="Q466" s="2603"/>
      <c r="S466" s="2173"/>
      <c r="T466" s="2564"/>
      <c r="AL466" s="2"/>
      <c r="BD466" s="2154"/>
      <c r="BE466" s="2612"/>
    </row>
    <row r="467" spans="1:61" ht="21" customHeight="1" x14ac:dyDescent="0.25">
      <c r="B467" s="3833" t="s">
        <v>3248</v>
      </c>
      <c r="C467" s="3833"/>
      <c r="D467" s="3833"/>
      <c r="E467" s="3833"/>
      <c r="F467" s="3833"/>
      <c r="G467" s="3833"/>
      <c r="H467" s="3833"/>
      <c r="I467" s="3833"/>
      <c r="J467" s="3833"/>
      <c r="K467" s="3833"/>
      <c r="L467" s="3833"/>
      <c r="M467" s="2825" t="str">
        <f>IFERROR(M469-M468,"")</f>
        <v/>
      </c>
      <c r="N467" s="2826" t="str">
        <f>IFERROR(N469-N468,"")</f>
        <v/>
      </c>
      <c r="O467" s="2827" t="str">
        <f>IFERROR(O469-O468,"")</f>
        <v/>
      </c>
      <c r="P467" s="2827" t="str">
        <f>IFERROR(P469-P468,"")</f>
        <v/>
      </c>
      <c r="Q467" s="2604"/>
      <c r="S467" s="438"/>
      <c r="T467" s="438"/>
      <c r="AL467" s="2"/>
      <c r="BD467" s="2154"/>
      <c r="BE467" s="2612"/>
    </row>
    <row r="468" spans="1:61" ht="21" customHeight="1" x14ac:dyDescent="0.25">
      <c r="B468" s="3833" t="s">
        <v>3249</v>
      </c>
      <c r="C468" s="3833"/>
      <c r="D468" s="3833"/>
      <c r="E468" s="3833"/>
      <c r="F468" s="3833"/>
      <c r="G468" s="3833"/>
      <c r="H468" s="3833"/>
      <c r="I468" s="3833"/>
      <c r="J468" s="3833"/>
      <c r="K468" s="3833"/>
      <c r="L468" s="3833"/>
      <c r="M468" s="2825" t="str">
        <f>IFERROR(M469*BR295,"")</f>
        <v/>
      </c>
      <c r="N468" s="2828" t="str">
        <f>IFERROR(N469*BW295,"")</f>
        <v/>
      </c>
      <c r="O468" s="2828" t="str">
        <f>IFERROR(O469*CB295,"")</f>
        <v/>
      </c>
      <c r="P468" s="2825" t="str">
        <f>IFERROR(P469*CG295,"")</f>
        <v/>
      </c>
      <c r="Q468" s="2603"/>
      <c r="S468" s="438"/>
      <c r="T468" s="438"/>
      <c r="AL468" s="2"/>
      <c r="BD468" s="2154"/>
      <c r="BE468" s="2612"/>
    </row>
    <row r="469" spans="1:61" ht="21" customHeight="1" x14ac:dyDescent="0.25">
      <c r="B469" s="3833" t="s">
        <v>3250</v>
      </c>
      <c r="C469" s="3833"/>
      <c r="D469" s="3833"/>
      <c r="E469" s="3833"/>
      <c r="F469" s="3833"/>
      <c r="G469" s="3833"/>
      <c r="H469" s="3833"/>
      <c r="I469" s="3833"/>
      <c r="J469" s="3833"/>
      <c r="K469" s="3833"/>
      <c r="L469" s="3833"/>
      <c r="M469" s="2825">
        <f>E457</f>
        <v>0</v>
      </c>
      <c r="N469" s="2826">
        <f>G457</f>
        <v>0</v>
      </c>
      <c r="O469" s="2827">
        <f>F457</f>
        <v>0</v>
      </c>
      <c r="P469" s="2827">
        <f>H457</f>
        <v>0</v>
      </c>
      <c r="Q469" s="2604"/>
      <c r="AL469" s="2"/>
      <c r="BD469" s="2154"/>
      <c r="BE469" s="2612"/>
    </row>
    <row r="470" spans="1:61" ht="21" customHeight="1" x14ac:dyDescent="0.25">
      <c r="B470" s="3833" t="s">
        <v>2574</v>
      </c>
      <c r="C470" s="3833"/>
      <c r="D470" s="3833"/>
      <c r="E470" s="3833"/>
      <c r="F470" s="3833"/>
      <c r="G470" s="3833"/>
      <c r="H470" s="3833"/>
      <c r="I470" s="3833"/>
      <c r="J470" s="3833"/>
      <c r="K470" s="3833"/>
      <c r="L470" s="3833"/>
      <c r="M470" s="2829" t="str">
        <f>'General Information'!J27</f>
        <v>-</v>
      </c>
      <c r="N470" s="2829" t="str">
        <f>'General Information'!J27</f>
        <v>-</v>
      </c>
      <c r="O470" s="2829" t="str">
        <f>'General Information'!J27</f>
        <v>-</v>
      </c>
      <c r="P470" s="2829" t="str">
        <f>'General Information'!J27</f>
        <v>-</v>
      </c>
      <c r="Q470" s="2605"/>
      <c r="R470" s="1855"/>
      <c r="S470" s="1855"/>
      <c r="AL470" s="2"/>
      <c r="BD470" s="2154"/>
      <c r="BE470" s="2612"/>
    </row>
    <row r="471" spans="1:61" ht="21" customHeight="1" x14ac:dyDescent="0.25">
      <c r="B471" s="3833" t="s">
        <v>2366</v>
      </c>
      <c r="C471" s="3833"/>
      <c r="D471" s="3833"/>
      <c r="E471" s="3833"/>
      <c r="F471" s="3833"/>
      <c r="G471" s="3833"/>
      <c r="H471" s="3833"/>
      <c r="I471" s="3833"/>
      <c r="J471" s="3833"/>
      <c r="K471" s="3833"/>
      <c r="L471" s="3833"/>
      <c r="M471" s="2829" t="str">
        <f>IFERROR(((M467+(M470*M468))/M469),"")</f>
        <v/>
      </c>
      <c r="N471" s="2829" t="str">
        <f>IFERROR(((N467+(N470*N468))/N469),"")</f>
        <v/>
      </c>
      <c r="O471" s="2829" t="str">
        <f>IFERROR(((O467+(O470*O468))/O469),"")</f>
        <v/>
      </c>
      <c r="P471" s="2829" t="str">
        <f>IFERROR(((P467+(P470*P468))/P469),"")</f>
        <v/>
      </c>
      <c r="Q471" s="2605"/>
      <c r="R471" s="1855"/>
      <c r="S471" s="1855"/>
      <c r="AL471" s="2"/>
      <c r="BD471" s="2154"/>
      <c r="BE471" s="2612"/>
    </row>
    <row r="472" spans="1:61" ht="21" customHeight="1" x14ac:dyDescent="0.25">
      <c r="B472" s="3833" t="s">
        <v>3237</v>
      </c>
      <c r="C472" s="3833"/>
      <c r="D472" s="3833"/>
      <c r="E472" s="3833"/>
      <c r="F472" s="3833"/>
      <c r="G472" s="3833"/>
      <c r="H472" s="3833"/>
      <c r="I472" s="3833"/>
      <c r="J472" s="3833"/>
      <c r="K472" s="3833"/>
      <c r="L472" s="3833"/>
      <c r="M472" s="2829" t="str">
        <f>IFERROR(M462/M469,"")</f>
        <v/>
      </c>
      <c r="N472" s="2829" t="str">
        <f>IFERROR(N462/N469,"")</f>
        <v/>
      </c>
      <c r="O472" s="2829" t="str">
        <f>IFERROR(O462/O469,"")</f>
        <v/>
      </c>
      <c r="P472" s="2829" t="str">
        <f>IFERROR(P462/P469,"")</f>
        <v/>
      </c>
      <c r="Q472" s="2605"/>
      <c r="R472" s="1855"/>
      <c r="S472" s="1855"/>
      <c r="AL472" s="2"/>
      <c r="BD472" s="2154"/>
      <c r="BE472" s="2612"/>
    </row>
    <row r="473" spans="1:61" ht="21" customHeight="1" x14ac:dyDescent="0.25">
      <c r="B473" s="3833" t="s">
        <v>2367</v>
      </c>
      <c r="C473" s="3833"/>
      <c r="D473" s="3833"/>
      <c r="E473" s="3833"/>
      <c r="F473" s="3833"/>
      <c r="G473" s="3833"/>
      <c r="H473" s="3833"/>
      <c r="I473" s="3833"/>
      <c r="J473" s="3833"/>
      <c r="K473" s="3833"/>
      <c r="L473" s="3833"/>
      <c r="M473" s="2829" t="str">
        <f>IFERROR((M462-M465)/M469,"")</f>
        <v/>
      </c>
      <c r="N473" s="2829" t="str">
        <f>IFERROR((N462-N465)/N469,"")</f>
        <v/>
      </c>
      <c r="O473" s="2829" t="str">
        <f>IFERROR((O462-O465)/O469,"")</f>
        <v/>
      </c>
      <c r="P473" s="2829" t="str">
        <f>IFERROR((P462-P465)/P469,"")</f>
        <v/>
      </c>
      <c r="Q473" s="2605"/>
      <c r="R473" s="1855"/>
      <c r="S473" s="1855"/>
      <c r="AL473" s="2"/>
      <c r="BD473" s="2154"/>
      <c r="BE473" s="2612"/>
    </row>
    <row r="474" spans="1:61" ht="21" customHeight="1" x14ac:dyDescent="0.25">
      <c r="B474" s="3833" t="s">
        <v>3230</v>
      </c>
      <c r="C474" s="3833"/>
      <c r="D474" s="3833"/>
      <c r="E474" s="3833"/>
      <c r="F474" s="3833"/>
      <c r="G474" s="3833"/>
      <c r="H474" s="3833"/>
      <c r="I474" s="3833"/>
      <c r="J474" s="3833"/>
      <c r="K474" s="3833"/>
      <c r="L474" s="3833"/>
      <c r="M474" s="2829" t="str">
        <f>IFERROR(M466/M469,"")</f>
        <v/>
      </c>
      <c r="N474" s="2829" t="str">
        <f>IFERROR(N466/N469,"")</f>
        <v/>
      </c>
      <c r="O474" s="2829" t="str">
        <f>IFERROR(O466/O469,"")</f>
        <v/>
      </c>
      <c r="P474" s="2829" t="str">
        <f>IFERROR(P466/P469,"")</f>
        <v/>
      </c>
      <c r="Q474" s="2605"/>
      <c r="R474" s="1855"/>
      <c r="S474" s="1855"/>
      <c r="AL474" s="2"/>
      <c r="BD474" s="2154"/>
      <c r="BE474" s="2612"/>
    </row>
    <row r="475" spans="1:61" ht="21" customHeight="1" x14ac:dyDescent="0.25">
      <c r="B475" s="3833" t="str">
        <f>"% Improvement BeyondASHRAE 90.1 2016 Appendix G, excluding renewable and exceptional calculations"</f>
        <v>% Improvement BeyondASHRAE 90.1 2016 Appendix G, excluding renewable and exceptional calculations</v>
      </c>
      <c r="C475" s="3833"/>
      <c r="D475" s="3833"/>
      <c r="E475" s="3833"/>
      <c r="F475" s="3833"/>
      <c r="G475" s="3833"/>
      <c r="H475" s="3833"/>
      <c r="I475" s="3833"/>
      <c r="J475" s="3833"/>
      <c r="K475" s="3833"/>
      <c r="L475" s="3833"/>
      <c r="M475" s="2830" t="str">
        <f>IFERROR(((M471-M472)/M471),"-")</f>
        <v>-</v>
      </c>
      <c r="N475" s="2830" t="str">
        <f>IFERROR(((N471-N472)/N471),"-")</f>
        <v>-</v>
      </c>
      <c r="O475" s="2830" t="str">
        <f>IFERROR(((O471-O472)/O471),"-")</f>
        <v>-</v>
      </c>
      <c r="P475" s="2830" t="str">
        <f>IFERROR(((P471-P472)/P471),"-")</f>
        <v>-</v>
      </c>
      <c r="Q475" s="2606"/>
      <c r="R475" s="1855"/>
      <c r="S475" s="1855"/>
      <c r="AL475" s="2"/>
      <c r="BD475" s="2154"/>
      <c r="BE475" s="2612"/>
    </row>
    <row r="476" spans="1:61" ht="21" customHeight="1" x14ac:dyDescent="0.25">
      <c r="B476" s="3833" t="str">
        <f>"% Improvement Beyond ASHRAE 90.1 2016 Appendix G, all included"</f>
        <v>% Improvement Beyond ASHRAE 90.1 2016 Appendix G, all included</v>
      </c>
      <c r="C476" s="3833"/>
      <c r="D476" s="3833"/>
      <c r="E476" s="3833"/>
      <c r="F476" s="3833"/>
      <c r="G476" s="3833"/>
      <c r="H476" s="3833"/>
      <c r="I476" s="3833"/>
      <c r="J476" s="3833"/>
      <c r="K476" s="3833"/>
      <c r="L476" s="3833"/>
      <c r="M476" s="2830" t="str">
        <f>IFERROR(((M471-M474)/M471),"-")</f>
        <v>-</v>
      </c>
      <c r="N476" s="2830" t="str">
        <f>IFERROR(((N471-N474)/N471),"-")</f>
        <v>-</v>
      </c>
      <c r="O476" s="2830" t="str">
        <f>IFERROR(((O471-O474)/O471),"-")</f>
        <v>-</v>
      </c>
      <c r="P476" s="2830" t="str">
        <f>IFERROR(((P471-P474)/P471),"-")</f>
        <v>-</v>
      </c>
      <c r="Q476" s="2606"/>
      <c r="R476" s="1855"/>
      <c r="S476" s="1855"/>
      <c r="AL476" s="2"/>
      <c r="BD476" s="2154"/>
      <c r="BE476" s="2612"/>
    </row>
    <row r="477" spans="1:61" ht="33" customHeight="1" x14ac:dyDescent="0.25">
      <c r="A477" s="433" t="s">
        <v>1038</v>
      </c>
      <c r="C477" s="329"/>
      <c r="D477" s="329"/>
      <c r="E477" s="338"/>
      <c r="F477" s="251"/>
      <c r="G477" s="250"/>
      <c r="H477" s="251"/>
      <c r="I477" s="250"/>
      <c r="J477" s="298"/>
      <c r="AK477" s="2"/>
    </row>
    <row r="478" spans="1:61" s="347" customFormat="1" ht="21.75" customHeight="1" x14ac:dyDescent="0.25">
      <c r="A478" s="433" t="s">
        <v>1038</v>
      </c>
      <c r="B478" s="1227" t="s">
        <v>3359</v>
      </c>
      <c r="C478" s="42"/>
      <c r="D478" s="42"/>
      <c r="E478" s="1163"/>
      <c r="F478" s="42"/>
      <c r="G478" s="42"/>
      <c r="H478" s="1163"/>
      <c r="I478" s="1163"/>
      <c r="J478" s="1163"/>
      <c r="K478" s="42"/>
      <c r="L478" s="42"/>
      <c r="M478" s="1163"/>
      <c r="N478" s="1163"/>
      <c r="O478" s="1163"/>
      <c r="P478" s="42"/>
      <c r="Q478" s="42"/>
      <c r="R478" s="42"/>
      <c r="S478" s="42"/>
      <c r="T478" s="42"/>
      <c r="U478" s="42"/>
      <c r="V478" s="42"/>
      <c r="W478" s="42"/>
      <c r="X478" s="42"/>
      <c r="Y478" s="42"/>
      <c r="Z478" s="42"/>
      <c r="AA478" s="42"/>
      <c r="AB478" s="42"/>
      <c r="AC478" s="42"/>
      <c r="AD478" s="42"/>
      <c r="AE478" s="42"/>
      <c r="AF478" s="42"/>
      <c r="AG478" s="42"/>
      <c r="AH478" s="42"/>
      <c r="AI478" s="42"/>
      <c r="AJ478" s="42"/>
      <c r="AK478" s="42"/>
      <c r="AL478" s="42"/>
      <c r="AM478" s="42"/>
      <c r="AN478" s="42"/>
      <c r="AO478" s="42"/>
      <c r="AP478" s="42"/>
      <c r="AQ478" s="42"/>
      <c r="AR478" s="42"/>
      <c r="AS478" s="42"/>
      <c r="AT478" s="42"/>
      <c r="AU478" s="42"/>
      <c r="AV478" s="42"/>
      <c r="AW478" s="42"/>
      <c r="AX478" s="42"/>
      <c r="AY478" s="42"/>
      <c r="AZ478" s="42"/>
      <c r="BA478" s="42"/>
      <c r="BB478" s="42"/>
      <c r="BC478" s="42"/>
      <c r="BD478" s="261"/>
      <c r="BE478" s="42"/>
      <c r="BF478" s="42"/>
      <c r="BG478" s="42"/>
      <c r="BH478" s="42"/>
      <c r="BI478" s="42"/>
    </row>
    <row r="479" spans="1:61" s="347" customFormat="1" ht="21.75" customHeight="1" x14ac:dyDescent="0.25">
      <c r="A479" s="433"/>
      <c r="B479" s="1239" t="s">
        <v>1466</v>
      </c>
      <c r="C479" s="42"/>
      <c r="D479" s="42"/>
      <c r="E479" s="1163"/>
      <c r="F479" s="42"/>
      <c r="G479" s="42"/>
      <c r="H479" s="1163"/>
      <c r="I479" s="1163"/>
      <c r="J479" s="1163"/>
      <c r="K479" s="42"/>
      <c r="L479" s="42"/>
      <c r="M479" s="1163"/>
      <c r="N479" s="1163"/>
      <c r="O479" s="1163"/>
      <c r="P479" s="42"/>
      <c r="Q479" s="42"/>
      <c r="R479" s="42"/>
      <c r="S479" s="42"/>
      <c r="T479" s="42"/>
      <c r="U479" s="42"/>
      <c r="V479" s="42"/>
      <c r="W479" s="42"/>
      <c r="X479" s="42"/>
      <c r="Y479" s="42"/>
      <c r="Z479" s="42"/>
      <c r="AA479" s="42"/>
      <c r="AB479" s="42"/>
      <c r="AC479" s="42"/>
      <c r="AD479" s="42"/>
      <c r="AE479" s="42"/>
      <c r="AF479" s="42"/>
      <c r="AG479" s="42"/>
      <c r="AH479" s="42"/>
      <c r="AI479" s="42"/>
      <c r="AJ479" s="42"/>
      <c r="AK479" s="42"/>
      <c r="AL479" s="42"/>
      <c r="AM479" s="42"/>
      <c r="AN479" s="42"/>
      <c r="AO479" s="42"/>
      <c r="AP479" s="42"/>
      <c r="AQ479" s="42"/>
      <c r="AR479" s="42"/>
      <c r="AS479" s="42"/>
      <c r="AT479" s="42"/>
      <c r="AU479" s="42"/>
      <c r="AV479" s="42"/>
      <c r="AW479" s="42"/>
      <c r="AX479" s="42"/>
      <c r="AY479" s="42"/>
      <c r="AZ479" s="42"/>
      <c r="BA479" s="42"/>
      <c r="BB479" s="42"/>
      <c r="BC479" s="42"/>
      <c r="BD479" s="33"/>
      <c r="BE479" s="42"/>
      <c r="BF479" s="42"/>
      <c r="BG479" s="42"/>
      <c r="BH479" s="42"/>
      <c r="BI479" s="42"/>
    </row>
    <row r="480" spans="1:61" s="1235" customFormat="1" ht="24.45" customHeight="1" x14ac:dyDescent="0.25">
      <c r="A480" s="2165" t="s">
        <v>1038</v>
      </c>
      <c r="B480" s="3859" t="s">
        <v>906</v>
      </c>
      <c r="C480" s="3859"/>
      <c r="D480" s="3859"/>
      <c r="E480" s="3859"/>
      <c r="F480" s="3859" t="s">
        <v>272</v>
      </c>
      <c r="G480" s="3947"/>
      <c r="H480" s="3947"/>
      <c r="I480" s="3859" t="s">
        <v>2682</v>
      </c>
      <c r="J480" s="3947"/>
      <c r="K480" s="3947"/>
      <c r="L480" s="3947"/>
      <c r="M480" s="3947"/>
      <c r="BD480" s="1358" t="s">
        <v>1635</v>
      </c>
    </row>
    <row r="481" spans="1:56" ht="15" customHeight="1" x14ac:dyDescent="0.25">
      <c r="A481" s="433" t="s">
        <v>1038</v>
      </c>
      <c r="B481" s="3826" t="s">
        <v>353</v>
      </c>
      <c r="C481" s="3953"/>
      <c r="D481" s="3953"/>
      <c r="E481" s="3953"/>
      <c r="F481" s="3950"/>
      <c r="G481" s="3949"/>
      <c r="H481" s="3949"/>
      <c r="I481" s="3948"/>
      <c r="J481" s="3949"/>
      <c r="K481" s="3949"/>
      <c r="L481" s="3949"/>
      <c r="M481" s="3949"/>
      <c r="BD481" s="2154"/>
    </row>
    <row r="482" spans="1:56" ht="15" customHeight="1" x14ac:dyDescent="0.25">
      <c r="A482" s="433" t="s">
        <v>1038</v>
      </c>
      <c r="B482" s="3826" t="s">
        <v>352</v>
      </c>
      <c r="C482" s="3953"/>
      <c r="D482" s="3953"/>
      <c r="E482" s="3953"/>
      <c r="F482" s="3950"/>
      <c r="G482" s="3949"/>
      <c r="H482" s="3949"/>
      <c r="I482" s="3948"/>
      <c r="J482" s="3949"/>
      <c r="K482" s="3949"/>
      <c r="L482" s="3949"/>
      <c r="M482" s="3949"/>
      <c r="BD482" s="2154"/>
    </row>
    <row r="483" spans="1:56" ht="18" customHeight="1" x14ac:dyDescent="0.25">
      <c r="A483" s="433" t="s">
        <v>1038</v>
      </c>
      <c r="B483" s="3879" t="s">
        <v>122</v>
      </c>
      <c r="C483" s="3880"/>
      <c r="D483" s="3880"/>
      <c r="E483" s="3880"/>
      <c r="F483" s="3944">
        <f>IF(ISERROR(F481+F482),0,F481+F482)</f>
        <v>0</v>
      </c>
      <c r="G483" s="3946"/>
      <c r="H483" s="3946"/>
      <c r="I483" s="3944">
        <f>IF(ISERROR(I481+I482),0,I481+I482)</f>
        <v>0</v>
      </c>
      <c r="J483" s="3946"/>
      <c r="K483" s="3946"/>
      <c r="L483" s="3946"/>
      <c r="M483" s="3946"/>
      <c r="BD483" s="2154"/>
    </row>
    <row r="484" spans="1:56" ht="18" customHeight="1" x14ac:dyDescent="0.25">
      <c r="A484" s="433" t="s">
        <v>1038</v>
      </c>
      <c r="B484" s="3879" t="s">
        <v>351</v>
      </c>
      <c r="C484" s="3880"/>
      <c r="D484" s="3880"/>
      <c r="E484" s="3880"/>
      <c r="F484" s="3944" t="str">
        <f>IF(ISERROR(OR(F481+F482,I481+I482)),"Enter numbers only",
     IF(OR(F483&gt;300,I483&gt;300),"No","Yes"))</f>
        <v>Yes</v>
      </c>
      <c r="G484" s="3945"/>
      <c r="H484" s="3945"/>
      <c r="I484" s="3946"/>
      <c r="J484" s="3946"/>
      <c r="K484" s="3946"/>
      <c r="L484" s="3946"/>
      <c r="M484" s="3946"/>
      <c r="BD484" s="2154"/>
    </row>
    <row r="485" spans="1:56" ht="33" customHeight="1" x14ac:dyDescent="0.25">
      <c r="C485" s="3172" t="str">
        <f>IF(ISERROR(F483+I483),"",IF(OR(I483&gt;300,F483&gt;300),"Revise the model so that the unmet load hours for both the baseline and proposed case are 300 hours or less",""))</f>
        <v/>
      </c>
      <c r="D485" s="3173"/>
      <c r="E485" s="3173"/>
      <c r="F485" s="3173"/>
      <c r="G485" s="3173"/>
      <c r="H485" s="275"/>
    </row>
    <row r="486" spans="1:56" ht="30" hidden="1" customHeight="1" x14ac:dyDescent="0.25">
      <c r="B486" s="285" t="s">
        <v>703</v>
      </c>
    </row>
    <row r="487" spans="1:56" ht="15" hidden="1" customHeight="1" x14ac:dyDescent="0.25">
      <c r="B487" s="3878" t="str">
        <f>IF(MultipleBuildingsExist="No","General information","Multiple Building Details")</f>
        <v>General information</v>
      </c>
      <c r="C487" s="1730" t="str">
        <f>"Total Area "&amp;IF(SI_IP_Units="IP","(sq ft)","(sq m)")</f>
        <v>Total Area (sq ft)</v>
      </c>
      <c r="D487" s="1731"/>
      <c r="E487" s="1731"/>
      <c r="F487" s="1731"/>
      <c r="G487" s="1731"/>
      <c r="H487" s="1731"/>
      <c r="I487" s="1731"/>
      <c r="J487" s="1731"/>
      <c r="K487" s="1731"/>
      <c r="L487" s="1731"/>
      <c r="M487" s="1731"/>
    </row>
    <row r="488" spans="1:56" hidden="1" x14ac:dyDescent="0.25">
      <c r="B488" s="3878"/>
      <c r="C488" s="1732">
        <f ca="1">IFERROR(IF(MultipleBuildingsExist="No",
GI_BldgArea,
SUMIF(MBD_BS_Index,$H$5,OFFSET(MBD_BS_Index,0,MATCH('1 - Multiple Buildings Details'!$G$22,MBD_BS_Hdr,0)-1,1,1))+SUMIF(MBD_BS_Index,$H$5,OFFSET(MBD_BS_Index,0,MATCH('1 - Multiple Buildings Details'!$H$22,MBD_BS_Hdr,0)-1,1,1))),"")</f>
        <v>0</v>
      </c>
      <c r="D488" s="1731"/>
      <c r="E488" s="1731"/>
      <c r="F488" s="1731"/>
      <c r="G488" s="1731"/>
      <c r="H488" s="1731"/>
      <c r="I488" s="1731"/>
      <c r="J488" s="1731"/>
      <c r="K488" s="1731"/>
      <c r="L488" s="1731"/>
      <c r="M488" s="1731"/>
    </row>
    <row r="489" spans="1:56" ht="42" hidden="1" customHeight="1" x14ac:dyDescent="0.25">
      <c r="B489" s="3878" t="s">
        <v>241</v>
      </c>
      <c r="C489" s="1733" t="str">
        <f>"Total Area "&amp;IF(SI_IP_Units="IP","(sq ft)","(sq m)")</f>
        <v>Total Area (sq ft)</v>
      </c>
      <c r="D489" s="1734" t="s">
        <v>1486</v>
      </c>
      <c r="E489" s="1734"/>
      <c r="F489" s="1733" t="s">
        <v>1485</v>
      </c>
      <c r="G489" s="1733" t="s">
        <v>1592</v>
      </c>
      <c r="H489" s="1733" t="s">
        <v>1593</v>
      </c>
      <c r="I489" s="1733" t="s">
        <v>1594</v>
      </c>
      <c r="J489" s="1733" t="s">
        <v>1595</v>
      </c>
      <c r="K489" s="1731"/>
      <c r="L489" s="1735"/>
      <c r="M489" s="1731"/>
    </row>
    <row r="490" spans="1:56" hidden="1" x14ac:dyDescent="0.25">
      <c r="B490" s="3878"/>
      <c r="C490" s="1732">
        <f>IFERROR(TotalArea,"")</f>
        <v>0</v>
      </c>
      <c r="D490" s="1736" t="str">
        <f ca="1">IFERROR(OFFSET(L_IL_SumTable,MATCH($H$5,L_IL_SumIndex,0)-1,MATCH('6b - General Lighting'!$L$107,L_IL_SumHdr,0)-1,1,1),"")</f>
        <v>Base_Power</v>
      </c>
      <c r="E490" s="1736"/>
      <c r="F490" s="1732" t="str">
        <f ca="1">IFERROR(OFFSET(L_IL_SumTable,MATCH($H$5,L_IL_SumIndex,0)-1,MATCH('6b - General Lighting'!$O$107,L_IL_SumHdr,0)-1,1,1),"")</f>
        <v>Design_Power</v>
      </c>
      <c r="G490" s="1732">
        <f ca="1">IFERROR(OFFSET(L_ExtSum_Table,1,MATCH('6b - General Lighting'!$J$172,L_ExtSum_Hdr,0)-1,1,1),"")</f>
        <v>0</v>
      </c>
      <c r="H490" s="1732">
        <f ca="1">IFERROR(OFFSET(L_ExtSum_Table,1,MATCH('6b - General Lighting'!$M$172,L_ExtSum_Hdr,0)-1,1,1),"")</f>
        <v>0</v>
      </c>
      <c r="I490" s="1732">
        <f ca="1">IFERROR(OFFSET(L_NTSurface_Table,MATCH('6b - General Lighting'!$B$166,L_NTSurface_Index,0)-1,MATCH('6b - General Lighting'!$J$159,L_NTSurface_Hdr,0)-1,1,1),"")</f>
        <v>0</v>
      </c>
      <c r="J490" s="1732">
        <f ca="1">IFERROR(OFFSET(L_NTSurface_Table,MATCH('6b - General Lighting'!$B$166,L_NTSurface_Index,0)-1,MATCH('6b - General Lighting'!$M$159,L_NTSurface_Hdr,0)-1,1,1),"")</f>
        <v>0</v>
      </c>
      <c r="K490" s="1731"/>
      <c r="L490" s="1731"/>
      <c r="M490" s="1731"/>
    </row>
    <row r="491" spans="1:56" ht="15" hidden="1" customHeight="1" x14ac:dyDescent="0.25">
      <c r="B491" s="3878" t="s">
        <v>843</v>
      </c>
      <c r="C491" s="1730" t="s">
        <v>1581</v>
      </c>
      <c r="D491" s="1731" t="s">
        <v>1480</v>
      </c>
      <c r="E491" s="1731"/>
      <c r="F491" s="1730" t="s">
        <v>1968</v>
      </c>
      <c r="G491" s="1730" t="s">
        <v>1969</v>
      </c>
      <c r="H491" s="1731"/>
      <c r="I491" s="1731"/>
      <c r="J491" s="1731"/>
      <c r="K491" s="1731"/>
      <c r="L491" s="1731"/>
      <c r="M491" s="1731"/>
    </row>
    <row r="492" spans="1:56" hidden="1" x14ac:dyDescent="0.25">
      <c r="B492" s="3878"/>
      <c r="C492" s="1732">
        <f>IFERROR('4 - Shading and Fenestration'!I50,"")</f>
        <v>0</v>
      </c>
      <c r="D492" s="3882" t="b">
        <f ca="1">IF(IFERROR(COUNTIFS('4 - Shading and Fenestration'!S:S,$H$5,'4 - Shading and Fenestration'!U:U,TRUE),"")&gt;0,TRUE,FALSE)</f>
        <v>0</v>
      </c>
      <c r="E492" s="3882"/>
      <c r="F492" s="1732">
        <f>IFERROR(ROUND('4 - Shading and Fenestration'!D54,3),"-")</f>
        <v>0</v>
      </c>
      <c r="G492" s="1732" t="e">
        <f ca="1">ROUND('4 - Shading and Fenestration'!B54,3)</f>
        <v>#VALUE!</v>
      </c>
      <c r="H492" s="1731"/>
      <c r="I492" s="1731"/>
      <c r="J492" s="1731"/>
      <c r="K492" s="1731"/>
      <c r="L492" s="1731"/>
      <c r="M492" s="1731"/>
    </row>
    <row r="493" spans="1:56" ht="42.75" hidden="1" customHeight="1" x14ac:dyDescent="0.25">
      <c r="B493" s="3878" t="s">
        <v>1591</v>
      </c>
      <c r="C493" s="1733" t="s">
        <v>1481</v>
      </c>
      <c r="D493" s="1734" t="s">
        <v>1482</v>
      </c>
      <c r="E493" s="1734"/>
      <c r="F493" s="1733" t="s">
        <v>1486</v>
      </c>
      <c r="G493" s="1733" t="s">
        <v>1485</v>
      </c>
      <c r="H493" s="1733" t="s">
        <v>2236</v>
      </c>
      <c r="I493" s="1733" t="s">
        <v>1597</v>
      </c>
      <c r="J493" s="1733" t="s">
        <v>1598</v>
      </c>
      <c r="K493" s="1734" t="s">
        <v>1487</v>
      </c>
      <c r="L493" s="1734"/>
      <c r="M493" s="1731"/>
    </row>
    <row r="494" spans="1:56" hidden="1" x14ac:dyDescent="0.25">
      <c r="B494" s="3878"/>
      <c r="C494" s="1732">
        <f ca="1">IFERROR(MAX(OFFSET(PO_design_table,MATCH($B$238,PO_design_index,0)-2,MATCH($T$237,PO_design_hdr,0)-1,1,1)),"")</f>
        <v>0</v>
      </c>
      <c r="D494" s="1736">
        <f ca="1">IFERROR(MAX(OFFSET(PO_design_table,MATCH($B$238,PO_design_index,0)-2,MATCH($U$237,PO_design_hdr,0)-1,1,1)),"")</f>
        <v>0</v>
      </c>
      <c r="E494" s="1736"/>
      <c r="F494" s="1732">
        <f ca="1">IFERROR(MAX(OFFSET(PO_design_table,MATCH($B$238,PO_design_index,0)-1,MATCH($G$237,PO_design_hdr,0)-1,1,1)),"")</f>
        <v>0</v>
      </c>
      <c r="G494" s="1732">
        <f ca="1">IFERROR(MAX(OFFSET(PO_design_table,MATCH($B$238,PO_design_index,0)-1,MATCH($H$237,PO_design_hdr,0)-1,1,1)),"")</f>
        <v>0</v>
      </c>
      <c r="H494" s="1732">
        <f ca="1">IFERROR(MAX(OFFSET(PO_design_table,MATCH($B$242,PO_design_index,0)-2,MATCH($G$237,PO_design_hdr,0)-1,1,1)),"")</f>
        <v>0</v>
      </c>
      <c r="I494" s="1732">
        <f ca="1">IFERROR(MAX(OFFSET(PO_design_table,MATCH($B$242,PO_design_index,0)-2,MATCH($H$237,PO_design_hdr,0)-1,1,1)),"")</f>
        <v>0</v>
      </c>
      <c r="J494" s="1732">
        <f ca="1">IFERROR(MAX(OFFSET(PO_design_table,MATCH($B$242,PO_design_index,0)-2,MATCH($T$237,PO_design_hdr,0)-1,1,1)),"")</f>
        <v>0</v>
      </c>
      <c r="K494" s="1736">
        <f ca="1">IFERROR(MAX(OFFSET(PO_design_table,MATCH($B$242,PO_design_index,0)-2,MATCH($U$237,PO_design_hdr,0)-1,1,1)),"")</f>
        <v>0</v>
      </c>
      <c r="L494" s="1736"/>
      <c r="M494" s="1731"/>
    </row>
    <row r="495" spans="1:56" ht="39.6" hidden="1" x14ac:dyDescent="0.25">
      <c r="B495" s="3878"/>
      <c r="C495" s="1733" t="s">
        <v>1592</v>
      </c>
      <c r="D495" s="1734" t="s">
        <v>1593</v>
      </c>
      <c r="E495" s="1734"/>
      <c r="F495" s="1733" t="s">
        <v>1599</v>
      </c>
      <c r="G495" s="1733" t="s">
        <v>1600</v>
      </c>
      <c r="H495" s="1733" t="s">
        <v>1601</v>
      </c>
      <c r="I495" s="1733" t="s">
        <v>1602</v>
      </c>
      <c r="J495" s="1733" t="s">
        <v>1603</v>
      </c>
      <c r="K495" s="1734" t="s">
        <v>1604</v>
      </c>
      <c r="L495" s="1734"/>
      <c r="M495" s="1733" t="s">
        <v>1499</v>
      </c>
    </row>
    <row r="496" spans="1:56" hidden="1" x14ac:dyDescent="0.25">
      <c r="B496" s="3878"/>
      <c r="C496" s="1732">
        <f ca="1">IFERROR(MAX(OFFSET(PO_design_table,MATCH($B$242,PO_design_index,0)-1,MATCH($G$237,PO_design_hdr,0)-1,1,1)),"")</f>
        <v>0</v>
      </c>
      <c r="D496" s="1736">
        <f ca="1">IFERROR(MAX(OFFSET(PO_design_table,MATCH($B$242,PO_design_index,0)-1,MATCH($H$237,PO_design_hdr,0)-1,1,1)),"")</f>
        <v>0</v>
      </c>
      <c r="E496" s="1736"/>
      <c r="F496" s="1732" t="str">
        <f ca="1">IFERROR((OFFSET(PO_design_table,MATCH($B$262,PO_design_index,0)-2,MATCH($G$237,PO_design_hdr,0)-1,1,1)*OFFSET(PO_design_table,MATCH($B$262,PO_design_index,0)-2,MATCH($R$237,PO_design_hdr,0)-1,1,1))/OFFSET(PO_ModelSubtotal,0,4,1,1),"")</f>
        <v/>
      </c>
      <c r="G496" s="1732" t="str">
        <f ca="1">IFERROR((OFFSET(PO_design_table,MATCH($B$262,PO_design_index,0)-2,MATCH($H$237,PO_design_hdr,0)-1,1,1)*OFFSET(PO_design_table,MATCH($B$262,PO_design_index,0)-2,MATCH($R$237,PO_design_hdr,0)-1,1,1))/OFFSET(PO_ModelSubtotal,0,7,1,1),"")</f>
        <v/>
      </c>
      <c r="H496" s="1732"/>
      <c r="I496" s="1732" t="str">
        <f ca="1">IFERROR((OFFSET(PO_design_table,MATCH($B$260,PO_design_index,0)-2,MATCH($G$237,PO_design_hdr,0)-1,1,1)*OFFSET(PO_design_table,MATCH($B$260,PO_design_index,0)-2,MATCH($R$237,PO_design_hdr,0)-1,1,1))/OFFSET(PO_ModelSubtotal,0,4,1,1),"")</f>
        <v/>
      </c>
      <c r="J496" s="1732" t="str">
        <f ca="1">IFERROR((OFFSET(PO_design_table,MATCH($B$260,PO_design_index,0)-2,MATCH($H$237,PO_design_hdr,0)-1,1,1)*OFFSET(PO_design_table,MATCH($B$260,PO_design_index,0)-2,MATCH($R$237,PO_design_hdr,0)-1,1,1))/OFFSET(PO_ModelSubtotal,0,7,1,1),"")</f>
        <v/>
      </c>
      <c r="K496" s="1736">
        <f ca="1">IFERROR(MAX(OFFSET(PO_design_table,MATCH($B$252,PO_design_index,0)-2,MATCH($G$237,PO_design_hdr,0)-1,1,1)),"")</f>
        <v>0</v>
      </c>
      <c r="L496" s="1736"/>
      <c r="M496" s="1732">
        <f ca="1">IFERROR(MAX(OFFSET(PO_design_table,MATCH($B$256,PO_design_index,0)-2,MATCH($T$237,PO_design_hdr,0)-1,1,1)),"")</f>
        <v>0</v>
      </c>
    </row>
    <row r="497" spans="2:13" ht="39.6" hidden="1" x14ac:dyDescent="0.25">
      <c r="B497" s="3878"/>
      <c r="C497" s="1733" t="s">
        <v>1500</v>
      </c>
      <c r="D497" s="1734" t="s">
        <v>1501</v>
      </c>
      <c r="E497" s="1734"/>
      <c r="F497" s="1733" t="s">
        <v>1502</v>
      </c>
      <c r="G497" s="1733" t="s">
        <v>1505</v>
      </c>
      <c r="H497" s="1733" t="s">
        <v>1605</v>
      </c>
      <c r="I497" s="1733" t="s">
        <v>1606</v>
      </c>
      <c r="J497" s="1733" t="s">
        <v>1607</v>
      </c>
      <c r="K497" s="1734" t="s">
        <v>1608</v>
      </c>
      <c r="L497" s="1734"/>
      <c r="M497" s="1733" t="s">
        <v>1609</v>
      </c>
    </row>
    <row r="498" spans="2:13" hidden="1" x14ac:dyDescent="0.25">
      <c r="B498" s="3878"/>
      <c r="C498" s="1732">
        <f ca="1">IFERROR(IFERROR(MAX(OFFSET(PO_design_table,MATCH($B$256,PO_design_index,0)-2,MATCH($U$237,PO_design_hdr,0)-1,1,1)),""),"")</f>
        <v>0</v>
      </c>
      <c r="D498" s="1736">
        <f ca="1">IFERROR(IFERROR(MAX(OFFSET(PO_design_table,MATCH($B$256,PO_design_index,0)-1,MATCH($G$237,PO_design_hdr,0)-1,1,1)),""),"")</f>
        <v>0</v>
      </c>
      <c r="E498" s="1736"/>
      <c r="F498" s="1737">
        <f ca="1">IFERROR(IFERROR(MAX(OFFSET(PO_design_table,MATCH($B$256,PO_design_index,0)-1,MATCH($H$237,PO_design_hdr,0)-1,1,1)),""),"")</f>
        <v>0</v>
      </c>
      <c r="G498" s="1737">
        <f ca="1">IFERROR(MAX(IFERROR(OFFSET(PO_renewable_table,MATCH("Photovoltaic system",PO_renewable_Index,0)-2,MATCH($U$62,PO_renewable_hdr,0)-1,1,1),0),
IFERROR(OFFSET(PO_renewable_table,MATCH("Solar thermal system",PO_renewable_Index,0)-2,MATCH($U$62,PO_renewable_hdr,0)-1,1,1),0)),"")</f>
        <v>0</v>
      </c>
      <c r="H498" s="1732"/>
      <c r="I498" s="1732" t="str">
        <f ca="1">IFERROR(OFFSET(PO_Enrgy_8_Table,MATCH("Electricity",PO_Enrgy_8_Index,0)-2,MATCH($H$310,PO_Enrgy_8_Hdr,0)-1,1,1),"")</f>
        <v/>
      </c>
      <c r="J498" s="1732" t="str">
        <f ca="1">IFERROR(OFFSET(PO_Enrgy_8_Table,MATCH("Natural Gas",PO_Enrgy_8_Index,0)-2,MATCH($H$310,PO_Enrgy_8_Hdr,0)-1,1,1),"")</f>
        <v/>
      </c>
      <c r="K498" s="1736" t="str">
        <f>IFERROR(GetPerformanceOutputRangeSums("PO_QA_BaseExtLtgDem"),"")</f>
        <v>Error</v>
      </c>
      <c r="L498" s="1736"/>
      <c r="M498" s="1732" t="str">
        <f>IFERROR(GetPerformanceOutputRangeSums("PO_QA_DesignExtLtgDem"),"")</f>
        <v>Error</v>
      </c>
    </row>
    <row r="499" spans="2:13" ht="15" hidden="1" customHeight="1" x14ac:dyDescent="0.25">
      <c r="B499" s="3878" t="s">
        <v>239</v>
      </c>
      <c r="C499" s="1730" t="s">
        <v>1492</v>
      </c>
      <c r="D499" s="1738" t="s">
        <v>1493</v>
      </c>
      <c r="E499" s="1738"/>
      <c r="F499" s="1730"/>
      <c r="G499" s="1730"/>
      <c r="H499" s="1730"/>
      <c r="I499" s="1730"/>
      <c r="J499" s="1730"/>
      <c r="K499" s="1730"/>
      <c r="L499" s="1730"/>
      <c r="M499" s="1730"/>
    </row>
    <row r="500" spans="2:13" hidden="1" x14ac:dyDescent="0.25">
      <c r="B500" s="3878"/>
      <c r="C500" s="1732" t="str">
        <f ca="1">IFERROR(isbasehvac(2)+isbasehvac(3)+isbasehvac(4)+isbasehvac(6)+isbasehvac(9)+isbasehvac(10),"")</f>
        <v/>
      </c>
      <c r="D500" s="3882" t="str">
        <f ca="1">IFERROR(isbasehvac(1)+isbasehvac(5)+isbasehvac(7)+isbasehvac(8)+isbasehvac(11)+isbasehvac(12)+isbasehvac(13),"")</f>
        <v/>
      </c>
      <c r="E500" s="3882"/>
      <c r="F500" s="1730"/>
      <c r="G500" s="1730"/>
      <c r="H500" s="1730"/>
      <c r="I500" s="1730"/>
      <c r="J500" s="1730"/>
      <c r="K500" s="1730"/>
      <c r="L500" s="1730"/>
      <c r="M500" s="1730"/>
    </row>
    <row r="501" spans="2:13" ht="31.5" hidden="1" customHeight="1" x14ac:dyDescent="0.25">
      <c r="B501" s="3878" t="s">
        <v>851</v>
      </c>
      <c r="C501" s="1733" t="s">
        <v>1497</v>
      </c>
      <c r="D501" s="1734" t="s">
        <v>1498</v>
      </c>
      <c r="E501" s="1734"/>
      <c r="F501" s="1733" t="s">
        <v>1495</v>
      </c>
      <c r="G501" s="1733" t="s">
        <v>1496</v>
      </c>
      <c r="H501" s="1733" t="s">
        <v>1610</v>
      </c>
      <c r="I501" s="1733" t="s">
        <v>1611</v>
      </c>
      <c r="J501" s="1733" t="s">
        <v>1612</v>
      </c>
      <c r="K501" s="1734" t="s">
        <v>1613</v>
      </c>
      <c r="L501" s="1734"/>
      <c r="M501" s="1731"/>
    </row>
    <row r="502" spans="2:13" hidden="1" x14ac:dyDescent="0.25">
      <c r="B502" s="3878"/>
      <c r="C502" s="1737">
        <f>IFERROR(SUMIFS(AHVAC_Base_FanFlow,AHVAC_Base_ID,$H$5),"")</f>
        <v>0</v>
      </c>
      <c r="D502" s="1736">
        <f>IFERROR(SUMIFS(AHVAC_Design_FanFlow,AHVAC_Design_ID,$H$5),"")</f>
        <v>0</v>
      </c>
      <c r="E502" s="1736"/>
      <c r="F502" s="1732">
        <f>IFERROR(SUMIFS(AHVAC_Base_FanPower,AHVAC_Base_ID,$H$5),"")</f>
        <v>0</v>
      </c>
      <c r="G502" s="1732">
        <f>IFERROR(SUMIFS(AHVAC_Design_FanPower,AHVAC_Design_ID,$H$5),"")</f>
        <v>0</v>
      </c>
      <c r="H502" s="1732">
        <f>IFERROR(SUMIFS(AHVAC_Base_CoolingCap,AHVAC_Base_ID,$H$5),"")</f>
        <v>0</v>
      </c>
      <c r="I502" s="1732">
        <f>IFERROR(SUMIFS(AHVAC_Design_CoolingCap,AHVAC_Design_ID,$H$5),"")</f>
        <v>0</v>
      </c>
      <c r="J502" s="1732">
        <f>IFERROR(SUMIFS(AHVAC_Base_HeatingCap,AHVAC_Base_ID,$H$5),"")</f>
        <v>0</v>
      </c>
      <c r="K502" s="1736">
        <f>IFERROR(SUMIFS(AHVAC_Design_HeatingCap,AHVAC_Design_ID,$H$5),"")</f>
        <v>0</v>
      </c>
      <c r="L502" s="1736"/>
      <c r="M502" s="1731"/>
    </row>
    <row r="503" spans="2:13" hidden="1" x14ac:dyDescent="0.25">
      <c r="B503" s="3878"/>
      <c r="C503" s="1730" t="s">
        <v>1503</v>
      </c>
      <c r="D503" s="1738" t="s">
        <v>1504</v>
      </c>
      <c r="E503" s="1738"/>
      <c r="F503" s="1730"/>
      <c r="G503" s="1730"/>
      <c r="H503" s="1730"/>
      <c r="I503" s="1730"/>
      <c r="J503" s="1730"/>
      <c r="K503" s="1730"/>
      <c r="L503" s="1730"/>
      <c r="M503" s="1730"/>
    </row>
    <row r="504" spans="2:13" hidden="1" x14ac:dyDescent="0.25">
      <c r="B504" s="3878"/>
      <c r="C504" s="1737">
        <f>IFERROR(SUMIFS(AHVAC_Base_OAFlow,AHVAC_Base_ID,$H$5),"")</f>
        <v>0</v>
      </c>
      <c r="D504" s="1736">
        <f>IFERROR(SUMIFS(AHVAC_Design_OAFlow,AHVAC_Design_ID,$H$5),"")</f>
        <v>0</v>
      </c>
      <c r="E504" s="1736"/>
      <c r="F504" s="1730"/>
      <c r="G504" s="1730"/>
      <c r="H504" s="1730"/>
      <c r="I504" s="1730"/>
      <c r="J504" s="1730"/>
      <c r="K504" s="1730"/>
      <c r="L504" s="1730"/>
      <c r="M504" s="1730"/>
    </row>
    <row r="505" spans="2:13" ht="30" customHeight="1" x14ac:dyDescent="0.25">
      <c r="C505" s="602"/>
      <c r="D505" s="603"/>
      <c r="E505" s="603"/>
    </row>
  </sheetData>
  <sheetProtection algorithmName="SHA-512" hashValue="9y7cTQzPRl7o7Yz5niJUBpYSTCMhX0lTXNrg4Q6KdkmCK09xAJg3DQaY4SULmFXt9E+9CssLVQzZycdVwXNviA==" saltValue="em1UdEqwOhS0SVLO3KOUOg==" spinCount="100000" sheet="1" objects="1" scenarios="1"/>
  <mergeCells count="961">
    <mergeCell ref="R299:R304"/>
    <mergeCell ref="B474:L474"/>
    <mergeCell ref="B475:L475"/>
    <mergeCell ref="B476:L476"/>
    <mergeCell ref="B465:L465"/>
    <mergeCell ref="B466:L466"/>
    <mergeCell ref="B467:L467"/>
    <mergeCell ref="B468:L468"/>
    <mergeCell ref="B469:L469"/>
    <mergeCell ref="B470:L470"/>
    <mergeCell ref="B471:L471"/>
    <mergeCell ref="B472:L472"/>
    <mergeCell ref="B473:L473"/>
    <mergeCell ref="C301:D301"/>
    <mergeCell ref="C304:D304"/>
    <mergeCell ref="C302:D302"/>
    <mergeCell ref="C303:D303"/>
    <mergeCell ref="C299:D299"/>
    <mergeCell ref="C300:D300"/>
    <mergeCell ref="H312:J312"/>
    <mergeCell ref="K312:M312"/>
    <mergeCell ref="B318:L318"/>
    <mergeCell ref="B319:B320"/>
    <mergeCell ref="C319:D320"/>
    <mergeCell ref="BE41:BE42"/>
    <mergeCell ref="E42:F42"/>
    <mergeCell ref="B45:D45"/>
    <mergeCell ref="K45:M45"/>
    <mergeCell ref="N45:O45"/>
    <mergeCell ref="B46:D46"/>
    <mergeCell ref="K46:M46"/>
    <mergeCell ref="N46:O46"/>
    <mergeCell ref="B47:D47"/>
    <mergeCell ref="K47:M47"/>
    <mergeCell ref="N47:O47"/>
    <mergeCell ref="H44:J44"/>
    <mergeCell ref="H45:J45"/>
    <mergeCell ref="H46:J46"/>
    <mergeCell ref="H47:J47"/>
    <mergeCell ref="N44:O44"/>
    <mergeCell ref="BD41:BD42"/>
    <mergeCell ref="B34:D34"/>
    <mergeCell ref="F34:G34"/>
    <mergeCell ref="H34:I34"/>
    <mergeCell ref="K34:M34"/>
    <mergeCell ref="N34:O34"/>
    <mergeCell ref="B36:D36"/>
    <mergeCell ref="K36:M36"/>
    <mergeCell ref="N36:O36"/>
    <mergeCell ref="B37:D37"/>
    <mergeCell ref="K37:M37"/>
    <mergeCell ref="N37:O37"/>
    <mergeCell ref="N48:O48"/>
    <mergeCell ref="K72:M72"/>
    <mergeCell ref="K73:M73"/>
    <mergeCell ref="K74:M74"/>
    <mergeCell ref="K75:M75"/>
    <mergeCell ref="K76:M76"/>
    <mergeCell ref="B38:D38"/>
    <mergeCell ref="K38:M38"/>
    <mergeCell ref="N38:O38"/>
    <mergeCell ref="B41:D42"/>
    <mergeCell ref="E41:G41"/>
    <mergeCell ref="H41:J42"/>
    <mergeCell ref="K41:M42"/>
    <mergeCell ref="N41:O42"/>
    <mergeCell ref="N75:O75"/>
    <mergeCell ref="N76:O76"/>
    <mergeCell ref="K63:M63"/>
    <mergeCell ref="K64:M64"/>
    <mergeCell ref="K65:M65"/>
    <mergeCell ref="K66:M66"/>
    <mergeCell ref="B40:M40"/>
    <mergeCell ref="N77:O77"/>
    <mergeCell ref="B64:D64"/>
    <mergeCell ref="B58:M58"/>
    <mergeCell ref="B68:D69"/>
    <mergeCell ref="E68:G68"/>
    <mergeCell ref="E69:F69"/>
    <mergeCell ref="N78:O78"/>
    <mergeCell ref="K68:M69"/>
    <mergeCell ref="H68:J69"/>
    <mergeCell ref="H71:J71"/>
    <mergeCell ref="N63:O63"/>
    <mergeCell ref="N64:O64"/>
    <mergeCell ref="N65:O65"/>
    <mergeCell ref="N66:O66"/>
    <mergeCell ref="B67:O67"/>
    <mergeCell ref="N71:O71"/>
    <mergeCell ref="N68:O69"/>
    <mergeCell ref="F61:G61"/>
    <mergeCell ref="H61:I61"/>
    <mergeCell ref="B63:D63"/>
    <mergeCell ref="B65:D65"/>
    <mergeCell ref="B66:D66"/>
    <mergeCell ref="B59:M59"/>
    <mergeCell ref="K71:M71"/>
    <mergeCell ref="B31:M31"/>
    <mergeCell ref="B32:M32"/>
    <mergeCell ref="B39:D39"/>
    <mergeCell ref="K39:M39"/>
    <mergeCell ref="N39:O39"/>
    <mergeCell ref="B61:D61"/>
    <mergeCell ref="K61:M61"/>
    <mergeCell ref="N61:O61"/>
    <mergeCell ref="B44:D44"/>
    <mergeCell ref="K44:M44"/>
    <mergeCell ref="H48:J48"/>
    <mergeCell ref="B50:F50"/>
    <mergeCell ref="B51:J51"/>
    <mergeCell ref="N49:O49"/>
    <mergeCell ref="H50:J50"/>
    <mergeCell ref="K50:M50"/>
    <mergeCell ref="N50:O50"/>
    <mergeCell ref="K51:M51"/>
    <mergeCell ref="N51:O51"/>
    <mergeCell ref="B49:D49"/>
    <mergeCell ref="H49:J49"/>
    <mergeCell ref="K49:M49"/>
    <mergeCell ref="B48:D48"/>
    <mergeCell ref="K48:M48"/>
    <mergeCell ref="B240:C241"/>
    <mergeCell ref="D240:D241"/>
    <mergeCell ref="E240:E241"/>
    <mergeCell ref="K240:L241"/>
    <mergeCell ref="M240:M241"/>
    <mergeCell ref="J240:J241"/>
    <mergeCell ref="H72:J72"/>
    <mergeCell ref="H73:J73"/>
    <mergeCell ref="H74:J74"/>
    <mergeCell ref="H75:J75"/>
    <mergeCell ref="H76:J76"/>
    <mergeCell ref="K77:M77"/>
    <mergeCell ref="K78:M78"/>
    <mergeCell ref="B116:F116"/>
    <mergeCell ref="B117:F117"/>
    <mergeCell ref="B118:F118"/>
    <mergeCell ref="B119:F119"/>
    <mergeCell ref="D160:D161"/>
    <mergeCell ref="E160:E161"/>
    <mergeCell ref="K160:M160"/>
    <mergeCell ref="B196:C197"/>
    <mergeCell ref="D196:D197"/>
    <mergeCell ref="E196:E197"/>
    <mergeCell ref="K196:M196"/>
    <mergeCell ref="N89:N91"/>
    <mergeCell ref="N72:O72"/>
    <mergeCell ref="N73:O73"/>
    <mergeCell ref="N74:O74"/>
    <mergeCell ref="J119:K119"/>
    <mergeCell ref="L119:M119"/>
    <mergeCell ref="V148:V149"/>
    <mergeCell ref="W148:W149"/>
    <mergeCell ref="K149:M149"/>
    <mergeCell ref="L115:M115"/>
    <mergeCell ref="J116:K116"/>
    <mergeCell ref="L116:M116"/>
    <mergeCell ref="J117:K117"/>
    <mergeCell ref="L117:M117"/>
    <mergeCell ref="J118:K118"/>
    <mergeCell ref="L118:M118"/>
    <mergeCell ref="H77:J77"/>
    <mergeCell ref="B78:J78"/>
    <mergeCell ref="L93:M93"/>
    <mergeCell ref="E89:E90"/>
    <mergeCell ref="D89:D90"/>
    <mergeCell ref="C89:C90"/>
    <mergeCell ref="G89:K89"/>
    <mergeCell ref="B84:M84"/>
    <mergeCell ref="W158:W159"/>
    <mergeCell ref="W156:W157"/>
    <mergeCell ref="S465:T465"/>
    <mergeCell ref="E404:H404"/>
    <mergeCell ref="I404:L404"/>
    <mergeCell ref="M404:P404"/>
    <mergeCell ref="M382:P382"/>
    <mergeCell ref="I296:L296"/>
    <mergeCell ref="B122:M122"/>
    <mergeCell ref="B125:M125"/>
    <mergeCell ref="B139:M139"/>
    <mergeCell ref="B158:C159"/>
    <mergeCell ref="D158:D159"/>
    <mergeCell ref="E158:E159"/>
    <mergeCell ref="K158:M158"/>
    <mergeCell ref="K159:M159"/>
    <mergeCell ref="B156:C157"/>
    <mergeCell ref="D156:D157"/>
    <mergeCell ref="E156:E157"/>
    <mergeCell ref="K156:M156"/>
    <mergeCell ref="K157:M157"/>
    <mergeCell ref="B152:C153"/>
    <mergeCell ref="D152:D153"/>
    <mergeCell ref="B160:C161"/>
    <mergeCell ref="V150:V151"/>
    <mergeCell ref="V158:V159"/>
    <mergeCell ref="V146:V147"/>
    <mergeCell ref="V152:V153"/>
    <mergeCell ref="K161:M161"/>
    <mergeCell ref="B130:M130"/>
    <mergeCell ref="B132:M132"/>
    <mergeCell ref="B142:M142"/>
    <mergeCell ref="B144:C144"/>
    <mergeCell ref="K144:M144"/>
    <mergeCell ref="B146:C147"/>
    <mergeCell ref="D146:D147"/>
    <mergeCell ref="E146:E147"/>
    <mergeCell ref="K146:M146"/>
    <mergeCell ref="K147:M147"/>
    <mergeCell ref="B133:M133"/>
    <mergeCell ref="B137:M137"/>
    <mergeCell ref="B138:M138"/>
    <mergeCell ref="B140:M140"/>
    <mergeCell ref="B141:M141"/>
    <mergeCell ref="Y205:Y206"/>
    <mergeCell ref="Y207:Y208"/>
    <mergeCell ref="Y209:Y210"/>
    <mergeCell ref="V205:V206"/>
    <mergeCell ref="W205:W206"/>
    <mergeCell ref="V207:V208"/>
    <mergeCell ref="W207:W208"/>
    <mergeCell ref="V209:V210"/>
    <mergeCell ref="W209:W210"/>
    <mergeCell ref="W198:W199"/>
    <mergeCell ref="W162:W163"/>
    <mergeCell ref="W186:W187"/>
    <mergeCell ref="W192:W193"/>
    <mergeCell ref="W196:W197"/>
    <mergeCell ref="V178:V179"/>
    <mergeCell ref="V182:V183"/>
    <mergeCell ref="V192:V193"/>
    <mergeCell ref="V162:V163"/>
    <mergeCell ref="V188:V189"/>
    <mergeCell ref="W188:W189"/>
    <mergeCell ref="W194:W195"/>
    <mergeCell ref="V176:V177"/>
    <mergeCell ref="W176:W177"/>
    <mergeCell ref="W178:W179"/>
    <mergeCell ref="W182:W183"/>
    <mergeCell ref="W174:W175"/>
    <mergeCell ref="V180:V181"/>
    <mergeCell ref="W180:W181"/>
    <mergeCell ref="V190:V191"/>
    <mergeCell ref="K197:M197"/>
    <mergeCell ref="B198:C199"/>
    <mergeCell ref="D198:D199"/>
    <mergeCell ref="E198:E199"/>
    <mergeCell ref="K198:M198"/>
    <mergeCell ref="K199:M199"/>
    <mergeCell ref="B192:C193"/>
    <mergeCell ref="D192:D193"/>
    <mergeCell ref="E192:E193"/>
    <mergeCell ref="K192:M192"/>
    <mergeCell ref="K193:M193"/>
    <mergeCell ref="B190:C191"/>
    <mergeCell ref="D190:D191"/>
    <mergeCell ref="E190:E191"/>
    <mergeCell ref="K190:M190"/>
    <mergeCell ref="K191:M191"/>
    <mergeCell ref="K194:M194"/>
    <mergeCell ref="V194:V195"/>
    <mergeCell ref="BE68:BE69"/>
    <mergeCell ref="W200:W201"/>
    <mergeCell ref="Y198:Y199"/>
    <mergeCell ref="Y162:Y163"/>
    <mergeCell ref="Y200:Y201"/>
    <mergeCell ref="W150:W151"/>
    <mergeCell ref="W146:W147"/>
    <mergeCell ref="W152:W153"/>
    <mergeCell ref="W170:W171"/>
    <mergeCell ref="B79:L79"/>
    <mergeCell ref="B71:D71"/>
    <mergeCell ref="B72:D72"/>
    <mergeCell ref="B73:D73"/>
    <mergeCell ref="B74:D74"/>
    <mergeCell ref="B75:D75"/>
    <mergeCell ref="B76:D76"/>
    <mergeCell ref="B77:F77"/>
    <mergeCell ref="W202:W203"/>
    <mergeCell ref="V200:V201"/>
    <mergeCell ref="V202:V203"/>
    <mergeCell ref="V154:V155"/>
    <mergeCell ref="V160:V161"/>
    <mergeCell ref="V164:V165"/>
    <mergeCell ref="V166:V167"/>
    <mergeCell ref="V168:V169"/>
    <mergeCell ref="V170:V171"/>
    <mergeCell ref="V174:V175"/>
    <mergeCell ref="W190:W191"/>
    <mergeCell ref="W172:W173"/>
    <mergeCell ref="W184:W185"/>
    <mergeCell ref="V172:V173"/>
    <mergeCell ref="V184:V185"/>
    <mergeCell ref="V186:V187"/>
    <mergeCell ref="V156:V157"/>
    <mergeCell ref="V196:V197"/>
    <mergeCell ref="V198:V199"/>
    <mergeCell ref="W154:W155"/>
    <mergeCell ref="W160:W161"/>
    <mergeCell ref="W164:W165"/>
    <mergeCell ref="W166:W167"/>
    <mergeCell ref="W168:W169"/>
    <mergeCell ref="B501:B504"/>
    <mergeCell ref="C349:D349"/>
    <mergeCell ref="C363:D363"/>
    <mergeCell ref="C375:D375"/>
    <mergeCell ref="C387:D387"/>
    <mergeCell ref="B445:D445"/>
    <mergeCell ref="G445:H445"/>
    <mergeCell ref="K445:M445"/>
    <mergeCell ref="B483:E483"/>
    <mergeCell ref="B391:D391"/>
    <mergeCell ref="B392:L392"/>
    <mergeCell ref="B404:B405"/>
    <mergeCell ref="C404:D405"/>
    <mergeCell ref="D500:E500"/>
    <mergeCell ref="C485:G485"/>
    <mergeCell ref="B480:E480"/>
    <mergeCell ref="B481:E481"/>
    <mergeCell ref="B482:E482"/>
    <mergeCell ref="B491:B492"/>
    <mergeCell ref="G441:H441"/>
    <mergeCell ref="K441:M441"/>
    <mergeCell ref="C453:D453"/>
    <mergeCell ref="C385:D385"/>
    <mergeCell ref="C386:D386"/>
    <mergeCell ref="H5:M5"/>
    <mergeCell ref="B7:M7"/>
    <mergeCell ref="B8:M8"/>
    <mergeCell ref="B9:M9"/>
    <mergeCell ref="B10:M10"/>
    <mergeCell ref="B11:M11"/>
    <mergeCell ref="F484:M484"/>
    <mergeCell ref="F480:H480"/>
    <mergeCell ref="I480:M480"/>
    <mergeCell ref="I481:M481"/>
    <mergeCell ref="I482:M482"/>
    <mergeCell ref="F481:H481"/>
    <mergeCell ref="F482:H482"/>
    <mergeCell ref="F483:H483"/>
    <mergeCell ref="I483:M483"/>
    <mergeCell ref="B12:M12"/>
    <mergeCell ref="B13:M13"/>
    <mergeCell ref="B14:B15"/>
    <mergeCell ref="C324:D324"/>
    <mergeCell ref="B328:D328"/>
    <mergeCell ref="C340:D340"/>
    <mergeCell ref="C337:D337"/>
    <mergeCell ref="C14:D15"/>
    <mergeCell ref="E14:E15"/>
    <mergeCell ref="K15:L15"/>
    <mergeCell ref="B24:K24"/>
    <mergeCell ref="K22:L22"/>
    <mergeCell ref="C16:D16"/>
    <mergeCell ref="C17:D17"/>
    <mergeCell ref="K17:L17"/>
    <mergeCell ref="C18:D18"/>
    <mergeCell ref="K18:L18"/>
    <mergeCell ref="C19:D19"/>
    <mergeCell ref="K19:L19"/>
    <mergeCell ref="C20:D20"/>
    <mergeCell ref="K20:L20"/>
    <mergeCell ref="C21:D21"/>
    <mergeCell ref="K21:L21"/>
    <mergeCell ref="C22:D22"/>
    <mergeCell ref="F14:F15"/>
    <mergeCell ref="G14:G15"/>
    <mergeCell ref="H14:H15"/>
    <mergeCell ref="I14:I15"/>
    <mergeCell ref="J14:O14"/>
    <mergeCell ref="L23:O23"/>
    <mergeCell ref="L24:O24"/>
    <mergeCell ref="B102:F102"/>
    <mergeCell ref="J102:K102"/>
    <mergeCell ref="L102:M102"/>
    <mergeCell ref="B103:F103"/>
    <mergeCell ref="B87:M87"/>
    <mergeCell ref="L89:M90"/>
    <mergeCell ref="G90:H90"/>
    <mergeCell ref="J90:K90"/>
    <mergeCell ref="B89:B90"/>
    <mergeCell ref="F89:F90"/>
    <mergeCell ref="J93:K93"/>
    <mergeCell ref="B99:F99"/>
    <mergeCell ref="J99:K99"/>
    <mergeCell ref="L99:M99"/>
    <mergeCell ref="B111:F111"/>
    <mergeCell ref="J111:K111"/>
    <mergeCell ref="L111:M111"/>
    <mergeCell ref="B114:F114"/>
    <mergeCell ref="J114:K114"/>
    <mergeCell ref="L114:M114"/>
    <mergeCell ref="J92:K92"/>
    <mergeCell ref="L92:M92"/>
    <mergeCell ref="J94:K94"/>
    <mergeCell ref="L94:M94"/>
    <mergeCell ref="B106:F106"/>
    <mergeCell ref="J106:K106"/>
    <mergeCell ref="L106:M106"/>
    <mergeCell ref="J95:K95"/>
    <mergeCell ref="L95:M95"/>
    <mergeCell ref="B98:F98"/>
    <mergeCell ref="J98:K98"/>
    <mergeCell ref="L98:M98"/>
    <mergeCell ref="B100:F100"/>
    <mergeCell ref="J100:K100"/>
    <mergeCell ref="L100:M100"/>
    <mergeCell ref="B101:F101"/>
    <mergeCell ref="J101:K101"/>
    <mergeCell ref="L101:M101"/>
    <mergeCell ref="B115:F115"/>
    <mergeCell ref="J115:K115"/>
    <mergeCell ref="E152:E153"/>
    <mergeCell ref="K152:M152"/>
    <mergeCell ref="K153:M153"/>
    <mergeCell ref="B154:C155"/>
    <mergeCell ref="D154:D155"/>
    <mergeCell ref="E154:E155"/>
    <mergeCell ref="K154:M154"/>
    <mergeCell ref="K155:M155"/>
    <mergeCell ref="B150:C151"/>
    <mergeCell ref="D150:D151"/>
    <mergeCell ref="E150:E151"/>
    <mergeCell ref="K150:M150"/>
    <mergeCell ref="K151:M151"/>
    <mergeCell ref="B148:C149"/>
    <mergeCell ref="D148:D149"/>
    <mergeCell ref="E148:E149"/>
    <mergeCell ref="K148:M148"/>
    <mergeCell ref="B126:M126"/>
    <mergeCell ref="B128:M128"/>
    <mergeCell ref="B120:F120"/>
    <mergeCell ref="J120:K120"/>
    <mergeCell ref="L120:M120"/>
    <mergeCell ref="B164:C165"/>
    <mergeCell ref="D164:D165"/>
    <mergeCell ref="E164:E165"/>
    <mergeCell ref="K164:M164"/>
    <mergeCell ref="K165:M165"/>
    <mergeCell ref="K171:M171"/>
    <mergeCell ref="B174:C175"/>
    <mergeCell ref="D174:D175"/>
    <mergeCell ref="E174:E175"/>
    <mergeCell ref="K174:M174"/>
    <mergeCell ref="K175:M175"/>
    <mergeCell ref="B166:C167"/>
    <mergeCell ref="D166:D167"/>
    <mergeCell ref="E166:E167"/>
    <mergeCell ref="K166:M166"/>
    <mergeCell ref="K167:M167"/>
    <mergeCell ref="B168:C169"/>
    <mergeCell ref="D168:D169"/>
    <mergeCell ref="E168:E169"/>
    <mergeCell ref="K168:M168"/>
    <mergeCell ref="K169:M169"/>
    <mergeCell ref="B170:C171"/>
    <mergeCell ref="D170:D171"/>
    <mergeCell ref="B176:C177"/>
    <mergeCell ref="D176:D177"/>
    <mergeCell ref="E176:E177"/>
    <mergeCell ref="K176:M176"/>
    <mergeCell ref="E170:E171"/>
    <mergeCell ref="K170:M170"/>
    <mergeCell ref="B178:C179"/>
    <mergeCell ref="D178:D179"/>
    <mergeCell ref="E178:E179"/>
    <mergeCell ref="K178:M178"/>
    <mergeCell ref="K179:M179"/>
    <mergeCell ref="B172:C173"/>
    <mergeCell ref="D172:D173"/>
    <mergeCell ref="E172:E173"/>
    <mergeCell ref="K172:M172"/>
    <mergeCell ref="K173:M173"/>
    <mergeCell ref="K177:M177"/>
    <mergeCell ref="K202:M202"/>
    <mergeCell ref="K203:M203"/>
    <mergeCell ref="K205:M205"/>
    <mergeCell ref="B162:C163"/>
    <mergeCell ref="D162:D163"/>
    <mergeCell ref="E162:E163"/>
    <mergeCell ref="K162:M162"/>
    <mergeCell ref="K163:M163"/>
    <mergeCell ref="B200:C201"/>
    <mergeCell ref="D200:D201"/>
    <mergeCell ref="E200:E201"/>
    <mergeCell ref="K200:M200"/>
    <mergeCell ref="K201:M201"/>
    <mergeCell ref="B205:D205"/>
    <mergeCell ref="B202:C203"/>
    <mergeCell ref="D202:D203"/>
    <mergeCell ref="E202:E203"/>
    <mergeCell ref="B188:C189"/>
    <mergeCell ref="D188:D189"/>
    <mergeCell ref="E188:E189"/>
    <mergeCell ref="K188:M188"/>
    <mergeCell ref="B194:C195"/>
    <mergeCell ref="D194:D195"/>
    <mergeCell ref="E194:E195"/>
    <mergeCell ref="B238:C239"/>
    <mergeCell ref="K206:M206"/>
    <mergeCell ref="B211:F211"/>
    <mergeCell ref="K211:M211"/>
    <mergeCell ref="B212:F212"/>
    <mergeCell ref="K212:M212"/>
    <mergeCell ref="B217:F217"/>
    <mergeCell ref="K217:M217"/>
    <mergeCell ref="B206:D206"/>
    <mergeCell ref="B207:D207"/>
    <mergeCell ref="K207:M207"/>
    <mergeCell ref="B208:D208"/>
    <mergeCell ref="K208:M208"/>
    <mergeCell ref="B209:D209"/>
    <mergeCell ref="K209:M209"/>
    <mergeCell ref="B210:D210"/>
    <mergeCell ref="K210:M210"/>
    <mergeCell ref="K213:M213"/>
    <mergeCell ref="G214:J214"/>
    <mergeCell ref="M242:M243"/>
    <mergeCell ref="B231:M231"/>
    <mergeCell ref="B232:M232"/>
    <mergeCell ref="B233:M233"/>
    <mergeCell ref="B234:M234"/>
    <mergeCell ref="M238:M239"/>
    <mergeCell ref="B219:E219"/>
    <mergeCell ref="K219:M219"/>
    <mergeCell ref="B220:E220"/>
    <mergeCell ref="K220:M220"/>
    <mergeCell ref="B225:F225"/>
    <mergeCell ref="K225:M225"/>
    <mergeCell ref="B221:E221"/>
    <mergeCell ref="K221:M221"/>
    <mergeCell ref="B222:E222"/>
    <mergeCell ref="K222:M222"/>
    <mergeCell ref="B223:E223"/>
    <mergeCell ref="K223:M223"/>
    <mergeCell ref="B224:E224"/>
    <mergeCell ref="K224:M224"/>
    <mergeCell ref="B236:C236"/>
    <mergeCell ref="K236:L236"/>
    <mergeCell ref="B229:M229"/>
    <mergeCell ref="B230:M230"/>
    <mergeCell ref="M256:M257"/>
    <mergeCell ref="D238:D239"/>
    <mergeCell ref="E238:E239"/>
    <mergeCell ref="J238:J239"/>
    <mergeCell ref="K238:L239"/>
    <mergeCell ref="B248:C249"/>
    <mergeCell ref="D248:D249"/>
    <mergeCell ref="E248:E249"/>
    <mergeCell ref="B254:C255"/>
    <mergeCell ref="D254:D255"/>
    <mergeCell ref="E254:E255"/>
    <mergeCell ref="J254:J255"/>
    <mergeCell ref="K254:L255"/>
    <mergeCell ref="B244:C245"/>
    <mergeCell ref="D244:D245"/>
    <mergeCell ref="E244:E245"/>
    <mergeCell ref="J244:J245"/>
    <mergeCell ref="K244:L245"/>
    <mergeCell ref="M244:M245"/>
    <mergeCell ref="B242:C243"/>
    <mergeCell ref="D242:D243"/>
    <mergeCell ref="E242:E243"/>
    <mergeCell ref="J242:J243"/>
    <mergeCell ref="K242:L243"/>
    <mergeCell ref="B260:C261"/>
    <mergeCell ref="D260:D261"/>
    <mergeCell ref="E260:E261"/>
    <mergeCell ref="J260:J261"/>
    <mergeCell ref="K260:L261"/>
    <mergeCell ref="M260:M261"/>
    <mergeCell ref="M254:M255"/>
    <mergeCell ref="B252:C253"/>
    <mergeCell ref="D252:D253"/>
    <mergeCell ref="E252:E253"/>
    <mergeCell ref="J252:J253"/>
    <mergeCell ref="K252:L253"/>
    <mergeCell ref="M252:M253"/>
    <mergeCell ref="B258:C259"/>
    <mergeCell ref="D258:D259"/>
    <mergeCell ref="E258:E259"/>
    <mergeCell ref="J258:J259"/>
    <mergeCell ref="K258:L259"/>
    <mergeCell ref="M258:M259"/>
    <mergeCell ref="B256:C257"/>
    <mergeCell ref="D256:D257"/>
    <mergeCell ref="E256:E257"/>
    <mergeCell ref="J256:J257"/>
    <mergeCell ref="K256:L257"/>
    <mergeCell ref="B264:C265"/>
    <mergeCell ref="D264:D265"/>
    <mergeCell ref="E264:E265"/>
    <mergeCell ref="J264:J265"/>
    <mergeCell ref="K264:L265"/>
    <mergeCell ref="M264:M265"/>
    <mergeCell ref="B262:C263"/>
    <mergeCell ref="D262:D263"/>
    <mergeCell ref="E262:E263"/>
    <mergeCell ref="J262:J263"/>
    <mergeCell ref="K262:L263"/>
    <mergeCell ref="M262:M263"/>
    <mergeCell ref="B268:C269"/>
    <mergeCell ref="D268:D269"/>
    <mergeCell ref="E268:E269"/>
    <mergeCell ref="J268:J269"/>
    <mergeCell ref="K268:L269"/>
    <mergeCell ref="M268:M269"/>
    <mergeCell ref="B266:C267"/>
    <mergeCell ref="D266:D267"/>
    <mergeCell ref="E266:E267"/>
    <mergeCell ref="J266:J267"/>
    <mergeCell ref="K266:L267"/>
    <mergeCell ref="M266:M267"/>
    <mergeCell ref="B272:C273"/>
    <mergeCell ref="D272:D273"/>
    <mergeCell ref="E272:E273"/>
    <mergeCell ref="J272:J273"/>
    <mergeCell ref="K272:L273"/>
    <mergeCell ref="M272:M273"/>
    <mergeCell ref="B270:C271"/>
    <mergeCell ref="D270:D271"/>
    <mergeCell ref="E270:E271"/>
    <mergeCell ref="J270:J271"/>
    <mergeCell ref="K270:L271"/>
    <mergeCell ref="M270:M271"/>
    <mergeCell ref="B278:C279"/>
    <mergeCell ref="D278:D279"/>
    <mergeCell ref="E278:E279"/>
    <mergeCell ref="J278:J279"/>
    <mergeCell ref="K278:L279"/>
    <mergeCell ref="E274:E275"/>
    <mergeCell ref="J274:J275"/>
    <mergeCell ref="K274:L275"/>
    <mergeCell ref="M274:M275"/>
    <mergeCell ref="B246:C247"/>
    <mergeCell ref="D246:D247"/>
    <mergeCell ref="E246:E247"/>
    <mergeCell ref="J246:J247"/>
    <mergeCell ref="K246:L247"/>
    <mergeCell ref="M246:M247"/>
    <mergeCell ref="J248:J249"/>
    <mergeCell ref="K248:L249"/>
    <mergeCell ref="M248:M249"/>
    <mergeCell ref="J282:J283"/>
    <mergeCell ref="K282:L283"/>
    <mergeCell ref="M282:M283"/>
    <mergeCell ref="B250:C251"/>
    <mergeCell ref="D250:D251"/>
    <mergeCell ref="E250:E251"/>
    <mergeCell ref="J250:J251"/>
    <mergeCell ref="K250:L251"/>
    <mergeCell ref="M250:M251"/>
    <mergeCell ref="M278:M279"/>
    <mergeCell ref="B276:C277"/>
    <mergeCell ref="D276:D277"/>
    <mergeCell ref="E276:E277"/>
    <mergeCell ref="J276:J277"/>
    <mergeCell ref="K276:L277"/>
    <mergeCell ref="M276:M277"/>
    <mergeCell ref="B274:C275"/>
    <mergeCell ref="D274:D275"/>
    <mergeCell ref="B280:C281"/>
    <mergeCell ref="D280:D281"/>
    <mergeCell ref="E280:E281"/>
    <mergeCell ref="J280:J281"/>
    <mergeCell ref="K280:L281"/>
    <mergeCell ref="M280:M281"/>
    <mergeCell ref="M292:M293"/>
    <mergeCell ref="B284:C285"/>
    <mergeCell ref="D284:D285"/>
    <mergeCell ref="E284:E285"/>
    <mergeCell ref="J284:J285"/>
    <mergeCell ref="K284:L285"/>
    <mergeCell ref="M284:M285"/>
    <mergeCell ref="M296:P296"/>
    <mergeCell ref="B305:D305"/>
    <mergeCell ref="B296:B297"/>
    <mergeCell ref="B292:C293"/>
    <mergeCell ref="D292:D293"/>
    <mergeCell ref="E292:E293"/>
    <mergeCell ref="E296:H296"/>
    <mergeCell ref="C296:D297"/>
    <mergeCell ref="B332:B333"/>
    <mergeCell ref="C332:D333"/>
    <mergeCell ref="E332:G332"/>
    <mergeCell ref="H332:J332"/>
    <mergeCell ref="K332:L332"/>
    <mergeCell ref="B335:D335"/>
    <mergeCell ref="C336:D336"/>
    <mergeCell ref="B339:D339"/>
    <mergeCell ref="J292:J293"/>
    <mergeCell ref="K292:L293"/>
    <mergeCell ref="C313:D313"/>
    <mergeCell ref="E313:G313"/>
    <mergeCell ref="H313:J313"/>
    <mergeCell ref="K313:M313"/>
    <mergeCell ref="C314:D314"/>
    <mergeCell ref="E314:G314"/>
    <mergeCell ref="H314:J314"/>
    <mergeCell ref="K314:M314"/>
    <mergeCell ref="C316:D316"/>
    <mergeCell ref="E316:G316"/>
    <mergeCell ref="H316:J316"/>
    <mergeCell ref="C315:D315"/>
    <mergeCell ref="E315:G315"/>
    <mergeCell ref="H315:J315"/>
    <mergeCell ref="I416:L416"/>
    <mergeCell ref="M416:P416"/>
    <mergeCell ref="K315:M315"/>
    <mergeCell ref="B343:D343"/>
    <mergeCell ref="C364:D364"/>
    <mergeCell ref="C365:D365"/>
    <mergeCell ref="C366:D366"/>
    <mergeCell ref="C347:D347"/>
    <mergeCell ref="C348:D348"/>
    <mergeCell ref="C351:D351"/>
    <mergeCell ref="C352:D352"/>
    <mergeCell ref="C361:D361"/>
    <mergeCell ref="C362:D362"/>
    <mergeCell ref="B353:D353"/>
    <mergeCell ref="B354:D354"/>
    <mergeCell ref="B356:M356"/>
    <mergeCell ref="C350:D350"/>
    <mergeCell ref="B358:B359"/>
    <mergeCell ref="C358:D359"/>
    <mergeCell ref="M358:P358"/>
    <mergeCell ref="I358:L358"/>
    <mergeCell ref="E358:H358"/>
    <mergeCell ref="B344:B345"/>
    <mergeCell ref="B331:M331"/>
    <mergeCell ref="G443:H443"/>
    <mergeCell ref="K443:M443"/>
    <mergeCell ref="B487:B488"/>
    <mergeCell ref="B489:B490"/>
    <mergeCell ref="K444:M444"/>
    <mergeCell ref="C454:D454"/>
    <mergeCell ref="C455:D455"/>
    <mergeCell ref="C456:D456"/>
    <mergeCell ref="C410:D410"/>
    <mergeCell ref="C411:D411"/>
    <mergeCell ref="C451:D451"/>
    <mergeCell ref="C452:D452"/>
    <mergeCell ref="E448:H448"/>
    <mergeCell ref="I448:L448"/>
    <mergeCell ref="M448:P448"/>
    <mergeCell ref="E417:H417"/>
    <mergeCell ref="I417:L417"/>
    <mergeCell ref="M417:P417"/>
    <mergeCell ref="C418:D418"/>
    <mergeCell ref="C419:D419"/>
    <mergeCell ref="C420:D420"/>
    <mergeCell ref="C421:D421"/>
    <mergeCell ref="C422:D422"/>
    <mergeCell ref="E416:H416"/>
    <mergeCell ref="Y202:Y203"/>
    <mergeCell ref="Y174:Y175"/>
    <mergeCell ref="B499:B500"/>
    <mergeCell ref="C407:D407"/>
    <mergeCell ref="C408:D408"/>
    <mergeCell ref="B484:E484"/>
    <mergeCell ref="B493:B498"/>
    <mergeCell ref="B448:B449"/>
    <mergeCell ref="C448:D449"/>
    <mergeCell ref="D492:E492"/>
    <mergeCell ref="K438:M438"/>
    <mergeCell ref="C439:D439"/>
    <mergeCell ref="G439:H439"/>
    <mergeCell ref="K439:M439"/>
    <mergeCell ref="C444:D444"/>
    <mergeCell ref="G444:H444"/>
    <mergeCell ref="B457:D457"/>
    <mergeCell ref="B434:B435"/>
    <mergeCell ref="C434:D435"/>
    <mergeCell ref="C412:D412"/>
    <mergeCell ref="C442:D442"/>
    <mergeCell ref="G442:H442"/>
    <mergeCell ref="K442:M442"/>
    <mergeCell ref="C443:D443"/>
    <mergeCell ref="B308:L308"/>
    <mergeCell ref="K182:M182"/>
    <mergeCell ref="BG143:BJ143"/>
    <mergeCell ref="BG235:BJ235"/>
    <mergeCell ref="C341:D341"/>
    <mergeCell ref="C409:D409"/>
    <mergeCell ref="B413:D413"/>
    <mergeCell ref="C441:D441"/>
    <mergeCell ref="B433:M433"/>
    <mergeCell ref="E434:H434"/>
    <mergeCell ref="I434:M434"/>
    <mergeCell ref="N434:P434"/>
    <mergeCell ref="G435:H435"/>
    <mergeCell ref="K435:M435"/>
    <mergeCell ref="C437:D437"/>
    <mergeCell ref="G437:H437"/>
    <mergeCell ref="K437:M437"/>
    <mergeCell ref="C440:D440"/>
    <mergeCell ref="G440:H440"/>
    <mergeCell ref="K440:M440"/>
    <mergeCell ref="B438:D438"/>
    <mergeCell ref="G438:H438"/>
    <mergeCell ref="Y146:Y147"/>
    <mergeCell ref="Y148:Y149"/>
    <mergeCell ref="Y178:Y179"/>
    <mergeCell ref="Y182:Y183"/>
    <mergeCell ref="Y150:Y151"/>
    <mergeCell ref="Y190:Y191"/>
    <mergeCell ref="Y172:Y173"/>
    <mergeCell ref="Y184:Y185"/>
    <mergeCell ref="Y186:Y187"/>
    <mergeCell ref="Y192:Y193"/>
    <mergeCell ref="Y152:Y153"/>
    <mergeCell ref="Y154:Y155"/>
    <mergeCell ref="Y160:Y161"/>
    <mergeCell ref="Y164:Y165"/>
    <mergeCell ref="Y166:Y167"/>
    <mergeCell ref="Y168:Y169"/>
    <mergeCell ref="Y170:Y171"/>
    <mergeCell ref="Y158:Y159"/>
    <mergeCell ref="Y156:Y157"/>
    <mergeCell ref="Y188:Y189"/>
    <mergeCell ref="Y176:Y177"/>
    <mergeCell ref="Y180:Y181"/>
    <mergeCell ref="E309:G309"/>
    <mergeCell ref="H309:J309"/>
    <mergeCell ref="K309:M309"/>
    <mergeCell ref="C311:D311"/>
    <mergeCell ref="E311:G311"/>
    <mergeCell ref="H311:J311"/>
    <mergeCell ref="K311:M311"/>
    <mergeCell ref="B330:L330"/>
    <mergeCell ref="B309:D309"/>
    <mergeCell ref="E319:H319"/>
    <mergeCell ref="I319:L319"/>
    <mergeCell ref="M319:P319"/>
    <mergeCell ref="K316:M316"/>
    <mergeCell ref="C322:D322"/>
    <mergeCell ref="C323:D323"/>
    <mergeCell ref="C325:D325"/>
    <mergeCell ref="C326:D326"/>
    <mergeCell ref="C327:D327"/>
    <mergeCell ref="C312:D312"/>
    <mergeCell ref="E312:G312"/>
    <mergeCell ref="D282:D283"/>
    <mergeCell ref="C344:D345"/>
    <mergeCell ref="M344:P344"/>
    <mergeCell ref="I344:L344"/>
    <mergeCell ref="E344:H344"/>
    <mergeCell ref="K189:M189"/>
    <mergeCell ref="B180:C181"/>
    <mergeCell ref="D180:D181"/>
    <mergeCell ref="E180:E181"/>
    <mergeCell ref="K180:M180"/>
    <mergeCell ref="K181:M181"/>
    <mergeCell ref="B186:C187"/>
    <mergeCell ref="D186:D187"/>
    <mergeCell ref="E186:E187"/>
    <mergeCell ref="K186:M186"/>
    <mergeCell ref="K187:M187"/>
    <mergeCell ref="B184:C185"/>
    <mergeCell ref="D184:D185"/>
    <mergeCell ref="E184:E185"/>
    <mergeCell ref="K184:M184"/>
    <mergeCell ref="K185:M185"/>
    <mergeCell ref="B182:C183"/>
    <mergeCell ref="D182:D183"/>
    <mergeCell ref="E182:E183"/>
    <mergeCell ref="M370:P370"/>
    <mergeCell ref="K183:M183"/>
    <mergeCell ref="Y194:Y195"/>
    <mergeCell ref="K195:M195"/>
    <mergeCell ref="B290:C291"/>
    <mergeCell ref="D290:D291"/>
    <mergeCell ref="E290:E291"/>
    <mergeCell ref="J290:J291"/>
    <mergeCell ref="K290:L291"/>
    <mergeCell ref="M290:M291"/>
    <mergeCell ref="B288:C289"/>
    <mergeCell ref="D288:D289"/>
    <mergeCell ref="E288:E289"/>
    <mergeCell ref="J288:J289"/>
    <mergeCell ref="K288:L289"/>
    <mergeCell ref="M288:M289"/>
    <mergeCell ref="B286:C287"/>
    <mergeCell ref="D286:D287"/>
    <mergeCell ref="E286:E287"/>
    <mergeCell ref="J286:J287"/>
    <mergeCell ref="K286:L287"/>
    <mergeCell ref="M286:M287"/>
    <mergeCell ref="Y196:Y197"/>
    <mergeCell ref="B282:C283"/>
    <mergeCell ref="C423:D423"/>
    <mergeCell ref="E282:E283"/>
    <mergeCell ref="C416:D416"/>
    <mergeCell ref="E418:H418"/>
    <mergeCell ref="I418:L418"/>
    <mergeCell ref="M418:P418"/>
    <mergeCell ref="C373:D373"/>
    <mergeCell ref="C374:D374"/>
    <mergeCell ref="B367:D367"/>
    <mergeCell ref="B368:L368"/>
    <mergeCell ref="B370:B371"/>
    <mergeCell ref="C370:D371"/>
    <mergeCell ref="C376:D376"/>
    <mergeCell ref="C377:D377"/>
    <mergeCell ref="C378:D378"/>
    <mergeCell ref="C388:D388"/>
    <mergeCell ref="C389:D389"/>
    <mergeCell ref="C390:D390"/>
    <mergeCell ref="B379:D379"/>
    <mergeCell ref="B380:L380"/>
    <mergeCell ref="E382:H382"/>
    <mergeCell ref="I382:L382"/>
    <mergeCell ref="B382:B383"/>
    <mergeCell ref="C382:D383"/>
    <mergeCell ref="B424:D424"/>
    <mergeCell ref="I370:L370"/>
    <mergeCell ref="E370:H370"/>
    <mergeCell ref="B462:L462"/>
    <mergeCell ref="B463:L463"/>
    <mergeCell ref="B464:L464"/>
    <mergeCell ref="E419:H419"/>
    <mergeCell ref="I419:L419"/>
    <mergeCell ref="M419:P419"/>
    <mergeCell ref="E423:H423"/>
    <mergeCell ref="I423:L423"/>
    <mergeCell ref="M423:P423"/>
    <mergeCell ref="E424:H424"/>
    <mergeCell ref="I424:L424"/>
    <mergeCell ref="M424:P424"/>
    <mergeCell ref="E420:H420"/>
    <mergeCell ref="I420:L420"/>
    <mergeCell ref="M420:P420"/>
    <mergeCell ref="E421:H421"/>
    <mergeCell ref="I421:L421"/>
    <mergeCell ref="M421:P421"/>
    <mergeCell ref="E422:H422"/>
    <mergeCell ref="I422:L422"/>
    <mergeCell ref="M422:P422"/>
    <mergeCell ref="BD68:BD69"/>
    <mergeCell ref="B104:F104"/>
    <mergeCell ref="B112:F112"/>
    <mergeCell ref="J96:K96"/>
    <mergeCell ref="J104:K104"/>
    <mergeCell ref="J112:K112"/>
    <mergeCell ref="L96:M96"/>
    <mergeCell ref="L104:M104"/>
    <mergeCell ref="L112:M112"/>
    <mergeCell ref="B96:F96"/>
    <mergeCell ref="J103:K103"/>
    <mergeCell ref="L103:M103"/>
    <mergeCell ref="B107:F107"/>
    <mergeCell ref="J107:K107"/>
    <mergeCell ref="L107:M107"/>
    <mergeCell ref="B108:F108"/>
    <mergeCell ref="J108:K108"/>
    <mergeCell ref="L108:M108"/>
    <mergeCell ref="B109:F109"/>
    <mergeCell ref="J109:K109"/>
    <mergeCell ref="L109:M109"/>
    <mergeCell ref="B110:F110"/>
    <mergeCell ref="J110:K110"/>
    <mergeCell ref="L110:M110"/>
  </mergeCells>
  <conditionalFormatting sqref="F484 N476 N468 N470:N471">
    <cfRule type="cellIs" dxfId="297" priority="513" operator="equal">
      <formula>"No"</formula>
    </cfRule>
  </conditionalFormatting>
  <conditionalFormatting sqref="K311:K312">
    <cfRule type="expression" dxfId="296" priority="512">
      <formula>IFERROR(AND(K311&gt;0.1,K311&lt;&gt;""),FALSE)</formula>
    </cfRule>
  </conditionalFormatting>
  <conditionalFormatting sqref="X401:X402 X404 O348:O349 N348:N353 O362:O363 N362:N367 O374:O375 N374:N379 O386:O387 N386:N391 O408:O409 O452:O453 N452:N459 B439:M439 B440:D441 F440:M441 E440:E444 B451:O451 V401:V404 B407:G412 B385:G390 I407:K412 M407:O407 M408:M412 I385:K390 M385:O385 M386:M390 B373:G378 I373:K378 M373:O373 M374:M378 B361:G366 I361:K366 M361:O361 M362:M366 V415 N408:N414 B452:M456 B347:O347 B348:M352">
    <cfRule type="expression" dxfId="295" priority="498">
      <formula>AND(DESPath=3,OR($B347="District Cooling",$B347="District Hot Water",$B347="District Steam"))</formula>
    </cfRule>
  </conditionalFormatting>
  <conditionalFormatting sqref="K313">
    <cfRule type="expression" dxfId="294" priority="234">
      <formula>IFERROR(AND(K313&gt;0.1,K313&lt;&gt;""),FALSE)</formula>
    </cfRule>
  </conditionalFormatting>
  <conditionalFormatting sqref="T404 T402">
    <cfRule type="expression" dxfId="293" priority="218">
      <formula>AND(DESPath=3,OR($B401="District Cooling",$B401="District Hot Water",$B401="District Steam"))</formula>
    </cfRule>
  </conditionalFormatting>
  <conditionalFormatting sqref="T403">
    <cfRule type="expression" dxfId="292" priority="2043">
      <formula>AND(DESPath=3,OR($B401="District Cooling",$B401="District Hot Water",$B401="District Steam"))</formula>
    </cfRule>
  </conditionalFormatting>
  <conditionalFormatting sqref="N462:N466">
    <cfRule type="cellIs" dxfId="291" priority="190" operator="equal">
      <formula>"No"</formula>
    </cfRule>
  </conditionalFormatting>
  <conditionalFormatting sqref="N474">
    <cfRule type="expression" dxfId="290" priority="188">
      <formula>$N$474&gt;$N$471</formula>
    </cfRule>
    <cfRule type="expression" dxfId="289" priority="189">
      <formula>$N$474&lt;$N$471</formula>
    </cfRule>
  </conditionalFormatting>
  <conditionalFormatting sqref="N473">
    <cfRule type="expression" dxfId="288" priority="184">
      <formula>$N$473&gt;$N$471</formula>
    </cfRule>
    <cfRule type="expression" dxfId="287" priority="185">
      <formula>$N$473&lt;$N$471</formula>
    </cfRule>
  </conditionalFormatting>
  <conditionalFormatting sqref="N475">
    <cfRule type="cellIs" dxfId="286" priority="183" operator="equal">
      <formula>"No"</formula>
    </cfRule>
  </conditionalFormatting>
  <conditionalFormatting sqref="N472">
    <cfRule type="expression" dxfId="285" priority="179">
      <formula>$N$472&gt;$N$471</formula>
    </cfRule>
    <cfRule type="expression" dxfId="284" priority="180">
      <formula>$N$472&lt;$N$471</formula>
    </cfRule>
  </conditionalFormatting>
  <conditionalFormatting sqref="T394:T399 V394:V399 X394:X397">
    <cfRule type="expression" dxfId="283" priority="2066">
      <formula>AND(DESPath=3,OR(#REF!="District Cooling",#REF!="District Hot Water",#REF!="District Steam"))</formula>
    </cfRule>
  </conditionalFormatting>
  <conditionalFormatting sqref="T401">
    <cfRule type="expression" dxfId="282" priority="2069">
      <formula>AND(DESPath=3,OR(#REF!="District Cooling",#REF!="District Hot Water",#REF!="District Steam"))</formula>
    </cfRule>
  </conditionalFormatting>
  <conditionalFormatting sqref="E311:J313">
    <cfRule type="expression" dxfId="281" priority="2075">
      <formula>AND(DESPath=3,$B$337=$B311,ISERROR(1/VLOOKUP($B311,PO_Enrgy_7_Table,MATCH($G$298,PO_Enrgy_7_Hdr,0),FALSE)))</formula>
    </cfRule>
  </conditionalFormatting>
  <conditionalFormatting sqref="K314:K316">
    <cfRule type="expression" dxfId="280" priority="159">
      <formula>IFERROR(AND(K314&gt;0.1,K314&lt;&gt;""),FALSE)</formula>
    </cfRule>
  </conditionalFormatting>
  <conditionalFormatting sqref="E314:J316">
    <cfRule type="expression" dxfId="279" priority="160">
      <formula>AND(DESPath=3,$B$337=$B314,ISERROR(1/VLOOKUP($B314,PO_Enrgy_7_Table,MATCH($G$298,PO_Enrgy_7_Hdr,0),FALSE)))</formula>
    </cfRule>
  </conditionalFormatting>
  <conditionalFormatting sqref="O350:O352">
    <cfRule type="expression" dxfId="278" priority="158">
      <formula>AND(DESPath=3,OR($B350="District Cooling",$B350="District Hot Water",$B350="District Steam"))</formula>
    </cfRule>
  </conditionalFormatting>
  <conditionalFormatting sqref="O364:O366">
    <cfRule type="expression" dxfId="277" priority="157">
      <formula>AND(DESPath=3,OR($B364="District Cooling",$B364="District Hot Water",$B364="District Steam"))</formula>
    </cfRule>
  </conditionalFormatting>
  <conditionalFormatting sqref="O376:O378">
    <cfRule type="expression" dxfId="276" priority="156">
      <formula>AND(DESPath=3,OR($B376="District Cooling",$B376="District Hot Water",$B376="District Steam"))</formula>
    </cfRule>
  </conditionalFormatting>
  <conditionalFormatting sqref="O388:O390">
    <cfRule type="expression" dxfId="275" priority="155">
      <formula>AND(DESPath=3,OR($B388="District Cooling",$B388="District Hot Water",$B388="District Steam"))</formula>
    </cfRule>
  </conditionalFormatting>
  <conditionalFormatting sqref="O410:O412">
    <cfRule type="expression" dxfId="274" priority="154">
      <formula>AND(DESPath=3,OR($B410="District Cooling",$B410="District Hot Water",$B410="District Steam"))</formula>
    </cfRule>
  </conditionalFormatting>
  <conditionalFormatting sqref="B442:D444 F442:M444">
    <cfRule type="expression" dxfId="273" priority="153">
      <formula>AND(DESPath=3,OR($B442="District Cooling",$B442="District Hot Water",$B442="District Steam"))</formula>
    </cfRule>
  </conditionalFormatting>
  <conditionalFormatting sqref="O454:O456">
    <cfRule type="expression" dxfId="272" priority="152">
      <formula>AND(DESPath=3,OR($B454="District Cooling",$B454="District Hot Water",$B454="District Steam"))</formula>
    </cfRule>
  </conditionalFormatting>
  <conditionalFormatting sqref="Y402">
    <cfRule type="expression" dxfId="271" priority="144">
      <formula>AND(DESPath=3,OR($B401="District Cooling",$B401="District Hot Water",$B401="District Steam"))</formula>
    </cfRule>
  </conditionalFormatting>
  <conditionalFormatting sqref="Y395:Y397">
    <cfRule type="expression" dxfId="270" priority="146">
      <formula>AND(DESPath=3,OR(#REF!="District Cooling",#REF!="District Hot Water",#REF!="District Steam"))</formula>
    </cfRule>
  </conditionalFormatting>
  <conditionalFormatting sqref="Y401">
    <cfRule type="expression" dxfId="269" priority="140">
      <formula>AND(DESPath=3,OR(#REF!="District Cooling",#REF!="District Hot Water",#REF!="District Steam"))</formula>
    </cfRule>
  </conditionalFormatting>
  <conditionalFormatting sqref="Y403">
    <cfRule type="expression" dxfId="268" priority="139">
      <formula>AND(DESPath=3,OR(#REF!="District Cooling",#REF!="District Hot Water",#REF!="District Steam"))</formula>
    </cfRule>
  </conditionalFormatting>
  <conditionalFormatting sqref="Y404">
    <cfRule type="expression" dxfId="267" priority="138">
      <formula>AND(DESPath=3,OR(#REF!="District Cooling",#REF!="District Hot Water",#REF!="District Steam"))</formula>
    </cfRule>
  </conditionalFormatting>
  <conditionalFormatting sqref="Y394">
    <cfRule type="expression" dxfId="266" priority="137">
      <formula>AND(DESPath=3,OR(#REF!="District Cooling",#REF!="District Hot Water",#REF!="District Steam"))</formula>
    </cfRule>
  </conditionalFormatting>
  <conditionalFormatting sqref="Y398">
    <cfRule type="expression" dxfId="265" priority="136">
      <formula>AND(DESPath=3,OR(#REF!="District Cooling",#REF!="District Hot Water",#REF!="District Steam"))</formula>
    </cfRule>
  </conditionalFormatting>
  <conditionalFormatting sqref="Y399">
    <cfRule type="expression" dxfId="264" priority="135">
      <formula>AND(DESPath=3,OR(#REF!="District Cooling",#REF!="District Hot Water",#REF!="District Steam"))</formula>
    </cfRule>
  </conditionalFormatting>
  <conditionalFormatting sqref="AA394">
    <cfRule type="expression" dxfId="263" priority="134">
      <formula>AND(DESPath=3,OR(#REF!="District Cooling",#REF!="District Hot Water",#REF!="District Steam"))</formula>
    </cfRule>
  </conditionalFormatting>
  <conditionalFormatting sqref="AA401">
    <cfRule type="expression" dxfId="262" priority="133">
      <formula>AND(DESPath=3,OR($B401="District Cooling",$B401="District Hot Water",$B401="District Steam"))</formula>
    </cfRule>
  </conditionalFormatting>
  <conditionalFormatting sqref="AA404">
    <cfRule type="expression" dxfId="261" priority="132">
      <formula>AND(DESPath=3,OR($B404="District Cooling",$B404="District Hot Water",$B404="District Steam"))</formula>
    </cfRule>
  </conditionalFormatting>
  <conditionalFormatting sqref="O470:Q470">
    <cfRule type="cellIs" dxfId="260" priority="129" operator="equal">
      <formula>"No"</formula>
    </cfRule>
  </conditionalFormatting>
  <conditionalFormatting sqref="O471:Q471">
    <cfRule type="cellIs" dxfId="259" priority="128" operator="equal">
      <formula>"No"</formula>
    </cfRule>
  </conditionalFormatting>
  <conditionalFormatting sqref="O472:Q472">
    <cfRule type="expression" dxfId="258" priority="126">
      <formula>$P$472&gt;$P$471</formula>
    </cfRule>
    <cfRule type="expression" dxfId="257" priority="127">
      <formula>$P$472&lt;$P$471</formula>
    </cfRule>
  </conditionalFormatting>
  <conditionalFormatting sqref="O473:Q473">
    <cfRule type="expression" dxfId="256" priority="124">
      <formula>$P$473&gt;$P$471</formula>
    </cfRule>
    <cfRule type="expression" dxfId="255" priority="125">
      <formula>$P$473&lt;$P$471</formula>
    </cfRule>
  </conditionalFormatting>
  <conditionalFormatting sqref="O474:Q474">
    <cfRule type="expression" dxfId="254" priority="122">
      <formula>$P$474&gt;$P$471</formula>
    </cfRule>
    <cfRule type="expression" dxfId="253" priority="123">
      <formula>$P$474&lt;$PN$471</formula>
    </cfRule>
  </conditionalFormatting>
  <conditionalFormatting sqref="O475:Q475">
    <cfRule type="cellIs" dxfId="252" priority="121" operator="equal">
      <formula>"No"</formula>
    </cfRule>
  </conditionalFormatting>
  <conditionalFormatting sqref="O476:Q476">
    <cfRule type="cellIs" dxfId="251" priority="120" operator="equal">
      <formula>"No"</formula>
    </cfRule>
  </conditionalFormatting>
  <conditionalFormatting sqref="O462:Q466">
    <cfRule type="cellIs" dxfId="250" priority="119" operator="equal">
      <formula>"No"</formula>
    </cfRule>
  </conditionalFormatting>
  <conditionalFormatting sqref="O467">
    <cfRule type="cellIs" dxfId="249" priority="118" operator="equal">
      <formula>"No"</formula>
    </cfRule>
  </conditionalFormatting>
  <conditionalFormatting sqref="O468">
    <cfRule type="cellIs" dxfId="248" priority="117" operator="equal">
      <formula>"No"</formula>
    </cfRule>
  </conditionalFormatting>
  <conditionalFormatting sqref="P451:Q453">
    <cfRule type="expression" dxfId="247" priority="85">
      <formula>AND(DESPath=3,OR($B451="District Cooling",$B451="District Hot Water",$B451="District Steam"))</formula>
    </cfRule>
  </conditionalFormatting>
  <conditionalFormatting sqref="P454:Q456">
    <cfRule type="expression" dxfId="246" priority="84">
      <formula>AND(DESPath=3,OR($B454="District Cooling",$B454="District Hot Water",$B454="District Steam"))</formula>
    </cfRule>
  </conditionalFormatting>
  <conditionalFormatting sqref="P467:Q467">
    <cfRule type="cellIs" dxfId="245" priority="80" operator="equal">
      <formula>"No"</formula>
    </cfRule>
  </conditionalFormatting>
  <conditionalFormatting sqref="H457:H459">
    <cfRule type="expression" dxfId="244" priority="81">
      <formula>AND(DESPath=3,OR($B457="District Cooling",$B457="District Hot Water",$B457="District Steam"))</formula>
    </cfRule>
  </conditionalFormatting>
  <conditionalFormatting sqref="L457:L459">
    <cfRule type="expression" dxfId="243" priority="78">
      <formula>AND(DESPath=3,OR($B457="District Cooling",$B457="District Hot Water",$B457="District Steam"))</formula>
    </cfRule>
  </conditionalFormatting>
  <conditionalFormatting sqref="P407:Q412">
    <cfRule type="expression" dxfId="242" priority="77">
      <formula>AND(DESPath=3,OR($B407="District Cooling",$B407="District Hot Water",$B407="District Steam"))</formula>
    </cfRule>
  </conditionalFormatting>
  <conditionalFormatting sqref="N425:N430">
    <cfRule type="expression" dxfId="241" priority="76">
      <formula>AND(DESPath=3,OR($B425="District Cooling",$B425="District Hot Water",$B425="District Steam"))</formula>
    </cfRule>
  </conditionalFormatting>
  <conditionalFormatting sqref="L407:L413">
    <cfRule type="expression" dxfId="240" priority="73">
      <formula>AND(DESPath=3,OR($B407="District Cooling",$B407="District Hot Water",$B407="District Steam"))</formula>
    </cfRule>
  </conditionalFormatting>
  <conditionalFormatting sqref="H407:H413">
    <cfRule type="expression" dxfId="239" priority="74">
      <formula>AND(DESPath=3,OR($B407="District Cooling",$B407="District Hot Water",$B407="District Steam"))</formula>
    </cfRule>
  </conditionalFormatting>
  <conditionalFormatting sqref="L391">
    <cfRule type="expression" dxfId="238" priority="68">
      <formula>AND(DESPath=3,OR($B391="District Cooling",$B391="District Hot Water",$B391="District Steam"))</formula>
    </cfRule>
  </conditionalFormatting>
  <conditionalFormatting sqref="H385:H390">
    <cfRule type="expression" dxfId="237" priority="71">
      <formula>AND(DESPath=3,OR($B385="District Cooling",$B385="District Hot Water",$B385="District Steam"))</formula>
    </cfRule>
  </conditionalFormatting>
  <conditionalFormatting sqref="L385:L390">
    <cfRule type="expression" dxfId="236" priority="70">
      <formula>AND(DESPath=3,OR($B385="District Cooling",$B385="District Hot Water",$B385="District Steam"))</formula>
    </cfRule>
  </conditionalFormatting>
  <conditionalFormatting sqref="P385:Q390">
    <cfRule type="expression" dxfId="235" priority="69">
      <formula>AND(DESPath=3,OR($B385="District Cooling",$B385="District Hot Water",$B385="District Steam"))</formula>
    </cfRule>
  </conditionalFormatting>
  <conditionalFormatting sqref="H391">
    <cfRule type="expression" dxfId="234" priority="67">
      <formula>AND(DESPath=3,OR($B391="District Cooling",$B391="District Hot Water",$B391="District Steam"))</formula>
    </cfRule>
  </conditionalFormatting>
  <conditionalFormatting sqref="L379">
    <cfRule type="expression" dxfId="233" priority="60">
      <formula>AND(DESPath=3,OR($B379="District Cooling",$B379="District Hot Water",$B379="District Steam"))</formula>
    </cfRule>
  </conditionalFormatting>
  <conditionalFormatting sqref="L373:L378">
    <cfRule type="expression" dxfId="232" priority="63">
      <formula>AND(DESPath=3,OR($B373="District Cooling",$B373="District Hot Water",$B373="District Steam"))</formula>
    </cfRule>
  </conditionalFormatting>
  <conditionalFormatting sqref="P373:Q378">
    <cfRule type="expression" dxfId="231" priority="62">
      <formula>AND(DESPath=3,OR($B373="District Cooling",$B373="District Hot Water",$B373="District Steam"))</formula>
    </cfRule>
  </conditionalFormatting>
  <conditionalFormatting sqref="H373:H378">
    <cfRule type="expression" dxfId="230" priority="64">
      <formula>AND(DESPath=3,OR($B373="District Cooling",$B373="District Hot Water",$B373="District Steam"))</formula>
    </cfRule>
  </conditionalFormatting>
  <conditionalFormatting sqref="H379">
    <cfRule type="expression" dxfId="229" priority="61">
      <formula>AND(DESPath=3,OR($B379="District Cooling",$B379="District Hot Water",$B379="District Steam"))</formula>
    </cfRule>
  </conditionalFormatting>
  <conditionalFormatting sqref="P361:Q366">
    <cfRule type="expression" dxfId="228" priority="53">
      <formula>AND(DESPath=3,OR($B361="District Cooling",$B361="District Hot Water",$B361="District Steam"))</formula>
    </cfRule>
  </conditionalFormatting>
  <conditionalFormatting sqref="H361:H366">
    <cfRule type="expression" dxfId="227" priority="57">
      <formula>AND(DESPath=3,OR($B361="District Cooling",$B361="District Hot Water",$B361="District Steam"))</formula>
    </cfRule>
  </conditionalFormatting>
  <conditionalFormatting sqref="H367">
    <cfRule type="expression" dxfId="226" priority="56">
      <formula>AND(DESPath=3,OR($B367="District Cooling",$B367="District Hot Water",$B367="District Steam"))</formula>
    </cfRule>
  </conditionalFormatting>
  <conditionalFormatting sqref="L367">
    <cfRule type="expression" dxfId="225" priority="54">
      <formula>AND(DESPath=3,OR($B367="District Cooling",$B367="District Hot Water",$B367="District Steam"))</formula>
    </cfRule>
  </conditionalFormatting>
  <conditionalFormatting sqref="L361:L366">
    <cfRule type="expression" dxfId="224" priority="55">
      <formula>AND(DESPath=3,OR($B361="District Cooling",$B361="District Hot Water",$B361="District Steam"))</formula>
    </cfRule>
  </conditionalFormatting>
  <conditionalFormatting sqref="M418 B418:E423 I418:I423">
    <cfRule type="expression" dxfId="223" priority="51">
      <formula>AND(DESPath=3,OR($B418="District Cooling",$B418="District Hot Water",$B418="District Steam"))</formula>
    </cfRule>
  </conditionalFormatting>
  <conditionalFormatting sqref="T415">
    <cfRule type="expression" dxfId="222" priority="52">
      <formula>AND(DESPath=3,OR(#REF!="District Cooling",#REF!="District Hot Water",#REF!="District Steam"))</formula>
    </cfRule>
  </conditionalFormatting>
  <conditionalFormatting sqref="Y415">
    <cfRule type="expression" dxfId="221" priority="48">
      <formula>AND(DESPath=3,OR(#REF!="District Cooling",#REF!="District Hot Water",#REF!="District Steam"))</formula>
    </cfRule>
  </conditionalFormatting>
  <conditionalFormatting sqref="M421">
    <cfRule type="expression" dxfId="220" priority="40">
      <formula>AND(DESPath=3,OR($B421="District Cooling",$B421="District Hot Water",$B421="District Steam"))</formula>
    </cfRule>
  </conditionalFormatting>
  <conditionalFormatting sqref="M420">
    <cfRule type="expression" dxfId="219" priority="41">
      <formula>AND(DESPath=3,OR($B420="District Cooling",$B420="District Hot Water",$B420="District Steam"))</formula>
    </cfRule>
  </conditionalFormatting>
  <conditionalFormatting sqref="M422">
    <cfRule type="expression" dxfId="218" priority="39">
      <formula>AND(DESPath=3,OR($B422="District Cooling",$B422="District Hot Water",$B422="District Steam"))</formula>
    </cfRule>
  </conditionalFormatting>
  <conditionalFormatting sqref="M423">
    <cfRule type="expression" dxfId="217" priority="38">
      <formula>AND(DESPath=3,OR($B423="District Cooling",$B423="District Hot Water",$B423="District Steam"))</formula>
    </cfRule>
  </conditionalFormatting>
  <conditionalFormatting sqref="M419">
    <cfRule type="expression" dxfId="216" priority="36">
      <formula>AND(DESPath=3,OR($B419="District Cooling",$B419="District Hot Water",$B419="District Steam"))</formula>
    </cfRule>
  </conditionalFormatting>
  <conditionalFormatting sqref="P347:Q349">
    <cfRule type="expression" dxfId="215" priority="32">
      <formula>AND(DESPath=3,OR($B347="District Cooling",$B347="District Hot Water",$B347="District Steam"))</formula>
    </cfRule>
  </conditionalFormatting>
  <conditionalFormatting sqref="P350:Q352">
    <cfRule type="expression" dxfId="214" priority="31">
      <formula>AND(DESPath=3,OR($B350="District Cooling",$B350="District Hot Water",$B350="District Steam"))</formula>
    </cfRule>
  </conditionalFormatting>
  <conditionalFormatting sqref="H353">
    <cfRule type="expression" dxfId="213" priority="30">
      <formula>AND(DESPath=3,OR($B353="District Cooling",$B353="District Hot Water",$B353="District Steam"))</formula>
    </cfRule>
  </conditionalFormatting>
  <conditionalFormatting sqref="L353">
    <cfRule type="expression" dxfId="212" priority="29">
      <formula>AND(DESPath=3,OR($B353="District Cooling",$B353="District Hot Water",$B353="District Steam"))</formula>
    </cfRule>
  </conditionalFormatting>
  <conditionalFormatting sqref="M462:M468">
    <cfRule type="cellIs" dxfId="211" priority="27" operator="equal">
      <formula>"No"</formula>
    </cfRule>
  </conditionalFormatting>
  <conditionalFormatting sqref="M463">
    <cfRule type="cellIs" dxfId="210" priority="25" operator="equal">
      <formula>"No"</formula>
    </cfRule>
  </conditionalFormatting>
  <conditionalFormatting sqref="M464">
    <cfRule type="cellIs" dxfId="209" priority="24" operator="equal">
      <formula>"No"</formula>
    </cfRule>
  </conditionalFormatting>
  <conditionalFormatting sqref="M465">
    <cfRule type="cellIs" dxfId="208" priority="23" operator="equal">
      <formula>"No"</formula>
    </cfRule>
  </conditionalFormatting>
  <conditionalFormatting sqref="M466">
    <cfRule type="cellIs" dxfId="207" priority="22" operator="equal">
      <formula>"No"</formula>
    </cfRule>
  </conditionalFormatting>
  <conditionalFormatting sqref="M476 M470:M471">
    <cfRule type="cellIs" dxfId="206" priority="20" operator="equal">
      <formula>"No"</formula>
    </cfRule>
  </conditionalFormatting>
  <conditionalFormatting sqref="M474">
    <cfRule type="expression" dxfId="205" priority="18">
      <formula>$M$474&gt;$M$471</formula>
    </cfRule>
    <cfRule type="expression" dxfId="204" priority="19">
      <formula>$M$474&lt;$M$471</formula>
    </cfRule>
  </conditionalFormatting>
  <conditionalFormatting sqref="M473">
    <cfRule type="expression" dxfId="203" priority="16">
      <formula>$M$473&gt;$M$471</formula>
    </cfRule>
    <cfRule type="expression" dxfId="202" priority="17">
      <formula>$M$473&lt;$M$471</formula>
    </cfRule>
  </conditionalFormatting>
  <conditionalFormatting sqref="M475">
    <cfRule type="cellIs" dxfId="201" priority="15" operator="equal">
      <formula>"No"</formula>
    </cfRule>
  </conditionalFormatting>
  <conditionalFormatting sqref="M472">
    <cfRule type="expression" dxfId="200" priority="13">
      <formula>$M$472&gt;$M$471</formula>
    </cfRule>
    <cfRule type="expression" dxfId="199" priority="14">
      <formula>$M$472&lt;$M$471</formula>
    </cfRule>
  </conditionalFormatting>
  <conditionalFormatting sqref="M464">
    <cfRule type="cellIs" dxfId="198" priority="12" operator="equal">
      <formula>"No"</formula>
    </cfRule>
  </conditionalFormatting>
  <conditionalFormatting sqref="M464">
    <cfRule type="cellIs" dxfId="197" priority="11" operator="equal">
      <formula>"No"</formula>
    </cfRule>
  </conditionalFormatting>
  <conditionalFormatting sqref="M464">
    <cfRule type="cellIs" dxfId="196" priority="10" operator="equal">
      <formula>"No"</formula>
    </cfRule>
  </conditionalFormatting>
  <conditionalFormatting sqref="N467">
    <cfRule type="cellIs" dxfId="195" priority="9" operator="equal">
      <formula>"No"</formula>
    </cfRule>
  </conditionalFormatting>
  <conditionalFormatting sqref="M469">
    <cfRule type="cellIs" dxfId="194" priority="8" operator="equal">
      <formula>"No"</formula>
    </cfRule>
  </conditionalFormatting>
  <conditionalFormatting sqref="N469">
    <cfRule type="cellIs" dxfId="193" priority="7" operator="equal">
      <formula>"No"</formula>
    </cfRule>
  </conditionalFormatting>
  <conditionalFormatting sqref="O469">
    <cfRule type="cellIs" dxfId="192" priority="6" operator="equal">
      <formula>"No"</formula>
    </cfRule>
  </conditionalFormatting>
  <conditionalFormatting sqref="P469:Q469">
    <cfRule type="cellIs" dxfId="191" priority="5" operator="equal">
      <formula>"No"</formula>
    </cfRule>
  </conditionalFormatting>
  <conditionalFormatting sqref="P468:Q468">
    <cfRule type="cellIs" dxfId="190" priority="4" operator="equal">
      <formula>"No"</formula>
    </cfRule>
  </conditionalFormatting>
  <conditionalFormatting sqref="N17:N22">
    <cfRule type="expression" dxfId="189" priority="2">
      <formula>$V17=1</formula>
    </cfRule>
  </conditionalFormatting>
  <conditionalFormatting sqref="G213:J213">
    <cfRule type="expression" dxfId="188" priority="1">
      <formula>$V$23=1</formula>
    </cfRule>
  </conditionalFormatting>
  <dataValidations count="28">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92:E95 E146:E203 E238:E293" xr:uid="{00000000-0002-0000-2200-000000000000}">
      <formula1>INDEX(PO_Enrgy_1_Table,,1)</formula1>
    </dataValidation>
    <dataValidation type="whole" allowBlank="1" showErrorMessage="1" errorTitle="Input Error" error="Please enter a whole number between 0 and 8,760 hours." sqref="F481:F482" xr:uid="{00000000-0002-0000-2200-000001000000}">
      <formula1>0</formula1>
      <formula2>8760</formula2>
    </dataValidation>
    <dataValidation allowBlank="1" promptTitle="Energy End Use" prompt="Select the energy end use or enter the end use if not listed." sqref="B238:C293 B146:C203" xr:uid="{00000000-0002-0000-2200-000002000000}"/>
    <dataValidation type="list" allowBlank="1" showInputMessage="1" showErrorMessage="1" promptTitle="Energy Type" sqref="E63:E66 E36:E39" xr:uid="{00000000-0002-0000-2200-000003000000}">
      <formula1>INDEX(PO_Enrgy_1_Table,,1)</formula1>
    </dataValidation>
    <dataValidation type="list" allowBlank="1" showInputMessage="1" promptTitle="Renewable Source" sqref="B63:D66 B36:D39" xr:uid="{00000000-0002-0000-2200-000004000000}">
      <formula1>RenewableSource</formula1>
    </dataValidation>
    <dataValidation allowBlank="1" showErrorMessage="1" promptTitle="Calculated Automatically" prompt="This value is calculated automatically based on the virtual energy rates" sqref="V63:V66 K63:K66 V36:V39 K36:K39" xr:uid="{00000000-0002-0000-2200-000005000000}"/>
    <dataValidation allowBlank="1" showInputMessage="1" sqref="H63:H66 H36:H39" xr:uid="{00000000-0002-0000-2200-000006000000}"/>
    <dataValidation type="list" showInputMessage="1" sqref="D92:D95 D196:D203 D238:D293" xr:uid="{00000000-0002-0000-2200-000007000000}">
      <formula1>" x"</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294" xr:uid="{00000000-0002-0000-2200-000008000000}">
      <formula1>PO_EnergyType</formula1>
    </dataValidation>
    <dataValidation type="list" allowBlank="1" promptTitle="Fossil Fuel" prompt="Select the fossil fuel used within the District Plant for generating District Cooling (if applicable)." sqref="B337" xr:uid="{00000000-0002-0000-2200-000009000000}">
      <formula1>INDEX(PO_Enrgy_1_Table,,1)</formula1>
    </dataValidation>
    <dataValidation allowBlank="1" showErrorMessage="1" sqref="B447 B432:B433 B381 B357 B318 B403 B330 B335 B369 B339 B415" xr:uid="{00000000-0002-0000-2200-00000A000000}"/>
    <dataValidation showInputMessage="1" sqref="X92:X95 V205:V210 V146:V203 D146:D195" xr:uid="{00000000-0002-0000-2200-00000B000000}"/>
    <dataValidation allowBlank="1" showInputMessage="1" showErrorMessage="1" errorTitle="Not a valid energy type" error="This energy type has not yet been listed in the energy sources table above. Please fill out the energy sources table above; then select from the list of energy types." sqref="B92:C95" xr:uid="{00000000-0002-0000-2200-00000C000000}"/>
    <dataValidation type="list" allowBlank="1" showInputMessage="1" showErrorMessage="1" prompt="Select &quot;Add to Baseline&quot; if the exceptional calculation adjusts the Baseline building energy consumption and cost up, or &quot;Subtract from Proposed&quot; if the exceptional calculation adjusts the Proposed building energy consumption and cost down." sqref="AS92:AS95" xr:uid="{00000000-0002-0000-2200-00000D000000}">
      <formula1>"Apply to Baseline, Subtract from Proposed"</formula1>
    </dataValidation>
    <dataValidation allowBlank="1" showInputMessage="1" showErrorMessage="1" prompt="Enter energy savings as a positive number. If the exceptional calculation method leads to energy penalties for this energy type (i.e. increased proposed case energy usage or decreased baseline case usage), enter the penalty as a negative number." sqref="AX92:AZ95 AT92:AV95" xr:uid="{00000000-0002-0000-2200-00000E000000}"/>
    <dataValidation type="list" allowBlank="1" showInputMessage="1" promptTitle="Utility Rate Structure" sqref="F17:F22" xr:uid="{00000000-0002-0000-2200-00000F000000}">
      <formula1>UtilityRateStructure</formula1>
    </dataValidation>
    <dataValidation type="list" allowBlank="1" showInputMessage="1" showErrorMessage="1" errorTitle="Required Input" error="The units must be selected from the provided list." promptTitle="Energy Consumption Units:" sqref="C17:C22" xr:uid="{00000000-0002-0000-2200-000010000000}">
      <formula1>ConsumptionUnits</formula1>
    </dataValidation>
    <dataValidation allowBlank="1" showInputMessage="1" showErrorMessage="1" promptTitle="Utility Rate Name" sqref="J17:J22" xr:uid="{00000000-0002-0000-2200-000011000000}"/>
    <dataValidation type="list" errorStyle="warning" allowBlank="1" showInputMessage="1" showErrorMessage="1" errorTitle="Required Input" error="The units must be selected from the provided list." promptTitle="Select the demand units:" sqref="E17:E22" xr:uid="{00000000-0002-0000-2200-000012000000}">
      <formula1>DemandUnits</formula1>
    </dataValidation>
    <dataValidation type="list" allowBlank="1" showInputMessage="1" showErrorMessage="1" sqref="F92:F95" xr:uid="{00000000-0002-0000-2200-000013000000}">
      <formula1>"Add to Baseline,Add to Proposed,Subtract from Proposed"</formula1>
    </dataValidation>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23:L24" xr:uid="{00000000-0002-0000-2200-000014000000}">
      <formula1>ConsumptionUnits</formula1>
    </dataValidation>
    <dataValidation type="list" allowBlank="1" showInputMessage="1" showErrorMessage="1" promptTitle="Utility Rate Name" sqref="H17:H22" xr:uid="{00000000-0002-0000-2200-000015000000}">
      <formula1>DataSourceSelection</formula1>
    </dataValidation>
    <dataValidation type="list" allowBlank="1" showInputMessage="1" showErrorMessage="1" sqref="I17" xr:uid="{00000000-0002-0000-2200-000016000000}">
      <formula1>INDIRECT($Y$17)</formula1>
    </dataValidation>
    <dataValidation type="list" allowBlank="1" showInputMessage="1" showErrorMessage="1" sqref="I18" xr:uid="{00000000-0002-0000-2200-000017000000}">
      <formula1>INDIRECT($Y$18)</formula1>
    </dataValidation>
    <dataValidation type="list" allowBlank="1" showInputMessage="1" showErrorMessage="1" sqref="I19" xr:uid="{00000000-0002-0000-2200-000018000000}">
      <formula1>INDIRECT($Y$19)</formula1>
    </dataValidation>
    <dataValidation type="list" allowBlank="1" showInputMessage="1" showErrorMessage="1" sqref="I20" xr:uid="{00000000-0002-0000-2200-000019000000}">
      <formula1>INDIRECT($Y$20)</formula1>
    </dataValidation>
    <dataValidation type="list" allowBlank="1" showInputMessage="1" showErrorMessage="1" sqref="I21" xr:uid="{00000000-0002-0000-2200-00001A000000}">
      <formula1>INDIRECT($Y$21)</formula1>
    </dataValidation>
    <dataValidation type="list" allowBlank="1" showInputMessage="1" showErrorMessage="1" sqref="I22" xr:uid="{00000000-0002-0000-2200-00001B000000}">
      <formula1>INDIRECT($Y$22)</formula1>
    </dataValidation>
  </dataValidations>
  <pageMargins left="0.5" right="0.5" top="0.75" bottom="0.75" header="0.5" footer="0.5"/>
  <pageSetup scale="44" fitToHeight="0" orientation="landscape" r:id="rId1"/>
  <headerFooter alignWithMargins="0">
    <oddFooter>&amp;LU S Green Building Council&amp;C&amp;"Arial,Bold"&amp;A&amp;RLEED&amp;XTM&amp;X v. 2.2</oddFooter>
  </headerFooter>
  <cellWatches>
    <cellWatch r="N466"/>
    <cellWatch r="O466"/>
    <cellWatch r="P466"/>
    <cellWatch r="R466"/>
    <cellWatch r="S466"/>
    <cellWatch r="T466"/>
    <cellWatch r="N467"/>
    <cellWatch r="O467"/>
    <cellWatch r="P467"/>
    <cellWatch r="R467"/>
    <cellWatch r="S467"/>
    <cellWatch r="T467"/>
    <cellWatch r="N468"/>
    <cellWatch r="O468"/>
    <cellWatch r="P468"/>
    <cellWatch r="R468"/>
    <cellWatch r="S468"/>
    <cellWatch r="T468"/>
    <cellWatch r="N469"/>
    <cellWatch r="O469"/>
    <cellWatch r="P469"/>
    <cellWatch r="R469"/>
    <cellWatch r="S469"/>
    <cellWatch r="T469"/>
  </cellWatches>
  <ignoredErrors>
    <ignoredError sqref="J19:J22 S18:T22 S17 N63:O6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tnAddUtility">
              <controlPr defaultSize="0" print="0" autoFill="0" autoPict="0" macro="[0]!AddEnergyType">
                <anchor moveWithCells="1" sizeWithCells="1">
                  <from>
                    <xdr:col>17</xdr:col>
                    <xdr:colOff>1082040</xdr:colOff>
                    <xdr:row>24</xdr:row>
                    <xdr:rowOff>99060</xdr:rowOff>
                  </from>
                  <to>
                    <xdr:col>18</xdr:col>
                    <xdr:colOff>937260</xdr:colOff>
                    <xdr:row>24</xdr:row>
                    <xdr:rowOff>365760</xdr:rowOff>
                  </to>
                </anchor>
              </controlPr>
            </control>
          </mc:Choice>
        </mc:AlternateContent>
        <mc:AlternateContent xmlns:mc="http://schemas.openxmlformats.org/markup-compatibility/2006">
          <mc:Choice Requires="x14">
            <control shapeId="139266" r:id="rId5" name="btnDeleteUtility">
              <controlPr defaultSize="0" print="0" autoFill="0" autoPict="0" macro="[0]!DeleteEnergyType">
                <anchor moveWithCells="1" sizeWithCells="1">
                  <from>
                    <xdr:col>18</xdr:col>
                    <xdr:colOff>975360</xdr:colOff>
                    <xdr:row>24</xdr:row>
                    <xdr:rowOff>99060</xdr:rowOff>
                  </from>
                  <to>
                    <xdr:col>20</xdr:col>
                    <xdr:colOff>91440</xdr:colOff>
                    <xdr:row>24</xdr:row>
                    <xdr:rowOff>358140</xdr:rowOff>
                  </to>
                </anchor>
              </controlPr>
            </control>
          </mc:Choice>
        </mc:AlternateContent>
        <mc:AlternateContent xmlns:mc="http://schemas.openxmlformats.org/markup-compatibility/2006">
          <mc:Choice Requires="x14">
            <control shapeId="139269" r:id="rId6" name="rbOutputReporting1">
              <controlPr defaultSize="0" autoFill="0" autoLine="0" autoPict="0" macro="[0]!ShowBaselineTable">
                <anchor moveWithCells="1">
                  <from>
                    <xdr:col>1</xdr:col>
                    <xdr:colOff>129540</xdr:colOff>
                    <xdr:row>125</xdr:row>
                    <xdr:rowOff>60960</xdr:rowOff>
                  </from>
                  <to>
                    <xdr:col>1</xdr:col>
                    <xdr:colOff>472440</xdr:colOff>
                    <xdr:row>125</xdr:row>
                    <xdr:rowOff>266700</xdr:rowOff>
                  </to>
                </anchor>
              </controlPr>
            </control>
          </mc:Choice>
        </mc:AlternateContent>
        <mc:AlternateContent xmlns:mc="http://schemas.openxmlformats.org/markup-compatibility/2006">
          <mc:Choice Requires="x14">
            <control shapeId="139270" r:id="rId7" name="rbOutputReporting2">
              <controlPr defaultSize="0" autoFill="0" autoLine="0" autoPict="0" macro="[0]!HideBaselineTable">
                <anchor moveWithCells="1">
                  <from>
                    <xdr:col>1</xdr:col>
                    <xdr:colOff>99060</xdr:colOff>
                    <xdr:row>126</xdr:row>
                    <xdr:rowOff>60960</xdr:rowOff>
                  </from>
                  <to>
                    <xdr:col>1</xdr:col>
                    <xdr:colOff>419100</xdr:colOff>
                    <xdr:row>127</xdr:row>
                    <xdr:rowOff>190500</xdr:rowOff>
                  </to>
                </anchor>
              </controlPr>
            </control>
          </mc:Choice>
        </mc:AlternateContent>
        <mc:AlternateContent xmlns:mc="http://schemas.openxmlformats.org/markup-compatibility/2006">
          <mc:Choice Requires="x14">
            <control shapeId="139271" r:id="rId8" name="rbOutputReporting4">
              <controlPr defaultSize="0" autoFill="0" autoLine="0" autoPict="0" macro="[0]!HideBaselineTable">
                <anchor moveWithCells="1">
                  <from>
                    <xdr:col>1</xdr:col>
                    <xdr:colOff>99060</xdr:colOff>
                    <xdr:row>130</xdr:row>
                    <xdr:rowOff>60960</xdr:rowOff>
                  </from>
                  <to>
                    <xdr:col>1</xdr:col>
                    <xdr:colOff>441960</xdr:colOff>
                    <xdr:row>131</xdr:row>
                    <xdr:rowOff>213360</xdr:rowOff>
                  </to>
                </anchor>
              </controlPr>
            </control>
          </mc:Choice>
        </mc:AlternateContent>
        <mc:AlternateContent xmlns:mc="http://schemas.openxmlformats.org/markup-compatibility/2006">
          <mc:Choice Requires="x14">
            <control shapeId="139272" r:id="rId9" name="rbgOutputReporting">
              <controlPr defaultSize="0" print="0" autoFill="0" autoPict="0">
                <anchor moveWithCells="1">
                  <from>
                    <xdr:col>0</xdr:col>
                    <xdr:colOff>137160</xdr:colOff>
                    <xdr:row>123</xdr:row>
                    <xdr:rowOff>365760</xdr:rowOff>
                  </from>
                  <to>
                    <xdr:col>15</xdr:col>
                    <xdr:colOff>975360</xdr:colOff>
                    <xdr:row>133</xdr:row>
                    <xdr:rowOff>0</xdr:rowOff>
                  </to>
                </anchor>
              </controlPr>
            </control>
          </mc:Choice>
        </mc:AlternateContent>
        <mc:AlternateContent xmlns:mc="http://schemas.openxmlformats.org/markup-compatibility/2006">
          <mc:Choice Requires="x14">
            <control shapeId="139273" r:id="rId10" name="SiteRenewable Checkbox">
              <controlPr defaultSize="0" autoFill="0" autoLine="0" autoPict="0" macro="[0]!SiteRenewable_Change">
                <anchor moveWithCells="1">
                  <from>
                    <xdr:col>1</xdr:col>
                    <xdr:colOff>60960</xdr:colOff>
                    <xdr:row>54</xdr:row>
                    <xdr:rowOff>99060</xdr:rowOff>
                  </from>
                  <to>
                    <xdr:col>1</xdr:col>
                    <xdr:colOff>396240</xdr:colOff>
                    <xdr:row>55</xdr:row>
                    <xdr:rowOff>205740</xdr:rowOff>
                  </to>
                </anchor>
              </controlPr>
            </control>
          </mc:Choice>
        </mc:AlternateContent>
        <mc:AlternateContent xmlns:mc="http://schemas.openxmlformats.org/markup-compatibility/2006">
          <mc:Choice Requires="x14">
            <control shapeId="139274" r:id="rId11" name="ExcCalcCheckbox">
              <controlPr locked="0" defaultSize="0" autoFill="0" autoLine="0" autoPict="0" macro="[0]!ExCalc_Change">
                <anchor moveWithCells="1">
                  <from>
                    <xdr:col>1</xdr:col>
                    <xdr:colOff>22860</xdr:colOff>
                    <xdr:row>81</xdr:row>
                    <xdr:rowOff>76200</xdr:rowOff>
                  </from>
                  <to>
                    <xdr:col>1</xdr:col>
                    <xdr:colOff>403860</xdr:colOff>
                    <xdr:row>82</xdr:row>
                    <xdr:rowOff>251460</xdr:rowOff>
                  </to>
                </anchor>
              </controlPr>
            </control>
          </mc:Choice>
        </mc:AlternateContent>
        <mc:AlternateContent xmlns:mc="http://schemas.openxmlformats.org/markup-compatibility/2006">
          <mc:Choice Requires="x14">
            <control shapeId="139275" r:id="rId12" name="rbOutputReporting3">
              <controlPr defaultSize="0" autoFill="0" autoLine="0" autoPict="0" macro="[0]!HideBaselineTable">
                <anchor moveWithCells="1">
                  <from>
                    <xdr:col>1</xdr:col>
                    <xdr:colOff>99060</xdr:colOff>
                    <xdr:row>128</xdr:row>
                    <xdr:rowOff>60960</xdr:rowOff>
                  </from>
                  <to>
                    <xdr:col>1</xdr:col>
                    <xdr:colOff>419100</xdr:colOff>
                    <xdr:row>129</xdr:row>
                    <xdr:rowOff>213360</xdr:rowOff>
                  </to>
                </anchor>
              </controlPr>
            </control>
          </mc:Choice>
        </mc:AlternateContent>
        <mc:AlternateContent xmlns:mc="http://schemas.openxmlformats.org/markup-compatibility/2006">
          <mc:Choice Requires="x14">
            <control shapeId="139292" r:id="rId13" name="btnRestoreExCalCost">
              <controlPr defaultSize="0" print="0" autoFill="0" autoPict="0" macro="[0]!Copy_Default_PO_VR_Table">
                <anchor moveWithCells="1">
                  <from>
                    <xdr:col>10</xdr:col>
                    <xdr:colOff>518160</xdr:colOff>
                    <xdr:row>316</xdr:row>
                    <xdr:rowOff>137160</xdr:rowOff>
                  </from>
                  <to>
                    <xdr:col>12</xdr:col>
                    <xdr:colOff>289560</xdr:colOff>
                    <xdr:row>317</xdr:row>
                    <xdr:rowOff>0</xdr:rowOff>
                  </to>
                </anchor>
              </controlPr>
            </control>
          </mc:Choice>
        </mc:AlternateContent>
        <mc:AlternateContent xmlns:mc="http://schemas.openxmlformats.org/markup-compatibility/2006">
          <mc:Choice Requires="x14">
            <control shapeId="139397" r:id="rId14" name="Check Box 133">
              <controlPr defaultSize="0" autoFill="0" autoLine="0" autoPict="0" macro="[0]!offSiteRenewable_Change">
                <anchor moveWithCells="1">
                  <from>
                    <xdr:col>1</xdr:col>
                    <xdr:colOff>60960</xdr:colOff>
                    <xdr:row>27</xdr:row>
                    <xdr:rowOff>205740</xdr:rowOff>
                  </from>
                  <to>
                    <xdr:col>1</xdr:col>
                    <xdr:colOff>403860</xdr:colOff>
                    <xdr:row>28</xdr:row>
                    <xdr:rowOff>213360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Invalid Entry" error="Please select from the list of values shown." promptTitle="Project Energy Types" xr:uid="{00000000-0002-0000-2200-00001C000000}">
          <x14:formula1>
            <xm:f>DropdownData!$B$2:$B$8</xm:f>
          </x14:formula1>
          <xm:sqref>B17:B22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Tabelle5"/>
  <dimension ref="A1:M7"/>
  <sheetViews>
    <sheetView workbookViewId="0">
      <selection activeCell="B7" sqref="B7"/>
    </sheetView>
  </sheetViews>
  <sheetFormatPr defaultColWidth="11" defaultRowHeight="13.8" x14ac:dyDescent="0.25"/>
  <cols>
    <col min="1" max="1" width="2.19921875" customWidth="1"/>
  </cols>
  <sheetData>
    <row r="1" spans="1:13" x14ac:dyDescent="0.25">
      <c r="A1" s="331" t="s">
        <v>1038</v>
      </c>
      <c r="B1" s="276"/>
      <c r="C1" s="276"/>
      <c r="D1" s="276"/>
      <c r="E1" s="276"/>
      <c r="F1" s="276"/>
      <c r="G1" s="276"/>
      <c r="H1" s="276"/>
      <c r="I1" s="276"/>
      <c r="J1" s="276"/>
      <c r="K1" s="276"/>
      <c r="L1" s="276"/>
      <c r="M1" s="276"/>
    </row>
    <row r="2" spans="1:13" ht="25.2" x14ac:dyDescent="0.25">
      <c r="A2" s="331" t="s">
        <v>1038</v>
      </c>
      <c r="B2" s="30" t="s">
        <v>3444</v>
      </c>
      <c r="C2" s="276"/>
      <c r="D2" s="280"/>
      <c r="E2" s="280"/>
      <c r="F2" s="280"/>
      <c r="G2" s="280"/>
      <c r="H2" s="280"/>
      <c r="I2" s="280"/>
      <c r="J2" s="280"/>
      <c r="K2" s="280"/>
      <c r="L2" s="280"/>
      <c r="M2" s="280"/>
    </row>
    <row r="3" spans="1:13" x14ac:dyDescent="0.25">
      <c r="A3" s="331" t="s">
        <v>1038</v>
      </c>
      <c r="B3" s="276"/>
      <c r="C3" s="276"/>
      <c r="D3" s="276"/>
      <c r="E3" s="276"/>
      <c r="F3" s="276"/>
      <c r="G3" s="276"/>
      <c r="H3" s="276"/>
      <c r="I3" s="276"/>
      <c r="J3" s="276"/>
      <c r="K3" s="276"/>
      <c r="L3" s="276"/>
      <c r="M3" s="276"/>
    </row>
    <row r="6" spans="1:13" ht="14.4" thickBot="1" x14ac:dyDescent="0.3"/>
    <row r="7" spans="1:13" ht="14.4" thickBot="1" x14ac:dyDescent="0.3">
      <c r="B7" s="3033">
        <v>1</v>
      </c>
      <c r="C7" s="3030" t="s">
        <v>3446</v>
      </c>
      <c r="D7" s="3031">
        <f>1/VLOOKUP(C7,DropdownData!EU2:EV8,2,0)</f>
        <v>3.4121416351330751E-3</v>
      </c>
      <c r="E7" s="3032" t="s">
        <v>3445</v>
      </c>
    </row>
  </sheetData>
  <sheetProtection algorithmName="SHA-512" hashValue="n9FcO8sU3eP42kxVLGOInXbm/57/Vc/jpQITRJZKA36v/P6jF32uqs2hbliT9sSpPoh5rF1blvSQxbE+jr1gPw==" saltValue="YE7EYSb33TZXEIiHtTpOsg==" spinCount="100000" sheet="1" objects="1" scenarios="1"/>
  <pageMargins left="0.7" right="0.7" top="0.78740157499999996" bottom="0.78740157499999996"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DropdownData!$EU$2:$EU$8</xm:f>
          </x14:formula1>
          <xm:sqref>C7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1">
    <tabColor theme="5" tint="0.39997558519241921"/>
  </sheetPr>
  <dimension ref="A1:Y79"/>
  <sheetViews>
    <sheetView workbookViewId="0"/>
  </sheetViews>
  <sheetFormatPr defaultColWidth="9" defaultRowHeight="13.8" x14ac:dyDescent="0.25"/>
  <cols>
    <col min="2" max="2" width="12.296875" bestFit="1" customWidth="1"/>
    <col min="3" max="3" width="16.796875" customWidth="1"/>
    <col min="4" max="23" width="12" customWidth="1"/>
  </cols>
  <sheetData>
    <row r="1" spans="1:23" x14ac:dyDescent="0.2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row>
    <row r="3" spans="1:23" ht="22.5" customHeight="1" x14ac:dyDescent="0.25">
      <c r="B3" s="4028" t="s">
        <v>2647</v>
      </c>
      <c r="C3" s="4028"/>
      <c r="D3" s="4029" t="s">
        <v>2648</v>
      </c>
      <c r="E3" s="4029"/>
      <c r="F3" s="4029"/>
      <c r="G3" s="4029"/>
      <c r="H3" s="4029"/>
      <c r="I3" s="4029"/>
      <c r="J3" s="4029"/>
      <c r="K3" s="4029"/>
      <c r="L3" s="4029"/>
      <c r="M3" s="4029"/>
      <c r="N3" s="4029"/>
      <c r="O3" s="4029"/>
      <c r="P3" s="4029"/>
      <c r="Q3" s="4029"/>
      <c r="R3" s="4029"/>
      <c r="S3" s="4029"/>
      <c r="T3" s="4029"/>
      <c r="U3" s="4029"/>
      <c r="V3" s="4029"/>
      <c r="W3" s="4029"/>
    </row>
    <row r="4" spans="1:23" ht="27.6" x14ac:dyDescent="0.25">
      <c r="B4" s="4030" t="s">
        <v>106</v>
      </c>
      <c r="C4" s="4031"/>
      <c r="D4" s="1904" t="s">
        <v>2626</v>
      </c>
      <c r="E4" s="1905" t="s">
        <v>2627</v>
      </c>
      <c r="F4" s="1905" t="s">
        <v>2628</v>
      </c>
      <c r="G4" s="1905" t="s">
        <v>2629</v>
      </c>
      <c r="H4" s="1920" t="s">
        <v>2636</v>
      </c>
      <c r="I4" s="1919" t="s">
        <v>2638</v>
      </c>
      <c r="J4" s="1921" t="s">
        <v>2630</v>
      </c>
      <c r="K4" s="1905" t="s">
        <v>1978</v>
      </c>
      <c r="L4" s="1905" t="s">
        <v>2665</v>
      </c>
      <c r="M4" s="1905" t="s">
        <v>2637</v>
      </c>
      <c r="N4" s="1919" t="s">
        <v>2631</v>
      </c>
      <c r="O4" s="1905" t="s">
        <v>387</v>
      </c>
      <c r="P4" s="1905" t="s">
        <v>2632</v>
      </c>
      <c r="Q4" s="1904" t="s">
        <v>2633</v>
      </c>
      <c r="R4" s="1905" t="s">
        <v>2634</v>
      </c>
      <c r="S4" s="1904" t="s">
        <v>378</v>
      </c>
      <c r="T4" s="1904" t="s">
        <v>910</v>
      </c>
      <c r="U4" s="1904" t="s">
        <v>2635</v>
      </c>
      <c r="V4" s="1905" t="s">
        <v>15</v>
      </c>
      <c r="W4" s="1905" t="s">
        <v>2649</v>
      </c>
    </row>
    <row r="5" spans="1:23" x14ac:dyDescent="0.25">
      <c r="B5" s="1906" t="s">
        <v>2650</v>
      </c>
      <c r="C5" s="1906" t="s">
        <v>2651</v>
      </c>
      <c r="D5" s="1907">
        <v>3.400673442</v>
      </c>
      <c r="E5" s="1908">
        <v>2.0497325260000001</v>
      </c>
      <c r="F5" s="1908">
        <v>11.07698497</v>
      </c>
      <c r="G5" s="1908">
        <v>9.7048652559999997</v>
      </c>
      <c r="H5" s="1908">
        <v>0</v>
      </c>
      <c r="I5" s="1922">
        <f>G5+H5</f>
        <v>9.7048652559999997</v>
      </c>
      <c r="J5" s="1908">
        <v>5.1329011351175131</v>
      </c>
      <c r="K5" s="1908">
        <v>0</v>
      </c>
      <c r="L5" s="1908">
        <v>6.6386607806526179</v>
      </c>
      <c r="M5" s="1908">
        <v>0</v>
      </c>
      <c r="N5" s="1922">
        <f>L5+M5</f>
        <v>6.6386607806526179</v>
      </c>
      <c r="O5" s="1908">
        <v>0</v>
      </c>
      <c r="P5" s="1908">
        <v>0</v>
      </c>
      <c r="Q5" s="1907">
        <v>3.6409424406179123</v>
      </c>
      <c r="R5" s="1908">
        <v>0</v>
      </c>
      <c r="S5" s="1907">
        <v>0</v>
      </c>
      <c r="T5" s="1907">
        <v>0</v>
      </c>
      <c r="U5" s="1907">
        <v>10.903869648531787</v>
      </c>
      <c r="V5" s="1908">
        <v>52.548630198919838</v>
      </c>
      <c r="W5" s="1909">
        <v>0.23138567210488928</v>
      </c>
    </row>
    <row r="6" spans="1:23" x14ac:dyDescent="0.25">
      <c r="B6" s="1910"/>
      <c r="C6" s="1910" t="s">
        <v>2652</v>
      </c>
      <c r="D6" s="1911">
        <v>3.1704590850000001</v>
      </c>
      <c r="E6" s="1912">
        <v>2.3986648860000002</v>
      </c>
      <c r="F6" s="1912">
        <v>12.43616694</v>
      </c>
      <c r="G6" s="1912">
        <v>11.423244889999999</v>
      </c>
      <c r="H6" s="1912">
        <v>0</v>
      </c>
      <c r="I6" s="1922">
        <f t="shared" ref="I6:I27" si="0">G6+H6</f>
        <v>11.423244889999999</v>
      </c>
      <c r="J6" s="1912">
        <v>5.4521241511760241</v>
      </c>
      <c r="K6" s="1912">
        <v>0.25726473266786798</v>
      </c>
      <c r="L6" s="1912">
        <v>7.3243460463296666</v>
      </c>
      <c r="M6" s="1912">
        <v>0</v>
      </c>
      <c r="N6" s="1922">
        <f t="shared" ref="N6:N27" si="1">L6+M6</f>
        <v>7.3243460463296666</v>
      </c>
      <c r="O6" s="1912">
        <v>0.82619180861153263</v>
      </c>
      <c r="P6" s="1912">
        <v>0</v>
      </c>
      <c r="Q6" s="1911">
        <v>1.8323394492391682</v>
      </c>
      <c r="R6" s="1912">
        <v>0.40659291729893776</v>
      </c>
      <c r="S6" s="1911">
        <v>0</v>
      </c>
      <c r="T6" s="1911">
        <v>0</v>
      </c>
      <c r="U6" s="1911">
        <v>10.950199897782836</v>
      </c>
      <c r="V6" s="1912">
        <v>56.47759480410604</v>
      </c>
      <c r="W6" s="1913">
        <v>0.27946667242036716</v>
      </c>
    </row>
    <row r="7" spans="1:23" x14ac:dyDescent="0.25">
      <c r="A7" t="s">
        <v>61</v>
      </c>
      <c r="C7" s="1910" t="s">
        <v>2666</v>
      </c>
      <c r="D7" s="1911">
        <f>SUMPRODUCT(D5:D6,$V5:$V6)/SUM($V5:$V6)</f>
        <v>3.2814181603246695</v>
      </c>
      <c r="E7" s="1912">
        <f t="shared" ref="E7:W7" si="2">SUMPRODUCT(E5:E6,$V5:$V6)/SUM($V5:$V6)</f>
        <v>2.2304859221812725</v>
      </c>
      <c r="F7" s="1912">
        <f t="shared" si="2"/>
        <v>11.781066291393786</v>
      </c>
      <c r="G7" s="1912">
        <f t="shared" si="2"/>
        <v>10.595017590321277</v>
      </c>
      <c r="H7" s="1912">
        <f t="shared" si="2"/>
        <v>0</v>
      </c>
      <c r="I7" s="1922">
        <f t="shared" si="2"/>
        <v>10.595017590321277</v>
      </c>
      <c r="J7" s="1912">
        <f t="shared" si="2"/>
        <v>5.2982645433488527</v>
      </c>
      <c r="K7" s="1912">
        <f t="shared" si="2"/>
        <v>0.13326787503281215</v>
      </c>
      <c r="L7" s="1912">
        <f t="shared" si="2"/>
        <v>6.9938583911080787</v>
      </c>
      <c r="M7" s="1912">
        <f t="shared" si="2"/>
        <v>0</v>
      </c>
      <c r="N7" s="1922">
        <f t="shared" si="2"/>
        <v>6.9938583911080787</v>
      </c>
      <c r="O7" s="1912">
        <f t="shared" si="2"/>
        <v>0.42798259038996028</v>
      </c>
      <c r="P7" s="1912">
        <f t="shared" si="2"/>
        <v>0</v>
      </c>
      <c r="Q7" s="1911">
        <f t="shared" si="2"/>
        <v>2.7040527436138397</v>
      </c>
      <c r="R7" s="1912">
        <f t="shared" si="2"/>
        <v>0.21062262802175796</v>
      </c>
      <c r="S7" s="1911">
        <f t="shared" si="2"/>
        <v>0</v>
      </c>
      <c r="T7" s="1911">
        <f t="shared" si="2"/>
        <v>0</v>
      </c>
      <c r="U7" s="1911">
        <f t="shared" si="2"/>
        <v>10.927869571892442</v>
      </c>
      <c r="V7" s="1912">
        <f t="shared" si="2"/>
        <v>54.583906307628752</v>
      </c>
      <c r="W7" s="1913">
        <f t="shared" si="2"/>
        <v>0.25629251679769866</v>
      </c>
    </row>
    <row r="8" spans="1:23" x14ac:dyDescent="0.25">
      <c r="B8" s="1906" t="s">
        <v>878</v>
      </c>
      <c r="C8" s="1906" t="s">
        <v>57</v>
      </c>
      <c r="D8" s="1907">
        <v>16.420497780000002</v>
      </c>
      <c r="E8" s="1908">
        <v>1.0263596239999999</v>
      </c>
      <c r="F8" s="1908">
        <v>4.8278698970000002</v>
      </c>
      <c r="G8" s="1908">
        <v>53.04110996</v>
      </c>
      <c r="H8" s="1908">
        <v>7.4638269399999997</v>
      </c>
      <c r="I8" s="1922">
        <f t="shared" si="0"/>
        <v>60.504936899999997</v>
      </c>
      <c r="J8" s="1908">
        <v>16.008226649165014</v>
      </c>
      <c r="K8" s="1908">
        <v>2.4664036132355562</v>
      </c>
      <c r="L8" s="1908">
        <v>17.163190371882518</v>
      </c>
      <c r="M8" s="1908">
        <v>0</v>
      </c>
      <c r="N8" s="1922">
        <f t="shared" si="1"/>
        <v>17.163190371882518</v>
      </c>
      <c r="O8" s="1908">
        <v>4.4795131117469493</v>
      </c>
      <c r="P8" s="1908">
        <v>1.0435172832042565</v>
      </c>
      <c r="Q8" s="1907">
        <v>9.9723134562589788</v>
      </c>
      <c r="R8" s="1908">
        <v>0.68132064049424235</v>
      </c>
      <c r="S8" s="1907">
        <v>16.988614125821439</v>
      </c>
      <c r="T8" s="1907">
        <v>0</v>
      </c>
      <c r="U8" s="1907">
        <v>21.584459558713572</v>
      </c>
      <c r="V8" s="1908">
        <v>173.16722301152254</v>
      </c>
      <c r="W8" s="1909">
        <v>0.17848792406481528</v>
      </c>
    </row>
    <row r="9" spans="1:23" x14ac:dyDescent="0.25">
      <c r="B9" s="1914"/>
      <c r="C9" s="1914" t="s">
        <v>2653</v>
      </c>
      <c r="D9" s="1911">
        <v>14.15332733</v>
      </c>
      <c r="E9" s="1912">
        <v>5.2526237370000004</v>
      </c>
      <c r="F9" s="1912">
        <v>2.9571542289999999</v>
      </c>
      <c r="G9" s="1912">
        <v>42.443957959999999</v>
      </c>
      <c r="H9" s="1912">
        <v>5.0664688619999998</v>
      </c>
      <c r="I9" s="1922">
        <f t="shared" si="0"/>
        <v>47.510426821999999</v>
      </c>
      <c r="J9" s="1912">
        <v>28.327955966394761</v>
      </c>
      <c r="K9" s="1912">
        <v>0</v>
      </c>
      <c r="L9" s="1912">
        <v>13.404308647975382</v>
      </c>
      <c r="M9" s="1912">
        <v>0</v>
      </c>
      <c r="N9" s="1922">
        <f t="shared" si="1"/>
        <v>13.404308647975382</v>
      </c>
      <c r="O9" s="1912">
        <v>0.43713980486494408</v>
      </c>
      <c r="P9" s="1912">
        <v>0</v>
      </c>
      <c r="Q9" s="1911">
        <v>15.096741643465389</v>
      </c>
      <c r="R9" s="1912">
        <v>0</v>
      </c>
      <c r="S9" s="1911">
        <v>0</v>
      </c>
      <c r="T9" s="1911">
        <v>0</v>
      </c>
      <c r="U9" s="1911">
        <v>32.18137152998257</v>
      </c>
      <c r="V9" s="1912">
        <v>159.32104971068304</v>
      </c>
      <c r="W9" s="1913">
        <v>0.18710373737855782</v>
      </c>
    </row>
    <row r="10" spans="1:23" x14ac:dyDescent="0.25">
      <c r="A10" t="s">
        <v>2342</v>
      </c>
      <c r="C10" s="1910" t="s">
        <v>2666</v>
      </c>
      <c r="D10" s="1911">
        <f>SUMPRODUCT(D8:D9,$V8:$V9)/SUM($V8:$V9)</f>
        <v>15.334119686091013</v>
      </c>
      <c r="E10" s="1912">
        <f t="shared" ref="E10" si="3">SUMPRODUCT(E8:E9,$V8:$V9)/SUM($V8:$V9)</f>
        <v>3.0514922078500155</v>
      </c>
      <c r="F10" s="1912">
        <f t="shared" ref="F10" si="4">SUMPRODUCT(F8:F9,$V8:$V9)/SUM($V8:$V9)</f>
        <v>3.9314641937378036</v>
      </c>
      <c r="G10" s="1912">
        <f t="shared" ref="G10" si="5">SUMPRODUCT(G8:G9,$V8:$V9)/SUM($V8:$V9)</f>
        <v>47.963188363666639</v>
      </c>
      <c r="H10" s="1912">
        <f t="shared" ref="H10" si="6">SUMPRODUCT(H8:H9,$V8:$V9)/SUM($V8:$V9)</f>
        <v>6.3150658050818222</v>
      </c>
      <c r="I10" s="1922">
        <f t="shared" ref="I10" si="7">SUMPRODUCT(I8:I9,$V8:$V9)/SUM($V8:$V9)</f>
        <v>54.278254168748447</v>
      </c>
      <c r="J10" s="1912">
        <f t="shared" ref="J10" si="8">SUMPRODUCT(J8:J9,$V8:$V9)/SUM($V8:$V9)</f>
        <v>21.911569317170738</v>
      </c>
      <c r="K10" s="1912">
        <f t="shared" ref="K10" si="9">SUMPRODUCT(K8:K9,$V8:$V9)/SUM($V8:$V9)</f>
        <v>1.2845573801227852</v>
      </c>
      <c r="L10" s="1912">
        <f t="shared" ref="L10" si="10">SUMPRODUCT(L8:L9,$V8:$V9)/SUM($V8:$V9)</f>
        <v>15.362017124212688</v>
      </c>
      <c r="M10" s="1912">
        <f t="shared" ref="M10" si="11">SUMPRODUCT(M8:M9,$V8:$V9)/SUM($V8:$V9)</f>
        <v>0</v>
      </c>
      <c r="N10" s="1922">
        <f t="shared" ref="N10" si="12">SUMPRODUCT(N8:N9,$V8:$V9)/SUM($V8:$V9)</f>
        <v>15.362017124212688</v>
      </c>
      <c r="O10" s="1912">
        <f t="shared" ref="O10" si="13">SUMPRODUCT(O8:O9,$V8:$V9)/SUM($V8:$V9)</f>
        <v>2.5424969478325656</v>
      </c>
      <c r="P10" s="1912">
        <f t="shared" ref="P10" si="14">SUMPRODUCT(P8:P9,$V8:$V9)/SUM($V8:$V9)</f>
        <v>0.54348680817379447</v>
      </c>
      <c r="Q10" s="1911">
        <f t="shared" ref="Q10" si="15">SUMPRODUCT(Q8:Q9,$V8:$V9)/SUM($V8:$V9)</f>
        <v>12.427826462081191</v>
      </c>
      <c r="R10" s="1912">
        <f t="shared" ref="R10" si="16">SUMPRODUCT(R8:R9,$V8:$V9)/SUM($V8:$V9)</f>
        <v>0.35484681107352711</v>
      </c>
      <c r="S10" s="1911">
        <f t="shared" ref="S10" si="17">SUMPRODUCT(S8:S9,$V8:$V9)/SUM($V8:$V9)</f>
        <v>8.8480447953746655</v>
      </c>
      <c r="T10" s="1911">
        <f t="shared" ref="T10" si="18">SUMPRODUCT(T8:T9,$V8:$V9)/SUM($V8:$V9)</f>
        <v>0</v>
      </c>
      <c r="U10" s="1911">
        <f t="shared" ref="U10" si="19">SUMPRODUCT(U8:U9,$V8:$V9)/SUM($V8:$V9)</f>
        <v>26.662266138571098</v>
      </c>
      <c r="V10" s="1912">
        <f t="shared" ref="V10" si="20">SUMPRODUCT(V8:V9,$V8:$V9)/SUM($V8:$V9)</f>
        <v>166.53244204104035</v>
      </c>
      <c r="W10" s="1913">
        <f t="shared" ref="W10" si="21">SUMPRODUCT(W8:W9,$V8:$V9)/SUM($V8:$V9)</f>
        <v>0.18261643184651263</v>
      </c>
    </row>
    <row r="11" spans="1:23" x14ac:dyDescent="0.25">
      <c r="B11" s="1906" t="s">
        <v>2216</v>
      </c>
      <c r="C11" s="1906" t="s">
        <v>2654</v>
      </c>
      <c r="D11" s="1907">
        <v>11.27571893</v>
      </c>
      <c r="E11" s="1908">
        <v>2.375318751</v>
      </c>
      <c r="F11" s="1908">
        <v>16.986839939999999</v>
      </c>
      <c r="G11" s="1908">
        <v>23.287102919999999</v>
      </c>
      <c r="H11" s="1908">
        <v>0</v>
      </c>
      <c r="I11" s="1922">
        <f t="shared" si="0"/>
        <v>23.287102919999999</v>
      </c>
      <c r="J11" s="1908">
        <v>17.189910940058958</v>
      </c>
      <c r="K11" s="1908">
        <v>0</v>
      </c>
      <c r="L11" s="1908">
        <v>7.8454534007533576</v>
      </c>
      <c r="M11" s="1908">
        <v>3.9195049549623322</v>
      </c>
      <c r="N11" s="1922">
        <f t="shared" si="1"/>
        <v>11.76495835571569</v>
      </c>
      <c r="O11" s="1908">
        <v>1.8294852988863415</v>
      </c>
      <c r="P11" s="1908">
        <v>0.7994606177530299</v>
      </c>
      <c r="Q11" s="1907">
        <v>7.5937691377333767</v>
      </c>
      <c r="R11" s="1908">
        <v>0.44441758131346221</v>
      </c>
      <c r="S11" s="1907">
        <v>19.803352735924612</v>
      </c>
      <c r="T11" s="1907">
        <v>0</v>
      </c>
      <c r="U11" s="1907">
        <v>7.4458244095061108</v>
      </c>
      <c r="V11" s="1908">
        <v>120.79615961789156</v>
      </c>
      <c r="W11" s="1909">
        <v>0.19357586285323519</v>
      </c>
    </row>
    <row r="12" spans="1:23" x14ac:dyDescent="0.25">
      <c r="B12" s="1910"/>
      <c r="C12" s="1910" t="s">
        <v>2655</v>
      </c>
      <c r="D12" s="1911">
        <v>10.92771031</v>
      </c>
      <c r="E12" s="1912">
        <v>2.090873422</v>
      </c>
      <c r="F12" s="1912">
        <v>13.13367994</v>
      </c>
      <c r="G12" s="1912">
        <v>9.9881969159999997</v>
      </c>
      <c r="H12" s="1912">
        <v>0</v>
      </c>
      <c r="I12" s="1922">
        <f t="shared" si="0"/>
        <v>9.9881969159999997</v>
      </c>
      <c r="J12" s="1912">
        <v>7.9145089046803383</v>
      </c>
      <c r="K12" s="1912">
        <v>0</v>
      </c>
      <c r="L12" s="1912">
        <v>6.511596039535207</v>
      </c>
      <c r="M12" s="1912">
        <v>0</v>
      </c>
      <c r="N12" s="1922">
        <f t="shared" si="1"/>
        <v>6.511596039535207</v>
      </c>
      <c r="O12" s="1912">
        <v>5.7055740012036471E-3</v>
      </c>
      <c r="P12" s="1912">
        <v>0</v>
      </c>
      <c r="Q12" s="1911">
        <v>5.6869727610347303</v>
      </c>
      <c r="R12" s="1912">
        <v>0</v>
      </c>
      <c r="S12" s="1911">
        <v>0</v>
      </c>
      <c r="T12" s="1911">
        <v>0</v>
      </c>
      <c r="U12" s="1911">
        <v>16.769679724961289</v>
      </c>
      <c r="V12" s="1912">
        <v>73.028923592212763</v>
      </c>
      <c r="W12" s="1913">
        <v>0.18280635362367731</v>
      </c>
    </row>
    <row r="13" spans="1:23" x14ac:dyDescent="0.25">
      <c r="A13" t="s">
        <v>1645</v>
      </c>
      <c r="C13" s="1910" t="s">
        <v>2666</v>
      </c>
      <c r="D13" s="1911">
        <f>SUMPRODUCT(D11:D12,$V11:$V12)/SUM($V11:$V12)</f>
        <v>11.144597124202233</v>
      </c>
      <c r="E13" s="1912">
        <f t="shared" ref="E13" si="22">SUMPRODUCT(E11:E12,$V11:$V12)/SUM($V11:$V12)</f>
        <v>2.2681461608807667</v>
      </c>
      <c r="F13" s="1912">
        <f t="shared" ref="F13" si="23">SUMPRODUCT(F11:F12,$V11:$V12)/SUM($V11:$V12)</f>
        <v>15.535056081233153</v>
      </c>
      <c r="G13" s="1912">
        <f t="shared" ref="G13" si="24">SUMPRODUCT(G11:G12,$V11:$V12)/SUM($V11:$V12)</f>
        <v>18.276374822577438</v>
      </c>
      <c r="H13" s="1912">
        <f t="shared" ref="H13" si="25">SUMPRODUCT(H11:H12,$V11:$V12)/SUM($V11:$V12)</f>
        <v>0</v>
      </c>
      <c r="I13" s="1922">
        <f t="shared" ref="I13" si="26">SUMPRODUCT(I11:I12,$V11:$V12)/SUM($V11:$V12)</f>
        <v>18.276374822577438</v>
      </c>
      <c r="J13" s="1912">
        <f t="shared" ref="J13" si="27">SUMPRODUCT(J11:J12,$V11:$V12)/SUM($V11:$V12)</f>
        <v>13.695148470154816</v>
      </c>
      <c r="K13" s="1912">
        <f t="shared" ref="K13" si="28">SUMPRODUCT(K11:K12,$V11:$V12)/SUM($V11:$V12)</f>
        <v>0</v>
      </c>
      <c r="L13" s="1912">
        <f t="shared" ref="L13" si="29">SUMPRODUCT(L11:L12,$V11:$V12)/SUM($V11:$V12)</f>
        <v>7.3428860049239999</v>
      </c>
      <c r="M13" s="1912">
        <f t="shared" ref="M13" si="30">SUMPRODUCT(M11:M12,$V11:$V12)/SUM($V11:$V12)</f>
        <v>2.4427238122194943</v>
      </c>
      <c r="N13" s="1922">
        <f t="shared" ref="N13" si="31">SUMPRODUCT(N11:N12,$V11:$V12)/SUM($V11:$V12)</f>
        <v>9.7856098171434933</v>
      </c>
      <c r="O13" s="1912">
        <f t="shared" ref="O13" si="32">SUMPRODUCT(O11:O12,$V11:$V12)/SUM($V11:$V12)</f>
        <v>1.1423261966080858</v>
      </c>
      <c r="P13" s="1912">
        <f t="shared" ref="P13" si="33">SUMPRODUCT(P11:P12,$V11:$V12)/SUM($V11:$V12)</f>
        <v>0.49824187247029539</v>
      </c>
      <c r="Q13" s="1911">
        <f t="shared" ref="Q13" si="34">SUMPRODUCT(Q11:Q12,$V11:$V12)/SUM($V11:$V12)</f>
        <v>6.8753312317948216</v>
      </c>
      <c r="R13" s="1912">
        <f t="shared" ref="R13" si="35">SUMPRODUCT(R11:R12,$V11:$V12)/SUM($V11:$V12)</f>
        <v>0.27697105142550343</v>
      </c>
      <c r="S13" s="1911">
        <f t="shared" ref="S13" si="36">SUMPRODUCT(S11:S12,$V11:$V12)/SUM($V11:$V12)</f>
        <v>12.341895684703893</v>
      </c>
      <c r="T13" s="1911">
        <f t="shared" ref="T13" si="37">SUMPRODUCT(T11:T12,$V11:$V12)/SUM($V11:$V12)</f>
        <v>0</v>
      </c>
      <c r="U13" s="1911">
        <f t="shared" ref="U13" si="38">SUMPRODUCT(U11:U12,$V11:$V12)/SUM($V11:$V12)</f>
        <v>10.958842983470156</v>
      </c>
      <c r="V13" s="1912">
        <f t="shared" ref="V13" si="39">SUMPRODUCT(V11:V12,$V11:$V12)/SUM($V11:$V12)</f>
        <v>102.79854149666465</v>
      </c>
      <c r="W13" s="1913">
        <f t="shared" ref="W13" si="40">SUMPRODUCT(W11:W12,$V11:$V12)/SUM($V11:$V12)</f>
        <v>0.18951815446160009</v>
      </c>
    </row>
    <row r="14" spans="1:23" x14ac:dyDescent="0.25">
      <c r="B14" s="1906" t="s">
        <v>63</v>
      </c>
      <c r="C14" s="1906" t="s">
        <v>2654</v>
      </c>
      <c r="D14" s="1907">
        <v>9.7720209400000009</v>
      </c>
      <c r="E14" s="1908">
        <v>1.8762692439999999</v>
      </c>
      <c r="F14" s="1908">
        <v>1.0254198510000001</v>
      </c>
      <c r="G14" s="1908">
        <v>9.1966524570000008</v>
      </c>
      <c r="H14" s="1908">
        <v>5.4229742999999997E-2</v>
      </c>
      <c r="I14" s="1922">
        <f t="shared" si="0"/>
        <v>9.2508822000000013</v>
      </c>
      <c r="J14" s="1908">
        <v>10.847526801687966</v>
      </c>
      <c r="K14" s="1908">
        <v>1.5393108729050839</v>
      </c>
      <c r="L14" s="1908">
        <v>4.6444580374978948</v>
      </c>
      <c r="M14" s="1908">
        <v>0</v>
      </c>
      <c r="N14" s="1922">
        <f t="shared" si="1"/>
        <v>4.6444580374978948</v>
      </c>
      <c r="O14" s="1908">
        <v>2.6401252156088799</v>
      </c>
      <c r="P14" s="1908">
        <v>0</v>
      </c>
      <c r="Q14" s="1907">
        <v>3.7199093720667165</v>
      </c>
      <c r="R14" s="1908">
        <v>0.27344264041653632</v>
      </c>
      <c r="S14" s="1907">
        <v>0</v>
      </c>
      <c r="T14" s="1907">
        <v>28.373422517411417</v>
      </c>
      <c r="U14" s="1907">
        <v>11.164870782868572</v>
      </c>
      <c r="V14" s="1908">
        <v>85.127658475463065</v>
      </c>
      <c r="W14" s="1909">
        <v>0.34018675031287815</v>
      </c>
    </row>
    <row r="15" spans="1:23" x14ac:dyDescent="0.25">
      <c r="C15" t="s">
        <v>1100</v>
      </c>
      <c r="D15" s="1915">
        <v>9.7719831740000007</v>
      </c>
      <c r="E15" s="1916">
        <v>3.9965125389999998</v>
      </c>
      <c r="F15" s="1916">
        <v>1.3674313899999999</v>
      </c>
      <c r="G15" s="1916">
        <v>9.5469629739999995</v>
      </c>
      <c r="H15" s="1916">
        <v>0</v>
      </c>
      <c r="I15" s="1922">
        <f t="shared" si="0"/>
        <v>9.5469629739999995</v>
      </c>
      <c r="J15" s="1916">
        <v>7.8010397367047064</v>
      </c>
      <c r="K15" s="1916">
        <v>0</v>
      </c>
      <c r="L15" s="1916">
        <v>1.969175617214888</v>
      </c>
      <c r="M15" s="1916">
        <v>0</v>
      </c>
      <c r="N15" s="1922">
        <f t="shared" si="1"/>
        <v>1.969175617214888</v>
      </c>
      <c r="O15" s="1916">
        <v>2.6517312411426866E-3</v>
      </c>
      <c r="P15" s="1916">
        <v>0</v>
      </c>
      <c r="Q15" s="1915">
        <v>3.0930073842022847</v>
      </c>
      <c r="R15" s="1916">
        <v>0.59657588685015295</v>
      </c>
      <c r="S15" s="1915">
        <v>0</v>
      </c>
      <c r="T15" s="1915">
        <v>0</v>
      </c>
      <c r="U15" s="1915">
        <v>11.336653317296932</v>
      </c>
      <c r="V15" s="1916">
        <v>49.481993750510114</v>
      </c>
      <c r="W15" s="1917">
        <v>0.1967408890034183</v>
      </c>
    </row>
    <row r="16" spans="1:23" x14ac:dyDescent="0.25">
      <c r="B16" s="1910"/>
      <c r="C16" s="1910" t="s">
        <v>2655</v>
      </c>
      <c r="D16" s="1911">
        <v>12.22708319</v>
      </c>
      <c r="E16" s="1912">
        <v>4.4231852519999997</v>
      </c>
      <c r="F16" s="1912">
        <v>3.1084636520000002</v>
      </c>
      <c r="G16" s="1912">
        <v>2.469014059</v>
      </c>
      <c r="H16" s="1912">
        <v>0</v>
      </c>
      <c r="I16" s="1922">
        <f t="shared" si="0"/>
        <v>2.469014059</v>
      </c>
      <c r="J16" s="1912">
        <v>5.4897811504907308</v>
      </c>
      <c r="K16" s="1912">
        <v>0</v>
      </c>
      <c r="L16" s="1912">
        <v>4.2956762104689208</v>
      </c>
      <c r="M16" s="1912">
        <v>0</v>
      </c>
      <c r="N16" s="1922">
        <f t="shared" si="1"/>
        <v>4.2956762104689208</v>
      </c>
      <c r="O16" s="1912">
        <v>0</v>
      </c>
      <c r="P16" s="1912">
        <v>0</v>
      </c>
      <c r="Q16" s="1911">
        <v>0</v>
      </c>
      <c r="R16" s="1912">
        <v>0</v>
      </c>
      <c r="S16" s="1911">
        <v>0</v>
      </c>
      <c r="T16" s="1911">
        <v>0</v>
      </c>
      <c r="U16" s="1911">
        <v>9.097942397310069</v>
      </c>
      <c r="V16" s="1912">
        <v>41.111145911269723</v>
      </c>
      <c r="W16" s="1913">
        <v>0.16685138805183178</v>
      </c>
    </row>
    <row r="17" spans="1:25" x14ac:dyDescent="0.25">
      <c r="A17" t="s">
        <v>63</v>
      </c>
      <c r="C17" s="1910" t="s">
        <v>2666</v>
      </c>
      <c r="D17" s="1911">
        <f>SUMPRODUCT(D14:D16,$V14:$V16)/SUM($V14:$V16)</f>
        <v>10.346389795103857</v>
      </c>
      <c r="E17" s="1912">
        <f t="shared" ref="E17:W17" si="41">SUMPRODUCT(E14:E16,$V14:$V16)/SUM($V14:$V16)</f>
        <v>3.0691872327839342</v>
      </c>
      <c r="F17" s="1912">
        <f t="shared" si="41"/>
        <v>1.609071482252979</v>
      </c>
      <c r="G17" s="1912">
        <f t="shared" si="41"/>
        <v>7.7213184967989559</v>
      </c>
      <c r="H17" s="1912">
        <f t="shared" si="41"/>
        <v>2.6271511911245445E-2</v>
      </c>
      <c r="I17" s="1922">
        <f t="shared" si="41"/>
        <v>7.7475900087102012</v>
      </c>
      <c r="J17" s="1912">
        <f t="shared" si="41"/>
        <v>8.7361699158480608</v>
      </c>
      <c r="K17" s="1912">
        <f t="shared" si="41"/>
        <v>0.74571668046878892</v>
      </c>
      <c r="L17" s="1912">
        <f t="shared" si="41"/>
        <v>3.8095134541658155</v>
      </c>
      <c r="M17" s="1912">
        <f t="shared" si="41"/>
        <v>0</v>
      </c>
      <c r="N17" s="1922">
        <f t="shared" si="41"/>
        <v>3.8095134541658155</v>
      </c>
      <c r="O17" s="1912">
        <f t="shared" si="41"/>
        <v>1.2797511337267915</v>
      </c>
      <c r="P17" s="1912">
        <f t="shared" si="41"/>
        <v>0</v>
      </c>
      <c r="Q17" s="1911">
        <f t="shared" si="41"/>
        <v>2.6730776983694775</v>
      </c>
      <c r="R17" s="1912">
        <f t="shared" si="41"/>
        <v>0.30046128045466697</v>
      </c>
      <c r="S17" s="1911">
        <f t="shared" si="41"/>
        <v>0</v>
      </c>
      <c r="T17" s="1911">
        <f t="shared" si="41"/>
        <v>13.745458974957227</v>
      </c>
      <c r="U17" s="1911">
        <f t="shared" si="41"/>
        <v>10.729671005935613</v>
      </c>
      <c r="V17" s="1912">
        <f t="shared" si="41"/>
        <v>64.792058662777407</v>
      </c>
      <c r="W17" s="1913">
        <f t="shared" si="41"/>
        <v>0.25924014220995706</v>
      </c>
    </row>
    <row r="18" spans="1:25" x14ac:dyDescent="0.25">
      <c r="B18" s="1906" t="s">
        <v>2656</v>
      </c>
      <c r="C18" s="1906" t="s">
        <v>2217</v>
      </c>
      <c r="D18" s="1907">
        <v>31.98926148</v>
      </c>
      <c r="E18" s="1908">
        <v>10.000844259999999</v>
      </c>
      <c r="F18" s="1908">
        <v>69.185966570000005</v>
      </c>
      <c r="G18" s="1908">
        <v>122.482365</v>
      </c>
      <c r="H18" s="1908">
        <v>0</v>
      </c>
      <c r="I18" s="1922">
        <f t="shared" si="0"/>
        <v>122.482365</v>
      </c>
      <c r="J18" s="1908">
        <v>24.810847073791347</v>
      </c>
      <c r="K18" s="1908">
        <v>0</v>
      </c>
      <c r="L18" s="1908">
        <v>51.804855707015633</v>
      </c>
      <c r="M18" s="1908">
        <v>0</v>
      </c>
      <c r="N18" s="1922">
        <f t="shared" si="1"/>
        <v>51.804855707015633</v>
      </c>
      <c r="O18" s="1908">
        <v>7.7539281715739733E-2</v>
      </c>
      <c r="P18" s="1908">
        <v>18.388938893331723</v>
      </c>
      <c r="Q18" s="1907">
        <v>0</v>
      </c>
      <c r="R18" s="1908">
        <v>0</v>
      </c>
      <c r="S18" s="1907">
        <v>152.90540510521441</v>
      </c>
      <c r="T18" s="1907">
        <v>0</v>
      </c>
      <c r="U18" s="1907">
        <v>0</v>
      </c>
      <c r="V18" s="1908">
        <v>481.64602337106891</v>
      </c>
      <c r="W18" s="1909">
        <v>0.192721124592207</v>
      </c>
    </row>
    <row r="19" spans="1:25" x14ac:dyDescent="0.25">
      <c r="B19" s="1910"/>
      <c r="C19" s="1910" t="s">
        <v>2657</v>
      </c>
      <c r="D19" s="1911">
        <v>28.46036192</v>
      </c>
      <c r="E19" s="1912">
        <v>10.37885868</v>
      </c>
      <c r="F19" s="1912">
        <v>70.811526939999993</v>
      </c>
      <c r="G19" s="1912">
        <v>177.26567689999999</v>
      </c>
      <c r="H19" s="1912">
        <v>0</v>
      </c>
      <c r="I19" s="1922">
        <f t="shared" si="0"/>
        <v>177.26567689999999</v>
      </c>
      <c r="J19" s="1912">
        <v>28.111620135945621</v>
      </c>
      <c r="K19" s="1912">
        <v>0</v>
      </c>
      <c r="L19" s="1912">
        <v>47.155953938424631</v>
      </c>
      <c r="M19" s="1912">
        <v>0</v>
      </c>
      <c r="N19" s="1922">
        <f t="shared" si="1"/>
        <v>47.155953938424631</v>
      </c>
      <c r="O19" s="1912">
        <v>0</v>
      </c>
      <c r="P19" s="1912">
        <v>40.912866293926882</v>
      </c>
      <c r="Q19" s="1911">
        <v>0</v>
      </c>
      <c r="R19" s="1912">
        <v>0</v>
      </c>
      <c r="S19" s="1911">
        <v>269.48507596961235</v>
      </c>
      <c r="T19" s="1911">
        <v>0</v>
      </c>
      <c r="U19" s="1911">
        <v>0</v>
      </c>
      <c r="V19" s="1912">
        <v>672.58194077790949</v>
      </c>
      <c r="W19" s="1913">
        <v>0.15169200879179751</v>
      </c>
    </row>
    <row r="20" spans="1:25" x14ac:dyDescent="0.25">
      <c r="A20" t="s">
        <v>2217</v>
      </c>
      <c r="C20" s="1910" t="s">
        <v>2666</v>
      </c>
      <c r="D20" s="1911">
        <f>SUMPRODUCT(D18:D19,$V18:$V19)/SUM($V18:$V19)</f>
        <v>29.932931024841526</v>
      </c>
      <c r="E20" s="1912">
        <f t="shared" ref="E20" si="42">SUMPRODUCT(E18:E19,$V18:$V19)/SUM($V18:$V19)</f>
        <v>10.221117620326261</v>
      </c>
      <c r="F20" s="1912">
        <f t="shared" ref="F20" si="43">SUMPRODUCT(F18:F19,$V18:$V19)/SUM($V18:$V19)</f>
        <v>70.133199337239688</v>
      </c>
      <c r="G20" s="1912">
        <f t="shared" ref="G20" si="44">SUMPRODUCT(G18:G19,$V18:$V19)/SUM($V18:$V19)</f>
        <v>154.40523239224049</v>
      </c>
      <c r="H20" s="1912">
        <f t="shared" ref="H20" si="45">SUMPRODUCT(H18:H19,$V18:$V19)/SUM($V18:$V19)</f>
        <v>0</v>
      </c>
      <c r="I20" s="1922">
        <f t="shared" ref="I20" si="46">SUMPRODUCT(I18:I19,$V18:$V19)/SUM($V18:$V19)</f>
        <v>154.40523239224049</v>
      </c>
      <c r="J20" s="1912">
        <f t="shared" ref="J20" si="47">SUMPRODUCT(J18:J19,$V18:$V19)/SUM($V18:$V19)</f>
        <v>26.734245588787488</v>
      </c>
      <c r="K20" s="1912">
        <f t="shared" ref="K20" si="48">SUMPRODUCT(K18:K19,$V18:$V19)/SUM($V18:$V19)</f>
        <v>0</v>
      </c>
      <c r="L20" s="1912">
        <f t="shared" ref="L20" si="49">SUMPRODUCT(L18:L19,$V18:$V19)/SUM($V18:$V19)</f>
        <v>49.095887053401192</v>
      </c>
      <c r="M20" s="1912">
        <f t="shared" ref="M20" si="50">SUMPRODUCT(M18:M19,$V18:$V19)/SUM($V18:$V19)</f>
        <v>0</v>
      </c>
      <c r="N20" s="1922">
        <f t="shared" ref="N20" si="51">SUMPRODUCT(N18:N19,$V18:$V19)/SUM($V18:$V19)</f>
        <v>49.095887053401192</v>
      </c>
      <c r="O20" s="1912">
        <f t="shared" ref="O20" si="52">SUMPRODUCT(O18:O19,$V18:$V19)/SUM($V18:$V19)</f>
        <v>3.2356248378517624E-2</v>
      </c>
      <c r="P20" s="1912">
        <f t="shared" ref="P20" si="53">SUMPRODUCT(P18:P19,$V18:$V19)/SUM($V18:$V19)</f>
        <v>31.513891047997841</v>
      </c>
      <c r="Q20" s="1911">
        <f t="shared" ref="Q20" si="54">SUMPRODUCT(Q18:Q19,$V18:$V19)/SUM($V18:$V19)</f>
        <v>0</v>
      </c>
      <c r="R20" s="1912">
        <f t="shared" ref="R20" si="55">SUMPRODUCT(R18:R19,$V18:$V19)/SUM($V18:$V19)</f>
        <v>0</v>
      </c>
      <c r="S20" s="1911">
        <f t="shared" ref="S20" si="56">SUMPRODUCT(S18:S19,$V18:$V19)/SUM($V18:$V19)</f>
        <v>220.83772326130637</v>
      </c>
      <c r="T20" s="1911">
        <f t="shared" ref="T20" si="57">SUMPRODUCT(T18:T19,$V18:$V19)/SUM($V18:$V19)</f>
        <v>0</v>
      </c>
      <c r="U20" s="1911">
        <f t="shared" ref="U20" si="58">SUMPRODUCT(U18:U19,$V18:$V19)/SUM($V18:$V19)</f>
        <v>0</v>
      </c>
      <c r="V20" s="1912">
        <f t="shared" ref="V20" si="59">SUMPRODUCT(V18:V19,$V18:$V19)/SUM($V18:$V19)</f>
        <v>592.90658357451935</v>
      </c>
      <c r="W20" s="1913">
        <f t="shared" ref="W20" si="60">SUMPRODUCT(W18:W19,$V18:$V19)/SUM($V18:$V19)</f>
        <v>0.16881298582709978</v>
      </c>
    </row>
    <row r="21" spans="1:25" x14ac:dyDescent="0.25">
      <c r="B21" s="1906" t="s">
        <v>2658</v>
      </c>
      <c r="C21" s="1906" t="s">
        <v>2659</v>
      </c>
      <c r="D21" s="1907">
        <v>18.89221216</v>
      </c>
      <c r="E21" s="1908">
        <v>4.4161817760000002</v>
      </c>
      <c r="F21" s="1908">
        <v>3.6915427030000001</v>
      </c>
      <c r="G21" s="1908">
        <v>21.318591940000001</v>
      </c>
      <c r="H21" s="1908">
        <v>0</v>
      </c>
      <c r="I21" s="1922">
        <f t="shared" si="0"/>
        <v>21.318591940000001</v>
      </c>
      <c r="J21" s="1908">
        <v>9.7384832698849841</v>
      </c>
      <c r="K21" s="1908">
        <v>0</v>
      </c>
      <c r="L21" s="1908">
        <v>14.508666053782603</v>
      </c>
      <c r="M21" s="1908">
        <v>0</v>
      </c>
      <c r="N21" s="1922">
        <f t="shared" si="1"/>
        <v>14.508666053782603</v>
      </c>
      <c r="O21" s="1908">
        <v>0</v>
      </c>
      <c r="P21" s="1908">
        <v>0</v>
      </c>
      <c r="Q21" s="1907">
        <v>0</v>
      </c>
      <c r="R21" s="1908">
        <v>0</v>
      </c>
      <c r="S21" s="1907">
        <v>0</v>
      </c>
      <c r="T21" s="1907">
        <v>0</v>
      </c>
      <c r="U21" s="1907">
        <v>7.4931493277174797</v>
      </c>
      <c r="V21" s="1908">
        <v>80.058827230385063</v>
      </c>
      <c r="W21" s="1909">
        <v>0.16686701421318281</v>
      </c>
    </row>
    <row r="22" spans="1:25" x14ac:dyDescent="0.25">
      <c r="B22" s="1910"/>
      <c r="C22" s="1910" t="s">
        <v>2660</v>
      </c>
      <c r="D22" s="1911">
        <v>26.631692269999999</v>
      </c>
      <c r="E22" s="1912">
        <v>6.0582307010000003</v>
      </c>
      <c r="F22" s="1912">
        <v>2.9279903420000002</v>
      </c>
      <c r="G22" s="1912">
        <v>25.303768340000001</v>
      </c>
      <c r="H22" s="1912">
        <v>0</v>
      </c>
      <c r="I22" s="1922">
        <f t="shared" si="0"/>
        <v>25.303768340000001</v>
      </c>
      <c r="J22" s="1912">
        <v>10.021066959999999</v>
      </c>
      <c r="K22" s="1912">
        <v>0</v>
      </c>
      <c r="L22" s="1912">
        <v>11.101840484444445</v>
      </c>
      <c r="M22" s="1912">
        <v>0</v>
      </c>
      <c r="N22" s="1922">
        <f t="shared" si="1"/>
        <v>11.101840484444445</v>
      </c>
      <c r="O22" s="1912">
        <v>0</v>
      </c>
      <c r="P22" s="1912">
        <v>0</v>
      </c>
      <c r="Q22" s="1911">
        <v>0</v>
      </c>
      <c r="R22" s="1912">
        <v>0</v>
      </c>
      <c r="S22" s="1911">
        <v>0</v>
      </c>
      <c r="T22" s="1911">
        <v>0</v>
      </c>
      <c r="U22" s="1911">
        <v>5.4236712755555549</v>
      </c>
      <c r="V22" s="1912">
        <v>87.468260373000007</v>
      </c>
      <c r="W22" s="1913">
        <v>0.17783967651747074</v>
      </c>
    </row>
    <row r="23" spans="1:25" x14ac:dyDescent="0.25">
      <c r="A23" t="s">
        <v>69</v>
      </c>
      <c r="C23" s="1910" t="s">
        <v>2666</v>
      </c>
      <c r="D23" s="1911">
        <f>SUMPRODUCT(D21:D22,$V21:$V22)/SUM($V21:$V22)</f>
        <v>22.933104120205343</v>
      </c>
      <c r="E23" s="1912">
        <f t="shared" ref="E23" si="61">SUMPRODUCT(E21:E22,$V21:$V22)/SUM($V21:$V22)</f>
        <v>5.2735187295148691</v>
      </c>
      <c r="F23" s="1912">
        <f t="shared" ref="F23" si="62">SUMPRODUCT(F21:F22,$V21:$V22)/SUM($V21:$V22)</f>
        <v>3.2928812227832482</v>
      </c>
      <c r="G23" s="1912">
        <f t="shared" ref="G23" si="63">SUMPRODUCT(G21:G22,$V21:$V22)/SUM($V21:$V22)</f>
        <v>23.399308867478489</v>
      </c>
      <c r="H23" s="1912">
        <f t="shared" ref="H23" si="64">SUMPRODUCT(H21:H22,$V21:$V22)/SUM($V21:$V22)</f>
        <v>0</v>
      </c>
      <c r="I23" s="1922">
        <f t="shared" ref="I23" si="65">SUMPRODUCT(I21:I22,$V21:$V22)/SUM($V21:$V22)</f>
        <v>23.399308867478489</v>
      </c>
      <c r="J23" s="1912">
        <f t="shared" ref="J23" si="66">SUMPRODUCT(J21:J22,$V21:$V22)/SUM($V21:$V22)</f>
        <v>9.8860242087130992</v>
      </c>
      <c r="K23" s="1912">
        <f t="shared" ref="K23" si="67">SUMPRODUCT(K21:K22,$V21:$V22)/SUM($V21:$V22)</f>
        <v>0</v>
      </c>
      <c r="L23" s="1912">
        <f t="shared" ref="L23" si="68">SUMPRODUCT(L21:L22,$V21:$V22)/SUM($V21:$V22)</f>
        <v>12.729914269774136</v>
      </c>
      <c r="M23" s="1912">
        <f t="shared" ref="M23" si="69">SUMPRODUCT(M21:M22,$V21:$V22)/SUM($V21:$V22)</f>
        <v>0</v>
      </c>
      <c r="N23" s="1922">
        <f t="shared" ref="N23" si="70">SUMPRODUCT(N21:N22,$V21:$V22)/SUM($V21:$V22)</f>
        <v>12.729914269774136</v>
      </c>
      <c r="O23" s="1912">
        <f t="shared" ref="O23" si="71">SUMPRODUCT(O21:O22,$V21:$V22)/SUM($V21:$V22)</f>
        <v>0</v>
      </c>
      <c r="P23" s="1912">
        <f t="shared" ref="P23" si="72">SUMPRODUCT(P21:P22,$V21:$V22)/SUM($V21:$V22)</f>
        <v>0</v>
      </c>
      <c r="Q23" s="1911">
        <f t="shared" ref="Q23" si="73">SUMPRODUCT(Q21:Q22,$V21:$V22)/SUM($V21:$V22)</f>
        <v>0</v>
      </c>
      <c r="R23" s="1912">
        <f t="shared" ref="R23" si="74">SUMPRODUCT(R21:R22,$V21:$V22)/SUM($V21:$V22)</f>
        <v>0</v>
      </c>
      <c r="S23" s="1911">
        <f t="shared" ref="S23" si="75">SUMPRODUCT(S21:S22,$V21:$V22)/SUM($V21:$V22)</f>
        <v>0</v>
      </c>
      <c r="T23" s="1911">
        <f t="shared" ref="T23" si="76">SUMPRODUCT(T21:T22,$V21:$V22)/SUM($V21:$V22)</f>
        <v>0</v>
      </c>
      <c r="U23" s="1911">
        <f t="shared" ref="U23" si="77">SUMPRODUCT(U21:U22,$V21:$V22)/SUM($V21:$V22)</f>
        <v>6.4126455853540234</v>
      </c>
      <c r="V23" s="1912">
        <f t="shared" ref="V23" si="78">SUMPRODUCT(V21:V22,$V21:$V22)/SUM($V21:$V22)</f>
        <v>83.927397003823202</v>
      </c>
      <c r="W23" s="1913">
        <f t="shared" ref="W23" si="79">SUMPRODUCT(W21:W22,$V21:$V22)/SUM($V21:$V22)</f>
        <v>0.17259599629689612</v>
      </c>
    </row>
    <row r="24" spans="1:25" x14ac:dyDescent="0.25">
      <c r="B24" s="1906" t="s">
        <v>2218</v>
      </c>
      <c r="C24" s="1906" t="s">
        <v>2661</v>
      </c>
      <c r="D24" s="1907">
        <v>14.812607059999999</v>
      </c>
      <c r="E24" s="1908">
        <v>0.99261105199999999</v>
      </c>
      <c r="F24" s="1908">
        <v>2.9372792360000002</v>
      </c>
      <c r="G24" s="1908">
        <v>13.98019802</v>
      </c>
      <c r="H24" s="1908">
        <v>0</v>
      </c>
      <c r="I24" s="1922">
        <f t="shared" si="0"/>
        <v>13.98019802</v>
      </c>
      <c r="J24" s="1908">
        <v>14.022384366983264</v>
      </c>
      <c r="K24" s="1908">
        <v>0</v>
      </c>
      <c r="L24" s="1908">
        <v>7.9149492619270037</v>
      </c>
      <c r="M24" s="1908">
        <v>2.8967789124033252</v>
      </c>
      <c r="N24" s="1922">
        <f t="shared" si="1"/>
        <v>10.811728174330328</v>
      </c>
      <c r="O24" s="1908">
        <v>0.95093757225433528</v>
      </c>
      <c r="P24" s="1908">
        <v>0.94437653482670836</v>
      </c>
      <c r="Q24" s="1907">
        <v>0.34053881146459192</v>
      </c>
      <c r="R24" s="1908">
        <v>0.35674836827305617</v>
      </c>
      <c r="S24" s="1907">
        <v>4.0631337714826774</v>
      </c>
      <c r="T24" s="1907">
        <v>0</v>
      </c>
      <c r="U24" s="1907">
        <v>9.5406132051762249</v>
      </c>
      <c r="V24" s="1908">
        <v>73.753156172791194</v>
      </c>
      <c r="W24" s="1909">
        <v>0.19428622027148637</v>
      </c>
      <c r="Y24" s="1918"/>
    </row>
    <row r="25" spans="1:25" x14ac:dyDescent="0.25">
      <c r="B25" s="1910"/>
      <c r="C25" s="1910" t="s">
        <v>2662</v>
      </c>
      <c r="D25" s="1911">
        <v>15.51480074</v>
      </c>
      <c r="E25" s="1912">
        <v>1.088551051</v>
      </c>
      <c r="F25" s="1912">
        <v>1.8992069890000001</v>
      </c>
      <c r="G25" s="1912">
        <v>19.245586880000001</v>
      </c>
      <c r="H25" s="1912">
        <v>0</v>
      </c>
      <c r="I25" s="1922">
        <f t="shared" si="0"/>
        <v>19.245586880000001</v>
      </c>
      <c r="J25" s="1912">
        <v>11.189822824808342</v>
      </c>
      <c r="K25" s="1912">
        <v>0</v>
      </c>
      <c r="L25" s="1912">
        <v>6.163926735082951</v>
      </c>
      <c r="M25" s="1912">
        <v>2.0444301356156789</v>
      </c>
      <c r="N25" s="1922">
        <f t="shared" si="1"/>
        <v>8.2083568706986298</v>
      </c>
      <c r="O25" s="1912">
        <v>1.8330522870779756E-2</v>
      </c>
      <c r="P25" s="1912">
        <v>1.741150212144567</v>
      </c>
      <c r="Q25" s="1911">
        <v>0</v>
      </c>
      <c r="R25" s="1912">
        <v>0.61562868805689641</v>
      </c>
      <c r="S25" s="1911">
        <v>6.5470043462519074</v>
      </c>
      <c r="T25" s="1911">
        <v>0</v>
      </c>
      <c r="U25" s="1911">
        <v>14.056271833793794</v>
      </c>
      <c r="V25" s="1912">
        <v>80.124710958624917</v>
      </c>
      <c r="W25" s="1913">
        <v>0.17919046104370323</v>
      </c>
    </row>
    <row r="26" spans="1:25" x14ac:dyDescent="0.25">
      <c r="A26" t="s">
        <v>2218</v>
      </c>
      <c r="C26" s="1910" t="s">
        <v>2666</v>
      </c>
      <c r="D26" s="1911">
        <f>SUMPRODUCT(D24:D25,$V24:$V25)/SUM($V24:$V25)</f>
        <v>15.178241616130954</v>
      </c>
      <c r="E26" s="1912">
        <f t="shared" ref="E26" si="80">SUMPRODUCT(E24:E25,$V24:$V25)/SUM($V24:$V25)</f>
        <v>1.0425673246761784</v>
      </c>
      <c r="F26" s="1912">
        <f t="shared" ref="F26" si="81">SUMPRODUCT(F24:F25,$V24:$V25)/SUM($V24:$V25)</f>
        <v>2.3967516065520873</v>
      </c>
      <c r="G26" s="1912">
        <f t="shared" ref="G26" si="82">SUMPRODUCT(G24:G25,$V24:$V25)/SUM($V24:$V25)</f>
        <v>16.721903298069389</v>
      </c>
      <c r="H26" s="1912">
        <f t="shared" ref="H26" si="83">SUMPRODUCT(H24:H25,$V24:$V25)/SUM($V24:$V25)</f>
        <v>0</v>
      </c>
      <c r="I26" s="1922">
        <f t="shared" ref="I26" si="84">SUMPRODUCT(I24:I25,$V24:$V25)/SUM($V24:$V25)</f>
        <v>16.721903298069389</v>
      </c>
      <c r="J26" s="1912">
        <f t="shared" ref="J26" si="85">SUMPRODUCT(J24:J25,$V24:$V25)/SUM($V24:$V25)</f>
        <v>12.547460266004832</v>
      </c>
      <c r="K26" s="1912">
        <f t="shared" ref="K26" si="86">SUMPRODUCT(K24:K25,$V24:$V25)/SUM($V24:$V25)</f>
        <v>0</v>
      </c>
      <c r="L26" s="1912">
        <f t="shared" ref="L26" si="87">SUMPRODUCT(L24:L25,$V24:$V25)/SUM($V24:$V25)</f>
        <v>7.0031860794700984</v>
      </c>
      <c r="M26" s="1912">
        <f t="shared" ref="M26" si="88">SUMPRODUCT(M24:M25,$V24:$V25)/SUM($V24:$V25)</f>
        <v>2.4529581040623669</v>
      </c>
      <c r="N26" s="1922">
        <f t="shared" ref="N26" si="89">SUMPRODUCT(N24:N25,$V24:$V25)/SUM($V24:$V25)</f>
        <v>9.4561441835324658</v>
      </c>
      <c r="O26" s="1912">
        <f t="shared" ref="O26" si="90">SUMPRODUCT(O24:O25,$V24:$V25)/SUM($V24:$V25)</f>
        <v>0.46532601769583437</v>
      </c>
      <c r="P26" s="1912">
        <f t="shared" ref="P26" si="91">SUMPRODUCT(P24:P25,$V24:$V25)/SUM($V24:$V25)</f>
        <v>1.3592592062898619</v>
      </c>
      <c r="Q26" s="1911">
        <f t="shared" ref="Q26" si="92">SUMPRODUCT(Q24:Q25,$V24:$V25)/SUM($V24:$V25)</f>
        <v>0.16321913354436554</v>
      </c>
      <c r="R26" s="1912">
        <f t="shared" ref="R26" si="93">SUMPRODUCT(R24:R25,$V24:$V25)/SUM($V24:$V25)</f>
        <v>0.49154820129804683</v>
      </c>
      <c r="S26" s="1911">
        <f t="shared" ref="S26" si="94">SUMPRODUCT(S24:S25,$V24:$V25)/SUM($V24:$V25)</f>
        <v>5.3564933401596315</v>
      </c>
      <c r="T26" s="1911">
        <f t="shared" ref="T26" si="95">SUMPRODUCT(T24:T25,$V24:$V25)/SUM($V24:$V25)</f>
        <v>0</v>
      </c>
      <c r="U26" s="1911">
        <f t="shared" ref="U26" si="96">SUMPRODUCT(U24:U25,$V24:$V25)/SUM($V24:$V25)</f>
        <v>11.891931488635418</v>
      </c>
      <c r="V26" s="1912">
        <f t="shared" ref="V26" si="97">SUMPRODUCT(V24:V25,$V24:$V25)/SUM($V24:$V25)</f>
        <v>77.070845682589081</v>
      </c>
      <c r="W26" s="1913">
        <f t="shared" ref="W26" si="98">SUMPRODUCT(W24:W25,$V24:$V25)/SUM($V24:$V25)</f>
        <v>0.18642580884666374</v>
      </c>
    </row>
    <row r="27" spans="1:25" x14ac:dyDescent="0.25">
      <c r="A27" t="s">
        <v>74</v>
      </c>
      <c r="B27" s="4027" t="s">
        <v>74</v>
      </c>
      <c r="C27" s="4027"/>
      <c r="D27" s="1911">
        <v>8.7793392059999995</v>
      </c>
      <c r="E27" s="1912">
        <v>2.2493003680000001</v>
      </c>
      <c r="F27" s="1912">
        <v>0.47871407199999999</v>
      </c>
      <c r="G27" s="1912">
        <v>12.242857860000001</v>
      </c>
      <c r="H27" s="1912">
        <v>0</v>
      </c>
      <c r="I27" s="1922">
        <f t="shared" si="0"/>
        <v>12.242857860000001</v>
      </c>
      <c r="J27" s="1912">
        <v>0.30620941992506484</v>
      </c>
      <c r="K27" s="1912">
        <v>0</v>
      </c>
      <c r="L27" s="1912">
        <v>0.83920689941396864</v>
      </c>
      <c r="M27" s="1912">
        <v>0</v>
      </c>
      <c r="N27" s="1922">
        <f t="shared" si="1"/>
        <v>0.83920689941396864</v>
      </c>
      <c r="O27" s="1912">
        <v>0</v>
      </c>
      <c r="P27" s="1912">
        <v>0</v>
      </c>
      <c r="Q27" s="1911">
        <v>0</v>
      </c>
      <c r="R27" s="1912">
        <v>0</v>
      </c>
      <c r="S27" s="1911">
        <v>0</v>
      </c>
      <c r="T27" s="1911">
        <v>0</v>
      </c>
      <c r="U27" s="1911">
        <v>2.5371117206263811</v>
      </c>
      <c r="V27" s="1912">
        <v>27.432739545965415</v>
      </c>
      <c r="W27" s="1913">
        <v>0.14631429773497143</v>
      </c>
    </row>
    <row r="29" spans="1:25" ht="21" x14ac:dyDescent="0.25">
      <c r="B29" s="4032" t="s">
        <v>2663</v>
      </c>
      <c r="C29" s="4032"/>
      <c r="D29" s="4029" t="s">
        <v>2648</v>
      </c>
      <c r="E29" s="4029"/>
      <c r="F29" s="4029"/>
      <c r="G29" s="4029"/>
      <c r="H29" s="4029"/>
      <c r="I29" s="4029"/>
      <c r="J29" s="4029"/>
      <c r="K29" s="4029"/>
      <c r="L29" s="4029"/>
      <c r="M29" s="4029"/>
      <c r="N29" s="4029"/>
      <c r="O29" s="4029"/>
      <c r="P29" s="4029"/>
      <c r="Q29" s="4029"/>
      <c r="R29" s="4029"/>
      <c r="S29" s="4029"/>
      <c r="T29" s="4029"/>
      <c r="U29" s="4029"/>
      <c r="V29" s="4029"/>
      <c r="W29" s="4029"/>
    </row>
    <row r="30" spans="1:25" ht="27.6" x14ac:dyDescent="0.25">
      <c r="B30" s="4030" t="s">
        <v>106</v>
      </c>
      <c r="C30" s="4031"/>
      <c r="D30" s="1904" t="s">
        <v>2626</v>
      </c>
      <c r="E30" s="1905" t="s">
        <v>2627</v>
      </c>
      <c r="F30" s="1905" t="s">
        <v>2628</v>
      </c>
      <c r="G30" s="1905" t="s">
        <v>2629</v>
      </c>
      <c r="H30" s="1905" t="s">
        <v>2636</v>
      </c>
      <c r="I30" s="1919" t="s">
        <v>2638</v>
      </c>
      <c r="J30" s="1905" t="s">
        <v>2630</v>
      </c>
      <c r="K30" s="1905" t="s">
        <v>1978</v>
      </c>
      <c r="L30" s="1905" t="s">
        <v>2665</v>
      </c>
      <c r="M30" s="1905" t="s">
        <v>2637</v>
      </c>
      <c r="N30" s="1919" t="s">
        <v>2631</v>
      </c>
      <c r="O30" s="1905" t="s">
        <v>387</v>
      </c>
      <c r="P30" s="1905" t="s">
        <v>2632</v>
      </c>
      <c r="Q30" s="1904" t="s">
        <v>2633</v>
      </c>
      <c r="R30" s="1905" t="s">
        <v>2634</v>
      </c>
      <c r="S30" s="1904" t="s">
        <v>378</v>
      </c>
      <c r="T30" s="1904" t="s">
        <v>910</v>
      </c>
      <c r="U30" s="1904" t="s">
        <v>2635</v>
      </c>
      <c r="V30" s="1905" t="s">
        <v>15</v>
      </c>
      <c r="W30" s="1905" t="s">
        <v>2649</v>
      </c>
    </row>
    <row r="31" spans="1:25" x14ac:dyDescent="0.25">
      <c r="B31" s="1906" t="s">
        <v>2650</v>
      </c>
      <c r="C31" s="1906" t="s">
        <v>2651</v>
      </c>
      <c r="D31" s="1907">
        <v>3.400673442</v>
      </c>
      <c r="E31" s="1908">
        <v>2.0474847039999999</v>
      </c>
      <c r="F31" s="1908">
        <v>11.71649028</v>
      </c>
      <c r="G31" s="1908">
        <v>17.481005119999999</v>
      </c>
      <c r="H31" s="1908">
        <v>0</v>
      </c>
      <c r="I31" s="1922">
        <f>G31+H31</f>
        <v>17.481005119999999</v>
      </c>
      <c r="J31" s="1908">
        <v>4.0856971429418216</v>
      </c>
      <c r="K31" s="1908">
        <v>0</v>
      </c>
      <c r="L31" s="1908">
        <v>6.7198633413354667</v>
      </c>
      <c r="M31" s="1908">
        <v>0</v>
      </c>
      <c r="N31" s="1922">
        <f>L31+M31</f>
        <v>6.7198633413354667</v>
      </c>
      <c r="O31" s="1908">
        <v>0</v>
      </c>
      <c r="P31" s="1908">
        <v>0</v>
      </c>
      <c r="Q31" s="1907">
        <v>3.6409424406179123</v>
      </c>
      <c r="R31" s="1908">
        <v>0</v>
      </c>
      <c r="S31" s="1907">
        <v>0</v>
      </c>
      <c r="T31" s="1907">
        <v>0</v>
      </c>
      <c r="U31" s="1907">
        <v>10.903869648531787</v>
      </c>
      <c r="V31" s="1908">
        <v>59.996026119426986</v>
      </c>
      <c r="W31" s="1909">
        <v>0.15323697055373742</v>
      </c>
    </row>
    <row r="32" spans="1:25" x14ac:dyDescent="0.25">
      <c r="B32" s="1910"/>
      <c r="C32" s="1910" t="s">
        <v>2652</v>
      </c>
      <c r="D32" s="1911">
        <v>3.1704590850000001</v>
      </c>
      <c r="E32" s="1912">
        <v>2.3957427010000001</v>
      </c>
      <c r="F32" s="1912">
        <v>13.24653979</v>
      </c>
      <c r="G32" s="1912">
        <v>21.080318510000001</v>
      </c>
      <c r="H32" s="1912">
        <v>0</v>
      </c>
      <c r="I32" s="1922">
        <f t="shared" ref="I32:I53" si="99">G32+H32</f>
        <v>21.080318510000001</v>
      </c>
      <c r="J32" s="1912">
        <v>4.238068388419955</v>
      </c>
      <c r="K32" s="1912">
        <v>0.19870862706278455</v>
      </c>
      <c r="L32" s="1912">
        <v>7.4705677221642635</v>
      </c>
      <c r="M32" s="1912">
        <v>0</v>
      </c>
      <c r="N32" s="1922">
        <f t="shared" ref="N32:N53" si="100">L32+M32</f>
        <v>7.4705677221642635</v>
      </c>
      <c r="O32" s="1912">
        <v>0.84765863429438559</v>
      </c>
      <c r="P32" s="1912">
        <v>0</v>
      </c>
      <c r="Q32" s="1911">
        <v>1.8323394492391682</v>
      </c>
      <c r="R32" s="1912">
        <v>0.40659291729893776</v>
      </c>
      <c r="S32" s="1911">
        <v>0</v>
      </c>
      <c r="T32" s="1911">
        <v>0</v>
      </c>
      <c r="U32" s="1911">
        <v>10.950199897782836</v>
      </c>
      <c r="V32" s="1912">
        <v>65.837195722262337</v>
      </c>
      <c r="W32" s="1913">
        <v>0.12973302267845771</v>
      </c>
    </row>
    <row r="33" spans="1:23" x14ac:dyDescent="0.25">
      <c r="A33" t="s">
        <v>61</v>
      </c>
      <c r="C33" s="1910" t="s">
        <v>2666</v>
      </c>
      <c r="D33" s="1911">
        <f>SUMPRODUCT(D31:D32,$V31:$V32)/SUM($V31:$V32)</f>
        <v>3.2802229960998517</v>
      </c>
      <c r="E33" s="1912">
        <f t="shared" ref="E33" si="101">SUMPRODUCT(E31:E32,$V31:$V32)/SUM($V31:$V32)</f>
        <v>2.2296967587718166</v>
      </c>
      <c r="F33" s="1912">
        <f t="shared" ref="F33" si="102">SUMPRODUCT(F31:F32,$V31:$V32)/SUM($V31:$V32)</f>
        <v>12.517027432115162</v>
      </c>
      <c r="G33" s="1912">
        <f t="shared" ref="G33" si="103">SUMPRODUCT(G31:G32,$V31:$V32)/SUM($V31:$V32)</f>
        <v>19.364201756428173</v>
      </c>
      <c r="H33" s="1912">
        <f t="shared" ref="H33" si="104">SUMPRODUCT(H31:H32,$V31:$V32)/SUM($V31:$V32)</f>
        <v>0</v>
      </c>
      <c r="I33" s="1922">
        <f t="shared" ref="I33" si="105">SUMPRODUCT(I31:I32,$V31:$V32)/SUM($V31:$V32)</f>
        <v>19.364201756428173</v>
      </c>
      <c r="J33" s="1912">
        <f t="shared" ref="J33" si="106">SUMPRODUCT(J31:J32,$V31:$V32)/SUM($V31:$V32)</f>
        <v>4.1654192971087847</v>
      </c>
      <c r="K33" s="1912">
        <f t="shared" ref="K33" si="107">SUMPRODUCT(K31:K32,$V31:$V32)/SUM($V31:$V32)</f>
        <v>0.10396633401069204</v>
      </c>
      <c r="L33" s="1912">
        <f t="shared" ref="L33" si="108">SUMPRODUCT(L31:L32,$V31:$V32)/SUM($V31:$V32)</f>
        <v>7.1126393549097351</v>
      </c>
      <c r="M33" s="1912">
        <f t="shared" ref="M33" si="109">SUMPRODUCT(M31:M32,$V31:$V32)/SUM($V31:$V32)</f>
        <v>0</v>
      </c>
      <c r="N33" s="1922">
        <f t="shared" ref="N33" si="110">SUMPRODUCT(N31:N32,$V31:$V32)/SUM($V31:$V32)</f>
        <v>7.1126393549097351</v>
      </c>
      <c r="O33" s="1912">
        <f t="shared" ref="O33" si="111">SUMPRODUCT(O31:O32,$V31:$V32)/SUM($V31:$V32)</f>
        <v>0.44350344523417184</v>
      </c>
      <c r="P33" s="1912">
        <f t="shared" ref="P33" si="112">SUMPRODUCT(P31:P32,$V31:$V32)/SUM($V31:$V32)</f>
        <v>0</v>
      </c>
      <c r="Q33" s="1911">
        <f t="shared" ref="Q33" si="113">SUMPRODUCT(Q31:Q32,$V31:$V32)/SUM($V31:$V32)</f>
        <v>2.69466333097962</v>
      </c>
      <c r="R33" s="1912">
        <f t="shared" ref="R33" si="114">SUMPRODUCT(R31:R32,$V31:$V32)/SUM($V31:$V32)</f>
        <v>0.21273346643840821</v>
      </c>
      <c r="S33" s="1911">
        <f t="shared" ref="S33" si="115">SUMPRODUCT(S31:S32,$V31:$V32)/SUM($V31:$V32)</f>
        <v>0</v>
      </c>
      <c r="T33" s="1911">
        <f t="shared" ref="T33" si="116">SUMPRODUCT(T31:T32,$V31:$V32)/SUM($V31:$V32)</f>
        <v>0</v>
      </c>
      <c r="U33" s="1911">
        <f t="shared" ref="U33" si="117">SUMPRODUCT(U31:U32,$V31:$V32)/SUM($V31:$V32)</f>
        <v>10.928110096667496</v>
      </c>
      <c r="V33" s="1912">
        <f t="shared" ref="V33" si="118">SUMPRODUCT(V31:V32,$V31:$V32)/SUM($V31:$V32)</f>
        <v>63.052184268763909</v>
      </c>
      <c r="W33" s="1913">
        <f t="shared" ref="W33" si="119">SUMPRODUCT(W31:W32,$V31:$V32)/SUM($V31:$V32)</f>
        <v>0.14093947078489683</v>
      </c>
    </row>
    <row r="34" spans="1:23" x14ac:dyDescent="0.25">
      <c r="B34" s="1906" t="s">
        <v>878</v>
      </c>
      <c r="C34" s="1906" t="s">
        <v>57</v>
      </c>
      <c r="D34" s="1907">
        <v>16.420497780000002</v>
      </c>
      <c r="E34" s="1908">
        <v>1.025103418</v>
      </c>
      <c r="F34" s="1908">
        <v>5.0802276219999998</v>
      </c>
      <c r="G34" s="1908">
        <v>58.174775990000001</v>
      </c>
      <c r="H34" s="1908">
        <v>8.2533917179999996</v>
      </c>
      <c r="I34" s="1922">
        <f t="shared" si="99"/>
        <v>66.428167708000004</v>
      </c>
      <c r="J34" s="1908">
        <v>12.599904012819824</v>
      </c>
      <c r="K34" s="1908">
        <v>2.0147975275464698</v>
      </c>
      <c r="L34" s="1908">
        <v>17.233537910816104</v>
      </c>
      <c r="M34" s="1908">
        <v>0</v>
      </c>
      <c r="N34" s="1922">
        <f t="shared" si="100"/>
        <v>17.233537910816104</v>
      </c>
      <c r="O34" s="1908">
        <v>4.0207230992832326</v>
      </c>
      <c r="P34" s="1908">
        <v>1.0294242210637272</v>
      </c>
      <c r="Q34" s="1907">
        <v>9.9723134562589788</v>
      </c>
      <c r="R34" s="1908">
        <v>0.68135989706046762</v>
      </c>
      <c r="S34" s="1907">
        <v>16.988614125821439</v>
      </c>
      <c r="T34" s="1907">
        <v>0</v>
      </c>
      <c r="U34" s="1907">
        <v>21.584459558713572</v>
      </c>
      <c r="V34" s="1908">
        <v>175.07913033738382</v>
      </c>
      <c r="W34" s="1909">
        <v>0.23550813259375961</v>
      </c>
    </row>
    <row r="35" spans="1:23" x14ac:dyDescent="0.25">
      <c r="B35" s="1914"/>
      <c r="C35" s="1914" t="s">
        <v>2653</v>
      </c>
      <c r="D35" s="1911">
        <v>14.15332733</v>
      </c>
      <c r="E35" s="1912">
        <v>5.253086809</v>
      </c>
      <c r="F35" s="1912">
        <v>3.124514113</v>
      </c>
      <c r="G35" s="1912">
        <v>48.397214470000002</v>
      </c>
      <c r="H35" s="1912">
        <v>6.066240938</v>
      </c>
      <c r="I35" s="1922">
        <f t="shared" si="99"/>
        <v>54.463455408000002</v>
      </c>
      <c r="J35" s="1912">
        <v>20.016048200068383</v>
      </c>
      <c r="K35" s="1912">
        <v>0</v>
      </c>
      <c r="L35" s="1912">
        <v>13.403150969569678</v>
      </c>
      <c r="M35" s="1912">
        <v>0</v>
      </c>
      <c r="N35" s="1922">
        <f t="shared" si="100"/>
        <v>13.403150969569678</v>
      </c>
      <c r="O35" s="1912">
        <v>0.55823308772529678</v>
      </c>
      <c r="P35" s="1912">
        <v>0</v>
      </c>
      <c r="Q35" s="1911">
        <v>15.096741643465389</v>
      </c>
      <c r="R35" s="1912">
        <v>0</v>
      </c>
      <c r="S35" s="1911">
        <v>0</v>
      </c>
      <c r="T35" s="1911">
        <v>0</v>
      </c>
      <c r="U35" s="1911">
        <v>32.18137152998257</v>
      </c>
      <c r="V35" s="1912">
        <v>158.24992909081135</v>
      </c>
      <c r="W35" s="1913">
        <v>0.24213976109604499</v>
      </c>
    </row>
    <row r="36" spans="1:23" x14ac:dyDescent="0.25">
      <c r="A36" t="s">
        <v>2342</v>
      </c>
      <c r="C36" s="1910" t="s">
        <v>2666</v>
      </c>
      <c r="D36" s="1911">
        <f>SUMPRODUCT(D34:D35,$V34:$V35)/SUM($V34:$V35)</f>
        <v>15.344145290466846</v>
      </c>
      <c r="E36" s="1912">
        <f t="shared" ref="E36" si="120">SUMPRODUCT(E34:E35,$V34:$V35)/SUM($V34:$V35)</f>
        <v>3.0323633699845018</v>
      </c>
      <c r="F36" s="1912">
        <f t="shared" ref="F36" si="121">SUMPRODUCT(F34:F35,$V34:$V35)/SUM($V34:$V35)</f>
        <v>4.1517411448470485</v>
      </c>
      <c r="G36" s="1912">
        <f t="shared" ref="G36" si="122">SUMPRODUCT(G34:G35,$V34:$V35)/SUM($V34:$V35)</f>
        <v>53.532821220513839</v>
      </c>
      <c r="H36" s="1912">
        <f t="shared" ref="H36" si="123">SUMPRODUCT(H34:H35,$V34:$V35)/SUM($V34:$V35)</f>
        <v>7.2150290368714671</v>
      </c>
      <c r="I36" s="1922">
        <f t="shared" ref="I36" si="124">SUMPRODUCT(I34:I35,$V34:$V35)/SUM($V34:$V35)</f>
        <v>60.747850257385323</v>
      </c>
      <c r="J36" s="1912">
        <f t="shared" ref="J36" si="125">SUMPRODUCT(J34:J35,$V34:$V35)/SUM($V34:$V35)</f>
        <v>16.120762031537307</v>
      </c>
      <c r="K36" s="1912">
        <f t="shared" ref="K36" si="126">SUMPRODUCT(K34:K35,$V34:$V35)/SUM($V34:$V35)</f>
        <v>1.0582605655020465</v>
      </c>
      <c r="L36" s="1912">
        <f t="shared" ref="L36" si="127">SUMPRODUCT(L34:L35,$V34:$V35)/SUM($V34:$V35)</f>
        <v>15.415039209015418</v>
      </c>
      <c r="M36" s="1912">
        <f t="shared" ref="M36" si="128">SUMPRODUCT(M34:M35,$V34:$V35)/SUM($V34:$V35)</f>
        <v>0</v>
      </c>
      <c r="N36" s="1922">
        <f t="shared" ref="N36" si="129">SUMPRODUCT(N34:N35,$V34:$V35)/SUM($V34:$V35)</f>
        <v>15.415039209015418</v>
      </c>
      <c r="O36" s="1912">
        <f t="shared" ref="O36" si="130">SUMPRODUCT(O34:O35,$V34:$V35)/SUM($V34:$V35)</f>
        <v>2.3768856260469056</v>
      </c>
      <c r="P36" s="1912">
        <f t="shared" ref="P36" si="131">SUMPRODUCT(P34:P35,$V34:$V35)/SUM($V34:$V35)</f>
        <v>0.54069902480524934</v>
      </c>
      <c r="Q36" s="1911">
        <f t="shared" ref="Q36" si="132">SUMPRODUCT(Q34:Q35,$V34:$V35)/SUM($V34:$V35)</f>
        <v>12.405165841369016</v>
      </c>
      <c r="R36" s="1912">
        <f t="shared" ref="R36" si="133">SUMPRODUCT(R34:R35,$V34:$V35)/SUM($V34:$V35)</f>
        <v>0.35788028331149319</v>
      </c>
      <c r="S36" s="1911">
        <f t="shared" ref="S36" si="134">SUMPRODUCT(S34:S35,$V34:$V35)/SUM($V34:$V35)</f>
        <v>8.9231697707020299</v>
      </c>
      <c r="T36" s="1911">
        <f t="shared" ref="T36" si="135">SUMPRODUCT(T34:T35,$V34:$V35)/SUM($V34:$V35)</f>
        <v>0</v>
      </c>
      <c r="U36" s="1911">
        <f t="shared" ref="U36" si="136">SUMPRODUCT(U34:U35,$V34:$V35)/SUM($V34:$V35)</f>
        <v>26.615405768178807</v>
      </c>
      <c r="V36" s="1912">
        <f t="shared" ref="V36" si="137">SUMPRODUCT(V34:V35,$V34:$V35)/SUM($V34:$V35)</f>
        <v>167.089368183152</v>
      </c>
      <c r="W36" s="1913">
        <f t="shared" ref="W36" si="138">SUMPRODUCT(W34:W35,$V34:$V35)/SUM($V34:$V35)</f>
        <v>0.23865653718243707</v>
      </c>
    </row>
    <row r="37" spans="1:23" x14ac:dyDescent="0.25">
      <c r="B37" s="1906" t="s">
        <v>2216</v>
      </c>
      <c r="C37" s="1906" t="s">
        <v>2654</v>
      </c>
      <c r="D37" s="1907">
        <v>11.27571893</v>
      </c>
      <c r="E37" s="1908">
        <v>2.3755516490000002</v>
      </c>
      <c r="F37" s="1908">
        <v>17.51903634</v>
      </c>
      <c r="G37" s="1908">
        <v>37.08408215</v>
      </c>
      <c r="H37" s="1908">
        <v>0</v>
      </c>
      <c r="I37" s="1922">
        <f t="shared" si="99"/>
        <v>37.08408215</v>
      </c>
      <c r="J37" s="1908">
        <v>13.592347576154602</v>
      </c>
      <c r="K37" s="1908">
        <v>0</v>
      </c>
      <c r="L37" s="1908">
        <v>10.591699795283327</v>
      </c>
      <c r="M37" s="1908">
        <v>3.7721586472322306</v>
      </c>
      <c r="N37" s="1922">
        <f t="shared" si="100"/>
        <v>14.363858442515557</v>
      </c>
      <c r="O37" s="1908">
        <v>1.67049412954471</v>
      </c>
      <c r="P37" s="1908">
        <v>0.79503557058630858</v>
      </c>
      <c r="Q37" s="1907">
        <v>7.5937691377333767</v>
      </c>
      <c r="R37" s="1908">
        <v>0.44433994898460527</v>
      </c>
      <c r="S37" s="1907">
        <v>19.803352735924612</v>
      </c>
      <c r="T37" s="1907">
        <v>0</v>
      </c>
      <c r="U37" s="1907">
        <v>7.4458244095061108</v>
      </c>
      <c r="V37" s="1908">
        <v>133.96341101994989</v>
      </c>
      <c r="W37" s="1909">
        <v>0.18565490755171163</v>
      </c>
    </row>
    <row r="38" spans="1:23" x14ac:dyDescent="0.25">
      <c r="B38" s="1910"/>
      <c r="C38" s="1910" t="s">
        <v>2655</v>
      </c>
      <c r="D38" s="1911">
        <v>10.92771031</v>
      </c>
      <c r="E38" s="1912">
        <v>2.0884595259999998</v>
      </c>
      <c r="F38" s="1912">
        <v>13.986456459999999</v>
      </c>
      <c r="G38" s="1912">
        <v>16.305540529999998</v>
      </c>
      <c r="H38" s="1912">
        <v>0</v>
      </c>
      <c r="I38" s="1922">
        <f t="shared" si="99"/>
        <v>16.305540529999998</v>
      </c>
      <c r="J38" s="1912">
        <v>6.4402763645201606</v>
      </c>
      <c r="K38" s="1912">
        <v>0</v>
      </c>
      <c r="L38" s="1912">
        <v>6.5076460256469595</v>
      </c>
      <c r="M38" s="1912">
        <v>0</v>
      </c>
      <c r="N38" s="1922">
        <f t="shared" si="100"/>
        <v>6.5076460256469595</v>
      </c>
      <c r="O38" s="1912">
        <v>5.7055740012036471E-3</v>
      </c>
      <c r="P38" s="1912">
        <v>0</v>
      </c>
      <c r="Q38" s="1911">
        <v>5.6869727610347303</v>
      </c>
      <c r="R38" s="1912">
        <v>0</v>
      </c>
      <c r="S38" s="1911">
        <v>0</v>
      </c>
      <c r="T38" s="1911">
        <v>0</v>
      </c>
      <c r="U38" s="1911">
        <v>16.769679724961289</v>
      </c>
      <c r="V38" s="1912">
        <v>78.718447276164341</v>
      </c>
      <c r="W38" s="1913">
        <v>0.21185128964646066</v>
      </c>
    </row>
    <row r="39" spans="1:23" x14ac:dyDescent="0.25">
      <c r="A39" t="s">
        <v>1645</v>
      </c>
      <c r="C39" s="1910" t="s">
        <v>2666</v>
      </c>
      <c r="D39" s="1911">
        <f>SUMPRODUCT(D37:D38,$V37:$V38)/SUM($V37:$V38)</f>
        <v>11.146912935804767</v>
      </c>
      <c r="E39" s="1912">
        <f t="shared" ref="E39" si="139">SUMPRODUCT(E37:E38,$V37:$V38)/SUM($V37:$V38)</f>
        <v>2.2692922513775069</v>
      </c>
      <c r="F39" s="1912">
        <f t="shared" ref="F39" si="140">SUMPRODUCT(F37:F38,$V37:$V38)/SUM($V37:$V38)</f>
        <v>16.211547279765004</v>
      </c>
      <c r="G39" s="1912">
        <f t="shared" ref="G39" si="141">SUMPRODUCT(G37:G38,$V37:$V38)/SUM($V37:$V38)</f>
        <v>29.393466005804683</v>
      </c>
      <c r="H39" s="1912">
        <f t="shared" ref="H39" si="142">SUMPRODUCT(H37:H38,$V37:$V38)/SUM($V37:$V38)</f>
        <v>0</v>
      </c>
      <c r="I39" s="1922">
        <f t="shared" ref="I39" si="143">SUMPRODUCT(I37:I38,$V37:$V38)/SUM($V37:$V38)</f>
        <v>29.393466005804683</v>
      </c>
      <c r="J39" s="1912">
        <f t="shared" ref="J39" si="144">SUMPRODUCT(J37:J38,$V37:$V38)/SUM($V37:$V38)</f>
        <v>10.945201528537503</v>
      </c>
      <c r="K39" s="1912">
        <f t="shared" ref="K39" si="145">SUMPRODUCT(K37:K38,$V37:$V38)/SUM($V37:$V38)</f>
        <v>0</v>
      </c>
      <c r="L39" s="1912">
        <f t="shared" ref="L39" si="146">SUMPRODUCT(L37:L38,$V37:$V38)/SUM($V37:$V38)</f>
        <v>9.0800975650144267</v>
      </c>
      <c r="M39" s="1912">
        <f t="shared" ref="M39" si="147">SUMPRODUCT(M37:M38,$V37:$V38)/SUM($V37:$V38)</f>
        <v>2.3759959751153916</v>
      </c>
      <c r="N39" s="1922">
        <f t="shared" ref="N39" si="148">SUMPRODUCT(N37:N38,$V37:$V38)/SUM($V37:$V38)</f>
        <v>11.456093540129817</v>
      </c>
      <c r="O39" s="1912">
        <f t="shared" ref="O39" si="149">SUMPRODUCT(O37:O38,$V37:$V38)/SUM($V37:$V38)</f>
        <v>1.0543175962691043</v>
      </c>
      <c r="P39" s="1912">
        <f t="shared" ref="P39" si="150">SUMPRODUCT(P37:P38,$V37:$V38)/SUM($V37:$V38)</f>
        <v>0.50077462069965339</v>
      </c>
      <c r="Q39" s="1911">
        <f t="shared" ref="Q39" si="151">SUMPRODUCT(Q37:Q38,$V37:$V38)/SUM($V37:$V38)</f>
        <v>6.8880199438526688</v>
      </c>
      <c r="R39" s="1912">
        <f t="shared" ref="R39" si="152">SUMPRODUCT(R37:R38,$V37:$V38)/SUM($V37:$V38)</f>
        <v>0.27987951438496428</v>
      </c>
      <c r="S39" s="1911">
        <f t="shared" ref="S39" si="153">SUMPRODUCT(S37:S38,$V37:$V38)/SUM($V37:$V38)</f>
        <v>12.473676426327273</v>
      </c>
      <c r="T39" s="1911">
        <f t="shared" ref="T39" si="154">SUMPRODUCT(T37:T38,$V37:$V38)/SUM($V37:$V38)</f>
        <v>0</v>
      </c>
      <c r="U39" s="1911">
        <f t="shared" ref="U39" si="155">SUMPRODUCT(U37:U38,$V37:$V38)/SUM($V37:$V38)</f>
        <v>10.896797703327726</v>
      </c>
      <c r="V39" s="1912">
        <f t="shared" ref="V39" si="156">SUMPRODUCT(V37:V38,$V37:$V38)/SUM($V37:$V38)</f>
        <v>113.51597934628067</v>
      </c>
      <c r="W39" s="1913">
        <f t="shared" ref="W39" si="157">SUMPRODUCT(W37:W38,$V37:$V38)/SUM($V37:$V38)</f>
        <v>0.19535079106181652</v>
      </c>
    </row>
    <row r="40" spans="1:23" x14ac:dyDescent="0.25">
      <c r="B40" s="1906" t="s">
        <v>63</v>
      </c>
      <c r="C40" s="1906" t="s">
        <v>2654</v>
      </c>
      <c r="D40" s="1907">
        <v>9.7720209400000009</v>
      </c>
      <c r="E40" s="1908">
        <v>1.8740065020000001</v>
      </c>
      <c r="F40" s="1908">
        <v>1.0919549449999999</v>
      </c>
      <c r="G40" s="1908">
        <v>15.600788830000001</v>
      </c>
      <c r="H40" s="1908">
        <v>5.7481246E-2</v>
      </c>
      <c r="I40" s="1922">
        <f t="shared" si="99"/>
        <v>15.658270076000001</v>
      </c>
      <c r="J40" s="1908">
        <v>9.0415736840838523</v>
      </c>
      <c r="K40" s="1908">
        <v>1.2178684450889312</v>
      </c>
      <c r="L40" s="1908">
        <v>4.7023385901786652</v>
      </c>
      <c r="M40" s="1908">
        <v>0</v>
      </c>
      <c r="N40" s="1922">
        <f t="shared" si="100"/>
        <v>4.7023385901786652</v>
      </c>
      <c r="O40" s="1908">
        <v>1.6741246447969065</v>
      </c>
      <c r="P40" s="1908">
        <v>0</v>
      </c>
      <c r="Q40" s="1907">
        <v>3.7199093720667165</v>
      </c>
      <c r="R40" s="1908">
        <v>0.27344264041653632</v>
      </c>
      <c r="S40" s="1907">
        <v>0</v>
      </c>
      <c r="T40" s="1907">
        <v>28.373422517411417</v>
      </c>
      <c r="U40" s="1907">
        <v>11.164870782868572</v>
      </c>
      <c r="V40" s="1908">
        <v>88.563803139911599</v>
      </c>
      <c r="W40" s="1909">
        <v>0.13291298234934712</v>
      </c>
    </row>
    <row r="41" spans="1:23" x14ac:dyDescent="0.25">
      <c r="C41" t="s">
        <v>1100</v>
      </c>
      <c r="D41" s="1915">
        <v>9.7719831740000007</v>
      </c>
      <c r="E41" s="1916">
        <v>3.9917394229999998</v>
      </c>
      <c r="F41" s="1916">
        <v>1.4381270799999999</v>
      </c>
      <c r="G41" s="1916">
        <v>15.315534</v>
      </c>
      <c r="H41" s="1916">
        <v>0</v>
      </c>
      <c r="I41" s="1922">
        <f t="shared" si="99"/>
        <v>15.315534</v>
      </c>
      <c r="J41" s="1916">
        <v>6.0392295032445746</v>
      </c>
      <c r="K41" s="1916">
        <v>0</v>
      </c>
      <c r="L41" s="1916">
        <v>1.9822574904900423</v>
      </c>
      <c r="M41" s="1916">
        <v>0</v>
      </c>
      <c r="N41" s="1922">
        <f t="shared" si="100"/>
        <v>1.9822574904900423</v>
      </c>
      <c r="O41" s="1916">
        <v>2.6517312411426866E-3</v>
      </c>
      <c r="P41" s="1916">
        <v>0</v>
      </c>
      <c r="Q41" s="1915">
        <v>3.0930073842022847</v>
      </c>
      <c r="R41" s="1916">
        <v>0.59675266894159773</v>
      </c>
      <c r="S41" s="1915">
        <v>0</v>
      </c>
      <c r="T41" s="1915">
        <v>0</v>
      </c>
      <c r="U41" s="1915">
        <v>11.336653317296932</v>
      </c>
      <c r="V41" s="1916">
        <v>53.567935772416575</v>
      </c>
      <c r="W41" s="1917">
        <v>0.17520952124105876</v>
      </c>
    </row>
    <row r="42" spans="1:23" x14ac:dyDescent="0.25">
      <c r="B42" s="1910"/>
      <c r="C42" s="1910" t="s">
        <v>2655</v>
      </c>
      <c r="D42" s="1911">
        <v>12.22708319</v>
      </c>
      <c r="E42" s="1912">
        <v>4.4231852519999997</v>
      </c>
      <c r="F42" s="1912">
        <v>3.1084636520000002</v>
      </c>
      <c r="G42" s="1912">
        <v>5.8130012109999996</v>
      </c>
      <c r="H42" s="1912">
        <v>0</v>
      </c>
      <c r="I42" s="1922">
        <f t="shared" si="99"/>
        <v>5.8130012109999996</v>
      </c>
      <c r="J42" s="1912">
        <v>4.4886628680479825</v>
      </c>
      <c r="K42" s="1912">
        <v>0</v>
      </c>
      <c r="L42" s="1912">
        <v>4.4800473918575063</v>
      </c>
      <c r="M42" s="1912">
        <v>0</v>
      </c>
      <c r="N42" s="1922">
        <f t="shared" si="100"/>
        <v>4.4800473918575063</v>
      </c>
      <c r="O42" s="1912">
        <v>0</v>
      </c>
      <c r="P42" s="1912">
        <v>0</v>
      </c>
      <c r="Q42" s="1911">
        <v>0</v>
      </c>
      <c r="R42" s="1912">
        <v>0</v>
      </c>
      <c r="S42" s="1911">
        <v>0</v>
      </c>
      <c r="T42" s="1911">
        <v>0</v>
      </c>
      <c r="U42" s="1911">
        <v>9.097942397310069</v>
      </c>
      <c r="V42" s="1912">
        <v>43.638385962215558</v>
      </c>
      <c r="W42" s="1913">
        <v>0.16403312909760792</v>
      </c>
    </row>
    <row r="43" spans="1:23" x14ac:dyDescent="0.25">
      <c r="A43" t="s">
        <v>63</v>
      </c>
      <c r="C43" s="1910" t="s">
        <v>2666</v>
      </c>
      <c r="D43" s="1911">
        <f>SUMPRODUCT(D40:D42,$V40:$V42)/SUM($V40:$V42)</f>
        <v>10.348717171713542</v>
      </c>
      <c r="E43" s="1912">
        <f t="shared" ref="E43" si="158">SUMPRODUCT(E40:E42,$V40:$V42)/SUM($V40:$V42)</f>
        <v>3.0834831464613996</v>
      </c>
      <c r="F43" s="1912">
        <f t="shared" ref="F43" si="159">SUMPRODUCT(F40:F42,$V40:$V42)/SUM($V40:$V42)</f>
        <v>1.6654643401089548</v>
      </c>
      <c r="G43" s="1912">
        <f t="shared" ref="G43" si="160">SUMPRODUCT(G40:G42,$V40:$V42)/SUM($V40:$V42)</f>
        <v>13.219330742780125</v>
      </c>
      <c r="H43" s="1912">
        <f t="shared" ref="H43" si="161">SUMPRODUCT(H40:H42,$V40:$V42)/SUM($V40:$V42)</f>
        <v>2.7403533040733952E-2</v>
      </c>
      <c r="I43" s="1922">
        <f t="shared" ref="I43" si="162">SUMPRODUCT(I40:I42,$V40:$V42)/SUM($V40:$V42)</f>
        <v>13.246734275820859</v>
      </c>
      <c r="J43" s="1912">
        <f t="shared" ref="J43" si="163">SUMPRODUCT(J40:J42,$V40:$V42)/SUM($V40:$V42)</f>
        <v>7.1063267764855782</v>
      </c>
      <c r="K43" s="1912">
        <f t="shared" ref="K43" si="164">SUMPRODUCT(K40:K42,$V40:$V42)/SUM($V40:$V42)</f>
        <v>0.58060498852550635</v>
      </c>
      <c r="L43" s="1912">
        <f t="shared" ref="L43" si="165">SUMPRODUCT(L40:L42,$V40:$V42)/SUM($V40:$V42)</f>
        <v>3.8657694224657226</v>
      </c>
      <c r="M43" s="1912">
        <f t="shared" ref="M43" si="166">SUMPRODUCT(M40:M42,$V40:$V42)/SUM($V40:$V42)</f>
        <v>0</v>
      </c>
      <c r="N43" s="1922">
        <f t="shared" ref="N43" si="167">SUMPRODUCT(N40:N42,$V40:$V42)/SUM($V40:$V42)</f>
        <v>3.8657694224657226</v>
      </c>
      <c r="O43" s="1912">
        <f t="shared" ref="O43" si="168">SUMPRODUCT(O40:O42,$V40:$V42)/SUM($V40:$V42)</f>
        <v>0.79888460721283361</v>
      </c>
      <c r="P43" s="1912">
        <f t="shared" ref="P43" si="169">SUMPRODUCT(P40:P42,$V40:$V42)/SUM($V40:$V42)</f>
        <v>0</v>
      </c>
      <c r="Q43" s="1911">
        <f t="shared" ref="Q43" si="170">SUMPRODUCT(Q40:Q42,$V40:$V42)/SUM($V40:$V42)</f>
        <v>2.6653119954619569</v>
      </c>
      <c r="R43" s="1912">
        <f t="shared" ref="R43" si="171">SUMPRODUCT(R40:R42,$V40:$V42)/SUM($V40:$V42)</f>
        <v>0.3024379127469079</v>
      </c>
      <c r="S43" s="1911">
        <f t="shared" ref="S43" si="172">SUMPRODUCT(S40:S42,$V40:$V42)/SUM($V40:$V42)</f>
        <v>0</v>
      </c>
      <c r="T43" s="1911">
        <f t="shared" ref="T43" si="173">SUMPRODUCT(T40:T42,$V40:$V42)/SUM($V40:$V42)</f>
        <v>13.526707848931956</v>
      </c>
      <c r="U43" s="1911">
        <f t="shared" ref="U43" si="174">SUMPRODUCT(U40:U42,$V40:$V42)/SUM($V40:$V42)</f>
        <v>10.728872890694692</v>
      </c>
      <c r="V43" s="1912">
        <f t="shared" ref="V43" si="175">SUMPRODUCT(V40:V42,$V40:$V42)/SUM($V40:$V42)</f>
        <v>67.91931537662991</v>
      </c>
      <c r="W43" s="1913">
        <f t="shared" ref="W43" si="176">SUMPRODUCT(W40:W42,$V40:$V42)/SUM($V40:$V42)</f>
        <v>0.15241973165145029</v>
      </c>
    </row>
    <row r="44" spans="1:23" x14ac:dyDescent="0.25">
      <c r="B44" s="1906" t="s">
        <v>2656</v>
      </c>
      <c r="C44" s="1906" t="s">
        <v>2217</v>
      </c>
      <c r="D44" s="1907">
        <v>31.98926148</v>
      </c>
      <c r="E44" s="1908">
        <v>10.00256735</v>
      </c>
      <c r="F44" s="1908">
        <v>72.767413770000005</v>
      </c>
      <c r="G44" s="1908">
        <v>185.7511389</v>
      </c>
      <c r="H44" s="1908">
        <v>0</v>
      </c>
      <c r="I44" s="1922">
        <f t="shared" si="99"/>
        <v>185.7511389</v>
      </c>
      <c r="J44" s="1908">
        <v>16.414204407488189</v>
      </c>
      <c r="K44" s="1908">
        <v>0</v>
      </c>
      <c r="L44" s="1908">
        <v>37.609997855325339</v>
      </c>
      <c r="M44" s="1908">
        <v>0</v>
      </c>
      <c r="N44" s="1922">
        <f t="shared" si="100"/>
        <v>37.609997855325339</v>
      </c>
      <c r="O44" s="1908">
        <v>7.7539281715739733E-2</v>
      </c>
      <c r="P44" s="1908">
        <v>18.340692228482578</v>
      </c>
      <c r="Q44" s="1907">
        <v>0</v>
      </c>
      <c r="R44" s="1908">
        <v>0</v>
      </c>
      <c r="S44" s="1907">
        <v>152.90540510521441</v>
      </c>
      <c r="T44" s="1907">
        <v>0</v>
      </c>
      <c r="U44" s="1907">
        <v>0</v>
      </c>
      <c r="V44" s="1908">
        <v>525.85822037822618</v>
      </c>
      <c r="W44" s="1909">
        <v>0.21684963894285372</v>
      </c>
    </row>
    <row r="45" spans="1:23" x14ac:dyDescent="0.25">
      <c r="B45" s="1910"/>
      <c r="C45" s="1910" t="s">
        <v>2657</v>
      </c>
      <c r="D45" s="1911">
        <v>28.46036192</v>
      </c>
      <c r="E45" s="1912">
        <v>10.37885868</v>
      </c>
      <c r="F45" s="1912">
        <v>75.298593990000001</v>
      </c>
      <c r="G45" s="1912">
        <v>249.91523380000001</v>
      </c>
      <c r="H45" s="1912">
        <v>0</v>
      </c>
      <c r="I45" s="1922">
        <f t="shared" si="99"/>
        <v>249.91523380000001</v>
      </c>
      <c r="J45" s="1912">
        <v>20.617462502998801</v>
      </c>
      <c r="K45" s="1912">
        <v>0</v>
      </c>
      <c r="L45" s="1912">
        <v>45.897451019592161</v>
      </c>
      <c r="M45" s="1912">
        <v>0</v>
      </c>
      <c r="N45" s="1922">
        <f t="shared" si="100"/>
        <v>45.897451019592161</v>
      </c>
      <c r="O45" s="1912">
        <v>0</v>
      </c>
      <c r="P45" s="1912">
        <v>40.704379360700173</v>
      </c>
      <c r="Q45" s="1911">
        <v>0</v>
      </c>
      <c r="R45" s="1912">
        <v>0</v>
      </c>
      <c r="S45" s="1911">
        <v>269.48507596961235</v>
      </c>
      <c r="T45" s="1911">
        <v>0</v>
      </c>
      <c r="U45" s="1911">
        <v>0</v>
      </c>
      <c r="V45" s="1912">
        <v>740.75741724290356</v>
      </c>
      <c r="W45" s="1913">
        <v>0.21904769266843488</v>
      </c>
    </row>
    <row r="46" spans="1:23" x14ac:dyDescent="0.25">
      <c r="A46" t="s">
        <v>2217</v>
      </c>
      <c r="C46" s="1910" t="s">
        <v>2666</v>
      </c>
      <c r="D46" s="1911">
        <f>SUMPRODUCT(D44:D45,$V44:$V45)/SUM($V44:$V45)</f>
        <v>29.925447923517495</v>
      </c>
      <c r="E46" s="1912">
        <f t="shared" ref="E46" si="177">SUMPRODUCT(E44:E45,$V44:$V45)/SUM($V44:$V45)</f>
        <v>10.222634579128174</v>
      </c>
      <c r="F46" s="1912">
        <f t="shared" ref="F46" si="178">SUMPRODUCT(F44:F45,$V44:$V45)/SUM($V44:$V45)</f>
        <v>74.247729081648146</v>
      </c>
      <c r="G46" s="1912">
        <f t="shared" ref="G46" si="179">SUMPRODUCT(G44:G45,$V44:$V45)/SUM($V44:$V45)</f>
        <v>223.27635792154956</v>
      </c>
      <c r="H46" s="1912">
        <f t="shared" ref="H46" si="180">SUMPRODUCT(H44:H45,$V44:$V45)/SUM($V44:$V45)</f>
        <v>0</v>
      </c>
      <c r="I46" s="1922">
        <f t="shared" ref="I46" si="181">SUMPRODUCT(I44:I45,$V44:$V45)/SUM($V44:$V45)</f>
        <v>223.27635792154956</v>
      </c>
      <c r="J46" s="1912">
        <f t="shared" ref="J46" si="182">SUMPRODUCT(J44:J45,$V44:$V45)/SUM($V44:$V45)</f>
        <v>18.8724044473073</v>
      </c>
      <c r="K46" s="1912">
        <f t="shared" ref="K46" si="183">SUMPRODUCT(K44:K45,$V44:$V45)/SUM($V44:$V45)</f>
        <v>0</v>
      </c>
      <c r="L46" s="1912">
        <f t="shared" ref="L46" si="184">SUMPRODUCT(L44:L45,$V44:$V45)/SUM($V44:$V45)</f>
        <v>42.456766061198472</v>
      </c>
      <c r="M46" s="1912">
        <f t="shared" ref="M46" si="185">SUMPRODUCT(M44:M45,$V44:$V45)/SUM($V44:$V45)</f>
        <v>0</v>
      </c>
      <c r="N46" s="1922">
        <f t="shared" ref="N46" si="186">SUMPRODUCT(N44:N45,$V44:$V45)/SUM($V44:$V45)</f>
        <v>42.456766061198472</v>
      </c>
      <c r="O46" s="1912">
        <f t="shared" ref="O46" si="187">SUMPRODUCT(O44:O45,$V44:$V45)/SUM($V44:$V45)</f>
        <v>3.2191824797793436E-2</v>
      </c>
      <c r="P46" s="1912">
        <f t="shared" ref="P46" si="188">SUMPRODUCT(P44:P45,$V44:$V45)/SUM($V44:$V45)</f>
        <v>31.419693172449371</v>
      </c>
      <c r="Q46" s="1911">
        <f t="shared" ref="Q46" si="189">SUMPRODUCT(Q44:Q45,$V44:$V45)/SUM($V44:$V45)</f>
        <v>0</v>
      </c>
      <c r="R46" s="1912">
        <f t="shared" ref="R46" si="190">SUMPRODUCT(R44:R45,$V44:$V45)/SUM($V44:$V45)</f>
        <v>0</v>
      </c>
      <c r="S46" s="1911">
        <f t="shared" ref="S46" si="191">SUMPRODUCT(S44:S45,$V44:$V45)/SUM($V44:$V45)</f>
        <v>221.08493275949903</v>
      </c>
      <c r="T46" s="1911">
        <f t="shared" ref="T46" si="192">SUMPRODUCT(T44:T45,$V44:$V45)/SUM($V44:$V45)</f>
        <v>0</v>
      </c>
      <c r="U46" s="1911">
        <f t="shared" ref="U46" si="193">SUMPRODUCT(U44:U45,$V44:$V45)/SUM($V44:$V45)</f>
        <v>0</v>
      </c>
      <c r="V46" s="1912">
        <f t="shared" ref="V46" si="194">SUMPRODUCT(V44:V45,$V44:$V45)/SUM($V44:$V45)</f>
        <v>651.53815777109537</v>
      </c>
      <c r="W46" s="1913">
        <f t="shared" ref="W46" si="195">SUMPRODUCT(W44:W45,$V44:$V45)/SUM($V44:$V45)</f>
        <v>0.21813513120456354</v>
      </c>
    </row>
    <row r="47" spans="1:23" x14ac:dyDescent="0.25">
      <c r="B47" s="1906" t="s">
        <v>2658</v>
      </c>
      <c r="C47" s="1906" t="s">
        <v>2659</v>
      </c>
      <c r="D47" s="1907">
        <v>18.89221216</v>
      </c>
      <c r="E47" s="1908">
        <v>4.4165657249999999</v>
      </c>
      <c r="F47" s="1908">
        <v>3.7702331739999999</v>
      </c>
      <c r="G47" s="1908">
        <v>29.97799839</v>
      </c>
      <c r="H47" s="1908">
        <v>0</v>
      </c>
      <c r="I47" s="1922">
        <f t="shared" si="99"/>
        <v>29.97799839</v>
      </c>
      <c r="J47" s="1908">
        <v>7.6179327636481453</v>
      </c>
      <c r="K47" s="1908">
        <v>0</v>
      </c>
      <c r="L47" s="1908">
        <v>16.027952377288187</v>
      </c>
      <c r="M47" s="1908">
        <v>0</v>
      </c>
      <c r="N47" s="1922">
        <f t="shared" si="100"/>
        <v>16.027952377288187</v>
      </c>
      <c r="O47" s="1908">
        <v>0</v>
      </c>
      <c r="P47" s="1908">
        <v>0</v>
      </c>
      <c r="Q47" s="1907">
        <v>0</v>
      </c>
      <c r="R47" s="1908">
        <v>0</v>
      </c>
      <c r="S47" s="1907">
        <v>0</v>
      </c>
      <c r="T47" s="1907">
        <v>0</v>
      </c>
      <c r="U47" s="1907">
        <v>7.4931493277174797</v>
      </c>
      <c r="V47" s="1908">
        <v>88.19604391765381</v>
      </c>
      <c r="W47" s="1909">
        <v>0.22481996959711098</v>
      </c>
    </row>
    <row r="48" spans="1:23" x14ac:dyDescent="0.25">
      <c r="B48" s="1910"/>
      <c r="C48" s="1910" t="s">
        <v>2660</v>
      </c>
      <c r="D48" s="1911">
        <v>26.631692269999999</v>
      </c>
      <c r="E48" s="1912">
        <v>6.0586520549999996</v>
      </c>
      <c r="F48" s="1912">
        <v>2.9781314920000002</v>
      </c>
      <c r="G48" s="1912">
        <v>39.269537659999997</v>
      </c>
      <c r="H48" s="1912">
        <v>0</v>
      </c>
      <c r="I48" s="1922">
        <f t="shared" si="99"/>
        <v>39.269537659999997</v>
      </c>
      <c r="J48" s="1912">
        <v>7.6484214533333335</v>
      </c>
      <c r="K48" s="1912">
        <v>0</v>
      </c>
      <c r="L48" s="1912">
        <v>10.858297755555556</v>
      </c>
      <c r="M48" s="1912">
        <v>0</v>
      </c>
      <c r="N48" s="1922">
        <f t="shared" si="100"/>
        <v>10.858297755555556</v>
      </c>
      <c r="O48" s="1912">
        <v>0</v>
      </c>
      <c r="P48" s="1912">
        <v>0</v>
      </c>
      <c r="Q48" s="1911">
        <v>0</v>
      </c>
      <c r="R48" s="1912">
        <v>0</v>
      </c>
      <c r="S48" s="1911">
        <v>0</v>
      </c>
      <c r="T48" s="1911">
        <v>0</v>
      </c>
      <c r="U48" s="1911">
        <v>5.4236712755555549</v>
      </c>
      <c r="V48" s="1912">
        <v>98.868403961444429</v>
      </c>
      <c r="W48" s="1913">
        <v>0.18039157765982777</v>
      </c>
    </row>
    <row r="49" spans="1:25" x14ac:dyDescent="0.25">
      <c r="A49" t="s">
        <v>69</v>
      </c>
      <c r="C49" s="1910" t="s">
        <v>2666</v>
      </c>
      <c r="D49" s="1911">
        <f>SUMPRODUCT(D47:D48,$V47:$V48)/SUM($V47:$V48)</f>
        <v>22.982727779844531</v>
      </c>
      <c r="E49" s="1912">
        <f t="shared" ref="E49" si="196">SUMPRODUCT(E47:E48,$V47:$V48)/SUM($V47:$V48)</f>
        <v>5.2844508654139313</v>
      </c>
      <c r="F49" s="1912">
        <f t="shared" ref="F49" si="197">SUMPRODUCT(F47:F48,$V47:$V48)/SUM($V47:$V48)</f>
        <v>3.3515869268780962</v>
      </c>
      <c r="G49" s="1912">
        <f t="shared" ref="G49" si="198">SUMPRODUCT(G47:G48,$V47:$V48)/SUM($V47:$V48)</f>
        <v>34.888817460033614</v>
      </c>
      <c r="H49" s="1912">
        <f t="shared" ref="H49" si="199">SUMPRODUCT(H47:H48,$V47:$V48)/SUM($V47:$V48)</f>
        <v>0</v>
      </c>
      <c r="I49" s="1922">
        <f t="shared" ref="I49" si="200">SUMPRODUCT(I47:I48,$V47:$V48)/SUM($V47:$V48)</f>
        <v>34.888817460033614</v>
      </c>
      <c r="J49" s="1912">
        <f t="shared" ref="J49" si="201">SUMPRODUCT(J47:J48,$V47:$V48)/SUM($V47:$V48)</f>
        <v>7.6340468255248224</v>
      </c>
      <c r="K49" s="1912">
        <f t="shared" ref="K49" si="202">SUMPRODUCT(K47:K48,$V47:$V48)/SUM($V47:$V48)</f>
        <v>0</v>
      </c>
      <c r="L49" s="1912">
        <f t="shared" ref="L49" si="203">SUMPRODUCT(L47:L48,$V47:$V48)/SUM($V47:$V48)</f>
        <v>13.295656062956192</v>
      </c>
      <c r="M49" s="1912">
        <f t="shared" ref="M49" si="204">SUMPRODUCT(M47:M48,$V47:$V48)/SUM($V47:$V48)</f>
        <v>0</v>
      </c>
      <c r="N49" s="1922">
        <f t="shared" ref="N49" si="205">SUMPRODUCT(N47:N48,$V47:$V48)/SUM($V47:$V48)</f>
        <v>13.295656062956192</v>
      </c>
      <c r="O49" s="1912">
        <f t="shared" ref="O49" si="206">SUMPRODUCT(O47:O48,$V47:$V48)/SUM($V47:$V48)</f>
        <v>0</v>
      </c>
      <c r="P49" s="1912">
        <f t="shared" ref="P49" si="207">SUMPRODUCT(P47:P48,$V47:$V48)/SUM($V47:$V48)</f>
        <v>0</v>
      </c>
      <c r="Q49" s="1911">
        <f t="shared" ref="Q49" si="208">SUMPRODUCT(Q47:Q48,$V47:$V48)/SUM($V47:$V48)</f>
        <v>0</v>
      </c>
      <c r="R49" s="1912">
        <f t="shared" ref="R49" si="209">SUMPRODUCT(R47:R48,$V47:$V48)/SUM($V47:$V48)</f>
        <v>0</v>
      </c>
      <c r="S49" s="1911">
        <f t="shared" ref="S49" si="210">SUMPRODUCT(S47:S48,$V47:$V48)/SUM($V47:$V48)</f>
        <v>0</v>
      </c>
      <c r="T49" s="1911">
        <f t="shared" ref="T49" si="211">SUMPRODUCT(T47:T48,$V47:$V48)/SUM($V47:$V48)</f>
        <v>0</v>
      </c>
      <c r="U49" s="1911">
        <f t="shared" ref="U49" si="212">SUMPRODUCT(U47:U48,$V47:$V48)/SUM($V47:$V48)</f>
        <v>6.3993765966065039</v>
      </c>
      <c r="V49" s="1912">
        <f t="shared" ref="V49" si="213">SUMPRODUCT(V47:V48,$V47:$V48)/SUM($V47:$V48)</f>
        <v>93.836662517257693</v>
      </c>
      <c r="W49" s="1913">
        <f t="shared" ref="W49" si="214">SUMPRODUCT(W47:W48,$V47:$V48)/SUM($V47:$V48)</f>
        <v>0.20133841416947751</v>
      </c>
    </row>
    <row r="50" spans="1:25" x14ac:dyDescent="0.25">
      <c r="B50" s="1906" t="s">
        <v>2218</v>
      </c>
      <c r="C50" s="1906" t="s">
        <v>2661</v>
      </c>
      <c r="D50" s="1907">
        <v>14.812607059999999</v>
      </c>
      <c r="E50" s="1908">
        <v>0.99270096299999999</v>
      </c>
      <c r="F50" s="1908">
        <v>3.075393118</v>
      </c>
      <c r="G50" s="1908">
        <v>18.45157283</v>
      </c>
      <c r="H50" s="1908">
        <v>0</v>
      </c>
      <c r="I50" s="1922">
        <f t="shared" si="99"/>
        <v>18.45157283</v>
      </c>
      <c r="J50" s="1908">
        <v>10.662431918515603</v>
      </c>
      <c r="K50" s="1908">
        <v>0</v>
      </c>
      <c r="L50" s="1908">
        <v>8.6600369249882636</v>
      </c>
      <c r="M50" s="1908">
        <v>2.0405170138510198</v>
      </c>
      <c r="N50" s="1922">
        <f t="shared" si="100"/>
        <v>10.700553938839283</v>
      </c>
      <c r="O50" s="1908">
        <v>0.7514713021665631</v>
      </c>
      <c r="P50" s="1908">
        <v>0.94158931181153904</v>
      </c>
      <c r="Q50" s="1907">
        <v>0.34053881146459192</v>
      </c>
      <c r="R50" s="1908">
        <v>0.35670341306007486</v>
      </c>
      <c r="S50" s="1907">
        <v>4.0631337714826774</v>
      </c>
      <c r="T50" s="1907">
        <v>0</v>
      </c>
      <c r="U50" s="1907">
        <v>9.5406132051762249</v>
      </c>
      <c r="V50" s="1908">
        <v>74.689309643516566</v>
      </c>
      <c r="W50" s="1909">
        <v>0.22020832151119527</v>
      </c>
      <c r="Y50" s="1918"/>
    </row>
    <row r="51" spans="1:25" x14ac:dyDescent="0.25">
      <c r="B51" s="1910"/>
      <c r="C51" s="1910" t="s">
        <v>2662</v>
      </c>
      <c r="D51" s="1911">
        <v>15.51480074</v>
      </c>
      <c r="E51" s="1912">
        <v>1.0886792359999999</v>
      </c>
      <c r="F51" s="1912">
        <v>1.9867364750000001</v>
      </c>
      <c r="G51" s="1912">
        <v>29.49268447</v>
      </c>
      <c r="H51" s="1912">
        <v>0</v>
      </c>
      <c r="I51" s="1922">
        <f t="shared" si="99"/>
        <v>29.49268447</v>
      </c>
      <c r="J51" s="1912">
        <v>8.242454205708567</v>
      </c>
      <c r="K51" s="1912">
        <v>0</v>
      </c>
      <c r="L51" s="1912">
        <v>6.3845339363701514</v>
      </c>
      <c r="M51" s="1912">
        <v>1.3259505498992683</v>
      </c>
      <c r="N51" s="1922">
        <f t="shared" si="100"/>
        <v>7.7104844862694195</v>
      </c>
      <c r="O51" s="1912">
        <v>3.2174554144864045E-2</v>
      </c>
      <c r="P51" s="1912">
        <v>1.7380737608675083</v>
      </c>
      <c r="Q51" s="1911">
        <v>0</v>
      </c>
      <c r="R51" s="1912">
        <v>0.6153723170946066</v>
      </c>
      <c r="S51" s="1911">
        <v>6.5470043462519074</v>
      </c>
      <c r="T51" s="1911">
        <v>0</v>
      </c>
      <c r="U51" s="1911">
        <v>14.056271833793794</v>
      </c>
      <c r="V51" s="1912">
        <v>87.024736425130669</v>
      </c>
      <c r="W51" s="1913">
        <v>0.18425374911816181</v>
      </c>
    </row>
    <row r="52" spans="1:25" x14ac:dyDescent="0.25">
      <c r="A52" t="s">
        <v>2218</v>
      </c>
      <c r="C52" s="1910" t="s">
        <v>2666</v>
      </c>
      <c r="D52" s="1911">
        <f>SUMPRODUCT(D50:D51,$V50:$V51)/SUM($V50:$V51)</f>
        <v>15.190485305006943</v>
      </c>
      <c r="E52" s="1912">
        <f t="shared" ref="E52" si="215">SUMPRODUCT(E50:E51,$V50:$V51)/SUM($V50:$V51)</f>
        <v>1.0443506750282219</v>
      </c>
      <c r="F52" s="1912">
        <f t="shared" ref="F52" si="216">SUMPRODUCT(F50:F51,$V50:$V51)/SUM($V50:$V51)</f>
        <v>2.4895438382514392</v>
      </c>
      <c r="G52" s="1912">
        <f t="shared" ref="G52" si="217">SUMPRODUCT(G50:G51,$V50:$V51)/SUM($V50:$V51)</f>
        <v>24.393232529143042</v>
      </c>
      <c r="H52" s="1912">
        <f t="shared" ref="H52" si="218">SUMPRODUCT(H50:H51,$V50:$V51)/SUM($V50:$V51)</f>
        <v>0</v>
      </c>
      <c r="I52" s="1922">
        <f t="shared" ref="I52" si="219">SUMPRODUCT(I50:I51,$V50:$V51)/SUM($V50:$V51)</f>
        <v>24.393232529143042</v>
      </c>
      <c r="J52" s="1912">
        <f t="shared" ref="J52" si="220">SUMPRODUCT(J50:J51,$V50:$V51)/SUM($V50:$V51)</f>
        <v>9.3601460149007458</v>
      </c>
      <c r="K52" s="1912">
        <f t="shared" ref="K52" si="221">SUMPRODUCT(K50:K51,$V50:$V51)/SUM($V50:$V51)</f>
        <v>0</v>
      </c>
      <c r="L52" s="1912">
        <f t="shared" ref="L52" si="222">SUMPRODUCT(L50:L51,$V50:$V51)/SUM($V50:$V51)</f>
        <v>7.435498595553188</v>
      </c>
      <c r="M52" s="1912">
        <f t="shared" ref="M52" si="223">SUMPRODUCT(M50:M51,$V50:$V51)/SUM($V50:$V51)</f>
        <v>1.6559804835038574</v>
      </c>
      <c r="N52" s="1922">
        <f t="shared" ref="N52" si="224">SUMPRODUCT(N50:N51,$V50:$V51)/SUM($V50:$V51)</f>
        <v>9.0914790790570432</v>
      </c>
      <c r="O52" s="1912">
        <f t="shared" ref="O52" si="225">SUMPRODUCT(O50:O51,$V50:$V51)/SUM($V50:$V51)</f>
        <v>0.3643892185145971</v>
      </c>
      <c r="P52" s="1912">
        <f t="shared" ref="P52" si="226">SUMPRODUCT(P50:P51,$V50:$V51)/SUM($V50:$V51)</f>
        <v>1.3702091561037755</v>
      </c>
      <c r="Q52" s="1911">
        <f t="shared" ref="Q52" si="227">SUMPRODUCT(Q50:Q51,$V50:$V51)/SUM($V50:$V51)</f>
        <v>0.15728138249856838</v>
      </c>
      <c r="R52" s="1912">
        <f t="shared" ref="R52" si="228">SUMPRODUCT(R50:R51,$V50:$V51)/SUM($V50:$V51)</f>
        <v>0.49590340058266053</v>
      </c>
      <c r="S52" s="1911">
        <f t="shared" ref="S52" si="229">SUMPRODUCT(S50:S51,$V50:$V51)/SUM($V50:$V51)</f>
        <v>5.3998029559991014</v>
      </c>
      <c r="T52" s="1911">
        <f t="shared" ref="T52" si="230">SUMPRODUCT(T50:T51,$V50:$V51)/SUM($V50:$V51)</f>
        <v>0</v>
      </c>
      <c r="U52" s="1911">
        <f t="shared" ref="U52" si="231">SUMPRODUCT(U50:U51,$V50:$V51)/SUM($V50:$V51)</f>
        <v>11.970668055046806</v>
      </c>
      <c r="V52" s="1912">
        <f t="shared" ref="V52" si="232">SUMPRODUCT(V50:V51,$V50:$V51)/SUM($V50:$V51)</f>
        <v>81.327491610132952</v>
      </c>
      <c r="W52" s="1913">
        <f t="shared" ref="W52" si="233">SUMPRODUCT(W50:W51,$V50:$V51)/SUM($V50:$V51)</f>
        <v>0.20085974133620049</v>
      </c>
    </row>
    <row r="53" spans="1:25" x14ac:dyDescent="0.25">
      <c r="A53" t="s">
        <v>74</v>
      </c>
      <c r="B53" s="4027" t="s">
        <v>74</v>
      </c>
      <c r="C53" s="4027"/>
      <c r="D53" s="1911">
        <v>8.7793392059999995</v>
      </c>
      <c r="E53" s="1912">
        <v>2.2465679810000001</v>
      </c>
      <c r="F53" s="1912">
        <v>0.49037225400000001</v>
      </c>
      <c r="G53" s="1912">
        <v>17.450251980000001</v>
      </c>
      <c r="H53" s="1912">
        <v>0</v>
      </c>
      <c r="I53" s="1922">
        <f t="shared" si="99"/>
        <v>17.450251980000001</v>
      </c>
      <c r="J53" s="1912">
        <v>0.18543794739168026</v>
      </c>
      <c r="K53" s="1912">
        <v>0</v>
      </c>
      <c r="L53" s="1912">
        <v>1.1089845026419445</v>
      </c>
      <c r="M53" s="1912">
        <v>0</v>
      </c>
      <c r="N53" s="1922">
        <f t="shared" si="100"/>
        <v>1.1089845026419445</v>
      </c>
      <c r="O53" s="1912">
        <v>0</v>
      </c>
      <c r="P53" s="1912">
        <v>0</v>
      </c>
      <c r="Q53" s="1911">
        <v>0</v>
      </c>
      <c r="R53" s="1912">
        <v>0</v>
      </c>
      <c r="S53" s="1911">
        <v>0</v>
      </c>
      <c r="T53" s="1911">
        <v>0</v>
      </c>
      <c r="U53" s="1911">
        <v>2.5371117206263811</v>
      </c>
      <c r="V53" s="1912">
        <v>32.798065591660006</v>
      </c>
      <c r="W53" s="1913">
        <v>0.21414833409843687</v>
      </c>
    </row>
    <row r="55" spans="1:25" ht="21" x14ac:dyDescent="0.25">
      <c r="B55" s="4033" t="s">
        <v>2664</v>
      </c>
      <c r="C55" s="4033"/>
      <c r="D55" s="4029" t="s">
        <v>2648</v>
      </c>
      <c r="E55" s="4029"/>
      <c r="F55" s="4029"/>
      <c r="G55" s="4029"/>
      <c r="H55" s="4029"/>
      <c r="I55" s="4029"/>
      <c r="J55" s="4029"/>
      <c r="K55" s="4029"/>
      <c r="L55" s="4029"/>
      <c r="M55" s="4029"/>
      <c r="N55" s="4029"/>
      <c r="O55" s="4029"/>
      <c r="P55" s="4029"/>
      <c r="Q55" s="4029"/>
      <c r="R55" s="4029"/>
      <c r="S55" s="4029"/>
      <c r="T55" s="4029"/>
      <c r="U55" s="4029"/>
      <c r="V55" s="4029"/>
      <c r="W55" s="4029"/>
    </row>
    <row r="56" spans="1:25" ht="27.6" x14ac:dyDescent="0.25">
      <c r="B56" s="4030" t="s">
        <v>106</v>
      </c>
      <c r="C56" s="4031"/>
      <c r="D56" s="1904" t="s">
        <v>2626</v>
      </c>
      <c r="E56" s="1905" t="s">
        <v>2627</v>
      </c>
      <c r="F56" s="1905" t="s">
        <v>2628</v>
      </c>
      <c r="G56" s="1905" t="s">
        <v>2629</v>
      </c>
      <c r="H56" s="1905" t="s">
        <v>2636</v>
      </c>
      <c r="I56" s="1919" t="s">
        <v>2638</v>
      </c>
      <c r="J56" s="1905" t="s">
        <v>2630</v>
      </c>
      <c r="K56" s="1905" t="s">
        <v>1978</v>
      </c>
      <c r="L56" s="1905" t="s">
        <v>2665</v>
      </c>
      <c r="M56" s="1905" t="s">
        <v>2637</v>
      </c>
      <c r="N56" s="1919" t="s">
        <v>2631</v>
      </c>
      <c r="O56" s="1905" t="s">
        <v>387</v>
      </c>
      <c r="P56" s="1905" t="s">
        <v>2632</v>
      </c>
      <c r="Q56" s="1904" t="s">
        <v>2633</v>
      </c>
      <c r="R56" s="1905" t="s">
        <v>2634</v>
      </c>
      <c r="S56" s="1904" t="s">
        <v>378</v>
      </c>
      <c r="T56" s="1904" t="s">
        <v>910</v>
      </c>
      <c r="U56" s="1904" t="s">
        <v>2635</v>
      </c>
      <c r="V56" s="1905" t="s">
        <v>15</v>
      </c>
      <c r="W56" s="1905" t="s">
        <v>2649</v>
      </c>
    </row>
    <row r="57" spans="1:25" x14ac:dyDescent="0.25">
      <c r="B57" s="1906" t="s">
        <v>2650</v>
      </c>
      <c r="C57" s="1906" t="s">
        <v>2651</v>
      </c>
      <c r="D57" s="1907">
        <v>3.400673442</v>
      </c>
      <c r="E57" s="1908">
        <v>2.0474847039999999</v>
      </c>
      <c r="F57" s="1908">
        <v>12.28237942</v>
      </c>
      <c r="G57" s="1908">
        <v>20.619608209999999</v>
      </c>
      <c r="H57" s="1908">
        <v>0</v>
      </c>
      <c r="I57" s="1922">
        <f>G57+H57</f>
        <v>20.619608209999999</v>
      </c>
      <c r="J57" s="1908">
        <v>2.6737840597492664</v>
      </c>
      <c r="K57" s="1908">
        <v>0</v>
      </c>
      <c r="L57" s="1908">
        <v>6.254283248866364</v>
      </c>
      <c r="M57" s="1908">
        <v>0</v>
      </c>
      <c r="N57" s="1922">
        <f>L57+M57</f>
        <v>6.254283248866364</v>
      </c>
      <c r="O57" s="1908">
        <v>0</v>
      </c>
      <c r="P57" s="1908">
        <v>0</v>
      </c>
      <c r="Q57" s="1907">
        <v>3.6409424406179123</v>
      </c>
      <c r="R57" s="1908">
        <v>0</v>
      </c>
      <c r="S57" s="1907">
        <v>0</v>
      </c>
      <c r="T57" s="1907">
        <v>0</v>
      </c>
      <c r="U57" s="1907">
        <v>10.903869648531787</v>
      </c>
      <c r="V57" s="1908">
        <v>61.82302517376533</v>
      </c>
      <c r="W57" s="1909">
        <v>4.2799807491917412E-2</v>
      </c>
    </row>
    <row r="58" spans="1:25" x14ac:dyDescent="0.25">
      <c r="B58" s="1910"/>
      <c r="C58" s="1910" t="s">
        <v>2652</v>
      </c>
      <c r="D58" s="1911">
        <v>3.1704590850000001</v>
      </c>
      <c r="E58" s="1912">
        <v>2.3959674839999998</v>
      </c>
      <c r="F58" s="1912">
        <v>13.965785029999999</v>
      </c>
      <c r="G58" s="1912">
        <v>24.477130639999999</v>
      </c>
      <c r="H58" s="1912">
        <v>0</v>
      </c>
      <c r="I58" s="1922">
        <f t="shared" ref="I58:I79" si="234">G58+H58</f>
        <v>24.477130639999999</v>
      </c>
      <c r="J58" s="1912">
        <v>2.5130796957985582</v>
      </c>
      <c r="K58" s="1912">
        <v>0.11126783982596737</v>
      </c>
      <c r="L58" s="1912">
        <v>6.954914339908953</v>
      </c>
      <c r="M58" s="1912">
        <v>0</v>
      </c>
      <c r="N58" s="1922">
        <f t="shared" ref="N58:N79" si="235">L58+M58</f>
        <v>6.954914339908953</v>
      </c>
      <c r="O58" s="1912">
        <v>0.72987207250569042</v>
      </c>
      <c r="P58" s="1912">
        <v>0</v>
      </c>
      <c r="Q58" s="1911">
        <v>1.8323394492391682</v>
      </c>
      <c r="R58" s="1912">
        <v>0.40648052553584979</v>
      </c>
      <c r="S58" s="1911">
        <v>0</v>
      </c>
      <c r="T58" s="1911">
        <v>0</v>
      </c>
      <c r="U58" s="1911">
        <v>10.950199897782836</v>
      </c>
      <c r="V58" s="1912">
        <v>67.507496059597031</v>
      </c>
      <c r="W58" s="1913">
        <v>1.3897546597388517E-2</v>
      </c>
    </row>
    <row r="59" spans="1:25" x14ac:dyDescent="0.25">
      <c r="A59" t="s">
        <v>61</v>
      </c>
      <c r="C59" s="1910" t="s">
        <v>2666</v>
      </c>
      <c r="D59" s="1911">
        <f>SUMPRODUCT(D57:D58,$V57:$V58)/SUM($V57:$V58)</f>
        <v>3.2805069519106431</v>
      </c>
      <c r="E59" s="1912">
        <f t="shared" ref="E59" si="236">SUMPRODUCT(E57:E58,$V57:$V58)/SUM($V57:$V58)</f>
        <v>2.2293845345530592</v>
      </c>
      <c r="F59" s="1912">
        <f t="shared" ref="F59" si="237">SUMPRODUCT(F57:F58,$V57:$V58)/SUM($V57:$V58)</f>
        <v>13.161077630600445</v>
      </c>
      <c r="G59" s="1912">
        <f t="shared" ref="G59" si="238">SUMPRODUCT(G57:G58,$V57:$V58)/SUM($V57:$V58)</f>
        <v>22.633144363412299</v>
      </c>
      <c r="H59" s="1912">
        <f t="shared" ref="H59" si="239">SUMPRODUCT(H57:H58,$V57:$V58)/SUM($V57:$V58)</f>
        <v>0</v>
      </c>
      <c r="I59" s="1922">
        <f t="shared" ref="I59" si="240">SUMPRODUCT(I57:I58,$V57:$V58)/SUM($V57:$V58)</f>
        <v>22.633144363412299</v>
      </c>
      <c r="J59" s="1912">
        <f t="shared" ref="J59" si="241">SUMPRODUCT(J57:J58,$V57:$V58)/SUM($V57:$V58)</f>
        <v>2.5899001542898028</v>
      </c>
      <c r="K59" s="1912">
        <f t="shared" ref="K59" si="242">SUMPRODUCT(K57:K58,$V57:$V58)/SUM($V57:$V58)</f>
        <v>5.8079200385018681E-2</v>
      </c>
      <c r="L59" s="1912">
        <f t="shared" ref="L59" si="243">SUMPRODUCT(L57:L58,$V57:$V58)/SUM($V57:$V58)</f>
        <v>6.6199962311286491</v>
      </c>
      <c r="M59" s="1912">
        <f t="shared" ref="M59" si="244">SUMPRODUCT(M57:M58,$V57:$V58)/SUM($V57:$V58)</f>
        <v>0</v>
      </c>
      <c r="N59" s="1922">
        <f t="shared" ref="N59" si="245">SUMPRODUCT(N57:N58,$V57:$V58)/SUM($V57:$V58)</f>
        <v>6.6199962311286491</v>
      </c>
      <c r="O59" s="1912">
        <f t="shared" ref="O59" si="246">SUMPRODUCT(O57:O58,$V57:$V58)/SUM($V57:$V58)</f>
        <v>0.38097608815619277</v>
      </c>
      <c r="P59" s="1912">
        <f t="shared" ref="P59" si="247">SUMPRODUCT(P57:P58,$V57:$V58)/SUM($V57:$V58)</f>
        <v>0</v>
      </c>
      <c r="Q59" s="1911">
        <f t="shared" ref="Q59" si="248">SUMPRODUCT(Q57:Q58,$V57:$V58)/SUM($V57:$V58)</f>
        <v>2.6968941359368337</v>
      </c>
      <c r="R59" s="1912">
        <f t="shared" ref="R59" si="249">SUMPRODUCT(R57:R58,$V57:$V58)/SUM($V57:$V58)</f>
        <v>0.21217329223007655</v>
      </c>
      <c r="S59" s="1911">
        <f t="shared" ref="S59" si="250">SUMPRODUCT(S57:S58,$V57:$V58)/SUM($V57:$V58)</f>
        <v>0</v>
      </c>
      <c r="T59" s="1911">
        <f t="shared" ref="T59" si="251">SUMPRODUCT(T57:T58,$V57:$V58)/SUM($V57:$V58)</f>
        <v>0</v>
      </c>
      <c r="U59" s="1911">
        <f t="shared" ref="U59" si="252">SUMPRODUCT(U57:U58,$V57:$V58)/SUM($V57:$V58)</f>
        <v>10.928052951041733</v>
      </c>
      <c r="V59" s="1912">
        <f t="shared" ref="V59" si="253">SUMPRODUCT(V57:V58,$V57:$V58)/SUM($V57:$V58)</f>
        <v>64.79018553364476</v>
      </c>
      <c r="W59" s="1913">
        <f t="shared" ref="W59" si="254">SUMPRODUCT(W57:W58,$V57:$V58)/SUM($V57:$V58)</f>
        <v>2.7713505783364952E-2</v>
      </c>
    </row>
    <row r="60" spans="1:25" x14ac:dyDescent="0.25">
      <c r="B60" s="1906" t="s">
        <v>878</v>
      </c>
      <c r="C60" s="1906" t="s">
        <v>57</v>
      </c>
      <c r="D60" s="1907">
        <v>16.420497780000002</v>
      </c>
      <c r="E60" s="1908">
        <v>1.0251819310000001</v>
      </c>
      <c r="F60" s="1908">
        <v>5.3043275540000003</v>
      </c>
      <c r="G60" s="1908">
        <v>67.171587209999998</v>
      </c>
      <c r="H60" s="1908">
        <v>10.117208979999999</v>
      </c>
      <c r="I60" s="1922">
        <f t="shared" si="234"/>
        <v>77.288796189999999</v>
      </c>
      <c r="J60" s="1908">
        <v>10.801448726920384</v>
      </c>
      <c r="K60" s="1908">
        <v>1.3720518349820499</v>
      </c>
      <c r="L60" s="1908">
        <v>17.092646548047419</v>
      </c>
      <c r="M60" s="1908">
        <v>0</v>
      </c>
      <c r="N60" s="1922">
        <f t="shared" si="235"/>
        <v>17.092646548047419</v>
      </c>
      <c r="O60" s="1908">
        <v>3.6886528730729897</v>
      </c>
      <c r="P60" s="1908">
        <v>1.0183931615650086</v>
      </c>
      <c r="Q60" s="1907">
        <v>9.9723134562589788</v>
      </c>
      <c r="R60" s="1908">
        <v>0.68128138434209373</v>
      </c>
      <c r="S60" s="1907">
        <v>16.988614125821439</v>
      </c>
      <c r="T60" s="1907">
        <v>0</v>
      </c>
      <c r="U60" s="1907">
        <v>21.584459558713572</v>
      </c>
      <c r="V60" s="1908">
        <v>183.23866512472392</v>
      </c>
      <c r="W60" s="1909">
        <v>6.4131899422876476E-2</v>
      </c>
    </row>
    <row r="61" spans="1:25" x14ac:dyDescent="0.25">
      <c r="B61" s="1914"/>
      <c r="C61" s="1914" t="s">
        <v>2653</v>
      </c>
      <c r="D61" s="1911">
        <v>14.15332733</v>
      </c>
      <c r="E61" s="1912">
        <v>5.2500768420000004</v>
      </c>
      <c r="F61" s="1912">
        <v>3.2740500529999998</v>
      </c>
      <c r="G61" s="1912">
        <v>54.3173119</v>
      </c>
      <c r="H61" s="1912">
        <v>7.6457789409999997</v>
      </c>
      <c r="I61" s="1922">
        <f t="shared" si="234"/>
        <v>61.963090840999996</v>
      </c>
      <c r="J61" s="1912">
        <v>15.850485576124651</v>
      </c>
      <c r="K61" s="1912">
        <v>0</v>
      </c>
      <c r="L61" s="1912">
        <v>13.441585930249596</v>
      </c>
      <c r="M61" s="1912">
        <v>0</v>
      </c>
      <c r="N61" s="1922">
        <f t="shared" si="235"/>
        <v>13.441585930249596</v>
      </c>
      <c r="O61" s="1912">
        <v>0.57953439188199096</v>
      </c>
      <c r="P61" s="1912">
        <v>0</v>
      </c>
      <c r="Q61" s="1911">
        <v>15.096741643465389</v>
      </c>
      <c r="R61" s="1912">
        <v>0</v>
      </c>
      <c r="S61" s="1911">
        <v>0</v>
      </c>
      <c r="T61" s="1911">
        <v>0</v>
      </c>
      <c r="U61" s="1911">
        <v>32.18137152998257</v>
      </c>
      <c r="V61" s="1912">
        <v>161.79026413770418</v>
      </c>
      <c r="W61" s="1913">
        <v>7.834475565634956E-2</v>
      </c>
    </row>
    <row r="62" spans="1:25" x14ac:dyDescent="0.25">
      <c r="A62" t="s">
        <v>2342</v>
      </c>
      <c r="C62" s="1910" t="s">
        <v>2666</v>
      </c>
      <c r="D62" s="1911">
        <f>SUMPRODUCT(D60:D61,$V60:$V61)/SUM($V60:$V61)</f>
        <v>15.357380821271866</v>
      </c>
      <c r="E62" s="1912">
        <f t="shared" ref="E62" si="255">SUMPRODUCT(E60:E61,$V60:$V61)/SUM($V60:$V61)</f>
        <v>3.0063110643337105</v>
      </c>
      <c r="F62" s="1912">
        <f t="shared" ref="F62" si="256">SUMPRODUCT(F60:F61,$V60:$V61)/SUM($V60:$V61)</f>
        <v>4.3522939553628621</v>
      </c>
      <c r="G62" s="1912">
        <f t="shared" ref="G62" si="257">SUMPRODUCT(G60:G61,$V60:$V61)/SUM($V60:$V61)</f>
        <v>61.143986561702313</v>
      </c>
      <c r="H62" s="1912">
        <f t="shared" ref="H62" si="258">SUMPRODUCT(H60:H61,$V60:$V61)/SUM($V60:$V61)</f>
        <v>8.9583110300152331</v>
      </c>
      <c r="I62" s="1922">
        <f t="shared" ref="I62" si="259">SUMPRODUCT(I60:I61,$V60:$V61)/SUM($V60:$V61)</f>
        <v>70.102297591717544</v>
      </c>
      <c r="J62" s="1912">
        <f t="shared" ref="J62" si="260">SUMPRODUCT(J60:J61,$V60:$V61)/SUM($V60:$V61)</f>
        <v>13.169032822607733</v>
      </c>
      <c r="K62" s="1912">
        <f t="shared" ref="K62" si="261">SUMPRODUCT(K60:K61,$V60:$V61)/SUM($V60:$V61)</f>
        <v>0.72867207761820674</v>
      </c>
      <c r="L62" s="1912">
        <f t="shared" ref="L62" si="262">SUMPRODUCT(L60:L61,$V60:$V61)/SUM($V60:$V61)</f>
        <v>15.380598624996336</v>
      </c>
      <c r="M62" s="1912">
        <f t="shared" ref="M62" si="263">SUMPRODUCT(M60:M61,$V60:$V61)/SUM($V60:$V61)</f>
        <v>0</v>
      </c>
      <c r="N62" s="1922">
        <f t="shared" ref="N62" si="264">SUMPRODUCT(N60:N61,$V60:$V61)/SUM($V60:$V61)</f>
        <v>15.380598624996336</v>
      </c>
      <c r="O62" s="1912">
        <f t="shared" ref="O62" si="265">SUMPRODUCT(O60:O61,$V60:$V61)/SUM($V60:$V61)</f>
        <v>2.2307313550639596</v>
      </c>
      <c r="P62" s="1912">
        <f t="shared" ref="P62" si="266">SUMPRODUCT(P60:P61,$V60:$V61)/SUM($V60:$V61)</f>
        <v>0.54085031042537635</v>
      </c>
      <c r="Q62" s="1911">
        <f t="shared" ref="Q62" si="267">SUMPRODUCT(Q60:Q61,$V60:$V61)/SUM($V60:$V61)</f>
        <v>12.375249904907387</v>
      </c>
      <c r="R62" s="1912">
        <f t="shared" ref="R62" si="268">SUMPRODUCT(R60:R61,$V60:$V61)/SUM($V60:$V61)</f>
        <v>0.36181630249972019</v>
      </c>
      <c r="S62" s="1911">
        <f t="shared" ref="S62" si="269">SUMPRODUCT(S60:S61,$V60:$V61)/SUM($V60:$V61)</f>
        <v>9.0223477242594683</v>
      </c>
      <c r="T62" s="1911">
        <f t="shared" ref="T62" si="270">SUMPRODUCT(T60:T61,$V60:$V61)/SUM($V60:$V61)</f>
        <v>0</v>
      </c>
      <c r="U62" s="1911">
        <f t="shared" ref="U62" si="271">SUMPRODUCT(U60:U61,$V60:$V61)/SUM($V60:$V61)</f>
        <v>26.553541978963569</v>
      </c>
      <c r="V62" s="1912">
        <f t="shared" ref="V62" si="272">SUMPRODUCT(V60:V61,$V60:$V61)/SUM($V60:$V61)</f>
        <v>173.1811245340277</v>
      </c>
      <c r="W62" s="1913">
        <f t="shared" ref="W62" si="273">SUMPRODUCT(W60:W61,$V60:$V61)/SUM($V60:$V61)</f>
        <v>7.0796563076096788E-2</v>
      </c>
    </row>
    <row r="63" spans="1:25" x14ac:dyDescent="0.25">
      <c r="B63" s="1906" t="s">
        <v>2216</v>
      </c>
      <c r="C63" s="1906" t="s">
        <v>2654</v>
      </c>
      <c r="D63" s="1907">
        <v>11.27571893</v>
      </c>
      <c r="E63" s="1908">
        <v>2.374154265</v>
      </c>
      <c r="F63" s="1908">
        <v>17.99038367</v>
      </c>
      <c r="G63" s="1908">
        <v>42.332002420000002</v>
      </c>
      <c r="H63" s="1908">
        <v>0</v>
      </c>
      <c r="I63" s="1922">
        <f t="shared" si="234"/>
        <v>42.332002420000002</v>
      </c>
      <c r="J63" s="1908">
        <v>9.7963557811988196</v>
      </c>
      <c r="K63" s="1908">
        <v>0</v>
      </c>
      <c r="L63" s="1908">
        <v>11.149721528005241</v>
      </c>
      <c r="M63" s="1908">
        <v>3.7251134089420241</v>
      </c>
      <c r="N63" s="1922">
        <f t="shared" si="235"/>
        <v>14.874834936947265</v>
      </c>
      <c r="O63" s="1908">
        <v>1.3799936636095644</v>
      </c>
      <c r="P63" s="1908">
        <v>0.79224080396331509</v>
      </c>
      <c r="Q63" s="1907">
        <v>7.5937691377333767</v>
      </c>
      <c r="R63" s="1908">
        <v>0.44433994898460527</v>
      </c>
      <c r="S63" s="1907">
        <v>19.803352735924612</v>
      </c>
      <c r="T63" s="1907">
        <v>0</v>
      </c>
      <c r="U63" s="1907">
        <v>7.4458244095061108</v>
      </c>
      <c r="V63" s="1908">
        <v>136.10297070286768</v>
      </c>
      <c r="W63" s="1909">
        <v>4.5773999691660947E-2</v>
      </c>
    </row>
    <row r="64" spans="1:25" x14ac:dyDescent="0.25">
      <c r="B64" s="1910"/>
      <c r="C64" s="1910" t="s">
        <v>2655</v>
      </c>
      <c r="D64" s="1911">
        <v>10.92771031</v>
      </c>
      <c r="E64" s="1912">
        <v>2.0886789710000002</v>
      </c>
      <c r="F64" s="1912">
        <v>14.74401688</v>
      </c>
      <c r="G64" s="1912">
        <v>19.363453620000001</v>
      </c>
      <c r="H64" s="1912">
        <v>0</v>
      </c>
      <c r="I64" s="1922">
        <f t="shared" si="234"/>
        <v>19.363453620000001</v>
      </c>
      <c r="J64" s="1912">
        <v>4.8130905513633628</v>
      </c>
      <c r="K64" s="1912">
        <v>0</v>
      </c>
      <c r="L64" s="1912">
        <v>6.4214040808295918</v>
      </c>
      <c r="M64" s="1912">
        <v>0</v>
      </c>
      <c r="N64" s="1922">
        <f t="shared" si="235"/>
        <v>6.4214040808295918</v>
      </c>
      <c r="O64" s="1912">
        <v>5.7055740012036471E-3</v>
      </c>
      <c r="P64" s="1912">
        <v>0</v>
      </c>
      <c r="Q64" s="1911">
        <v>5.6869727610347303</v>
      </c>
      <c r="R64" s="1912">
        <v>0</v>
      </c>
      <c r="S64" s="1911">
        <v>0</v>
      </c>
      <c r="T64" s="1911">
        <v>0</v>
      </c>
      <c r="U64" s="1911">
        <v>16.769679724961289</v>
      </c>
      <c r="V64" s="1912">
        <v>80.820712473190184</v>
      </c>
      <c r="W64" s="1913">
        <v>6.1948884988588998E-2</v>
      </c>
    </row>
    <row r="65" spans="1:25" x14ac:dyDescent="0.25">
      <c r="A65" t="s">
        <v>1645</v>
      </c>
      <c r="C65" s="1910" t="s">
        <v>2666</v>
      </c>
      <c r="D65" s="1911">
        <f>SUMPRODUCT(D63:D64,$V63:$V64)/SUM($V63:$V64)</f>
        <v>11.146059022868588</v>
      </c>
      <c r="E65" s="1912">
        <f t="shared" ref="E65" si="274">SUMPRODUCT(E63:E64,$V63:$V64)/SUM($V63:$V64)</f>
        <v>2.2677928188141188</v>
      </c>
      <c r="F65" s="1912">
        <f t="shared" ref="F65" si="275">SUMPRODUCT(F63:F64,$V63:$V64)/SUM($V63:$V64)</f>
        <v>16.780863007822429</v>
      </c>
      <c r="G65" s="1912">
        <f t="shared" ref="G65" si="276">SUMPRODUCT(G63:G64,$V63:$V64)/SUM($V63:$V64)</f>
        <v>33.774456045570183</v>
      </c>
      <c r="H65" s="1912">
        <f t="shared" ref="H65" si="277">SUMPRODUCT(H63:H64,$V63:$V64)/SUM($V63:$V64)</f>
        <v>0</v>
      </c>
      <c r="I65" s="1922">
        <f t="shared" ref="I65" si="278">SUMPRODUCT(I63:I64,$V63:$V64)/SUM($V63:$V64)</f>
        <v>33.774456045570183</v>
      </c>
      <c r="J65" s="1912">
        <f t="shared" ref="J65" si="279">SUMPRODUCT(J63:J64,$V63:$V64)/SUM($V63:$V64)</f>
        <v>7.9397072105063335</v>
      </c>
      <c r="K65" s="1912">
        <f t="shared" ref="K65" si="280">SUMPRODUCT(K63:K64,$V63:$V64)/SUM($V63:$V64)</f>
        <v>0</v>
      </c>
      <c r="L65" s="1912">
        <f t="shared" ref="L65" si="281">SUMPRODUCT(L63:L64,$V63:$V64)/SUM($V63:$V64)</f>
        <v>9.3880605637204084</v>
      </c>
      <c r="M65" s="1912">
        <f t="shared" ref="M65" si="282">SUMPRODUCT(M63:M64,$V63:$V64)/SUM($V63:$V64)</f>
        <v>2.3372229059498744</v>
      </c>
      <c r="N65" s="1922">
        <f t="shared" ref="N65" si="283">SUMPRODUCT(N63:N64,$V63:$V64)/SUM($V63:$V64)</f>
        <v>11.725283469670282</v>
      </c>
      <c r="O65" s="1912">
        <f t="shared" ref="O65" si="284">SUMPRODUCT(O63:O64,$V63:$V64)/SUM($V63:$V64)</f>
        <v>0.86796592685285145</v>
      </c>
      <c r="P65" s="1912">
        <f t="shared" ref="P65" si="285">SUMPRODUCT(P63:P64,$V63:$V64)/SUM($V63:$V64)</f>
        <v>0.497070330692856</v>
      </c>
      <c r="Q65" s="1911">
        <f t="shared" ref="Q65" si="286">SUMPRODUCT(Q63:Q64,$V63:$V64)/SUM($V63:$V64)</f>
        <v>6.8833412146512956</v>
      </c>
      <c r="R65" s="1912">
        <f t="shared" ref="R65" si="287">SUMPRODUCT(R63:R64,$V63:$V64)/SUM($V63:$V64)</f>
        <v>0.27878923210833745</v>
      </c>
      <c r="S65" s="1911">
        <f t="shared" ref="S65" si="288">SUMPRODUCT(S63:S64,$V63:$V64)/SUM($V63:$V64)</f>
        <v>12.425084701556392</v>
      </c>
      <c r="T65" s="1911">
        <f t="shared" ref="T65" si="289">SUMPRODUCT(T63:T64,$V63:$V64)/SUM($V63:$V64)</f>
        <v>0</v>
      </c>
      <c r="U65" s="1911">
        <f t="shared" ref="U65" si="290">SUMPRODUCT(U63:U64,$V63:$V64)/SUM($V63:$V64)</f>
        <v>10.91967575924753</v>
      </c>
      <c r="V65" s="1912">
        <f t="shared" ref="V65" si="291">SUMPRODUCT(V63:V64,$V63:$V64)/SUM($V63:$V64)</f>
        <v>115.50608874036121</v>
      </c>
      <c r="W65" s="1913">
        <f t="shared" ref="W65" si="292">SUMPRODUCT(W63:W64,$V63:$V64)/SUM($V63:$V64)</f>
        <v>5.1800385260676304E-2</v>
      </c>
    </row>
    <row r="66" spans="1:25" x14ac:dyDescent="0.25">
      <c r="B66" s="1906" t="s">
        <v>63</v>
      </c>
      <c r="C66" s="1906" t="s">
        <v>2654</v>
      </c>
      <c r="D66" s="1907">
        <v>9.7720209400000009</v>
      </c>
      <c r="E66" s="1908">
        <v>1.87412059</v>
      </c>
      <c r="F66" s="1908">
        <v>1.1510190979999999</v>
      </c>
      <c r="G66" s="1908">
        <v>18.355208059999999</v>
      </c>
      <c r="H66" s="1908">
        <v>7.3966934999999998E-2</v>
      </c>
      <c r="I66" s="1922">
        <f t="shared" si="234"/>
        <v>18.429174995</v>
      </c>
      <c r="J66" s="1908">
        <v>7.743881794186783</v>
      </c>
      <c r="K66" s="1908">
        <v>0.78260440383643415</v>
      </c>
      <c r="L66" s="1908">
        <v>4.5808350642213602</v>
      </c>
      <c r="M66" s="1908">
        <v>0</v>
      </c>
      <c r="N66" s="1922">
        <f t="shared" si="235"/>
        <v>4.5808350642213602</v>
      </c>
      <c r="O66" s="1908">
        <v>1.2852563164376198</v>
      </c>
      <c r="P66" s="1908">
        <v>0</v>
      </c>
      <c r="Q66" s="1907">
        <v>3.7199093720667165</v>
      </c>
      <c r="R66" s="1908">
        <v>0.27346165511404202</v>
      </c>
      <c r="S66" s="1907">
        <v>0</v>
      </c>
      <c r="T66" s="1907">
        <v>28.373422517411417</v>
      </c>
      <c r="U66" s="1907">
        <v>11.164870782868572</v>
      </c>
      <c r="V66" s="1908">
        <v>89.15057752914295</v>
      </c>
      <c r="W66" s="1909">
        <v>4.0012083576556959E-2</v>
      </c>
    </row>
    <row r="67" spans="1:25" x14ac:dyDescent="0.25">
      <c r="C67" t="s">
        <v>1100</v>
      </c>
      <c r="D67" s="1915">
        <v>9.7719831740000007</v>
      </c>
      <c r="E67" s="1916">
        <v>3.9919162049999999</v>
      </c>
      <c r="F67" s="1916">
        <v>1.5010462449999999</v>
      </c>
      <c r="G67" s="1916">
        <v>18.383494469999999</v>
      </c>
      <c r="H67" s="1916">
        <v>0</v>
      </c>
      <c r="I67" s="1922">
        <f t="shared" si="234"/>
        <v>18.383494469999999</v>
      </c>
      <c r="J67" s="1916">
        <v>4.2356986965764154</v>
      </c>
      <c r="K67" s="1916">
        <v>0</v>
      </c>
      <c r="L67" s="1916">
        <v>1.8615153287461774</v>
      </c>
      <c r="M67" s="1916">
        <v>0</v>
      </c>
      <c r="N67" s="1922">
        <f t="shared" si="235"/>
        <v>1.8615153287461774</v>
      </c>
      <c r="O67" s="1916">
        <v>2.6517312411426866E-3</v>
      </c>
      <c r="P67" s="1916">
        <v>0</v>
      </c>
      <c r="Q67" s="1915">
        <v>3.0930073842022847</v>
      </c>
      <c r="R67" s="1916">
        <v>0.59657588685015295</v>
      </c>
      <c r="S67" s="1915">
        <v>0</v>
      </c>
      <c r="T67" s="1915">
        <v>0</v>
      </c>
      <c r="U67" s="1915">
        <v>11.336653317296932</v>
      </c>
      <c r="V67" s="1916">
        <v>54.774542438913116</v>
      </c>
      <c r="W67" s="1917">
        <v>4.9349809930598232E-2</v>
      </c>
    </row>
    <row r="68" spans="1:25" x14ac:dyDescent="0.25">
      <c r="B68" s="1910"/>
      <c r="C68" s="1910" t="s">
        <v>2655</v>
      </c>
      <c r="D68" s="1911">
        <v>12.22708319</v>
      </c>
      <c r="E68" s="1912">
        <v>4.4214621569999997</v>
      </c>
      <c r="F68" s="1912">
        <v>3.1084636520000002</v>
      </c>
      <c r="G68" s="1912">
        <v>7.4685698260000004</v>
      </c>
      <c r="H68" s="1912">
        <v>0</v>
      </c>
      <c r="I68" s="1922">
        <f t="shared" si="234"/>
        <v>7.4685698260000004</v>
      </c>
      <c r="J68" s="1912">
        <v>3.0843403198836783</v>
      </c>
      <c r="K68" s="1912">
        <v>0</v>
      </c>
      <c r="L68" s="1912">
        <v>4.1543824082151941</v>
      </c>
      <c r="M68" s="1912">
        <v>0</v>
      </c>
      <c r="N68" s="1922">
        <f t="shared" si="235"/>
        <v>4.1543824082151941</v>
      </c>
      <c r="O68" s="1912">
        <v>0</v>
      </c>
      <c r="P68" s="1912">
        <v>0</v>
      </c>
      <c r="Q68" s="1911">
        <v>0</v>
      </c>
      <c r="R68" s="1912">
        <v>0</v>
      </c>
      <c r="S68" s="1911">
        <v>0</v>
      </c>
      <c r="T68" s="1911">
        <v>0</v>
      </c>
      <c r="U68" s="1911">
        <v>9.097942397310069</v>
      </c>
      <c r="V68" s="1912">
        <v>43.562243950408941</v>
      </c>
      <c r="W68" s="1913">
        <v>4.3007828377301729E-2</v>
      </c>
    </row>
    <row r="69" spans="1:25" x14ac:dyDescent="0.25">
      <c r="A69" t="s">
        <v>63</v>
      </c>
      <c r="C69" s="1910" t="s">
        <v>2666</v>
      </c>
      <c r="D69" s="1911">
        <f>SUMPRODUCT(D66:D68,$V66:$V68)/SUM($V66:$V68)</f>
        <v>10.342437792620954</v>
      </c>
      <c r="E69" s="1912">
        <f t="shared" ref="E69" si="293">SUMPRODUCT(E66:E68,$V66:$V68)/SUM($V66:$V68)</f>
        <v>3.0847045771754642</v>
      </c>
      <c r="F69" s="1912">
        <f t="shared" ref="F69" si="294">SUMPRODUCT(F66:F68,$V66:$V68)/SUM($V66:$V68)</f>
        <v>1.7080873281783875</v>
      </c>
      <c r="G69" s="1912">
        <f t="shared" ref="G69" si="295">SUMPRODUCT(G66:G68,$V66:$V68)/SUM($V66:$V68)</f>
        <v>15.8339874000843</v>
      </c>
      <c r="H69" s="1912">
        <f t="shared" ref="H69" si="296">SUMPRODUCT(H66:H68,$V66:$V68)/SUM($V66:$V68)</f>
        <v>3.5171410144623279E-2</v>
      </c>
      <c r="I69" s="1922">
        <f t="shared" ref="I69" si="297">SUMPRODUCT(I66:I68,$V66:$V68)/SUM($V66:$V68)</f>
        <v>15.869158810228923</v>
      </c>
      <c r="J69" s="1912">
        <f t="shared" ref="J69" si="298">SUMPRODUCT(J66:J68,$V66:$V68)/SUM($V66:$V68)</f>
        <v>5.6363306605753687</v>
      </c>
      <c r="K69" s="1912">
        <f t="shared" ref="K69" si="299">SUMPRODUCT(K66:K68,$V66:$V68)/SUM($V66:$V68)</f>
        <v>0.3721297964870332</v>
      </c>
      <c r="L69" s="1912">
        <f t="shared" ref="L69" si="300">SUMPRODUCT(L66:L68,$V66:$V68)/SUM($V66:$V68)</f>
        <v>3.6872989592342833</v>
      </c>
      <c r="M69" s="1912">
        <f t="shared" ref="M69" si="301">SUMPRODUCT(M66:M68,$V66:$V68)/SUM($V66:$V68)</f>
        <v>0</v>
      </c>
      <c r="N69" s="1922">
        <f t="shared" ref="N69" si="302">SUMPRODUCT(N66:N68,$V66:$V68)/SUM($V66:$V68)</f>
        <v>3.6872989592342833</v>
      </c>
      <c r="O69" s="1912">
        <f t="shared" ref="O69" si="303">SUMPRODUCT(O66:O68,$V66:$V68)/SUM($V66:$V68)</f>
        <v>0.6119163865288002</v>
      </c>
      <c r="P69" s="1912">
        <f t="shared" ref="P69" si="304">SUMPRODUCT(P66:P68,$V66:$V68)/SUM($V66:$V68)</f>
        <v>0</v>
      </c>
      <c r="Q69" s="1911">
        <f t="shared" ref="Q69" si="305">SUMPRODUCT(Q66:Q68,$V66:$V68)/SUM($V66:$V68)</f>
        <v>2.6724474793062694</v>
      </c>
      <c r="R69" s="1912">
        <f t="shared" ref="R69" si="306">SUMPRODUCT(R66:R68,$V66:$V68)/SUM($V66:$V68)</f>
        <v>0.30432149946175002</v>
      </c>
      <c r="S69" s="1911">
        <f t="shared" ref="S69" si="307">SUMPRODUCT(S66:S68,$V66:$V68)/SUM($V66:$V68)</f>
        <v>0</v>
      </c>
      <c r="T69" s="1911">
        <f t="shared" ref="T69" si="308">SUMPRODUCT(T66:T68,$V66:$V68)/SUM($V66:$V68)</f>
        <v>13.491613253497208</v>
      </c>
      <c r="U69" s="1911">
        <f t="shared" ref="U69" si="309">SUMPRODUCT(U66:U68,$V66:$V68)/SUM($V66:$V68)</f>
        <v>10.734811246309729</v>
      </c>
      <c r="V69" s="1912">
        <f t="shared" ref="V69" si="310">SUMPRODUCT(V66:V68,$V66:$V68)/SUM($V66:$V68)</f>
        <v>68.515257789604163</v>
      </c>
      <c r="W69" s="1913">
        <f t="shared" ref="W69" si="311">SUMPRODUCT(W66:W68,$V66:$V68)/SUM($V66:$V68)</f>
        <v>4.343615995625786E-2</v>
      </c>
    </row>
    <row r="70" spans="1:25" x14ac:dyDescent="0.25">
      <c r="B70" s="1906" t="s">
        <v>2656</v>
      </c>
      <c r="C70" s="1906" t="s">
        <v>2217</v>
      </c>
      <c r="D70" s="1907">
        <v>31.98926148</v>
      </c>
      <c r="E70" s="1908">
        <v>9.9956749699999996</v>
      </c>
      <c r="F70" s="1908">
        <v>75.945754039999997</v>
      </c>
      <c r="G70" s="1908">
        <v>216.9212642</v>
      </c>
      <c r="H70" s="1908">
        <v>0</v>
      </c>
      <c r="I70" s="1922">
        <f t="shared" si="234"/>
        <v>216.9212642</v>
      </c>
      <c r="J70" s="1908">
        <v>9.1961588204289342</v>
      </c>
      <c r="K70" s="1908">
        <v>0</v>
      </c>
      <c r="L70" s="1908">
        <v>35.714593184296618</v>
      </c>
      <c r="M70" s="1908">
        <v>0</v>
      </c>
      <c r="N70" s="1922">
        <f t="shared" si="235"/>
        <v>35.714593184296618</v>
      </c>
      <c r="O70" s="1908">
        <v>7.7539281715739733E-2</v>
      </c>
      <c r="P70" s="1908">
        <v>18.285553184498575</v>
      </c>
      <c r="Q70" s="1907">
        <v>0</v>
      </c>
      <c r="R70" s="1908">
        <v>0</v>
      </c>
      <c r="S70" s="1907">
        <v>152.90540510521441</v>
      </c>
      <c r="T70" s="1907">
        <v>0</v>
      </c>
      <c r="U70" s="1907">
        <v>0</v>
      </c>
      <c r="V70" s="1908">
        <v>551.03120426615419</v>
      </c>
      <c r="W70" s="1909">
        <v>4.7010740075510475E-2</v>
      </c>
    </row>
    <row r="71" spans="1:25" x14ac:dyDescent="0.25">
      <c r="B71" s="1910"/>
      <c r="C71" s="1910" t="s">
        <v>2657</v>
      </c>
      <c r="D71" s="1911">
        <v>28.46036192</v>
      </c>
      <c r="E71" s="1912">
        <v>10.375068000000001</v>
      </c>
      <c r="F71" s="1912">
        <v>79.262675189999996</v>
      </c>
      <c r="G71" s="1912">
        <v>297.71917289999999</v>
      </c>
      <c r="H71" s="1912">
        <v>0</v>
      </c>
      <c r="I71" s="1922">
        <f t="shared" si="234"/>
        <v>297.71917289999999</v>
      </c>
      <c r="J71" s="1912">
        <v>11.353061259496201</v>
      </c>
      <c r="K71" s="1912">
        <v>0</v>
      </c>
      <c r="L71" s="1912">
        <v>42.739821591363452</v>
      </c>
      <c r="M71" s="1912">
        <v>0</v>
      </c>
      <c r="N71" s="1922">
        <f t="shared" si="235"/>
        <v>42.739821591363452</v>
      </c>
      <c r="O71" s="1912">
        <v>0</v>
      </c>
      <c r="P71" s="1912">
        <v>40.571705854102817</v>
      </c>
      <c r="Q71" s="1911">
        <v>0</v>
      </c>
      <c r="R71" s="1912">
        <v>0</v>
      </c>
      <c r="S71" s="1911">
        <v>269.48507596961235</v>
      </c>
      <c r="T71" s="1911">
        <v>0</v>
      </c>
      <c r="U71" s="1911">
        <v>0</v>
      </c>
      <c r="V71" s="1912">
        <v>779.96694268457486</v>
      </c>
      <c r="W71" s="1913">
        <v>4.3242658256224711E-2</v>
      </c>
    </row>
    <row r="72" spans="1:25" x14ac:dyDescent="0.25">
      <c r="A72" t="s">
        <v>2217</v>
      </c>
      <c r="C72" s="1910" t="s">
        <v>2666</v>
      </c>
      <c r="D72" s="1911">
        <f>SUMPRODUCT(D70:D71,$V70:$V71)/SUM($V70:$V71)</f>
        <v>29.921320959451677</v>
      </c>
      <c r="E72" s="1912">
        <f t="shared" ref="E72" si="312">SUMPRODUCT(E70:E71,$V70:$V71)/SUM($V70:$V71)</f>
        <v>10.217999863812112</v>
      </c>
      <c r="F72" s="1912">
        <f t="shared" ref="F72" si="313">SUMPRODUCT(F70:F71,$V70:$V71)/SUM($V70:$V71)</f>
        <v>77.889474889212465</v>
      </c>
      <c r="G72" s="1912">
        <f t="shared" ref="G72" si="314">SUMPRODUCT(G70:G71,$V70:$V71)/SUM($V70:$V71)</f>
        <v>264.26896184212097</v>
      </c>
      <c r="H72" s="1912">
        <f t="shared" ref="H72" si="315">SUMPRODUCT(H70:H71,$V70:$V71)/SUM($V70:$V71)</f>
        <v>0</v>
      </c>
      <c r="I72" s="1922">
        <f t="shared" ref="I72" si="316">SUMPRODUCT(I70:I71,$V70:$V71)/SUM($V70:$V71)</f>
        <v>264.26896184212097</v>
      </c>
      <c r="J72" s="1912">
        <f t="shared" ref="J72" si="317">SUMPRODUCT(J70:J71,$V70:$V71)/SUM($V70:$V71)</f>
        <v>10.460106937052776</v>
      </c>
      <c r="K72" s="1912">
        <f t="shared" ref="K72" si="318">SUMPRODUCT(K70:K71,$V70:$V71)/SUM($V70:$V71)</f>
        <v>0</v>
      </c>
      <c r="L72" s="1912">
        <f t="shared" ref="L72" si="319">SUMPRODUCT(L70:L71,$V70:$V71)/SUM($V70:$V71)</f>
        <v>39.831387737973472</v>
      </c>
      <c r="M72" s="1912">
        <f t="shared" ref="M72" si="320">SUMPRODUCT(M70:M71,$V70:$V71)/SUM($V70:$V71)</f>
        <v>0</v>
      </c>
      <c r="N72" s="1922">
        <f t="shared" ref="N72" si="321">SUMPRODUCT(N70:N71,$V70:$V71)/SUM($V70:$V71)</f>
        <v>39.831387737973472</v>
      </c>
      <c r="O72" s="1912">
        <f t="shared" ref="O72" si="322">SUMPRODUCT(O70:O71,$V70:$V71)/SUM($V70:$V71)</f>
        <v>3.2101144452861739E-2</v>
      </c>
      <c r="P72" s="1912">
        <f t="shared" ref="P72" si="323">SUMPRODUCT(P70:P71,$V70:$V71)/SUM($V70:$V71)</f>
        <v>31.345272615164589</v>
      </c>
      <c r="Q72" s="1911">
        <f t="shared" ref="Q72" si="324">SUMPRODUCT(Q70:Q71,$V70:$V71)/SUM($V70:$V71)</f>
        <v>0</v>
      </c>
      <c r="R72" s="1912">
        <f t="shared" ref="R72" si="325">SUMPRODUCT(R70:R71,$V70:$V71)/SUM($V70:$V71)</f>
        <v>0</v>
      </c>
      <c r="S72" s="1911">
        <f t="shared" ref="S72" si="326">SUMPRODUCT(S70:S71,$V70:$V71)/SUM($V70:$V71)</f>
        <v>221.22126991058025</v>
      </c>
      <c r="T72" s="1911">
        <f t="shared" ref="T72" si="327">SUMPRODUCT(T70:T71,$V70:$V71)/SUM($V70:$V71)</f>
        <v>0</v>
      </c>
      <c r="U72" s="1911">
        <f t="shared" ref="U72" si="328">SUMPRODUCT(U70:U71,$V70:$V71)/SUM($V70:$V71)</f>
        <v>0</v>
      </c>
      <c r="V72" s="1912">
        <f t="shared" ref="V72" si="329">SUMPRODUCT(V70:V71,$V70:$V71)/SUM($V70:$V71)</f>
        <v>685.18789589982123</v>
      </c>
      <c r="W72" s="1913">
        <f t="shared" ref="W72" si="330">SUMPRODUCT(W70:W71,$V70:$V71)/SUM($V70:$V71)</f>
        <v>4.4802638386483525E-2</v>
      </c>
    </row>
    <row r="73" spans="1:25" x14ac:dyDescent="0.25">
      <c r="B73" s="1906" t="s">
        <v>2658</v>
      </c>
      <c r="C73" s="1906" t="s">
        <v>2659</v>
      </c>
      <c r="D73" s="1907">
        <v>18.89221216</v>
      </c>
      <c r="E73" s="1908">
        <v>4.4138780820000001</v>
      </c>
      <c r="F73" s="1908">
        <v>3.8385595330000002</v>
      </c>
      <c r="G73" s="1908">
        <v>35.596497980000002</v>
      </c>
      <c r="H73" s="1908">
        <v>0</v>
      </c>
      <c r="I73" s="1922">
        <f t="shared" si="234"/>
        <v>35.596497980000002</v>
      </c>
      <c r="J73" s="1908">
        <v>4.9863460918516118</v>
      </c>
      <c r="K73" s="1908">
        <v>0</v>
      </c>
      <c r="L73" s="1908">
        <v>15.96844027620282</v>
      </c>
      <c r="M73" s="1908">
        <v>0</v>
      </c>
      <c r="N73" s="1922">
        <f t="shared" si="235"/>
        <v>15.96844027620282</v>
      </c>
      <c r="O73" s="1908">
        <v>0</v>
      </c>
      <c r="P73" s="1908">
        <v>0</v>
      </c>
      <c r="Q73" s="1907">
        <v>0</v>
      </c>
      <c r="R73" s="1908">
        <v>0</v>
      </c>
      <c r="S73" s="1907">
        <v>0</v>
      </c>
      <c r="T73" s="1907">
        <v>0</v>
      </c>
      <c r="U73" s="1907">
        <v>7.4931493277174797</v>
      </c>
      <c r="V73" s="1908">
        <v>91.189083450771903</v>
      </c>
      <c r="W73" s="1909">
        <v>6.2161938286217848E-2</v>
      </c>
    </row>
    <row r="74" spans="1:25" x14ac:dyDescent="0.25">
      <c r="B74" s="1910"/>
      <c r="C74" s="1910" t="s">
        <v>2660</v>
      </c>
      <c r="D74" s="1911">
        <v>26.631692269999999</v>
      </c>
      <c r="E74" s="1912">
        <v>6.0552812210000004</v>
      </c>
      <c r="F74" s="1912">
        <v>3.0215309750000001</v>
      </c>
      <c r="G74" s="1912">
        <v>47.633918430000001</v>
      </c>
      <c r="H74" s="1912">
        <v>0</v>
      </c>
      <c r="I74" s="1922">
        <f t="shared" si="234"/>
        <v>47.633918430000001</v>
      </c>
      <c r="J74" s="1912">
        <v>4.6715540266666666</v>
      </c>
      <c r="K74" s="1912">
        <v>0</v>
      </c>
      <c r="L74" s="1912">
        <v>10.897905053333332</v>
      </c>
      <c r="M74" s="1912">
        <v>0</v>
      </c>
      <c r="N74" s="1922">
        <f t="shared" si="235"/>
        <v>10.897905053333332</v>
      </c>
      <c r="O74" s="1912">
        <v>0</v>
      </c>
      <c r="P74" s="1912">
        <v>0</v>
      </c>
      <c r="Q74" s="1911">
        <v>0</v>
      </c>
      <c r="R74" s="1912">
        <v>0</v>
      </c>
      <c r="S74" s="1911">
        <v>0</v>
      </c>
      <c r="T74" s="1911">
        <v>0</v>
      </c>
      <c r="U74" s="1911">
        <v>5.4236712755555549</v>
      </c>
      <c r="V74" s="1912">
        <v>104.33555325155554</v>
      </c>
      <c r="W74" s="1913">
        <v>2.6924529896460325E-2</v>
      </c>
    </row>
    <row r="75" spans="1:25" x14ac:dyDescent="0.25">
      <c r="A75" t="s">
        <v>69</v>
      </c>
      <c r="C75" s="1910" t="s">
        <v>2666</v>
      </c>
      <c r="D75" s="1911">
        <f>SUMPRODUCT(D73:D74,$V73:$V74)/SUM($V73:$V74)</f>
        <v>23.022141527344264</v>
      </c>
      <c r="E75" s="1912">
        <f t="shared" ref="E75" si="331">SUMPRODUCT(E73:E74,$V73:$V74)/SUM($V73:$V74)</f>
        <v>5.2897610781521998</v>
      </c>
      <c r="F75" s="1912">
        <f t="shared" ref="F75" si="332">SUMPRODUCT(F73:F74,$V73:$V74)/SUM($V73:$V74)</f>
        <v>3.4025780216213075</v>
      </c>
      <c r="G75" s="1912">
        <f t="shared" ref="G75" si="333">SUMPRODUCT(G73:G74,$V73:$V74)/SUM($V73:$V74)</f>
        <v>42.019887602681699</v>
      </c>
      <c r="H75" s="1912">
        <f t="shared" ref="H75" si="334">SUMPRODUCT(H73:H74,$V73:$V74)/SUM($V73:$V74)</f>
        <v>0</v>
      </c>
      <c r="I75" s="1922">
        <f t="shared" ref="I75" si="335">SUMPRODUCT(I73:I74,$V73:$V74)/SUM($V73:$V74)</f>
        <v>42.019887602681699</v>
      </c>
      <c r="J75" s="1912">
        <f t="shared" ref="J75" si="336">SUMPRODUCT(J73:J74,$V73:$V74)/SUM($V73:$V74)</f>
        <v>4.8183672384743081</v>
      </c>
      <c r="K75" s="1912">
        <f t="shared" ref="K75" si="337">SUMPRODUCT(K73:K74,$V73:$V74)/SUM($V73:$V74)</f>
        <v>0</v>
      </c>
      <c r="L75" s="1912">
        <f t="shared" ref="L75" si="338">SUMPRODUCT(L73:L74,$V73:$V74)/SUM($V73:$V74)</f>
        <v>13.262709138264386</v>
      </c>
      <c r="M75" s="1912">
        <f t="shared" ref="M75" si="339">SUMPRODUCT(M73:M74,$V73:$V74)/SUM($V73:$V74)</f>
        <v>0</v>
      </c>
      <c r="N75" s="1922">
        <f t="shared" ref="N75" si="340">SUMPRODUCT(N73:N74,$V73:$V74)/SUM($V73:$V74)</f>
        <v>13.262709138264386</v>
      </c>
      <c r="O75" s="1912">
        <f t="shared" ref="O75" si="341">SUMPRODUCT(O73:O74,$V73:$V74)/SUM($V73:$V74)</f>
        <v>0</v>
      </c>
      <c r="P75" s="1912">
        <f t="shared" ref="P75" si="342">SUMPRODUCT(P73:P74,$V73:$V74)/SUM($V73:$V74)</f>
        <v>0</v>
      </c>
      <c r="Q75" s="1911">
        <f t="shared" ref="Q75" si="343">SUMPRODUCT(Q73:Q74,$V73:$V74)/SUM($V73:$V74)</f>
        <v>0</v>
      </c>
      <c r="R75" s="1912">
        <f t="shared" ref="R75" si="344">SUMPRODUCT(R73:R74,$V73:$V74)/SUM($V73:$V74)</f>
        <v>0</v>
      </c>
      <c r="S75" s="1911">
        <f t="shared" ref="S75" si="345">SUMPRODUCT(S73:S74,$V73:$V74)/SUM($V73:$V74)</f>
        <v>0</v>
      </c>
      <c r="T75" s="1911">
        <f t="shared" ref="T75" si="346">SUMPRODUCT(T73:T74,$V73:$V74)/SUM($V73:$V74)</f>
        <v>0</v>
      </c>
      <c r="U75" s="1911">
        <f t="shared" ref="U75" si="347">SUMPRODUCT(U73:U74,$V73:$V74)/SUM($V73:$V74)</f>
        <v>6.3888376606256791</v>
      </c>
      <c r="V75" s="1912">
        <f t="shared" ref="V75" si="348">SUMPRODUCT(V73:V74,$V73:$V74)/SUM($V73:$V74)</f>
        <v>98.204282267163833</v>
      </c>
      <c r="W75" s="1913">
        <f t="shared" ref="W75" si="349">SUMPRODUCT(W73:W74,$V73:$V74)/SUM($V73:$V74)</f>
        <v>4.3358607097352939E-2</v>
      </c>
    </row>
    <row r="76" spans="1:25" x14ac:dyDescent="0.25">
      <c r="B76" s="1906" t="s">
        <v>2218</v>
      </c>
      <c r="C76" s="1906" t="s">
        <v>2661</v>
      </c>
      <c r="D76" s="1907">
        <v>14.812607059999999</v>
      </c>
      <c r="E76" s="1908">
        <v>0.99211654500000002</v>
      </c>
      <c r="F76" s="1908">
        <v>3.192473052</v>
      </c>
      <c r="G76" s="1908">
        <v>22.035971629999999</v>
      </c>
      <c r="H76" s="1908">
        <v>0</v>
      </c>
      <c r="I76" s="1922">
        <f t="shared" si="234"/>
        <v>22.035971629999999</v>
      </c>
      <c r="J76" s="1908">
        <v>7.2558159630513028</v>
      </c>
      <c r="K76" s="1908">
        <v>0</v>
      </c>
      <c r="L76" s="1908">
        <v>8.5223840682450795</v>
      </c>
      <c r="M76" s="1908">
        <v>2.0334590458397153</v>
      </c>
      <c r="N76" s="1922">
        <f t="shared" si="235"/>
        <v>10.555843114084794</v>
      </c>
      <c r="O76" s="1908">
        <v>0.53600097730063967</v>
      </c>
      <c r="P76" s="1908">
        <v>0.93821767060084327</v>
      </c>
      <c r="Q76" s="1907">
        <v>0.34053881146459192</v>
      </c>
      <c r="R76" s="1908">
        <v>0.35674836827305617</v>
      </c>
      <c r="S76" s="1907">
        <v>4.0631337714826774</v>
      </c>
      <c r="T76" s="1907">
        <v>0</v>
      </c>
      <c r="U76" s="1907">
        <v>9.5406132051762249</v>
      </c>
      <c r="V76" s="1908">
        <v>74.620080168434129</v>
      </c>
      <c r="W76" s="1909">
        <v>4.0078616184763494E-2</v>
      </c>
      <c r="Y76" s="1918"/>
    </row>
    <row r="77" spans="1:25" x14ac:dyDescent="0.25">
      <c r="B77" s="1910"/>
      <c r="C77" s="1910" t="s">
        <v>2662</v>
      </c>
      <c r="D77" s="1911">
        <v>15.51480074</v>
      </c>
      <c r="E77" s="1912">
        <v>1.0880383090000001</v>
      </c>
      <c r="F77" s="1912">
        <v>2.0608097490000001</v>
      </c>
      <c r="G77" s="1912">
        <v>34.61245272</v>
      </c>
      <c r="H77" s="1912">
        <v>0</v>
      </c>
      <c r="I77" s="1922">
        <f t="shared" si="234"/>
        <v>34.61245272</v>
      </c>
      <c r="J77" s="1912">
        <v>5.8775603834556982</v>
      </c>
      <c r="K77" s="1912">
        <v>0</v>
      </c>
      <c r="L77" s="1912">
        <v>6.3601786963047093</v>
      </c>
      <c r="M77" s="1912">
        <v>1.2937759957544044</v>
      </c>
      <c r="N77" s="1922">
        <f t="shared" si="235"/>
        <v>7.6539546920591137</v>
      </c>
      <c r="O77" s="1912">
        <v>3.6148303857542689E-2</v>
      </c>
      <c r="P77" s="1912">
        <v>1.7332027127192098</v>
      </c>
      <c r="Q77" s="1911">
        <v>0</v>
      </c>
      <c r="R77" s="1912">
        <v>0.6155005025757514</v>
      </c>
      <c r="S77" s="1911">
        <v>6.5470043462519074</v>
      </c>
      <c r="T77" s="1911">
        <v>0</v>
      </c>
      <c r="U77" s="1911">
        <v>14.056271833793794</v>
      </c>
      <c r="V77" s="1912">
        <v>89.795744292713039</v>
      </c>
      <c r="W77" s="1913">
        <v>3.3655279363060737E-2</v>
      </c>
    </row>
    <row r="78" spans="1:25" x14ac:dyDescent="0.25">
      <c r="A78" t="s">
        <v>2218</v>
      </c>
      <c r="C78" s="1910" t="s">
        <v>2666</v>
      </c>
      <c r="D78" s="1911">
        <f>SUMPRODUCT(D76:D77,$V76:$V77)/SUM($V76:$V77)</f>
        <v>15.196110316696192</v>
      </c>
      <c r="E78" s="1912">
        <f t="shared" ref="E78" si="350">SUMPRODUCT(E76:E77,$V76:$V77)/SUM($V76:$V77)</f>
        <v>1.0445042407736838</v>
      </c>
      <c r="F78" s="1912">
        <f t="shared" ref="F78" si="351">SUMPRODUCT(F76:F77,$V76:$V77)/SUM($V76:$V77)</f>
        <v>2.5744148516127963</v>
      </c>
      <c r="G78" s="1912">
        <f t="shared" ref="G78" si="352">SUMPRODUCT(G76:G77,$V76:$V77)/SUM($V76:$V77)</f>
        <v>28.904619971855002</v>
      </c>
      <c r="H78" s="1912">
        <f t="shared" ref="H78" si="353">SUMPRODUCT(H76:H77,$V76:$V77)/SUM($V76:$V77)</f>
        <v>0</v>
      </c>
      <c r="I78" s="1922">
        <f t="shared" ref="I78" si="354">SUMPRODUCT(I76:I77,$V76:$V77)/SUM($V76:$V77)</f>
        <v>28.904619971855002</v>
      </c>
      <c r="J78" s="1912">
        <f t="shared" ref="J78" si="355">SUMPRODUCT(J76:J77,$V76:$V77)/SUM($V76:$V77)</f>
        <v>6.5030813281645141</v>
      </c>
      <c r="K78" s="1912">
        <f t="shared" ref="K78" si="356">SUMPRODUCT(K76:K77,$V76:$V77)/SUM($V76:$V77)</f>
        <v>0</v>
      </c>
      <c r="L78" s="1912">
        <f t="shared" ref="L78" si="357">SUMPRODUCT(L76:L77,$V76:$V77)/SUM($V76:$V77)</f>
        <v>7.3414950551381404</v>
      </c>
      <c r="M78" s="1912">
        <f t="shared" ref="M78" si="358">SUMPRODUCT(M76:M77,$V76:$V77)/SUM($V76:$V77)</f>
        <v>1.6294809601487585</v>
      </c>
      <c r="N78" s="1922">
        <f t="shared" ref="N78" si="359">SUMPRODUCT(N76:N77,$V76:$V77)/SUM($V76:$V77)</f>
        <v>8.9709760152868974</v>
      </c>
      <c r="O78" s="1912">
        <f t="shared" ref="O78" si="360">SUMPRODUCT(O76:O77,$V76:$V77)/SUM($V76:$V77)</f>
        <v>0.2630063127321331</v>
      </c>
      <c r="P78" s="1912">
        <f t="shared" ref="P78" si="361">SUMPRODUCT(P76:P77,$V76:$V77)/SUM($V76:$V77)</f>
        <v>1.3723989532879104</v>
      </c>
      <c r="Q78" s="1911">
        <f t="shared" ref="Q78" si="362">SUMPRODUCT(Q76:Q77,$V76:$V77)/SUM($V76:$V77)</f>
        <v>0.1545534530829541</v>
      </c>
      <c r="R78" s="1912">
        <f t="shared" ref="R78" si="363">SUMPRODUCT(R76:R77,$V76:$V77)/SUM($V76:$V77)</f>
        <v>0.49806591214809326</v>
      </c>
      <c r="S78" s="1911">
        <f t="shared" ref="S78" si="364">SUMPRODUCT(S76:S77,$V76:$V77)/SUM($V76:$V77)</f>
        <v>5.4197003168207649</v>
      </c>
      <c r="T78" s="1911">
        <f t="shared" ref="T78" si="365">SUMPRODUCT(T76:T77,$V76:$V77)/SUM($V76:$V77)</f>
        <v>0</v>
      </c>
      <c r="U78" s="1911">
        <f t="shared" ref="U78" si="366">SUMPRODUCT(U76:U77,$V76:$V77)/SUM($V76:$V77)</f>
        <v>12.006841312217992</v>
      </c>
      <c r="V78" s="1912">
        <f t="shared" ref="V78" si="367">SUMPRODUCT(V76:V77,$V76:$V77)/SUM($V76:$V77)</f>
        <v>82.908272984678931</v>
      </c>
      <c r="W78" s="1913">
        <f t="shared" ref="W78" si="368">SUMPRODUCT(W76:W77,$V76:$V77)/SUM($V76:$V77)</f>
        <v>3.6570509147998982E-2</v>
      </c>
    </row>
    <row r="79" spans="1:25" x14ac:dyDescent="0.25">
      <c r="A79" t="s">
        <v>74</v>
      </c>
      <c r="B79" s="4027" t="s">
        <v>74</v>
      </c>
      <c r="C79" s="4027"/>
      <c r="D79" s="1911">
        <v>8.7793392059999995</v>
      </c>
      <c r="E79" s="1912">
        <v>2.2467501410000001</v>
      </c>
      <c r="F79" s="1912">
        <v>0.50093748100000002</v>
      </c>
      <c r="G79" s="1912">
        <v>19.90115462</v>
      </c>
      <c r="H79" s="1912">
        <v>0</v>
      </c>
      <c r="I79" s="1922">
        <f t="shared" si="234"/>
        <v>19.90115462</v>
      </c>
      <c r="J79" s="1912">
        <v>5.064022532423864E-2</v>
      </c>
      <c r="K79" s="1912">
        <v>0</v>
      </c>
      <c r="L79" s="1912">
        <v>0.94194462273032953</v>
      </c>
      <c r="M79" s="1912">
        <v>0</v>
      </c>
      <c r="N79" s="1922">
        <f t="shared" si="235"/>
        <v>0.94194462273032953</v>
      </c>
      <c r="O79" s="1912">
        <v>0</v>
      </c>
      <c r="P79" s="1912">
        <v>0</v>
      </c>
      <c r="Q79" s="1911">
        <v>0</v>
      </c>
      <c r="R79" s="1912">
        <v>0</v>
      </c>
      <c r="S79" s="1911">
        <v>0</v>
      </c>
      <c r="T79" s="1911">
        <v>0</v>
      </c>
      <c r="U79" s="1911">
        <v>2.5371117206263811</v>
      </c>
      <c r="V79" s="1912">
        <v>34.957878016680951</v>
      </c>
      <c r="W79" s="1913">
        <v>2.7870410498406498E-2</v>
      </c>
    </row>
  </sheetData>
  <sheetProtection algorithmName="SHA-512" hashValue="k+ZqY+FzRiBqxtI1emOKsvyaZUFK8FXlVn4V4RT36bde2JwBRijoji+yeqnIkLyHxwcGEbycG2QtMFUtq9FaPQ==" saltValue="k7hzrFE9rmyqyr00kpSqGg==" spinCount="100000" sheet="1" objects="1" scenarios="1"/>
  <mergeCells count="12">
    <mergeCell ref="B79:C79"/>
    <mergeCell ref="B3:C3"/>
    <mergeCell ref="D3:W3"/>
    <mergeCell ref="B4:C4"/>
    <mergeCell ref="B27:C27"/>
    <mergeCell ref="B29:C29"/>
    <mergeCell ref="D29:W29"/>
    <mergeCell ref="B30:C30"/>
    <mergeCell ref="B53:C53"/>
    <mergeCell ref="B55:C55"/>
    <mergeCell ref="D55:W55"/>
    <mergeCell ref="B56:C56"/>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52">
    <tabColor theme="5" tint="0.39997558519241921"/>
  </sheetPr>
  <dimension ref="A1:W79"/>
  <sheetViews>
    <sheetView workbookViewId="0"/>
  </sheetViews>
  <sheetFormatPr defaultColWidth="9" defaultRowHeight="13.8" x14ac:dyDescent="0.25"/>
  <cols>
    <col min="2" max="2" width="12.296875" bestFit="1" customWidth="1"/>
    <col min="3" max="3" width="10.69921875" bestFit="1" customWidth="1"/>
    <col min="4" max="23" width="12" customWidth="1"/>
  </cols>
  <sheetData>
    <row r="1" spans="1:23" x14ac:dyDescent="0.25">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row>
    <row r="3" spans="1:23" ht="22.5" customHeight="1" x14ac:dyDescent="0.25">
      <c r="B3" s="4028" t="s">
        <v>2647</v>
      </c>
      <c r="C3" s="4028"/>
      <c r="D3" s="4029" t="s">
        <v>2648</v>
      </c>
      <c r="E3" s="4029"/>
      <c r="F3" s="4029"/>
      <c r="G3" s="4029"/>
      <c r="H3" s="4029"/>
      <c r="I3" s="4029"/>
      <c r="J3" s="4029"/>
      <c r="K3" s="4029"/>
      <c r="L3" s="4029"/>
      <c r="M3" s="4029"/>
      <c r="N3" s="4029"/>
      <c r="O3" s="4029"/>
      <c r="P3" s="4029"/>
      <c r="Q3" s="4029"/>
      <c r="R3" s="4029"/>
      <c r="S3" s="4029"/>
      <c r="T3" s="4029"/>
      <c r="U3" s="4029"/>
      <c r="V3" s="4029"/>
      <c r="W3" s="4029"/>
    </row>
    <row r="4" spans="1:23" ht="27.6" x14ac:dyDescent="0.25">
      <c r="B4" s="4030" t="s">
        <v>106</v>
      </c>
      <c r="C4" s="4031"/>
      <c r="D4" s="1904" t="s">
        <v>2626</v>
      </c>
      <c r="E4" s="1905" t="s">
        <v>2627</v>
      </c>
      <c r="F4" s="1905" t="s">
        <v>2628</v>
      </c>
      <c r="G4" s="1905" t="s">
        <v>2629</v>
      </c>
      <c r="H4" s="1920" t="s">
        <v>2636</v>
      </c>
      <c r="I4" s="1919" t="s">
        <v>2638</v>
      </c>
      <c r="J4" s="1921" t="s">
        <v>2630</v>
      </c>
      <c r="K4" s="1905" t="s">
        <v>1978</v>
      </c>
      <c r="L4" s="1905" t="s">
        <v>2665</v>
      </c>
      <c r="M4" s="1905" t="s">
        <v>2637</v>
      </c>
      <c r="N4" s="1919" t="s">
        <v>2631</v>
      </c>
      <c r="O4" s="1905" t="s">
        <v>387</v>
      </c>
      <c r="P4" s="1905" t="s">
        <v>2632</v>
      </c>
      <c r="Q4" s="1904" t="s">
        <v>2633</v>
      </c>
      <c r="R4" s="1905" t="s">
        <v>2634</v>
      </c>
      <c r="S4" s="1904" t="s">
        <v>378</v>
      </c>
      <c r="T4" s="1904" t="s">
        <v>910</v>
      </c>
      <c r="U4" s="1904" t="s">
        <v>2635</v>
      </c>
      <c r="V4" s="1905" t="s">
        <v>15</v>
      </c>
      <c r="W4" s="1905" t="s">
        <v>2649</v>
      </c>
    </row>
    <row r="5" spans="1:23" x14ac:dyDescent="0.25">
      <c r="B5" s="1906" t="s">
        <v>2650</v>
      </c>
      <c r="C5" s="1906" t="s">
        <v>2651</v>
      </c>
      <c r="D5" s="1908">
        <v>3.1104234489999998</v>
      </c>
      <c r="E5" s="1908">
        <v>1.127282645</v>
      </c>
      <c r="F5" s="1908">
        <v>11.063217059999999</v>
      </c>
      <c r="G5" s="1916">
        <v>5.7990980189999997</v>
      </c>
      <c r="H5" s="1916">
        <v>0</v>
      </c>
      <c r="I5" s="1922">
        <f>G5+H5</f>
        <v>5.7990980189999997</v>
      </c>
      <c r="J5" s="1908">
        <v>3.5633595477312467</v>
      </c>
      <c r="K5" s="1908">
        <v>0</v>
      </c>
      <c r="L5" s="1916">
        <v>5.7221114311964678</v>
      </c>
      <c r="M5" s="1916">
        <v>0</v>
      </c>
      <c r="N5" s="1922">
        <f>L5+M5</f>
        <v>5.7221114311964678</v>
      </c>
      <c r="O5" s="1908">
        <v>0</v>
      </c>
      <c r="P5" s="1908">
        <v>0</v>
      </c>
      <c r="Q5" s="1907">
        <v>3.5111295522427404</v>
      </c>
      <c r="R5" s="1908">
        <v>0</v>
      </c>
      <c r="S5" s="1907">
        <v>0</v>
      </c>
      <c r="T5" s="1907">
        <v>0</v>
      </c>
      <c r="U5" s="1907">
        <v>10.849361147499414</v>
      </c>
      <c r="V5" s="1908">
        <v>44.745982851669865</v>
      </c>
      <c r="W5" s="1909">
        <v>0.23138567210488928</v>
      </c>
    </row>
    <row r="6" spans="1:23" x14ac:dyDescent="0.25">
      <c r="B6" s="1910"/>
      <c r="C6" s="1910" t="s">
        <v>2652</v>
      </c>
      <c r="D6" s="1912">
        <v>3.0074910359999998</v>
      </c>
      <c r="E6" s="1912">
        <v>1.830636945</v>
      </c>
      <c r="F6" s="1912">
        <v>12.42582941</v>
      </c>
      <c r="G6" s="1912">
        <v>6.1439815869999999</v>
      </c>
      <c r="H6" s="1912">
        <v>0</v>
      </c>
      <c r="I6" s="1922">
        <f t="shared" ref="I6:I27" si="0">G6+H6</f>
        <v>6.1439815869999999</v>
      </c>
      <c r="J6" s="1912">
        <v>4.5972724452295148</v>
      </c>
      <c r="K6" s="1912">
        <v>0.22545786537367224</v>
      </c>
      <c r="L6" s="1912">
        <v>6.4373502963770859</v>
      </c>
      <c r="M6" s="1912">
        <v>0</v>
      </c>
      <c r="N6" s="1922">
        <f t="shared" ref="N6:N27" si="1">L6+M6</f>
        <v>6.4373502963770859</v>
      </c>
      <c r="O6" s="1912">
        <v>0.59241695324355093</v>
      </c>
      <c r="P6" s="1912">
        <v>0</v>
      </c>
      <c r="Q6" s="1911">
        <v>1.7804139861005743</v>
      </c>
      <c r="R6" s="1912">
        <v>0.23384678608687406</v>
      </c>
      <c r="S6" s="1911">
        <v>0</v>
      </c>
      <c r="T6" s="1911">
        <v>0</v>
      </c>
      <c r="U6" s="1911">
        <v>10.928396368129318</v>
      </c>
      <c r="V6" s="1912">
        <v>48.20309367854059</v>
      </c>
      <c r="W6" s="1913">
        <v>0.27946667242036716</v>
      </c>
    </row>
    <row r="7" spans="1:23" x14ac:dyDescent="0.25">
      <c r="A7" t="s">
        <v>61</v>
      </c>
      <c r="C7" s="1910" t="s">
        <v>2666</v>
      </c>
      <c r="D7" s="1911">
        <f>SUMPRODUCT(D5:D6,$V5:$V6)/SUM($V5:$V6)</f>
        <v>3.0570430289720014</v>
      </c>
      <c r="E7" s="1912">
        <f>SUMPRODUCT(E5:E6,$V5:$V6)/SUM($V5:$V6)</f>
        <v>1.4920399344506905</v>
      </c>
      <c r="F7" s="1912">
        <f>SUMPRODUCT(F5:F6,$V5:$V6)/SUM($V5:$V6)</f>
        <v>11.769863464746564</v>
      </c>
      <c r="G7" s="1912">
        <f>SUMPRODUCT(G5:G6,$V5:$V6)/SUM($V5:$V6)</f>
        <v>5.9779535338376331</v>
      </c>
      <c r="H7" s="1912">
        <f>SUMPRODUCT(H5:H6,$V5:$V6)/SUM($V5:$V6)</f>
        <v>0</v>
      </c>
      <c r="I7" s="1922">
        <f t="shared" ref="I7" si="2">SUMPRODUCT(I5:I6,$V5:$V6)/SUM($V5:$V6)</f>
        <v>5.9779535338376331</v>
      </c>
      <c r="J7" s="1912">
        <f>SUMPRODUCT(J5:J6,$V5:$V6)/SUM($V5:$V6)</f>
        <v>4.0995434681531133</v>
      </c>
      <c r="K7" s="1912">
        <f>SUMPRODUCT(K5:K6,$V5:$V6)/SUM($V5:$V6)</f>
        <v>0.1169217275831531</v>
      </c>
      <c r="L7" s="1912">
        <f>SUMPRODUCT(L5:L6,$V5:$V6)/SUM($V5:$V6)</f>
        <v>6.093032018122674</v>
      </c>
      <c r="M7" s="1912">
        <f>SUMPRODUCT(M5:M6,$V5:$V6)/SUM($V5:$V6)</f>
        <v>0</v>
      </c>
      <c r="N7" s="1922">
        <f t="shared" ref="N7" si="3">SUMPRODUCT(N5:N6,$V5:$V6)/SUM($V5:$V6)</f>
        <v>6.093032018122674</v>
      </c>
      <c r="O7" s="1912">
        <f t="shared" ref="O7:W7" si="4">SUMPRODUCT(O5:O6,$V5:$V6)/SUM($V5:$V6)</f>
        <v>0.30722553639005834</v>
      </c>
      <c r="P7" s="1912">
        <f t="shared" si="4"/>
        <v>0</v>
      </c>
      <c r="Q7" s="1911">
        <f t="shared" si="4"/>
        <v>2.6135859974281423</v>
      </c>
      <c r="R7" s="1912">
        <f t="shared" si="4"/>
        <v>0.12127219502291178</v>
      </c>
      <c r="S7" s="1911">
        <f t="shared" si="4"/>
        <v>0</v>
      </c>
      <c r="T7" s="1911">
        <f t="shared" si="4"/>
        <v>0</v>
      </c>
      <c r="U7" s="1911">
        <f t="shared" si="4"/>
        <v>10.89034856002835</v>
      </c>
      <c r="V7" s="1912">
        <f t="shared" si="4"/>
        <v>46.538829464735294</v>
      </c>
      <c r="W7" s="1913">
        <f t="shared" si="4"/>
        <v>0.25632032502327123</v>
      </c>
    </row>
    <row r="8" spans="1:23" x14ac:dyDescent="0.25">
      <c r="B8" s="1906" t="s">
        <v>878</v>
      </c>
      <c r="C8" s="1906" t="s">
        <v>57</v>
      </c>
      <c r="D8" s="1908">
        <v>13.77987409</v>
      </c>
      <c r="E8" s="1908">
        <v>0.80746571499999997</v>
      </c>
      <c r="F8" s="1908">
        <v>4.8175457670000004</v>
      </c>
      <c r="G8" s="1908">
        <v>27.417104420000001</v>
      </c>
      <c r="H8" s="1908">
        <v>3.2917310080000002</v>
      </c>
      <c r="I8" s="1922">
        <f t="shared" si="0"/>
        <v>30.708835428</v>
      </c>
      <c r="J8" s="1908">
        <v>9.3590886083287437</v>
      </c>
      <c r="K8" s="1908">
        <v>1.8516085063829966</v>
      </c>
      <c r="L8" s="1908">
        <v>11.346171088318474</v>
      </c>
      <c r="M8" s="1908">
        <v>0.97862379327621829</v>
      </c>
      <c r="N8" s="1922">
        <f t="shared" si="1"/>
        <v>12.324794881594693</v>
      </c>
      <c r="O8" s="1908">
        <v>2.129818896816162</v>
      </c>
      <c r="P8" s="1908">
        <v>0.81370947743947719</v>
      </c>
      <c r="Q8" s="1907">
        <v>9.8430027453302475</v>
      </c>
      <c r="R8" s="1908">
        <v>0.40479827710858335</v>
      </c>
      <c r="S8" s="1907">
        <v>16.988614125821439</v>
      </c>
      <c r="T8" s="1907">
        <v>0</v>
      </c>
      <c r="U8" s="1907">
        <v>20.900455956244016</v>
      </c>
      <c r="V8" s="1908">
        <v>124.72961247506636</v>
      </c>
      <c r="W8" s="1909">
        <v>0.17848792406481528</v>
      </c>
    </row>
    <row r="9" spans="1:23" x14ac:dyDescent="0.25">
      <c r="B9" s="1914"/>
      <c r="C9" s="1914" t="s">
        <v>2653</v>
      </c>
      <c r="D9" s="1912">
        <v>11.655980960000001</v>
      </c>
      <c r="E9" s="1912">
        <v>2.5735216799999998</v>
      </c>
      <c r="F9" s="1912">
        <v>2.9212748629999998</v>
      </c>
      <c r="G9" s="1912">
        <v>20.123237499999998</v>
      </c>
      <c r="H9" s="1912">
        <v>2.9370330650000001</v>
      </c>
      <c r="I9" s="1922">
        <f t="shared" si="0"/>
        <v>23.060270565</v>
      </c>
      <c r="J9" s="1912">
        <v>18.050771364724273</v>
      </c>
      <c r="K9" s="1912">
        <v>0</v>
      </c>
      <c r="L9" s="1912">
        <v>8.7858617789283446</v>
      </c>
      <c r="M9" s="1912">
        <v>0.52188194939676646</v>
      </c>
      <c r="N9" s="1922">
        <f t="shared" si="1"/>
        <v>9.3077437283251108</v>
      </c>
      <c r="O9" s="1912">
        <v>0.35332380427880622</v>
      </c>
      <c r="P9" s="1912">
        <v>0</v>
      </c>
      <c r="Q9" s="1911">
        <v>14.801530674546976</v>
      </c>
      <c r="R9" s="1912">
        <v>0</v>
      </c>
      <c r="S9" s="1911">
        <v>0</v>
      </c>
      <c r="T9" s="1911">
        <v>0</v>
      </c>
      <c r="U9" s="1911">
        <v>31.916034044839535</v>
      </c>
      <c r="V9" s="1912">
        <v>114.64045168471472</v>
      </c>
      <c r="W9" s="1913">
        <v>0.18710373737855782</v>
      </c>
    </row>
    <row r="10" spans="1:23" x14ac:dyDescent="0.25">
      <c r="A10" t="s">
        <v>2342</v>
      </c>
      <c r="C10" s="1910" t="s">
        <v>2666</v>
      </c>
      <c r="D10" s="1911">
        <f>SUMPRODUCT(D8:D9,$V8:$V9)/SUM($V8:$V9)</f>
        <v>12.762687297625098</v>
      </c>
      <c r="E10" s="1912">
        <f>SUMPRODUCT(E8:E9,$V8:$V9)/SUM($V8:$V9)</f>
        <v>1.6532751282979818</v>
      </c>
      <c r="F10" s="1912">
        <f>SUMPRODUCT(F8:F9,$V8:$V9)/SUM($V8:$V9)</f>
        <v>3.9093730858662661</v>
      </c>
      <c r="G10" s="1912">
        <f>SUMPRODUCT(G8:G9,$V8:$V9)/SUM($V8:$V9)</f>
        <v>23.923884826430236</v>
      </c>
      <c r="H10" s="1912">
        <f>SUMPRODUCT(H8:H9,$V8:$V9)/SUM($V8:$V9)</f>
        <v>3.1218570827040759</v>
      </c>
      <c r="I10" s="1922">
        <f t="shared" ref="I10" si="5">SUMPRODUCT(I8:I9,$V8:$V9)/SUM($V8:$V9)</f>
        <v>27.045741909134314</v>
      </c>
      <c r="J10" s="1912">
        <f>SUMPRODUCT(J8:J9,$V8:$V9)/SUM($V8:$V9)</f>
        <v>13.521757990529828</v>
      </c>
      <c r="K10" s="1912">
        <f>SUMPRODUCT(K8:K9,$V8:$V9)/SUM($V8:$V9)</f>
        <v>0.9648257908412754</v>
      </c>
      <c r="L10" s="1912">
        <f>SUMPRODUCT(L8:L9,$V8:$V9)/SUM($V8:$V9)</f>
        <v>10.11997341522456</v>
      </c>
      <c r="M10" s="1912">
        <f>SUMPRODUCT(M8:M9,$V8:$V9)/SUM($V8:$V9)</f>
        <v>0.75987843148904666</v>
      </c>
      <c r="N10" s="1922">
        <f t="shared" ref="N10" si="6">SUMPRODUCT(N8:N9,$V8:$V9)/SUM($V8:$V9)</f>
        <v>10.879851846713606</v>
      </c>
      <c r="O10" s="1912">
        <f t="shared" ref="O10:W10" si="7">SUMPRODUCT(O8:O9,$V8:$V9)/SUM($V8:$V9)</f>
        <v>1.2790099180951706</v>
      </c>
      <c r="P10" s="1912">
        <f t="shared" si="7"/>
        <v>0.42400317744230148</v>
      </c>
      <c r="Q10" s="1911">
        <f t="shared" si="7"/>
        <v>12.217768710706922</v>
      </c>
      <c r="R10" s="1912">
        <f t="shared" si="7"/>
        <v>0.21093001922172483</v>
      </c>
      <c r="S10" s="1911">
        <f t="shared" si="7"/>
        <v>8.8523319064146264</v>
      </c>
      <c r="T10" s="1911">
        <f t="shared" si="7"/>
        <v>0</v>
      </c>
      <c r="U10" s="1911">
        <f t="shared" si="7"/>
        <v>26.176098305580936</v>
      </c>
      <c r="V10" s="1912">
        <f t="shared" si="7"/>
        <v>119.89765508647007</v>
      </c>
      <c r="W10" s="1913">
        <f t="shared" si="7"/>
        <v>0.18261425762864519</v>
      </c>
    </row>
    <row r="11" spans="1:23" x14ac:dyDescent="0.25">
      <c r="B11" s="1906" t="s">
        <v>2216</v>
      </c>
      <c r="C11" s="1906" t="s">
        <v>2654</v>
      </c>
      <c r="D11" s="1908">
        <v>7.0987849120000002</v>
      </c>
      <c r="E11" s="1908">
        <v>1.8233523389999999</v>
      </c>
      <c r="F11" s="1908">
        <v>16.963551500000001</v>
      </c>
      <c r="G11" s="1908">
        <v>9.6595541520000001</v>
      </c>
      <c r="H11" s="1908">
        <v>0</v>
      </c>
      <c r="I11" s="1922">
        <f t="shared" si="0"/>
        <v>9.6595541520000001</v>
      </c>
      <c r="J11" s="1908">
        <v>10.527730691123484</v>
      </c>
      <c r="K11" s="1908">
        <v>0</v>
      </c>
      <c r="L11" s="1908">
        <v>5.009463946937438</v>
      </c>
      <c r="M11" s="1908">
        <v>1.5263307500818866</v>
      </c>
      <c r="N11" s="1922">
        <f t="shared" si="1"/>
        <v>6.535794697019325</v>
      </c>
      <c r="O11" s="1908">
        <v>0.56865737995414345</v>
      </c>
      <c r="P11" s="1908">
        <v>0.6590231514175493</v>
      </c>
      <c r="Q11" s="1907">
        <v>7.378572106125123</v>
      </c>
      <c r="R11" s="1908">
        <v>0.24179699959056669</v>
      </c>
      <c r="S11" s="1907">
        <v>19.803352735924612</v>
      </c>
      <c r="T11" s="1907">
        <v>0</v>
      </c>
      <c r="U11" s="1907">
        <v>6.7716650243840091</v>
      </c>
      <c r="V11" s="1908">
        <v>88.03183568853882</v>
      </c>
      <c r="W11" s="1909">
        <v>0.19357586285323519</v>
      </c>
    </row>
    <row r="12" spans="1:23" x14ac:dyDescent="0.25">
      <c r="B12" s="1910"/>
      <c r="C12" s="1910" t="s">
        <v>2655</v>
      </c>
      <c r="D12" s="1912">
        <v>7.000519841</v>
      </c>
      <c r="E12" s="1912">
        <v>1.444388</v>
      </c>
      <c r="F12" s="1912">
        <v>13.121832769999999</v>
      </c>
      <c r="G12" s="1912">
        <v>4.9946340380000001</v>
      </c>
      <c r="H12" s="1912">
        <v>0</v>
      </c>
      <c r="I12" s="1922">
        <f t="shared" si="0"/>
        <v>4.9946340380000001</v>
      </c>
      <c r="J12" s="1912">
        <v>5.6314015277070508</v>
      </c>
      <c r="K12" s="1912">
        <v>0</v>
      </c>
      <c r="L12" s="1912">
        <v>6.0711696148326473</v>
      </c>
      <c r="M12" s="1912">
        <v>0</v>
      </c>
      <c r="N12" s="1922">
        <f t="shared" si="1"/>
        <v>6.0711696148326473</v>
      </c>
      <c r="O12" s="1912">
        <v>5.7055740012036471E-3</v>
      </c>
      <c r="P12" s="1912">
        <v>0</v>
      </c>
      <c r="Q12" s="1911">
        <v>5.4842035991132141</v>
      </c>
      <c r="R12" s="1912">
        <v>0</v>
      </c>
      <c r="S12" s="1911">
        <v>0</v>
      </c>
      <c r="T12" s="1911">
        <v>0</v>
      </c>
      <c r="U12" s="1911">
        <v>16.000745745824521</v>
      </c>
      <c r="V12" s="1912">
        <v>59.754600710478641</v>
      </c>
      <c r="W12" s="1913">
        <v>0.18280635362367731</v>
      </c>
    </row>
    <row r="13" spans="1:23" x14ac:dyDescent="0.25">
      <c r="A13" t="s">
        <v>1645</v>
      </c>
      <c r="C13" s="1910" t="s">
        <v>2666</v>
      </c>
      <c r="D13" s="1911">
        <f>SUMPRODUCT(D11:D12,$V11:$V12)/SUM($V11:$V12)</f>
        <v>7.0590533221162142</v>
      </c>
      <c r="E13" s="1912">
        <f>SUMPRODUCT(E11:E12,$V11:$V12)/SUM($V11:$V12)</f>
        <v>1.670125403482621</v>
      </c>
      <c r="F13" s="1912">
        <f>SUMPRODUCT(F11:F12,$V11:$V12)/SUM($V11:$V12)</f>
        <v>15.410226483532906</v>
      </c>
      <c r="G13" s="1912">
        <f>SUMPRODUCT(G11:G12,$V11:$V12)/SUM($V11:$V12)</f>
        <v>7.7733835023083353</v>
      </c>
      <c r="H13" s="1912">
        <f>SUMPRODUCT(H11:H12,$V11:$V12)/SUM($V11:$V12)</f>
        <v>0</v>
      </c>
      <c r="I13" s="1922">
        <f t="shared" ref="I13" si="8">SUMPRODUCT(I11:I12,$V11:$V12)/SUM($V11:$V12)</f>
        <v>7.7733835023083353</v>
      </c>
      <c r="J13" s="1912">
        <f>SUMPRODUCT(J11:J12,$V11:$V12)/SUM($V11:$V12)</f>
        <v>8.547994246859604</v>
      </c>
      <c r="K13" s="1912">
        <f>SUMPRODUCT(K11:K12,$V11:$V12)/SUM($V11:$V12)</f>
        <v>0</v>
      </c>
      <c r="L13" s="1912">
        <f>SUMPRODUCT(L11:L12,$V11:$V12)/SUM($V11:$V12)</f>
        <v>5.4387441962144409</v>
      </c>
      <c r="M13" s="1912">
        <f>SUMPRODUCT(M11:M12,$V11:$V12)/SUM($V11:$V12)</f>
        <v>0.90918829272525947</v>
      </c>
      <c r="N13" s="1922">
        <f t="shared" ref="N13" si="9">SUMPRODUCT(N11:N12,$V11:$V12)/SUM($V11:$V12)</f>
        <v>6.3479324889397004</v>
      </c>
      <c r="O13" s="1912">
        <f t="shared" ref="O13:W13" si="10">SUMPRODUCT(O11:O12,$V11:$V12)/SUM($V11:$V12)</f>
        <v>0.3410386538814954</v>
      </c>
      <c r="P13" s="1912">
        <f t="shared" si="10"/>
        <v>0.39255982615274992</v>
      </c>
      <c r="Q13" s="1911">
        <f t="shared" si="10"/>
        <v>6.6126206663774703</v>
      </c>
      <c r="R13" s="1912">
        <f t="shared" si="10"/>
        <v>0.14403103733056768</v>
      </c>
      <c r="S13" s="1911">
        <f t="shared" si="10"/>
        <v>11.796248266141163</v>
      </c>
      <c r="T13" s="1911">
        <f t="shared" si="10"/>
        <v>0</v>
      </c>
      <c r="U13" s="1911">
        <f t="shared" si="10"/>
        <v>10.503266156882257</v>
      </c>
      <c r="V13" s="1912">
        <f t="shared" si="10"/>
        <v>76.598480054005094</v>
      </c>
      <c r="W13" s="1913">
        <f t="shared" si="10"/>
        <v>0.18922141910629656</v>
      </c>
    </row>
    <row r="14" spans="1:23" x14ac:dyDescent="0.25">
      <c r="B14" s="1906" t="s">
        <v>63</v>
      </c>
      <c r="C14" s="1906" t="s">
        <v>2654</v>
      </c>
      <c r="D14" s="1908">
        <v>6.4755104760000002</v>
      </c>
      <c r="E14" s="1908">
        <v>1.2960376149999999</v>
      </c>
      <c r="F14" s="1908">
        <v>1.0231006279999999</v>
      </c>
      <c r="G14" s="1908">
        <v>5.7495469339999996</v>
      </c>
      <c r="H14" s="1908">
        <v>5.3336055E-2</v>
      </c>
      <c r="I14" s="1922">
        <f t="shared" si="0"/>
        <v>5.8028829889999995</v>
      </c>
      <c r="J14" s="1908">
        <v>8.1713498359366845</v>
      </c>
      <c r="K14" s="1908">
        <v>0.68696078285077056</v>
      </c>
      <c r="L14" s="1908">
        <v>4.1399807195520149</v>
      </c>
      <c r="M14" s="1908">
        <v>0.20946523422144137</v>
      </c>
      <c r="N14" s="1922">
        <f t="shared" si="1"/>
        <v>4.349445953773456</v>
      </c>
      <c r="O14" s="1908">
        <v>0.95702566327308325</v>
      </c>
      <c r="P14" s="1908">
        <v>0</v>
      </c>
      <c r="Q14" s="1907">
        <v>3.6145112437523568</v>
      </c>
      <c r="R14" s="1908">
        <v>0.1518060115365793</v>
      </c>
      <c r="S14" s="1907">
        <v>0</v>
      </c>
      <c r="T14" s="1907">
        <v>28.373422517411417</v>
      </c>
      <c r="U14" s="1907">
        <v>10.143822843487758</v>
      </c>
      <c r="V14" s="1908">
        <v>71.045876560022094</v>
      </c>
      <c r="W14" s="1909">
        <v>0.34018675031287815</v>
      </c>
    </row>
    <row r="15" spans="1:23" x14ac:dyDescent="0.25">
      <c r="C15" t="s">
        <v>1100</v>
      </c>
      <c r="D15" s="1916">
        <v>5.7851936500000001</v>
      </c>
      <c r="E15" s="1916">
        <v>1.8542672630000001</v>
      </c>
      <c r="F15" s="1916">
        <v>1.348166814</v>
      </c>
      <c r="G15" s="1916">
        <v>4.5513610340000001</v>
      </c>
      <c r="H15" s="1916">
        <v>0</v>
      </c>
      <c r="I15" s="1922">
        <f t="shared" si="0"/>
        <v>4.5513610340000001</v>
      </c>
      <c r="J15" s="1916">
        <v>4.9981598176325797</v>
      </c>
      <c r="K15" s="1916">
        <v>0</v>
      </c>
      <c r="L15" s="1916">
        <v>1.4462542170135004</v>
      </c>
      <c r="M15" s="1916">
        <v>0</v>
      </c>
      <c r="N15" s="1922">
        <f t="shared" si="1"/>
        <v>1.4462542170135004</v>
      </c>
      <c r="O15" s="1916">
        <v>2.6517312411426866E-3</v>
      </c>
      <c r="P15" s="1916">
        <v>0</v>
      </c>
      <c r="Q15" s="1915">
        <v>2.9238253959374476</v>
      </c>
      <c r="R15" s="1916">
        <v>0.30152659114641606</v>
      </c>
      <c r="S15" s="1915">
        <v>0</v>
      </c>
      <c r="T15" s="1915">
        <v>0</v>
      </c>
      <c r="U15" s="1915">
        <v>10.336068265955594</v>
      </c>
      <c r="V15" s="1916">
        <v>33.547474779926688</v>
      </c>
      <c r="W15" s="1917">
        <v>0.1967408890034183</v>
      </c>
    </row>
    <row r="16" spans="1:23" x14ac:dyDescent="0.25">
      <c r="B16" s="1910"/>
      <c r="C16" s="1910" t="s">
        <v>2655</v>
      </c>
      <c r="D16" s="1912">
        <v>7.7918362720000003</v>
      </c>
      <c r="E16" s="1912">
        <v>2.11768394</v>
      </c>
      <c r="F16" s="1912">
        <v>3.1032943670000002</v>
      </c>
      <c r="G16" s="1912">
        <v>1.199210313</v>
      </c>
      <c r="H16" s="1912">
        <v>0</v>
      </c>
      <c r="I16" s="1922">
        <f t="shared" si="0"/>
        <v>1.199210313</v>
      </c>
      <c r="J16" s="1912">
        <v>2.7414443856779354</v>
      </c>
      <c r="K16" s="1912">
        <v>0</v>
      </c>
      <c r="L16" s="1912">
        <v>3.2635422155579787</v>
      </c>
      <c r="M16" s="1912">
        <v>0</v>
      </c>
      <c r="N16" s="1922">
        <f t="shared" si="1"/>
        <v>3.2635422155579787</v>
      </c>
      <c r="O16" s="1912">
        <v>0</v>
      </c>
      <c r="P16" s="1912">
        <v>0</v>
      </c>
      <c r="Q16" s="1911">
        <v>0</v>
      </c>
      <c r="R16" s="1912">
        <v>0</v>
      </c>
      <c r="S16" s="1911">
        <v>0</v>
      </c>
      <c r="T16" s="1911">
        <v>0</v>
      </c>
      <c r="U16" s="1911">
        <v>8.320826483097056</v>
      </c>
      <c r="V16" s="1912">
        <v>28.537837976332973</v>
      </c>
      <c r="W16" s="1913">
        <v>0.16685138805183178</v>
      </c>
    </row>
    <row r="17" spans="1:23" x14ac:dyDescent="0.25">
      <c r="A17" t="s">
        <v>63</v>
      </c>
      <c r="C17" s="1910" t="s">
        <v>2666</v>
      </c>
      <c r="D17" s="1911">
        <f>SUMPRODUCT(D14:D16,$V14:$V16)/SUM($V14:$V16)</f>
        <v>6.5837248324848296</v>
      </c>
      <c r="E17" s="1912">
        <f>SUMPRODUCT(E14:E16,$V14:$V16)/SUM($V14:$V16)</f>
        <v>1.6128319360827217</v>
      </c>
      <c r="F17" s="1912">
        <f>SUMPRODUCT(F14:F16,$V14:$V16)/SUM($V14:$V16)</f>
        <v>1.5509212079894585</v>
      </c>
      <c r="G17" s="1912">
        <f>SUMPRODUCT(G14:G16,$V14:$V16)/SUM($V14:$V16)</f>
        <v>4.472213790931705</v>
      </c>
      <c r="H17" s="1912">
        <f>SUMPRODUCT(H14:H16,$V14:$V16)/SUM($V14:$V16)</f>
        <v>2.8462952965335839E-2</v>
      </c>
      <c r="I17" s="1922">
        <f t="shared" ref="I17" si="11">SUMPRODUCT(I14:I16,$V14:$V16)/SUM($V14:$V16)</f>
        <v>4.5006767438970412</v>
      </c>
      <c r="J17" s="1912">
        <f>SUMPRODUCT(J14:J16,$V14:$V16)/SUM($V14:$V16)</f>
        <v>6.2077958752173279</v>
      </c>
      <c r="K17" s="1912">
        <f>SUMPRODUCT(K14:K16,$V14:$V16)/SUM($V14:$V16)</f>
        <v>0.36659877546833508</v>
      </c>
      <c r="L17" s="1912">
        <f>SUMPRODUCT(L14:L16,$V14:$V16)/SUM($V14:$V16)</f>
        <v>3.2733214301421985</v>
      </c>
      <c r="M17" s="1912">
        <f>SUMPRODUCT(M14:M16,$V14:$V16)/SUM($V14:$V16)</f>
        <v>0.11178177893955489</v>
      </c>
      <c r="N17" s="1922">
        <f t="shared" ref="N17" si="12">SUMPRODUCT(N14:N16,$V14:$V16)/SUM($V14:$V16)</f>
        <v>3.3851032090817537</v>
      </c>
      <c r="O17" s="1912">
        <f t="shared" ref="O17:W17" si="13">SUMPRODUCT(O14:O16,$V14:$V16)/SUM($V14:$V16)</f>
        <v>0.51138795029364181</v>
      </c>
      <c r="P17" s="1912">
        <f t="shared" si="13"/>
        <v>0</v>
      </c>
      <c r="Q17" s="1911">
        <f t="shared" si="13"/>
        <v>2.6656644487450758</v>
      </c>
      <c r="R17" s="1912">
        <f t="shared" si="13"/>
        <v>0.15699286527820899</v>
      </c>
      <c r="S17" s="1911">
        <f t="shared" si="13"/>
        <v>0</v>
      </c>
      <c r="T17" s="1911">
        <f t="shared" si="13"/>
        <v>15.141565880316458</v>
      </c>
      <c r="U17" s="1911">
        <f t="shared" si="13"/>
        <v>9.801491143932326</v>
      </c>
      <c r="V17" s="1912">
        <f t="shared" si="13"/>
        <v>52.484754868787178</v>
      </c>
      <c r="W17" s="1913">
        <f t="shared" si="13"/>
        <v>0.26688414595354643</v>
      </c>
    </row>
    <row r="18" spans="1:23" x14ac:dyDescent="0.25">
      <c r="B18" s="1906" t="s">
        <v>2656</v>
      </c>
      <c r="C18" s="1906" t="s">
        <v>2217</v>
      </c>
      <c r="D18" s="1908">
        <v>12.25120652</v>
      </c>
      <c r="E18" s="1908">
        <v>5.7017218539999996</v>
      </c>
      <c r="F18" s="1908">
        <v>68.831006459999998</v>
      </c>
      <c r="G18" s="1908">
        <v>92.568071509999996</v>
      </c>
      <c r="H18" s="1908">
        <v>0</v>
      </c>
      <c r="I18" s="1922">
        <f t="shared" si="0"/>
        <v>92.568071509999996</v>
      </c>
      <c r="J18" s="1908">
        <v>13.965686197746274</v>
      </c>
      <c r="K18" s="1908">
        <v>0</v>
      </c>
      <c r="L18" s="1908">
        <v>16.539990354416577</v>
      </c>
      <c r="M18" s="1908">
        <v>0</v>
      </c>
      <c r="N18" s="1922">
        <f t="shared" si="1"/>
        <v>16.539990354416577</v>
      </c>
      <c r="O18" s="1908">
        <v>7.7539281715739733E-2</v>
      </c>
      <c r="P18" s="1908">
        <v>14.308632797164671</v>
      </c>
      <c r="Q18" s="1907">
        <v>0</v>
      </c>
      <c r="R18" s="1908">
        <v>0</v>
      </c>
      <c r="S18" s="1907">
        <v>152.90540510521441</v>
      </c>
      <c r="T18" s="1907">
        <v>0</v>
      </c>
      <c r="U18" s="1907">
        <v>0</v>
      </c>
      <c r="V18" s="1908">
        <v>377.14926008025765</v>
      </c>
      <c r="W18" s="1909">
        <v>0.192721124592207</v>
      </c>
    </row>
    <row r="19" spans="1:23" x14ac:dyDescent="0.25">
      <c r="B19" s="1910"/>
      <c r="C19" s="1910" t="s">
        <v>2657</v>
      </c>
      <c r="D19" s="1912">
        <v>12.22112504</v>
      </c>
      <c r="E19" s="1912">
        <v>5.8452155140000004</v>
      </c>
      <c r="F19" s="1912">
        <v>70.860793720000004</v>
      </c>
      <c r="G19" s="1912">
        <v>154.5347409</v>
      </c>
      <c r="H19" s="1912">
        <v>0</v>
      </c>
      <c r="I19" s="1922">
        <f t="shared" si="0"/>
        <v>154.5347409</v>
      </c>
      <c r="J19" s="1912">
        <v>17.751714818072774</v>
      </c>
      <c r="K19" s="1912">
        <v>0</v>
      </c>
      <c r="L19" s="1912">
        <v>22.581030359856058</v>
      </c>
      <c r="M19" s="1912">
        <v>0</v>
      </c>
      <c r="N19" s="1922">
        <f t="shared" si="1"/>
        <v>22.581030359856058</v>
      </c>
      <c r="O19" s="1912">
        <v>0</v>
      </c>
      <c r="P19" s="1912">
        <v>32.114680739704127</v>
      </c>
      <c r="Q19" s="1911">
        <v>0</v>
      </c>
      <c r="R19" s="1912">
        <v>0</v>
      </c>
      <c r="S19" s="1911">
        <v>269.48507596961235</v>
      </c>
      <c r="T19" s="1911">
        <v>0</v>
      </c>
      <c r="U19" s="1911">
        <v>0</v>
      </c>
      <c r="V19" s="1912">
        <v>585.39437706124534</v>
      </c>
      <c r="W19" s="1913">
        <v>0.15169200879179751</v>
      </c>
    </row>
    <row r="20" spans="1:23" x14ac:dyDescent="0.25">
      <c r="A20" t="s">
        <v>2217</v>
      </c>
      <c r="C20" s="1910" t="s">
        <v>2666</v>
      </c>
      <c r="D20" s="1911">
        <f>SUMPRODUCT(D18:D19,$V18:$V19)/SUM($V18:$V19)</f>
        <v>12.232911734635278</v>
      </c>
      <c r="E20" s="1912">
        <f>SUMPRODUCT(E18:E19,$V18:$V19)/SUM($V18:$V19)</f>
        <v>5.7889910213048683</v>
      </c>
      <c r="F20" s="1912">
        <f>SUMPRODUCT(F18:F19,$V18:$V19)/SUM($V18:$V19)</f>
        <v>70.065471062730396</v>
      </c>
      <c r="G20" s="1912">
        <f>SUMPRODUCT(G18:G19,$V18:$V19)/SUM($V18:$V19)</f>
        <v>130.25461207438008</v>
      </c>
      <c r="H20" s="1912">
        <f>SUMPRODUCT(H18:H19,$V18:$V19)/SUM($V18:$V19)</f>
        <v>0</v>
      </c>
      <c r="I20" s="1922">
        <f t="shared" ref="I20" si="14">SUMPRODUCT(I18:I19,$V18:$V19)/SUM($V18:$V19)</f>
        <v>130.25461207438008</v>
      </c>
      <c r="J20" s="1912">
        <f>SUMPRODUCT(J18:J19,$V18:$V19)/SUM($V18:$V19)</f>
        <v>16.26825179603328</v>
      </c>
      <c r="K20" s="1912">
        <f>SUMPRODUCT(K18:K19,$V18:$V19)/SUM($V18:$V19)</f>
        <v>0</v>
      </c>
      <c r="L20" s="1912">
        <f>SUMPRODUCT(L18:L19,$V18:$V19)/SUM($V18:$V19)</f>
        <v>20.213996097458459</v>
      </c>
      <c r="M20" s="1912">
        <f>SUMPRODUCT(M18:M19,$V18:$V19)/SUM($V18:$V19)</f>
        <v>0</v>
      </c>
      <c r="N20" s="1922">
        <f t="shared" ref="N20" si="15">SUMPRODUCT(N18:N19,$V18:$V19)/SUM($V18:$V19)</f>
        <v>20.213996097458459</v>
      </c>
      <c r="O20" s="1912">
        <f t="shared" ref="O20:W20" si="16">SUMPRODUCT(O18:O19,$V18:$V19)/SUM($V18:$V19)</f>
        <v>3.0381877348534963E-2</v>
      </c>
      <c r="P20" s="1912">
        <f t="shared" si="16"/>
        <v>25.137814915287372</v>
      </c>
      <c r="Q20" s="1911">
        <f t="shared" si="16"/>
        <v>0</v>
      </c>
      <c r="R20" s="1912">
        <f t="shared" si="16"/>
        <v>0</v>
      </c>
      <c r="S20" s="1911">
        <f t="shared" si="16"/>
        <v>223.80617382915389</v>
      </c>
      <c r="T20" s="1911">
        <f t="shared" si="16"/>
        <v>0</v>
      </c>
      <c r="U20" s="1911">
        <f t="shared" si="16"/>
        <v>0</v>
      </c>
      <c r="V20" s="1912">
        <f t="shared" si="16"/>
        <v>503.7986044083321</v>
      </c>
      <c r="W20" s="1913">
        <f t="shared" si="16"/>
        <v>0.16776826764259162</v>
      </c>
    </row>
    <row r="21" spans="1:23" x14ac:dyDescent="0.25">
      <c r="B21" s="1906" t="s">
        <v>2658</v>
      </c>
      <c r="C21" s="1906" t="s">
        <v>2659</v>
      </c>
      <c r="D21" s="1908">
        <v>14.221472179999999</v>
      </c>
      <c r="E21" s="1908">
        <v>2.3543754699999999</v>
      </c>
      <c r="F21" s="1908">
        <v>3.6124683769999999</v>
      </c>
      <c r="G21" s="1908">
        <v>3.9809700920000002</v>
      </c>
      <c r="H21" s="1908">
        <v>0</v>
      </c>
      <c r="I21" s="1922">
        <f t="shared" si="0"/>
        <v>3.9809700920000002</v>
      </c>
      <c r="J21" s="1908">
        <v>5.1495244289648463</v>
      </c>
      <c r="K21" s="1908">
        <v>0</v>
      </c>
      <c r="L21" s="1908">
        <v>6.6403985258383278</v>
      </c>
      <c r="M21" s="1908">
        <v>0.78671156852421831</v>
      </c>
      <c r="N21" s="1922">
        <f t="shared" si="1"/>
        <v>7.4271100943625461</v>
      </c>
      <c r="O21" s="1908">
        <v>0</v>
      </c>
      <c r="P21" s="1908">
        <v>0</v>
      </c>
      <c r="Q21" s="1907">
        <v>0</v>
      </c>
      <c r="R21" s="1908">
        <v>0</v>
      </c>
      <c r="S21" s="1907">
        <v>0</v>
      </c>
      <c r="T21" s="1907">
        <v>0</v>
      </c>
      <c r="U21" s="1907">
        <v>7.4601297100275392</v>
      </c>
      <c r="V21" s="1908">
        <v>44.206050352354929</v>
      </c>
      <c r="W21" s="1909">
        <v>0.16686701421318281</v>
      </c>
    </row>
    <row r="22" spans="1:23" x14ac:dyDescent="0.25">
      <c r="B22" s="1910"/>
      <c r="C22" s="1910" t="s">
        <v>2660</v>
      </c>
      <c r="D22" s="1912">
        <v>20.43483604</v>
      </c>
      <c r="E22" s="1912">
        <v>2.9895080549999999</v>
      </c>
      <c r="F22" s="1912">
        <v>2.68402626</v>
      </c>
      <c r="G22" s="1912">
        <v>13.549572299999999</v>
      </c>
      <c r="H22" s="1912">
        <v>0</v>
      </c>
      <c r="I22" s="1922">
        <f t="shared" si="0"/>
        <v>13.549572299999999</v>
      </c>
      <c r="J22" s="1912">
        <v>4.8620061244444441</v>
      </c>
      <c r="K22" s="1912">
        <v>0</v>
      </c>
      <c r="L22" s="1912">
        <v>6.1513499777777776</v>
      </c>
      <c r="M22" s="1912">
        <v>0</v>
      </c>
      <c r="N22" s="1922">
        <f t="shared" si="1"/>
        <v>6.1513499777777776</v>
      </c>
      <c r="O22" s="1912">
        <v>0</v>
      </c>
      <c r="P22" s="1912">
        <v>0</v>
      </c>
      <c r="Q22" s="1911">
        <v>0</v>
      </c>
      <c r="R22" s="1912">
        <v>0</v>
      </c>
      <c r="S22" s="1911">
        <v>0</v>
      </c>
      <c r="T22" s="1911">
        <v>0</v>
      </c>
      <c r="U22" s="1911">
        <v>5.3996540844444443</v>
      </c>
      <c r="V22" s="1912">
        <v>56.07095284166666</v>
      </c>
      <c r="W22" s="1913">
        <v>0.17783967651747074</v>
      </c>
    </row>
    <row r="23" spans="1:23" x14ac:dyDescent="0.25">
      <c r="A23" t="s">
        <v>69</v>
      </c>
      <c r="C23" s="1910" t="s">
        <v>2666</v>
      </c>
      <c r="D23" s="1911">
        <f>SUMPRODUCT(D21:D22,$V21:$V22)/SUM($V21:$V22)</f>
        <v>17.695740665149014</v>
      </c>
      <c r="E23" s="1912">
        <f>SUMPRODUCT(E21:E22,$V21:$V22)/SUM($V21:$V22)</f>
        <v>2.7095166099165549</v>
      </c>
      <c r="F23" s="1912">
        <f>SUMPRODUCT(F21:F22,$V21:$V22)/SUM($V21:$V22)</f>
        <v>3.0933200927438564</v>
      </c>
      <c r="G23" s="1912">
        <f>SUMPRODUCT(G21:G22,$V21:$V22)/SUM($V21:$V22)</f>
        <v>9.3313557843939492</v>
      </c>
      <c r="H23" s="1912">
        <f>SUMPRODUCT(H21:H22,$V21:$V22)/SUM($V21:$V22)</f>
        <v>0</v>
      </c>
      <c r="I23" s="1922">
        <f t="shared" ref="I23" si="17">SUMPRODUCT(I21:I22,$V21:$V22)/SUM($V21:$V22)</f>
        <v>9.3313557843939492</v>
      </c>
      <c r="J23" s="1912">
        <f>SUMPRODUCT(J21:J22,$V21:$V22)/SUM($V21:$V22)</f>
        <v>4.9887555110636326</v>
      </c>
      <c r="K23" s="1912">
        <f>SUMPRODUCT(K21:K22,$V21:$V22)/SUM($V21:$V22)</f>
        <v>0</v>
      </c>
      <c r="L23" s="1912">
        <f>SUMPRODUCT(L21:L22,$V21:$V22)/SUM($V21:$V22)</f>
        <v>6.3669418288673167</v>
      </c>
      <c r="M23" s="1912">
        <f>SUMPRODUCT(M21:M22,$V21:$V22)/SUM($V21:$V22)</f>
        <v>0.34681342783721231</v>
      </c>
      <c r="N23" s="1922">
        <f t="shared" ref="N23" si="18">SUMPRODUCT(N21:N22,$V21:$V22)/SUM($V21:$V22)</f>
        <v>6.7137552567045296</v>
      </c>
      <c r="O23" s="1912">
        <f t="shared" ref="O23:W23" si="19">SUMPRODUCT(O21:O22,$V21:$V22)/SUM($V21:$V22)</f>
        <v>0</v>
      </c>
      <c r="P23" s="1912">
        <f t="shared" si="19"/>
        <v>0</v>
      </c>
      <c r="Q23" s="1911">
        <f t="shared" si="19"/>
        <v>0</v>
      </c>
      <c r="R23" s="1912">
        <f t="shared" si="19"/>
        <v>0</v>
      </c>
      <c r="S23" s="1911">
        <f t="shared" si="19"/>
        <v>0</v>
      </c>
      <c r="T23" s="1911">
        <f t="shared" si="19"/>
        <v>0</v>
      </c>
      <c r="U23" s="1911">
        <f t="shared" si="19"/>
        <v>6.3079928495957018</v>
      </c>
      <c r="V23" s="1912">
        <f t="shared" si="19"/>
        <v>50.840436769567233</v>
      </c>
      <c r="W23" s="1913">
        <f t="shared" si="19"/>
        <v>0.17300249504143261</v>
      </c>
    </row>
    <row r="24" spans="1:23" x14ac:dyDescent="0.25">
      <c r="B24" s="1906" t="s">
        <v>2218</v>
      </c>
      <c r="C24" s="1906" t="s">
        <v>2661</v>
      </c>
      <c r="D24" s="1908">
        <v>8.3244013219999999</v>
      </c>
      <c r="E24" s="1908">
        <v>0.51878313200000004</v>
      </c>
      <c r="F24" s="1908">
        <v>2.9313913779999998</v>
      </c>
      <c r="G24" s="1908">
        <v>2.1259109189999998</v>
      </c>
      <c r="H24" s="1908">
        <v>0</v>
      </c>
      <c r="I24" s="1922">
        <f t="shared" si="0"/>
        <v>2.1259109189999998</v>
      </c>
      <c r="J24" s="1908">
        <v>6.7798301934211205</v>
      </c>
      <c r="K24" s="1908">
        <v>0</v>
      </c>
      <c r="L24" s="1908">
        <v>3.8114825845120848</v>
      </c>
      <c r="M24" s="1908">
        <v>1.3173225395591006</v>
      </c>
      <c r="N24" s="1922">
        <f t="shared" si="1"/>
        <v>5.1288051240711852</v>
      </c>
      <c r="O24" s="1908">
        <v>0.20342232845078168</v>
      </c>
      <c r="P24" s="1908">
        <v>0.8631424687154734</v>
      </c>
      <c r="Q24" s="1907">
        <v>0.29580797088277422</v>
      </c>
      <c r="R24" s="1908">
        <v>0.18389558313219875</v>
      </c>
      <c r="S24" s="1907">
        <v>4.0631337714826774</v>
      </c>
      <c r="T24" s="1907">
        <v>0</v>
      </c>
      <c r="U24" s="1907">
        <v>8.5700306124975771</v>
      </c>
      <c r="V24" s="1908">
        <v>39.988554803653784</v>
      </c>
      <c r="W24" s="1909">
        <v>0.19428622027148637</v>
      </c>
    </row>
    <row r="25" spans="1:23" x14ac:dyDescent="0.25">
      <c r="B25" s="1910"/>
      <c r="C25" s="1910" t="s">
        <v>2662</v>
      </c>
      <c r="D25" s="1912">
        <v>8.8814587970000005</v>
      </c>
      <c r="E25" s="1912">
        <v>0.58734584499999998</v>
      </c>
      <c r="F25" s="1912">
        <v>1.863829725</v>
      </c>
      <c r="G25" s="1912">
        <v>11.82531902</v>
      </c>
      <c r="H25" s="1912">
        <v>0</v>
      </c>
      <c r="I25" s="1922">
        <f t="shared" si="0"/>
        <v>11.82531902</v>
      </c>
      <c r="J25" s="1912">
        <v>6.2358387863546021</v>
      </c>
      <c r="K25" s="1912">
        <v>0</v>
      </c>
      <c r="L25" s="1912">
        <v>4.3789440000540845</v>
      </c>
      <c r="M25" s="1912">
        <v>1.2986470437674928</v>
      </c>
      <c r="N25" s="1922">
        <f t="shared" si="1"/>
        <v>5.6775910438215771</v>
      </c>
      <c r="O25" s="1912">
        <v>1.6279555280628459E-2</v>
      </c>
      <c r="P25" s="1912">
        <v>1.5696380471612656</v>
      </c>
      <c r="Q25" s="1911">
        <v>0</v>
      </c>
      <c r="R25" s="1912">
        <v>0.31016270190240541</v>
      </c>
      <c r="S25" s="1911">
        <v>6.5470043462519074</v>
      </c>
      <c r="T25" s="1911">
        <v>0</v>
      </c>
      <c r="U25" s="1911">
        <v>11.983640889622023</v>
      </c>
      <c r="V25" s="1912">
        <v>55.498108757394412</v>
      </c>
      <c r="W25" s="1913">
        <v>0.17919046104370323</v>
      </c>
    </row>
    <row r="26" spans="1:23" x14ac:dyDescent="0.25">
      <c r="A26" t="s">
        <v>2218</v>
      </c>
      <c r="C26" s="1910" t="s">
        <v>2666</v>
      </c>
      <c r="D26" s="1911">
        <f>SUMPRODUCT(D24:D25,$V24:$V25)/SUM($V24:$V25)</f>
        <v>8.6481704765469498</v>
      </c>
      <c r="E26" s="1912">
        <f>SUMPRODUCT(E24:E25,$V24:$V25)/SUM($V24:$V25)</f>
        <v>0.55863268544411293</v>
      </c>
      <c r="F26" s="1912">
        <f>SUMPRODUCT(F24:F25,$V24:$V25)/SUM($V24:$V25)</f>
        <v>2.310910459368483</v>
      </c>
      <c r="G26" s="1912">
        <f>SUMPRODUCT(G24:G25,$V24:$V25)/SUM($V24:$V25)</f>
        <v>7.7633348858296269</v>
      </c>
      <c r="H26" s="1912">
        <f>SUMPRODUCT(H24:H25,$V24:$V25)/SUM($V24:$V25)</f>
        <v>0</v>
      </c>
      <c r="I26" s="1922">
        <f t="shared" ref="I26" si="20">SUMPRODUCT(I24:I25,$V24:$V25)/SUM($V24:$V25)</f>
        <v>7.7633348858296269</v>
      </c>
      <c r="J26" s="1912">
        <f>SUMPRODUCT(J24:J25,$V24:$V25)/SUM($V24:$V25)</f>
        <v>6.463655209956924</v>
      </c>
      <c r="K26" s="1912">
        <f>SUMPRODUCT(K24:K25,$V24:$V25)/SUM($V24:$V25)</f>
        <v>0</v>
      </c>
      <c r="L26" s="1912">
        <f>SUMPRODUCT(L24:L25,$V24:$V25)/SUM($V24:$V25)</f>
        <v>4.1412986465765025</v>
      </c>
      <c r="M26" s="1912">
        <f>SUMPRODUCT(M24:M25,$V24:$V25)/SUM($V24:$V25)</f>
        <v>1.3064680949917891</v>
      </c>
      <c r="N26" s="1922">
        <f t="shared" ref="N26" si="21">SUMPRODUCT(N24:N25,$V24:$V25)/SUM($V24:$V25)</f>
        <v>5.4477667415682918</v>
      </c>
      <c r="O26" s="1912">
        <f t="shared" ref="O26:W26" si="22">SUMPRODUCT(O24:O25,$V24:$V25)/SUM($V24:$V25)</f>
        <v>9.4652479434983214E-2</v>
      </c>
      <c r="P26" s="1912">
        <f t="shared" si="22"/>
        <v>1.2737670207413692</v>
      </c>
      <c r="Q26" s="1911">
        <f t="shared" si="22"/>
        <v>0.12388047517694195</v>
      </c>
      <c r="R26" s="1912">
        <f t="shared" si="22"/>
        <v>0.25728369858888295</v>
      </c>
      <c r="S26" s="1911">
        <f t="shared" si="22"/>
        <v>5.5067921228890153</v>
      </c>
      <c r="T26" s="1911">
        <f t="shared" si="22"/>
        <v>0</v>
      </c>
      <c r="U26" s="1911">
        <f t="shared" si="22"/>
        <v>10.554065946333385</v>
      </c>
      <c r="V26" s="1912">
        <f t="shared" si="22"/>
        <v>49.002912201878964</v>
      </c>
      <c r="W26" s="1913">
        <f t="shared" si="22"/>
        <v>0.18551236582778888</v>
      </c>
    </row>
    <row r="27" spans="1:23" x14ac:dyDescent="0.25">
      <c r="A27" t="s">
        <v>74</v>
      </c>
      <c r="B27" s="4027" t="s">
        <v>74</v>
      </c>
      <c r="C27" s="4027"/>
      <c r="D27" s="1912">
        <v>5.6305372829999998</v>
      </c>
      <c r="E27" s="1912">
        <v>1.5046340330000001</v>
      </c>
      <c r="F27" s="1912">
        <v>0.46341270899999998</v>
      </c>
      <c r="G27" s="1912">
        <v>7.4089814379999996</v>
      </c>
      <c r="H27" s="1912">
        <v>0</v>
      </c>
      <c r="I27" s="1922">
        <f t="shared" si="0"/>
        <v>7.4089814379999996</v>
      </c>
      <c r="J27" s="1912">
        <v>0.12040715444327024</v>
      </c>
      <c r="K27" s="1912">
        <v>0</v>
      </c>
      <c r="L27" s="1912">
        <v>0.40111430262273029</v>
      </c>
      <c r="M27" s="1912">
        <v>0</v>
      </c>
      <c r="N27" s="1922">
        <f t="shared" si="1"/>
        <v>0.40111430262273029</v>
      </c>
      <c r="O27" s="1912">
        <v>0</v>
      </c>
      <c r="P27" s="1912">
        <v>0</v>
      </c>
      <c r="Q27" s="1911">
        <v>0</v>
      </c>
      <c r="R27" s="1912">
        <v>0</v>
      </c>
      <c r="S27" s="1911">
        <v>0</v>
      </c>
      <c r="T27" s="1911">
        <v>0</v>
      </c>
      <c r="U27" s="1911">
        <v>2.4864714958209242</v>
      </c>
      <c r="V27" s="1912">
        <v>18.015558415886925</v>
      </c>
      <c r="W27" s="1913">
        <v>0.14631429773497143</v>
      </c>
    </row>
    <row r="29" spans="1:23" ht="21" x14ac:dyDescent="0.25">
      <c r="B29" s="4032" t="s">
        <v>2663</v>
      </c>
      <c r="C29" s="4032"/>
      <c r="D29" s="4029" t="s">
        <v>2648</v>
      </c>
      <c r="E29" s="4029"/>
      <c r="F29" s="4029"/>
      <c r="G29" s="4029"/>
      <c r="H29" s="4029"/>
      <c r="I29" s="4029"/>
      <c r="J29" s="4029"/>
      <c r="K29" s="4029"/>
      <c r="L29" s="4029"/>
      <c r="M29" s="4029"/>
      <c r="N29" s="4029"/>
      <c r="O29" s="4029"/>
      <c r="P29" s="4029"/>
      <c r="Q29" s="4029"/>
      <c r="R29" s="4029"/>
      <c r="S29" s="4029"/>
      <c r="T29" s="4029"/>
      <c r="U29" s="4029"/>
      <c r="V29" s="4029"/>
      <c r="W29" s="4029"/>
    </row>
    <row r="30" spans="1:23" ht="27.6" x14ac:dyDescent="0.25">
      <c r="B30" s="4030" t="s">
        <v>106</v>
      </c>
      <c r="C30" s="4031"/>
      <c r="D30" s="1904" t="s">
        <v>2626</v>
      </c>
      <c r="E30" s="1905" t="s">
        <v>2627</v>
      </c>
      <c r="F30" s="1905" t="s">
        <v>2628</v>
      </c>
      <c r="G30" s="1905" t="s">
        <v>2629</v>
      </c>
      <c r="H30" s="1905" t="s">
        <v>2636</v>
      </c>
      <c r="I30" s="1919" t="s">
        <v>2638</v>
      </c>
      <c r="J30" s="1905" t="s">
        <v>2630</v>
      </c>
      <c r="K30" s="1905" t="s">
        <v>1978</v>
      </c>
      <c r="L30" s="1905" t="s">
        <v>2665</v>
      </c>
      <c r="M30" s="1905" t="s">
        <v>2637</v>
      </c>
      <c r="N30" s="1919" t="s">
        <v>2631</v>
      </c>
      <c r="O30" s="1905" t="s">
        <v>387</v>
      </c>
      <c r="P30" s="1905" t="s">
        <v>2632</v>
      </c>
      <c r="Q30" s="1904" t="s">
        <v>2633</v>
      </c>
      <c r="R30" s="1905" t="s">
        <v>2634</v>
      </c>
      <c r="S30" s="1904" t="s">
        <v>378</v>
      </c>
      <c r="T30" s="1904" t="s">
        <v>910</v>
      </c>
      <c r="U30" s="1904" t="s">
        <v>2635</v>
      </c>
      <c r="V30" s="1905" t="s">
        <v>15</v>
      </c>
      <c r="W30" s="1905" t="s">
        <v>2649</v>
      </c>
    </row>
    <row r="31" spans="1:23" x14ac:dyDescent="0.25">
      <c r="B31" s="1906" t="s">
        <v>2650</v>
      </c>
      <c r="C31" s="1906" t="s">
        <v>2651</v>
      </c>
      <c r="D31" s="1908">
        <v>3.1104234489999998</v>
      </c>
      <c r="E31" s="1908">
        <v>1.125877756</v>
      </c>
      <c r="F31" s="1908">
        <v>11.70384628</v>
      </c>
      <c r="G31" s="1908">
        <v>10.859403759999999</v>
      </c>
      <c r="H31" s="1908">
        <v>0</v>
      </c>
      <c r="I31" s="1922">
        <f>G31+H31</f>
        <v>10.859403759999999</v>
      </c>
      <c r="J31" s="1908">
        <v>2.8325364758009544</v>
      </c>
      <c r="K31" s="1908">
        <v>0</v>
      </c>
      <c r="L31" s="1908">
        <v>5.7628532023354371</v>
      </c>
      <c r="M31" s="1908">
        <v>0</v>
      </c>
      <c r="N31" s="1922">
        <f>L31+M31</f>
        <v>5.7628532023354371</v>
      </c>
      <c r="O31" s="1908">
        <v>0</v>
      </c>
      <c r="P31" s="1908">
        <v>0</v>
      </c>
      <c r="Q31" s="1907">
        <v>3.5111295522427404</v>
      </c>
      <c r="R31" s="1908">
        <v>0</v>
      </c>
      <c r="S31" s="1907">
        <v>0</v>
      </c>
      <c r="T31" s="1907">
        <v>0</v>
      </c>
      <c r="U31" s="1907">
        <v>10.849361147499414</v>
      </c>
      <c r="V31" s="1908">
        <v>49.755431622878547</v>
      </c>
      <c r="W31" s="1909">
        <v>0.15323697055373742</v>
      </c>
    </row>
    <row r="32" spans="1:23" x14ac:dyDescent="0.25">
      <c r="B32" s="1910"/>
      <c r="C32" s="1910" t="s">
        <v>2652</v>
      </c>
      <c r="D32" s="1912">
        <v>3.0074910359999998</v>
      </c>
      <c r="E32" s="1912">
        <v>1.828389109</v>
      </c>
      <c r="F32" s="1912">
        <v>13.23530334</v>
      </c>
      <c r="G32" s="1912">
        <v>12.214998250000001</v>
      </c>
      <c r="H32" s="1912">
        <v>0</v>
      </c>
      <c r="I32" s="1922">
        <f t="shared" ref="I32:I53" si="23">G32+H32</f>
        <v>12.214998250000001</v>
      </c>
      <c r="J32" s="1912">
        <v>3.5634930600341432</v>
      </c>
      <c r="K32" s="1912">
        <v>0.17229656404116084</v>
      </c>
      <c r="L32" s="1912">
        <v>6.5013012068474971</v>
      </c>
      <c r="M32" s="1912">
        <v>0</v>
      </c>
      <c r="N32" s="1922">
        <f t="shared" ref="N32:N53" si="24">L32+M32</f>
        <v>6.5013012068474971</v>
      </c>
      <c r="O32" s="1912">
        <v>0.60084633511949925</v>
      </c>
      <c r="P32" s="1912">
        <v>0</v>
      </c>
      <c r="Q32" s="1911">
        <v>1.7804139861005743</v>
      </c>
      <c r="R32" s="1912">
        <v>0.23373439432378607</v>
      </c>
      <c r="S32" s="1911">
        <v>0</v>
      </c>
      <c r="T32" s="1911">
        <v>0</v>
      </c>
      <c r="U32" s="1911">
        <v>10.928396368129318</v>
      </c>
      <c r="V32" s="1912">
        <v>54.066663649595974</v>
      </c>
      <c r="W32" s="1913">
        <v>0.12973302267845771</v>
      </c>
    </row>
    <row r="33" spans="1:23" x14ac:dyDescent="0.25">
      <c r="A33" t="s">
        <v>61</v>
      </c>
      <c r="C33" s="1910" t="s">
        <v>2666</v>
      </c>
      <c r="D33" s="1911">
        <f>SUMPRODUCT(D31:D32,$V31:$V32)/SUM($V31:$V32)</f>
        <v>3.0568200985984624</v>
      </c>
      <c r="E33" s="1912">
        <f>SUMPRODUCT(E31:E32,$V31:$V32)/SUM($V31:$V32)</f>
        <v>1.4917193905094084</v>
      </c>
      <c r="F33" s="1912">
        <f>SUMPRODUCT(F31:F32,$V31:$V32)/SUM($V31:$V32)</f>
        <v>12.501371831179773</v>
      </c>
      <c r="G33" s="1912">
        <f>SUMPRODUCT(G31:G32,$V31:$V32)/SUM($V31:$V32)</f>
        <v>11.565346663037396</v>
      </c>
      <c r="H33" s="1912">
        <f>SUMPRODUCT(H31:H32,$V31:$V32)/SUM($V31:$V32)</f>
        <v>0</v>
      </c>
      <c r="I33" s="1922">
        <f t="shared" ref="I33" si="25">SUMPRODUCT(I31:I32,$V31:$V32)/SUM($V31:$V32)</f>
        <v>11.565346663037396</v>
      </c>
      <c r="J33" s="1912">
        <f>SUMPRODUCT(J31:J32,$V31:$V32)/SUM($V31:$V32)</f>
        <v>3.2131913227145583</v>
      </c>
      <c r="K33" s="1912">
        <f>SUMPRODUCT(K31:K32,$V31:$V32)/SUM($V31:$V32)</f>
        <v>8.9725605629000019E-2</v>
      </c>
      <c r="L33" s="1912">
        <f>SUMPRODUCT(L31:L32,$V31:$V32)/SUM($V31:$V32)</f>
        <v>6.1474093007062818</v>
      </c>
      <c r="M33" s="1912">
        <f>SUMPRODUCT(M31:M32,$V31:$V32)/SUM($V31:$V32)</f>
        <v>0</v>
      </c>
      <c r="N33" s="1922">
        <f t="shared" ref="N33" si="26">SUMPRODUCT(N31:N32,$V31:$V32)/SUM($V31:$V32)</f>
        <v>6.1474093007062818</v>
      </c>
      <c r="O33" s="1912">
        <f t="shared" ref="O33:W33" si="27">SUMPRODUCT(O31:O32,$V31:$V32)/SUM($V31:$V32)</f>
        <v>0.31289829607793584</v>
      </c>
      <c r="P33" s="1912">
        <f t="shared" si="27"/>
        <v>0</v>
      </c>
      <c r="Q33" s="1911">
        <f t="shared" si="27"/>
        <v>2.6098376245259143</v>
      </c>
      <c r="R33" s="1912">
        <f t="shared" si="27"/>
        <v>0.12172012949729576</v>
      </c>
      <c r="S33" s="1911">
        <f t="shared" si="27"/>
        <v>0</v>
      </c>
      <c r="T33" s="1911">
        <f t="shared" si="27"/>
        <v>0</v>
      </c>
      <c r="U33" s="1911">
        <f t="shared" si="27"/>
        <v>10.890519734012758</v>
      </c>
      <c r="V33" s="1912">
        <f t="shared" si="27"/>
        <v>52.000559996488789</v>
      </c>
      <c r="W33" s="1913">
        <f t="shared" si="27"/>
        <v>0.14099699368874252</v>
      </c>
    </row>
    <row r="34" spans="1:23" x14ac:dyDescent="0.25">
      <c r="B34" s="1906" t="s">
        <v>878</v>
      </c>
      <c r="C34" s="1906" t="s">
        <v>57</v>
      </c>
      <c r="D34" s="1908">
        <v>13.78077699</v>
      </c>
      <c r="E34" s="1908">
        <v>0.80648430400000004</v>
      </c>
      <c r="F34" s="1908">
        <v>5.0694717770000004</v>
      </c>
      <c r="G34" s="1908">
        <v>31.425463019999999</v>
      </c>
      <c r="H34" s="1908">
        <v>3.4642630620000001</v>
      </c>
      <c r="I34" s="1922">
        <f t="shared" si="23"/>
        <v>34.889726081999996</v>
      </c>
      <c r="J34" s="1908">
        <v>8.4423722220611932</v>
      </c>
      <c r="K34" s="1908">
        <v>1.450250663558329</v>
      </c>
      <c r="L34" s="1908">
        <v>11.492283559902443</v>
      </c>
      <c r="M34" s="1908">
        <v>0.93292929677309822</v>
      </c>
      <c r="N34" s="1922">
        <f t="shared" si="24"/>
        <v>12.425212856675541</v>
      </c>
      <c r="O34" s="1908">
        <v>2.029283153692945</v>
      </c>
      <c r="P34" s="1908">
        <v>0.80271767409290706</v>
      </c>
      <c r="Q34" s="1907">
        <v>9.8430027453302475</v>
      </c>
      <c r="R34" s="1908">
        <v>0.40479827710858335</v>
      </c>
      <c r="S34" s="1907">
        <v>16.988614125821439</v>
      </c>
      <c r="T34" s="1907">
        <v>0</v>
      </c>
      <c r="U34" s="1907">
        <v>20.900455956244016</v>
      </c>
      <c r="V34" s="1908">
        <v>127.83316682758522</v>
      </c>
      <c r="W34" s="1909">
        <v>0.23550813259375961</v>
      </c>
    </row>
    <row r="35" spans="1:23" x14ac:dyDescent="0.25">
      <c r="B35" s="1914"/>
      <c r="C35" s="1914" t="s">
        <v>2653</v>
      </c>
      <c r="D35" s="1912">
        <v>11.657833249999999</v>
      </c>
      <c r="E35" s="1912">
        <v>2.5813939010000002</v>
      </c>
      <c r="F35" s="1912">
        <v>3.0900236250000002</v>
      </c>
      <c r="G35" s="1912">
        <v>24.846139279999999</v>
      </c>
      <c r="H35" s="1912">
        <v>3.3781089799999999</v>
      </c>
      <c r="I35" s="1922">
        <f t="shared" si="23"/>
        <v>28.22424826</v>
      </c>
      <c r="J35" s="1912">
        <v>15.091510850876764</v>
      </c>
      <c r="K35" s="1912">
        <v>0</v>
      </c>
      <c r="L35" s="1912">
        <v>8.5978546182777311</v>
      </c>
      <c r="M35" s="1912">
        <v>0.54573014848825274</v>
      </c>
      <c r="N35" s="1922">
        <f t="shared" si="24"/>
        <v>9.1435847667659846</v>
      </c>
      <c r="O35" s="1912">
        <v>0.44223359497875253</v>
      </c>
      <c r="P35" s="1912">
        <v>0</v>
      </c>
      <c r="Q35" s="1911">
        <v>14.801530674546976</v>
      </c>
      <c r="R35" s="1912">
        <v>0</v>
      </c>
      <c r="S35" s="1911">
        <v>0</v>
      </c>
      <c r="T35" s="1911">
        <v>0</v>
      </c>
      <c r="U35" s="1911">
        <v>31.916034044839535</v>
      </c>
      <c r="V35" s="1912">
        <v>116.94839296800802</v>
      </c>
      <c r="W35" s="1913">
        <v>0.24213976109604499</v>
      </c>
    </row>
    <row r="36" spans="1:23" x14ac:dyDescent="0.25">
      <c r="A36" t="s">
        <v>2342</v>
      </c>
      <c r="C36" s="1910" t="s">
        <v>2666</v>
      </c>
      <c r="D36" s="1911">
        <f>SUMPRODUCT(D34:D35,$V34:$V35)/SUM($V34:$V35)</f>
        <v>12.76650590290579</v>
      </c>
      <c r="E36" s="1912">
        <f>SUMPRODUCT(E34:E35,$V34:$V35)/SUM($V34:$V35)</f>
        <v>1.6544763880686697</v>
      </c>
      <c r="F36" s="1912">
        <f>SUMPRODUCT(F34:F35,$V34:$V35)/SUM($V34:$V35)</f>
        <v>4.1237580535757212</v>
      </c>
      <c r="G36" s="1912">
        <f>SUMPRODUCT(G34:G35,$V34:$V35)/SUM($V34:$V35)</f>
        <v>28.282083515221156</v>
      </c>
      <c r="H36" s="1912">
        <f>SUMPRODUCT(H34:H35,$V34:$V35)/SUM($V34:$V35)</f>
        <v>3.4231015404950806</v>
      </c>
      <c r="I36" s="1922">
        <f t="shared" ref="I36" si="28">SUMPRODUCT(I34:I35,$V34:$V35)/SUM($V34:$V35)</f>
        <v>31.705185055716235</v>
      </c>
      <c r="J36" s="1912">
        <f>SUMPRODUCT(J34:J35,$V34:$V35)/SUM($V34:$V35)</f>
        <v>11.619106931615423</v>
      </c>
      <c r="K36" s="1912">
        <f>SUMPRODUCT(K34:K35,$V34:$V35)/SUM($V34:$V35)</f>
        <v>0.75736969390700637</v>
      </c>
      <c r="L36" s="1912">
        <f>SUMPRODUCT(L34:L35,$V34:$V35)/SUM($V34:$V35)</f>
        <v>10.109422802066891</v>
      </c>
      <c r="M36" s="1912">
        <f>SUMPRODUCT(M34:M35,$V34:$V35)/SUM($V34:$V35)</f>
        <v>0.74793857202934111</v>
      </c>
      <c r="N36" s="1922">
        <f t="shared" ref="N36" si="29">SUMPRODUCT(N34:N35,$V34:$V35)/SUM($V34:$V35)</f>
        <v>10.857361374096234</v>
      </c>
      <c r="O36" s="1912">
        <f t="shared" ref="O36:W36" si="30">SUMPRODUCT(O34:O35,$V34:$V35)/SUM($V34:$V35)</f>
        <v>1.2710442748852431</v>
      </c>
      <c r="P36" s="1912">
        <f t="shared" si="30"/>
        <v>0.41920617890276679</v>
      </c>
      <c r="Q36" s="1911">
        <f t="shared" si="30"/>
        <v>12.212020547541837</v>
      </c>
      <c r="R36" s="1912">
        <f t="shared" si="30"/>
        <v>0.21139928078059494</v>
      </c>
      <c r="S36" s="1911">
        <f t="shared" si="30"/>
        <v>8.8720259219244504</v>
      </c>
      <c r="T36" s="1911">
        <f t="shared" si="30"/>
        <v>0</v>
      </c>
      <c r="U36" s="1911">
        <f t="shared" si="30"/>
        <v>26.1633285196455</v>
      </c>
      <c r="V36" s="1912">
        <f t="shared" si="30"/>
        <v>122.6327881235655</v>
      </c>
      <c r="W36" s="1913">
        <f t="shared" si="30"/>
        <v>0.23867650155403075</v>
      </c>
    </row>
    <row r="37" spans="1:23" x14ac:dyDescent="0.25">
      <c r="B37" s="1906" t="s">
        <v>2216</v>
      </c>
      <c r="C37" s="1906" t="s">
        <v>2654</v>
      </c>
      <c r="D37" s="1908">
        <v>7.0995612360000004</v>
      </c>
      <c r="E37" s="1908">
        <v>1.823507604</v>
      </c>
      <c r="F37" s="1908">
        <v>17.493186609999999</v>
      </c>
      <c r="G37" s="1908">
        <v>14.40453838</v>
      </c>
      <c r="H37" s="1908">
        <v>0</v>
      </c>
      <c r="I37" s="1922">
        <f t="shared" si="23"/>
        <v>14.40453838</v>
      </c>
      <c r="J37" s="1908">
        <v>8.5873863085489699</v>
      </c>
      <c r="K37" s="1908">
        <v>0</v>
      </c>
      <c r="L37" s="1908">
        <v>5.1544812831640998</v>
      </c>
      <c r="M37" s="1908">
        <v>1.3960635718964951</v>
      </c>
      <c r="N37" s="1922">
        <f t="shared" si="24"/>
        <v>6.5505448550605951</v>
      </c>
      <c r="O37" s="1908">
        <v>0.55274273648869965</v>
      </c>
      <c r="P37" s="1908">
        <v>0.65871262177457524</v>
      </c>
      <c r="Q37" s="1907">
        <v>7.378572106125123</v>
      </c>
      <c r="R37" s="1908">
        <v>0.24171936717982312</v>
      </c>
      <c r="S37" s="1907">
        <v>19.803352735924612</v>
      </c>
      <c r="T37" s="1907">
        <v>0</v>
      </c>
      <c r="U37" s="1907">
        <v>6.7716650243840091</v>
      </c>
      <c r="V37" s="1908">
        <v>91.365489585486429</v>
      </c>
      <c r="W37" s="1909">
        <v>0.18565490755171163</v>
      </c>
    </row>
    <row r="38" spans="1:23" x14ac:dyDescent="0.25">
      <c r="B38" s="1910"/>
      <c r="C38" s="1910" t="s">
        <v>2655</v>
      </c>
      <c r="D38" s="1912">
        <v>6.9996420600000002</v>
      </c>
      <c r="E38" s="1912">
        <v>1.442632439</v>
      </c>
      <c r="F38" s="1912">
        <v>13.975048080000001</v>
      </c>
      <c r="G38" s="1912">
        <v>8.6955509600000003</v>
      </c>
      <c r="H38" s="1912">
        <v>0</v>
      </c>
      <c r="I38" s="1922">
        <f t="shared" si="23"/>
        <v>8.6955509600000003</v>
      </c>
      <c r="J38" s="1912">
        <v>4.5831120295356698</v>
      </c>
      <c r="K38" s="1912">
        <v>0</v>
      </c>
      <c r="L38" s="1912">
        <v>6.0854335516874212</v>
      </c>
      <c r="M38" s="1912">
        <v>0</v>
      </c>
      <c r="N38" s="1922">
        <f t="shared" si="24"/>
        <v>6.0854335516874212</v>
      </c>
      <c r="O38" s="1912">
        <v>5.7055740012036471E-3</v>
      </c>
      <c r="P38" s="1912">
        <v>0</v>
      </c>
      <c r="Q38" s="1911">
        <v>5.4842035991132141</v>
      </c>
      <c r="R38" s="1912">
        <v>0</v>
      </c>
      <c r="S38" s="1911">
        <v>0</v>
      </c>
      <c r="T38" s="1911">
        <v>0</v>
      </c>
      <c r="U38" s="1911">
        <v>16.000745745824521</v>
      </c>
      <c r="V38" s="1912">
        <v>63.272074039162035</v>
      </c>
      <c r="W38" s="1913">
        <v>0.21185128964646066</v>
      </c>
    </row>
    <row r="39" spans="1:23" x14ac:dyDescent="0.25">
      <c r="A39" t="s">
        <v>1645</v>
      </c>
      <c r="C39" s="1910" t="s">
        <v>2666</v>
      </c>
      <c r="D39" s="1911">
        <f>SUMPRODUCT(D37:D38,$V37:$V38)/SUM($V37:$V38)</f>
        <v>7.0586779386069454</v>
      </c>
      <c r="E39" s="1912">
        <f>SUMPRODUCT(E37:E38,$V37:$V38)/SUM($V37:$V38)</f>
        <v>1.6676673212466262</v>
      </c>
      <c r="F39" s="1912">
        <f>SUMPRODUCT(F37:F38,$V37:$V38)/SUM($V37:$V38)</f>
        <v>16.053692115049827</v>
      </c>
      <c r="G39" s="1912">
        <f>SUMPRODUCT(G37:G38,$V37:$V38)/SUM($V37:$V38)</f>
        <v>12.068628098823611</v>
      </c>
      <c r="H39" s="1912">
        <f>SUMPRODUCT(H37:H38,$V37:$V38)/SUM($V37:$V38)</f>
        <v>0</v>
      </c>
      <c r="I39" s="1922">
        <f t="shared" ref="I39" si="31">SUMPRODUCT(I37:I38,$V37:$V38)/SUM($V37:$V38)</f>
        <v>12.068628098823611</v>
      </c>
      <c r="J39" s="1912">
        <f>SUMPRODUCT(J37:J38,$V37:$V38)/SUM($V37:$V38)</f>
        <v>6.9489827233125974</v>
      </c>
      <c r="K39" s="1912">
        <f>SUMPRODUCT(K37:K38,$V37:$V38)/SUM($V37:$V38)</f>
        <v>0</v>
      </c>
      <c r="L39" s="1912">
        <f>SUMPRODUCT(L37:L38,$V37:$V38)/SUM($V37:$V38)</f>
        <v>5.5353931358877322</v>
      </c>
      <c r="M39" s="1912">
        <f>SUMPRODUCT(M37:M38,$V37:$V38)/SUM($V37:$V38)</f>
        <v>0.8248450683586368</v>
      </c>
      <c r="N39" s="1922">
        <f t="shared" ref="N39" si="32">SUMPRODUCT(N37:N38,$V37:$V38)/SUM($V37:$V38)</f>
        <v>6.3602382042463699</v>
      </c>
      <c r="O39" s="1912">
        <f t="shared" ref="O39:W39" si="33">SUMPRODUCT(O37:O38,$V37:$V38)/SUM($V37:$V38)</f>
        <v>0.32891499996863882</v>
      </c>
      <c r="P39" s="1912">
        <f t="shared" si="33"/>
        <v>0.3891913437711485</v>
      </c>
      <c r="Q39" s="1911">
        <f t="shared" si="33"/>
        <v>6.6034653233769687</v>
      </c>
      <c r="R39" s="1912">
        <f t="shared" si="33"/>
        <v>0.14281658225219404</v>
      </c>
      <c r="S39" s="1911">
        <f t="shared" si="33"/>
        <v>11.70054012583676</v>
      </c>
      <c r="T39" s="1911">
        <f t="shared" si="33"/>
        <v>0</v>
      </c>
      <c r="U39" s="1911">
        <f t="shared" si="33"/>
        <v>10.547869621979656</v>
      </c>
      <c r="V39" s="1912">
        <f t="shared" si="33"/>
        <v>79.870684398471354</v>
      </c>
      <c r="W39" s="1913">
        <f t="shared" si="33"/>
        <v>0.1963735155574636</v>
      </c>
    </row>
    <row r="40" spans="1:23" x14ac:dyDescent="0.25">
      <c r="B40" s="1906" t="s">
        <v>63</v>
      </c>
      <c r="C40" s="1906" t="s">
        <v>2654</v>
      </c>
      <c r="D40" s="1908">
        <v>6.4861776869999996</v>
      </c>
      <c r="E40" s="1908">
        <v>1.301133538</v>
      </c>
      <c r="F40" s="1908">
        <v>1.089540671</v>
      </c>
      <c r="G40" s="1908">
        <v>10.144914849999999</v>
      </c>
      <c r="H40" s="1908">
        <v>3.0405354290000002</v>
      </c>
      <c r="I40" s="1922">
        <f t="shared" si="23"/>
        <v>13.185450278999999</v>
      </c>
      <c r="J40" s="1908">
        <v>5.2259066022447396</v>
      </c>
      <c r="K40" s="1908">
        <v>0.49584467275586253</v>
      </c>
      <c r="L40" s="1908">
        <v>4.1682364677850252</v>
      </c>
      <c r="M40" s="1908">
        <v>9.9028226230875996E-2</v>
      </c>
      <c r="N40" s="1922">
        <f t="shared" si="24"/>
        <v>4.2672646940159016</v>
      </c>
      <c r="O40" s="1908">
        <v>0.88037766412348473</v>
      </c>
      <c r="P40" s="1908">
        <v>0</v>
      </c>
      <c r="Q40" s="1907">
        <v>3.6145112437523568</v>
      </c>
      <c r="R40" s="1908">
        <v>0.1518060115365793</v>
      </c>
      <c r="S40" s="1907">
        <v>0</v>
      </c>
      <c r="T40" s="1907">
        <v>28.373422517411417</v>
      </c>
      <c r="U40" s="1907">
        <v>10.143822843487758</v>
      </c>
      <c r="V40" s="1908">
        <v>75.215258424328098</v>
      </c>
      <c r="W40" s="1909">
        <v>0.13291298234934712</v>
      </c>
    </row>
    <row r="41" spans="1:23" x14ac:dyDescent="0.25">
      <c r="C41" t="s">
        <v>1100</v>
      </c>
      <c r="D41" s="1916">
        <v>5.8003969089999998</v>
      </c>
      <c r="E41" s="1916">
        <v>1.858863597</v>
      </c>
      <c r="F41" s="1916">
        <v>1.4188625050000001</v>
      </c>
      <c r="G41" s="1916">
        <v>8.6160479369999994</v>
      </c>
      <c r="H41" s="1916">
        <v>0</v>
      </c>
      <c r="I41" s="1922">
        <f t="shared" si="23"/>
        <v>8.6160479369999994</v>
      </c>
      <c r="J41" s="1916">
        <v>4.3239129559185505</v>
      </c>
      <c r="K41" s="1916">
        <v>0</v>
      </c>
      <c r="L41" s="1916">
        <v>1.4899193913627209</v>
      </c>
      <c r="M41" s="1916">
        <v>0</v>
      </c>
      <c r="N41" s="1922">
        <f t="shared" si="24"/>
        <v>1.4899193913627209</v>
      </c>
      <c r="O41" s="1916">
        <v>2.6517312411426866E-3</v>
      </c>
      <c r="P41" s="1916">
        <v>0</v>
      </c>
      <c r="Q41" s="1915">
        <v>2.9238253959374476</v>
      </c>
      <c r="R41" s="1916">
        <v>0.30134980905497127</v>
      </c>
      <c r="S41" s="1915">
        <v>0</v>
      </c>
      <c r="T41" s="1915">
        <v>0</v>
      </c>
      <c r="U41" s="1915">
        <v>10.336068265955594</v>
      </c>
      <c r="V41" s="1916">
        <v>37.071898497470436</v>
      </c>
      <c r="W41" s="1917">
        <v>0.17520952124105876</v>
      </c>
    </row>
    <row r="42" spans="1:23" x14ac:dyDescent="0.25">
      <c r="B42" s="1910"/>
      <c r="C42" s="1910" t="s">
        <v>2655</v>
      </c>
      <c r="D42" s="1912">
        <v>7.7970055580000004</v>
      </c>
      <c r="E42" s="1912">
        <v>2.1245763210000002</v>
      </c>
      <c r="F42" s="1912">
        <v>3.1032943670000002</v>
      </c>
      <c r="G42" s="1912">
        <v>2.5171926340000002</v>
      </c>
      <c r="H42" s="1912">
        <v>0</v>
      </c>
      <c r="I42" s="1922">
        <f t="shared" si="23"/>
        <v>2.5171926340000002</v>
      </c>
      <c r="J42" s="1912">
        <v>2.3175629770992368</v>
      </c>
      <c r="K42" s="1912">
        <v>0</v>
      </c>
      <c r="L42" s="1912">
        <v>3.3428045928753183</v>
      </c>
      <c r="M42" s="1912">
        <v>0</v>
      </c>
      <c r="N42" s="1922">
        <f t="shared" si="24"/>
        <v>3.3428045928753183</v>
      </c>
      <c r="O42" s="1912">
        <v>0</v>
      </c>
      <c r="P42" s="1912">
        <v>0</v>
      </c>
      <c r="Q42" s="1911">
        <v>0</v>
      </c>
      <c r="R42" s="1912">
        <v>0</v>
      </c>
      <c r="S42" s="1911">
        <v>0</v>
      </c>
      <c r="T42" s="1911">
        <v>0</v>
      </c>
      <c r="U42" s="1911">
        <v>8.320826483097056</v>
      </c>
      <c r="V42" s="1912">
        <v>29.523262933071614</v>
      </c>
      <c r="W42" s="1913">
        <v>0.16403312909760792</v>
      </c>
    </row>
    <row r="43" spans="1:23" x14ac:dyDescent="0.25">
      <c r="A43" t="s">
        <v>63</v>
      </c>
      <c r="C43" s="1910" t="s">
        <v>2666</v>
      </c>
      <c r="D43" s="1911">
        <f>SUMPRODUCT(D40:D42,$V40:$V42)/SUM($V40:$V42)</f>
        <v>6.5798007121316289</v>
      </c>
      <c r="E43" s="1912">
        <f>SUMPRODUCT(E40:E42,$V40:$V42)/SUM($V40:$V42)</f>
        <v>1.6183657271094134</v>
      </c>
      <c r="F43" s="1912">
        <f>SUMPRODUCT(F40:F42,$V40:$V42)/SUM($V40:$V42)</f>
        <v>1.5948714183868293</v>
      </c>
      <c r="G43" s="1912">
        <f>SUMPRODUCT(G40:G42,$V40:$V42)/SUM($V40:$V42)</f>
        <v>8.1572382895134865</v>
      </c>
      <c r="H43" s="1912">
        <f>SUMPRODUCT(H40:H42,$V40:$V42)/SUM($V40:$V42)</f>
        <v>1.6126788022671972</v>
      </c>
      <c r="I43" s="1922">
        <f t="shared" ref="I43" si="34">SUMPRODUCT(I40:I42,$V40:$V42)/SUM($V40:$V42)</f>
        <v>9.7699170917806857</v>
      </c>
      <c r="J43" s="1912">
        <f>SUMPRODUCT(J40:J42,$V40:$V42)/SUM($V40:$V42)</f>
        <v>4.384625611969442</v>
      </c>
      <c r="K43" s="1912">
        <f>SUMPRODUCT(K40:K42,$V40:$V42)/SUM($V40:$V42)</f>
        <v>0.26299255892357332</v>
      </c>
      <c r="L43" s="1912">
        <f>SUMPRODUCT(L40:L42,$V40:$V42)/SUM($V40:$V42)</f>
        <v>3.2962290285290012</v>
      </c>
      <c r="M43" s="1912">
        <f>SUMPRODUCT(M40:M42,$V40:$V42)/SUM($V40:$V42)</f>
        <v>5.2523881072215624E-2</v>
      </c>
      <c r="N43" s="1922">
        <f t="shared" ref="N43" si="35">SUMPRODUCT(N40:N42,$V40:$V42)/SUM($V40:$V42)</f>
        <v>3.3487529096012172</v>
      </c>
      <c r="O43" s="1912">
        <f t="shared" ref="O43:W43" si="36">SUMPRODUCT(O40:O42,$V40:$V42)/SUM($V40:$V42)</f>
        <v>0.46763938994988435</v>
      </c>
      <c r="P43" s="1912">
        <f t="shared" si="36"/>
        <v>0</v>
      </c>
      <c r="Q43" s="1911">
        <f t="shared" si="36"/>
        <v>2.6814542680865872</v>
      </c>
      <c r="R43" s="1912">
        <f t="shared" si="36"/>
        <v>0.15929533206887653</v>
      </c>
      <c r="S43" s="1911">
        <f t="shared" si="36"/>
        <v>0</v>
      </c>
      <c r="T43" s="1911">
        <f t="shared" si="36"/>
        <v>15.049065570878488</v>
      </c>
      <c r="U43" s="1911">
        <f t="shared" si="36"/>
        <v>9.8145529764828989</v>
      </c>
      <c r="V43" s="1912">
        <f t="shared" si="36"/>
        <v>55.731333567369525</v>
      </c>
      <c r="W43" s="1913">
        <f t="shared" si="36"/>
        <v>0.15044893826921191</v>
      </c>
    </row>
    <row r="44" spans="1:23" x14ac:dyDescent="0.25">
      <c r="B44" s="1906" t="s">
        <v>2656</v>
      </c>
      <c r="C44" s="1906" t="s">
        <v>2217</v>
      </c>
      <c r="D44" s="1908">
        <v>12.32185342</v>
      </c>
      <c r="E44" s="1908">
        <v>5.7206759009999999</v>
      </c>
      <c r="F44" s="1908">
        <v>72.419344379999998</v>
      </c>
      <c r="G44" s="1908">
        <v>134.6548037</v>
      </c>
      <c r="H44" s="1908">
        <v>0</v>
      </c>
      <c r="I44" s="1922">
        <f t="shared" si="23"/>
        <v>134.6548037</v>
      </c>
      <c r="J44" s="1908">
        <v>10.395433046165031</v>
      </c>
      <c r="K44" s="1908">
        <v>0</v>
      </c>
      <c r="L44" s="1908">
        <v>16.086816328607778</v>
      </c>
      <c r="M44" s="1908">
        <v>0</v>
      </c>
      <c r="N44" s="1922">
        <f t="shared" si="24"/>
        <v>16.086816328607778</v>
      </c>
      <c r="O44" s="1908">
        <v>7.7539281715739733E-2</v>
      </c>
      <c r="P44" s="1908">
        <v>14.224201134133047</v>
      </c>
      <c r="Q44" s="1907">
        <v>0</v>
      </c>
      <c r="R44" s="1908">
        <v>0</v>
      </c>
      <c r="S44" s="1907">
        <v>152.90540510521441</v>
      </c>
      <c r="T44" s="1907">
        <v>0</v>
      </c>
      <c r="U44" s="1907">
        <v>0</v>
      </c>
      <c r="V44" s="1908">
        <v>418.80607229683602</v>
      </c>
      <c r="W44" s="1909">
        <v>0.21684963894285372</v>
      </c>
    </row>
    <row r="45" spans="1:23" x14ac:dyDescent="0.25">
      <c r="B45" s="1910"/>
      <c r="C45" s="1910" t="s">
        <v>2657</v>
      </c>
      <c r="D45" s="1912">
        <v>12.27798512</v>
      </c>
      <c r="E45" s="1912">
        <v>5.8679595429999996</v>
      </c>
      <c r="F45" s="1912">
        <v>75.347860780000005</v>
      </c>
      <c r="G45" s="1912">
        <v>216.4479288</v>
      </c>
      <c r="H45" s="1912">
        <v>0</v>
      </c>
      <c r="I45" s="1922">
        <f t="shared" si="23"/>
        <v>216.4479288</v>
      </c>
      <c r="J45" s="1912">
        <v>13.096770167932826</v>
      </c>
      <c r="K45" s="1912">
        <v>0</v>
      </c>
      <c r="L45" s="1912">
        <v>21.959360227908835</v>
      </c>
      <c r="M45" s="1912">
        <v>0</v>
      </c>
      <c r="N45" s="1922">
        <f t="shared" si="24"/>
        <v>21.959360227908835</v>
      </c>
      <c r="O45" s="1912">
        <v>0</v>
      </c>
      <c r="P45" s="1912">
        <v>31.887240447820879</v>
      </c>
      <c r="Q45" s="1911">
        <v>0</v>
      </c>
      <c r="R45" s="1912">
        <v>0</v>
      </c>
      <c r="S45" s="1911">
        <v>269.48507596961235</v>
      </c>
      <c r="T45" s="1911">
        <v>0</v>
      </c>
      <c r="U45" s="1911">
        <v>0</v>
      </c>
      <c r="V45" s="1912">
        <v>646.37018105627499</v>
      </c>
      <c r="W45" s="1913">
        <v>0.21904769266843488</v>
      </c>
    </row>
    <row r="46" spans="1:23" x14ac:dyDescent="0.25">
      <c r="A46" t="s">
        <v>2217</v>
      </c>
      <c r="C46" s="1910" t="s">
        <v>2666</v>
      </c>
      <c r="D46" s="1911">
        <f>SUMPRODUCT(D44:D45,$V44:$V45)/SUM($V44:$V45)</f>
        <v>12.295233261200581</v>
      </c>
      <c r="E46" s="1912">
        <f>SUMPRODUCT(E44:E45,$V44:$V45)/SUM($V44:$V45)</f>
        <v>5.8100505505441342</v>
      </c>
      <c r="F46" s="1912">
        <f>SUMPRODUCT(F44:F45,$V44:$V45)/SUM($V44:$V45)</f>
        <v>74.196426501137722</v>
      </c>
      <c r="G46" s="1912">
        <f>SUMPRODUCT(G44:G45,$V44:$V45)/SUM($V44:$V45)</f>
        <v>184.28850226736691</v>
      </c>
      <c r="H46" s="1912">
        <f>SUMPRODUCT(H44:H45,$V44:$V45)/SUM($V44:$V45)</f>
        <v>0</v>
      </c>
      <c r="I46" s="1922">
        <f t="shared" ref="I46" si="37">SUMPRODUCT(I44:I45,$V44:$V45)/SUM($V44:$V45)</f>
        <v>184.28850226736691</v>
      </c>
      <c r="J46" s="1912">
        <f>SUMPRODUCT(J44:J45,$V44:$V45)/SUM($V44:$V45)</f>
        <v>12.034658253255955</v>
      </c>
      <c r="K46" s="1912">
        <f>SUMPRODUCT(K44:K45,$V44:$V45)/SUM($V44:$V45)</f>
        <v>0</v>
      </c>
      <c r="L46" s="1912">
        <f>SUMPRODUCT(L44:L45,$V44:$V45)/SUM($V44:$V45)</f>
        <v>19.650393015097997</v>
      </c>
      <c r="M46" s="1912">
        <f>SUMPRODUCT(M44:M45,$V44:$V45)/SUM($V44:$V45)</f>
        <v>0</v>
      </c>
      <c r="N46" s="1922">
        <f t="shared" ref="N46" si="38">SUMPRODUCT(N44:N45,$V44:$V45)/SUM($V44:$V45)</f>
        <v>19.650393015097997</v>
      </c>
      <c r="O46" s="1912">
        <f t="shared" ref="O46:W46" si="39">SUMPRODUCT(O44:O45,$V44:$V45)/SUM($V44:$V45)</f>
        <v>3.0486900099266082E-2</v>
      </c>
      <c r="P46" s="1912">
        <f t="shared" si="39"/>
        <v>24.942485439902079</v>
      </c>
      <c r="Q46" s="1911">
        <f t="shared" si="39"/>
        <v>0</v>
      </c>
      <c r="R46" s="1912">
        <f t="shared" si="39"/>
        <v>0</v>
      </c>
      <c r="S46" s="1911">
        <f t="shared" si="39"/>
        <v>223.64827298918493</v>
      </c>
      <c r="T46" s="1911">
        <f t="shared" si="39"/>
        <v>0</v>
      </c>
      <c r="U46" s="1911">
        <f t="shared" si="39"/>
        <v>0</v>
      </c>
      <c r="V46" s="1912">
        <f t="shared" si="39"/>
        <v>556.89650917778965</v>
      </c>
      <c r="W46" s="1913">
        <f t="shared" si="39"/>
        <v>0.21818346175396397</v>
      </c>
    </row>
    <row r="47" spans="1:23" x14ac:dyDescent="0.25">
      <c r="B47" s="1906" t="s">
        <v>2658</v>
      </c>
      <c r="C47" s="1906" t="s">
        <v>2659</v>
      </c>
      <c r="D47" s="1908">
        <v>14.285591670000001</v>
      </c>
      <c r="E47" s="1908">
        <v>2.3628223479999999</v>
      </c>
      <c r="F47" s="1908">
        <v>3.6900072800000001</v>
      </c>
      <c r="G47" s="1908">
        <v>6.9880976309999996</v>
      </c>
      <c r="H47" s="1908">
        <v>0</v>
      </c>
      <c r="I47" s="1922">
        <f t="shared" si="23"/>
        <v>6.9880976309999996</v>
      </c>
      <c r="J47" s="1908">
        <v>4.1094065000809978</v>
      </c>
      <c r="K47" s="1908">
        <v>0</v>
      </c>
      <c r="L47" s="1908">
        <v>6.6741860400129598</v>
      </c>
      <c r="M47" s="1908">
        <v>0.73564634699497822</v>
      </c>
      <c r="N47" s="1922">
        <f t="shared" si="24"/>
        <v>7.4098323870079383</v>
      </c>
      <c r="O47" s="1908">
        <v>0</v>
      </c>
      <c r="P47" s="1908">
        <v>0</v>
      </c>
      <c r="Q47" s="1907">
        <v>0</v>
      </c>
      <c r="R47" s="1908">
        <v>0</v>
      </c>
      <c r="S47" s="1907">
        <v>0</v>
      </c>
      <c r="T47" s="1907">
        <v>0</v>
      </c>
      <c r="U47" s="1907">
        <v>7.4601297100275392</v>
      </c>
      <c r="V47" s="1908">
        <v>46.305887526116472</v>
      </c>
      <c r="W47" s="1909">
        <v>0.22481996959711098</v>
      </c>
    </row>
    <row r="48" spans="1:23" x14ac:dyDescent="0.25">
      <c r="B48" s="1910"/>
      <c r="C48" s="1910" t="s">
        <v>2660</v>
      </c>
      <c r="D48" s="1912">
        <v>20.43483604</v>
      </c>
      <c r="E48" s="1912">
        <v>3.0000419100000002</v>
      </c>
      <c r="F48" s="1912">
        <v>2.7320606390000002</v>
      </c>
      <c r="G48" s="1912">
        <v>23.025637239999998</v>
      </c>
      <c r="H48" s="1912">
        <v>0</v>
      </c>
      <c r="I48" s="1922">
        <f t="shared" si="23"/>
        <v>23.025637239999998</v>
      </c>
      <c r="J48" s="1912">
        <v>3.7433107208888892</v>
      </c>
      <c r="K48" s="1912">
        <v>0</v>
      </c>
      <c r="L48" s="1912">
        <v>6.3405380133333331</v>
      </c>
      <c r="M48" s="1912">
        <v>0</v>
      </c>
      <c r="N48" s="1922">
        <f t="shared" si="24"/>
        <v>6.3405380133333331</v>
      </c>
      <c r="O48" s="1912">
        <v>0</v>
      </c>
      <c r="P48" s="1912">
        <v>0</v>
      </c>
      <c r="Q48" s="1911">
        <v>0</v>
      </c>
      <c r="R48" s="1912">
        <v>0</v>
      </c>
      <c r="S48" s="1911">
        <v>0</v>
      </c>
      <c r="T48" s="1911">
        <v>0</v>
      </c>
      <c r="U48" s="1911">
        <v>5.3996540844444443</v>
      </c>
      <c r="V48" s="1912">
        <v>64.676078647666671</v>
      </c>
      <c r="W48" s="1913">
        <v>0.18039157765982777</v>
      </c>
    </row>
    <row r="49" spans="1:23" x14ac:dyDescent="0.25">
      <c r="A49" t="s">
        <v>69</v>
      </c>
      <c r="C49" s="1910" t="s">
        <v>2666</v>
      </c>
      <c r="D49" s="1911">
        <f>SUMPRODUCT(D47:D48,$V47:$V48)/SUM($V47:$V48)</f>
        <v>17.869137954223163</v>
      </c>
      <c r="E49" s="1912">
        <f>SUMPRODUCT(E47:E48,$V47:$V48)/SUM($V47:$V48)</f>
        <v>2.7341697292782321</v>
      </c>
      <c r="F49" s="1912">
        <f>SUMPRODUCT(F47:F48,$V47:$V48)/SUM($V47:$V48)</f>
        <v>3.1317523271496528</v>
      </c>
      <c r="G49" s="1912">
        <f>SUMPRODUCT(G47:G48,$V47:$V48)/SUM($V47:$V48)</f>
        <v>16.33416716668081</v>
      </c>
      <c r="H49" s="1912">
        <f>SUMPRODUCT(H47:H48,$V47:$V48)/SUM($V47:$V48)</f>
        <v>0</v>
      </c>
      <c r="I49" s="1922">
        <f t="shared" ref="I49" si="40">SUMPRODUCT(I47:I48,$V47:$V48)/SUM($V47:$V48)</f>
        <v>16.33416716668081</v>
      </c>
      <c r="J49" s="1912">
        <f>SUMPRODUCT(J47:J48,$V47:$V48)/SUM($V47:$V48)</f>
        <v>3.8960597715635767</v>
      </c>
      <c r="K49" s="1912">
        <f>SUMPRODUCT(K47:K48,$V47:$V48)/SUM($V47:$V48)</f>
        <v>0</v>
      </c>
      <c r="L49" s="1912">
        <f>SUMPRODUCT(L47:L48,$V47:$V48)/SUM($V47:$V48)</f>
        <v>6.479748630421744</v>
      </c>
      <c r="M49" s="1912">
        <f>SUMPRODUCT(M47:M48,$V47:$V48)/SUM($V47:$V48)</f>
        <v>0.30693957025060259</v>
      </c>
      <c r="N49" s="1922">
        <f t="shared" ref="N49" si="41">SUMPRODUCT(N47:N48,$V47:$V48)/SUM($V47:$V48)</f>
        <v>6.7866882006723461</v>
      </c>
      <c r="O49" s="1912">
        <f t="shared" ref="O49:W49" si="42">SUMPRODUCT(O47:O48,$V47:$V48)/SUM($V47:$V48)</f>
        <v>0</v>
      </c>
      <c r="P49" s="1912">
        <f t="shared" si="42"/>
        <v>0</v>
      </c>
      <c r="Q49" s="1911">
        <f t="shared" si="42"/>
        <v>0</v>
      </c>
      <c r="R49" s="1912">
        <f t="shared" si="42"/>
        <v>0</v>
      </c>
      <c r="S49" s="1911">
        <f t="shared" si="42"/>
        <v>0</v>
      </c>
      <c r="T49" s="1911">
        <f t="shared" si="42"/>
        <v>0</v>
      </c>
      <c r="U49" s="1911">
        <f t="shared" si="42"/>
        <v>6.2593627006997412</v>
      </c>
      <c r="V49" s="1912">
        <f t="shared" si="42"/>
        <v>57.01133785026753</v>
      </c>
      <c r="W49" s="1913">
        <f t="shared" si="42"/>
        <v>0.19892878862248634</v>
      </c>
    </row>
    <row r="50" spans="1:23" x14ac:dyDescent="0.25">
      <c r="B50" s="1906" t="s">
        <v>2218</v>
      </c>
      <c r="C50" s="1906" t="s">
        <v>2661</v>
      </c>
      <c r="D50" s="1908">
        <v>8.336314453</v>
      </c>
      <c r="E50" s="1908">
        <v>0.52049142999999998</v>
      </c>
      <c r="F50" s="1908">
        <v>3.0695951500000001</v>
      </c>
      <c r="G50" s="1908">
        <v>3.9393240340000002</v>
      </c>
      <c r="H50" s="1908">
        <v>0</v>
      </c>
      <c r="I50" s="1922">
        <f t="shared" si="23"/>
        <v>3.9393240340000002</v>
      </c>
      <c r="J50" s="1908">
        <v>5.5259844087117749</v>
      </c>
      <c r="K50" s="1908">
        <v>0</v>
      </c>
      <c r="L50" s="1908">
        <v>4.0089708251338392</v>
      </c>
      <c r="M50" s="1908">
        <v>1.2330315192496457</v>
      </c>
      <c r="N50" s="1922">
        <f t="shared" si="24"/>
        <v>5.2420023443834847</v>
      </c>
      <c r="O50" s="1908">
        <v>0.17653911246307263</v>
      </c>
      <c r="P50" s="1908">
        <v>0.86210849886432095</v>
      </c>
      <c r="Q50" s="1907">
        <v>0.29580797088277422</v>
      </c>
      <c r="R50" s="1908">
        <v>0.18380567270623605</v>
      </c>
      <c r="S50" s="1907">
        <v>4.0631337714826774</v>
      </c>
      <c r="T50" s="1907">
        <v>0</v>
      </c>
      <c r="U50" s="1907">
        <v>8.5700306124975771</v>
      </c>
      <c r="V50" s="1908">
        <v>40.785137458991912</v>
      </c>
      <c r="W50" s="1909">
        <v>0.22020832151119527</v>
      </c>
    </row>
    <row r="51" spans="1:23" x14ac:dyDescent="0.25">
      <c r="B51" s="1910"/>
      <c r="C51" s="1910" t="s">
        <v>2662</v>
      </c>
      <c r="D51" s="1912">
        <v>8.8988920220000001</v>
      </c>
      <c r="E51" s="1912">
        <v>0.58926862700000004</v>
      </c>
      <c r="F51" s="1912">
        <v>1.9509747159999999</v>
      </c>
      <c r="G51" s="1912">
        <v>14.59819575</v>
      </c>
      <c r="H51" s="1912">
        <v>0</v>
      </c>
      <c r="I51" s="1922">
        <f t="shared" si="23"/>
        <v>14.59819575</v>
      </c>
      <c r="J51" s="1912">
        <v>5.2266345434632706</v>
      </c>
      <c r="K51" s="1912">
        <v>0</v>
      </c>
      <c r="L51" s="1912">
        <v>4.4230398031341691</v>
      </c>
      <c r="M51" s="1912">
        <v>1.3041590191863059</v>
      </c>
      <c r="N51" s="1922">
        <f t="shared" si="24"/>
        <v>5.7271988223204753</v>
      </c>
      <c r="O51" s="1912">
        <v>2.8969917278492137E-2</v>
      </c>
      <c r="P51" s="1912">
        <v>1.5672025230195112</v>
      </c>
      <c r="Q51" s="1911">
        <v>0</v>
      </c>
      <c r="R51" s="1912">
        <v>0.31016270190240541</v>
      </c>
      <c r="S51" s="1911">
        <v>6.5470043462519074</v>
      </c>
      <c r="T51" s="1911">
        <v>0</v>
      </c>
      <c r="U51" s="1911">
        <v>11.983640889622023</v>
      </c>
      <c r="V51" s="1912">
        <v>57.42814485885809</v>
      </c>
      <c r="W51" s="1913">
        <v>0.18425374911816181</v>
      </c>
    </row>
    <row r="52" spans="1:23" x14ac:dyDescent="0.25">
      <c r="A52" t="s">
        <v>2218</v>
      </c>
      <c r="C52" s="1910" t="s">
        <v>2666</v>
      </c>
      <c r="D52" s="1911">
        <f>SUMPRODUCT(D50:D51,$V50:$V51)/SUM($V50:$V51)</f>
        <v>8.665269817940537</v>
      </c>
      <c r="E52" s="1912">
        <f>SUMPRODUCT(E50:E51,$V50:$V51)/SUM($V50:$V51)</f>
        <v>0.5607074449736118</v>
      </c>
      <c r="F52" s="1912">
        <f>SUMPRODUCT(F50:F51,$V50:$V51)/SUM($V50:$V51)</f>
        <v>2.4155054504222147</v>
      </c>
      <c r="G52" s="1912">
        <f>SUMPRODUCT(G50:G51,$V50:$V51)/SUM($V50:$V51)</f>
        <v>10.171874402873907</v>
      </c>
      <c r="H52" s="1912">
        <f>SUMPRODUCT(H50:H51,$V50:$V51)/SUM($V50:$V51)</f>
        <v>0</v>
      </c>
      <c r="I52" s="1922">
        <f t="shared" ref="I52" si="43">SUMPRODUCT(I50:I51,$V50:$V51)/SUM($V50:$V51)</f>
        <v>10.171874402873907</v>
      </c>
      <c r="J52" s="1912">
        <f>SUMPRODUCT(J50:J51,$V50:$V51)/SUM($V50:$V51)</f>
        <v>5.3509458903030849</v>
      </c>
      <c r="K52" s="1912">
        <f>SUMPRODUCT(K50:K51,$V50:$V51)/SUM($V50:$V51)</f>
        <v>0</v>
      </c>
      <c r="L52" s="1912">
        <f>SUMPRODUCT(L50:L51,$V50:$V51)/SUM($V50:$V51)</f>
        <v>4.251088924529042</v>
      </c>
      <c r="M52" s="1912">
        <f>SUMPRODUCT(M50:M51,$V50:$V51)/SUM($V50:$V51)</f>
        <v>1.2746218242818252</v>
      </c>
      <c r="N52" s="1922">
        <f t="shared" ref="N52" si="44">SUMPRODUCT(N50:N51,$V50:$V51)/SUM($V50:$V51)</f>
        <v>5.5257107488108668</v>
      </c>
      <c r="O52" s="1912">
        <f t="shared" ref="O52:W52" si="45">SUMPRODUCT(O50:O51,$V50:$V51)/SUM($V50:$V51)</f>
        <v>9.0251138802457567E-2</v>
      </c>
      <c r="P52" s="1912">
        <f t="shared" si="45"/>
        <v>1.2743973543294447</v>
      </c>
      <c r="Q52" s="1911">
        <f t="shared" si="45"/>
        <v>0.12284050048215038</v>
      </c>
      <c r="R52" s="1912">
        <f t="shared" si="45"/>
        <v>0.25769027981190584</v>
      </c>
      <c r="S52" s="1911">
        <f t="shared" si="45"/>
        <v>5.5155246885977371</v>
      </c>
      <c r="T52" s="1911">
        <f t="shared" si="45"/>
        <v>0</v>
      </c>
      <c r="U52" s="1911">
        <f t="shared" si="45"/>
        <v>10.566067206121943</v>
      </c>
      <c r="V52" s="1912">
        <f t="shared" si="45"/>
        <v>50.516784923469864</v>
      </c>
      <c r="W52" s="1913">
        <f t="shared" si="45"/>
        <v>0.19918464382732506</v>
      </c>
    </row>
    <row r="53" spans="1:23" x14ac:dyDescent="0.25">
      <c r="A53" t="s">
        <v>74</v>
      </c>
      <c r="B53" s="4027" t="s">
        <v>74</v>
      </c>
      <c r="C53" s="4027"/>
      <c r="D53" s="1912">
        <v>5.5959270569999999</v>
      </c>
      <c r="E53" s="1912">
        <v>1.507548578</v>
      </c>
      <c r="F53" s="1912">
        <v>0.475070891</v>
      </c>
      <c r="G53" s="1912">
        <v>12.16764439</v>
      </c>
      <c r="H53" s="1912">
        <v>0</v>
      </c>
      <c r="I53" s="1922">
        <f t="shared" si="23"/>
        <v>12.16764439</v>
      </c>
      <c r="J53" s="1912">
        <v>6.1751929426457873E-2</v>
      </c>
      <c r="K53" s="1912">
        <v>0</v>
      </c>
      <c r="L53" s="1912">
        <v>0.48472532212508407</v>
      </c>
      <c r="M53" s="1912">
        <v>0</v>
      </c>
      <c r="N53" s="1922">
        <f t="shared" si="24"/>
        <v>0.48472532212508407</v>
      </c>
      <c r="O53" s="1912">
        <v>0</v>
      </c>
      <c r="P53" s="1912">
        <v>0</v>
      </c>
      <c r="Q53" s="1911">
        <v>0</v>
      </c>
      <c r="R53" s="1912">
        <v>0</v>
      </c>
      <c r="S53" s="1911">
        <v>0</v>
      </c>
      <c r="T53" s="1911">
        <v>0</v>
      </c>
      <c r="U53" s="1911">
        <v>2.4864714958209242</v>
      </c>
      <c r="V53" s="1912">
        <v>22.779139663372465</v>
      </c>
      <c r="W53" s="1913">
        <v>0.21414833409843687</v>
      </c>
    </row>
    <row r="55" spans="1:23" ht="21" x14ac:dyDescent="0.25">
      <c r="B55" s="4033" t="s">
        <v>2664</v>
      </c>
      <c r="C55" s="4033"/>
      <c r="D55" s="4029" t="s">
        <v>2648</v>
      </c>
      <c r="E55" s="4029"/>
      <c r="F55" s="4029"/>
      <c r="G55" s="4029"/>
      <c r="H55" s="4029"/>
      <c r="I55" s="4029"/>
      <c r="J55" s="4029"/>
      <c r="K55" s="4029"/>
      <c r="L55" s="4029"/>
      <c r="M55" s="4029"/>
      <c r="N55" s="4029"/>
      <c r="O55" s="4029"/>
      <c r="P55" s="4029"/>
      <c r="Q55" s="4029"/>
      <c r="R55" s="4029"/>
      <c r="S55" s="4029"/>
      <c r="T55" s="4029"/>
      <c r="U55" s="4029"/>
      <c r="V55" s="4029"/>
      <c r="W55" s="4029"/>
    </row>
    <row r="56" spans="1:23" ht="27.6" x14ac:dyDescent="0.25">
      <c r="B56" s="4030" t="s">
        <v>106</v>
      </c>
      <c r="C56" s="4031"/>
      <c r="D56" s="1904" t="s">
        <v>2626</v>
      </c>
      <c r="E56" s="1905" t="s">
        <v>2627</v>
      </c>
      <c r="F56" s="1905" t="s">
        <v>2628</v>
      </c>
      <c r="G56" s="1905" t="s">
        <v>2629</v>
      </c>
      <c r="H56" s="1905" t="s">
        <v>2636</v>
      </c>
      <c r="I56" s="1919" t="s">
        <v>2638</v>
      </c>
      <c r="J56" s="1905" t="s">
        <v>2630</v>
      </c>
      <c r="K56" s="1905" t="s">
        <v>1978</v>
      </c>
      <c r="L56" s="1905" t="s">
        <v>2665</v>
      </c>
      <c r="M56" s="1905" t="s">
        <v>2637</v>
      </c>
      <c r="N56" s="1919" t="s">
        <v>2631</v>
      </c>
      <c r="O56" s="1905" t="s">
        <v>387</v>
      </c>
      <c r="P56" s="1905" t="s">
        <v>2632</v>
      </c>
      <c r="Q56" s="1904" t="s">
        <v>2633</v>
      </c>
      <c r="R56" s="1905" t="s">
        <v>2634</v>
      </c>
      <c r="S56" s="1904" t="s">
        <v>378</v>
      </c>
      <c r="T56" s="1904" t="s">
        <v>910</v>
      </c>
      <c r="U56" s="1904" t="s">
        <v>2635</v>
      </c>
      <c r="V56" s="1905" t="s">
        <v>15</v>
      </c>
      <c r="W56" s="1905" t="s">
        <v>2649</v>
      </c>
    </row>
    <row r="57" spans="1:23" x14ac:dyDescent="0.25">
      <c r="B57" s="1906" t="s">
        <v>2650</v>
      </c>
      <c r="C57" s="1906" t="s">
        <v>2651</v>
      </c>
      <c r="D57" s="1908">
        <v>3.1104234489999998</v>
      </c>
      <c r="E57" s="1908">
        <v>1.1261587340000001</v>
      </c>
      <c r="F57" s="1908">
        <v>12.268892490000001</v>
      </c>
      <c r="G57" s="1908">
        <v>12.770993669999999</v>
      </c>
      <c r="H57" s="1908">
        <v>0</v>
      </c>
      <c r="I57" s="1922">
        <f>G57+H57</f>
        <v>12.770993669999999</v>
      </c>
      <c r="J57" s="1908">
        <v>1.9112105059126878</v>
      </c>
      <c r="K57" s="1908">
        <v>0</v>
      </c>
      <c r="L57" s="1908">
        <v>5.4164076613022729</v>
      </c>
      <c r="M57" s="1908">
        <v>0</v>
      </c>
      <c r="N57" s="1922">
        <f>L57+M57</f>
        <v>5.4164076613022729</v>
      </c>
      <c r="O57" s="1908">
        <v>0</v>
      </c>
      <c r="P57" s="1908">
        <v>0</v>
      </c>
      <c r="Q57" s="1907">
        <v>3.5111295522427404</v>
      </c>
      <c r="R57" s="1908">
        <v>0</v>
      </c>
      <c r="S57" s="1907">
        <v>0</v>
      </c>
      <c r="T57" s="1907">
        <v>0</v>
      </c>
      <c r="U57" s="1907">
        <v>10.849361147499414</v>
      </c>
      <c r="V57" s="1908">
        <v>50.96457720995712</v>
      </c>
      <c r="W57" s="1909">
        <v>4.2799807491917412E-2</v>
      </c>
    </row>
    <row r="58" spans="1:23" x14ac:dyDescent="0.25">
      <c r="B58" s="1910"/>
      <c r="C58" s="1910" t="s">
        <v>2652</v>
      </c>
      <c r="D58" s="1912">
        <v>3.0074910359999998</v>
      </c>
      <c r="E58" s="1912">
        <v>1.8285015010000001</v>
      </c>
      <c r="F58" s="1912">
        <v>13.95421148</v>
      </c>
      <c r="G58" s="1912">
        <v>14.27371559</v>
      </c>
      <c r="H58" s="1912">
        <v>0</v>
      </c>
      <c r="I58" s="1922">
        <f t="shared" ref="I58:I79" si="46">G58+H58</f>
        <v>14.27371559</v>
      </c>
      <c r="J58" s="1912">
        <v>2.2045643209408192</v>
      </c>
      <c r="K58" s="1912">
        <v>0.10373759207843324</v>
      </c>
      <c r="L58" s="1912">
        <v>6.1721057497154783</v>
      </c>
      <c r="M58" s="1912">
        <v>0</v>
      </c>
      <c r="N58" s="1922">
        <f t="shared" ref="N58:N79" si="47">L58+M58</f>
        <v>6.1721057497154783</v>
      </c>
      <c r="O58" s="1912">
        <v>0.53262453836305002</v>
      </c>
      <c r="P58" s="1912">
        <v>0</v>
      </c>
      <c r="Q58" s="1911">
        <v>1.7804139861005743</v>
      </c>
      <c r="R58" s="1912">
        <v>0.23384678608687406</v>
      </c>
      <c r="S58" s="1911">
        <v>0</v>
      </c>
      <c r="T58" s="1911">
        <v>0</v>
      </c>
      <c r="U58" s="1911">
        <v>10.928396368129318</v>
      </c>
      <c r="V58" s="1912">
        <v>55.01960894841455</v>
      </c>
      <c r="W58" s="1913">
        <v>1.3897546597388517E-2</v>
      </c>
    </row>
    <row r="59" spans="1:23" x14ac:dyDescent="0.25">
      <c r="A59" t="s">
        <v>61</v>
      </c>
      <c r="C59" s="1910" t="s">
        <v>2666</v>
      </c>
      <c r="D59" s="1911">
        <f>SUMPRODUCT(D57:D58,$V57:$V58)/SUM($V57:$V58)</f>
        <v>3.0569881081566592</v>
      </c>
      <c r="E59" s="1912">
        <f>SUMPRODUCT(E57:E58,$V57:$V58)/SUM($V57:$V58)</f>
        <v>1.4907661890248842</v>
      </c>
      <c r="F59" s="1912">
        <f>SUMPRODUCT(F57:F58,$V57:$V58)/SUM($V57:$V58)</f>
        <v>13.143792747709933</v>
      </c>
      <c r="G59" s="1912">
        <f>SUMPRODUCT(G57:G58,$V57:$V58)/SUM($V57:$V58)</f>
        <v>13.551102244623234</v>
      </c>
      <c r="H59" s="1912">
        <f>SUMPRODUCT(H57:H58,$V57:$V58)/SUM($V57:$V58)</f>
        <v>0</v>
      </c>
      <c r="I59" s="1922">
        <f t="shared" ref="I59" si="48">SUMPRODUCT(I57:I58,$V57:$V58)/SUM($V57:$V58)</f>
        <v>13.551102244623234</v>
      </c>
      <c r="J59" s="1912">
        <f>SUMPRODUCT(J57:J58,$V57:$V58)/SUM($V57:$V58)</f>
        <v>2.0634993781625073</v>
      </c>
      <c r="K59" s="1912">
        <f>SUMPRODUCT(K57:K58,$V57:$V58)/SUM($V57:$V58)</f>
        <v>5.3853333749968139E-2</v>
      </c>
      <c r="L59" s="1912">
        <f>SUMPRODUCT(L57:L58,$V57:$V58)/SUM($V57:$V58)</f>
        <v>5.808713483657967</v>
      </c>
      <c r="M59" s="1912">
        <f>SUMPRODUCT(M57:M58,$V57:$V58)/SUM($V57:$V58)</f>
        <v>0</v>
      </c>
      <c r="N59" s="1922">
        <f t="shared" ref="N59" si="49">SUMPRODUCT(N57:N58,$V57:$V58)/SUM($V57:$V58)</f>
        <v>5.808713483657967</v>
      </c>
      <c r="O59" s="1912">
        <f t="shared" ref="O59:W59" si="50">SUMPRODUCT(O57:O58,$V57:$V58)/SUM($V57:$V58)</f>
        <v>0.27650156951976612</v>
      </c>
      <c r="P59" s="1912">
        <f t="shared" si="50"/>
        <v>0</v>
      </c>
      <c r="Q59" s="1911">
        <f t="shared" si="50"/>
        <v>2.6126625535172501</v>
      </c>
      <c r="R59" s="1912">
        <f t="shared" si="50"/>
        <v>0.12139696676179142</v>
      </c>
      <c r="S59" s="1911">
        <f t="shared" si="50"/>
        <v>0</v>
      </c>
      <c r="T59" s="1911">
        <f t="shared" si="50"/>
        <v>0</v>
      </c>
      <c r="U59" s="1911">
        <f t="shared" si="50"/>
        <v>10.890390730211982</v>
      </c>
      <c r="V59" s="1912">
        <f t="shared" si="50"/>
        <v>53.06966730509594</v>
      </c>
      <c r="W59" s="1913">
        <f t="shared" si="50"/>
        <v>2.7795766325192605E-2</v>
      </c>
    </row>
    <row r="60" spans="1:23" x14ac:dyDescent="0.25">
      <c r="B60" s="1906" t="s">
        <v>878</v>
      </c>
      <c r="C60" s="1906" t="s">
        <v>57</v>
      </c>
      <c r="D60" s="1908">
        <v>13.78434932</v>
      </c>
      <c r="E60" s="1908">
        <v>0.80652356000000003</v>
      </c>
      <c r="F60" s="1908">
        <v>5.2932184859999998</v>
      </c>
      <c r="G60" s="1908">
        <v>33.946940820000002</v>
      </c>
      <c r="H60" s="1908">
        <v>4.5257964570000002</v>
      </c>
      <c r="I60" s="1922">
        <f t="shared" si="46"/>
        <v>38.472737277</v>
      </c>
      <c r="J60" s="1908">
        <v>6.6790907035581633</v>
      </c>
      <c r="K60" s="1908">
        <v>0.85347426221837586</v>
      </c>
      <c r="L60" s="1908">
        <v>11.466531335273974</v>
      </c>
      <c r="M60" s="1908">
        <v>0.93497063200566455</v>
      </c>
      <c r="N60" s="1922">
        <f t="shared" si="47"/>
        <v>12.401501967279639</v>
      </c>
      <c r="O60" s="1908">
        <v>1.7074981151216764</v>
      </c>
      <c r="P60" s="1908">
        <v>0.79255025615260877</v>
      </c>
      <c r="Q60" s="1907">
        <v>9.8430027453302475</v>
      </c>
      <c r="R60" s="1908">
        <v>0.40479827710858335</v>
      </c>
      <c r="S60" s="1907">
        <v>16.988614125821439</v>
      </c>
      <c r="T60" s="1907">
        <v>0</v>
      </c>
      <c r="U60" s="1907">
        <v>20.900455956244016</v>
      </c>
      <c r="V60" s="1908">
        <v>128.92781505183473</v>
      </c>
      <c r="W60" s="1909">
        <v>6.4131899422876476E-2</v>
      </c>
    </row>
    <row r="61" spans="1:23" x14ac:dyDescent="0.25">
      <c r="B61" s="1914"/>
      <c r="C61" s="1914" t="s">
        <v>2653</v>
      </c>
      <c r="D61" s="1912">
        <v>11.666400080000001</v>
      </c>
      <c r="E61" s="1912">
        <v>2.5825515810000002</v>
      </c>
      <c r="F61" s="1912">
        <v>3.2370132869999999</v>
      </c>
      <c r="G61" s="1912">
        <v>27.14853986</v>
      </c>
      <c r="H61" s="1912">
        <v>4.5059204160000004</v>
      </c>
      <c r="I61" s="1922">
        <f t="shared" si="46"/>
        <v>31.654460276000002</v>
      </c>
      <c r="J61" s="1912">
        <v>11.939380923655547</v>
      </c>
      <c r="K61" s="1912">
        <v>0</v>
      </c>
      <c r="L61" s="1912">
        <v>8.6038745518487758</v>
      </c>
      <c r="M61" s="1912">
        <v>0.53392181678308015</v>
      </c>
      <c r="N61" s="1922">
        <f t="shared" si="47"/>
        <v>9.1377963686318555</v>
      </c>
      <c r="O61" s="1912">
        <v>0.47464862306452404</v>
      </c>
      <c r="P61" s="1912">
        <v>0</v>
      </c>
      <c r="Q61" s="1911">
        <v>14.801530674546976</v>
      </c>
      <c r="R61" s="1912">
        <v>0</v>
      </c>
      <c r="S61" s="1911">
        <v>0</v>
      </c>
      <c r="T61" s="1911">
        <v>0</v>
      </c>
      <c r="U61" s="1911">
        <v>31.916034044839535</v>
      </c>
      <c r="V61" s="1912">
        <v>117.40981585873844</v>
      </c>
      <c r="W61" s="1913">
        <v>7.834475565634956E-2</v>
      </c>
    </row>
    <row r="62" spans="1:23" x14ac:dyDescent="0.25">
      <c r="A62" t="s">
        <v>2342</v>
      </c>
      <c r="C62" s="1910" t="s">
        <v>2666</v>
      </c>
      <c r="D62" s="1911">
        <f>SUMPRODUCT(D60:D61,$V60:$V61)/SUM($V60:$V61)</f>
        <v>12.77488913583176</v>
      </c>
      <c r="E62" s="1912">
        <f>SUMPRODUCT(E60:E61,$V60:$V61)/SUM($V60:$V61)</f>
        <v>1.6530167333522632</v>
      </c>
      <c r="F62" s="1912">
        <f>SUMPRODUCT(F60:F61,$V60:$V61)/SUM($V60:$V61)</f>
        <v>4.313186840449216</v>
      </c>
      <c r="G62" s="1912">
        <f>SUMPRODUCT(G60:G61,$V60:$V61)/SUM($V60:$V61)</f>
        <v>30.706676626920874</v>
      </c>
      <c r="H62" s="1912">
        <f>SUMPRODUCT(H60:H61,$V60:$V61)/SUM($V60:$V61)</f>
        <v>4.5163231081446726</v>
      </c>
      <c r="I62" s="1922">
        <f t="shared" ref="I62" si="51">SUMPRODUCT(I60:I61,$V60:$V61)/SUM($V60:$V61)</f>
        <v>35.222999735065549</v>
      </c>
      <c r="J62" s="1912">
        <f>SUMPRODUCT(J60:J61,$V60:$V61)/SUM($V60:$V61)</f>
        <v>9.1862582192243512</v>
      </c>
      <c r="K62" s="1912">
        <f>SUMPRODUCT(K60:K61,$V60:$V61)/SUM($V60:$V61)</f>
        <v>0.4466900628379345</v>
      </c>
      <c r="L62" s="1912">
        <f>SUMPRODUCT(L60:L61,$V60:$V61)/SUM($V60:$V61)</f>
        <v>10.102127510465188</v>
      </c>
      <c r="M62" s="1912">
        <f>SUMPRODUCT(M60:M61,$V60:$V61)/SUM($V60:$V61)</f>
        <v>0.74382213645671347</v>
      </c>
      <c r="N62" s="1922">
        <f t="shared" ref="N62" si="52">SUMPRODUCT(N60:N61,$V60:$V61)/SUM($V60:$V61)</f>
        <v>10.845949646921902</v>
      </c>
      <c r="O62" s="1912">
        <f t="shared" ref="O62:W62" si="53">SUMPRODUCT(O60:O61,$V60:$V61)/SUM($V60:$V61)</f>
        <v>1.1198955173824907</v>
      </c>
      <c r="P62" s="1912">
        <f t="shared" si="53"/>
        <v>0.41480374909354539</v>
      </c>
      <c r="Q62" s="1911">
        <f t="shared" si="53"/>
        <v>12.206343859506562</v>
      </c>
      <c r="R62" s="1912">
        <f t="shared" si="53"/>
        <v>0.2118627073396796</v>
      </c>
      <c r="S62" s="1911">
        <f t="shared" si="53"/>
        <v>8.8914750535862286</v>
      </c>
      <c r="T62" s="1911">
        <f t="shared" si="53"/>
        <v>0</v>
      </c>
      <c r="U62" s="1911">
        <f t="shared" si="53"/>
        <v>26.150717518713407</v>
      </c>
      <c r="V62" s="1912">
        <f t="shared" si="53"/>
        <v>123.43808877930488</v>
      </c>
      <c r="W62" s="1913">
        <f t="shared" si="53"/>
        <v>7.0906052551776982E-2</v>
      </c>
    </row>
    <row r="63" spans="1:23" x14ac:dyDescent="0.25">
      <c r="B63" s="1906" t="s">
        <v>2216</v>
      </c>
      <c r="C63" s="1906" t="s">
        <v>2654</v>
      </c>
      <c r="D63" s="1908">
        <v>7.1015796780000002</v>
      </c>
      <c r="E63" s="1908">
        <v>1.822498382</v>
      </c>
      <c r="F63" s="1908">
        <v>17.963602560000002</v>
      </c>
      <c r="G63" s="1908">
        <v>16.88584475</v>
      </c>
      <c r="H63" s="1908">
        <v>0</v>
      </c>
      <c r="I63" s="1922">
        <f t="shared" si="46"/>
        <v>16.88584475</v>
      </c>
      <c r="J63" s="1908">
        <v>6.0661962684245001</v>
      </c>
      <c r="K63" s="1908">
        <v>0</v>
      </c>
      <c r="L63" s="1908">
        <v>5.1764512536848999</v>
      </c>
      <c r="M63" s="1908">
        <v>1.3643895496233214</v>
      </c>
      <c r="N63" s="1922">
        <f t="shared" si="47"/>
        <v>6.540840803308221</v>
      </c>
      <c r="O63" s="1908">
        <v>0.48613413150999019</v>
      </c>
      <c r="P63" s="1908">
        <v>0.65793629774902662</v>
      </c>
      <c r="Q63" s="1907">
        <v>7.378572106125123</v>
      </c>
      <c r="R63" s="1908">
        <v>0.24171936717982312</v>
      </c>
      <c r="S63" s="1907">
        <v>19.803352735924612</v>
      </c>
      <c r="T63" s="1907">
        <v>0</v>
      </c>
      <c r="U63" s="1907">
        <v>6.7716650243840091</v>
      </c>
      <c r="V63" s="1908">
        <v>91.719942104605295</v>
      </c>
      <c r="W63" s="1909">
        <v>4.5773999691660947E-2</v>
      </c>
    </row>
    <row r="64" spans="1:23" x14ac:dyDescent="0.25">
      <c r="B64" s="1910"/>
      <c r="C64" s="1910" t="s">
        <v>2655</v>
      </c>
      <c r="D64" s="1912">
        <v>7.017417118</v>
      </c>
      <c r="E64" s="1912">
        <v>1.442632439</v>
      </c>
      <c r="F64" s="1912">
        <v>14.730853359999999</v>
      </c>
      <c r="G64" s="1912">
        <v>10.301982629999999</v>
      </c>
      <c r="H64" s="1912">
        <v>0</v>
      </c>
      <c r="I64" s="1922">
        <f t="shared" si="46"/>
        <v>10.301982629999999</v>
      </c>
      <c r="J64" s="1912">
        <v>3.4935668441275869</v>
      </c>
      <c r="K64" s="1912">
        <v>0</v>
      </c>
      <c r="L64" s="1912">
        <v>6.0435195268737569</v>
      </c>
      <c r="M64" s="1912">
        <v>0</v>
      </c>
      <c r="N64" s="1922">
        <f t="shared" si="47"/>
        <v>6.0435195268737569</v>
      </c>
      <c r="O64" s="1912">
        <v>5.7055740012036471E-3</v>
      </c>
      <c r="P64" s="1912">
        <v>0</v>
      </c>
      <c r="Q64" s="1911">
        <v>5.4842035991132141</v>
      </c>
      <c r="R64" s="1912">
        <v>0</v>
      </c>
      <c r="S64" s="1911">
        <v>0</v>
      </c>
      <c r="T64" s="1911">
        <v>0</v>
      </c>
      <c r="U64" s="1911">
        <v>16.000745745824521</v>
      </c>
      <c r="V64" s="1912">
        <v>64.520626836940281</v>
      </c>
      <c r="W64" s="1913">
        <v>6.1948884988588998E-2</v>
      </c>
    </row>
    <row r="65" spans="1:23" x14ac:dyDescent="0.25">
      <c r="A65" t="s">
        <v>1645</v>
      </c>
      <c r="C65" s="1910" t="s">
        <v>2666</v>
      </c>
      <c r="D65" s="1911">
        <f>SUMPRODUCT(D63:D64,$V63:$V64)/SUM($V63:$V64)</f>
        <v>7.066824164984471</v>
      </c>
      <c r="E65" s="1912">
        <f>SUMPRODUCT(E63:E64,$V63:$V64)/SUM($V63:$V64)</f>
        <v>1.6656301055824003</v>
      </c>
      <c r="F65" s="1912">
        <f>SUMPRODUCT(F63:F64,$V63:$V64)/SUM($V63:$V64)</f>
        <v>16.62861635120904</v>
      </c>
      <c r="G65" s="1912">
        <f>SUMPRODUCT(G63:G64,$V63:$V64)/SUM($V63:$V64)</f>
        <v>14.166993213115775</v>
      </c>
      <c r="H65" s="1912">
        <f>SUMPRODUCT(H63:H64,$V63:$V64)/SUM($V63:$V64)</f>
        <v>0</v>
      </c>
      <c r="I65" s="1922">
        <f t="shared" ref="I65" si="54">SUMPRODUCT(I63:I64,$V63:$V64)/SUM($V63:$V64)</f>
        <v>14.166993213115775</v>
      </c>
      <c r="J65" s="1912">
        <f>SUMPRODUCT(J63:J64,$V63:$V64)/SUM($V63:$V64)</f>
        <v>5.003811100479453</v>
      </c>
      <c r="K65" s="1912">
        <f>SUMPRODUCT(K63:K64,$V63:$V64)/SUM($V63:$V64)</f>
        <v>0</v>
      </c>
      <c r="L65" s="1912">
        <f>SUMPRODUCT(L63:L64,$V63:$V64)/SUM($V63:$V64)</f>
        <v>5.5345131122377751</v>
      </c>
      <c r="M65" s="1912">
        <f>SUMPRODUCT(M63:M64,$V63:$V64)/SUM($V63:$V64)</f>
        <v>0.80095541988456864</v>
      </c>
      <c r="N65" s="1922">
        <f t="shared" ref="N65" si="55">SUMPRODUCT(N63:N64,$V63:$V64)/SUM($V63:$V64)</f>
        <v>6.3354685321223441</v>
      </c>
      <c r="O65" s="1912">
        <f t="shared" ref="O65:W65" si="56">SUMPRODUCT(O63:O64,$V63:$V64)/SUM($V63:$V64)</f>
        <v>0.28773782579485252</v>
      </c>
      <c r="P65" s="1912">
        <f t="shared" si="56"/>
        <v>0.38623693927174785</v>
      </c>
      <c r="Q65" s="1911">
        <f t="shared" si="56"/>
        <v>6.5962794892933481</v>
      </c>
      <c r="R65" s="1912">
        <f t="shared" si="56"/>
        <v>0.14189967761567657</v>
      </c>
      <c r="S65" s="1911">
        <f t="shared" si="56"/>
        <v>11.625420841213396</v>
      </c>
      <c r="T65" s="1911">
        <f t="shared" si="56"/>
        <v>0</v>
      </c>
      <c r="U65" s="1911">
        <f t="shared" si="56"/>
        <v>10.58287793348987</v>
      </c>
      <c r="V65" s="1912">
        <f t="shared" si="56"/>
        <v>80.487796174172374</v>
      </c>
      <c r="W65" s="1913">
        <f t="shared" si="56"/>
        <v>5.2453530785559199E-2</v>
      </c>
    </row>
    <row r="66" spans="1:23" x14ac:dyDescent="0.25">
      <c r="B66" s="1906" t="s">
        <v>63</v>
      </c>
      <c r="C66" s="1906" t="s">
        <v>2654</v>
      </c>
      <c r="D66" s="1908">
        <v>6.4957420490000004</v>
      </c>
      <c r="E66" s="1908">
        <v>1.303529382</v>
      </c>
      <c r="F66" s="1908">
        <v>1.1484907639999999</v>
      </c>
      <c r="G66" s="1908">
        <v>12.170889219999999</v>
      </c>
      <c r="H66" s="1908">
        <v>3.4892238039999999</v>
      </c>
      <c r="I66" s="1922">
        <f t="shared" si="46"/>
        <v>15.660113023999999</v>
      </c>
      <c r="J66" s="1908">
        <v>3.9032294820573297</v>
      </c>
      <c r="K66" s="1908">
        <v>0.48962688652755382</v>
      </c>
      <c r="L66" s="1908">
        <v>4.0961519832005582</v>
      </c>
      <c r="M66" s="1908">
        <v>5.0236669294086503E-2</v>
      </c>
      <c r="N66" s="1922">
        <f t="shared" si="47"/>
        <v>4.1463886524946449</v>
      </c>
      <c r="O66" s="1908">
        <v>0.70308519458952079</v>
      </c>
      <c r="P66" s="1908">
        <v>0</v>
      </c>
      <c r="Q66" s="1907">
        <v>3.6145112437523568</v>
      </c>
      <c r="R66" s="1908">
        <v>0.15182502617391511</v>
      </c>
      <c r="S66" s="1907">
        <v>0</v>
      </c>
      <c r="T66" s="1907">
        <v>28.373422517411417</v>
      </c>
      <c r="U66" s="1907">
        <v>10.143822843487758</v>
      </c>
      <c r="V66" s="1908">
        <v>76.133787065494488</v>
      </c>
      <c r="W66" s="1909">
        <v>4.0012083576556959E-2</v>
      </c>
    </row>
    <row r="67" spans="1:23" x14ac:dyDescent="0.25">
      <c r="C67" t="s">
        <v>1100</v>
      </c>
      <c r="D67" s="1916">
        <v>5.8150698219999999</v>
      </c>
      <c r="E67" s="1916">
        <v>1.8613385469999999</v>
      </c>
      <c r="F67" s="1916">
        <v>1.4821351469999999</v>
      </c>
      <c r="G67" s="1916">
        <v>10.30103768</v>
      </c>
      <c r="H67" s="1916">
        <v>0</v>
      </c>
      <c r="I67" s="1922">
        <f t="shared" si="46"/>
        <v>10.30103768</v>
      </c>
      <c r="J67" s="1916">
        <v>2.9123080275229358</v>
      </c>
      <c r="K67" s="1916">
        <v>0</v>
      </c>
      <c r="L67" s="1916">
        <v>1.4276920983441483</v>
      </c>
      <c r="M67" s="1916">
        <v>0</v>
      </c>
      <c r="N67" s="1922">
        <f t="shared" si="47"/>
        <v>1.4276920983441483</v>
      </c>
      <c r="O67" s="1916">
        <v>2.6517312411426866E-3</v>
      </c>
      <c r="P67" s="1916">
        <v>0</v>
      </c>
      <c r="Q67" s="1915">
        <v>2.9238253959374476</v>
      </c>
      <c r="R67" s="1916">
        <v>0.30152659114641606</v>
      </c>
      <c r="S67" s="1915">
        <v>0</v>
      </c>
      <c r="T67" s="1915">
        <v>0</v>
      </c>
      <c r="U67" s="1915">
        <v>10.336068265955594</v>
      </c>
      <c r="V67" s="1916">
        <v>37.36365330614769</v>
      </c>
      <c r="W67" s="1917">
        <v>4.9349809930598232E-2</v>
      </c>
    </row>
    <row r="68" spans="1:23" x14ac:dyDescent="0.25">
      <c r="B68" s="1910"/>
      <c r="C68" s="1910" t="s">
        <v>2655</v>
      </c>
      <c r="D68" s="1912">
        <v>7.8107903189999996</v>
      </c>
      <c r="E68" s="1912">
        <v>2.1262994160000002</v>
      </c>
      <c r="F68" s="1912">
        <v>3.1032943670000002</v>
      </c>
      <c r="G68" s="1912">
        <v>3.5715397260000001</v>
      </c>
      <c r="H68" s="1912">
        <v>0</v>
      </c>
      <c r="I68" s="1922">
        <f t="shared" si="46"/>
        <v>3.5715397260000001</v>
      </c>
      <c r="J68" s="1912">
        <v>1.6782946770265361</v>
      </c>
      <c r="K68" s="1912">
        <v>0</v>
      </c>
      <c r="L68" s="1912">
        <v>3.2032338858596874</v>
      </c>
      <c r="M68" s="1912">
        <v>0</v>
      </c>
      <c r="N68" s="1922">
        <f t="shared" si="47"/>
        <v>3.2032338858596874</v>
      </c>
      <c r="O68" s="1912">
        <v>0</v>
      </c>
      <c r="P68" s="1912">
        <v>0</v>
      </c>
      <c r="Q68" s="1911">
        <v>0</v>
      </c>
      <c r="R68" s="1912">
        <v>0</v>
      </c>
      <c r="S68" s="1911">
        <v>0</v>
      </c>
      <c r="T68" s="1911">
        <v>0</v>
      </c>
      <c r="U68" s="1911">
        <v>8.320826483097056</v>
      </c>
      <c r="V68" s="1912">
        <v>29.814278873983284</v>
      </c>
      <c r="W68" s="1913">
        <v>4.3007828377301729E-2</v>
      </c>
    </row>
    <row r="69" spans="1:23" x14ac:dyDescent="0.25">
      <c r="A69" t="s">
        <v>63</v>
      </c>
      <c r="C69" s="1910" t="s">
        <v>2666</v>
      </c>
      <c r="D69" s="1911">
        <f>SUMPRODUCT(D66:D68,$V66:$V68)/SUM($V66:$V68)</f>
        <v>6.591859901903355</v>
      </c>
      <c r="E69" s="1912">
        <f>SUMPRODUCT(E66:E68,$V66:$V68)/SUM($V66:$V68)</f>
        <v>1.6201265433048626</v>
      </c>
      <c r="F69" s="1912">
        <f>SUMPRODUCT(F66:F68,$V66:$V68)/SUM($V66:$V68)</f>
        <v>1.6421505511414092</v>
      </c>
      <c r="G69" s="1912">
        <f>SUMPRODUCT(G66:G68,$V66:$V68)/SUM($V66:$V68)</f>
        <v>9.8943978741364766</v>
      </c>
      <c r="H69" s="1912">
        <f>SUMPRODUCT(H66:H68,$V66:$V68)/SUM($V66:$V68)</f>
        <v>1.8536364193795651</v>
      </c>
      <c r="I69" s="1922">
        <f t="shared" ref="I69" si="57">SUMPRODUCT(I66:I68,$V66:$V68)/SUM($V66:$V68)</f>
        <v>11.748034293516042</v>
      </c>
      <c r="J69" s="1912">
        <f>SUMPRODUCT(J66:J68,$V66:$V68)/SUM($V66:$V68)</f>
        <v>3.1820095219693738</v>
      </c>
      <c r="K69" s="1912">
        <f>SUMPRODUCT(K66:K68,$V66:$V68)/SUM($V66:$V68)</f>
        <v>0.26011235729116888</v>
      </c>
      <c r="L69" s="1912">
        <f>SUMPRODUCT(L66:L68,$V66:$V68)/SUM($V66:$V68)</f>
        <v>3.2146810202545812</v>
      </c>
      <c r="M69" s="1912">
        <f>SUMPRODUCT(M66:M68,$V66:$V68)/SUM($V66:$V68)</f>
        <v>2.6688032933024734E-2</v>
      </c>
      <c r="N69" s="1922">
        <f t="shared" ref="N69" si="58">SUMPRODUCT(N66:N68,$V66:$V68)/SUM($V66:$V68)</f>
        <v>3.2413690531876065</v>
      </c>
      <c r="O69" s="1912">
        <f t="shared" ref="O69:W69" si="59">SUMPRODUCT(O66:O68,$V66:$V68)/SUM($V66:$V68)</f>
        <v>0.3742025923827052</v>
      </c>
      <c r="P69" s="1912">
        <f t="shared" si="59"/>
        <v>0</v>
      </c>
      <c r="Q69" s="1911">
        <f t="shared" si="59"/>
        <v>2.6824828410599717</v>
      </c>
      <c r="R69" s="1912">
        <f t="shared" si="59"/>
        <v>0.15926924433162812</v>
      </c>
      <c r="S69" s="1911">
        <f t="shared" si="59"/>
        <v>0</v>
      </c>
      <c r="T69" s="1911">
        <f t="shared" si="59"/>
        <v>15.073269092233335</v>
      </c>
      <c r="U69" s="1911">
        <f t="shared" si="59"/>
        <v>9.8146918358601134</v>
      </c>
      <c r="V69" s="1912">
        <f t="shared" si="59"/>
        <v>56.389577828181565</v>
      </c>
      <c r="W69" s="1913">
        <f t="shared" si="59"/>
        <v>4.3069806583380374E-2</v>
      </c>
    </row>
    <row r="70" spans="1:23" x14ac:dyDescent="0.25">
      <c r="B70" s="1906" t="s">
        <v>2656</v>
      </c>
      <c r="C70" s="1906" t="s">
        <v>2217</v>
      </c>
      <c r="D70" s="1908">
        <v>12.35459223</v>
      </c>
      <c r="E70" s="1908">
        <v>5.7241220909999999</v>
      </c>
      <c r="F70" s="1908">
        <v>75.597684229999999</v>
      </c>
      <c r="G70" s="1908">
        <v>160.0143381</v>
      </c>
      <c r="H70" s="1908">
        <v>0</v>
      </c>
      <c r="I70" s="1922">
        <f t="shared" si="46"/>
        <v>160.0143381</v>
      </c>
      <c r="J70" s="1908">
        <v>5.7344606615776081</v>
      </c>
      <c r="K70" s="1908">
        <v>0</v>
      </c>
      <c r="L70" s="1908">
        <v>15.075359474736459</v>
      </c>
      <c r="M70" s="1908">
        <v>0</v>
      </c>
      <c r="N70" s="1922">
        <f t="shared" si="47"/>
        <v>15.075359474736459</v>
      </c>
      <c r="O70" s="1908">
        <v>7.7539281715739733E-2</v>
      </c>
      <c r="P70" s="1908">
        <v>14.153554233006183</v>
      </c>
      <c r="Q70" s="1907">
        <v>0</v>
      </c>
      <c r="R70" s="1908">
        <v>0</v>
      </c>
      <c r="S70" s="1907">
        <v>152.90540510521441</v>
      </c>
      <c r="T70" s="1907">
        <v>0</v>
      </c>
      <c r="U70" s="1907">
        <v>0</v>
      </c>
      <c r="V70" s="1908">
        <v>441.63705540725039</v>
      </c>
      <c r="W70" s="1909">
        <v>4.7010740075510475E-2</v>
      </c>
    </row>
    <row r="71" spans="1:23" x14ac:dyDescent="0.25">
      <c r="B71" s="1910"/>
      <c r="C71" s="1910" t="s">
        <v>2657</v>
      </c>
      <c r="D71" s="1912">
        <v>12.304519819999999</v>
      </c>
      <c r="E71" s="1912">
        <v>5.8717502149999996</v>
      </c>
      <c r="F71" s="1912">
        <v>79.338470240000007</v>
      </c>
      <c r="G71" s="1912">
        <v>252.59837859999999</v>
      </c>
      <c r="H71" s="1912">
        <v>0</v>
      </c>
      <c r="I71" s="1922">
        <f t="shared" si="46"/>
        <v>252.59837859999999</v>
      </c>
      <c r="J71" s="1912">
        <v>6.9596729468212706</v>
      </c>
      <c r="K71" s="1912">
        <v>0</v>
      </c>
      <c r="L71" s="1912">
        <v>20.655369220311876</v>
      </c>
      <c r="M71" s="1912">
        <v>0</v>
      </c>
      <c r="N71" s="1922">
        <f t="shared" si="47"/>
        <v>20.655369220311876</v>
      </c>
      <c r="O71" s="1912">
        <v>0</v>
      </c>
      <c r="P71" s="1912">
        <v>31.648428140743714</v>
      </c>
      <c r="Q71" s="1911">
        <v>0</v>
      </c>
      <c r="R71" s="1912">
        <v>0</v>
      </c>
      <c r="S71" s="1911">
        <v>269.48507596961235</v>
      </c>
      <c r="T71" s="1911">
        <v>0</v>
      </c>
      <c r="U71" s="1911">
        <v>0</v>
      </c>
      <c r="V71" s="1912">
        <v>678.86166515248919</v>
      </c>
      <c r="W71" s="1913">
        <v>4.3242658256224711E-2</v>
      </c>
    </row>
    <row r="72" spans="1:23" x14ac:dyDescent="0.25">
      <c r="A72" t="s">
        <v>2217</v>
      </c>
      <c r="C72" s="1910" t="s">
        <v>2666</v>
      </c>
      <c r="D72" s="1911">
        <f>SUMPRODUCT(D70:D71,$V70:$V71)/SUM($V70:$V71)</f>
        <v>12.324255524560643</v>
      </c>
      <c r="E72" s="1912">
        <f>SUMPRODUCT(E70:E71,$V70:$V71)/SUM($V70:$V71)</f>
        <v>5.8135635800825707</v>
      </c>
      <c r="F72" s="1912">
        <f>SUMPRODUCT(F70:F71,$V70:$V71)/SUM($V70:$V71)</f>
        <v>77.864064523999062</v>
      </c>
      <c r="G72" s="1912">
        <f>SUMPRODUCT(G70:G71,$V70:$V71)/SUM($V70:$V71)</f>
        <v>216.1070000077068</v>
      </c>
      <c r="H72" s="1912">
        <f>SUMPRODUCT(H70:H71,$V70:$V71)/SUM($V70:$V71)</f>
        <v>0</v>
      </c>
      <c r="I72" s="1922">
        <f t="shared" ref="I72" si="60">SUMPRODUCT(I70:I71,$V70:$V71)/SUM($V70:$V71)</f>
        <v>216.1070000077068</v>
      </c>
      <c r="J72" s="1912">
        <f>SUMPRODUCT(J70:J71,$V70:$V71)/SUM($V70:$V71)</f>
        <v>6.4767637422186137</v>
      </c>
      <c r="K72" s="1912">
        <f>SUMPRODUCT(K70:K71,$V70:$V71)/SUM($V70:$V71)</f>
        <v>0</v>
      </c>
      <c r="L72" s="1912">
        <f>SUMPRODUCT(L70:L71,$V70:$V71)/SUM($V70:$V71)</f>
        <v>18.456045804798617</v>
      </c>
      <c r="M72" s="1912">
        <f>SUMPRODUCT(M70:M71,$V70:$V71)/SUM($V70:$V71)</f>
        <v>0</v>
      </c>
      <c r="N72" s="1922">
        <f t="shared" ref="N72" si="61">SUMPRODUCT(N70:N71,$V70:$V71)/SUM($V70:$V71)</f>
        <v>18.456045804798617</v>
      </c>
      <c r="O72" s="1912">
        <f t="shared" ref="O72:W72" si="62">SUMPRODUCT(O70:O71,$V70:$V71)/SUM($V70:$V71)</f>
        <v>3.0561587824237783E-2</v>
      </c>
      <c r="P72" s="1912">
        <f t="shared" si="62"/>
        <v>24.75294092994649</v>
      </c>
      <c r="Q72" s="1911">
        <f t="shared" si="62"/>
        <v>0</v>
      </c>
      <c r="R72" s="1912">
        <f t="shared" si="62"/>
        <v>0</v>
      </c>
      <c r="S72" s="1911">
        <f t="shared" si="62"/>
        <v>223.5359806103784</v>
      </c>
      <c r="T72" s="1911">
        <f t="shared" si="62"/>
        <v>0</v>
      </c>
      <c r="U72" s="1911">
        <f t="shared" si="62"/>
        <v>0</v>
      </c>
      <c r="V72" s="1912">
        <f t="shared" si="62"/>
        <v>585.36117631151546</v>
      </c>
      <c r="W72" s="1913">
        <f t="shared" si="62"/>
        <v>4.472782243237982E-2</v>
      </c>
    </row>
    <row r="73" spans="1:23" x14ac:dyDescent="0.25">
      <c r="B73" s="1906" t="s">
        <v>2658</v>
      </c>
      <c r="C73" s="1906" t="s">
        <v>2659</v>
      </c>
      <c r="D73" s="1908">
        <v>15.384069849999999</v>
      </c>
      <c r="E73" s="1908">
        <v>2.3643581450000002</v>
      </c>
      <c r="F73" s="1908">
        <v>3.7579497829999999</v>
      </c>
      <c r="G73" s="1908">
        <v>8.2632671080000009</v>
      </c>
      <c r="H73" s="1908">
        <v>0</v>
      </c>
      <c r="I73" s="1922">
        <f t="shared" si="46"/>
        <v>8.2632671080000009</v>
      </c>
      <c r="J73" s="1908">
        <v>2.5993349526162319</v>
      </c>
      <c r="K73" s="1908">
        <v>0</v>
      </c>
      <c r="L73" s="1908">
        <v>6.3489812084885795</v>
      </c>
      <c r="M73" s="1908">
        <v>0.70147488295804306</v>
      </c>
      <c r="N73" s="1922">
        <f t="shared" si="47"/>
        <v>7.0504560914466223</v>
      </c>
      <c r="O73" s="1908">
        <v>0</v>
      </c>
      <c r="P73" s="1908">
        <v>0</v>
      </c>
      <c r="Q73" s="1907">
        <v>0</v>
      </c>
      <c r="R73" s="1908">
        <v>0</v>
      </c>
      <c r="S73" s="1907">
        <v>0</v>
      </c>
      <c r="T73" s="1907">
        <v>0</v>
      </c>
      <c r="U73" s="1907">
        <v>7.4601297100275392</v>
      </c>
      <c r="V73" s="1908">
        <v>46.879565640090398</v>
      </c>
      <c r="W73" s="1909">
        <v>6.2161938286217848E-2</v>
      </c>
    </row>
    <row r="74" spans="1:23" x14ac:dyDescent="0.25">
      <c r="B74" s="1910"/>
      <c r="C74" s="1910" t="s">
        <v>2660</v>
      </c>
      <c r="D74" s="1912">
        <v>20.43483604</v>
      </c>
      <c r="E74" s="1912">
        <v>3.0017273269999998</v>
      </c>
      <c r="F74" s="1912">
        <v>2.7733533499999998</v>
      </c>
      <c r="G74" s="1912">
        <v>28.038957920000001</v>
      </c>
      <c r="H74" s="1912">
        <v>0</v>
      </c>
      <c r="I74" s="1922">
        <f t="shared" si="46"/>
        <v>28.038957920000001</v>
      </c>
      <c r="J74" s="1912">
        <v>2.4063538413333334</v>
      </c>
      <c r="K74" s="1912">
        <v>0</v>
      </c>
      <c r="L74" s="1912">
        <v>5.9271895422222221</v>
      </c>
      <c r="M74" s="1912">
        <v>0</v>
      </c>
      <c r="N74" s="1922">
        <f t="shared" si="47"/>
        <v>5.9271895422222221</v>
      </c>
      <c r="O74" s="1912">
        <v>0</v>
      </c>
      <c r="P74" s="1912">
        <v>0</v>
      </c>
      <c r="Q74" s="1911">
        <v>0</v>
      </c>
      <c r="R74" s="1912">
        <v>0</v>
      </c>
      <c r="S74" s="1911">
        <v>0</v>
      </c>
      <c r="T74" s="1911">
        <v>0</v>
      </c>
      <c r="U74" s="1911">
        <v>5.3996540844444443</v>
      </c>
      <c r="V74" s="1912">
        <v>67.982072105</v>
      </c>
      <c r="W74" s="1913">
        <v>2.6924529896460325E-2</v>
      </c>
    </row>
    <row r="75" spans="1:23" x14ac:dyDescent="0.25">
      <c r="A75" t="s">
        <v>69</v>
      </c>
      <c r="C75" s="1910" t="s">
        <v>2666</v>
      </c>
      <c r="D75" s="1911">
        <f>SUMPRODUCT(D73:D74,$V73:$V74)/SUM($V73:$V74)</f>
        <v>18.373419105807148</v>
      </c>
      <c r="E75" s="1912">
        <f>SUMPRODUCT(E73:E74,$V73:$V74)/SUM($V73:$V74)</f>
        <v>2.7415918196964149</v>
      </c>
      <c r="F75" s="1912">
        <f>SUMPRODUCT(F73:F74,$V73:$V74)/SUM($V73:$V74)</f>
        <v>3.1752059965055146</v>
      </c>
      <c r="G75" s="1912">
        <f>SUMPRODUCT(G73:G74,$V73:$V74)/SUM($V73:$V74)</f>
        <v>19.967718351252746</v>
      </c>
      <c r="H75" s="1912">
        <f>SUMPRODUCT(H73:H74,$V73:$V74)/SUM($V73:$V74)</f>
        <v>0</v>
      </c>
      <c r="I75" s="1922">
        <f t="shared" ref="I75" si="63">SUMPRODUCT(I73:I74,$V73:$V74)/SUM($V73:$V74)</f>
        <v>19.967718351252746</v>
      </c>
      <c r="J75" s="1912">
        <f>SUMPRODUCT(J73:J74,$V73:$V74)/SUM($V73:$V74)</f>
        <v>2.4851170459270349</v>
      </c>
      <c r="K75" s="1912">
        <f>SUMPRODUCT(K73:K74,$V73:$V74)/SUM($V73:$V74)</f>
        <v>0</v>
      </c>
      <c r="L75" s="1912">
        <f>SUMPRODUCT(L73:L74,$V73:$V74)/SUM($V73:$V74)</f>
        <v>6.0993393608506095</v>
      </c>
      <c r="M75" s="1912">
        <f>SUMPRODUCT(M73:M74,$V73:$V74)/SUM($V73:$V74)</f>
        <v>0.28629957282593177</v>
      </c>
      <c r="N75" s="1922">
        <f t="shared" ref="N75" si="64">SUMPRODUCT(N73:N74,$V73:$V74)/SUM($V73:$V74)</f>
        <v>6.3856389336765407</v>
      </c>
      <c r="O75" s="1912">
        <f t="shared" ref="O75:W75" si="65">SUMPRODUCT(O73:O74,$V73:$V74)/SUM($V73:$V74)</f>
        <v>0</v>
      </c>
      <c r="P75" s="1912">
        <f t="shared" si="65"/>
        <v>0</v>
      </c>
      <c r="Q75" s="1911">
        <f t="shared" si="65"/>
        <v>0</v>
      </c>
      <c r="R75" s="1912">
        <f t="shared" si="65"/>
        <v>0</v>
      </c>
      <c r="S75" s="1911">
        <f t="shared" si="65"/>
        <v>0</v>
      </c>
      <c r="T75" s="1911">
        <f t="shared" si="65"/>
        <v>0</v>
      </c>
      <c r="U75" s="1911">
        <f t="shared" si="65"/>
        <v>6.2406154727340502</v>
      </c>
      <c r="V75" s="1912">
        <f t="shared" si="65"/>
        <v>59.369306725599451</v>
      </c>
      <c r="W75" s="1913">
        <f t="shared" si="65"/>
        <v>4.1306306371390648E-2</v>
      </c>
    </row>
    <row r="76" spans="1:23" x14ac:dyDescent="0.25">
      <c r="B76" s="1906" t="s">
        <v>2218</v>
      </c>
      <c r="C76" s="1906" t="s">
        <v>2661</v>
      </c>
      <c r="D76" s="1908">
        <v>8.3917442270000002</v>
      </c>
      <c r="E76" s="1908">
        <v>0.52076116100000003</v>
      </c>
      <c r="F76" s="1908">
        <v>3.186630139</v>
      </c>
      <c r="G76" s="1908">
        <v>5.0243696230000001</v>
      </c>
      <c r="H76" s="1908">
        <v>0</v>
      </c>
      <c r="I76" s="1922">
        <f t="shared" si="46"/>
        <v>5.0243696230000001</v>
      </c>
      <c r="J76" s="1908">
        <v>3.7343843982796474</v>
      </c>
      <c r="K76" s="1908">
        <v>0</v>
      </c>
      <c r="L76" s="1908">
        <v>3.9247247601796222</v>
      </c>
      <c r="M76" s="1908">
        <v>1.1838055636430884</v>
      </c>
      <c r="N76" s="1922">
        <f t="shared" si="47"/>
        <v>5.1085303238227109</v>
      </c>
      <c r="O76" s="1908">
        <v>0.13054993190666092</v>
      </c>
      <c r="P76" s="1908">
        <v>0.85963596238743989</v>
      </c>
      <c r="Q76" s="1907">
        <v>0.29580797088277422</v>
      </c>
      <c r="R76" s="1908">
        <v>0.18380567270623605</v>
      </c>
      <c r="S76" s="1907">
        <v>4.0631337714826774</v>
      </c>
      <c r="T76" s="1907">
        <v>0</v>
      </c>
      <c r="U76" s="1907">
        <v>8.5700306124975771</v>
      </c>
      <c r="V76" s="1908">
        <v>40.06938379396572</v>
      </c>
      <c r="W76" s="1909">
        <v>4.0078616184763494E-2</v>
      </c>
    </row>
    <row r="77" spans="1:23" x14ac:dyDescent="0.25">
      <c r="B77" s="1910"/>
      <c r="C77" s="1910" t="s">
        <v>2662</v>
      </c>
      <c r="D77" s="1912">
        <v>8.9596519370000003</v>
      </c>
      <c r="E77" s="1912">
        <v>0.58965318300000003</v>
      </c>
      <c r="F77" s="1912">
        <v>2.024919804</v>
      </c>
      <c r="G77" s="1912">
        <v>17.339802809999998</v>
      </c>
      <c r="H77" s="1912">
        <v>0</v>
      </c>
      <c r="I77" s="1922">
        <f t="shared" si="46"/>
        <v>17.339802809999998</v>
      </c>
      <c r="J77" s="1912">
        <v>3.6666173177030514</v>
      </c>
      <c r="K77" s="1912">
        <v>0</v>
      </c>
      <c r="L77" s="1912">
        <v>4.3117748117200065</v>
      </c>
      <c r="M77" s="1912">
        <v>1.2510902326964939</v>
      </c>
      <c r="N77" s="1922">
        <f t="shared" si="47"/>
        <v>5.5628650444165002</v>
      </c>
      <c r="O77" s="1912">
        <v>3.3712779837477523E-2</v>
      </c>
      <c r="P77" s="1912">
        <v>1.5629724024121479</v>
      </c>
      <c r="Q77" s="1911">
        <v>0</v>
      </c>
      <c r="R77" s="1912">
        <v>0.31029088738355032</v>
      </c>
      <c r="S77" s="1911">
        <v>6.5470043462519074</v>
      </c>
      <c r="T77" s="1911">
        <v>0</v>
      </c>
      <c r="U77" s="1911">
        <v>11.983640889622023</v>
      </c>
      <c r="V77" s="1912">
        <v>58.581131401626664</v>
      </c>
      <c r="W77" s="1913">
        <v>3.3655279363060737E-2</v>
      </c>
    </row>
    <row r="78" spans="1:23" x14ac:dyDescent="0.25">
      <c r="A78" t="s">
        <v>2218</v>
      </c>
      <c r="C78" s="1910" t="s">
        <v>2666</v>
      </c>
      <c r="D78" s="1911">
        <f>SUMPRODUCT(D76:D77,$V76:$V77)/SUM($V76:$V77)</f>
        <v>8.7289819608075288</v>
      </c>
      <c r="E78" s="1912">
        <f>SUMPRODUCT(E76:E77,$V76:$V77)/SUM($V76:$V77)</f>
        <v>0.5616709584329288</v>
      </c>
      <c r="F78" s="1912">
        <f>SUMPRODUCT(F76:F77,$V76:$V77)/SUM($V76:$V77)</f>
        <v>2.4967776263158763</v>
      </c>
      <c r="G78" s="1912">
        <f>SUMPRODUCT(G76:G77,$V76:$V77)/SUM($V76:$V77)</f>
        <v>12.337580388956898</v>
      </c>
      <c r="H78" s="1912">
        <f>SUMPRODUCT(H76:H77,$V76:$V77)/SUM($V76:$V77)</f>
        <v>0</v>
      </c>
      <c r="I78" s="1922">
        <f t="shared" ref="I78" si="66">SUMPRODUCT(I76:I77,$V76:$V77)/SUM($V76:$V77)</f>
        <v>12.337580388956898</v>
      </c>
      <c r="J78" s="1912">
        <f>SUMPRODUCT(J76:J77,$V76:$V77)/SUM($V76:$V77)</f>
        <v>3.6941426190644937</v>
      </c>
      <c r="K78" s="1912">
        <f>SUMPRODUCT(K76:K77,$V76:$V77)/SUM($V76:$V77)</f>
        <v>0</v>
      </c>
      <c r="L78" s="1912">
        <f>SUMPRODUCT(L76:L77,$V76:$V77)/SUM($V76:$V77)</f>
        <v>4.1545647147235867</v>
      </c>
      <c r="M78" s="1912">
        <f>SUMPRODUCT(M76:M77,$V76:$V77)/SUM($V76:$V77)</f>
        <v>1.2237608748882203</v>
      </c>
      <c r="N78" s="1922">
        <f t="shared" ref="N78" si="67">SUMPRODUCT(N76:N77,$V76:$V77)/SUM($V76:$V77)</f>
        <v>5.3783255896118058</v>
      </c>
      <c r="O78" s="1912">
        <f t="shared" ref="O78:W78" si="68">SUMPRODUCT(O76:O77,$V76:$V77)/SUM($V76:$V77)</f>
        <v>7.3045620665338651E-2</v>
      </c>
      <c r="P78" s="1912">
        <f t="shared" si="68"/>
        <v>1.2772946469969308</v>
      </c>
      <c r="Q78" s="1911">
        <f t="shared" si="68"/>
        <v>0.12014983491080329</v>
      </c>
      <c r="R78" s="1912">
        <f t="shared" si="68"/>
        <v>0.25891574148472896</v>
      </c>
      <c r="S78" s="1911">
        <f t="shared" si="68"/>
        <v>5.5381179440102564</v>
      </c>
      <c r="T78" s="1911">
        <f t="shared" si="68"/>
        <v>0</v>
      </c>
      <c r="U78" s="1911">
        <f t="shared" si="68"/>
        <v>10.597117362137837</v>
      </c>
      <c r="V78" s="1912">
        <f t="shared" si="68"/>
        <v>51.062120293395424</v>
      </c>
      <c r="W78" s="1913">
        <f t="shared" si="68"/>
        <v>3.6264278898809933E-2</v>
      </c>
    </row>
    <row r="79" spans="1:23" x14ac:dyDescent="0.25">
      <c r="A79" t="s">
        <v>74</v>
      </c>
      <c r="B79" s="4027" t="s">
        <v>74</v>
      </c>
      <c r="C79" s="4027"/>
      <c r="D79" s="1912">
        <v>7.1940086990000003</v>
      </c>
      <c r="E79" s="1912">
        <v>1.5091880099999999</v>
      </c>
      <c r="F79" s="1912">
        <v>0.485271799</v>
      </c>
      <c r="G79" s="1912">
        <v>11.906309479999999</v>
      </c>
      <c r="H79" s="1912">
        <v>0</v>
      </c>
      <c r="I79" s="1922">
        <f t="shared" si="46"/>
        <v>11.906309479999999</v>
      </c>
      <c r="J79" s="1912">
        <v>1.5847840292054952E-2</v>
      </c>
      <c r="K79" s="1912">
        <v>0</v>
      </c>
      <c r="L79" s="1912">
        <v>0.3767049854933231</v>
      </c>
      <c r="M79" s="1912">
        <v>0</v>
      </c>
      <c r="N79" s="1922">
        <f t="shared" si="47"/>
        <v>0.3767049854933231</v>
      </c>
      <c r="O79" s="1912">
        <v>0</v>
      </c>
      <c r="P79" s="1912">
        <v>0</v>
      </c>
      <c r="Q79" s="1911">
        <v>0</v>
      </c>
      <c r="R79" s="1912">
        <v>0</v>
      </c>
      <c r="S79" s="1911">
        <v>0</v>
      </c>
      <c r="T79" s="1911">
        <v>0</v>
      </c>
      <c r="U79" s="1911">
        <v>2.4864714958209242</v>
      </c>
      <c r="V79" s="1912">
        <v>23.973802309606299</v>
      </c>
      <c r="W79" s="1913">
        <v>2.7870410498406498E-2</v>
      </c>
    </row>
  </sheetData>
  <sheetProtection algorithmName="SHA-512" hashValue="2wNyHIph2FS1NONGH7r9UKqC81bfEE9Ki9U3Z50sGfjk1j8iKqXeQfUKjnIF5BxxkVxzCt814qzzmkydMzKYww==" saltValue="Ly4rih9z8BOOAD26iTFA3g==" spinCount="100000" sheet="1" objects="1" scenarios="1"/>
  <mergeCells count="12">
    <mergeCell ref="B79:C79"/>
    <mergeCell ref="B3:C3"/>
    <mergeCell ref="D3:W3"/>
    <mergeCell ref="B4:C4"/>
    <mergeCell ref="B27:C27"/>
    <mergeCell ref="B29:C29"/>
    <mergeCell ref="D29:W29"/>
    <mergeCell ref="B30:C30"/>
    <mergeCell ref="B53:C53"/>
    <mergeCell ref="B55:C55"/>
    <mergeCell ref="D55:W55"/>
    <mergeCell ref="B56:C56"/>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Tabelle2"/>
  <dimension ref="A1:F46"/>
  <sheetViews>
    <sheetView zoomScale="90" zoomScaleNormal="90" workbookViewId="0">
      <selection activeCell="B1" sqref="B1"/>
    </sheetView>
  </sheetViews>
  <sheetFormatPr defaultColWidth="8" defaultRowHeight="13.8" x14ac:dyDescent="0.25"/>
  <cols>
    <col min="2" max="2" width="15.296875" customWidth="1"/>
    <col min="3" max="3" width="10.19921875" customWidth="1"/>
    <col min="4" max="5" width="21.69921875" customWidth="1"/>
  </cols>
  <sheetData>
    <row r="1" spans="1:6" x14ac:dyDescent="0.25">
      <c r="A1" s="989"/>
    </row>
    <row r="2" spans="1:6" x14ac:dyDescent="0.25">
      <c r="A2" s="989" t="s">
        <v>3288</v>
      </c>
    </row>
    <row r="3" spans="1:6" x14ac:dyDescent="0.25">
      <c r="A3" s="989" t="s">
        <v>3287</v>
      </c>
    </row>
    <row r="4" spans="1:6" x14ac:dyDescent="0.25">
      <c r="A4" s="989"/>
    </row>
    <row r="5" spans="1:6" x14ac:dyDescent="0.25">
      <c r="A5" s="989" t="s">
        <v>3286</v>
      </c>
    </row>
    <row r="6" spans="1:6" ht="14.4" thickBot="1" x14ac:dyDescent="0.3"/>
    <row r="7" spans="1:6" x14ac:dyDescent="0.25">
      <c r="A7" s="4034" t="s">
        <v>3283</v>
      </c>
      <c r="B7" s="2664" t="s">
        <v>3282</v>
      </c>
      <c r="C7" s="2663" t="s">
        <v>3281</v>
      </c>
      <c r="D7" s="2662"/>
      <c r="E7" s="2661"/>
      <c r="F7" s="2660"/>
    </row>
    <row r="8" spans="1:6" ht="51.75" customHeight="1" thickBot="1" x14ac:dyDescent="0.3">
      <c r="A8" s="4035"/>
      <c r="B8" s="2659" t="s">
        <v>3280</v>
      </c>
      <c r="C8" s="2658" t="s">
        <v>878</v>
      </c>
      <c r="D8" s="2657" t="s">
        <v>3279</v>
      </c>
      <c r="E8" s="2656" t="s">
        <v>3278</v>
      </c>
      <c r="F8" s="2655" t="s">
        <v>3277</v>
      </c>
    </row>
    <row r="9" spans="1:6" ht="18.75" customHeight="1" thickBot="1" x14ac:dyDescent="0.3">
      <c r="A9" s="2654" t="s">
        <v>3276</v>
      </c>
      <c r="B9" s="2653">
        <v>0</v>
      </c>
      <c r="C9" s="2652">
        <v>0</v>
      </c>
      <c r="D9" s="2651">
        <v>0</v>
      </c>
      <c r="E9" s="2651">
        <v>0</v>
      </c>
      <c r="F9" s="2650"/>
    </row>
    <row r="10" spans="1:6" ht="15" thickTop="1" thickBot="1" x14ac:dyDescent="0.3">
      <c r="A10" s="2644">
        <v>1</v>
      </c>
      <c r="B10" s="2667" t="s">
        <v>669</v>
      </c>
      <c r="C10" s="2647">
        <v>0.02</v>
      </c>
      <c r="D10" s="2646">
        <v>0.05</v>
      </c>
      <c r="E10" s="2641">
        <v>0.02</v>
      </c>
      <c r="F10" s="2645">
        <v>0.05</v>
      </c>
    </row>
    <row r="11" spans="1:6" ht="14.4" thickTop="1" x14ac:dyDescent="0.25">
      <c r="A11" s="2644">
        <v>2</v>
      </c>
      <c r="B11" s="2667">
        <v>0.02</v>
      </c>
      <c r="C11" s="2647">
        <v>0.05</v>
      </c>
      <c r="D11" s="2646">
        <v>0.1</v>
      </c>
      <c r="E11" s="2641">
        <v>0.05</v>
      </c>
      <c r="F11" s="2645">
        <v>0.1</v>
      </c>
    </row>
    <row r="12" spans="1:6" x14ac:dyDescent="0.25">
      <c r="A12" s="2644">
        <v>3</v>
      </c>
      <c r="B12" s="2666">
        <v>0.05</v>
      </c>
      <c r="C12" s="2647">
        <v>0.1</v>
      </c>
      <c r="D12" s="2646">
        <v>0.15</v>
      </c>
      <c r="E12" s="2641">
        <v>0.1</v>
      </c>
      <c r="F12" s="2645">
        <v>0.15</v>
      </c>
    </row>
    <row r="13" spans="1:6" x14ac:dyDescent="0.25">
      <c r="A13" s="2644">
        <v>4</v>
      </c>
      <c r="B13" s="2665">
        <v>0.08</v>
      </c>
      <c r="C13" s="2647">
        <v>0.15</v>
      </c>
      <c r="D13" s="2646">
        <v>0.2</v>
      </c>
      <c r="E13" s="2641">
        <v>0.15</v>
      </c>
      <c r="F13" s="2645">
        <v>0.2</v>
      </c>
    </row>
    <row r="14" spans="1:6" x14ac:dyDescent="0.25">
      <c r="A14" s="2644">
        <v>5</v>
      </c>
      <c r="B14" s="2665">
        <v>0.12</v>
      </c>
      <c r="C14" s="2647">
        <v>0.2</v>
      </c>
      <c r="D14" s="2646">
        <v>0.25</v>
      </c>
      <c r="E14" s="2641">
        <v>0.2</v>
      </c>
      <c r="F14" s="2645">
        <v>0.25</v>
      </c>
    </row>
    <row r="15" spans="1:6" x14ac:dyDescent="0.25">
      <c r="A15" s="2644">
        <v>6</v>
      </c>
      <c r="B15" s="2665">
        <v>0.15</v>
      </c>
      <c r="C15" s="2647">
        <v>0.25</v>
      </c>
      <c r="D15" s="2646">
        <v>0.3</v>
      </c>
      <c r="E15" s="2641">
        <v>0.25</v>
      </c>
      <c r="F15" s="2645">
        <v>0.3</v>
      </c>
    </row>
    <row r="16" spans="1:6" x14ac:dyDescent="0.25">
      <c r="A16" s="2644">
        <v>7</v>
      </c>
      <c r="B16" s="2665">
        <v>0.18</v>
      </c>
      <c r="C16" s="2647">
        <v>0.3</v>
      </c>
      <c r="D16" s="2646">
        <v>0.35</v>
      </c>
      <c r="E16" s="2641">
        <v>0.3</v>
      </c>
      <c r="F16" s="2645">
        <v>0.35</v>
      </c>
    </row>
    <row r="17" spans="1:6" x14ac:dyDescent="0.25">
      <c r="A17" s="2644">
        <v>8</v>
      </c>
      <c r="B17" s="2665">
        <v>0.21</v>
      </c>
      <c r="C17" s="2647">
        <v>0.35</v>
      </c>
      <c r="D17" s="2646">
        <v>0.4</v>
      </c>
      <c r="E17" s="2641">
        <v>0.35</v>
      </c>
      <c r="F17" s="2645">
        <v>0.45</v>
      </c>
    </row>
    <row r="18" spans="1:6" x14ac:dyDescent="0.25">
      <c r="A18" s="2644">
        <v>9</v>
      </c>
      <c r="B18" s="2665">
        <v>0.24</v>
      </c>
      <c r="C18" s="2643">
        <v>0.4</v>
      </c>
      <c r="D18" s="2646">
        <v>0.45</v>
      </c>
      <c r="E18" s="2641">
        <v>0.4</v>
      </c>
      <c r="F18" s="2640"/>
    </row>
    <row r="19" spans="1:6" x14ac:dyDescent="0.25">
      <c r="A19" s="2632">
        <v>10</v>
      </c>
      <c r="B19" s="2665">
        <v>0.27</v>
      </c>
      <c r="C19" s="2639">
        <v>0.45</v>
      </c>
      <c r="D19" s="2638"/>
      <c r="E19" s="2637"/>
      <c r="F19" s="2636"/>
    </row>
    <row r="20" spans="1:6" x14ac:dyDescent="0.25">
      <c r="A20" s="2632">
        <v>11</v>
      </c>
      <c r="B20" s="2665">
        <v>0.3</v>
      </c>
      <c r="C20" s="2635"/>
      <c r="D20" s="2634"/>
      <c r="E20" s="2634"/>
      <c r="F20" s="2633"/>
    </row>
    <row r="21" spans="1:6" ht="14.4" thickBot="1" x14ac:dyDescent="0.3">
      <c r="A21" s="2632">
        <v>12</v>
      </c>
      <c r="B21" s="2665">
        <v>0.33</v>
      </c>
      <c r="C21" s="2630"/>
      <c r="D21" s="2629"/>
      <c r="E21" s="2629"/>
      <c r="F21" s="2628"/>
    </row>
    <row r="22" spans="1:6" ht="15" thickTop="1" thickBot="1" x14ac:dyDescent="0.3">
      <c r="A22" s="2627" t="s">
        <v>3233</v>
      </c>
      <c r="B22" s="2626">
        <v>0.36</v>
      </c>
      <c r="C22" s="2625">
        <v>0.5</v>
      </c>
      <c r="D22" s="2624">
        <v>0.5</v>
      </c>
      <c r="E22" s="2624">
        <v>0.45</v>
      </c>
      <c r="F22" s="2623">
        <v>0.5</v>
      </c>
    </row>
    <row r="23" spans="1:6" ht="7.5" customHeight="1" x14ac:dyDescent="0.25">
      <c r="A23" s="2622"/>
      <c r="B23" s="2621"/>
      <c r="C23" s="2621"/>
      <c r="D23" s="2621"/>
      <c r="E23" s="2621"/>
      <c r="F23" s="2621"/>
    </row>
    <row r="24" spans="1:6" ht="31.5" customHeight="1" x14ac:dyDescent="0.25">
      <c r="A24" s="3567" t="s">
        <v>3285</v>
      </c>
      <c r="B24" s="3567"/>
      <c r="C24" s="3567"/>
      <c r="D24" s="3567"/>
      <c r="E24" s="3567"/>
      <c r="F24" s="3567"/>
    </row>
    <row r="25" spans="1:6" ht="31.5" customHeight="1" x14ac:dyDescent="0.25">
      <c r="A25" s="3567" t="s">
        <v>3274</v>
      </c>
      <c r="B25" s="3567"/>
      <c r="C25" s="3567"/>
      <c r="D25" s="3567"/>
      <c r="E25" s="3567"/>
      <c r="F25" s="3567"/>
    </row>
    <row r="27" spans="1:6" ht="14.4" thickBot="1" x14ac:dyDescent="0.3">
      <c r="A27" s="989" t="s">
        <v>3284</v>
      </c>
    </row>
    <row r="28" spans="1:6" x14ac:dyDescent="0.25">
      <c r="A28" s="4034" t="s">
        <v>3283</v>
      </c>
      <c r="B28" s="2664" t="s">
        <v>3282</v>
      </c>
      <c r="C28" s="2663"/>
      <c r="D28" s="2662" t="s">
        <v>3281</v>
      </c>
      <c r="E28" s="2661"/>
      <c r="F28" s="2660"/>
    </row>
    <row r="29" spans="1:6" ht="40.200000000000003" thickBot="1" x14ac:dyDescent="0.3">
      <c r="A29" s="4035"/>
      <c r="B29" s="2659" t="s">
        <v>3280</v>
      </c>
      <c r="C29" s="2658" t="s">
        <v>878</v>
      </c>
      <c r="D29" s="2657" t="s">
        <v>3279</v>
      </c>
      <c r="E29" s="2656" t="s">
        <v>3278</v>
      </c>
      <c r="F29" s="2655" t="s">
        <v>3277</v>
      </c>
    </row>
    <row r="30" spans="1:6" ht="44.25" customHeight="1" thickBot="1" x14ac:dyDescent="0.3">
      <c r="A30" s="2654" t="s">
        <v>3276</v>
      </c>
      <c r="B30" s="2653">
        <v>0</v>
      </c>
      <c r="C30" s="2652">
        <v>0</v>
      </c>
      <c r="D30" s="2651">
        <v>0</v>
      </c>
      <c r="E30" s="2651">
        <v>0</v>
      </c>
      <c r="F30" s="2650"/>
    </row>
    <row r="31" spans="1:6" ht="23.25" customHeight="1" thickTop="1" x14ac:dyDescent="0.25">
      <c r="A31" s="2644">
        <v>1</v>
      </c>
      <c r="B31" s="2649" t="s">
        <v>669</v>
      </c>
      <c r="C31" s="2647">
        <v>0.02</v>
      </c>
      <c r="D31" s="2646">
        <v>0.05</v>
      </c>
      <c r="E31" s="2641">
        <v>0.02</v>
      </c>
      <c r="F31" s="2645">
        <v>0.05</v>
      </c>
    </row>
    <row r="32" spans="1:6" x14ac:dyDescent="0.25">
      <c r="A32" s="2644">
        <v>2</v>
      </c>
      <c r="B32" s="2648">
        <v>0.02</v>
      </c>
      <c r="C32" s="2647">
        <v>0.05</v>
      </c>
      <c r="D32" s="2646">
        <v>0.1</v>
      </c>
      <c r="E32" s="2641">
        <v>0.05</v>
      </c>
      <c r="F32" s="2645">
        <v>0.1</v>
      </c>
    </row>
    <row r="33" spans="1:6" x14ac:dyDescent="0.25">
      <c r="A33" s="2644">
        <v>3</v>
      </c>
      <c r="B33" s="2631">
        <v>0.05</v>
      </c>
      <c r="C33" s="2647">
        <v>0.1</v>
      </c>
      <c r="D33" s="2646">
        <v>0.16</v>
      </c>
      <c r="E33" s="2641">
        <v>0.1</v>
      </c>
      <c r="F33" s="2645">
        <v>0.16</v>
      </c>
    </row>
    <row r="34" spans="1:6" x14ac:dyDescent="0.25">
      <c r="A34" s="2644">
        <v>4</v>
      </c>
      <c r="B34" s="2631">
        <v>0.09</v>
      </c>
      <c r="C34" s="2647">
        <v>0.16</v>
      </c>
      <c r="D34" s="2646">
        <v>0.24</v>
      </c>
      <c r="E34" s="2641">
        <v>0.16</v>
      </c>
      <c r="F34" s="2645">
        <v>0.24</v>
      </c>
    </row>
    <row r="35" spans="1:6" x14ac:dyDescent="0.25">
      <c r="A35" s="2644">
        <v>5</v>
      </c>
      <c r="B35" s="2631">
        <v>0.13</v>
      </c>
      <c r="C35" s="2647">
        <v>0.24</v>
      </c>
      <c r="D35" s="2646">
        <v>0.32</v>
      </c>
      <c r="E35" s="2641">
        <v>0.24</v>
      </c>
      <c r="F35" s="2645">
        <v>0.32</v>
      </c>
    </row>
    <row r="36" spans="1:6" x14ac:dyDescent="0.25">
      <c r="A36" s="2644">
        <v>6</v>
      </c>
      <c r="B36" s="2631">
        <v>0.18</v>
      </c>
      <c r="C36" s="2647">
        <v>0.32</v>
      </c>
      <c r="D36" s="2646">
        <v>0.4</v>
      </c>
      <c r="E36" s="2641">
        <v>0.32</v>
      </c>
      <c r="F36" s="2645">
        <v>0.4</v>
      </c>
    </row>
    <row r="37" spans="1:6" x14ac:dyDescent="0.25">
      <c r="A37" s="2644">
        <v>7</v>
      </c>
      <c r="B37" s="2631">
        <v>0.24</v>
      </c>
      <c r="C37" s="2647">
        <v>0.4</v>
      </c>
      <c r="D37" s="2646">
        <v>0.5</v>
      </c>
      <c r="E37" s="2641">
        <v>0.4</v>
      </c>
      <c r="F37" s="2645">
        <v>0.5</v>
      </c>
    </row>
    <row r="38" spans="1:6" x14ac:dyDescent="0.25">
      <c r="A38" s="2644">
        <v>8</v>
      </c>
      <c r="B38" s="2631">
        <v>0.32</v>
      </c>
      <c r="C38" s="2647">
        <v>0.5</v>
      </c>
      <c r="D38" s="2646">
        <v>0.65</v>
      </c>
      <c r="E38" s="2641">
        <v>0.5</v>
      </c>
      <c r="F38" s="2645">
        <v>0.8</v>
      </c>
    </row>
    <row r="39" spans="1:6" x14ac:dyDescent="0.25">
      <c r="A39" s="2644">
        <v>9</v>
      </c>
      <c r="B39" s="2631">
        <v>0.4</v>
      </c>
      <c r="C39" s="2643">
        <v>0.65</v>
      </c>
      <c r="D39" s="2642">
        <v>0.8</v>
      </c>
      <c r="E39" s="2641">
        <v>0.65</v>
      </c>
      <c r="F39" s="2640"/>
    </row>
    <row r="40" spans="1:6" x14ac:dyDescent="0.25">
      <c r="A40" s="2632">
        <v>10</v>
      </c>
      <c r="B40" s="2631">
        <v>0.5</v>
      </c>
      <c r="C40" s="2639">
        <v>0.8</v>
      </c>
      <c r="D40" s="2638"/>
      <c r="E40" s="2637"/>
      <c r="F40" s="2636"/>
    </row>
    <row r="41" spans="1:6" x14ac:dyDescent="0.25">
      <c r="A41" s="2632">
        <v>11</v>
      </c>
      <c r="B41" s="2631">
        <v>0.65</v>
      </c>
      <c r="C41" s="2635"/>
      <c r="D41" s="2634"/>
      <c r="E41" s="2634"/>
      <c r="F41" s="2633"/>
    </row>
    <row r="42" spans="1:6" ht="14.4" thickBot="1" x14ac:dyDescent="0.3">
      <c r="A42" s="2632">
        <v>12</v>
      </c>
      <c r="B42" s="2631">
        <v>0.8</v>
      </c>
      <c r="C42" s="2630"/>
      <c r="D42" s="2629"/>
      <c r="E42" s="2629"/>
      <c r="F42" s="2628"/>
    </row>
    <row r="43" spans="1:6" ht="15" thickTop="1" thickBot="1" x14ac:dyDescent="0.3">
      <c r="A43" s="2627"/>
      <c r="B43" s="2626">
        <v>1</v>
      </c>
      <c r="C43" s="2625">
        <v>1</v>
      </c>
      <c r="D43" s="2624">
        <v>1</v>
      </c>
      <c r="E43" s="2624">
        <v>0.8</v>
      </c>
      <c r="F43" s="2623">
        <v>1</v>
      </c>
    </row>
    <row r="44" spans="1:6" ht="9" customHeight="1" x14ac:dyDescent="0.25">
      <c r="A44" s="2622"/>
      <c r="B44" s="2621"/>
      <c r="C44" s="2621"/>
      <c r="D44" s="2621"/>
      <c r="E44" s="2621"/>
      <c r="F44" s="2621"/>
    </row>
    <row r="45" spans="1:6" ht="31.5" customHeight="1" x14ac:dyDescent="0.25">
      <c r="A45" s="3567" t="s">
        <v>3275</v>
      </c>
      <c r="B45" s="3567"/>
      <c r="C45" s="3567"/>
      <c r="D45" s="3567"/>
      <c r="E45" s="3567"/>
      <c r="F45" s="3567"/>
    </row>
    <row r="46" spans="1:6" ht="31.5" customHeight="1" x14ac:dyDescent="0.25">
      <c r="A46" s="3567" t="s">
        <v>3274</v>
      </c>
      <c r="B46" s="3567"/>
      <c r="C46" s="3567"/>
      <c r="D46" s="3567"/>
      <c r="E46" s="3567"/>
      <c r="F46" s="3567"/>
    </row>
  </sheetData>
  <sheetProtection algorithmName="SHA-512" hashValue="CxTnVTsBhNBHf3iW3zcSI+rikG0aqIkacyZWhUsbQ2Jec/q1I0mPmylou9R56sAyRXuNAKGpSh/NDuXKgADYrg==" saltValue="mZjbMKu7W0FtoMRa05BwxA==" spinCount="100000" sheet="1" objects="1" scenarios="1"/>
  <mergeCells count="6">
    <mergeCell ref="A7:A8"/>
    <mergeCell ref="A45:F45"/>
    <mergeCell ref="A46:F46"/>
    <mergeCell ref="A24:F24"/>
    <mergeCell ref="A25:F25"/>
    <mergeCell ref="A28:A29"/>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Tabelle3">
    <tabColor theme="0" tint="-4.9989318521683403E-2"/>
  </sheetPr>
  <dimension ref="A1:J53"/>
  <sheetViews>
    <sheetView workbookViewId="0"/>
  </sheetViews>
  <sheetFormatPr defaultColWidth="8" defaultRowHeight="13.8" x14ac:dyDescent="0.25"/>
  <cols>
    <col min="2" max="2" width="15" customWidth="1"/>
    <col min="3" max="4" width="9.796875" customWidth="1"/>
    <col min="5" max="5" width="13.296875" customWidth="1"/>
    <col min="6" max="6" width="7.296875" customWidth="1"/>
    <col min="7" max="7" width="9.69921875" customWidth="1"/>
    <col min="8" max="8" width="13.296875" customWidth="1"/>
    <col min="9" max="9" width="7.296875" customWidth="1"/>
    <col min="10" max="10" width="9.796875" customWidth="1"/>
  </cols>
  <sheetData>
    <row r="1" spans="1:10" x14ac:dyDescent="0.25">
      <c r="A1" s="989" t="s">
        <v>3297</v>
      </c>
    </row>
    <row r="2" spans="1:10" x14ac:dyDescent="0.25">
      <c r="A2" s="989" t="s">
        <v>3296</v>
      </c>
    </row>
    <row r="3" spans="1:10" x14ac:dyDescent="0.25">
      <c r="A3" s="989" t="s">
        <v>3287</v>
      </c>
    </row>
    <row r="4" spans="1:10" x14ac:dyDescent="0.25">
      <c r="A4" s="989"/>
    </row>
    <row r="5" spans="1:10" x14ac:dyDescent="0.25">
      <c r="A5" s="989" t="s">
        <v>3286</v>
      </c>
    </row>
    <row r="6" spans="1:10" ht="8.25" customHeight="1" thickBot="1" x14ac:dyDescent="0.3"/>
    <row r="7" spans="1:10" ht="23.25" customHeight="1" x14ac:dyDescent="0.25">
      <c r="A7" s="4034" t="s">
        <v>3283</v>
      </c>
      <c r="B7" s="2664" t="s">
        <v>3282</v>
      </c>
      <c r="C7" s="4051" t="s">
        <v>3281</v>
      </c>
      <c r="D7" s="4052"/>
      <c r="E7" s="4052"/>
      <c r="F7" s="4052"/>
      <c r="G7" s="4052"/>
      <c r="H7" s="4052"/>
      <c r="I7" s="4052"/>
      <c r="J7" s="4053"/>
    </row>
    <row r="8" spans="1:10" ht="38.25" customHeight="1" x14ac:dyDescent="0.25">
      <c r="A8" s="4035"/>
      <c r="B8" s="4054" t="s">
        <v>3280</v>
      </c>
      <c r="C8" s="4056" t="s">
        <v>3295</v>
      </c>
      <c r="D8" s="4058" t="s">
        <v>3294</v>
      </c>
      <c r="E8" s="4060" t="s">
        <v>3293</v>
      </c>
      <c r="F8" s="4061"/>
      <c r="G8" s="4062"/>
      <c r="H8" s="4043" t="s">
        <v>3292</v>
      </c>
      <c r="I8" s="4044"/>
      <c r="J8" s="4045"/>
    </row>
    <row r="9" spans="1:10" ht="61.5" customHeight="1" thickBot="1" x14ac:dyDescent="0.3">
      <c r="A9" s="4050"/>
      <c r="B9" s="4055"/>
      <c r="C9" s="4057"/>
      <c r="D9" s="4059"/>
      <c r="E9" s="2712" t="s">
        <v>3279</v>
      </c>
      <c r="F9" s="2657" t="s">
        <v>3277</v>
      </c>
      <c r="G9" s="2711" t="s">
        <v>878</v>
      </c>
      <c r="H9" s="2710" t="s">
        <v>3279</v>
      </c>
      <c r="I9" s="2657" t="s">
        <v>3277</v>
      </c>
      <c r="J9" s="2655" t="s">
        <v>878</v>
      </c>
    </row>
    <row r="10" spans="1:10" ht="14.4" thickBot="1" x14ac:dyDescent="0.3">
      <c r="A10" s="2709" t="s">
        <v>3276</v>
      </c>
      <c r="B10" s="2708">
        <v>0.03</v>
      </c>
      <c r="C10" s="2707">
        <v>0.05</v>
      </c>
      <c r="D10" s="2706">
        <v>0.02</v>
      </c>
      <c r="E10" s="4046">
        <v>0.05</v>
      </c>
      <c r="F10" s="4047"/>
      <c r="G10" s="2705">
        <v>0.05</v>
      </c>
      <c r="H10" s="4048">
        <v>0.03</v>
      </c>
      <c r="I10" s="4049"/>
      <c r="J10" s="2704">
        <v>0.03</v>
      </c>
    </row>
    <row r="11" spans="1:10" ht="14.4" thickTop="1" x14ac:dyDescent="0.25">
      <c r="A11" s="2644">
        <v>1</v>
      </c>
      <c r="B11" s="2703" t="s">
        <v>669</v>
      </c>
      <c r="C11" s="2699">
        <v>7.0000000000000007E-2</v>
      </c>
      <c r="D11" s="2698">
        <v>0.05</v>
      </c>
      <c r="E11" s="4038">
        <v>0.08</v>
      </c>
      <c r="F11" s="4037"/>
      <c r="G11" s="2702">
        <v>0.06</v>
      </c>
      <c r="H11" s="4036">
        <v>0.06</v>
      </c>
      <c r="I11" s="4037"/>
      <c r="J11" s="2701">
        <v>0.04</v>
      </c>
    </row>
    <row r="12" spans="1:10" x14ac:dyDescent="0.25">
      <c r="A12" s="2644">
        <v>2</v>
      </c>
      <c r="B12" s="2700">
        <v>0.04</v>
      </c>
      <c r="C12" s="2699">
        <v>0.09</v>
      </c>
      <c r="D12" s="2698">
        <v>0.09</v>
      </c>
      <c r="E12" s="4038">
        <v>0.12</v>
      </c>
      <c r="F12" s="4037"/>
      <c r="G12" s="2696">
        <v>0.08</v>
      </c>
      <c r="H12" s="4036">
        <v>0.1</v>
      </c>
      <c r="I12" s="4037"/>
      <c r="J12" s="2693">
        <v>0.06</v>
      </c>
    </row>
    <row r="13" spans="1:10" x14ac:dyDescent="0.25">
      <c r="A13" s="2644">
        <v>3</v>
      </c>
      <c r="B13" s="2685">
        <v>0.05</v>
      </c>
      <c r="C13" s="2699">
        <v>0.11</v>
      </c>
      <c r="D13" s="2698">
        <v>0.13</v>
      </c>
      <c r="E13" s="4038">
        <v>0.16</v>
      </c>
      <c r="F13" s="4037"/>
      <c r="G13" s="2696">
        <v>0.12</v>
      </c>
      <c r="H13" s="4036">
        <v>0.14000000000000001</v>
      </c>
      <c r="I13" s="4037"/>
      <c r="J13" s="2693">
        <v>0.1</v>
      </c>
    </row>
    <row r="14" spans="1:10" x14ac:dyDescent="0.25">
      <c r="A14" s="2644">
        <v>4</v>
      </c>
      <c r="B14" s="2685">
        <v>0.06</v>
      </c>
      <c r="C14" s="2699">
        <v>0.13</v>
      </c>
      <c r="D14" s="2698">
        <v>0.17</v>
      </c>
      <c r="E14" s="4038">
        <v>0.2</v>
      </c>
      <c r="F14" s="4037"/>
      <c r="G14" s="2696">
        <v>0.16</v>
      </c>
      <c r="H14" s="4036">
        <v>0.18</v>
      </c>
      <c r="I14" s="4037"/>
      <c r="J14" s="2693">
        <v>0.14000000000000001</v>
      </c>
    </row>
    <row r="15" spans="1:10" x14ac:dyDescent="0.25">
      <c r="A15" s="2644">
        <v>5</v>
      </c>
      <c r="B15" s="2685">
        <v>7.0000000000000007E-2</v>
      </c>
      <c r="C15" s="2699">
        <v>0.15</v>
      </c>
      <c r="D15" s="2698">
        <v>0.21</v>
      </c>
      <c r="E15" s="4038">
        <v>0.24</v>
      </c>
      <c r="F15" s="4037"/>
      <c r="G15" s="2696">
        <v>0.2</v>
      </c>
      <c r="H15" s="4036">
        <v>0.22</v>
      </c>
      <c r="I15" s="4037"/>
      <c r="J15" s="2693">
        <v>0.18</v>
      </c>
    </row>
    <row r="16" spans="1:10" x14ac:dyDescent="0.25">
      <c r="A16" s="2644">
        <v>6</v>
      </c>
      <c r="B16" s="2685">
        <v>0.09</v>
      </c>
      <c r="C16" s="2699">
        <v>0.17</v>
      </c>
      <c r="D16" s="2698">
        <v>0.26</v>
      </c>
      <c r="E16" s="4038">
        <v>0.28999999999999998</v>
      </c>
      <c r="F16" s="4037"/>
      <c r="G16" s="2696">
        <v>0.24</v>
      </c>
      <c r="H16" s="4036">
        <v>0.27</v>
      </c>
      <c r="I16" s="4037"/>
      <c r="J16" s="2693">
        <v>0.22</v>
      </c>
    </row>
    <row r="17" spans="1:10" x14ac:dyDescent="0.25">
      <c r="A17" s="2644">
        <v>7</v>
      </c>
      <c r="B17" s="2685">
        <v>0.11</v>
      </c>
      <c r="C17" s="2699">
        <v>0.19</v>
      </c>
      <c r="D17" s="2698">
        <v>0.32</v>
      </c>
      <c r="E17" s="4038">
        <v>0.35</v>
      </c>
      <c r="F17" s="4037"/>
      <c r="G17" s="2696">
        <v>0.28999999999999998</v>
      </c>
      <c r="H17" s="4036">
        <v>0.33</v>
      </c>
      <c r="I17" s="4037"/>
      <c r="J17" s="2693">
        <v>0.27</v>
      </c>
    </row>
    <row r="18" spans="1:10" x14ac:dyDescent="0.25">
      <c r="A18" s="2644">
        <v>8</v>
      </c>
      <c r="B18" s="2685">
        <v>0.13</v>
      </c>
      <c r="C18" s="2699">
        <v>0.22</v>
      </c>
      <c r="D18" s="2698">
        <v>0.39</v>
      </c>
      <c r="E18" s="4038">
        <v>0.42</v>
      </c>
      <c r="F18" s="4037"/>
      <c r="G18" s="2696">
        <v>0.35</v>
      </c>
      <c r="H18" s="4036">
        <v>0.4</v>
      </c>
      <c r="I18" s="4037"/>
      <c r="J18" s="2693">
        <v>0.33</v>
      </c>
    </row>
    <row r="19" spans="1:10" x14ac:dyDescent="0.25">
      <c r="A19" s="2644">
        <v>9</v>
      </c>
      <c r="B19" s="2685">
        <v>0.15</v>
      </c>
      <c r="C19" s="2699">
        <v>0.26</v>
      </c>
      <c r="D19" s="2698">
        <v>0.47</v>
      </c>
      <c r="E19" s="2697">
        <v>0.5</v>
      </c>
      <c r="F19" s="2694" t="s">
        <v>669</v>
      </c>
      <c r="G19" s="2696">
        <v>0.42</v>
      </c>
      <c r="H19" s="2695">
        <v>0.48</v>
      </c>
      <c r="I19" s="2694" t="s">
        <v>669</v>
      </c>
      <c r="J19" s="2693">
        <v>0.4</v>
      </c>
    </row>
    <row r="20" spans="1:10" x14ac:dyDescent="0.25">
      <c r="A20" s="2632">
        <v>10</v>
      </c>
      <c r="B20" s="2685">
        <v>0.17</v>
      </c>
      <c r="C20" s="2683">
        <v>0.3</v>
      </c>
      <c r="D20" s="2724"/>
      <c r="E20" s="2726"/>
      <c r="F20" s="2723"/>
      <c r="G20" s="2725">
        <v>0.5</v>
      </c>
      <c r="H20" s="2724"/>
      <c r="I20" s="2723"/>
      <c r="J20" s="2722">
        <v>0.48</v>
      </c>
    </row>
    <row r="21" spans="1:10" x14ac:dyDescent="0.25">
      <c r="A21" s="2632">
        <v>11</v>
      </c>
      <c r="B21" s="2685">
        <v>0.2</v>
      </c>
      <c r="C21" s="2683">
        <v>0.36</v>
      </c>
      <c r="D21" s="2682"/>
      <c r="E21" s="2681"/>
      <c r="F21" s="2681"/>
      <c r="G21" s="2681"/>
      <c r="H21" s="2681"/>
      <c r="I21" s="2681"/>
      <c r="J21" s="2680"/>
    </row>
    <row r="22" spans="1:10" x14ac:dyDescent="0.25">
      <c r="A22" s="2632">
        <v>12</v>
      </c>
      <c r="B22" s="2685">
        <v>0.24</v>
      </c>
      <c r="C22" s="2683">
        <v>0.42</v>
      </c>
      <c r="D22" s="2682"/>
      <c r="E22" s="2681"/>
      <c r="F22" s="2681"/>
      <c r="G22" s="2681"/>
      <c r="H22" s="2681"/>
      <c r="I22" s="2681"/>
      <c r="J22" s="2680"/>
    </row>
    <row r="23" spans="1:10" x14ac:dyDescent="0.25">
      <c r="A23" s="2632">
        <v>13</v>
      </c>
      <c r="B23" s="2721">
        <v>0.28000000000000003</v>
      </c>
      <c r="C23" s="2683">
        <v>0.48</v>
      </c>
      <c r="D23" s="2682"/>
      <c r="E23" s="2681"/>
      <c r="F23" s="2681"/>
      <c r="G23" s="2681"/>
      <c r="H23" s="2681"/>
      <c r="I23" s="2681"/>
      <c r="J23" s="2680"/>
    </row>
    <row r="24" spans="1:10" x14ac:dyDescent="0.25">
      <c r="A24" s="2632">
        <v>14</v>
      </c>
      <c r="B24" s="2684"/>
      <c r="C24" s="2683">
        <v>0.54</v>
      </c>
      <c r="D24" s="2682"/>
      <c r="E24" s="2681"/>
      <c r="F24" s="2681"/>
      <c r="G24" s="2681"/>
      <c r="H24" s="2681"/>
      <c r="I24" s="2681"/>
      <c r="J24" s="2680"/>
    </row>
    <row r="25" spans="1:10" ht="14.4" thickBot="1" x14ac:dyDescent="0.3">
      <c r="A25" s="2720">
        <v>15</v>
      </c>
      <c r="B25" s="2719"/>
      <c r="C25" s="2718">
        <v>0.6</v>
      </c>
      <c r="D25" s="2682"/>
      <c r="E25" s="2681"/>
      <c r="F25" s="2681"/>
      <c r="G25" s="2681"/>
      <c r="H25" s="2681"/>
      <c r="I25" s="2681"/>
      <c r="J25" s="2680"/>
    </row>
    <row r="26" spans="1:10" ht="15" thickTop="1" thickBot="1" x14ac:dyDescent="0.3">
      <c r="A26" s="2673" t="s">
        <v>3233</v>
      </c>
      <c r="B26" s="2672">
        <v>0.32</v>
      </c>
      <c r="C26" s="2671">
        <v>0.65</v>
      </c>
      <c r="D26" s="2717">
        <v>0.54</v>
      </c>
      <c r="E26" s="2715">
        <v>0.54</v>
      </c>
      <c r="F26" s="2714">
        <v>0.54</v>
      </c>
      <c r="G26" s="2716">
        <v>0.54</v>
      </c>
      <c r="H26" s="2715">
        <v>0.54</v>
      </c>
      <c r="I26" s="2714">
        <v>0.54</v>
      </c>
      <c r="J26" s="2713">
        <v>0.54</v>
      </c>
    </row>
    <row r="27" spans="1:10" ht="35.25" customHeight="1" x14ac:dyDescent="0.25">
      <c r="A27" s="4039" t="s">
        <v>3291</v>
      </c>
      <c r="B27" s="4040"/>
      <c r="C27" s="4040"/>
      <c r="D27" s="4040"/>
      <c r="E27" s="4040"/>
      <c r="F27" s="4040"/>
      <c r="G27" s="4040"/>
      <c r="H27" s="4040"/>
      <c r="I27" s="4040"/>
      <c r="J27" s="4040"/>
    </row>
    <row r="28" spans="1:10" ht="23.25" customHeight="1" x14ac:dyDescent="0.25">
      <c r="A28" s="4039" t="s">
        <v>3290</v>
      </c>
      <c r="B28" s="4040"/>
      <c r="C28" s="4040"/>
      <c r="D28" s="4040"/>
      <c r="E28" s="4040"/>
      <c r="F28" s="4040"/>
      <c r="G28" s="4040"/>
      <c r="H28" s="4040"/>
      <c r="I28" s="4040"/>
      <c r="J28" s="4040"/>
    </row>
    <row r="30" spans="1:10" ht="14.4" thickBot="1" x14ac:dyDescent="0.3">
      <c r="A30" s="989" t="s">
        <v>3284</v>
      </c>
    </row>
    <row r="31" spans="1:10" x14ac:dyDescent="0.25">
      <c r="A31" s="4034" t="s">
        <v>3283</v>
      </c>
      <c r="B31" s="2664" t="s">
        <v>3282</v>
      </c>
      <c r="C31" s="4051" t="s">
        <v>3281</v>
      </c>
      <c r="D31" s="4052"/>
      <c r="E31" s="4052"/>
      <c r="F31" s="4052"/>
      <c r="G31" s="4052"/>
      <c r="H31" s="4052"/>
      <c r="I31" s="4052"/>
      <c r="J31" s="4053"/>
    </row>
    <row r="32" spans="1:10" x14ac:dyDescent="0.25">
      <c r="A32" s="4035"/>
      <c r="B32" s="4054" t="s">
        <v>3280</v>
      </c>
      <c r="C32" s="4056" t="s">
        <v>3295</v>
      </c>
      <c r="D32" s="4058" t="s">
        <v>3294</v>
      </c>
      <c r="E32" s="4060" t="s">
        <v>3293</v>
      </c>
      <c r="F32" s="4061"/>
      <c r="G32" s="4062"/>
      <c r="H32" s="4043" t="s">
        <v>3292</v>
      </c>
      <c r="I32" s="4044"/>
      <c r="J32" s="4045"/>
    </row>
    <row r="33" spans="1:10" ht="40.200000000000003" thickBot="1" x14ac:dyDescent="0.3">
      <c r="A33" s="4050"/>
      <c r="B33" s="4055"/>
      <c r="C33" s="4057"/>
      <c r="D33" s="4059"/>
      <c r="E33" s="2712" t="s">
        <v>3279</v>
      </c>
      <c r="F33" s="2657" t="s">
        <v>3277</v>
      </c>
      <c r="G33" s="2711" t="s">
        <v>878</v>
      </c>
      <c r="H33" s="2710" t="s">
        <v>3279</v>
      </c>
      <c r="I33" s="2657" t="s">
        <v>3277</v>
      </c>
      <c r="J33" s="2655" t="s">
        <v>878</v>
      </c>
    </row>
    <row r="34" spans="1:10" ht="14.4" thickBot="1" x14ac:dyDescent="0.3">
      <c r="A34" s="2709" t="s">
        <v>3276</v>
      </c>
      <c r="B34" s="2708">
        <v>0.03</v>
      </c>
      <c r="C34" s="2707">
        <v>0.05</v>
      </c>
      <c r="D34" s="2706">
        <v>0.02</v>
      </c>
      <c r="E34" s="4046">
        <v>0.05</v>
      </c>
      <c r="F34" s="4047"/>
      <c r="G34" s="2705">
        <v>0.05</v>
      </c>
      <c r="H34" s="4048">
        <v>0.03</v>
      </c>
      <c r="I34" s="4049"/>
      <c r="J34" s="2704">
        <v>0.03</v>
      </c>
    </row>
    <row r="35" spans="1:10" ht="14.4" thickTop="1" x14ac:dyDescent="0.25">
      <c r="A35" s="2644">
        <v>1</v>
      </c>
      <c r="B35" s="2703" t="s">
        <v>669</v>
      </c>
      <c r="C35" s="2699">
        <v>7.0000000000000007E-2</v>
      </c>
      <c r="D35" s="2698">
        <v>0.05</v>
      </c>
      <c r="E35" s="4038">
        <v>0.08</v>
      </c>
      <c r="F35" s="4037"/>
      <c r="G35" s="2702">
        <v>0.06</v>
      </c>
      <c r="H35" s="4036">
        <v>0.06</v>
      </c>
      <c r="I35" s="4037"/>
      <c r="J35" s="2701">
        <v>0.04</v>
      </c>
    </row>
    <row r="36" spans="1:10" x14ac:dyDescent="0.25">
      <c r="A36" s="2644">
        <v>2</v>
      </c>
      <c r="B36" s="2700">
        <v>0.04</v>
      </c>
      <c r="C36" s="2699">
        <v>0.09</v>
      </c>
      <c r="D36" s="2698">
        <v>0.09</v>
      </c>
      <c r="E36" s="4038">
        <v>0.12</v>
      </c>
      <c r="F36" s="4037"/>
      <c r="G36" s="2696">
        <v>0.08</v>
      </c>
      <c r="H36" s="4036">
        <v>0.1</v>
      </c>
      <c r="I36" s="4037"/>
      <c r="J36" s="2693">
        <v>0.06</v>
      </c>
    </row>
    <row r="37" spans="1:10" x14ac:dyDescent="0.25">
      <c r="A37" s="2644">
        <v>3</v>
      </c>
      <c r="B37" s="2685">
        <v>0.05</v>
      </c>
      <c r="C37" s="2699">
        <v>0.11</v>
      </c>
      <c r="D37" s="2698">
        <v>0.13</v>
      </c>
      <c r="E37" s="4038">
        <v>0.17</v>
      </c>
      <c r="F37" s="4037"/>
      <c r="G37" s="2696">
        <v>0.12</v>
      </c>
      <c r="H37" s="4036">
        <v>0.15</v>
      </c>
      <c r="I37" s="4037"/>
      <c r="J37" s="2693">
        <v>0.1</v>
      </c>
    </row>
    <row r="38" spans="1:10" x14ac:dyDescent="0.25">
      <c r="A38" s="2644">
        <v>4</v>
      </c>
      <c r="B38" s="2685">
        <v>0.06</v>
      </c>
      <c r="C38" s="2699">
        <v>0.13</v>
      </c>
      <c r="D38" s="2698">
        <v>0.18</v>
      </c>
      <c r="E38" s="4038">
        <v>0.22</v>
      </c>
      <c r="F38" s="4037"/>
      <c r="G38" s="2696">
        <v>0.17</v>
      </c>
      <c r="H38" s="4036">
        <v>0.2</v>
      </c>
      <c r="I38" s="4037"/>
      <c r="J38" s="2693">
        <v>0.15</v>
      </c>
    </row>
    <row r="39" spans="1:10" x14ac:dyDescent="0.25">
      <c r="A39" s="2644">
        <v>5</v>
      </c>
      <c r="B39" s="2685">
        <v>0.08</v>
      </c>
      <c r="C39" s="2699">
        <v>0.16</v>
      </c>
      <c r="D39" s="2698">
        <v>0.22</v>
      </c>
      <c r="E39" s="4038">
        <v>0.28000000000000003</v>
      </c>
      <c r="F39" s="4037"/>
      <c r="G39" s="2696">
        <v>0.22</v>
      </c>
      <c r="H39" s="4036">
        <v>0.25</v>
      </c>
      <c r="I39" s="4037"/>
      <c r="J39" s="2693">
        <v>0.2</v>
      </c>
    </row>
    <row r="40" spans="1:10" x14ac:dyDescent="0.25">
      <c r="A40" s="2644">
        <v>6</v>
      </c>
      <c r="B40" s="2685">
        <v>0.11</v>
      </c>
      <c r="C40" s="2699">
        <v>0.19</v>
      </c>
      <c r="D40" s="2698">
        <v>0.28000000000000003</v>
      </c>
      <c r="E40" s="4038">
        <v>0.34</v>
      </c>
      <c r="F40" s="4037"/>
      <c r="G40" s="2696">
        <v>0.28000000000000003</v>
      </c>
      <c r="H40" s="4036">
        <v>0.32</v>
      </c>
      <c r="I40" s="4037"/>
      <c r="J40" s="2693">
        <v>0.25</v>
      </c>
    </row>
    <row r="41" spans="1:10" x14ac:dyDescent="0.25">
      <c r="A41" s="2644">
        <v>7</v>
      </c>
      <c r="B41" s="2685">
        <v>0.15</v>
      </c>
      <c r="C41" s="2699">
        <v>0.21</v>
      </c>
      <c r="D41" s="2698">
        <v>0.34</v>
      </c>
      <c r="E41" s="4038">
        <v>0.4</v>
      </c>
      <c r="F41" s="4037"/>
      <c r="G41" s="2696">
        <v>0.34</v>
      </c>
      <c r="H41" s="4036">
        <v>0.36</v>
      </c>
      <c r="I41" s="4037"/>
      <c r="J41" s="2693">
        <v>0.32</v>
      </c>
    </row>
    <row r="42" spans="1:10" x14ac:dyDescent="0.25">
      <c r="A42" s="2644">
        <v>8</v>
      </c>
      <c r="B42" s="2685">
        <v>0.2</v>
      </c>
      <c r="C42" s="2699">
        <v>0.25</v>
      </c>
      <c r="D42" s="2698">
        <v>0.4</v>
      </c>
      <c r="E42" s="4038">
        <v>0.5</v>
      </c>
      <c r="F42" s="4037"/>
      <c r="G42" s="2696">
        <v>0.4</v>
      </c>
      <c r="H42" s="4036">
        <v>0.46</v>
      </c>
      <c r="I42" s="4037"/>
      <c r="J42" s="2693">
        <v>0.36</v>
      </c>
    </row>
    <row r="43" spans="1:10" x14ac:dyDescent="0.25">
      <c r="A43" s="2644">
        <v>9</v>
      </c>
      <c r="B43" s="2685">
        <v>0.26</v>
      </c>
      <c r="C43" s="2699">
        <v>0.3</v>
      </c>
      <c r="D43" s="2698">
        <v>0.5</v>
      </c>
      <c r="E43" s="2697">
        <v>0.65</v>
      </c>
      <c r="F43" s="2694" t="s">
        <v>669</v>
      </c>
      <c r="G43" s="2696">
        <v>0.5</v>
      </c>
      <c r="H43" s="2695">
        <v>0.6</v>
      </c>
      <c r="I43" s="2694" t="s">
        <v>669</v>
      </c>
      <c r="J43" s="2693">
        <v>0.46</v>
      </c>
    </row>
    <row r="44" spans="1:10" x14ac:dyDescent="0.25">
      <c r="A44" s="2632">
        <v>10</v>
      </c>
      <c r="B44" s="2685">
        <v>0.33</v>
      </c>
      <c r="C44" s="2683">
        <v>0.35</v>
      </c>
      <c r="D44" s="2690"/>
      <c r="E44" s="2692"/>
      <c r="F44" s="2689"/>
      <c r="G44" s="2691">
        <v>0.65</v>
      </c>
      <c r="H44" s="2690"/>
      <c r="I44" s="2689"/>
      <c r="J44" s="2688">
        <v>0.6</v>
      </c>
    </row>
    <row r="45" spans="1:10" x14ac:dyDescent="0.25">
      <c r="A45" s="2632">
        <v>11</v>
      </c>
      <c r="B45" s="2685">
        <v>0.45</v>
      </c>
      <c r="C45" s="2683">
        <v>0.4</v>
      </c>
      <c r="D45" s="2682"/>
      <c r="E45" s="2681"/>
      <c r="F45" s="2681"/>
      <c r="G45" s="2687"/>
      <c r="H45" s="2681"/>
      <c r="I45" s="2681"/>
      <c r="J45" s="2686"/>
    </row>
    <row r="46" spans="1:10" x14ac:dyDescent="0.25">
      <c r="A46" s="2632">
        <v>12</v>
      </c>
      <c r="B46" s="2685">
        <v>0.6</v>
      </c>
      <c r="C46" s="2683">
        <v>0.45</v>
      </c>
      <c r="D46" s="2682"/>
      <c r="E46" s="2681"/>
      <c r="F46" s="2681"/>
      <c r="G46" s="2681"/>
      <c r="H46" s="2681"/>
      <c r="I46" s="2681"/>
      <c r="J46" s="2680"/>
    </row>
    <row r="47" spans="1:10" x14ac:dyDescent="0.25">
      <c r="A47" s="2632">
        <v>13</v>
      </c>
      <c r="B47" s="2684"/>
      <c r="C47" s="2683">
        <v>0.5</v>
      </c>
      <c r="D47" s="2682"/>
      <c r="E47" s="2681"/>
      <c r="F47" s="2681"/>
      <c r="G47" s="2681"/>
      <c r="H47" s="2681"/>
      <c r="I47" s="2681"/>
      <c r="J47" s="2680"/>
    </row>
    <row r="48" spans="1:10" x14ac:dyDescent="0.25">
      <c r="A48" s="2632">
        <v>14</v>
      </c>
      <c r="B48" s="2684"/>
      <c r="C48" s="2683">
        <v>0.65</v>
      </c>
      <c r="D48" s="2682"/>
      <c r="E48" s="2681"/>
      <c r="F48" s="2681"/>
      <c r="G48" s="2681"/>
      <c r="H48" s="2681"/>
      <c r="I48" s="2681"/>
      <c r="J48" s="2680"/>
    </row>
    <row r="49" spans="1:10" ht="14.4" thickBot="1" x14ac:dyDescent="0.3">
      <c r="A49" s="2679">
        <v>15</v>
      </c>
      <c r="B49" s="2678"/>
      <c r="C49" s="2677">
        <v>0.8</v>
      </c>
      <c r="D49" s="2676"/>
      <c r="E49" s="2675"/>
      <c r="F49" s="2675"/>
      <c r="G49" s="2675"/>
      <c r="H49" s="2675"/>
      <c r="I49" s="2675"/>
      <c r="J49" s="2674"/>
    </row>
    <row r="50" spans="1:10" ht="15" thickTop="1" thickBot="1" x14ac:dyDescent="0.3">
      <c r="A50" s="2673" t="s">
        <v>3233</v>
      </c>
      <c r="B50" s="2672">
        <v>0.75</v>
      </c>
      <c r="C50" s="2671">
        <v>1</v>
      </c>
      <c r="D50" s="2670">
        <v>0.65</v>
      </c>
      <c r="E50" s="4041">
        <v>0.8</v>
      </c>
      <c r="F50" s="4042"/>
      <c r="G50" s="2669">
        <v>0.8</v>
      </c>
      <c r="H50" s="4041">
        <v>0.75</v>
      </c>
      <c r="I50" s="4042"/>
      <c r="J50" s="2668">
        <v>0.75</v>
      </c>
    </row>
    <row r="51" spans="1:10" ht="35.25" customHeight="1" x14ac:dyDescent="0.25">
      <c r="A51" s="4039" t="s">
        <v>3291</v>
      </c>
      <c r="B51" s="4040"/>
      <c r="C51" s="4040"/>
      <c r="D51" s="4040"/>
      <c r="E51" s="4040"/>
      <c r="F51" s="4040"/>
      <c r="G51" s="4040"/>
      <c r="H51" s="4040"/>
      <c r="I51" s="4040"/>
      <c r="J51" s="4040"/>
    </row>
    <row r="52" spans="1:10" ht="23.25" customHeight="1" x14ac:dyDescent="0.25">
      <c r="A52" s="4039" t="s">
        <v>3290</v>
      </c>
      <c r="B52" s="4040"/>
      <c r="C52" s="4040"/>
      <c r="D52" s="4040"/>
      <c r="E52" s="4040"/>
      <c r="F52" s="4040"/>
      <c r="G52" s="4040"/>
      <c r="H52" s="4040"/>
      <c r="I52" s="4040"/>
      <c r="J52" s="4040"/>
    </row>
    <row r="53" spans="1:10" ht="33" customHeight="1" x14ac:dyDescent="0.25">
      <c r="A53" s="4039" t="s">
        <v>3289</v>
      </c>
      <c r="B53" s="4040"/>
      <c r="C53" s="4040"/>
      <c r="D53" s="4040"/>
      <c r="E53" s="4040"/>
      <c r="F53" s="4040"/>
      <c r="G53" s="4040"/>
      <c r="H53" s="4040"/>
      <c r="I53" s="4040"/>
      <c r="J53" s="4040"/>
    </row>
  </sheetData>
  <sheetProtection algorithmName="SHA-512" hashValue="3PyPR45crDq6HNbcat77cQ6HQ+09ukMno9eh4PNwYAUHC/89TplwNfgr/UJ4RR0Y7GDLpy3+dY1kopom/90+Rg==" saltValue="IgvZVBjk6TWgPELd+RRCKQ==" spinCount="100000" sheet="1" objects="1" scenarios="1"/>
  <mergeCells count="57">
    <mergeCell ref="A7:A9"/>
    <mergeCell ref="C7:J7"/>
    <mergeCell ref="B8:B9"/>
    <mergeCell ref="C8:C9"/>
    <mergeCell ref="D8:D9"/>
    <mergeCell ref="E8:G8"/>
    <mergeCell ref="H8:J8"/>
    <mergeCell ref="E10:F10"/>
    <mergeCell ref="H10:I10"/>
    <mergeCell ref="E11:F11"/>
    <mergeCell ref="H11:I11"/>
    <mergeCell ref="E16:F16"/>
    <mergeCell ref="H16:I16"/>
    <mergeCell ref="E13:F13"/>
    <mergeCell ref="H13:I13"/>
    <mergeCell ref="E14:F14"/>
    <mergeCell ref="H14:I14"/>
    <mergeCell ref="E12:F12"/>
    <mergeCell ref="H12:I12"/>
    <mergeCell ref="E17:F17"/>
    <mergeCell ref="H17:I17"/>
    <mergeCell ref="E15:F15"/>
    <mergeCell ref="H15:I15"/>
    <mergeCell ref="A31:A33"/>
    <mergeCell ref="C31:J31"/>
    <mergeCell ref="B32:B33"/>
    <mergeCell ref="C32:C33"/>
    <mergeCell ref="D32:D33"/>
    <mergeCell ref="E32:G32"/>
    <mergeCell ref="E35:F35"/>
    <mergeCell ref="H35:I35"/>
    <mergeCell ref="E36:F36"/>
    <mergeCell ref="H36:I36"/>
    <mergeCell ref="E18:F18"/>
    <mergeCell ref="H18:I18"/>
    <mergeCell ref="A52:J52"/>
    <mergeCell ref="A53:J53"/>
    <mergeCell ref="A51:J51"/>
    <mergeCell ref="A27:J27"/>
    <mergeCell ref="A28:J28"/>
    <mergeCell ref="E50:F50"/>
    <mergeCell ref="H50:I50"/>
    <mergeCell ref="E40:F40"/>
    <mergeCell ref="H40:I40"/>
    <mergeCell ref="E41:F41"/>
    <mergeCell ref="H38:I38"/>
    <mergeCell ref="E39:F39"/>
    <mergeCell ref="H39:I39"/>
    <mergeCell ref="H32:J32"/>
    <mergeCell ref="E34:F34"/>
    <mergeCell ref="H34:I34"/>
    <mergeCell ref="H41:I41"/>
    <mergeCell ref="E42:F42"/>
    <mergeCell ref="H42:I42"/>
    <mergeCell ref="E37:F37"/>
    <mergeCell ref="H37:I37"/>
    <mergeCell ref="E38:F38"/>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Tabelle4"/>
  <dimension ref="A1:J41"/>
  <sheetViews>
    <sheetView zoomScale="90" zoomScaleNormal="90" workbookViewId="0">
      <selection activeCell="U41" sqref="U41"/>
    </sheetView>
  </sheetViews>
  <sheetFormatPr defaultColWidth="8" defaultRowHeight="13.8" x14ac:dyDescent="0.25"/>
  <cols>
    <col min="2" max="2" width="15" customWidth="1"/>
    <col min="3" max="4" width="9.796875" customWidth="1"/>
    <col min="5" max="5" width="13.296875" customWidth="1"/>
    <col min="6" max="6" width="7.296875" customWidth="1"/>
    <col min="7" max="7" width="9.69921875" customWidth="1"/>
    <col min="8" max="8" width="13.296875" customWidth="1"/>
    <col min="9" max="9" width="7.296875" customWidth="1"/>
    <col min="10" max="10" width="9.796875" customWidth="1"/>
  </cols>
  <sheetData>
    <row r="1" spans="1:10" x14ac:dyDescent="0.25">
      <c r="A1" s="989" t="s">
        <v>3299</v>
      </c>
    </row>
    <row r="2" spans="1:10" x14ac:dyDescent="0.25">
      <c r="A2" s="989" t="s">
        <v>3296</v>
      </c>
    </row>
    <row r="3" spans="1:10" x14ac:dyDescent="0.25">
      <c r="A3" s="989" t="s">
        <v>3298</v>
      </c>
    </row>
    <row r="4" spans="1:10" ht="8.25" customHeight="1" thickBot="1" x14ac:dyDescent="0.3"/>
    <row r="5" spans="1:10" ht="23.25" customHeight="1" x14ac:dyDescent="0.25">
      <c r="A5" s="4034" t="s">
        <v>3283</v>
      </c>
      <c r="B5" s="2664" t="s">
        <v>3282</v>
      </c>
      <c r="C5" s="4051" t="s">
        <v>3281</v>
      </c>
      <c r="D5" s="4052"/>
      <c r="E5" s="4052"/>
      <c r="F5" s="4052"/>
      <c r="G5" s="4052"/>
      <c r="H5" s="4052"/>
      <c r="I5" s="4052"/>
      <c r="J5" s="4053"/>
    </row>
    <row r="6" spans="1:10" ht="38.25" customHeight="1" x14ac:dyDescent="0.25">
      <c r="A6" s="4035"/>
      <c r="B6" s="4054" t="s">
        <v>3280</v>
      </c>
      <c r="C6" s="4056" t="s">
        <v>3295</v>
      </c>
      <c r="D6" s="4058" t="s">
        <v>3294</v>
      </c>
      <c r="E6" s="4060" t="s">
        <v>3293</v>
      </c>
      <c r="F6" s="4061"/>
      <c r="G6" s="4062"/>
      <c r="H6" s="4043" t="s">
        <v>3292</v>
      </c>
      <c r="I6" s="4044"/>
      <c r="J6" s="4045"/>
    </row>
    <row r="7" spans="1:10" ht="61.5" customHeight="1" thickBot="1" x14ac:dyDescent="0.3">
      <c r="A7" s="4050"/>
      <c r="B7" s="4055"/>
      <c r="C7" s="4057"/>
      <c r="D7" s="4059"/>
      <c r="E7" s="2712" t="s">
        <v>3279</v>
      </c>
      <c r="F7" s="2657" t="s">
        <v>3277</v>
      </c>
      <c r="G7" s="2711" t="s">
        <v>878</v>
      </c>
      <c r="H7" s="2710" t="s">
        <v>3279</v>
      </c>
      <c r="I7" s="2657" t="s">
        <v>3277</v>
      </c>
      <c r="J7" s="2655" t="s">
        <v>878</v>
      </c>
    </row>
    <row r="8" spans="1:10" ht="14.4" thickBot="1" x14ac:dyDescent="0.3">
      <c r="A8" s="2709" t="s">
        <v>3276</v>
      </c>
      <c r="B8" s="2708">
        <v>0.03</v>
      </c>
      <c r="C8" s="2707">
        <v>0.05</v>
      </c>
      <c r="D8" s="2706">
        <v>0.02</v>
      </c>
      <c r="E8" s="4046">
        <v>0.05</v>
      </c>
      <c r="F8" s="4047"/>
      <c r="G8" s="2705">
        <v>0.05</v>
      </c>
      <c r="H8" s="4048">
        <v>0.03</v>
      </c>
      <c r="I8" s="4049"/>
      <c r="J8" s="2704">
        <v>0.03</v>
      </c>
    </row>
    <row r="9" spans="1:10" ht="14.4" thickTop="1" x14ac:dyDescent="0.25">
      <c r="A9" s="2741">
        <v>1</v>
      </c>
      <c r="B9" s="2738" t="s">
        <v>669</v>
      </c>
      <c r="C9" s="2740">
        <v>0.06</v>
      </c>
      <c r="D9" s="2739">
        <v>0.03</v>
      </c>
      <c r="E9" s="4065">
        <v>0.06</v>
      </c>
      <c r="F9" s="4064"/>
      <c r="G9" s="2738" t="s">
        <v>669</v>
      </c>
      <c r="H9" s="4063">
        <v>0.04</v>
      </c>
      <c r="I9" s="4064"/>
      <c r="J9" s="2737" t="s">
        <v>669</v>
      </c>
    </row>
    <row r="10" spans="1:10" x14ac:dyDescent="0.25">
      <c r="A10" s="2644">
        <v>2</v>
      </c>
      <c r="B10" s="2703" t="s">
        <v>669</v>
      </c>
      <c r="C10" s="2699">
        <v>7.0000000000000007E-2</v>
      </c>
      <c r="D10" s="2698">
        <v>0.05</v>
      </c>
      <c r="E10" s="4038">
        <v>0.08</v>
      </c>
      <c r="F10" s="4037"/>
      <c r="G10" s="2703" t="s">
        <v>669</v>
      </c>
      <c r="H10" s="4036">
        <v>0.06</v>
      </c>
      <c r="I10" s="4037"/>
      <c r="J10" s="2736" t="s">
        <v>669</v>
      </c>
    </row>
    <row r="11" spans="1:10" x14ac:dyDescent="0.25">
      <c r="A11" s="2644">
        <v>3</v>
      </c>
      <c r="B11" s="2703" t="s">
        <v>669</v>
      </c>
      <c r="C11" s="2699">
        <v>0.08</v>
      </c>
      <c r="D11" s="2698">
        <v>7.0000000000000007E-2</v>
      </c>
      <c r="E11" s="4038">
        <v>0.1</v>
      </c>
      <c r="F11" s="4037"/>
      <c r="G11" s="2696">
        <v>0.06</v>
      </c>
      <c r="H11" s="4036">
        <v>0.08</v>
      </c>
      <c r="I11" s="4037"/>
      <c r="J11" s="2693">
        <v>0.04</v>
      </c>
    </row>
    <row r="12" spans="1:10" x14ac:dyDescent="0.25">
      <c r="A12" s="2644">
        <v>4</v>
      </c>
      <c r="B12" s="2700">
        <v>0.04</v>
      </c>
      <c r="C12" s="2699">
        <v>0.09</v>
      </c>
      <c r="D12" s="2698">
        <v>0.09</v>
      </c>
      <c r="E12" s="4038">
        <v>0.12</v>
      </c>
      <c r="F12" s="4037"/>
      <c r="G12" s="2696">
        <v>0.08</v>
      </c>
      <c r="H12" s="4036">
        <v>0.1</v>
      </c>
      <c r="I12" s="4037"/>
      <c r="J12" s="2693">
        <v>0.06</v>
      </c>
    </row>
    <row r="13" spans="1:10" x14ac:dyDescent="0.25">
      <c r="A13" s="2644">
        <v>5</v>
      </c>
      <c r="B13" s="2735" t="s">
        <v>669</v>
      </c>
      <c r="C13" s="2699">
        <v>0.1</v>
      </c>
      <c r="D13" s="2698">
        <v>0.11</v>
      </c>
      <c r="E13" s="4038">
        <v>0.14000000000000001</v>
      </c>
      <c r="F13" s="4037"/>
      <c r="G13" s="2696">
        <v>0.1</v>
      </c>
      <c r="H13" s="4036">
        <v>0.12</v>
      </c>
      <c r="I13" s="4037"/>
      <c r="J13" s="2693">
        <v>0.08</v>
      </c>
    </row>
    <row r="14" spans="1:10" x14ac:dyDescent="0.25">
      <c r="A14" s="2644">
        <v>6</v>
      </c>
      <c r="B14" s="2685">
        <v>0.05</v>
      </c>
      <c r="C14" s="2699">
        <v>0.11</v>
      </c>
      <c r="D14" s="2698">
        <v>0.13</v>
      </c>
      <c r="E14" s="4038">
        <v>0.16</v>
      </c>
      <c r="F14" s="4037"/>
      <c r="G14" s="2696">
        <v>0.12</v>
      </c>
      <c r="H14" s="4036">
        <v>0.14000000000000001</v>
      </c>
      <c r="I14" s="4037"/>
      <c r="J14" s="2693">
        <v>0.1</v>
      </c>
    </row>
    <row r="15" spans="1:10" x14ac:dyDescent="0.25">
      <c r="A15" s="2644">
        <v>7</v>
      </c>
      <c r="B15" s="2735" t="s">
        <v>669</v>
      </c>
      <c r="C15" s="2699">
        <v>0.12</v>
      </c>
      <c r="D15" s="2698">
        <v>0.15</v>
      </c>
      <c r="E15" s="4038">
        <v>0.18</v>
      </c>
      <c r="F15" s="4037"/>
      <c r="G15" s="2696">
        <v>0.14000000000000001</v>
      </c>
      <c r="H15" s="4036">
        <v>0.16</v>
      </c>
      <c r="I15" s="4037"/>
      <c r="J15" s="2693">
        <v>0.12</v>
      </c>
    </row>
    <row r="16" spans="1:10" x14ac:dyDescent="0.25">
      <c r="A16" s="2644">
        <v>8</v>
      </c>
      <c r="B16" s="2685">
        <v>0.06</v>
      </c>
      <c r="C16" s="2699">
        <v>0.13</v>
      </c>
      <c r="D16" s="2698">
        <v>0.17</v>
      </c>
      <c r="E16" s="4038">
        <v>0.2</v>
      </c>
      <c r="F16" s="4037"/>
      <c r="G16" s="2696">
        <v>0.16</v>
      </c>
      <c r="H16" s="4036">
        <v>0.18</v>
      </c>
      <c r="I16" s="4037"/>
      <c r="J16" s="2693">
        <v>0.14000000000000001</v>
      </c>
    </row>
    <row r="17" spans="1:10" x14ac:dyDescent="0.25">
      <c r="A17" s="2644">
        <v>9</v>
      </c>
      <c r="B17" s="2735" t="s">
        <v>669</v>
      </c>
      <c r="C17" s="2699">
        <v>0.14000000000000001</v>
      </c>
      <c r="D17" s="2698">
        <v>0.19</v>
      </c>
      <c r="E17" s="4038">
        <v>0.22</v>
      </c>
      <c r="F17" s="4037"/>
      <c r="G17" s="2696">
        <v>0.18</v>
      </c>
      <c r="H17" s="4036">
        <v>0.2</v>
      </c>
      <c r="I17" s="4037"/>
      <c r="J17" s="2693">
        <v>0.16</v>
      </c>
    </row>
    <row r="18" spans="1:10" x14ac:dyDescent="0.25">
      <c r="A18" s="2644">
        <v>10</v>
      </c>
      <c r="B18" s="2685">
        <v>7.0000000000000007E-2</v>
      </c>
      <c r="C18" s="2699">
        <v>0.15</v>
      </c>
      <c r="D18" s="2698">
        <v>0.21</v>
      </c>
      <c r="E18" s="4038">
        <v>0.24</v>
      </c>
      <c r="F18" s="4037"/>
      <c r="G18" s="2696">
        <v>0.2</v>
      </c>
      <c r="H18" s="4036">
        <v>0.22</v>
      </c>
      <c r="I18" s="4037"/>
      <c r="J18" s="2693">
        <v>0.18</v>
      </c>
    </row>
    <row r="19" spans="1:10" x14ac:dyDescent="0.25">
      <c r="A19" s="2644">
        <v>11</v>
      </c>
      <c r="B19" s="2685">
        <v>0.08</v>
      </c>
      <c r="C19" s="2699">
        <v>0.16</v>
      </c>
      <c r="D19" s="2698">
        <v>0.23</v>
      </c>
      <c r="E19" s="4038">
        <v>0.26</v>
      </c>
      <c r="F19" s="4037"/>
      <c r="G19" s="2696">
        <v>0.22</v>
      </c>
      <c r="H19" s="4036">
        <v>0.24</v>
      </c>
      <c r="I19" s="4037"/>
      <c r="J19" s="2693">
        <v>0.2</v>
      </c>
    </row>
    <row r="20" spans="1:10" x14ac:dyDescent="0.25">
      <c r="A20" s="2644">
        <v>12</v>
      </c>
      <c r="B20" s="2685">
        <v>0.09</v>
      </c>
      <c r="C20" s="2699">
        <v>0.17</v>
      </c>
      <c r="D20" s="2698">
        <v>0.26</v>
      </c>
      <c r="E20" s="4038">
        <v>0.28999999999999998</v>
      </c>
      <c r="F20" s="4037"/>
      <c r="G20" s="2696">
        <v>0.24</v>
      </c>
      <c r="H20" s="4036">
        <v>0.27</v>
      </c>
      <c r="I20" s="4037"/>
      <c r="J20" s="2693">
        <v>0.22</v>
      </c>
    </row>
    <row r="21" spans="1:10" x14ac:dyDescent="0.25">
      <c r="A21" s="2644">
        <v>13</v>
      </c>
      <c r="B21" s="2685">
        <v>0.1</v>
      </c>
      <c r="C21" s="2699">
        <v>0.18</v>
      </c>
      <c r="D21" s="2698">
        <v>0.28999999999999998</v>
      </c>
      <c r="E21" s="4038">
        <v>0.32</v>
      </c>
      <c r="F21" s="4037"/>
      <c r="G21" s="2696">
        <v>0.26</v>
      </c>
      <c r="H21" s="4036">
        <v>0.3</v>
      </c>
      <c r="I21" s="4037"/>
      <c r="J21" s="2693">
        <v>0.24</v>
      </c>
    </row>
    <row r="22" spans="1:10" x14ac:dyDescent="0.25">
      <c r="A22" s="2644">
        <v>14</v>
      </c>
      <c r="B22" s="2685">
        <v>0.11</v>
      </c>
      <c r="C22" s="2699">
        <v>0.19</v>
      </c>
      <c r="D22" s="2698">
        <v>0.32</v>
      </c>
      <c r="E22" s="4038">
        <v>0.35</v>
      </c>
      <c r="F22" s="4037"/>
      <c r="G22" s="2696">
        <v>0.28999999999999998</v>
      </c>
      <c r="H22" s="4036">
        <v>0.33</v>
      </c>
      <c r="I22" s="4037"/>
      <c r="J22" s="2693">
        <v>0.27</v>
      </c>
    </row>
    <row r="23" spans="1:10" x14ac:dyDescent="0.25">
      <c r="A23" s="2644">
        <v>15</v>
      </c>
      <c r="B23" s="2685">
        <v>0.12</v>
      </c>
      <c r="C23" s="2699">
        <v>0.2</v>
      </c>
      <c r="D23" s="2698">
        <v>0.35</v>
      </c>
      <c r="E23" s="4038">
        <v>0.38</v>
      </c>
      <c r="F23" s="4037"/>
      <c r="G23" s="2696">
        <v>0.32</v>
      </c>
      <c r="H23" s="4036">
        <v>0.36</v>
      </c>
      <c r="I23" s="4037"/>
      <c r="J23" s="2693">
        <v>0.3</v>
      </c>
    </row>
    <row r="24" spans="1:10" x14ac:dyDescent="0.25">
      <c r="A24" s="2644">
        <v>16</v>
      </c>
      <c r="B24" s="2685">
        <v>0.13</v>
      </c>
      <c r="C24" s="2699">
        <v>0.22</v>
      </c>
      <c r="D24" s="2698">
        <v>0.39</v>
      </c>
      <c r="E24" s="4038">
        <v>0.42</v>
      </c>
      <c r="F24" s="4037"/>
      <c r="G24" s="2696">
        <v>0.35</v>
      </c>
      <c r="H24" s="4036">
        <v>0.4</v>
      </c>
      <c r="I24" s="4037"/>
      <c r="J24" s="2693">
        <v>0.33</v>
      </c>
    </row>
    <row r="25" spans="1:10" x14ac:dyDescent="0.25">
      <c r="A25" s="2644">
        <v>17</v>
      </c>
      <c r="B25" s="2685">
        <v>0.14000000000000001</v>
      </c>
      <c r="C25" s="2699">
        <v>0.24</v>
      </c>
      <c r="D25" s="2698">
        <v>0.43</v>
      </c>
      <c r="E25" s="2697">
        <v>0.46</v>
      </c>
      <c r="F25" s="2694" t="s">
        <v>669</v>
      </c>
      <c r="G25" s="2696">
        <v>0.38</v>
      </c>
      <c r="H25" s="2695">
        <v>0.44</v>
      </c>
      <c r="I25" s="2694" t="s">
        <v>669</v>
      </c>
      <c r="J25" s="2693">
        <v>0.36</v>
      </c>
    </row>
    <row r="26" spans="1:10" x14ac:dyDescent="0.25">
      <c r="A26" s="2644">
        <v>18</v>
      </c>
      <c r="B26" s="2685">
        <v>0.15</v>
      </c>
      <c r="C26" s="2699">
        <v>0.26</v>
      </c>
      <c r="D26" s="2698">
        <v>0.47</v>
      </c>
      <c r="E26" s="2697">
        <v>0.5</v>
      </c>
      <c r="F26" s="2694" t="s">
        <v>669</v>
      </c>
      <c r="G26" s="2696">
        <v>0.42</v>
      </c>
      <c r="H26" s="2695">
        <v>0.48</v>
      </c>
      <c r="I26" s="2694" t="s">
        <v>669</v>
      </c>
      <c r="J26" s="2693">
        <v>0.4</v>
      </c>
    </row>
    <row r="27" spans="1:10" x14ac:dyDescent="0.25">
      <c r="A27" s="2644">
        <v>19</v>
      </c>
      <c r="B27" s="2685">
        <v>0.16</v>
      </c>
      <c r="C27" s="2699">
        <v>0.28000000000000003</v>
      </c>
      <c r="D27" s="2734"/>
      <c r="E27" s="2690"/>
      <c r="F27" s="2689"/>
      <c r="G27" s="2696">
        <v>0.46</v>
      </c>
      <c r="H27" s="2690"/>
      <c r="I27" s="2689"/>
      <c r="J27" s="2693">
        <v>0.44</v>
      </c>
    </row>
    <row r="28" spans="1:10" x14ac:dyDescent="0.25">
      <c r="A28" s="2632">
        <v>20</v>
      </c>
      <c r="B28" s="2685">
        <v>0.17</v>
      </c>
      <c r="C28" s="2683">
        <v>0.3</v>
      </c>
      <c r="D28" s="2733"/>
      <c r="E28" s="2732"/>
      <c r="F28" s="2731"/>
      <c r="G28" s="2696">
        <v>0.5</v>
      </c>
      <c r="H28" s="2732"/>
      <c r="I28" s="2731"/>
      <c r="J28" s="2693">
        <v>0.48</v>
      </c>
    </row>
    <row r="29" spans="1:10" x14ac:dyDescent="0.25">
      <c r="A29" s="2632">
        <v>21</v>
      </c>
      <c r="B29" s="2685">
        <v>0.18</v>
      </c>
      <c r="C29" s="2683">
        <v>0.33</v>
      </c>
      <c r="D29" s="2682"/>
      <c r="E29" s="2681"/>
      <c r="F29" s="2681"/>
      <c r="G29" s="2730"/>
      <c r="H29" s="2681"/>
      <c r="I29" s="2681"/>
      <c r="J29" s="2680"/>
    </row>
    <row r="30" spans="1:10" x14ac:dyDescent="0.25">
      <c r="A30" s="2632">
        <v>22</v>
      </c>
      <c r="B30" s="2685">
        <v>0.2</v>
      </c>
      <c r="C30" s="2683">
        <v>0.36</v>
      </c>
      <c r="D30" s="2682"/>
      <c r="E30" s="2681"/>
      <c r="F30" s="2681"/>
      <c r="G30" s="2681"/>
      <c r="H30" s="2681"/>
      <c r="I30" s="2681"/>
      <c r="J30" s="2680"/>
    </row>
    <row r="31" spans="1:10" x14ac:dyDescent="0.25">
      <c r="A31" s="2632">
        <v>23</v>
      </c>
      <c r="B31" s="2685">
        <v>0.22</v>
      </c>
      <c r="C31" s="2683">
        <v>0.39</v>
      </c>
      <c r="D31" s="2682"/>
      <c r="E31" s="2681"/>
      <c r="F31" s="2681"/>
      <c r="G31" s="2681"/>
      <c r="H31" s="2681"/>
      <c r="I31" s="2681"/>
      <c r="J31" s="2680"/>
    </row>
    <row r="32" spans="1:10" x14ac:dyDescent="0.25">
      <c r="A32" s="2632">
        <v>24</v>
      </c>
      <c r="B32" s="2685">
        <v>0.24</v>
      </c>
      <c r="C32" s="2683">
        <v>0.42</v>
      </c>
      <c r="D32" s="2682"/>
      <c r="E32" s="2681"/>
      <c r="F32" s="2681"/>
      <c r="G32" s="2681"/>
      <c r="H32" s="2681"/>
      <c r="I32" s="2681"/>
      <c r="J32" s="2680"/>
    </row>
    <row r="33" spans="1:10" x14ac:dyDescent="0.25">
      <c r="A33" s="2632">
        <v>25</v>
      </c>
      <c r="B33" s="2729">
        <v>0.28000000000000003</v>
      </c>
      <c r="C33" s="2683">
        <v>0.45</v>
      </c>
      <c r="D33" s="2682"/>
      <c r="E33" s="2681"/>
      <c r="F33" s="2681"/>
      <c r="G33" s="2681"/>
      <c r="H33" s="2681"/>
      <c r="I33" s="2681"/>
      <c r="J33" s="2680"/>
    </row>
    <row r="34" spans="1:10" x14ac:dyDescent="0.25">
      <c r="A34" s="2632">
        <v>26</v>
      </c>
      <c r="B34" s="2684"/>
      <c r="C34" s="2683">
        <v>0.48</v>
      </c>
      <c r="D34" s="2682"/>
      <c r="E34" s="2681"/>
      <c r="F34" s="2681"/>
      <c r="G34" s="2681"/>
      <c r="H34" s="2681"/>
      <c r="I34" s="2681"/>
      <c r="J34" s="2680"/>
    </row>
    <row r="35" spans="1:10" x14ac:dyDescent="0.25">
      <c r="A35" s="2632">
        <v>27</v>
      </c>
      <c r="B35" s="2684"/>
      <c r="C35" s="2683">
        <v>0.51</v>
      </c>
      <c r="D35" s="2682"/>
      <c r="E35" s="2681"/>
      <c r="F35" s="2681"/>
      <c r="G35" s="2681"/>
      <c r="H35" s="2681"/>
      <c r="I35" s="2681"/>
      <c r="J35" s="2680"/>
    </row>
    <row r="36" spans="1:10" x14ac:dyDescent="0.25">
      <c r="A36" s="2632">
        <v>28</v>
      </c>
      <c r="B36" s="2684"/>
      <c r="C36" s="2683">
        <v>0.54</v>
      </c>
      <c r="D36" s="2682"/>
      <c r="E36" s="2681"/>
      <c r="F36" s="2681"/>
      <c r="G36" s="2681"/>
      <c r="H36" s="2681"/>
      <c r="I36" s="2681"/>
      <c r="J36" s="2680"/>
    </row>
    <row r="37" spans="1:10" x14ac:dyDescent="0.25">
      <c r="A37" s="2632">
        <v>29</v>
      </c>
      <c r="B37" s="2684"/>
      <c r="C37" s="2683">
        <v>0.56999999999999995</v>
      </c>
      <c r="D37" s="2682"/>
      <c r="E37" s="2681"/>
      <c r="F37" s="2681"/>
      <c r="G37" s="2681"/>
      <c r="H37" s="2681"/>
      <c r="I37" s="2681"/>
      <c r="J37" s="2680"/>
    </row>
    <row r="38" spans="1:10" ht="14.4" thickBot="1" x14ac:dyDescent="0.3">
      <c r="A38" s="2679">
        <v>30</v>
      </c>
      <c r="B38" s="2678"/>
      <c r="C38" s="2677">
        <v>0.6</v>
      </c>
      <c r="D38" s="2676"/>
      <c r="E38" s="2675"/>
      <c r="F38" s="2675"/>
      <c r="G38" s="2675"/>
      <c r="H38" s="2675"/>
      <c r="I38" s="2675"/>
      <c r="J38" s="2674"/>
    </row>
    <row r="39" spans="1:10" ht="15" thickTop="1" thickBot="1" x14ac:dyDescent="0.3">
      <c r="A39" s="2673" t="s">
        <v>3233</v>
      </c>
      <c r="B39" s="2672">
        <v>0.32</v>
      </c>
      <c r="C39" s="2671">
        <v>0.65</v>
      </c>
      <c r="D39" s="2670">
        <v>0.54</v>
      </c>
      <c r="E39" s="2728">
        <v>0.54</v>
      </c>
      <c r="F39" s="2727">
        <v>0.54</v>
      </c>
      <c r="G39" s="2669">
        <v>0.54</v>
      </c>
      <c r="H39" s="2728">
        <v>0.54</v>
      </c>
      <c r="I39" s="2727">
        <v>0.54</v>
      </c>
      <c r="J39" s="2668">
        <v>0.54</v>
      </c>
    </row>
    <row r="40" spans="1:10" ht="35.25" customHeight="1" x14ac:dyDescent="0.25">
      <c r="A40" s="4039" t="s">
        <v>3291</v>
      </c>
      <c r="B40" s="4040"/>
      <c r="C40" s="4040"/>
      <c r="D40" s="4040"/>
      <c r="E40" s="4040"/>
      <c r="F40" s="4040"/>
      <c r="G40" s="4040"/>
      <c r="H40" s="4040"/>
      <c r="I40" s="4040"/>
      <c r="J40" s="4040"/>
    </row>
    <row r="41" spans="1:10" ht="23.25" customHeight="1" x14ac:dyDescent="0.25">
      <c r="A41" s="4039" t="s">
        <v>3290</v>
      </c>
      <c r="B41" s="4040"/>
      <c r="C41" s="4040"/>
      <c r="D41" s="4040"/>
      <c r="E41" s="4040"/>
      <c r="F41" s="4040"/>
      <c r="G41" s="4040"/>
      <c r="H41" s="4040"/>
      <c r="I41" s="4040"/>
      <c r="J41" s="4040"/>
    </row>
  </sheetData>
  <sheetProtection algorithmName="SHA-512" hashValue="nRrEmL4rO3B1ysD/h1IUQQK3p1/TszFZvg+S1QMBDdaA7yQOZ9XPYgXcZTM4ksZ/5HO2J6v4cExGmtWOh5yJJg==" saltValue="i3jYvP86DI175PSH8jOBdQ==" spinCount="100000" sheet="1" objects="1" scenarios="1"/>
  <mergeCells count="43">
    <mergeCell ref="E8:F8"/>
    <mergeCell ref="E9:F9"/>
    <mergeCell ref="E10:F10"/>
    <mergeCell ref="H17:I17"/>
    <mergeCell ref="H18:I18"/>
    <mergeCell ref="H13:I13"/>
    <mergeCell ref="H14:I14"/>
    <mergeCell ref="H15:I15"/>
    <mergeCell ref="E11:F11"/>
    <mergeCell ref="E12:F12"/>
    <mergeCell ref="E13:F13"/>
    <mergeCell ref="H19:I19"/>
    <mergeCell ref="H20:I20"/>
    <mergeCell ref="H21:I21"/>
    <mergeCell ref="E17:F17"/>
    <mergeCell ref="E18:F18"/>
    <mergeCell ref="E19:F19"/>
    <mergeCell ref="E20:F20"/>
    <mergeCell ref="E21:F21"/>
    <mergeCell ref="A5:A7"/>
    <mergeCell ref="E6:G6"/>
    <mergeCell ref="H6:J6"/>
    <mergeCell ref="C5:J5"/>
    <mergeCell ref="H16:I16"/>
    <mergeCell ref="H8:I8"/>
    <mergeCell ref="H9:I9"/>
    <mergeCell ref="H10:I10"/>
    <mergeCell ref="H11:I11"/>
    <mergeCell ref="H12:I12"/>
    <mergeCell ref="E14:F14"/>
    <mergeCell ref="E15:F15"/>
    <mergeCell ref="E16:F16"/>
    <mergeCell ref="B6:B7"/>
    <mergeCell ref="D6:D7"/>
    <mergeCell ref="C6:C7"/>
    <mergeCell ref="A40:J40"/>
    <mergeCell ref="A41:J41"/>
    <mergeCell ref="H22:I22"/>
    <mergeCell ref="H23:I23"/>
    <mergeCell ref="H24:I24"/>
    <mergeCell ref="E23:F23"/>
    <mergeCell ref="E24:F24"/>
    <mergeCell ref="E22:F2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0">
    <tabColor theme="6" tint="0.39997558519241921"/>
  </sheetPr>
  <dimension ref="A1:M38"/>
  <sheetViews>
    <sheetView showGridLines="0" zoomScaleNormal="100" workbookViewId="0"/>
  </sheetViews>
  <sheetFormatPr defaultColWidth="9" defaultRowHeight="13.8" x14ac:dyDescent="0.25"/>
  <cols>
    <col min="1" max="1" width="3" customWidth="1"/>
    <col min="2" max="7" width="25.796875" customWidth="1"/>
  </cols>
  <sheetData>
    <row r="1" spans="1:13" s="347" customFormat="1" ht="25.2" x14ac:dyDescent="0.25">
      <c r="A1" s="360"/>
      <c r="B1" s="15" t="s">
        <v>2484</v>
      </c>
      <c r="C1" s="16"/>
      <c r="D1" s="16"/>
      <c r="E1" s="16"/>
      <c r="F1" s="16"/>
      <c r="G1" s="16"/>
      <c r="H1"/>
      <c r="I1"/>
      <c r="J1" s="339"/>
      <c r="K1" s="339"/>
      <c r="L1" s="339"/>
      <c r="M1" s="339"/>
    </row>
    <row r="2" spans="1:13" s="347" customFormat="1" ht="15" customHeight="1" x14ac:dyDescent="0.25">
      <c r="A2" s="360"/>
      <c r="B2" s="359"/>
      <c r="C2" s="359"/>
      <c r="D2" s="359"/>
      <c r="E2" s="359"/>
      <c r="F2" s="359"/>
      <c r="G2" s="359"/>
      <c r="H2"/>
      <c r="I2"/>
      <c r="J2" s="339"/>
      <c r="K2" s="339"/>
      <c r="L2" s="339"/>
      <c r="M2" s="339"/>
    </row>
    <row r="4" spans="1:13" ht="28.5" customHeight="1" x14ac:dyDescent="0.25">
      <c r="B4" s="3509" t="s">
        <v>2485</v>
      </c>
      <c r="C4" s="3509"/>
      <c r="D4" s="3509"/>
      <c r="E4" s="3509"/>
      <c r="F4" s="3509"/>
      <c r="G4" s="3509"/>
    </row>
    <row r="6" spans="1:13" x14ac:dyDescent="0.25">
      <c r="B6" s="4066"/>
      <c r="C6" s="4067"/>
      <c r="D6" s="4067"/>
      <c r="E6" s="4067"/>
      <c r="F6" s="4067"/>
      <c r="G6" s="4068"/>
    </row>
    <row r="7" spans="1:13" x14ac:dyDescent="0.25">
      <c r="B7" s="4069"/>
      <c r="C7" s="4070"/>
      <c r="D7" s="4070"/>
      <c r="E7" s="4070"/>
      <c r="F7" s="4070"/>
      <c r="G7" s="4071"/>
    </row>
    <row r="8" spans="1:13" x14ac:dyDescent="0.25">
      <c r="B8" s="4069"/>
      <c r="C8" s="4070"/>
      <c r="D8" s="4070"/>
      <c r="E8" s="4070"/>
      <c r="F8" s="4070"/>
      <c r="G8" s="4071"/>
    </row>
    <row r="9" spans="1:13" x14ac:dyDescent="0.25">
      <c r="B9" s="4069"/>
      <c r="C9" s="4070"/>
      <c r="D9" s="4070"/>
      <c r="E9" s="4070"/>
      <c r="F9" s="4070"/>
      <c r="G9" s="4071"/>
    </row>
    <row r="10" spans="1:13" x14ac:dyDescent="0.25">
      <c r="B10" s="4069"/>
      <c r="C10" s="4070"/>
      <c r="D10" s="4070"/>
      <c r="E10" s="4070"/>
      <c r="F10" s="4070"/>
      <c r="G10" s="4071"/>
    </row>
    <row r="11" spans="1:13" x14ac:dyDescent="0.25">
      <c r="B11" s="4069"/>
      <c r="C11" s="4070"/>
      <c r="D11" s="4070"/>
      <c r="E11" s="4070"/>
      <c r="F11" s="4070"/>
      <c r="G11" s="4071"/>
    </row>
    <row r="12" spans="1:13" x14ac:dyDescent="0.25">
      <c r="B12" s="4069"/>
      <c r="C12" s="4070"/>
      <c r="D12" s="4070"/>
      <c r="E12" s="4070"/>
      <c r="F12" s="4070"/>
      <c r="G12" s="4071"/>
    </row>
    <row r="13" spans="1:13" x14ac:dyDescent="0.25">
      <c r="B13" s="4069"/>
      <c r="C13" s="4070"/>
      <c r="D13" s="4070"/>
      <c r="E13" s="4070"/>
      <c r="F13" s="4070"/>
      <c r="G13" s="4071"/>
    </row>
    <row r="14" spans="1:13" x14ac:dyDescent="0.25">
      <c r="B14" s="4069"/>
      <c r="C14" s="4070"/>
      <c r="D14" s="4070"/>
      <c r="E14" s="4070"/>
      <c r="F14" s="4070"/>
      <c r="G14" s="4071"/>
    </row>
    <row r="15" spans="1:13" x14ac:dyDescent="0.25">
      <c r="B15" s="4069"/>
      <c r="C15" s="4070"/>
      <c r="D15" s="4070"/>
      <c r="E15" s="4070"/>
      <c r="F15" s="4070"/>
      <c r="G15" s="4071"/>
    </row>
    <row r="16" spans="1:13" x14ac:dyDescent="0.25">
      <c r="B16" s="4069"/>
      <c r="C16" s="4070"/>
      <c r="D16" s="4070"/>
      <c r="E16" s="4070"/>
      <c r="F16" s="4070"/>
      <c r="G16" s="4071"/>
    </row>
    <row r="17" spans="2:7" x14ac:dyDescent="0.25">
      <c r="B17" s="4069"/>
      <c r="C17" s="4070"/>
      <c r="D17" s="4070"/>
      <c r="E17" s="4070"/>
      <c r="F17" s="4070"/>
      <c r="G17" s="4071"/>
    </row>
    <row r="18" spans="2:7" x14ac:dyDescent="0.25">
      <c r="B18" s="4069"/>
      <c r="C18" s="4070"/>
      <c r="D18" s="4070"/>
      <c r="E18" s="4070"/>
      <c r="F18" s="4070"/>
      <c r="G18" s="4071"/>
    </row>
    <row r="19" spans="2:7" x14ac:dyDescent="0.25">
      <c r="B19" s="4069"/>
      <c r="C19" s="4070"/>
      <c r="D19" s="4070"/>
      <c r="E19" s="4070"/>
      <c r="F19" s="4070"/>
      <c r="G19" s="4071"/>
    </row>
    <row r="20" spans="2:7" x14ac:dyDescent="0.25">
      <c r="B20" s="4069"/>
      <c r="C20" s="4070"/>
      <c r="D20" s="4070"/>
      <c r="E20" s="4070"/>
      <c r="F20" s="4070"/>
      <c r="G20" s="4071"/>
    </row>
    <row r="21" spans="2:7" x14ac:dyDescent="0.25">
      <c r="B21" s="4069"/>
      <c r="C21" s="4070"/>
      <c r="D21" s="4070"/>
      <c r="E21" s="4070"/>
      <c r="F21" s="4070"/>
      <c r="G21" s="4071"/>
    </row>
    <row r="22" spans="2:7" x14ac:dyDescent="0.25">
      <c r="B22" s="4069"/>
      <c r="C22" s="4070"/>
      <c r="D22" s="4070"/>
      <c r="E22" s="4070"/>
      <c r="F22" s="4070"/>
      <c r="G22" s="4071"/>
    </row>
    <row r="23" spans="2:7" x14ac:dyDescent="0.25">
      <c r="B23" s="4069"/>
      <c r="C23" s="4070"/>
      <c r="D23" s="4070"/>
      <c r="E23" s="4070"/>
      <c r="F23" s="4070"/>
      <c r="G23" s="4071"/>
    </row>
    <row r="24" spans="2:7" x14ac:dyDescent="0.25">
      <c r="B24" s="4069"/>
      <c r="C24" s="4070"/>
      <c r="D24" s="4070"/>
      <c r="E24" s="4070"/>
      <c r="F24" s="4070"/>
      <c r="G24" s="4071"/>
    </row>
    <row r="25" spans="2:7" x14ac:dyDescent="0.25">
      <c r="B25" s="4069"/>
      <c r="C25" s="4070"/>
      <c r="D25" s="4070"/>
      <c r="E25" s="4070"/>
      <c r="F25" s="4070"/>
      <c r="G25" s="4071"/>
    </row>
    <row r="26" spans="2:7" x14ac:dyDescent="0.25">
      <c r="B26" s="4069"/>
      <c r="C26" s="4070"/>
      <c r="D26" s="4070"/>
      <c r="E26" s="4070"/>
      <c r="F26" s="4070"/>
      <c r="G26" s="4071"/>
    </row>
    <row r="27" spans="2:7" x14ac:dyDescent="0.25">
      <c r="B27" s="4069"/>
      <c r="C27" s="4070"/>
      <c r="D27" s="4070"/>
      <c r="E27" s="4070"/>
      <c r="F27" s="4070"/>
      <c r="G27" s="4071"/>
    </row>
    <row r="28" spans="2:7" x14ac:dyDescent="0.25">
      <c r="B28" s="4069"/>
      <c r="C28" s="4070"/>
      <c r="D28" s="4070"/>
      <c r="E28" s="4070"/>
      <c r="F28" s="4070"/>
      <c r="G28" s="4071"/>
    </row>
    <row r="29" spans="2:7" x14ac:dyDescent="0.25">
      <c r="B29" s="4069"/>
      <c r="C29" s="4070"/>
      <c r="D29" s="4070"/>
      <c r="E29" s="4070"/>
      <c r="F29" s="4070"/>
      <c r="G29" s="4071"/>
    </row>
    <row r="30" spans="2:7" x14ac:dyDescent="0.25">
      <c r="B30" s="4069"/>
      <c r="C30" s="4070"/>
      <c r="D30" s="4070"/>
      <c r="E30" s="4070"/>
      <c r="F30" s="4070"/>
      <c r="G30" s="4071"/>
    </row>
    <row r="31" spans="2:7" x14ac:dyDescent="0.25">
      <c r="B31" s="4069"/>
      <c r="C31" s="4070"/>
      <c r="D31" s="4070"/>
      <c r="E31" s="4070"/>
      <c r="F31" s="4070"/>
      <c r="G31" s="4071"/>
    </row>
    <row r="32" spans="2:7" x14ac:dyDescent="0.25">
      <c r="B32" s="4069"/>
      <c r="C32" s="4070"/>
      <c r="D32" s="4070"/>
      <c r="E32" s="4070"/>
      <c r="F32" s="4070"/>
      <c r="G32" s="4071"/>
    </row>
    <row r="33" spans="2:7" x14ac:dyDescent="0.25">
      <c r="B33" s="4069"/>
      <c r="C33" s="4070"/>
      <c r="D33" s="4070"/>
      <c r="E33" s="4070"/>
      <c r="F33" s="4070"/>
      <c r="G33" s="4071"/>
    </row>
    <row r="34" spans="2:7" x14ac:dyDescent="0.25">
      <c r="B34" s="4069"/>
      <c r="C34" s="4070"/>
      <c r="D34" s="4070"/>
      <c r="E34" s="4070"/>
      <c r="F34" s="4070"/>
      <c r="G34" s="4071"/>
    </row>
    <row r="35" spans="2:7" x14ac:dyDescent="0.25">
      <c r="B35" s="4069"/>
      <c r="C35" s="4070"/>
      <c r="D35" s="4070"/>
      <c r="E35" s="4070"/>
      <c r="F35" s="4070"/>
      <c r="G35" s="4071"/>
    </row>
    <row r="36" spans="2:7" x14ac:dyDescent="0.25">
      <c r="B36" s="4069"/>
      <c r="C36" s="4070"/>
      <c r="D36" s="4070"/>
      <c r="E36" s="4070"/>
      <c r="F36" s="4070"/>
      <c r="G36" s="4071"/>
    </row>
    <row r="37" spans="2:7" x14ac:dyDescent="0.25">
      <c r="B37" s="4069"/>
      <c r="C37" s="4070"/>
      <c r="D37" s="4070"/>
      <c r="E37" s="4070"/>
      <c r="F37" s="4070"/>
      <c r="G37" s="4071"/>
    </row>
    <row r="38" spans="2:7" x14ac:dyDescent="0.25">
      <c r="B38" s="4072"/>
      <c r="C38" s="4073"/>
      <c r="D38" s="4073"/>
      <c r="E38" s="4073"/>
      <c r="F38" s="4073"/>
      <c r="G38" s="4074"/>
    </row>
  </sheetData>
  <sheetProtection algorithmName="SHA-512" hashValue="5XSWZHXLnjCxuWSwfszOTbpBi9C4OLYKI0hGNFNF19fB+k9cx4uO1V0UpSAsbkWd5Pq7WNA2IdjeX1yL6g9IZQ==" saltValue="Yav8PCBpISPPb4bKIg2oSw==" spinCount="100000" sheet="1" objects="1" scenarios="1"/>
  <mergeCells count="2">
    <mergeCell ref="B4:G4"/>
    <mergeCell ref="B6:G38"/>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tabColor theme="4" tint="0.39997558519241921"/>
  </sheetPr>
  <dimension ref="A1:EF197"/>
  <sheetViews>
    <sheetView showGridLines="0" zoomScale="90" zoomScaleNormal="90" workbookViewId="0"/>
  </sheetViews>
  <sheetFormatPr defaultColWidth="9" defaultRowHeight="13.8" x14ac:dyDescent="0.25"/>
  <cols>
    <col min="1" max="3" width="17.69921875" customWidth="1"/>
    <col min="4" max="6" width="22.69921875" customWidth="1"/>
    <col min="7" max="9" width="17.69921875" customWidth="1"/>
    <col min="10" max="10" width="19.69921875" customWidth="1"/>
    <col min="11" max="12" width="17.69921875" customWidth="1"/>
    <col min="13" max="15" width="17.19921875" customWidth="1"/>
    <col min="16" max="16" width="9" customWidth="1"/>
    <col min="19" max="26" width="9" customWidth="1"/>
    <col min="27" max="27" width="9" hidden="1" customWidth="1"/>
    <col min="28" max="28" width="14.296875" hidden="1" customWidth="1"/>
    <col min="29" max="35" width="9" hidden="1" customWidth="1"/>
    <col min="36" max="36" width="15.796875" hidden="1" customWidth="1"/>
    <col min="37" max="37" width="20.69921875" hidden="1" customWidth="1"/>
    <col min="38" max="38" width="16.69921875" hidden="1" customWidth="1"/>
    <col min="39" max="39" width="16.5" hidden="1" customWidth="1"/>
    <col min="40" max="40" width="9" hidden="1" customWidth="1"/>
    <col min="41" max="43" width="11.69921875" hidden="1" customWidth="1"/>
    <col min="44" max="44" width="8.796875" hidden="1" customWidth="1"/>
    <col min="45" max="45" width="14.19921875" hidden="1" customWidth="1"/>
    <col min="46" max="46" width="10.69921875" hidden="1" customWidth="1"/>
    <col min="47" max="47" width="9" hidden="1" customWidth="1"/>
    <col min="48" max="48" width="17.296875" hidden="1" customWidth="1"/>
    <col min="49" max="49" width="10.796875" hidden="1" customWidth="1"/>
    <col min="50" max="52" width="9" hidden="1" customWidth="1"/>
    <col min="53" max="53" width="11.19921875" hidden="1" customWidth="1"/>
    <col min="54" max="55" width="17" hidden="1" customWidth="1"/>
    <col min="56" max="56" width="13.69921875" hidden="1" customWidth="1"/>
    <col min="57" max="57" width="10.19921875" hidden="1" customWidth="1"/>
    <col min="58" max="58" width="20.5" hidden="1" customWidth="1"/>
    <col min="59" max="59" width="17.19921875" hidden="1" customWidth="1"/>
    <col min="60" max="60" width="11.19921875" hidden="1" customWidth="1"/>
    <col min="61" max="61" width="11.296875" hidden="1" customWidth="1"/>
    <col min="62" max="63" width="9" hidden="1" customWidth="1"/>
    <col min="64" max="64" width="10.19921875" hidden="1" customWidth="1"/>
    <col min="65" max="65" width="17.5" hidden="1" customWidth="1"/>
    <col min="66" max="70" width="10.19921875" hidden="1" customWidth="1"/>
    <col min="71" max="71" width="13" hidden="1" customWidth="1"/>
    <col min="72" max="73" width="10.19921875" hidden="1" customWidth="1"/>
    <col min="74" max="91" width="9" hidden="1" customWidth="1"/>
    <col min="92" max="93" width="12.296875" hidden="1" customWidth="1"/>
    <col min="94" max="100" width="9" hidden="1" customWidth="1"/>
    <col min="101" max="102" width="13.69921875" hidden="1" customWidth="1"/>
    <col min="103" max="103" width="9" hidden="1" customWidth="1"/>
    <col min="104" max="105" width="15.69921875" hidden="1" customWidth="1"/>
    <col min="106" max="107" width="9" hidden="1" customWidth="1"/>
    <col min="108" max="108" width="12.796875" hidden="1" customWidth="1"/>
    <col min="109" max="109" width="9" hidden="1" customWidth="1"/>
    <col min="110" max="110" width="16.796875" hidden="1" customWidth="1"/>
    <col min="111" max="111" width="13.19921875" hidden="1" customWidth="1"/>
    <col min="112" max="115" width="9" hidden="1" customWidth="1"/>
    <col min="116" max="116" width="9.296875" hidden="1" customWidth="1"/>
    <col min="117" max="117" width="17.5" hidden="1" customWidth="1"/>
    <col min="118" max="118" width="9.296875" hidden="1" customWidth="1"/>
    <col min="119" max="119" width="14.296875" hidden="1" customWidth="1"/>
    <col min="120" max="120" width="9.296875" hidden="1" customWidth="1"/>
    <col min="121" max="121" width="8.19921875" hidden="1" customWidth="1"/>
    <col min="122" max="122" width="9.69921875" hidden="1" customWidth="1"/>
    <col min="123" max="123" width="8.5" hidden="1" customWidth="1"/>
    <col min="124" max="124" width="10.19921875" hidden="1" customWidth="1"/>
    <col min="125" max="125" width="14.69921875" hidden="1" customWidth="1"/>
    <col min="126" max="127" width="9" hidden="1" customWidth="1"/>
    <col min="128" max="128" width="19.69921875" hidden="1" customWidth="1"/>
    <col min="129" max="134" width="9" hidden="1" customWidth="1"/>
    <col min="135" max="135" width="11.69921875" hidden="1" customWidth="1"/>
    <col min="136" max="136" width="9" hidden="1" customWidth="1"/>
    <col min="137" max="153" width="9" customWidth="1"/>
  </cols>
  <sheetData>
    <row r="1" spans="1:135" s="42" customFormat="1" ht="38.549999999999997" customHeight="1" thickBot="1" x14ac:dyDescent="0.3">
      <c r="A1" s="30" t="s">
        <v>703</v>
      </c>
      <c r="B1" s="30"/>
      <c r="C1" s="276"/>
      <c r="D1" s="276"/>
      <c r="E1" s="276"/>
      <c r="F1" s="276"/>
      <c r="G1" s="276"/>
      <c r="H1" s="276"/>
      <c r="I1" s="276"/>
      <c r="J1" s="276"/>
      <c r="K1" s="276"/>
      <c r="L1" s="276"/>
      <c r="M1" s="276"/>
      <c r="V1" s="32"/>
      <c r="Y1" s="32"/>
      <c r="AB1" s="32"/>
      <c r="AC1" s="32"/>
      <c r="AD1" s="32"/>
      <c r="AE1" s="32"/>
      <c r="AG1" s="32"/>
      <c r="AH1" s="32"/>
      <c r="AI1" s="32"/>
      <c r="AK1" s="1948" t="s">
        <v>272</v>
      </c>
      <c r="AL1" s="1948" t="s">
        <v>272</v>
      </c>
      <c r="AM1" s="1948" t="s">
        <v>273</v>
      </c>
      <c r="AR1" s="32"/>
      <c r="AS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DC1" s="1898" t="s">
        <v>30</v>
      </c>
      <c r="DD1" s="1898">
        <f>'General Information'!H53</f>
        <v>0</v>
      </c>
      <c r="DE1" s="32"/>
      <c r="DF1" s="2260" t="s">
        <v>106</v>
      </c>
      <c r="DG1" s="2261" t="s">
        <v>61</v>
      </c>
      <c r="DH1" s="2261">
        <f>SUMIF('General Information'!$E$20:E26,DG1,'General Information'!$Y$20:Y26)</f>
        <v>0</v>
      </c>
      <c r="DI1" s="2262" t="e">
        <f>DH1/$DH$10</f>
        <v>#DIV/0!</v>
      </c>
      <c r="DN1" s="2028" t="s">
        <v>2858</v>
      </c>
      <c r="DX1" s="2028" t="s">
        <v>2859</v>
      </c>
    </row>
    <row r="2" spans="1:135" s="42" customFormat="1" ht="28.95" customHeight="1" thickBot="1" x14ac:dyDescent="0.3">
      <c r="A2" s="4040" t="s">
        <v>3043</v>
      </c>
      <c r="B2" s="4040"/>
      <c r="C2" s="4040"/>
      <c r="D2" s="4040"/>
      <c r="E2" s="4040"/>
      <c r="F2" s="4040"/>
      <c r="G2" s="4040"/>
      <c r="H2" s="4040"/>
      <c r="I2" s="4040"/>
      <c r="J2" s="4040"/>
      <c r="K2" s="4040"/>
      <c r="L2" s="4040"/>
      <c r="N2" s="32"/>
      <c r="V2" s="32"/>
      <c r="Y2" s="32"/>
      <c r="AB2" s="32"/>
      <c r="AC2" s="32"/>
      <c r="AD2" s="32"/>
      <c r="AE2" s="32"/>
      <c r="AG2" s="32"/>
      <c r="AH2" s="32"/>
      <c r="AI2" s="32"/>
      <c r="AK2" s="1948" t="s">
        <v>273</v>
      </c>
      <c r="AL2" s="1948" t="s">
        <v>2674</v>
      </c>
      <c r="AM2" s="1948" t="s">
        <v>2206</v>
      </c>
      <c r="BG2" s="382"/>
      <c r="BH2" s="382"/>
      <c r="BI2" s="299"/>
      <c r="BJ2" s="299"/>
      <c r="BK2" s="382"/>
      <c r="BL2" s="382"/>
      <c r="BM2" s="382"/>
      <c r="BN2" s="299"/>
      <c r="BO2" s="299"/>
      <c r="BP2" s="299"/>
      <c r="BQ2" s="299"/>
      <c r="BR2" s="382"/>
      <c r="BS2" s="382"/>
      <c r="BT2" s="299"/>
      <c r="BU2" s="299"/>
      <c r="BV2" s="299"/>
      <c r="BW2" s="299"/>
      <c r="BX2" s="299"/>
      <c r="BY2" s="299"/>
      <c r="BZ2" s="299"/>
      <c r="CA2" s="299"/>
      <c r="CB2" s="299"/>
      <c r="CC2" s="299"/>
      <c r="CD2" s="299"/>
      <c r="CE2" s="299"/>
      <c r="CF2" s="299"/>
      <c r="CG2" s="299"/>
      <c r="CH2" s="382"/>
      <c r="CI2" s="382"/>
      <c r="CJ2" s="382"/>
      <c r="CK2" s="382"/>
      <c r="CL2" s="382"/>
      <c r="CM2" s="382"/>
      <c r="CN2" s="382"/>
      <c r="CO2" s="382"/>
      <c r="CP2" s="382"/>
      <c r="CQ2" s="382"/>
      <c r="CR2" s="382"/>
      <c r="CS2" s="382"/>
      <c r="CT2" s="382"/>
      <c r="CU2" s="382"/>
      <c r="CV2" s="382"/>
      <c r="CW2" s="382"/>
      <c r="CX2" s="382"/>
      <c r="CY2" s="382"/>
      <c r="CZ2" s="382"/>
      <c r="DA2" s="382"/>
      <c r="DB2" s="382"/>
      <c r="DC2" s="1996" t="s">
        <v>2624</v>
      </c>
      <c r="DD2" s="1997">
        <f>BuildingArea</f>
        <v>0</v>
      </c>
      <c r="DE2" s="299"/>
      <c r="DF2" s="382"/>
      <c r="DG2" s="2261" t="s">
        <v>69</v>
      </c>
      <c r="DH2" s="2261">
        <f>SUMIF('General Information'!$E$20:E26,DG2,'General Information'!$Y$20:Y26)</f>
        <v>0</v>
      </c>
      <c r="DI2" s="2262" t="e">
        <f>DH2/$DH$10</f>
        <v>#DIV/0!</v>
      </c>
      <c r="DK2" s="866"/>
      <c r="DM2" s="42" t="s">
        <v>2834</v>
      </c>
      <c r="DN2" s="2009"/>
      <c r="DO2" s="2010"/>
      <c r="DP2" s="2011" t="s">
        <v>2825</v>
      </c>
      <c r="DQ2" s="2012" t="s">
        <v>2826</v>
      </c>
      <c r="DR2" s="2011" t="s">
        <v>2827</v>
      </c>
      <c r="DS2" s="2012" t="s">
        <v>2504</v>
      </c>
      <c r="DT2" s="2011" t="s">
        <v>2828</v>
      </c>
      <c r="DU2" s="2012" t="s">
        <v>2815</v>
      </c>
      <c r="DX2" s="4131"/>
      <c r="DY2" s="4127" t="s">
        <v>2841</v>
      </c>
      <c r="DZ2" s="4128"/>
      <c r="EA2" s="4129"/>
      <c r="EB2" s="4127" t="s">
        <v>2842</v>
      </c>
      <c r="EC2" s="4128"/>
      <c r="ED2" s="4130"/>
      <c r="EE2" s="4125" t="s">
        <v>2843</v>
      </c>
    </row>
    <row r="3" spans="1:135" s="42" customFormat="1" ht="10.5" customHeight="1" thickBot="1" x14ac:dyDescent="0.3">
      <c r="A3" s="4040"/>
      <c r="B3" s="4040"/>
      <c r="C3" s="4040"/>
      <c r="D3" s="4040"/>
      <c r="E3" s="4040"/>
      <c r="F3" s="4040"/>
      <c r="G3" s="4040"/>
      <c r="H3" s="4040"/>
      <c r="I3" s="4040"/>
      <c r="J3" s="4040"/>
      <c r="K3" s="4040"/>
      <c r="L3" s="4040"/>
      <c r="V3" s="32"/>
      <c r="Y3" s="32"/>
      <c r="AB3" s="32"/>
      <c r="AC3" s="32"/>
      <c r="AD3" s="32"/>
      <c r="AE3" s="32"/>
      <c r="AG3" s="32"/>
      <c r="AH3" s="32"/>
      <c r="AI3" s="32"/>
      <c r="AJ3" s="1903"/>
      <c r="BG3" s="382"/>
      <c r="BI3" s="32"/>
      <c r="BJ3" s="32"/>
      <c r="BN3" s="32"/>
      <c r="BO3" s="32"/>
      <c r="BP3" s="32"/>
      <c r="BQ3" s="32"/>
      <c r="BR3" s="32"/>
      <c r="BS3" s="32"/>
      <c r="BT3" s="32"/>
      <c r="BU3" s="32"/>
      <c r="BV3" s="32"/>
      <c r="BW3" s="32"/>
      <c r="CH3" s="3393" t="s">
        <v>2645</v>
      </c>
      <c r="CI3" s="3831"/>
      <c r="CJ3" s="3831"/>
      <c r="CK3" s="3831"/>
      <c r="CL3" s="3831"/>
      <c r="CM3" s="3831"/>
      <c r="CN3" s="3831"/>
      <c r="CO3" s="3831"/>
      <c r="CP3" s="3394"/>
      <c r="CQ3" s="3393" t="s">
        <v>2646</v>
      </c>
      <c r="CR3" s="3831"/>
      <c r="CS3" s="3831"/>
      <c r="CT3" s="3831"/>
      <c r="CU3" s="3831"/>
      <c r="CV3" s="3831"/>
      <c r="CW3" s="3831"/>
      <c r="CX3" s="3831"/>
      <c r="CY3" s="3831"/>
      <c r="CZ3" s="1926" t="s">
        <v>2645</v>
      </c>
      <c r="DA3" s="1927" t="s">
        <v>2646</v>
      </c>
      <c r="DE3" s="32"/>
      <c r="DG3" s="1955" t="s">
        <v>63</v>
      </c>
      <c r="DH3" s="2261">
        <f>SUMIF('General Information'!$E$20:E26,DG3,'General Information'!$Y$20:Y26)</f>
        <v>0</v>
      </c>
      <c r="DI3" s="2262" t="e">
        <f>DH3/$DH$10</f>
        <v>#DIV/0!</v>
      </c>
      <c r="DK3" s="866"/>
      <c r="DN3" s="4154" t="s">
        <v>2829</v>
      </c>
      <c r="DO3" s="2013" t="s">
        <v>2830</v>
      </c>
      <c r="DP3" s="2014">
        <v>0.8</v>
      </c>
      <c r="DQ3" s="2013">
        <v>0.65</v>
      </c>
      <c r="DR3" s="2014">
        <v>0.75</v>
      </c>
      <c r="DS3" s="2013">
        <v>1</v>
      </c>
      <c r="DT3" s="2014" t="s">
        <v>266</v>
      </c>
      <c r="DU3" s="2013">
        <v>0.65</v>
      </c>
      <c r="DX3" s="4132"/>
      <c r="DY3" s="2019" t="s">
        <v>38</v>
      </c>
      <c r="DZ3" s="2019" t="s">
        <v>41</v>
      </c>
      <c r="EA3" s="2019" t="s">
        <v>44</v>
      </c>
      <c r="EB3" s="2019" t="s">
        <v>38</v>
      </c>
      <c r="EC3" s="2019" t="s">
        <v>41</v>
      </c>
      <c r="ED3" s="2019" t="s">
        <v>44</v>
      </c>
      <c r="EE3" s="4126"/>
    </row>
    <row r="4" spans="1:135" s="866" customFormat="1" ht="9" customHeight="1" thickBot="1" x14ac:dyDescent="0.35">
      <c r="AJ4" s="1998" t="s">
        <v>2688</v>
      </c>
      <c r="AK4" s="354"/>
      <c r="AL4" s="354"/>
      <c r="AM4" s="354"/>
      <c r="AN4" s="354"/>
      <c r="AO4" s="354"/>
      <c r="AP4" s="354"/>
      <c r="AQ4" s="354"/>
      <c r="AR4" s="354"/>
      <c r="AS4" s="354"/>
      <c r="AT4" s="354"/>
      <c r="AU4" s="354"/>
      <c r="AV4" s="354"/>
      <c r="AW4" s="354"/>
      <c r="AX4" s="354"/>
      <c r="AY4" s="354"/>
      <c r="AZ4" s="354"/>
      <c r="BA4" s="354"/>
      <c r="BB4" s="354"/>
      <c r="BC4" s="354"/>
      <c r="BD4" s="382"/>
      <c r="BE4" s="382"/>
      <c r="BF4" s="382"/>
      <c r="BG4" s="382"/>
      <c r="BH4" s="42"/>
      <c r="BI4" s="32"/>
      <c r="BJ4" s="32"/>
      <c r="BK4" s="42"/>
      <c r="BL4" s="42"/>
      <c r="BM4" s="42"/>
      <c r="BN4" s="32"/>
      <c r="BO4" s="32"/>
      <c r="BP4" s="32"/>
      <c r="BQ4" s="32"/>
      <c r="BR4" s="32"/>
      <c r="BS4" s="32"/>
      <c r="BT4" s="32"/>
      <c r="BU4" s="32"/>
      <c r="BV4" s="32"/>
      <c r="BW4" s="32"/>
      <c r="BX4" s="3828" t="s">
        <v>272</v>
      </c>
      <c r="BY4" s="3829"/>
      <c r="BZ4" s="3829"/>
      <c r="CA4" s="3829"/>
      <c r="CB4" s="4153"/>
      <c r="CC4" s="3828" t="s">
        <v>273</v>
      </c>
      <c r="CD4" s="3829"/>
      <c r="CE4" s="3829"/>
      <c r="CF4" s="3829"/>
      <c r="CG4" s="3829"/>
      <c r="CH4" s="1923" t="s">
        <v>63</v>
      </c>
      <c r="CI4" s="1923" t="s">
        <v>69</v>
      </c>
      <c r="CJ4" s="1923" t="s">
        <v>2218</v>
      </c>
      <c r="CK4" s="1923" t="s">
        <v>2342</v>
      </c>
      <c r="CL4" s="1923" t="s">
        <v>2217</v>
      </c>
      <c r="CM4" s="1923" t="s">
        <v>1645</v>
      </c>
      <c r="CN4" s="1923" t="s">
        <v>74</v>
      </c>
      <c r="CO4" s="1923" t="s">
        <v>2215</v>
      </c>
      <c r="CP4" s="1923" t="s">
        <v>61</v>
      </c>
      <c r="CQ4" s="1923" t="s">
        <v>63</v>
      </c>
      <c r="CR4" s="1923" t="s">
        <v>69</v>
      </c>
      <c r="CS4" s="1923" t="s">
        <v>2218</v>
      </c>
      <c r="CT4" s="1923" t="s">
        <v>2342</v>
      </c>
      <c r="CU4" s="1923" t="s">
        <v>2217</v>
      </c>
      <c r="CV4" s="1923" t="s">
        <v>1645</v>
      </c>
      <c r="CW4" s="1923" t="s">
        <v>74</v>
      </c>
      <c r="CX4" s="1923" t="s">
        <v>2215</v>
      </c>
      <c r="CY4" s="1925" t="s">
        <v>61</v>
      </c>
      <c r="CZ4" s="1932" t="s">
        <v>2667</v>
      </c>
      <c r="DA4" s="1928" t="s">
        <v>2667</v>
      </c>
      <c r="DB4" s="42"/>
      <c r="DC4" s="42"/>
      <c r="DD4" s="42"/>
      <c r="DE4" s="42"/>
      <c r="DF4" s="42"/>
      <c r="DG4" s="1955" t="s">
        <v>2218</v>
      </c>
      <c r="DH4" s="2261">
        <f>SUMIF('General Information'!$E$20:E26,DG4,'General Information'!$Y$20:Y26)</f>
        <v>0</v>
      </c>
      <c r="DI4" s="2262" t="e">
        <f t="shared" ref="DI4:DI9" si="0">DH4/$DH$10</f>
        <v>#DIV/0!</v>
      </c>
      <c r="DJ4" s="42"/>
      <c r="DM4" s="42"/>
      <c r="DN4" s="4155"/>
      <c r="DO4" s="2013" t="s">
        <v>2831</v>
      </c>
      <c r="DP4" s="2014">
        <v>0</v>
      </c>
      <c r="DQ4" s="2013">
        <v>0.05</v>
      </c>
      <c r="DR4" s="2014">
        <v>0.05</v>
      </c>
      <c r="DS4" s="2013">
        <v>0.25</v>
      </c>
      <c r="DT4" s="2014" t="s">
        <v>266</v>
      </c>
      <c r="DU4" s="2013">
        <v>0</v>
      </c>
      <c r="DX4" s="2021" t="s">
        <v>2844</v>
      </c>
      <c r="DY4" s="2022"/>
      <c r="DZ4" s="2022"/>
      <c r="EA4" s="2022"/>
      <c r="EB4" s="2022"/>
      <c r="EC4" s="2022"/>
      <c r="ED4" s="2022"/>
      <c r="EE4" s="2022"/>
    </row>
    <row r="5" spans="1:135" s="866" customFormat="1" ht="25.5" customHeight="1" thickBot="1" x14ac:dyDescent="0.3">
      <c r="A5" s="4116" t="s">
        <v>2617</v>
      </c>
      <c r="B5" s="4117"/>
      <c r="C5" s="4117"/>
      <c r="D5" s="4117"/>
      <c r="E5" s="4117"/>
      <c r="F5" s="4117"/>
      <c r="G5" s="4117"/>
      <c r="H5" s="4117"/>
      <c r="I5" s="4117"/>
      <c r="J5" s="4117"/>
      <c r="K5" s="4117"/>
      <c r="L5" s="4117"/>
      <c r="M5" s="4118"/>
      <c r="AJ5"/>
      <c r="AK5" s="1897" t="s">
        <v>272</v>
      </c>
      <c r="AL5" s="1897" t="s">
        <v>272</v>
      </c>
      <c r="AM5" s="1897" t="s">
        <v>272</v>
      </c>
      <c r="AN5" s="1897" t="s">
        <v>272</v>
      </c>
      <c r="AO5" s="1897" t="s">
        <v>272</v>
      </c>
      <c r="AP5" s="1897" t="s">
        <v>272</v>
      </c>
      <c r="AQ5" s="1897" t="s">
        <v>272</v>
      </c>
      <c r="AR5" s="1897" t="s">
        <v>273</v>
      </c>
      <c r="AS5" s="1897" t="s">
        <v>273</v>
      </c>
      <c r="AT5" s="1897" t="s">
        <v>273</v>
      </c>
      <c r="AU5" s="1897" t="s">
        <v>273</v>
      </c>
      <c r="AV5" s="1897" t="s">
        <v>273</v>
      </c>
      <c r="AW5" s="1897" t="s">
        <v>273</v>
      </c>
      <c r="AX5" s="1897" t="s">
        <v>273</v>
      </c>
      <c r="AY5" s="1897" t="s">
        <v>273</v>
      </c>
      <c r="AZ5" s="1897" t="s">
        <v>273</v>
      </c>
      <c r="BA5" s="1897" t="s">
        <v>273</v>
      </c>
      <c r="BB5" s="1897" t="s">
        <v>2645</v>
      </c>
      <c r="BC5" s="1897" t="s">
        <v>2646</v>
      </c>
      <c r="BD5" s="235"/>
      <c r="BE5" s="235"/>
      <c r="BF5" s="589"/>
      <c r="BG5" s="1670" t="s">
        <v>2686</v>
      </c>
      <c r="BH5" s="1670" t="s">
        <v>2625</v>
      </c>
      <c r="BI5" s="3891" t="s">
        <v>2685</v>
      </c>
      <c r="BJ5" s="3842"/>
      <c r="BK5" s="1451" t="s">
        <v>366</v>
      </c>
      <c r="BL5" s="1670" t="s">
        <v>354</v>
      </c>
      <c r="BM5" s="1670" t="s">
        <v>1010</v>
      </c>
      <c r="BN5" s="1670" t="s">
        <v>272</v>
      </c>
      <c r="BO5" s="1670" t="s">
        <v>273</v>
      </c>
      <c r="BP5" s="1670" t="s">
        <v>1011</v>
      </c>
      <c r="BQ5" s="1670" t="s">
        <v>1012</v>
      </c>
      <c r="BR5" s="1881" t="s">
        <v>1022</v>
      </c>
      <c r="BS5" s="1670" t="s">
        <v>1013</v>
      </c>
      <c r="BT5" s="1670" t="s">
        <v>2618</v>
      </c>
      <c r="BU5" s="1670" t="s">
        <v>2619</v>
      </c>
      <c r="BV5" s="1670" t="s">
        <v>2620</v>
      </c>
      <c r="BW5" s="1670" t="s">
        <v>2621</v>
      </c>
      <c r="BX5" s="780" t="str">
        <f>"Site Energy Use "&amp;'12 - Performance_Outputs_1'!PO_SiteUnits</f>
        <v>Site Energy Use kWh</v>
      </c>
      <c r="BY5" s="780" t="s">
        <v>2622</v>
      </c>
      <c r="BZ5" s="780" t="str">
        <f>"Source Energy Use "&amp;'12 - Performance_Outputs_1'!PO_SourceUnits</f>
        <v>Source Energy Use kWh</v>
      </c>
      <c r="CA5" s="780" t="s">
        <v>2623</v>
      </c>
      <c r="CB5" s="780" t="s">
        <v>2586</v>
      </c>
      <c r="CC5" s="780" t="str">
        <f>"Site Energy Use "&amp;'12 - Performance_Outputs_1'!PO_SiteUnits</f>
        <v>Site Energy Use kWh</v>
      </c>
      <c r="CD5" s="780" t="s">
        <v>2622</v>
      </c>
      <c r="CE5" s="780" t="str">
        <f>"Source Energy Use "&amp;'12 - Performance_Outputs_1'!PO_SourceUnits</f>
        <v>Source Energy Use kWh</v>
      </c>
      <c r="CF5" s="780" t="s">
        <v>2623</v>
      </c>
      <c r="CG5" s="780" t="s">
        <v>2586</v>
      </c>
      <c r="CH5" s="780" t="s">
        <v>2622</v>
      </c>
      <c r="CI5" s="780" t="s">
        <v>2622</v>
      </c>
      <c r="CJ5" s="780" t="s">
        <v>2622</v>
      </c>
      <c r="CK5" s="780" t="s">
        <v>2622</v>
      </c>
      <c r="CL5" s="780" t="s">
        <v>2622</v>
      </c>
      <c r="CM5" s="780" t="s">
        <v>2622</v>
      </c>
      <c r="CN5" s="780" t="s">
        <v>2622</v>
      </c>
      <c r="CO5" s="780" t="s">
        <v>2622</v>
      </c>
      <c r="CP5" s="780" t="s">
        <v>2622</v>
      </c>
      <c r="CQ5" s="780" t="s">
        <v>2622</v>
      </c>
      <c r="CR5" s="780" t="s">
        <v>2622</v>
      </c>
      <c r="CS5" s="780" t="s">
        <v>2622</v>
      </c>
      <c r="CT5" s="780" t="s">
        <v>2622</v>
      </c>
      <c r="CU5" s="780" t="s">
        <v>2622</v>
      </c>
      <c r="CV5" s="780" t="s">
        <v>2622</v>
      </c>
      <c r="CW5" s="780" t="s">
        <v>2622</v>
      </c>
      <c r="CX5" s="780" t="s">
        <v>2622</v>
      </c>
      <c r="CY5" s="1844" t="s">
        <v>2622</v>
      </c>
      <c r="CZ5" s="1933" t="s">
        <v>2622</v>
      </c>
      <c r="DA5" s="1929" t="s">
        <v>2622</v>
      </c>
      <c r="DB5" s="235"/>
      <c r="DC5" s="235"/>
      <c r="DD5" s="235"/>
      <c r="DE5" s="235"/>
      <c r="DF5" s="235"/>
      <c r="DG5" s="416" t="s">
        <v>2342</v>
      </c>
      <c r="DH5" s="2261">
        <f>SUMIF('General Information'!$E$20:E26,DG5,'General Information'!$Y$20:Y26)</f>
        <v>0</v>
      </c>
      <c r="DI5" s="2262" t="e">
        <f t="shared" si="0"/>
        <v>#DIV/0!</v>
      </c>
      <c r="DJ5" s="235"/>
      <c r="DM5" s="42"/>
      <c r="DN5" s="4156"/>
      <c r="DO5" s="2013" t="s">
        <v>1113</v>
      </c>
      <c r="DP5" s="2014">
        <v>2606</v>
      </c>
      <c r="DQ5" s="2013">
        <v>3340</v>
      </c>
      <c r="DR5" s="2014">
        <v>3839</v>
      </c>
      <c r="DS5" s="2013">
        <v>3918</v>
      </c>
      <c r="DT5" s="2014">
        <v>6456</v>
      </c>
      <c r="DU5" s="2013">
        <v>312</v>
      </c>
      <c r="DW5" s="2015" t="s">
        <v>61</v>
      </c>
      <c r="DX5" s="2020" t="s">
        <v>2845</v>
      </c>
      <c r="DY5" s="2023">
        <v>54</v>
      </c>
      <c r="DZ5" s="2023">
        <v>63</v>
      </c>
      <c r="EA5" s="2023">
        <v>65</v>
      </c>
      <c r="EB5" s="2023">
        <v>46</v>
      </c>
      <c r="EC5" s="2023">
        <v>52</v>
      </c>
      <c r="ED5" s="2023">
        <v>53</v>
      </c>
      <c r="EE5" s="2023">
        <v>13</v>
      </c>
    </row>
    <row r="6" spans="1:135" s="866" customFormat="1" ht="19.5" customHeight="1" thickBot="1" x14ac:dyDescent="0.3">
      <c r="A6" s="866" t="s">
        <v>2813</v>
      </c>
      <c r="AJ6" s="1891" t="s">
        <v>2668</v>
      </c>
      <c r="AK6" s="780" t="str">
        <f>"Site Energy Use "&amp;'12 - Performance_Outputs_1'!PO_SiteUnits</f>
        <v>Site Energy Use kWh</v>
      </c>
      <c r="AL6" s="780" t="s">
        <v>2622</v>
      </c>
      <c r="AM6" s="780" t="str">
        <f>"Source Energy Use "&amp;'12 - Performance_Outputs_1'!PO_SourceUnits</f>
        <v>Source Energy Use kWh</v>
      </c>
      <c r="AN6" s="780" t="s">
        <v>2623</v>
      </c>
      <c r="AO6" s="780" t="s">
        <v>2586</v>
      </c>
      <c r="AP6" s="780" t="s">
        <v>2640</v>
      </c>
      <c r="AQ6" s="1670" t="s">
        <v>2675</v>
      </c>
      <c r="AR6" s="780" t="str">
        <f>"Site Energy Use "&amp;'12 - Performance_Outputs_1'!PO_SiteUnits</f>
        <v>Site Energy Use kWh</v>
      </c>
      <c r="AS6" s="780" t="s">
        <v>2622</v>
      </c>
      <c r="AT6" s="780" t="str">
        <f>"Source Energy Use "&amp;'12 - Performance_Outputs_1'!PO_SourceUnits</f>
        <v>Source Energy Use kWh</v>
      </c>
      <c r="AU6" s="780" t="s">
        <v>2623</v>
      </c>
      <c r="AV6" s="780" t="s">
        <v>2586</v>
      </c>
      <c r="AW6" s="780" t="s">
        <v>2640</v>
      </c>
      <c r="AX6" s="1670" t="s">
        <v>2639</v>
      </c>
      <c r="AY6" s="1670" t="s">
        <v>2641</v>
      </c>
      <c r="AZ6" s="1881" t="s">
        <v>2642</v>
      </c>
      <c r="BA6" s="1670" t="s">
        <v>2676</v>
      </c>
      <c r="BB6" s="780" t="s">
        <v>2673</v>
      </c>
      <c r="BC6" s="780" t="s">
        <v>2673</v>
      </c>
      <c r="BD6"/>
      <c r="BE6"/>
      <c r="BF6"/>
      <c r="BG6" s="4112" t="s">
        <v>2626</v>
      </c>
      <c r="BH6" s="4114" t="s">
        <v>2626</v>
      </c>
      <c r="BI6" s="4112" t="str">
        <f>'12 - Performance_Outputs_1'!B238</f>
        <v>Interior lighting</v>
      </c>
      <c r="BJ6" s="4113"/>
      <c r="BK6" s="3855">
        <f>'12 - Performance_Outputs_1'!D238</f>
        <v>0</v>
      </c>
      <c r="BL6" s="3839" t="str">
        <f>'12 - Performance_Outputs_1'!E238</f>
        <v>Electricity</v>
      </c>
      <c r="BM6" s="1299" t="str">
        <f>'12 - Performance_Outputs_1'!F238</f>
        <v/>
      </c>
      <c r="BN6" s="1782" t="str">
        <f>'12 - Performance_Outputs_1'!G238</f>
        <v/>
      </c>
      <c r="BO6" s="1782">
        <f>'12 - Performance_Outputs_1'!H238</f>
        <v>0</v>
      </c>
      <c r="BP6" s="1877" t="str">
        <f>'12 - Performance_Outputs_1'!I238</f>
        <v/>
      </c>
      <c r="BQ6" s="3849" t="str">
        <f>'12 - Performance_Outputs_1'!J238</f>
        <v/>
      </c>
      <c r="BR6" s="1880" t="str">
        <f>'12 - Performance_Outputs_1'!K238</f>
        <v/>
      </c>
      <c r="BS6" s="1879" t="str">
        <f>'12 - Performance_Outputs_1'!M238</f>
        <v/>
      </c>
      <c r="BT6" s="1882" t="str">
        <f>'12 - Performance_Outputs_1'!R238</f>
        <v/>
      </c>
      <c r="BU6" s="1882" t="str">
        <f>'12 - Performance_Outputs_1'!S238</f>
        <v/>
      </c>
      <c r="BV6" s="1885">
        <f ca="1">SUMIF('12 - Performance_Outputs_1'!$B$311:$B$316,BL6,'12 - Performance_Outputs_1'!$E$311:$G$315)</f>
        <v>0</v>
      </c>
      <c r="BW6" s="1885">
        <f ca="1">SUMIF('12 - Performance_Outputs_1'!$B$311:$B$316,BL6,'12 - Performance_Outputs_1'!$H$311:$H$315)</f>
        <v>0</v>
      </c>
      <c r="BX6" s="1884" t="str">
        <f t="shared" ref="BX6:BX37" si="1">IFERROR(BN6*BT6,"")</f>
        <v/>
      </c>
      <c r="BY6" s="1888" t="str">
        <f t="shared" ref="BY6:BY37" si="2">IFERROR((BX6*1000)/$DD$2,"")</f>
        <v/>
      </c>
      <c r="BZ6" s="1884" t="str">
        <f t="shared" ref="BZ6:BZ37" si="3">IFERROR(BN6*BU6,"")</f>
        <v/>
      </c>
      <c r="CA6" s="1888" t="str">
        <f t="shared" ref="CA6:CA37" si="4">IFERROR((BZ6*1000)/$DD$2,"")</f>
        <v/>
      </c>
      <c r="CB6" s="1886" t="str">
        <f t="shared" ref="CB6:CB37" ca="1" si="5">IFERROR(BN6*BV6,"")</f>
        <v/>
      </c>
      <c r="CC6" s="1883" t="str">
        <f t="shared" ref="CC6:CC37" si="6">IFERROR(BO6*BT6,"")</f>
        <v/>
      </c>
      <c r="CD6" s="1889" t="str">
        <f t="shared" ref="CD6:CD37" si="7">IFERROR((CC6*1000)/$DD$2,"")</f>
        <v/>
      </c>
      <c r="CE6" s="1883" t="str">
        <f t="shared" ref="CE6:CE37" si="8">IFERROR(BO6*BU6,"")</f>
        <v/>
      </c>
      <c r="CF6" s="1889" t="str">
        <f t="shared" ref="CF6:CF37" si="9">IFERROR((CE6*1000)/$DD$2,"")</f>
        <v/>
      </c>
      <c r="CG6" s="1887">
        <f t="shared" ref="CG6:CG37" ca="1" si="10">IFERROR(BO6*BW6,"")</f>
        <v>0</v>
      </c>
      <c r="CH6" s="4123" t="str">
        <f>IFERROR(IF($DD$1="4A",VLOOKUP(CH$4,'90.1-2004 Site EUI'!$A$3:$W$27,MATCH($BH6,'90.1-2004 Site EUI'!$A$4:$W$4,0),FALSE),IF($DD$1="5A",VLOOKUP(CH$4,'90.1-2004 Site EUI'!$A$29:$W$53,MATCH($BH6,'90.1-2004 Site EUI'!$A$30:$W$30,0),FALSE),IF($DD$1="6A",VLOOKUP(CH$4,'90.1-2004 Site EUI'!$A$55:$W$79,MATCH($BH6,'90.1-2004 Site EUI'!$A$56:$W$56,0),FALSE),""))),"")</f>
        <v/>
      </c>
      <c r="CI6" s="4123" t="str">
        <f>IFERROR(IF($DD$1="4A",VLOOKUP(CI$4,'90.1-2004 Site EUI'!$A$3:$W$27,MATCH($BH6,'90.1-2004 Site EUI'!$A$4:$W$4,0),FALSE),IF($DD$1="5A",VLOOKUP(CI$4,'90.1-2004 Site EUI'!$A$29:$W$53,MATCH($BH6,'90.1-2004 Site EUI'!$A$30:$W$30,0),FALSE),IF($DD$1="6A",VLOOKUP(CI$4,'90.1-2004 Site EUI'!$A$55:$W$79,MATCH($BH6,'90.1-2004 Site EUI'!$A$56:$W$56,0),FALSE),""))),"")</f>
        <v/>
      </c>
      <c r="CJ6" s="4123" t="str">
        <f>IFERROR(IF($DD$1="4A",VLOOKUP(CJ$4,'90.1-2004 Site EUI'!$A$3:$W$27,MATCH($BH6,'90.1-2004 Site EUI'!$A$4:$W$4,0),FALSE),IF($DD$1="5A",VLOOKUP(CJ$4,'90.1-2004 Site EUI'!$A$29:$W$53,MATCH($BH6,'90.1-2004 Site EUI'!$A$30:$W$30,0),FALSE),IF($DD$1="6A",VLOOKUP(CJ$4,'90.1-2004 Site EUI'!$A$55:$W$79,MATCH($BH6,'90.1-2004 Site EUI'!$A$56:$W$56,0),FALSE),""))),"")</f>
        <v/>
      </c>
      <c r="CK6" s="4123" t="str">
        <f>IFERROR(IF($DD$1="4A",VLOOKUP(CK$4,'90.1-2004 Site EUI'!$A$3:$W$27,MATCH($BH6,'90.1-2004 Site EUI'!$A$4:$W$4,0),FALSE),IF($DD$1="5A",VLOOKUP(CK$4,'90.1-2004 Site EUI'!$A$29:$W$53,MATCH($BH6,'90.1-2004 Site EUI'!$A$30:$W$30,0),FALSE),IF($DD$1="6A",VLOOKUP(CK$4,'90.1-2004 Site EUI'!$A$55:$W$79,MATCH($BH6,'90.1-2004 Site EUI'!$A$56:$W$56,0),FALSE),""))),"")</f>
        <v/>
      </c>
      <c r="CL6" s="4123" t="str">
        <f>IFERROR(IF($DD$1="4A",VLOOKUP(CL$4,'90.1-2004 Site EUI'!$A$3:$W$27,MATCH($BH6,'90.1-2004 Site EUI'!$A$4:$W$4,0),FALSE),IF($DD$1="5A",VLOOKUP(CL$4,'90.1-2004 Site EUI'!$A$29:$W$53,MATCH($BH6,'90.1-2004 Site EUI'!$A$30:$W$30,0),FALSE),IF($DD$1="6A",VLOOKUP(CL$4,'90.1-2004 Site EUI'!$A$55:$W$79,MATCH($BH6,'90.1-2004 Site EUI'!$A$56:$W$56,0),FALSE),""))),"")</f>
        <v/>
      </c>
      <c r="CM6" s="4123" t="str">
        <f>IFERROR(IF($DD$1="4A",VLOOKUP(CM$4,'90.1-2004 Site EUI'!$A$3:$W$27,MATCH($BH6,'90.1-2004 Site EUI'!$A$4:$W$4,0),FALSE),IF($DD$1="5A",VLOOKUP(CM$4,'90.1-2004 Site EUI'!$A$29:$W$53,MATCH($BH6,'90.1-2004 Site EUI'!$A$30:$W$30,0),FALSE),IF($DD$1="6A",VLOOKUP(CM$4,'90.1-2004 Site EUI'!$A$55:$W$79,MATCH($BH6,'90.1-2004 Site EUI'!$A$56:$W$56,0),FALSE),""))),"")</f>
        <v/>
      </c>
      <c r="CN6" s="4123" t="str">
        <f>IFERROR(IF($DD$1="4A",VLOOKUP(CN$4,'90.1-2004 Site EUI'!$A$3:$W$27,MATCH($BH6,'90.1-2004 Site EUI'!$A$4:$W$4,0),FALSE),IF($DD$1="5A",VLOOKUP(CN$4,'90.1-2004 Site EUI'!$A$29:$W$53,MATCH($BH6,'90.1-2004 Site EUI'!$A$30:$W$30,0),FALSE),IF($DD$1="6A",VLOOKUP(CN$4,'90.1-2004 Site EUI'!$A$55:$W$79,MATCH($BH6,'90.1-2004 Site EUI'!$A$56:$W$56,0),FALSE),""))),"")</f>
        <v/>
      </c>
      <c r="CO6" s="4123" t="e">
        <f>AVERAGE(CH6:CN7,CP6)</f>
        <v>#DIV/0!</v>
      </c>
      <c r="CP6" s="4123" t="str">
        <f>IFERROR(IF($DD$1="4A",VLOOKUP(CP$4,'90.1-2004 Site EUI'!$A$3:$W$27,MATCH($BH6,'90.1-2004 Site EUI'!$A$4:$W$4,0),FALSE),IF($DD$1="5A",VLOOKUP(CP$4,'90.1-2004 Site EUI'!$A$29:$W$53,MATCH($BH6,'90.1-2004 Site EUI'!$A$30:$W$30,0),FALSE),IF($DD$1="6A",VLOOKUP(CP$4,'90.1-2004 Site EUI'!$A$55:$W$79,MATCH($BH6,'90.1-2004 Site EUI'!$A$56:$W$56,0),FALSE),""))),"")</f>
        <v/>
      </c>
      <c r="CQ6" s="4123" t="str">
        <f>IFERROR(IF($DD$1="4A",VLOOKUP(CQ$4,'90.1-2013 Site EUI'!$A$3:$W$27,MATCH($BH6,'90.1-2013 Site EUI'!$A$4:$W$4,0),FALSE),IF($DD$1="5A",VLOOKUP(CQ$4,'90.1-2013 Site EUI'!$A$29:$W$53,MATCH($BH6,'90.1-2013 Site EUI'!$A$30:$W$30,0),FALSE),IF($DD$1="6A",VLOOKUP(CQ$4,'90.1-2013 Site EUI'!$A$55:$W$79,MATCH($BH6,'90.1-2013 Site EUI'!$A$56:$W$56,0),FALSE),""))),"")</f>
        <v/>
      </c>
      <c r="CR6" s="4123" t="str">
        <f>IFERROR(IF($DD$1="4A",VLOOKUP(CR$4,'90.1-2013 Site EUI'!$A$3:$W$27,MATCH($BH6,'90.1-2013 Site EUI'!$A$4:$W$4,0),FALSE),IF($DD$1="5A",VLOOKUP(CR$4,'90.1-2013 Site EUI'!$A$29:$W$53,MATCH($BH6,'90.1-2013 Site EUI'!$A$30:$W$30,0),FALSE),IF($DD$1="6A",VLOOKUP(CR$4,'90.1-2013 Site EUI'!$A$55:$W$79,MATCH($BH6,'90.1-2013 Site EUI'!$A$56:$W$56,0),FALSE),""))),"")</f>
        <v/>
      </c>
      <c r="CS6" s="4123" t="str">
        <f>IFERROR(IF($DD$1="4A",VLOOKUP(CS$4,'90.1-2013 Site EUI'!$A$3:$W$27,MATCH($BH6,'90.1-2013 Site EUI'!$A$4:$W$4,0),FALSE),IF($DD$1="5A",VLOOKUP(CS$4,'90.1-2013 Site EUI'!$A$29:$W$53,MATCH($BH6,'90.1-2013 Site EUI'!$A$30:$W$30,0),FALSE),IF($DD$1="6A",VLOOKUP(CS$4,'90.1-2013 Site EUI'!$A$55:$W$79,MATCH($BH6,'90.1-2013 Site EUI'!$A$56:$W$56,0),FALSE),""))),"")</f>
        <v/>
      </c>
      <c r="CT6" s="4123" t="str">
        <f>IFERROR(IF($DD$1="4A",VLOOKUP(CT$4,'90.1-2013 Site EUI'!$A$3:$W$27,MATCH($BH6,'90.1-2013 Site EUI'!$A$4:$W$4,0),FALSE),IF($DD$1="5A",VLOOKUP(CT$4,'90.1-2013 Site EUI'!$A$29:$W$53,MATCH($BH6,'90.1-2013 Site EUI'!$A$30:$W$30,0),FALSE),IF($DD$1="6A",VLOOKUP(CT$4,'90.1-2013 Site EUI'!$A$55:$W$79,MATCH($BH6,'90.1-2013 Site EUI'!$A$56:$W$56,0),FALSE),""))),"")</f>
        <v/>
      </c>
      <c r="CU6" s="4123" t="str">
        <f>IFERROR(IF($DD$1="4A",VLOOKUP(CU$4,'90.1-2013 Site EUI'!$A$3:$W$27,MATCH($BH6,'90.1-2013 Site EUI'!$A$4:$W$4,0),FALSE),IF($DD$1="5A",VLOOKUP(CU$4,'90.1-2013 Site EUI'!$A$29:$W$53,MATCH($BH6,'90.1-2013 Site EUI'!$A$30:$W$30,0),FALSE),IF($DD$1="6A",VLOOKUP(CU$4,'90.1-2013 Site EUI'!$A$55:$W$79,MATCH($BH6,'90.1-2013 Site EUI'!$A$56:$W$56,0),FALSE),""))),"")</f>
        <v/>
      </c>
      <c r="CV6" s="4123" t="str">
        <f>IFERROR(IF($DD$1="4A",VLOOKUP(CV$4,'90.1-2013 Site EUI'!$A$3:$W$27,MATCH($BH6,'90.1-2013 Site EUI'!$A$4:$W$4,0),FALSE),IF($DD$1="5A",VLOOKUP(CV$4,'90.1-2013 Site EUI'!$A$29:$W$53,MATCH($BH6,'90.1-2013 Site EUI'!$A$30:$W$30,0),FALSE),IF($DD$1="6A",VLOOKUP(CV$4,'90.1-2013 Site EUI'!$A$55:$W$79,MATCH($BH6,'90.1-2013 Site EUI'!$A$56:$W$56,0),FALSE),""))),"")</f>
        <v/>
      </c>
      <c r="CW6" s="4123" t="str">
        <f>IFERROR(IF($DD$1="4A",VLOOKUP(CW$4,'90.1-2013 Site EUI'!$A$3:$W$27,MATCH($BH6,'90.1-2013 Site EUI'!$A$4:$W$4,0),FALSE),IF($DD$1="5A",VLOOKUP(CW$4,'90.1-2013 Site EUI'!$A$29:$W$53,MATCH($BH6,'90.1-2013 Site EUI'!$A$30:$W$30,0),FALSE),IF($DD$1="6A",VLOOKUP(CW$4,'90.1-2013 Site EUI'!$A$55:$W$79,MATCH($BH6,'90.1-2013 Site EUI'!$A$56:$W$56,0),FALSE),""))),"")</f>
        <v/>
      </c>
      <c r="CX6" s="4123" t="e">
        <f>AVERAGE(CQ6:CW7,CY6)</f>
        <v>#DIV/0!</v>
      </c>
      <c r="CY6" s="4143" t="str">
        <f>IFERROR(IF($DD$1="4A",VLOOKUP(CY$4,'90.1-2013 Site EUI'!$A$3:$W$27,MATCH($BH6,'90.1-2013 Site EUI'!$A$4:$W$4,0),FALSE),IF($DD$1="5A",VLOOKUP(CY$4,'90.1-2013 Site EUI'!$A$29:$W$53,MATCH($BH6,'90.1-2013 Site EUI'!$A$30:$W$30,0),FALSE),IF($DD$1="6A",VLOOKUP(CY$4,'90.1-2013 Site EUI'!$A$55:$W$79,MATCH($BH6,'90.1-2013 Site EUI'!$A$56:$W$56,0),FALSE),""))),"")</f>
        <v/>
      </c>
      <c r="CZ6" s="4145" t="e">
        <f>SUMIF($CH$4:$CP$4,$DG$1,CH6:CP7)*$DI$1+SUMIF($CH$4:$CP$4,$DG$2,CH6:CP7)*$DI$2+SUMIF($CH$4:$CP$4,$DG$3,CH6:CP7)*$DI$3+SUMIF($CH$4:$CP$4,$DG$4,CH6:CP7)*$DI$4+SUMIF($CH$4:$CP$4,$DG$5,CH6:CP7)*$DI$5+SUMIF($CH$4:$CP$4,$DG$6,CH6:CP7)*$DI$6+SUMIF($CH$4:$CP$4,$DG$7,CH6:CP7)*$DI$7+SUMIF($CH$4:$CP$4,$DG$8,CH6:CP7)*$DI$8+SUMIF($CH$4:$CP$4,$DG$8,CH6:CP7)*$DI$8+SUMIF($CH$4:$CP$4,$DG$9,CH6:CP7)*$DI$9</f>
        <v>#DIV/0!</v>
      </c>
      <c r="DA6" s="4147" t="e">
        <f>SUMIF($CQ$4:$CY$4,$DG$1,CQ6:CY7)*$DI$1+SUMIF($CQ$4:$CY$4,$DG$2,CQ6:CY7)*$DI$2+SUMIF($CQ$4:$CY$4,$DG$3,CQ6:CY7)*$DI$3+SUMIF($CQ$4:$CY$4,$DG$4,CQ6:CY7)*$DI$4+SUMIF($CQ$4:$CY$4,$DG$5,CQ6:CY7)*$DI$5+SUMIF($CQ$4:$CY$4,$DG$6,CQ6:CY7)*$DI$6+SUMIF($CQ$4:$CY$4,$DG$7,CQ6:CY7)*$DI$7+SUMIF($CQ$4:$CY$4,$DG$8,CQ6:CY7)*$DI$8+SUMIF($CQ$4:$CY$4,$DG$9,CQ6:CY7)*$DI$9</f>
        <v>#DIV/0!</v>
      </c>
      <c r="DB6"/>
      <c r="DC6"/>
      <c r="DD6"/>
      <c r="DE6"/>
      <c r="DF6"/>
      <c r="DG6" s="1157" t="s">
        <v>2217</v>
      </c>
      <c r="DH6" s="2261">
        <f>SUMIF('General Information'!$E$20:E26,DG6,'General Information'!$Y$20:Y26)</f>
        <v>0</v>
      </c>
      <c r="DI6" s="2262" t="e">
        <f t="shared" si="0"/>
        <v>#DIV/0!</v>
      </c>
      <c r="DJ6"/>
      <c r="DM6" s="42"/>
      <c r="DN6" s="4154" t="s">
        <v>2832</v>
      </c>
      <c r="DO6" s="2013" t="s">
        <v>2830</v>
      </c>
      <c r="DP6" s="2014">
        <v>0.8</v>
      </c>
      <c r="DQ6" s="2013">
        <v>0.9</v>
      </c>
      <c r="DR6" s="2014">
        <v>0.9</v>
      </c>
      <c r="DS6" s="2013">
        <v>0.25</v>
      </c>
      <c r="DT6" s="2014" t="s">
        <v>266</v>
      </c>
      <c r="DU6" s="2013">
        <v>0.82</v>
      </c>
      <c r="DW6" s="2015" t="s">
        <v>2342</v>
      </c>
      <c r="DX6" s="2020" t="s">
        <v>57</v>
      </c>
      <c r="DY6" s="2023">
        <v>172</v>
      </c>
      <c r="DZ6" s="2023">
        <v>174</v>
      </c>
      <c r="EA6" s="2023">
        <v>182</v>
      </c>
      <c r="EB6" s="2023">
        <v>124</v>
      </c>
      <c r="EC6" s="2023">
        <v>127</v>
      </c>
      <c r="ED6" s="2023">
        <v>128</v>
      </c>
      <c r="EE6" s="2023">
        <v>50</v>
      </c>
    </row>
    <row r="7" spans="1:135" s="866" customFormat="1" ht="14.4" thickBot="1" x14ac:dyDescent="0.3">
      <c r="AJ7" s="1934" t="s">
        <v>2626</v>
      </c>
      <c r="AK7" s="1901">
        <f t="shared" ref="AK7:AK15" si="11">SUMIF($BG:$BG,AJ7,$BX:$BX)</f>
        <v>0</v>
      </c>
      <c r="AL7" s="1899">
        <f t="shared" ref="AL7:AL15" si="12">SUMIF($BG:$BG,AJ7,$BY:$BY)</f>
        <v>0</v>
      </c>
      <c r="AM7" s="1901">
        <f t="shared" ref="AM7:AM15" si="13">SUMIF($BG:$BG,AJ7,$BZ:$BZ)</f>
        <v>0</v>
      </c>
      <c r="AN7" s="1899">
        <f t="shared" ref="AN7:AN15" si="14">SUMIF($BG:$BG,AJ7,$CA:$CA)</f>
        <v>0</v>
      </c>
      <c r="AO7" s="1901">
        <f t="shared" ref="AO7:AO15" ca="1" si="15">SUMIF($BG:$BG,AJ7,$CB:$CB)</f>
        <v>0</v>
      </c>
      <c r="AP7" s="1888" t="e">
        <f t="shared" ref="AP7:AP15" ca="1" si="16">AO7/$DD$2</f>
        <v>#DIV/0!</v>
      </c>
      <c r="AQ7" s="1935" t="str">
        <f t="shared" ref="AQ7:AQ15" si="17">IFERROR((BB7-AL7)/$AQ$16,"")</f>
        <v/>
      </c>
      <c r="AR7" s="1902">
        <f t="shared" ref="AR7:AR15" ca="1" si="18">SUMIF($BG:$BG,AJ7,$CC:$CC)</f>
        <v>0</v>
      </c>
      <c r="AS7" s="1900">
        <f t="shared" ref="AS7:AS15" ca="1" si="19">SUMIF($BG:$BG,AJ7,$CD:$CD)</f>
        <v>0</v>
      </c>
      <c r="AT7" s="1902">
        <f t="shared" ref="AT7:AT15" ca="1" si="20">SUMIF($BG:$BG,AJ7,$CE:$CE)</f>
        <v>0</v>
      </c>
      <c r="AU7" s="1900">
        <f t="shared" ref="AU7:AU15" ca="1" si="21">SUMIF($BG:$BG,AJ7,$CF:$CF)</f>
        <v>0</v>
      </c>
      <c r="AV7" s="1902">
        <f t="shared" ref="AV7:AV15" ca="1" si="22">SUMIF($BG:$BG,AJ7,$CG:$CG)</f>
        <v>0</v>
      </c>
      <c r="AW7" s="1889" t="e">
        <f t="shared" ref="AW7:AW15" ca="1" si="23">AV7/$DD$2</f>
        <v>#DIV/0!</v>
      </c>
      <c r="AX7" s="1890" t="str">
        <f t="shared" ref="AX7:AX15" ca="1" si="24">IFERROR((AO7-AV7)/$AX$16,"N/A")</f>
        <v>N/A</v>
      </c>
      <c r="AY7" s="1890" t="str">
        <f t="shared" ref="AY7:AY15" ca="1" si="25">IFERROR((AL7-AS7)/$AY$16,"")</f>
        <v/>
      </c>
      <c r="AZ7" s="1930" t="str">
        <f t="shared" ref="AZ7:AZ15" ca="1" si="26">IFERROR((AN7-AU7)/$AZ$16,"")</f>
        <v/>
      </c>
      <c r="BA7" s="1930" t="str">
        <f t="shared" ref="BA7:BA15" ca="1" si="27">IFERROR((BC7-AS7)/$BA$16,"")</f>
        <v/>
      </c>
      <c r="BB7" s="1900" t="e">
        <f t="shared" ref="BB7:BB15" si="28">SUMIF($BG:$BG,AJ7,$CZ:$CZ)</f>
        <v>#DIV/0!</v>
      </c>
      <c r="BC7" s="1900" t="e">
        <f t="shared" ref="BC7:BC15" si="29">SUMIF($BG:$BG,AJ7,$DA:$DA)</f>
        <v>#DIV/0!</v>
      </c>
      <c r="BD7"/>
      <c r="BE7"/>
      <c r="BF7"/>
      <c r="BG7" s="4113"/>
      <c r="BH7" s="4115"/>
      <c r="BI7" s="4113"/>
      <c r="BJ7" s="4113"/>
      <c r="BK7" s="3855"/>
      <c r="BL7" s="3839"/>
      <c r="BM7" s="1299" t="str">
        <f>'12 - Performance_Outputs_1'!F239</f>
        <v/>
      </c>
      <c r="BN7" s="1782" t="str">
        <f>'12 - Performance_Outputs_1'!G239</f>
        <v/>
      </c>
      <c r="BO7" s="1782" t="str">
        <f ca="1">'12 - Performance_Outputs_1'!H239</f>
        <v/>
      </c>
      <c r="BP7" s="1877" t="str">
        <f ca="1">'12 - Performance_Outputs_1'!I239</f>
        <v/>
      </c>
      <c r="BQ7" s="3850"/>
      <c r="BR7" s="1880">
        <f>'12 - Performance_Outputs_1'!K239</f>
        <v>0</v>
      </c>
      <c r="BS7" s="1879">
        <f>'12 - Performance_Outputs_1'!M239</f>
        <v>0</v>
      </c>
      <c r="BT7" s="1882" t="str">
        <f>'12 - Performance_Outputs_1'!R239</f>
        <v/>
      </c>
      <c r="BU7" s="1882" t="str">
        <f>'12 - Performance_Outputs_1'!S239</f>
        <v/>
      </c>
      <c r="BV7" s="1885">
        <f ca="1">SUMIF('12 - Performance_Outputs_1'!$B$311:$B$316,BL7,'12 - Performance_Outputs_1'!$E$311:$G$315)</f>
        <v>0</v>
      </c>
      <c r="BW7" s="1885">
        <f ca="1">SUMIF('12 - Performance_Outputs_1'!$B$311:$B$316,BL7,'12 - Performance_Outputs_1'!$H$311:$H$315)</f>
        <v>0</v>
      </c>
      <c r="BX7" s="1884" t="str">
        <f t="shared" si="1"/>
        <v/>
      </c>
      <c r="BY7" s="1888" t="str">
        <f t="shared" si="2"/>
        <v/>
      </c>
      <c r="BZ7" s="1884" t="str">
        <f t="shared" si="3"/>
        <v/>
      </c>
      <c r="CA7" s="1888" t="str">
        <f t="shared" si="4"/>
        <v/>
      </c>
      <c r="CB7" s="1886" t="str">
        <f t="shared" ca="1" si="5"/>
        <v/>
      </c>
      <c r="CC7" s="1883" t="str">
        <f t="shared" ca="1" si="6"/>
        <v/>
      </c>
      <c r="CD7" s="1889" t="str">
        <f t="shared" ca="1" si="7"/>
        <v/>
      </c>
      <c r="CE7" s="1883" t="str">
        <f t="shared" ca="1" si="8"/>
        <v/>
      </c>
      <c r="CF7" s="1889" t="str">
        <f t="shared" ca="1" si="9"/>
        <v/>
      </c>
      <c r="CG7" s="1887" t="str">
        <f t="shared" ca="1" si="10"/>
        <v/>
      </c>
      <c r="CH7" s="4124"/>
      <c r="CI7" s="4124"/>
      <c r="CJ7" s="4124"/>
      <c r="CK7" s="4124"/>
      <c r="CL7" s="4124"/>
      <c r="CM7" s="4124"/>
      <c r="CN7" s="4124"/>
      <c r="CO7" s="4124"/>
      <c r="CP7" s="4124"/>
      <c r="CQ7" s="4124"/>
      <c r="CR7" s="4124"/>
      <c r="CS7" s="4124"/>
      <c r="CT7" s="4124"/>
      <c r="CU7" s="4124"/>
      <c r="CV7" s="4124"/>
      <c r="CW7" s="4124"/>
      <c r="CX7" s="4124"/>
      <c r="CY7" s="4144"/>
      <c r="CZ7" s="4146"/>
      <c r="DA7" s="4148"/>
      <c r="DB7"/>
      <c r="DC7"/>
      <c r="DD7"/>
      <c r="DE7"/>
      <c r="DF7"/>
      <c r="DG7" s="1157" t="s">
        <v>1645</v>
      </c>
      <c r="DH7" s="2261">
        <f>SUMIF('General Information'!$E$20:E26,DG7,'General Information'!$Y$20:Y26)</f>
        <v>0</v>
      </c>
      <c r="DI7" s="2262" t="e">
        <f t="shared" si="0"/>
        <v>#DIV/0!</v>
      </c>
      <c r="DJ7"/>
      <c r="DK7"/>
      <c r="DM7" s="42"/>
      <c r="DN7" s="4155"/>
      <c r="DO7" s="2013" t="s">
        <v>2831</v>
      </c>
      <c r="DP7" s="2014">
        <v>0.4</v>
      </c>
      <c r="DQ7" s="2013">
        <v>0.5</v>
      </c>
      <c r="DR7" s="2014">
        <v>0.4</v>
      </c>
      <c r="DS7" s="2013">
        <v>0.25</v>
      </c>
      <c r="DT7" s="2014" t="s">
        <v>266</v>
      </c>
      <c r="DU7" s="2013">
        <v>0.15</v>
      </c>
      <c r="DW7" s="2015" t="s">
        <v>1645</v>
      </c>
      <c r="DX7" s="2020" t="s">
        <v>2846</v>
      </c>
      <c r="DY7" s="2023">
        <v>118</v>
      </c>
      <c r="DZ7" s="2023">
        <v>132</v>
      </c>
      <c r="EA7" s="2023">
        <v>134</v>
      </c>
      <c r="EB7" s="2023">
        <v>86</v>
      </c>
      <c r="EC7" s="2023">
        <v>90</v>
      </c>
      <c r="ED7" s="2023">
        <v>90</v>
      </c>
      <c r="EE7" s="2023">
        <v>37</v>
      </c>
    </row>
    <row r="8" spans="1:135" s="866" customFormat="1" ht="14.4" hidden="1" thickBot="1" x14ac:dyDescent="0.3">
      <c r="C8" s="1995"/>
      <c r="E8" s="1995"/>
      <c r="G8" s="1570"/>
      <c r="H8" s="1570"/>
      <c r="L8" s="1570"/>
      <c r="AJ8" s="1934" t="s">
        <v>2627</v>
      </c>
      <c r="AK8" s="1901">
        <f t="shared" si="11"/>
        <v>0</v>
      </c>
      <c r="AL8" s="1899">
        <f t="shared" si="12"/>
        <v>0</v>
      </c>
      <c r="AM8" s="1901">
        <f t="shared" si="13"/>
        <v>0</v>
      </c>
      <c r="AN8" s="1899">
        <f t="shared" si="14"/>
        <v>0</v>
      </c>
      <c r="AO8" s="1901">
        <f t="shared" ca="1" si="15"/>
        <v>0</v>
      </c>
      <c r="AP8" s="1888" t="e">
        <f t="shared" ca="1" si="16"/>
        <v>#DIV/0!</v>
      </c>
      <c r="AQ8" s="1935" t="str">
        <f t="shared" si="17"/>
        <v/>
      </c>
      <c r="AR8" s="1902">
        <f t="shared" ca="1" si="18"/>
        <v>0</v>
      </c>
      <c r="AS8" s="1900">
        <f t="shared" ca="1" si="19"/>
        <v>0</v>
      </c>
      <c r="AT8" s="1902">
        <f t="shared" ca="1" si="20"/>
        <v>0</v>
      </c>
      <c r="AU8" s="1900">
        <f t="shared" ca="1" si="21"/>
        <v>0</v>
      </c>
      <c r="AV8" s="1902">
        <f t="shared" ca="1" si="22"/>
        <v>0</v>
      </c>
      <c r="AW8" s="1889" t="e">
        <f t="shared" ca="1" si="23"/>
        <v>#DIV/0!</v>
      </c>
      <c r="AX8" s="1890" t="str">
        <f t="shared" ca="1" si="24"/>
        <v>N/A</v>
      </c>
      <c r="AY8" s="1890" t="str">
        <f t="shared" ca="1" si="25"/>
        <v/>
      </c>
      <c r="AZ8" s="1930" t="str">
        <f t="shared" ca="1" si="26"/>
        <v/>
      </c>
      <c r="BA8" s="1930" t="str">
        <f t="shared" ca="1" si="27"/>
        <v/>
      </c>
      <c r="BB8" s="1900" t="e">
        <f t="shared" si="28"/>
        <v>#DIV/0!</v>
      </c>
      <c r="BC8" s="1900" t="e">
        <f t="shared" si="29"/>
        <v>#DIV/0!</v>
      </c>
      <c r="BD8"/>
      <c r="BE8"/>
      <c r="BF8"/>
      <c r="BG8" s="4112" t="s">
        <v>2626</v>
      </c>
      <c r="BH8" s="4114" t="s">
        <v>2626</v>
      </c>
      <c r="BI8" s="4112" t="str">
        <f>'12 - Performance_Outputs_1'!B240</f>
        <v>Lighting in Apartments</v>
      </c>
      <c r="BJ8" s="4113"/>
      <c r="BK8" s="3855">
        <f>'12 - Performance_Outputs_1'!D240</f>
        <v>0</v>
      </c>
      <c r="BL8" s="3839" t="str">
        <f>'12 - Performance_Outputs_1'!E240</f>
        <v>Electricity</v>
      </c>
      <c r="BM8" s="1299" t="str">
        <f>'12 - Performance_Outputs_1'!F240</f>
        <v/>
      </c>
      <c r="BN8" s="1782" t="str">
        <f>'12 - Performance_Outputs_1'!G240</f>
        <v/>
      </c>
      <c r="BO8" s="1782" t="str">
        <f ca="1">'12 - Performance_Outputs_1'!H240</f>
        <v/>
      </c>
      <c r="BP8" s="1877" t="str">
        <f ca="1">'12 - Performance_Outputs_1'!I240</f>
        <v/>
      </c>
      <c r="BQ8" s="3849" t="str">
        <f ca="1">'12 - Performance_Outputs_1'!J240</f>
        <v/>
      </c>
      <c r="BR8" s="1880" t="str">
        <f ca="1">'12 - Performance_Outputs_1'!K240</f>
        <v/>
      </c>
      <c r="BS8" s="1879" t="str">
        <f ca="1">'12 - Performance_Outputs_1'!M240</f>
        <v/>
      </c>
      <c r="BT8" s="1882" t="str">
        <f>'12 - Performance_Outputs_1'!R240</f>
        <v/>
      </c>
      <c r="BU8" s="1882" t="str">
        <f>'12 - Performance_Outputs_1'!S240</f>
        <v/>
      </c>
      <c r="BV8" s="1885">
        <f ca="1">SUMIF('12 - Performance_Outputs_1'!$B$311:$B$316,BL8,'12 - Performance_Outputs_1'!$E$311:$G$315)</f>
        <v>0</v>
      </c>
      <c r="BW8" s="1885">
        <f ca="1">SUMIF('12 - Performance_Outputs_1'!$B$311:$B$316,BL8,'12 - Performance_Outputs_1'!$H$311:$H$315)</f>
        <v>0</v>
      </c>
      <c r="BX8" s="1884" t="str">
        <f t="shared" si="1"/>
        <v/>
      </c>
      <c r="BY8" s="1888" t="str">
        <f t="shared" si="2"/>
        <v/>
      </c>
      <c r="BZ8" s="1884" t="str">
        <f t="shared" si="3"/>
        <v/>
      </c>
      <c r="CA8" s="1888" t="str">
        <f t="shared" si="4"/>
        <v/>
      </c>
      <c r="CB8" s="1886" t="str">
        <f t="shared" ca="1" si="5"/>
        <v/>
      </c>
      <c r="CC8" s="1883" t="str">
        <f t="shared" ca="1" si="6"/>
        <v/>
      </c>
      <c r="CD8" s="1889" t="str">
        <f t="shared" ca="1" si="7"/>
        <v/>
      </c>
      <c r="CE8" s="1883" t="str">
        <f t="shared" ca="1" si="8"/>
        <v/>
      </c>
      <c r="CF8" s="1889" t="str">
        <f t="shared" ca="1" si="9"/>
        <v/>
      </c>
      <c r="CG8" s="1887" t="str">
        <f t="shared" ca="1" si="10"/>
        <v/>
      </c>
      <c r="CH8" s="4110"/>
      <c r="CI8" s="4110"/>
      <c r="CJ8" s="4110"/>
      <c r="CK8" s="4110"/>
      <c r="CL8" s="4110"/>
      <c r="CM8" s="4110"/>
      <c r="CN8" s="4110"/>
      <c r="CO8" s="4110"/>
      <c r="CP8" s="4110"/>
      <c r="CQ8" s="4110"/>
      <c r="CR8" s="4110"/>
      <c r="CS8" s="4110"/>
      <c r="CT8" s="4110"/>
      <c r="CU8" s="4110"/>
      <c r="CV8" s="4110"/>
      <c r="CW8" s="4110"/>
      <c r="CX8" s="4110"/>
      <c r="CY8" s="4139"/>
      <c r="CZ8" s="4141"/>
      <c r="DA8" s="4137"/>
      <c r="DB8"/>
      <c r="DC8"/>
      <c r="DG8" s="1157" t="s">
        <v>74</v>
      </c>
      <c r="DH8" s="2261">
        <f>SUMIF('General Information'!$E$20:E26,DG8,'General Information'!$Y$20:Y26)</f>
        <v>0</v>
      </c>
      <c r="DI8" s="2262" t="e">
        <f t="shared" si="0"/>
        <v>#DIV/0!</v>
      </c>
      <c r="DJ8"/>
      <c r="DK8"/>
      <c r="DM8" s="2015" t="s">
        <v>2342</v>
      </c>
      <c r="DN8" s="4156"/>
      <c r="DO8" s="2013" t="s">
        <v>1113</v>
      </c>
      <c r="DP8" s="2014">
        <v>4691</v>
      </c>
      <c r="DQ8" s="2013">
        <v>5438</v>
      </c>
      <c r="DR8" s="2014">
        <v>5169</v>
      </c>
      <c r="DS8" s="2013">
        <v>2190</v>
      </c>
      <c r="DT8" s="2014">
        <v>8760</v>
      </c>
      <c r="DU8" s="2013">
        <v>2751</v>
      </c>
      <c r="DX8" s="2020" t="s">
        <v>2847</v>
      </c>
      <c r="DY8" s="2023">
        <v>83</v>
      </c>
      <c r="DZ8" s="2023">
        <v>87</v>
      </c>
      <c r="EA8" s="2023">
        <v>87</v>
      </c>
      <c r="EB8" s="2023">
        <v>70</v>
      </c>
      <c r="EC8" s="2023">
        <v>74</v>
      </c>
      <c r="ED8" s="2023">
        <v>75</v>
      </c>
      <c r="EE8" s="2023">
        <v>42</v>
      </c>
    </row>
    <row r="9" spans="1:135" s="866" customFormat="1" ht="14.4" thickBot="1" x14ac:dyDescent="0.3">
      <c r="AJ9" s="1934" t="s">
        <v>2669</v>
      </c>
      <c r="AK9" s="1901">
        <f t="shared" si="11"/>
        <v>0</v>
      </c>
      <c r="AL9" s="1899">
        <f t="shared" si="12"/>
        <v>0</v>
      </c>
      <c r="AM9" s="1901">
        <f t="shared" si="13"/>
        <v>0</v>
      </c>
      <c r="AN9" s="1899">
        <f t="shared" si="14"/>
        <v>0</v>
      </c>
      <c r="AO9" s="1901">
        <f t="shared" ca="1" si="15"/>
        <v>0</v>
      </c>
      <c r="AP9" s="1888" t="e">
        <f t="shared" ca="1" si="16"/>
        <v>#DIV/0!</v>
      </c>
      <c r="AQ9" s="1935" t="str">
        <f t="shared" si="17"/>
        <v/>
      </c>
      <c r="AR9" s="1902">
        <f t="shared" ca="1" si="18"/>
        <v>0</v>
      </c>
      <c r="AS9" s="1900">
        <f t="shared" ca="1" si="19"/>
        <v>0</v>
      </c>
      <c r="AT9" s="1902">
        <f t="shared" ca="1" si="20"/>
        <v>0</v>
      </c>
      <c r="AU9" s="1900">
        <f t="shared" ca="1" si="21"/>
        <v>0</v>
      </c>
      <c r="AV9" s="1902">
        <f t="shared" ca="1" si="22"/>
        <v>0</v>
      </c>
      <c r="AW9" s="1889" t="e">
        <f t="shared" ca="1" si="23"/>
        <v>#DIV/0!</v>
      </c>
      <c r="AX9" s="1890" t="str">
        <f t="shared" ca="1" si="24"/>
        <v>N/A</v>
      </c>
      <c r="AY9" s="1890" t="str">
        <f t="shared" ca="1" si="25"/>
        <v/>
      </c>
      <c r="AZ9" s="1930" t="str">
        <f t="shared" ca="1" si="26"/>
        <v/>
      </c>
      <c r="BA9" s="1930" t="str">
        <f t="shared" ca="1" si="27"/>
        <v/>
      </c>
      <c r="BB9" s="1900" t="e">
        <f t="shared" si="28"/>
        <v>#DIV/0!</v>
      </c>
      <c r="BC9" s="1900" t="e">
        <f t="shared" si="29"/>
        <v>#DIV/0!</v>
      </c>
      <c r="BD9"/>
      <c r="BE9"/>
      <c r="BF9"/>
      <c r="BG9" s="4113"/>
      <c r="BH9" s="4115"/>
      <c r="BI9" s="4113"/>
      <c r="BJ9" s="4113"/>
      <c r="BK9" s="3855"/>
      <c r="BL9" s="3839"/>
      <c r="BM9" s="1299" t="str">
        <f>'12 - Performance_Outputs_1'!F241</f>
        <v/>
      </c>
      <c r="BN9" s="1782" t="str">
        <f>'12 - Performance_Outputs_1'!G241</f>
        <v/>
      </c>
      <c r="BO9" s="1782" t="str">
        <f ca="1">'12 - Performance_Outputs_1'!H241</f>
        <v/>
      </c>
      <c r="BP9" s="1877" t="str">
        <f ca="1">'12 - Performance_Outputs_1'!I241</f>
        <v/>
      </c>
      <c r="BQ9" s="3850"/>
      <c r="BR9" s="1880">
        <f>'12 - Performance_Outputs_1'!K241</f>
        <v>0</v>
      </c>
      <c r="BS9" s="1879">
        <f>'12 - Performance_Outputs_1'!M241</f>
        <v>0</v>
      </c>
      <c r="BT9" s="1882" t="str">
        <f>'12 - Performance_Outputs_1'!R241</f>
        <v/>
      </c>
      <c r="BU9" s="1882" t="str">
        <f>'12 - Performance_Outputs_1'!S241</f>
        <v/>
      </c>
      <c r="BV9" s="1885">
        <f ca="1">SUMIF('12 - Performance_Outputs_1'!$B$311:$B$316,BL9,'12 - Performance_Outputs_1'!$E$311:$G$315)</f>
        <v>0</v>
      </c>
      <c r="BW9" s="1885">
        <f ca="1">SUMIF('12 - Performance_Outputs_1'!$B$311:$B$316,BL9,'12 - Performance_Outputs_1'!$H$311:$H$315)</f>
        <v>0</v>
      </c>
      <c r="BX9" s="1884" t="str">
        <f t="shared" si="1"/>
        <v/>
      </c>
      <c r="BY9" s="1888" t="str">
        <f t="shared" si="2"/>
        <v/>
      </c>
      <c r="BZ9" s="1884" t="str">
        <f t="shared" si="3"/>
        <v/>
      </c>
      <c r="CA9" s="1888" t="str">
        <f t="shared" si="4"/>
        <v/>
      </c>
      <c r="CB9" s="1886" t="str">
        <f t="shared" ca="1" si="5"/>
        <v/>
      </c>
      <c r="CC9" s="1883" t="str">
        <f t="shared" ca="1" si="6"/>
        <v/>
      </c>
      <c r="CD9" s="1889" t="str">
        <f t="shared" ca="1" si="7"/>
        <v/>
      </c>
      <c r="CE9" s="1883" t="str">
        <f t="shared" ca="1" si="8"/>
        <v/>
      </c>
      <c r="CF9" s="1889" t="str">
        <f t="shared" ca="1" si="9"/>
        <v/>
      </c>
      <c r="CG9" s="1887" t="str">
        <f t="shared" ca="1" si="10"/>
        <v/>
      </c>
      <c r="CH9" s="4111"/>
      <c r="CI9" s="4111"/>
      <c r="CJ9" s="4111"/>
      <c r="CK9" s="4111"/>
      <c r="CL9" s="4111"/>
      <c r="CM9" s="4111"/>
      <c r="CN9" s="4111"/>
      <c r="CO9" s="4111"/>
      <c r="CP9" s="4111"/>
      <c r="CQ9" s="4111"/>
      <c r="CR9" s="4111"/>
      <c r="CS9" s="4111"/>
      <c r="CT9" s="4111"/>
      <c r="CU9" s="4111"/>
      <c r="CV9" s="4111"/>
      <c r="CW9" s="4111"/>
      <c r="CX9" s="4111"/>
      <c r="CY9" s="4140"/>
      <c r="CZ9" s="4142"/>
      <c r="DA9" s="4138"/>
      <c r="DB9"/>
      <c r="DC9"/>
      <c r="DG9" s="1157" t="s">
        <v>2215</v>
      </c>
      <c r="DH9" s="2261">
        <f>SUMIF('General Information'!$E$20:E26,DG9,'General Information'!$Y$20:Y26)</f>
        <v>0</v>
      </c>
      <c r="DI9" s="2262" t="e">
        <f t="shared" si="0"/>
        <v>#DIV/0!</v>
      </c>
      <c r="DJ9"/>
      <c r="DK9"/>
      <c r="DM9" s="42"/>
      <c r="DN9" s="4154" t="s">
        <v>2216</v>
      </c>
      <c r="DO9" s="2013" t="s">
        <v>2830</v>
      </c>
      <c r="DP9" s="2014">
        <v>0.9</v>
      </c>
      <c r="DQ9" s="2013">
        <v>0.9</v>
      </c>
      <c r="DR9" s="2014">
        <v>0.9</v>
      </c>
      <c r="DS9" s="2013">
        <v>0.25</v>
      </c>
      <c r="DT9" s="2014" t="s">
        <v>266</v>
      </c>
      <c r="DU9" s="2013">
        <v>0.8</v>
      </c>
      <c r="DX9" s="2020" t="s">
        <v>2848</v>
      </c>
      <c r="DY9" s="2023">
        <v>45</v>
      </c>
      <c r="DZ9" s="2023">
        <v>50</v>
      </c>
      <c r="EA9" s="2023">
        <v>51</v>
      </c>
      <c r="EB9" s="2023">
        <v>32</v>
      </c>
      <c r="EC9" s="2023">
        <v>35</v>
      </c>
      <c r="ED9" s="2023">
        <v>36</v>
      </c>
      <c r="EE9" s="2023">
        <v>16</v>
      </c>
    </row>
    <row r="10" spans="1:135" s="866" customFormat="1" ht="14.4" thickBot="1" x14ac:dyDescent="0.3">
      <c r="AJ10" s="1952" t="s">
        <v>2638</v>
      </c>
      <c r="AK10" s="1901">
        <f t="shared" si="11"/>
        <v>0</v>
      </c>
      <c r="AL10" s="1899">
        <f t="shared" si="12"/>
        <v>0</v>
      </c>
      <c r="AM10" s="1901">
        <f t="shared" si="13"/>
        <v>0</v>
      </c>
      <c r="AN10" s="1899">
        <f t="shared" si="14"/>
        <v>0</v>
      </c>
      <c r="AO10" s="1901">
        <f t="shared" ca="1" si="15"/>
        <v>0</v>
      </c>
      <c r="AP10" s="1888" t="e">
        <f t="shared" ca="1" si="16"/>
        <v>#DIV/0!</v>
      </c>
      <c r="AQ10" s="1935" t="str">
        <f t="shared" si="17"/>
        <v/>
      </c>
      <c r="AR10" s="1902">
        <f t="shared" ca="1" si="18"/>
        <v>0</v>
      </c>
      <c r="AS10" s="1900">
        <f t="shared" ca="1" si="19"/>
        <v>0</v>
      </c>
      <c r="AT10" s="1902">
        <f t="shared" ca="1" si="20"/>
        <v>0</v>
      </c>
      <c r="AU10" s="1900">
        <f t="shared" ca="1" si="21"/>
        <v>0</v>
      </c>
      <c r="AV10" s="1902">
        <f t="shared" ca="1" si="22"/>
        <v>0</v>
      </c>
      <c r="AW10" s="1889" t="e">
        <f t="shared" ca="1" si="23"/>
        <v>#DIV/0!</v>
      </c>
      <c r="AX10" s="1953" t="str">
        <f t="shared" ca="1" si="24"/>
        <v>N/A</v>
      </c>
      <c r="AY10" s="1953" t="str">
        <f t="shared" ca="1" si="25"/>
        <v/>
      </c>
      <c r="AZ10" s="1953" t="str">
        <f t="shared" ca="1" si="26"/>
        <v/>
      </c>
      <c r="BA10" s="1890" t="str">
        <f t="shared" ca="1" si="27"/>
        <v/>
      </c>
      <c r="BB10" s="1900" t="e">
        <f t="shared" si="28"/>
        <v>#DIV/0!</v>
      </c>
      <c r="BC10" s="1900" t="e">
        <f t="shared" si="29"/>
        <v>#DIV/0!</v>
      </c>
      <c r="BD10"/>
      <c r="BE10"/>
      <c r="BF10"/>
      <c r="BG10" s="4112" t="str">
        <f>IF(BK10="","Other Regulated","Other Non-Regulated")</f>
        <v>Other Non-Regulated</v>
      </c>
      <c r="BH10" s="4114" t="s">
        <v>275</v>
      </c>
      <c r="BI10" s="4112" t="str">
        <f>'12 - Performance_Outputs_1'!B242</f>
        <v>Interior lighting - process</v>
      </c>
      <c r="BJ10" s="4113"/>
      <c r="BK10" s="3855">
        <f>'12 - Performance_Outputs_1'!D242</f>
        <v>0</v>
      </c>
      <c r="BL10" s="3839" t="str">
        <f>'12 - Performance_Outputs_1'!E242</f>
        <v>Electricity</v>
      </c>
      <c r="BM10" s="1299" t="str">
        <f>'12 - Performance_Outputs_1'!F242</f>
        <v/>
      </c>
      <c r="BN10" s="1782" t="str">
        <f>'12 - Performance_Outputs_1'!G242</f>
        <v/>
      </c>
      <c r="BO10" s="1782" t="str">
        <f ca="1">'12 - Performance_Outputs_1'!H242</f>
        <v/>
      </c>
      <c r="BP10" s="1877" t="str">
        <f ca="1">'12 - Performance_Outputs_1'!I242</f>
        <v/>
      </c>
      <c r="BQ10" s="3849" t="str">
        <f ca="1">'12 - Performance_Outputs_1'!J242</f>
        <v/>
      </c>
      <c r="BR10" s="1880" t="str">
        <f ca="1">'12 - Performance_Outputs_1'!K242</f>
        <v/>
      </c>
      <c r="BS10" s="1879" t="str">
        <f ca="1">'12 - Performance_Outputs_1'!M242</f>
        <v/>
      </c>
      <c r="BT10" s="1882" t="str">
        <f>'12 - Performance_Outputs_1'!R242</f>
        <v/>
      </c>
      <c r="BU10" s="1882" t="str">
        <f>'12 - Performance_Outputs_1'!S242</f>
        <v/>
      </c>
      <c r="BV10" s="1885">
        <f ca="1">SUMIF('12 - Performance_Outputs_1'!$B$311:$B$316,BL10,'12 - Performance_Outputs_1'!$E$311:$G$315)</f>
        <v>0</v>
      </c>
      <c r="BW10" s="1885">
        <f ca="1">SUMIF('12 - Performance_Outputs_1'!$B$311:$B$316,BL10,'12 - Performance_Outputs_1'!$H$311:$H$315)</f>
        <v>0</v>
      </c>
      <c r="BX10" s="1884" t="str">
        <f t="shared" si="1"/>
        <v/>
      </c>
      <c r="BY10" s="1888" t="str">
        <f t="shared" si="2"/>
        <v/>
      </c>
      <c r="BZ10" s="1884" t="str">
        <f t="shared" si="3"/>
        <v/>
      </c>
      <c r="CA10" s="1888" t="str">
        <f t="shared" si="4"/>
        <v/>
      </c>
      <c r="CB10" s="1886" t="str">
        <f t="shared" ca="1" si="5"/>
        <v/>
      </c>
      <c r="CC10" s="1883" t="str">
        <f t="shared" ca="1" si="6"/>
        <v/>
      </c>
      <c r="CD10" s="1889" t="str">
        <f t="shared" ca="1" si="7"/>
        <v/>
      </c>
      <c r="CE10" s="1883" t="str">
        <f t="shared" ca="1" si="8"/>
        <v/>
      </c>
      <c r="CF10" s="1889" t="str">
        <f t="shared" ca="1" si="9"/>
        <v/>
      </c>
      <c r="CG10" s="1887" t="str">
        <f t="shared" ca="1" si="10"/>
        <v/>
      </c>
      <c r="CH10" s="4110"/>
      <c r="CI10" s="4110"/>
      <c r="CJ10" s="4110"/>
      <c r="CK10" s="4110"/>
      <c r="CL10" s="4110"/>
      <c r="CM10" s="4110"/>
      <c r="CN10" s="4110"/>
      <c r="CO10" s="4110"/>
      <c r="CP10" s="4110"/>
      <c r="CQ10" s="4110"/>
      <c r="CR10" s="4110"/>
      <c r="CS10" s="4110"/>
      <c r="CT10" s="4110"/>
      <c r="CU10" s="4110"/>
      <c r="CV10" s="4110"/>
      <c r="CW10" s="4110"/>
      <c r="CX10" s="4110"/>
      <c r="CY10" s="4139"/>
      <c r="CZ10" s="4141"/>
      <c r="DA10" s="4137"/>
      <c r="DB10"/>
      <c r="DC10"/>
      <c r="DH10" s="2263">
        <f>SUM(DH1:DH9)</f>
        <v>0</v>
      </c>
      <c r="DI10"/>
      <c r="DJ10"/>
      <c r="DK10"/>
      <c r="DM10" s="42"/>
      <c r="DN10" s="4155"/>
      <c r="DO10" s="2013" t="s">
        <v>2831</v>
      </c>
      <c r="DP10" s="2014">
        <v>0.2</v>
      </c>
      <c r="DQ10" s="2013">
        <v>0.1</v>
      </c>
      <c r="DR10" s="2014">
        <v>0.1</v>
      </c>
      <c r="DS10" s="2013">
        <v>0.25</v>
      </c>
      <c r="DT10" s="2014" t="s">
        <v>266</v>
      </c>
      <c r="DU10" s="2013">
        <v>0</v>
      </c>
      <c r="DW10" s="2015" t="s">
        <v>63</v>
      </c>
      <c r="DX10" s="2024" t="s">
        <v>2852</v>
      </c>
      <c r="DY10" s="2025">
        <f>AVERAGE(DY8:DY9)</f>
        <v>64</v>
      </c>
      <c r="DZ10" s="2025">
        <f t="shared" ref="DZ10:EE10" si="30">AVERAGE(DZ8:DZ9)</f>
        <v>68.5</v>
      </c>
      <c r="EA10" s="2025">
        <f t="shared" si="30"/>
        <v>69</v>
      </c>
      <c r="EB10" s="2025">
        <f t="shared" si="30"/>
        <v>51</v>
      </c>
      <c r="EC10" s="2025">
        <f t="shared" si="30"/>
        <v>54.5</v>
      </c>
      <c r="ED10" s="2025">
        <f t="shared" si="30"/>
        <v>55.5</v>
      </c>
      <c r="EE10" s="2025">
        <f t="shared" si="30"/>
        <v>29</v>
      </c>
    </row>
    <row r="11" spans="1:135" s="866" customFormat="1" ht="14.4" thickBot="1" x14ac:dyDescent="0.3">
      <c r="AJ11" s="1952" t="s">
        <v>2670</v>
      </c>
      <c r="AK11" s="1901">
        <f t="shared" si="11"/>
        <v>0</v>
      </c>
      <c r="AL11" s="1899">
        <f t="shared" si="12"/>
        <v>0</v>
      </c>
      <c r="AM11" s="1901">
        <f t="shared" si="13"/>
        <v>0</v>
      </c>
      <c r="AN11" s="1899">
        <f t="shared" si="14"/>
        <v>0</v>
      </c>
      <c r="AO11" s="1901">
        <f t="shared" ca="1" si="15"/>
        <v>0</v>
      </c>
      <c r="AP11" s="1888" t="e">
        <f t="shared" ca="1" si="16"/>
        <v>#DIV/0!</v>
      </c>
      <c r="AQ11" s="1935" t="str">
        <f t="shared" si="17"/>
        <v/>
      </c>
      <c r="AR11" s="1902">
        <f t="shared" ca="1" si="18"/>
        <v>0</v>
      </c>
      <c r="AS11" s="1900">
        <f t="shared" ca="1" si="19"/>
        <v>0</v>
      </c>
      <c r="AT11" s="1902">
        <f t="shared" ca="1" si="20"/>
        <v>0</v>
      </c>
      <c r="AU11" s="1900">
        <f t="shared" ca="1" si="21"/>
        <v>0</v>
      </c>
      <c r="AV11" s="1902">
        <f t="shared" ca="1" si="22"/>
        <v>0</v>
      </c>
      <c r="AW11" s="1889" t="e">
        <f t="shared" ca="1" si="23"/>
        <v>#DIV/0!</v>
      </c>
      <c r="AX11" s="1953" t="str">
        <f t="shared" ca="1" si="24"/>
        <v>N/A</v>
      </c>
      <c r="AY11" s="1953" t="str">
        <f t="shared" ca="1" si="25"/>
        <v/>
      </c>
      <c r="AZ11" s="1953" t="str">
        <f t="shared" ca="1" si="26"/>
        <v/>
      </c>
      <c r="BA11" s="1890" t="str">
        <f t="shared" ca="1" si="27"/>
        <v/>
      </c>
      <c r="BB11" s="1900" t="e">
        <f t="shared" si="28"/>
        <v>#DIV/0!</v>
      </c>
      <c r="BC11" s="1900" t="e">
        <f t="shared" si="29"/>
        <v>#DIV/0!</v>
      </c>
      <c r="BD11"/>
      <c r="BE11"/>
      <c r="BF11"/>
      <c r="BG11" s="4113"/>
      <c r="BH11" s="4115"/>
      <c r="BI11" s="4113"/>
      <c r="BJ11" s="4113"/>
      <c r="BK11" s="3855"/>
      <c r="BL11" s="3839"/>
      <c r="BM11" s="1299" t="str">
        <f>'12 - Performance_Outputs_1'!F243</f>
        <v/>
      </c>
      <c r="BN11" s="1782" t="str">
        <f>'12 - Performance_Outputs_1'!G243</f>
        <v/>
      </c>
      <c r="BO11" s="1782" t="str">
        <f ca="1">'12 - Performance_Outputs_1'!H243</f>
        <v/>
      </c>
      <c r="BP11" s="1877" t="str">
        <f ca="1">'12 - Performance_Outputs_1'!I243</f>
        <v/>
      </c>
      <c r="BQ11" s="3850"/>
      <c r="BR11" s="1880">
        <f>'12 - Performance_Outputs_1'!K243</f>
        <v>0</v>
      </c>
      <c r="BS11" s="1879">
        <f>'12 - Performance_Outputs_1'!M243</f>
        <v>0</v>
      </c>
      <c r="BT11" s="1882" t="str">
        <f>'12 - Performance_Outputs_1'!R243</f>
        <v/>
      </c>
      <c r="BU11" s="1882" t="str">
        <f>'12 - Performance_Outputs_1'!S243</f>
        <v/>
      </c>
      <c r="BV11" s="1885">
        <f ca="1">SUMIF('12 - Performance_Outputs_1'!$B$311:$B$316,BL11,'12 - Performance_Outputs_1'!$E$311:$G$315)</f>
        <v>0</v>
      </c>
      <c r="BW11" s="1885">
        <f ca="1">SUMIF('12 - Performance_Outputs_1'!$B$311:$B$316,BL11,'12 - Performance_Outputs_1'!$H$311:$H$315)</f>
        <v>0</v>
      </c>
      <c r="BX11" s="1884" t="str">
        <f t="shared" si="1"/>
        <v/>
      </c>
      <c r="BY11" s="1888" t="str">
        <f t="shared" si="2"/>
        <v/>
      </c>
      <c r="BZ11" s="1884" t="str">
        <f t="shared" si="3"/>
        <v/>
      </c>
      <c r="CA11" s="1888" t="str">
        <f t="shared" si="4"/>
        <v/>
      </c>
      <c r="CB11" s="1886" t="str">
        <f t="shared" ca="1" si="5"/>
        <v/>
      </c>
      <c r="CC11" s="1883" t="str">
        <f t="shared" ca="1" si="6"/>
        <v/>
      </c>
      <c r="CD11" s="1889" t="str">
        <f t="shared" ca="1" si="7"/>
        <v/>
      </c>
      <c r="CE11" s="1883" t="str">
        <f t="shared" ca="1" si="8"/>
        <v/>
      </c>
      <c r="CF11" s="1889" t="str">
        <f t="shared" ca="1" si="9"/>
        <v/>
      </c>
      <c r="CG11" s="1887" t="str">
        <f t="shared" ca="1" si="10"/>
        <v/>
      </c>
      <c r="CH11" s="4111"/>
      <c r="CI11" s="4111"/>
      <c r="CJ11" s="4111"/>
      <c r="CK11" s="4111"/>
      <c r="CL11" s="4111"/>
      <c r="CM11" s="4111"/>
      <c r="CN11" s="4111"/>
      <c r="CO11" s="4111"/>
      <c r="CP11" s="4111"/>
      <c r="CQ11" s="4111"/>
      <c r="CR11" s="4111"/>
      <c r="CS11" s="4111"/>
      <c r="CT11" s="4111"/>
      <c r="CU11" s="4111"/>
      <c r="CV11" s="4111"/>
      <c r="CW11" s="4111"/>
      <c r="CX11" s="4111"/>
      <c r="CY11" s="4140"/>
      <c r="CZ11" s="4142"/>
      <c r="DA11" s="4138"/>
      <c r="DB11"/>
      <c r="DC11"/>
      <c r="DI11"/>
      <c r="DJ11"/>
      <c r="DK11"/>
      <c r="DM11" s="2015" t="s">
        <v>1645</v>
      </c>
      <c r="DN11" s="4156"/>
      <c r="DO11" s="2013" t="s">
        <v>1113</v>
      </c>
      <c r="DP11" s="2014">
        <v>5074</v>
      </c>
      <c r="DQ11" s="2013">
        <v>3285</v>
      </c>
      <c r="DR11" s="2014">
        <v>3285</v>
      </c>
      <c r="DS11" s="2013">
        <v>2190</v>
      </c>
      <c r="DT11" s="2014">
        <v>8760</v>
      </c>
      <c r="DU11" s="2013">
        <v>2628</v>
      </c>
      <c r="DX11" s="2020" t="s">
        <v>2849</v>
      </c>
      <c r="DY11" s="2023">
        <v>79</v>
      </c>
      <c r="DZ11" s="2023">
        <v>86</v>
      </c>
      <c r="EA11" s="2023">
        <v>89</v>
      </c>
      <c r="EB11" s="2023">
        <v>55</v>
      </c>
      <c r="EC11" s="2023">
        <v>57</v>
      </c>
      <c r="ED11" s="2023">
        <v>58</v>
      </c>
      <c r="EE11" s="2023">
        <v>25</v>
      </c>
    </row>
    <row r="12" spans="1:135" s="866" customFormat="1" ht="14.4" thickBot="1" x14ac:dyDescent="0.3">
      <c r="AJ12" s="1952" t="s">
        <v>2631</v>
      </c>
      <c r="AK12" s="1901">
        <f t="shared" si="11"/>
        <v>0</v>
      </c>
      <c r="AL12" s="1899">
        <f t="shared" si="12"/>
        <v>0</v>
      </c>
      <c r="AM12" s="1901">
        <f t="shared" si="13"/>
        <v>0</v>
      </c>
      <c r="AN12" s="1899">
        <f t="shared" si="14"/>
        <v>0</v>
      </c>
      <c r="AO12" s="1901">
        <f t="shared" ca="1" si="15"/>
        <v>0</v>
      </c>
      <c r="AP12" s="1888" t="e">
        <f t="shared" ca="1" si="16"/>
        <v>#DIV/0!</v>
      </c>
      <c r="AQ12" s="1935" t="str">
        <f t="shared" si="17"/>
        <v/>
      </c>
      <c r="AR12" s="1902">
        <f t="shared" ca="1" si="18"/>
        <v>0</v>
      </c>
      <c r="AS12" s="1900">
        <f t="shared" ca="1" si="19"/>
        <v>0</v>
      </c>
      <c r="AT12" s="1902">
        <f t="shared" ca="1" si="20"/>
        <v>0</v>
      </c>
      <c r="AU12" s="1900">
        <f t="shared" ca="1" si="21"/>
        <v>0</v>
      </c>
      <c r="AV12" s="1902">
        <f t="shared" ca="1" si="22"/>
        <v>0</v>
      </c>
      <c r="AW12" s="1889" t="e">
        <f t="shared" ca="1" si="23"/>
        <v>#DIV/0!</v>
      </c>
      <c r="AX12" s="1953" t="str">
        <f t="shared" ca="1" si="24"/>
        <v>N/A</v>
      </c>
      <c r="AY12" s="1953" t="str">
        <f t="shared" ca="1" si="25"/>
        <v/>
      </c>
      <c r="AZ12" s="1953" t="str">
        <f t="shared" ca="1" si="26"/>
        <v/>
      </c>
      <c r="BA12" s="1890" t="str">
        <f t="shared" ca="1" si="27"/>
        <v/>
      </c>
      <c r="BB12" s="1900" t="e">
        <f t="shared" si="28"/>
        <v>#DIV/0!</v>
      </c>
      <c r="BC12" s="1900" t="e">
        <f t="shared" si="29"/>
        <v>#DIV/0!</v>
      </c>
      <c r="BD12"/>
      <c r="BE12"/>
      <c r="BF12"/>
      <c r="BG12" s="4112" t="s">
        <v>2627</v>
      </c>
      <c r="BH12" s="4114" t="s">
        <v>2627</v>
      </c>
      <c r="BI12" s="4112" t="str">
        <f>'12 - Performance_Outputs_1'!B244</f>
        <v>Exterior lighting</v>
      </c>
      <c r="BJ12" s="4113"/>
      <c r="BK12" s="3855">
        <f>'12 - Performance_Outputs_1'!D244</f>
        <v>0</v>
      </c>
      <c r="BL12" s="3839" t="str">
        <f>'12 - Performance_Outputs_1'!E244</f>
        <v>Electricity</v>
      </c>
      <c r="BM12" s="1299" t="str">
        <f>'12 - Performance_Outputs_1'!F244</f>
        <v/>
      </c>
      <c r="BN12" s="1782" t="str">
        <f>'12 - Performance_Outputs_1'!G244</f>
        <v/>
      </c>
      <c r="BO12" s="1782" t="str">
        <f ca="1">'12 - Performance_Outputs_1'!H244</f>
        <v/>
      </c>
      <c r="BP12" s="1877" t="str">
        <f ca="1">'12 - Performance_Outputs_1'!I244</f>
        <v/>
      </c>
      <c r="BQ12" s="3849" t="str">
        <f ca="1">'12 - Performance_Outputs_1'!J244</f>
        <v/>
      </c>
      <c r="BR12" s="1880" t="str">
        <f ca="1">'12 - Performance_Outputs_1'!K244</f>
        <v/>
      </c>
      <c r="BS12" s="1879" t="str">
        <f ca="1">'12 - Performance_Outputs_1'!M244</f>
        <v/>
      </c>
      <c r="BT12" s="1882" t="str">
        <f>'12 - Performance_Outputs_1'!R244</f>
        <v/>
      </c>
      <c r="BU12" s="1882" t="str">
        <f>'12 - Performance_Outputs_1'!S244</f>
        <v/>
      </c>
      <c r="BV12" s="1885">
        <f ca="1">SUMIF('12 - Performance_Outputs_1'!$B$311:$B$316,BL12,'12 - Performance_Outputs_1'!$E$311:$G$315)</f>
        <v>0</v>
      </c>
      <c r="BW12" s="1885">
        <f ca="1">SUMIF('12 - Performance_Outputs_1'!$B$311:$B$316,BL12,'12 - Performance_Outputs_1'!$H$311:$H$315)</f>
        <v>0</v>
      </c>
      <c r="BX12" s="1884" t="str">
        <f t="shared" si="1"/>
        <v/>
      </c>
      <c r="BY12" s="1888" t="str">
        <f t="shared" si="2"/>
        <v/>
      </c>
      <c r="BZ12" s="1884" t="str">
        <f t="shared" si="3"/>
        <v/>
      </c>
      <c r="CA12" s="1888" t="str">
        <f t="shared" si="4"/>
        <v/>
      </c>
      <c r="CB12" s="1886" t="str">
        <f t="shared" ca="1" si="5"/>
        <v/>
      </c>
      <c r="CC12" s="1883" t="str">
        <f t="shared" ca="1" si="6"/>
        <v/>
      </c>
      <c r="CD12" s="1889" t="str">
        <f t="shared" ca="1" si="7"/>
        <v/>
      </c>
      <c r="CE12" s="1883" t="str">
        <f t="shared" ca="1" si="8"/>
        <v/>
      </c>
      <c r="CF12" s="1889" t="str">
        <f t="shared" ca="1" si="9"/>
        <v/>
      </c>
      <c r="CG12" s="1887" t="str">
        <f t="shared" ca="1" si="10"/>
        <v/>
      </c>
      <c r="CH12" s="4123" t="str">
        <f>IFERROR(IF($DD$1="4A",VLOOKUP(CH$4,'90.1-2004 Site EUI'!$A$3:$W$27,MATCH($BH12,'90.1-2004 Site EUI'!$A$4:$W$4,0),FALSE),IF($DD$1="5A",VLOOKUP(CH$4,'90.1-2004 Site EUI'!$A$29:$W$53,MATCH($BH12,'90.1-2004 Site EUI'!$A$30:$W$30,0),FALSE),IF($DD$1="6A",VLOOKUP(CH$4,'90.1-2004 Site EUI'!$A$55:$W$79,MATCH($BH12,'90.1-2004 Site EUI'!$A$56:$W$56,0),FALSE),""))),"")</f>
        <v/>
      </c>
      <c r="CI12" s="4123" t="str">
        <f>IFERROR(IF($DD$1="4A",VLOOKUP(CI$4,'90.1-2004 Site EUI'!$A$3:$W$27,MATCH($BH12,'90.1-2004 Site EUI'!$A$4:$W$4,0),FALSE),IF($DD$1="5A",VLOOKUP(CI$4,'90.1-2004 Site EUI'!$A$29:$W$53,MATCH($BH12,'90.1-2004 Site EUI'!$A$30:$W$30,0),FALSE),IF($DD$1="6A",VLOOKUP(CI$4,'90.1-2004 Site EUI'!$A$55:$W$79,MATCH($BH12,'90.1-2004 Site EUI'!$A$56:$W$56,0),FALSE),""))),"")</f>
        <v/>
      </c>
      <c r="CJ12" s="4123" t="str">
        <f>IFERROR(IF($DD$1="4A",VLOOKUP(CJ$4,'90.1-2004 Site EUI'!$A$3:$W$27,MATCH($BH12,'90.1-2004 Site EUI'!$A$4:$W$4,0),FALSE),IF($DD$1="5A",VLOOKUP(CJ$4,'90.1-2004 Site EUI'!$A$29:$W$53,MATCH($BH12,'90.1-2004 Site EUI'!$A$30:$W$30,0),FALSE),IF($DD$1="6A",VLOOKUP(CJ$4,'90.1-2004 Site EUI'!$A$55:$W$79,MATCH($BH12,'90.1-2004 Site EUI'!$A$56:$W$56,0),FALSE),""))),"")</f>
        <v/>
      </c>
      <c r="CK12" s="4123" t="str">
        <f>IFERROR(IF($DD$1="4A",VLOOKUP(CK$4,'90.1-2004 Site EUI'!$A$3:$W$27,MATCH($BH12,'90.1-2004 Site EUI'!$A$4:$W$4,0),FALSE),IF($DD$1="5A",VLOOKUP(CK$4,'90.1-2004 Site EUI'!$A$29:$W$53,MATCH($BH12,'90.1-2004 Site EUI'!$A$30:$W$30,0),FALSE),IF($DD$1="6A",VLOOKUP(CK$4,'90.1-2004 Site EUI'!$A$55:$W$79,MATCH($BH12,'90.1-2004 Site EUI'!$A$56:$W$56,0),FALSE),""))),"")</f>
        <v/>
      </c>
      <c r="CL12" s="4123" t="str">
        <f>IFERROR(IF($DD$1="4A",VLOOKUP(CL$4,'90.1-2004 Site EUI'!$A$3:$W$27,MATCH($BH12,'90.1-2004 Site EUI'!$A$4:$W$4,0),FALSE),IF($DD$1="5A",VLOOKUP(CL$4,'90.1-2004 Site EUI'!$A$29:$W$53,MATCH($BH12,'90.1-2004 Site EUI'!$A$30:$W$30,0),FALSE),IF($DD$1="6A",VLOOKUP(CL$4,'90.1-2004 Site EUI'!$A$55:$W$79,MATCH($BH12,'90.1-2004 Site EUI'!$A$56:$W$56,0),FALSE),""))),"")</f>
        <v/>
      </c>
      <c r="CM12" s="4123" t="str">
        <f>IFERROR(IF($DD$1="4A",VLOOKUP(CM$4,'90.1-2004 Site EUI'!$A$3:$W$27,MATCH($BH12,'90.1-2004 Site EUI'!$A$4:$W$4,0),FALSE),IF($DD$1="5A",VLOOKUP(CM$4,'90.1-2004 Site EUI'!$A$29:$W$53,MATCH($BH12,'90.1-2004 Site EUI'!$A$30:$W$30,0),FALSE),IF($DD$1="6A",VLOOKUP(CM$4,'90.1-2004 Site EUI'!$A$55:$W$79,MATCH($BH12,'90.1-2004 Site EUI'!$A$56:$W$56,0),FALSE),""))),"")</f>
        <v/>
      </c>
      <c r="CN12" s="4123" t="str">
        <f>IFERROR(IF($DD$1="4A",VLOOKUP(CN$4,'90.1-2004 Site EUI'!$A$3:$W$27,MATCH($BH12,'90.1-2004 Site EUI'!$A$4:$W$4,0),FALSE),IF($DD$1="5A",VLOOKUP(CN$4,'90.1-2004 Site EUI'!$A$29:$W$53,MATCH($BH12,'90.1-2004 Site EUI'!$A$30:$W$30,0),FALSE),IF($DD$1="6A",VLOOKUP(CN$4,'90.1-2004 Site EUI'!$A$55:$W$79,MATCH($BH12,'90.1-2004 Site EUI'!$A$56:$W$56,0),FALSE),""))),"")</f>
        <v/>
      </c>
      <c r="CO12" s="4123" t="e">
        <f>AVERAGE(CH12:CN13,CP12)</f>
        <v>#DIV/0!</v>
      </c>
      <c r="CP12" s="4123" t="str">
        <f>IFERROR(IF($DD$1="4A",VLOOKUP(CP$4,'90.1-2004 Site EUI'!$A$3:$W$27,MATCH($BH12,'90.1-2004 Site EUI'!$A$4:$W$4,0),FALSE),IF($DD$1="5A",VLOOKUP(CP$4,'90.1-2004 Site EUI'!$A$29:$W$53,MATCH($BH12,'90.1-2004 Site EUI'!$A$30:$W$30,0),FALSE),IF($DD$1="6A",VLOOKUP(CP$4,'90.1-2004 Site EUI'!$A$55:$W$79,MATCH($BH12,'90.1-2004 Site EUI'!$A$56:$W$56,0),FALSE),""))),"")</f>
        <v/>
      </c>
      <c r="CQ12" s="4123" t="str">
        <f>IFERROR(IF($DD$1="4A",VLOOKUP(CQ$4,'90.1-2013 Site EUI'!$A$3:$W$27,MATCH($BH12,'90.1-2013 Site EUI'!$A$4:$W$4,0),FALSE),IF($DD$1="5A",VLOOKUP(CQ$4,'90.1-2013 Site EUI'!$A$29:$W$53,MATCH($BH12,'90.1-2013 Site EUI'!$A$30:$W$30,0),FALSE),IF($DD$1="6A",VLOOKUP(CQ$4,'90.1-2013 Site EUI'!$A$55:$W$79,MATCH($BH12,'90.1-2013 Site EUI'!$A$56:$W$56,0),FALSE),""))),"")</f>
        <v/>
      </c>
      <c r="CR12" s="4123" t="str">
        <f>IFERROR(IF($DD$1="4A",VLOOKUP(CR$4,'90.1-2013 Site EUI'!$A$3:$W$27,MATCH($BH12,'90.1-2013 Site EUI'!$A$4:$W$4,0),FALSE),IF($DD$1="5A",VLOOKUP(CR$4,'90.1-2013 Site EUI'!$A$29:$W$53,MATCH($BH12,'90.1-2013 Site EUI'!$A$30:$W$30,0),FALSE),IF($DD$1="6A",VLOOKUP(CR$4,'90.1-2013 Site EUI'!$A$55:$W$79,MATCH($BH12,'90.1-2013 Site EUI'!$A$56:$W$56,0),FALSE),""))),"")</f>
        <v/>
      </c>
      <c r="CS12" s="4123" t="str">
        <f>IFERROR(IF($DD$1="4A",VLOOKUP(CS$4,'90.1-2013 Site EUI'!$A$3:$W$27,MATCH($BH12,'90.1-2013 Site EUI'!$A$4:$W$4,0),FALSE),IF($DD$1="5A",VLOOKUP(CS$4,'90.1-2013 Site EUI'!$A$29:$W$53,MATCH($BH12,'90.1-2013 Site EUI'!$A$30:$W$30,0),FALSE),IF($DD$1="6A",VLOOKUP(CS$4,'90.1-2013 Site EUI'!$A$55:$W$79,MATCH($BH12,'90.1-2013 Site EUI'!$A$56:$W$56,0),FALSE),""))),"")</f>
        <v/>
      </c>
      <c r="CT12" s="4123" t="str">
        <f>IFERROR(IF($DD$1="4A",VLOOKUP(CT$4,'90.1-2013 Site EUI'!$A$3:$W$27,MATCH($BH12,'90.1-2013 Site EUI'!$A$4:$W$4,0),FALSE),IF($DD$1="5A",VLOOKUP(CT$4,'90.1-2013 Site EUI'!$A$29:$W$53,MATCH($BH12,'90.1-2013 Site EUI'!$A$30:$W$30,0),FALSE),IF($DD$1="6A",VLOOKUP(CT$4,'90.1-2013 Site EUI'!$A$55:$W$79,MATCH($BH12,'90.1-2013 Site EUI'!$A$56:$W$56,0),FALSE),""))),"")</f>
        <v/>
      </c>
      <c r="CU12" s="4123" t="str">
        <f>IFERROR(IF($DD$1="4A",VLOOKUP(CU$4,'90.1-2013 Site EUI'!$A$3:$W$27,MATCH($BH12,'90.1-2013 Site EUI'!$A$4:$W$4,0),FALSE),IF($DD$1="5A",VLOOKUP(CU$4,'90.1-2013 Site EUI'!$A$29:$W$53,MATCH($BH12,'90.1-2013 Site EUI'!$A$30:$W$30,0),FALSE),IF($DD$1="6A",VLOOKUP(CU$4,'90.1-2013 Site EUI'!$A$55:$W$79,MATCH($BH12,'90.1-2013 Site EUI'!$A$56:$W$56,0),FALSE),""))),"")</f>
        <v/>
      </c>
      <c r="CV12" s="4123" t="str">
        <f>IFERROR(IF($DD$1="4A",VLOOKUP(CV$4,'90.1-2013 Site EUI'!$A$3:$W$27,MATCH($BH12,'90.1-2013 Site EUI'!$A$4:$W$4,0),FALSE),IF($DD$1="5A",VLOOKUP(CV$4,'90.1-2013 Site EUI'!$A$29:$W$53,MATCH($BH12,'90.1-2013 Site EUI'!$A$30:$W$30,0),FALSE),IF($DD$1="6A",VLOOKUP(CV$4,'90.1-2013 Site EUI'!$A$55:$W$79,MATCH($BH12,'90.1-2013 Site EUI'!$A$56:$W$56,0),FALSE),""))),"")</f>
        <v/>
      </c>
      <c r="CW12" s="4123" t="str">
        <f>IFERROR(IF($DD$1="4A",VLOOKUP(CW$4,'90.1-2013 Site EUI'!$A$3:$W$27,MATCH($BH12,'90.1-2013 Site EUI'!$A$4:$W$4,0),FALSE),IF($DD$1="5A",VLOOKUP(CW$4,'90.1-2013 Site EUI'!$A$29:$W$53,MATCH($BH12,'90.1-2013 Site EUI'!$A$30:$W$30,0),FALSE),IF($DD$1="6A",VLOOKUP(CW$4,'90.1-2013 Site EUI'!$A$55:$W$79,MATCH($BH12,'90.1-2013 Site EUI'!$A$56:$W$56,0),FALSE),""))),"")</f>
        <v/>
      </c>
      <c r="CX12" s="4123" t="e">
        <f>AVERAGE(CQ12:CW13,CY12)</f>
        <v>#DIV/0!</v>
      </c>
      <c r="CY12" s="4143" t="str">
        <f>IFERROR(IF($DD$1="4A",VLOOKUP(CY$4,'90.1-2013 Site EUI'!$A$3:$W$27,MATCH($BH12,'90.1-2013 Site EUI'!$A$4:$W$4,0),FALSE),IF($DD$1="5A",VLOOKUP(CY$4,'90.1-2013 Site EUI'!$A$29:$W$53,MATCH($BH12,'90.1-2013 Site EUI'!$A$30:$W$30,0),FALSE),IF($DD$1="6A",VLOOKUP(CY$4,'90.1-2013 Site EUI'!$A$55:$W$79,MATCH($BH12,'90.1-2013 Site EUI'!$A$56:$W$56,0),FALSE),""))),"")</f>
        <v/>
      </c>
      <c r="CZ12" s="4145" t="e">
        <f>SUMIF($CH$4:$CP$4,$DG$1,CH12:CP13)*$DI$1+SUMIF($CH$4:$CP$4,$DG$2,CH12:CP13)*$DI$2+SUMIF($CH$4:$CP$4,$DG$3,CH12:CP13)*$DI$3+SUMIF($CH$4:$CP$4,$DG$4,CH12:CP13)*$DI$4+SUMIF($CH$4:$CP$4,$DG$5,CH12:CP13)*$DI$5+SUMIF($CH$4:$CP$4,$DG$6,CH12:CP13)*$DI$6+SUMIF($CH$4:$CP$4,$DG$7,CH12:CP13)*$DI$7+SUMIF($CH$4:$CP$4,$DG$8,CH12:CP13)*$DI$8+SUMIF($CH$4:$CP$4,$DG$8,CH12:CP13)*$DI$8+SUMIF($CH$4:$CP$4,$DG$9,CH12:CP13)*$DI$9</f>
        <v>#DIV/0!</v>
      </c>
      <c r="DA12" s="4147" t="e">
        <f>SUMIF($CQ$4:$CY$4,$DG$1,CQ12:CY13)*$DI$1+SUMIF($CQ$4:$CY$4,$DG$2,CQ12:CY13)*$DI$2+SUMIF($CQ$4:$CY$4,$DG$3,CQ12:CY13)*$DI$3+SUMIF($CQ$4:$CY$4,$DG$4,CQ12:CY13)*$DI$4+SUMIF($CQ$4:$CY$4,$DG$5,CQ12:CY13)*$DI$5+SUMIF($CQ$4:$CY$4,$DG$6,CQ12:CY13)*$DI$6+SUMIF($CQ$4:$CY$4,$DG$7,CQ12:CY13)*$DI$7+SUMIF($CQ$4:$CY$4,$DG$8,CQ12:CY13)*$DI$8+SUMIF($CQ$4:$CY$4,$DG$9,CQ12:CY13)*$DI$9</f>
        <v>#DIV/0!</v>
      </c>
      <c r="DB12"/>
      <c r="DC12"/>
      <c r="DD12" s="989" t="s">
        <v>2690</v>
      </c>
      <c r="DE12"/>
      <c r="DF12"/>
      <c r="DG12" s="989" t="s">
        <v>2691</v>
      </c>
      <c r="DH12"/>
      <c r="DI12"/>
      <c r="DJ12"/>
      <c r="DK12"/>
      <c r="DN12" s="4154" t="s">
        <v>63</v>
      </c>
      <c r="DO12" s="2013" t="s">
        <v>2830</v>
      </c>
      <c r="DP12" s="2014">
        <v>0.95</v>
      </c>
      <c r="DQ12" s="2013">
        <v>0.9</v>
      </c>
      <c r="DR12" s="2014">
        <v>0.9</v>
      </c>
      <c r="DS12" s="2013">
        <v>1</v>
      </c>
      <c r="DT12" s="2014" t="s">
        <v>266</v>
      </c>
      <c r="DU12" s="2013">
        <v>0.56999999999999995</v>
      </c>
      <c r="DX12" s="2020" t="s">
        <v>2850</v>
      </c>
      <c r="DY12" s="2023">
        <v>73</v>
      </c>
      <c r="DZ12" s="2023">
        <v>74</v>
      </c>
      <c r="EA12" s="2023">
        <v>74</v>
      </c>
      <c r="EB12" s="2023">
        <v>39</v>
      </c>
      <c r="EC12" s="2023">
        <v>40</v>
      </c>
      <c r="ED12" s="2023">
        <v>40</v>
      </c>
      <c r="EE12" s="2023">
        <v>15</v>
      </c>
    </row>
    <row r="13" spans="1:135" s="866" customFormat="1" ht="14.4" thickBot="1" x14ac:dyDescent="0.3">
      <c r="AJ13" s="1947" t="s">
        <v>387</v>
      </c>
      <c r="AK13" s="1901">
        <f t="shared" si="11"/>
        <v>0</v>
      </c>
      <c r="AL13" s="1899">
        <f t="shared" si="12"/>
        <v>0</v>
      </c>
      <c r="AM13" s="1901">
        <f t="shared" si="13"/>
        <v>0</v>
      </c>
      <c r="AN13" s="1899">
        <f t="shared" si="14"/>
        <v>0</v>
      </c>
      <c r="AO13" s="1901">
        <f t="shared" ca="1" si="15"/>
        <v>0</v>
      </c>
      <c r="AP13" s="1888" t="e">
        <f t="shared" ca="1" si="16"/>
        <v>#DIV/0!</v>
      </c>
      <c r="AQ13" s="1935" t="str">
        <f t="shared" si="17"/>
        <v/>
      </c>
      <c r="AR13" s="1902">
        <f t="shared" ca="1" si="18"/>
        <v>0</v>
      </c>
      <c r="AS13" s="1900">
        <f t="shared" ca="1" si="19"/>
        <v>0</v>
      </c>
      <c r="AT13" s="1902">
        <f t="shared" ca="1" si="20"/>
        <v>0</v>
      </c>
      <c r="AU13" s="1900">
        <f t="shared" ca="1" si="21"/>
        <v>0</v>
      </c>
      <c r="AV13" s="1902">
        <f t="shared" ca="1" si="22"/>
        <v>0</v>
      </c>
      <c r="AW13" s="1889" t="e">
        <f t="shared" ca="1" si="23"/>
        <v>#DIV/0!</v>
      </c>
      <c r="AX13" s="1890" t="str">
        <f t="shared" ca="1" si="24"/>
        <v>N/A</v>
      </c>
      <c r="AY13" s="1890" t="str">
        <f t="shared" ca="1" si="25"/>
        <v/>
      </c>
      <c r="AZ13" s="1890" t="str">
        <f t="shared" ca="1" si="26"/>
        <v/>
      </c>
      <c r="BA13" s="1890" t="str">
        <f t="shared" ca="1" si="27"/>
        <v/>
      </c>
      <c r="BB13" s="1900" t="e">
        <f t="shared" si="28"/>
        <v>#DIV/0!</v>
      </c>
      <c r="BC13" s="1900" t="e">
        <f t="shared" si="29"/>
        <v>#DIV/0!</v>
      </c>
      <c r="BD13"/>
      <c r="BE13"/>
      <c r="BF13"/>
      <c r="BG13" s="4113"/>
      <c r="BH13" s="4115"/>
      <c r="BI13" s="4113"/>
      <c r="BJ13" s="4113"/>
      <c r="BK13" s="3855"/>
      <c r="BL13" s="3839"/>
      <c r="BM13" s="1299" t="str">
        <f>'12 - Performance_Outputs_1'!F245</f>
        <v/>
      </c>
      <c r="BN13" s="1782" t="str">
        <f>'12 - Performance_Outputs_1'!G245</f>
        <v/>
      </c>
      <c r="BO13" s="1782" t="str">
        <f ca="1">'12 - Performance_Outputs_1'!H245</f>
        <v/>
      </c>
      <c r="BP13" s="1877" t="str">
        <f ca="1">'12 - Performance_Outputs_1'!I245</f>
        <v/>
      </c>
      <c r="BQ13" s="3850"/>
      <c r="BR13" s="1880">
        <f>'12 - Performance_Outputs_1'!K245</f>
        <v>0</v>
      </c>
      <c r="BS13" s="1879">
        <f>'12 - Performance_Outputs_1'!M245</f>
        <v>0</v>
      </c>
      <c r="BT13" s="1882" t="str">
        <f>'12 - Performance_Outputs_1'!R245</f>
        <v/>
      </c>
      <c r="BU13" s="1882" t="str">
        <f>'12 - Performance_Outputs_1'!S245</f>
        <v/>
      </c>
      <c r="BV13" s="1885">
        <f ca="1">SUMIF('12 - Performance_Outputs_1'!$B$311:$B$316,BL13,'12 - Performance_Outputs_1'!$E$311:$G$315)</f>
        <v>0</v>
      </c>
      <c r="BW13" s="1885">
        <f ca="1">SUMIF('12 - Performance_Outputs_1'!$B$311:$B$316,BL13,'12 - Performance_Outputs_1'!$H$311:$H$315)</f>
        <v>0</v>
      </c>
      <c r="BX13" s="1884" t="str">
        <f t="shared" si="1"/>
        <v/>
      </c>
      <c r="BY13" s="1888" t="str">
        <f t="shared" si="2"/>
        <v/>
      </c>
      <c r="BZ13" s="1884" t="str">
        <f t="shared" si="3"/>
        <v/>
      </c>
      <c r="CA13" s="1888" t="str">
        <f t="shared" si="4"/>
        <v/>
      </c>
      <c r="CB13" s="1886" t="str">
        <f t="shared" ca="1" si="5"/>
        <v/>
      </c>
      <c r="CC13" s="1883" t="str">
        <f t="shared" ca="1" si="6"/>
        <v/>
      </c>
      <c r="CD13" s="1889" t="str">
        <f t="shared" ca="1" si="7"/>
        <v/>
      </c>
      <c r="CE13" s="1883" t="str">
        <f t="shared" ca="1" si="8"/>
        <v/>
      </c>
      <c r="CF13" s="1889" t="str">
        <f t="shared" ca="1" si="9"/>
        <v/>
      </c>
      <c r="CG13" s="1887" t="str">
        <f t="shared" ca="1" si="10"/>
        <v/>
      </c>
      <c r="CH13" s="4124"/>
      <c r="CI13" s="4124"/>
      <c r="CJ13" s="4124"/>
      <c r="CK13" s="4124"/>
      <c r="CL13" s="4124"/>
      <c r="CM13" s="4124"/>
      <c r="CN13" s="4124"/>
      <c r="CO13" s="4124"/>
      <c r="CP13" s="4124"/>
      <c r="CQ13" s="4124"/>
      <c r="CR13" s="4124"/>
      <c r="CS13" s="4124"/>
      <c r="CT13" s="4124"/>
      <c r="CU13" s="4124"/>
      <c r="CV13" s="4124"/>
      <c r="CW13" s="4124"/>
      <c r="CX13" s="4124"/>
      <c r="CY13" s="4144"/>
      <c r="CZ13" s="4146"/>
      <c r="DA13" s="4148"/>
      <c r="DB13"/>
      <c r="DC13"/>
      <c r="DD13" s="1955" t="s">
        <v>63</v>
      </c>
      <c r="DE13"/>
      <c r="DF13"/>
      <c r="DG13" s="1157" t="s">
        <v>2650</v>
      </c>
      <c r="DH13" s="1157" t="s">
        <v>2651</v>
      </c>
      <c r="DI13"/>
      <c r="DJ13"/>
      <c r="DK13"/>
      <c r="DM13" s="42"/>
      <c r="DN13" s="4155"/>
      <c r="DO13" s="2013" t="s">
        <v>2831</v>
      </c>
      <c r="DP13" s="2014">
        <v>0</v>
      </c>
      <c r="DQ13" s="2013">
        <v>0.05</v>
      </c>
      <c r="DR13" s="2014">
        <v>0.4</v>
      </c>
      <c r="DS13" s="2013">
        <v>0.25</v>
      </c>
      <c r="DT13" s="2014" t="s">
        <v>266</v>
      </c>
      <c r="DU13" s="2013">
        <v>0.05</v>
      </c>
      <c r="DW13" s="2015" t="s">
        <v>2218</v>
      </c>
      <c r="DX13" s="2024" t="s">
        <v>2851</v>
      </c>
      <c r="DY13" s="2025">
        <f>AVERAGE(DY11:DY12)</f>
        <v>76</v>
      </c>
      <c r="DZ13" s="2025">
        <f t="shared" ref="DZ13" si="31">AVERAGE(DZ11:DZ12)</f>
        <v>80</v>
      </c>
      <c r="EA13" s="2025">
        <f t="shared" ref="EA13" si="32">AVERAGE(EA11:EA12)</f>
        <v>81.5</v>
      </c>
      <c r="EB13" s="2025">
        <f t="shared" ref="EB13" si="33">AVERAGE(EB11:EB12)</f>
        <v>47</v>
      </c>
      <c r="EC13" s="2025">
        <f t="shared" ref="EC13" si="34">AVERAGE(EC11:EC12)</f>
        <v>48.5</v>
      </c>
      <c r="ED13" s="2025">
        <f t="shared" ref="ED13" si="35">AVERAGE(ED11:ED12)</f>
        <v>49</v>
      </c>
      <c r="EE13" s="2025">
        <f t="shared" ref="EE13" si="36">AVERAGE(EE11:EE12)</f>
        <v>20</v>
      </c>
    </row>
    <row r="14" spans="1:135" s="866" customFormat="1" ht="14.4" thickBot="1" x14ac:dyDescent="0.3">
      <c r="AJ14" s="1952" t="s">
        <v>2671</v>
      </c>
      <c r="AK14" s="1901">
        <f t="shared" si="11"/>
        <v>0</v>
      </c>
      <c r="AL14" s="1899">
        <f t="shared" si="12"/>
        <v>0</v>
      </c>
      <c r="AM14" s="1901">
        <f t="shared" si="13"/>
        <v>0</v>
      </c>
      <c r="AN14" s="1899">
        <f t="shared" si="14"/>
        <v>0</v>
      </c>
      <c r="AO14" s="1901">
        <f t="shared" ca="1" si="15"/>
        <v>0</v>
      </c>
      <c r="AP14" s="1888" t="e">
        <f t="shared" ca="1" si="16"/>
        <v>#DIV/0!</v>
      </c>
      <c r="AQ14" s="1935" t="str">
        <f t="shared" si="17"/>
        <v/>
      </c>
      <c r="AR14" s="1902">
        <f t="shared" ca="1" si="18"/>
        <v>0</v>
      </c>
      <c r="AS14" s="1900">
        <f t="shared" ca="1" si="19"/>
        <v>0</v>
      </c>
      <c r="AT14" s="1902">
        <f t="shared" ca="1" si="20"/>
        <v>0</v>
      </c>
      <c r="AU14" s="1900">
        <f t="shared" ca="1" si="21"/>
        <v>0</v>
      </c>
      <c r="AV14" s="1902">
        <f t="shared" ca="1" si="22"/>
        <v>0</v>
      </c>
      <c r="AW14" s="1889" t="e">
        <f t="shared" ca="1" si="23"/>
        <v>#DIV/0!</v>
      </c>
      <c r="AX14" s="1890" t="str">
        <f t="shared" ca="1" si="24"/>
        <v>N/A</v>
      </c>
      <c r="AY14" s="1890" t="str">
        <f t="shared" ca="1" si="25"/>
        <v/>
      </c>
      <c r="AZ14" s="1890" t="str">
        <f t="shared" ca="1" si="26"/>
        <v/>
      </c>
      <c r="BA14" s="1890" t="str">
        <f t="shared" ca="1" si="27"/>
        <v/>
      </c>
      <c r="BB14" s="1900" t="e">
        <f t="shared" si="28"/>
        <v>#DIV/0!</v>
      </c>
      <c r="BC14" s="1900" t="e">
        <f t="shared" si="29"/>
        <v>#DIV/0!</v>
      </c>
      <c r="BD14"/>
      <c r="BE14"/>
      <c r="BF14"/>
      <c r="BG14" s="4114" t="s">
        <v>2638</v>
      </c>
      <c r="BH14" s="4114" t="s">
        <v>2629</v>
      </c>
      <c r="BI14" s="4149" t="str">
        <f>'12 - Performance_Outputs_1'!B246</f>
        <v>Space heating</v>
      </c>
      <c r="BJ14" s="4150"/>
      <c r="BK14" s="3855">
        <f>'12 - Performance_Outputs_1'!D246</f>
        <v>0</v>
      </c>
      <c r="BL14" s="3839" t="str">
        <f>'12 - Performance_Outputs_1'!E246</f>
        <v>Natural Gas</v>
      </c>
      <c r="BM14" s="1299" t="str">
        <f>'12 - Performance_Outputs_1'!F246</f>
        <v/>
      </c>
      <c r="BN14" s="1782" t="str">
        <f>'12 - Performance_Outputs_1'!G246</f>
        <v/>
      </c>
      <c r="BO14" s="1782" t="str">
        <f ca="1">'12 - Performance_Outputs_1'!H246</f>
        <v/>
      </c>
      <c r="BP14" s="1877" t="str">
        <f ca="1">'12 - Performance_Outputs_1'!I246</f>
        <v/>
      </c>
      <c r="BQ14" s="3849" t="str">
        <f ca="1">'12 - Performance_Outputs_1'!J246</f>
        <v/>
      </c>
      <c r="BR14" s="1880" t="str">
        <f ca="1">'12 - Performance_Outputs_1'!K246</f>
        <v/>
      </c>
      <c r="BS14" s="1879" t="str">
        <f ca="1">'12 - Performance_Outputs_1'!M246</f>
        <v/>
      </c>
      <c r="BT14" s="1882" t="str">
        <f>'12 - Performance_Outputs_1'!R246</f>
        <v/>
      </c>
      <c r="BU14" s="1882" t="str">
        <f>'12 - Performance_Outputs_1'!S246</f>
        <v/>
      </c>
      <c r="BV14" s="1885">
        <f ca="1">SUMIF('12 - Performance_Outputs_1'!$B$311:$B$316,BL14,'12 - Performance_Outputs_1'!$E$311:$G$315)</f>
        <v>0</v>
      </c>
      <c r="BW14" s="1885">
        <f ca="1">SUMIF('12 - Performance_Outputs_1'!$B$311:$B$316,BL14,'12 - Performance_Outputs_1'!$H$311:$H$315)</f>
        <v>0</v>
      </c>
      <c r="BX14" s="1884" t="str">
        <f t="shared" si="1"/>
        <v/>
      </c>
      <c r="BY14" s="1888" t="str">
        <f t="shared" si="2"/>
        <v/>
      </c>
      <c r="BZ14" s="1884" t="str">
        <f t="shared" si="3"/>
        <v/>
      </c>
      <c r="CA14" s="1888" t="str">
        <f t="shared" si="4"/>
        <v/>
      </c>
      <c r="CB14" s="1886" t="str">
        <f t="shared" ca="1" si="5"/>
        <v/>
      </c>
      <c r="CC14" s="1883" t="str">
        <f t="shared" ca="1" si="6"/>
        <v/>
      </c>
      <c r="CD14" s="1889" t="str">
        <f t="shared" ca="1" si="7"/>
        <v/>
      </c>
      <c r="CE14" s="1883" t="str">
        <f t="shared" ca="1" si="8"/>
        <v/>
      </c>
      <c r="CF14" s="1889" t="str">
        <f t="shared" ca="1" si="9"/>
        <v/>
      </c>
      <c r="CG14" s="1887" t="str">
        <f t="shared" ca="1" si="10"/>
        <v/>
      </c>
      <c r="CH14" s="4123" t="str">
        <f>IFERROR(IF($DD$1="4A",VLOOKUP(CH$4,'90.1-2004 Site EUI'!$A$3:$W$27,MATCH($BH14,'90.1-2004 Site EUI'!$A$4:$W$4,0),FALSE),IF($DD$1="5A",VLOOKUP(CH$4,'90.1-2004 Site EUI'!$A$29:$W$53,MATCH($BH14,'90.1-2004 Site EUI'!$A$30:$W$30,0),FALSE),IF($DD$1="6A",VLOOKUP(CH$4,'90.1-2004 Site EUI'!$A$55:$W$79,MATCH($BH14,'90.1-2004 Site EUI'!$A$56:$W$56,0),FALSE),""))),"")</f>
        <v/>
      </c>
      <c r="CI14" s="4123" t="str">
        <f>IFERROR(IF($DD$1="4A",VLOOKUP(CI$4,'90.1-2004 Site EUI'!$A$3:$W$27,MATCH($BH14,'90.1-2004 Site EUI'!$A$4:$W$4,0),FALSE),IF($DD$1="5A",VLOOKUP(CI$4,'90.1-2004 Site EUI'!$A$29:$W$53,MATCH($BH14,'90.1-2004 Site EUI'!$A$30:$W$30,0),FALSE),IF($DD$1="6A",VLOOKUP(CI$4,'90.1-2004 Site EUI'!$A$55:$W$79,MATCH($BH14,'90.1-2004 Site EUI'!$A$56:$W$56,0),FALSE),""))),"")</f>
        <v/>
      </c>
      <c r="CJ14" s="4123" t="str">
        <f>IFERROR(IF($DD$1="4A",VLOOKUP(CJ$4,'90.1-2004 Site EUI'!$A$3:$W$27,MATCH($BH14,'90.1-2004 Site EUI'!$A$4:$W$4,0),FALSE),IF($DD$1="5A",VLOOKUP(CJ$4,'90.1-2004 Site EUI'!$A$29:$W$53,MATCH($BH14,'90.1-2004 Site EUI'!$A$30:$W$30,0),FALSE),IF($DD$1="6A",VLOOKUP(CJ$4,'90.1-2004 Site EUI'!$A$55:$W$79,MATCH($BH14,'90.1-2004 Site EUI'!$A$56:$W$56,0),FALSE),""))),"")</f>
        <v/>
      </c>
      <c r="CK14" s="4123" t="str">
        <f>IFERROR(IF($DD$1="4A",VLOOKUP(CK$4,'90.1-2004 Site EUI'!$A$3:$W$27,MATCH($BH14,'90.1-2004 Site EUI'!$A$4:$W$4,0),FALSE),IF($DD$1="5A",VLOOKUP(CK$4,'90.1-2004 Site EUI'!$A$29:$W$53,MATCH($BH14,'90.1-2004 Site EUI'!$A$30:$W$30,0),FALSE),IF($DD$1="6A",VLOOKUP(CK$4,'90.1-2004 Site EUI'!$A$55:$W$79,MATCH($BH14,'90.1-2004 Site EUI'!$A$56:$W$56,0),FALSE),""))),"")</f>
        <v/>
      </c>
      <c r="CL14" s="4123" t="str">
        <f>IFERROR(IF($DD$1="4A",VLOOKUP(CL$4,'90.1-2004 Site EUI'!$A$3:$W$27,MATCH($BH14,'90.1-2004 Site EUI'!$A$4:$W$4,0),FALSE),IF($DD$1="5A",VLOOKUP(CL$4,'90.1-2004 Site EUI'!$A$29:$W$53,MATCH($BH14,'90.1-2004 Site EUI'!$A$30:$W$30,0),FALSE),IF($DD$1="6A",VLOOKUP(CL$4,'90.1-2004 Site EUI'!$A$55:$W$79,MATCH($BH14,'90.1-2004 Site EUI'!$A$56:$W$56,0),FALSE),""))),"")</f>
        <v/>
      </c>
      <c r="CM14" s="4123" t="str">
        <f>IFERROR(IF($DD$1="4A",VLOOKUP(CM$4,'90.1-2004 Site EUI'!$A$3:$W$27,MATCH($BH14,'90.1-2004 Site EUI'!$A$4:$W$4,0),FALSE),IF($DD$1="5A",VLOOKUP(CM$4,'90.1-2004 Site EUI'!$A$29:$W$53,MATCH($BH14,'90.1-2004 Site EUI'!$A$30:$W$30,0),FALSE),IF($DD$1="6A",VLOOKUP(CM$4,'90.1-2004 Site EUI'!$A$55:$W$79,MATCH($BH14,'90.1-2004 Site EUI'!$A$56:$W$56,0),FALSE),""))),"")</f>
        <v/>
      </c>
      <c r="CN14" s="4123" t="str">
        <f>IFERROR(IF($DD$1="4A",VLOOKUP(CN$4,'90.1-2004 Site EUI'!$A$3:$W$27,MATCH($BH14,'90.1-2004 Site EUI'!$A$4:$W$4,0),FALSE),IF($DD$1="5A",VLOOKUP(CN$4,'90.1-2004 Site EUI'!$A$29:$W$53,MATCH($BH14,'90.1-2004 Site EUI'!$A$30:$W$30,0),FALSE),IF($DD$1="6A",VLOOKUP(CN$4,'90.1-2004 Site EUI'!$A$55:$W$79,MATCH($BH14,'90.1-2004 Site EUI'!$A$56:$W$56,0),FALSE),""))),"")</f>
        <v/>
      </c>
      <c r="CO14" s="4123" t="e">
        <f>AVERAGE(CH14:CN15,CP14)</f>
        <v>#DIV/0!</v>
      </c>
      <c r="CP14" s="4123" t="str">
        <f>IFERROR(IF($DD$1="4A",VLOOKUP(CP$4,'90.1-2004 Site EUI'!$A$3:$W$27,MATCH($BH14,'90.1-2004 Site EUI'!$A$4:$W$4,0),FALSE),IF($DD$1="5A",VLOOKUP(CP$4,'90.1-2004 Site EUI'!$A$29:$W$53,MATCH($BH14,'90.1-2004 Site EUI'!$A$30:$W$30,0),FALSE),IF($DD$1="6A",VLOOKUP(CP$4,'90.1-2004 Site EUI'!$A$55:$W$79,MATCH($BH14,'90.1-2004 Site EUI'!$A$56:$W$56,0),FALSE),""))),"")</f>
        <v/>
      </c>
      <c r="CQ14" s="4123" t="str">
        <f>IFERROR(IF($DD$1="4A",VLOOKUP(CQ$4,'90.1-2013 Site EUI'!$A$3:$W$27,MATCH($BH14,'90.1-2013 Site EUI'!$A$4:$W$4,0),FALSE),IF($DD$1="5A",VLOOKUP(CQ$4,'90.1-2013 Site EUI'!$A$29:$W$53,MATCH($BH14,'90.1-2013 Site EUI'!$A$30:$W$30,0),FALSE),IF($DD$1="6A",VLOOKUP(CQ$4,'90.1-2013 Site EUI'!$A$55:$W$79,MATCH($BH14,'90.1-2013 Site EUI'!$A$56:$W$56,0),FALSE),""))),"")</f>
        <v/>
      </c>
      <c r="CR14" s="4123" t="str">
        <f>IFERROR(IF($DD$1="4A",VLOOKUP(CR$4,'90.1-2013 Site EUI'!$A$3:$W$27,MATCH($BH14,'90.1-2013 Site EUI'!$A$4:$W$4,0),FALSE),IF($DD$1="5A",VLOOKUP(CR$4,'90.1-2013 Site EUI'!$A$29:$W$53,MATCH($BH14,'90.1-2013 Site EUI'!$A$30:$W$30,0),FALSE),IF($DD$1="6A",VLOOKUP(CR$4,'90.1-2013 Site EUI'!$A$55:$W$79,MATCH($BH14,'90.1-2013 Site EUI'!$A$56:$W$56,0),FALSE),""))),"")</f>
        <v/>
      </c>
      <c r="CS14" s="4123" t="str">
        <f>IFERROR(IF($DD$1="4A",VLOOKUP(CS$4,'90.1-2013 Site EUI'!$A$3:$W$27,MATCH($BH14,'90.1-2013 Site EUI'!$A$4:$W$4,0),FALSE),IF($DD$1="5A",VLOOKUP(CS$4,'90.1-2013 Site EUI'!$A$29:$W$53,MATCH($BH14,'90.1-2013 Site EUI'!$A$30:$W$30,0),FALSE),IF($DD$1="6A",VLOOKUP(CS$4,'90.1-2013 Site EUI'!$A$55:$W$79,MATCH($BH14,'90.1-2013 Site EUI'!$A$56:$W$56,0),FALSE),""))),"")</f>
        <v/>
      </c>
      <c r="CT14" s="4123" t="str">
        <f>IFERROR(IF($DD$1="4A",VLOOKUP(CT$4,'90.1-2013 Site EUI'!$A$3:$W$27,MATCH($BH14,'90.1-2013 Site EUI'!$A$4:$W$4,0),FALSE),IF($DD$1="5A",VLOOKUP(CT$4,'90.1-2013 Site EUI'!$A$29:$W$53,MATCH($BH14,'90.1-2013 Site EUI'!$A$30:$W$30,0),FALSE),IF($DD$1="6A",VLOOKUP(CT$4,'90.1-2013 Site EUI'!$A$55:$W$79,MATCH($BH14,'90.1-2013 Site EUI'!$A$56:$W$56,0),FALSE),""))),"")</f>
        <v/>
      </c>
      <c r="CU14" s="4123" t="str">
        <f>IFERROR(IF($DD$1="4A",VLOOKUP(CU$4,'90.1-2013 Site EUI'!$A$3:$W$27,MATCH($BH14,'90.1-2013 Site EUI'!$A$4:$W$4,0),FALSE),IF($DD$1="5A",VLOOKUP(CU$4,'90.1-2013 Site EUI'!$A$29:$W$53,MATCH($BH14,'90.1-2013 Site EUI'!$A$30:$W$30,0),FALSE),IF($DD$1="6A",VLOOKUP(CU$4,'90.1-2013 Site EUI'!$A$55:$W$79,MATCH($BH14,'90.1-2013 Site EUI'!$A$56:$W$56,0),FALSE),""))),"")</f>
        <v/>
      </c>
      <c r="CV14" s="4123" t="str">
        <f>IFERROR(IF($DD$1="4A",VLOOKUP(CV$4,'90.1-2013 Site EUI'!$A$3:$W$27,MATCH($BH14,'90.1-2013 Site EUI'!$A$4:$W$4,0),FALSE),IF($DD$1="5A",VLOOKUP(CV$4,'90.1-2013 Site EUI'!$A$29:$W$53,MATCH($BH14,'90.1-2013 Site EUI'!$A$30:$W$30,0),FALSE),IF($DD$1="6A",VLOOKUP(CV$4,'90.1-2013 Site EUI'!$A$55:$W$79,MATCH($BH14,'90.1-2013 Site EUI'!$A$56:$W$56,0),FALSE),""))),"")</f>
        <v/>
      </c>
      <c r="CW14" s="4123" t="str">
        <f>IFERROR(IF($DD$1="4A",VLOOKUP(CW$4,'90.1-2013 Site EUI'!$A$3:$W$27,MATCH($BH14,'90.1-2013 Site EUI'!$A$4:$W$4,0),FALSE),IF($DD$1="5A",VLOOKUP(CW$4,'90.1-2013 Site EUI'!$A$29:$W$53,MATCH($BH14,'90.1-2013 Site EUI'!$A$30:$W$30,0),FALSE),IF($DD$1="6A",VLOOKUP(CW$4,'90.1-2013 Site EUI'!$A$55:$W$79,MATCH($BH14,'90.1-2013 Site EUI'!$A$56:$W$56,0),FALSE),""))),"")</f>
        <v/>
      </c>
      <c r="CX14" s="4123" t="e">
        <f>AVERAGE(CQ14:CW15,CY14)</f>
        <v>#DIV/0!</v>
      </c>
      <c r="CY14" s="4143" t="str">
        <f>IFERROR(IF($DD$1="4A",VLOOKUP(CY$4,'90.1-2013 Site EUI'!$A$3:$W$27,MATCH($BH14,'90.1-2013 Site EUI'!$A$4:$W$4,0),FALSE),IF($DD$1="5A",VLOOKUP(CY$4,'90.1-2013 Site EUI'!$A$29:$W$53,MATCH($BH14,'90.1-2013 Site EUI'!$A$30:$W$30,0),FALSE),IF($DD$1="6A",VLOOKUP(CY$4,'90.1-2013 Site EUI'!$A$55:$W$79,MATCH($BH14,'90.1-2013 Site EUI'!$A$56:$W$56,0),FALSE),""))),"")</f>
        <v/>
      </c>
      <c r="CZ14" s="4145" t="e">
        <f>SUMIF($CH$4:$CP$4,$DG$1,CH14:CP15)*$DI$1+SUMIF($CH$4:$CP$4,$DG$2,CH14:CP15)*$DI$2+SUMIF($CH$4:$CP$4,$DG$3,CH14:CP15)*$DI$3+SUMIF($CH$4:$CP$4,$DG$4,CH14:CP15)*$DI$4+SUMIF($CH$4:$CP$4,$DG$5,CH14:CP15)*$DI$5+SUMIF($CH$4:$CP$4,$DG$6,CH14:CP15)*$DI$6+SUMIF($CH$4:$CP$4,$DG$7,CH14:CP15)*$DI$7+SUMIF($CH$4:$CP$4,$DG$8,CH14:CP15)*$DI$8+SUMIF($CH$4:$CP$4,$DG$8,CH14:CP15)*$DI$8+SUMIF($CH$4:$CP$4,$DG$9,CH14:CP15)*$DI$9</f>
        <v>#DIV/0!</v>
      </c>
      <c r="DA14" s="4147" t="e">
        <f>SUMIF($CQ$4:$CY$4,$DG$1,CQ14:CY15)*$DI$1+SUMIF($CQ$4:$CY$4,$DG$2,CQ14:CY15)*$DI$2+SUMIF($CQ$4:$CY$4,$DG$3,CQ14:CY15)*$DI$3+SUMIF($CQ$4:$CY$4,$DG$4,CQ14:CY15)*$DI$4+SUMIF($CQ$4:$CY$4,$DG$5,CQ14:CY15)*$DI$5+SUMIF($CQ$4:$CY$4,$DG$6,CQ14:CY15)*$DI$6+SUMIF($CQ$4:$CY$4,$DG$7,CQ14:CY15)*$DI$7+SUMIF($CQ$4:$CY$4,$DG$8,CQ14:CY15)*$DI$8+SUMIF($CQ$4:$CY$4,$DG$9,CQ14:CY15)*$DI$9</f>
        <v>#DIV/0!</v>
      </c>
      <c r="DB14"/>
      <c r="DC14"/>
      <c r="DD14" s="1955" t="s">
        <v>69</v>
      </c>
      <c r="DE14"/>
      <c r="DF14"/>
      <c r="DG14" s="1157"/>
      <c r="DH14" s="1157" t="s">
        <v>2652</v>
      </c>
      <c r="DI14"/>
      <c r="DJ14"/>
      <c r="DK14"/>
      <c r="DM14" s="2015" t="s">
        <v>63</v>
      </c>
      <c r="DN14" s="4156"/>
      <c r="DO14" s="2013" t="s">
        <v>1113</v>
      </c>
      <c r="DP14" s="2014">
        <v>2450</v>
      </c>
      <c r="DQ14" s="2013">
        <v>2856</v>
      </c>
      <c r="DR14" s="2014">
        <v>4425</v>
      </c>
      <c r="DS14" s="2013">
        <v>5280</v>
      </c>
      <c r="DT14" s="2014">
        <v>4640</v>
      </c>
      <c r="DU14" s="2013">
        <v>1551</v>
      </c>
    </row>
    <row r="15" spans="1:135" s="866" customFormat="1" ht="14.4" thickBot="1" x14ac:dyDescent="0.3">
      <c r="AJ15" s="1952" t="s">
        <v>2672</v>
      </c>
      <c r="AK15" s="1901">
        <f t="shared" si="11"/>
        <v>0</v>
      </c>
      <c r="AL15" s="1899">
        <f t="shared" si="12"/>
        <v>0</v>
      </c>
      <c r="AM15" s="1901">
        <f t="shared" si="13"/>
        <v>0</v>
      </c>
      <c r="AN15" s="1899">
        <f t="shared" si="14"/>
        <v>0</v>
      </c>
      <c r="AO15" s="1901">
        <f t="shared" ca="1" si="15"/>
        <v>0</v>
      </c>
      <c r="AP15" s="1888" t="e">
        <f t="shared" ca="1" si="16"/>
        <v>#DIV/0!</v>
      </c>
      <c r="AQ15" s="1935" t="str">
        <f t="shared" si="17"/>
        <v/>
      </c>
      <c r="AR15" s="1902">
        <f t="shared" ca="1" si="18"/>
        <v>0</v>
      </c>
      <c r="AS15" s="1900">
        <f t="shared" ca="1" si="19"/>
        <v>0</v>
      </c>
      <c r="AT15" s="1902">
        <f t="shared" ca="1" si="20"/>
        <v>0</v>
      </c>
      <c r="AU15" s="1900">
        <f t="shared" ca="1" si="21"/>
        <v>0</v>
      </c>
      <c r="AV15" s="1902">
        <f t="shared" ca="1" si="22"/>
        <v>0</v>
      </c>
      <c r="AW15" s="1889" t="e">
        <f t="shared" ca="1" si="23"/>
        <v>#DIV/0!</v>
      </c>
      <c r="AX15" s="1953" t="str">
        <f t="shared" ca="1" si="24"/>
        <v>N/A</v>
      </c>
      <c r="AY15" s="1953" t="str">
        <f t="shared" ca="1" si="25"/>
        <v/>
      </c>
      <c r="AZ15" s="1953" t="str">
        <f t="shared" ca="1" si="26"/>
        <v/>
      </c>
      <c r="BA15" s="1890" t="str">
        <f t="shared" ca="1" si="27"/>
        <v/>
      </c>
      <c r="BB15" s="1900" t="e">
        <f t="shared" si="28"/>
        <v>#DIV/0!</v>
      </c>
      <c r="BC15" s="1900" t="e">
        <f t="shared" si="29"/>
        <v>#DIV/0!</v>
      </c>
      <c r="BD15"/>
      <c r="BE15"/>
      <c r="BF15"/>
      <c r="BG15" s="4115"/>
      <c r="BH15" s="4115"/>
      <c r="BI15" s="4151"/>
      <c r="BJ15" s="4152"/>
      <c r="BK15" s="3855"/>
      <c r="BL15" s="3839"/>
      <c r="BM15" s="1299" t="str">
        <f>'12 - Performance_Outputs_1'!F247</f>
        <v/>
      </c>
      <c r="BN15" s="1782" t="str">
        <f>'12 - Performance_Outputs_1'!G247</f>
        <v/>
      </c>
      <c r="BO15" s="1782" t="str">
        <f ca="1">'12 - Performance_Outputs_1'!H247</f>
        <v/>
      </c>
      <c r="BP15" s="1877" t="str">
        <f ca="1">'12 - Performance_Outputs_1'!I247</f>
        <v/>
      </c>
      <c r="BQ15" s="3850"/>
      <c r="BR15" s="1880">
        <f>'12 - Performance_Outputs_1'!K247</f>
        <v>0</v>
      </c>
      <c r="BS15" s="1879">
        <f>'12 - Performance_Outputs_1'!M247</f>
        <v>0</v>
      </c>
      <c r="BT15" s="1882" t="str">
        <f>'12 - Performance_Outputs_1'!R247</f>
        <v/>
      </c>
      <c r="BU15" s="1882" t="str">
        <f>'12 - Performance_Outputs_1'!S247</f>
        <v/>
      </c>
      <c r="BV15" s="1885">
        <f ca="1">SUMIF('12 - Performance_Outputs_1'!$B$311:$B$316,BL15,'12 - Performance_Outputs_1'!$E$311:$G$315)</f>
        <v>0</v>
      </c>
      <c r="BW15" s="1885">
        <f ca="1">SUMIF('12 - Performance_Outputs_1'!$B$311:$B$316,BL15,'12 - Performance_Outputs_1'!$H$311:$H$315)</f>
        <v>0</v>
      </c>
      <c r="BX15" s="1884" t="str">
        <f t="shared" si="1"/>
        <v/>
      </c>
      <c r="BY15" s="1888" t="str">
        <f t="shared" si="2"/>
        <v/>
      </c>
      <c r="BZ15" s="1884" t="str">
        <f t="shared" si="3"/>
        <v/>
      </c>
      <c r="CA15" s="1888" t="str">
        <f t="shared" si="4"/>
        <v/>
      </c>
      <c r="CB15" s="1886" t="str">
        <f t="shared" ca="1" si="5"/>
        <v/>
      </c>
      <c r="CC15" s="1883" t="str">
        <f t="shared" ca="1" si="6"/>
        <v/>
      </c>
      <c r="CD15" s="1889" t="str">
        <f t="shared" ca="1" si="7"/>
        <v/>
      </c>
      <c r="CE15" s="1883" t="str">
        <f t="shared" ca="1" si="8"/>
        <v/>
      </c>
      <c r="CF15" s="1889" t="str">
        <f t="shared" ca="1" si="9"/>
        <v/>
      </c>
      <c r="CG15" s="1887" t="str">
        <f t="shared" ca="1" si="10"/>
        <v/>
      </c>
      <c r="CH15" s="4124"/>
      <c r="CI15" s="4124"/>
      <c r="CJ15" s="4124"/>
      <c r="CK15" s="4124"/>
      <c r="CL15" s="4124"/>
      <c r="CM15" s="4124"/>
      <c r="CN15" s="4124"/>
      <c r="CO15" s="4124"/>
      <c r="CP15" s="4124"/>
      <c r="CQ15" s="4124"/>
      <c r="CR15" s="4124"/>
      <c r="CS15" s="4124"/>
      <c r="CT15" s="4124"/>
      <c r="CU15" s="4124"/>
      <c r="CV15" s="4124"/>
      <c r="CW15" s="4124"/>
      <c r="CX15" s="4124"/>
      <c r="CY15" s="4144"/>
      <c r="CZ15" s="4146"/>
      <c r="DA15" s="4148"/>
      <c r="DB15"/>
      <c r="DC15"/>
      <c r="DD15" s="1955" t="s">
        <v>2218</v>
      </c>
      <c r="DE15"/>
      <c r="DF15"/>
      <c r="DG15" s="1157" t="s">
        <v>878</v>
      </c>
      <c r="DH15" s="1157" t="s">
        <v>57</v>
      </c>
      <c r="DI15"/>
      <c r="DJ15"/>
      <c r="DK15"/>
      <c r="DM15" s="42"/>
      <c r="DN15" s="4154" t="s">
        <v>2833</v>
      </c>
      <c r="DO15" s="2013" t="s">
        <v>2830</v>
      </c>
      <c r="DP15" s="2014">
        <v>0</v>
      </c>
      <c r="DQ15" s="2013">
        <v>1</v>
      </c>
      <c r="DR15" s="2014">
        <v>1</v>
      </c>
      <c r="DS15" s="2013">
        <v>1</v>
      </c>
      <c r="DT15" s="2014" t="s">
        <v>266</v>
      </c>
      <c r="DU15" s="2013" t="s">
        <v>266</v>
      </c>
    </row>
    <row r="16" spans="1:135" s="866" customFormat="1" ht="14.4" thickBot="1" x14ac:dyDescent="0.3">
      <c r="AJ16"/>
      <c r="AK16" s="1901">
        <f>SUM(AK7:AK15)</f>
        <v>0</v>
      </c>
      <c r="AL16" s="1901">
        <f>SUM(AL7:AL15)</f>
        <v>0</v>
      </c>
      <c r="AM16" s="1901">
        <f>SUM(AM7:AM15)</f>
        <v>0</v>
      </c>
      <c r="AN16" s="1901">
        <f>SUM(AN7:AN15)</f>
        <v>0</v>
      </c>
      <c r="AO16" s="1901">
        <f ca="1">SUM(AO7:AO15)</f>
        <v>0</v>
      </c>
      <c r="AP16"/>
      <c r="AQ16" s="1888" t="e">
        <f>BB16-AL16</f>
        <v>#DIV/0!</v>
      </c>
      <c r="AR16" s="1902">
        <f ca="1">SUM(AR7:AR15)</f>
        <v>0</v>
      </c>
      <c r="AS16" s="1902">
        <f ca="1">SUM(AS7:AS15)</f>
        <v>0</v>
      </c>
      <c r="AT16" s="1902">
        <f ca="1">SUM(AT7:AT15)</f>
        <v>0</v>
      </c>
      <c r="AU16" s="1902">
        <f ca="1">SUM(AU7:AU15)</f>
        <v>0</v>
      </c>
      <c r="AV16" s="1902">
        <f ca="1">SUM(AV7:AV15)</f>
        <v>0</v>
      </c>
      <c r="AW16"/>
      <c r="AX16" s="1887">
        <f ca="1">AO16-AV16</f>
        <v>0</v>
      </c>
      <c r="AY16" s="1883">
        <f ca="1">AL16-AS16</f>
        <v>0</v>
      </c>
      <c r="AZ16" s="1931">
        <f ca="1">AN16-AU16</f>
        <v>0</v>
      </c>
      <c r="BA16" s="1931" t="e">
        <f ca="1">BC16-AS16</f>
        <v>#DIV/0!</v>
      </c>
      <c r="BB16" s="1902" t="e">
        <f>SUM(BB7:BB15)</f>
        <v>#DIV/0!</v>
      </c>
      <c r="BC16" s="1902" t="e">
        <f>SUM(BC7:BC15)</f>
        <v>#DIV/0!</v>
      </c>
      <c r="BD16"/>
      <c r="BE16"/>
      <c r="BF16"/>
      <c r="BG16" s="4112" t="s">
        <v>2638</v>
      </c>
      <c r="BH16" s="4114" t="s">
        <v>2629</v>
      </c>
      <c r="BI16" s="4112" t="str">
        <f>'12 - Performance_Outputs_1'!B248</f>
        <v>Space heating</v>
      </c>
      <c r="BJ16" s="4113"/>
      <c r="BK16" s="3855">
        <f>'12 - Performance_Outputs_1'!D248</f>
        <v>0</v>
      </c>
      <c r="BL16" s="3839" t="str">
        <f>'12 - Performance_Outputs_1'!E248</f>
        <v>Electricity</v>
      </c>
      <c r="BM16" s="1299" t="str">
        <f>'12 - Performance_Outputs_1'!F248</f>
        <v/>
      </c>
      <c r="BN16" s="1782" t="str">
        <f>'12 - Performance_Outputs_1'!G248</f>
        <v/>
      </c>
      <c r="BO16" s="1782" t="str">
        <f ca="1">'12 - Performance_Outputs_1'!H248</f>
        <v/>
      </c>
      <c r="BP16" s="1877" t="str">
        <f ca="1">'12 - Performance_Outputs_1'!I248</f>
        <v/>
      </c>
      <c r="BQ16" s="3849" t="str">
        <f ca="1">'12 - Performance_Outputs_1'!J248</f>
        <v/>
      </c>
      <c r="BR16" s="1880" t="str">
        <f ca="1">'12 - Performance_Outputs_1'!K248</f>
        <v/>
      </c>
      <c r="BS16" s="1879" t="str">
        <f ca="1">'12 - Performance_Outputs_1'!M248</f>
        <v/>
      </c>
      <c r="BT16" s="1882" t="str">
        <f>'12 - Performance_Outputs_1'!R248</f>
        <v/>
      </c>
      <c r="BU16" s="1882" t="str">
        <f>'12 - Performance_Outputs_1'!S248</f>
        <v/>
      </c>
      <c r="BV16" s="1885">
        <f ca="1">SUMIF('12 - Performance_Outputs_1'!$B$311:$B$316,BL16,'12 - Performance_Outputs_1'!$E$311:$G$315)</f>
        <v>0</v>
      </c>
      <c r="BW16" s="1885">
        <f ca="1">SUMIF('12 - Performance_Outputs_1'!$B$311:$B$316,BL16,'12 - Performance_Outputs_1'!$H$311:$H$315)</f>
        <v>0</v>
      </c>
      <c r="BX16" s="1884" t="str">
        <f t="shared" si="1"/>
        <v/>
      </c>
      <c r="BY16" s="1888" t="str">
        <f t="shared" si="2"/>
        <v/>
      </c>
      <c r="BZ16" s="1884" t="str">
        <f t="shared" si="3"/>
        <v/>
      </c>
      <c r="CA16" s="1888" t="str">
        <f t="shared" si="4"/>
        <v/>
      </c>
      <c r="CB16" s="1886" t="str">
        <f t="shared" ca="1" si="5"/>
        <v/>
      </c>
      <c r="CC16" s="1883" t="str">
        <f t="shared" ca="1" si="6"/>
        <v/>
      </c>
      <c r="CD16" s="1889" t="str">
        <f t="shared" ca="1" si="7"/>
        <v/>
      </c>
      <c r="CE16" s="1883" t="str">
        <f t="shared" ca="1" si="8"/>
        <v/>
      </c>
      <c r="CF16" s="1889" t="str">
        <f t="shared" ca="1" si="9"/>
        <v/>
      </c>
      <c r="CG16" s="1887" t="str">
        <f t="shared" ca="1" si="10"/>
        <v/>
      </c>
      <c r="CH16" s="4110"/>
      <c r="CI16" s="4110"/>
      <c r="CJ16" s="4110"/>
      <c r="CK16" s="4110"/>
      <c r="CL16" s="4110"/>
      <c r="CM16" s="4110"/>
      <c r="CN16" s="4110"/>
      <c r="CO16" s="4110"/>
      <c r="CP16" s="4110"/>
      <c r="CQ16" s="4110"/>
      <c r="CR16" s="4110"/>
      <c r="CS16" s="4110"/>
      <c r="CT16" s="4110"/>
      <c r="CU16" s="4110"/>
      <c r="CV16" s="4110"/>
      <c r="CW16" s="4110"/>
      <c r="CX16" s="4110"/>
      <c r="CY16" s="4139"/>
      <c r="CZ16" s="4141"/>
      <c r="DA16" s="4137"/>
      <c r="DB16"/>
      <c r="DC16"/>
      <c r="DD16" s="416" t="s">
        <v>2342</v>
      </c>
      <c r="DE16"/>
      <c r="DF16"/>
      <c r="DG16" s="1157"/>
      <c r="DH16" s="1157" t="s">
        <v>2653</v>
      </c>
      <c r="DI16"/>
      <c r="DJ16"/>
      <c r="DK16"/>
      <c r="DM16" s="42"/>
      <c r="DN16" s="4155"/>
      <c r="DO16" s="2013" t="s">
        <v>2831</v>
      </c>
      <c r="DP16" s="2014">
        <v>0</v>
      </c>
      <c r="DQ16" s="2013">
        <v>0.5</v>
      </c>
      <c r="DR16" s="2014">
        <v>1</v>
      </c>
      <c r="DS16" s="2013">
        <v>1</v>
      </c>
      <c r="DT16" s="2014" t="s">
        <v>266</v>
      </c>
      <c r="DU16" s="2013" t="s">
        <v>266</v>
      </c>
    </row>
    <row r="17" spans="12:125" s="866" customFormat="1" ht="14.4" thickBot="1" x14ac:dyDescent="0.3">
      <c r="AJ17"/>
      <c r="AK17"/>
      <c r="AL17"/>
      <c r="AM17"/>
      <c r="AN17"/>
      <c r="AO17"/>
      <c r="AP17"/>
      <c r="AQ17"/>
      <c r="AR17"/>
      <c r="AS17"/>
      <c r="AT17"/>
      <c r="AU17"/>
      <c r="AV17"/>
      <c r="AW17"/>
      <c r="AX17"/>
      <c r="AY17"/>
      <c r="AZ17"/>
      <c r="BA17"/>
      <c r="BB17"/>
      <c r="BC17"/>
      <c r="BD17"/>
      <c r="BE17"/>
      <c r="BF17"/>
      <c r="BG17" s="4113"/>
      <c r="BH17" s="4115"/>
      <c r="BI17" s="4113"/>
      <c r="BJ17" s="4113"/>
      <c r="BK17" s="3855"/>
      <c r="BL17" s="3839"/>
      <c r="BM17" s="1299" t="str">
        <f>'12 - Performance_Outputs_1'!F249</f>
        <v/>
      </c>
      <c r="BN17" s="1782" t="str">
        <f>'12 - Performance_Outputs_1'!G249</f>
        <v/>
      </c>
      <c r="BO17" s="1782" t="str">
        <f ca="1">'12 - Performance_Outputs_1'!H249</f>
        <v/>
      </c>
      <c r="BP17" s="1877" t="str">
        <f ca="1">'12 - Performance_Outputs_1'!I249</f>
        <v/>
      </c>
      <c r="BQ17" s="3850"/>
      <c r="BR17" s="1880">
        <f>'12 - Performance_Outputs_1'!K249</f>
        <v>0</v>
      </c>
      <c r="BS17" s="1879">
        <f>'12 - Performance_Outputs_1'!M249</f>
        <v>0</v>
      </c>
      <c r="BT17" s="1882" t="str">
        <f>'12 - Performance_Outputs_1'!R249</f>
        <v/>
      </c>
      <c r="BU17" s="1882" t="str">
        <f>'12 - Performance_Outputs_1'!S249</f>
        <v/>
      </c>
      <c r="BV17" s="1885">
        <f ca="1">SUMIF('12 - Performance_Outputs_1'!$B$311:$B$316,BL17,'12 - Performance_Outputs_1'!$E$311:$G$315)</f>
        <v>0</v>
      </c>
      <c r="BW17" s="1885">
        <f ca="1">SUMIF('12 - Performance_Outputs_1'!$B$311:$B$316,BL17,'12 - Performance_Outputs_1'!$H$311:$H$315)</f>
        <v>0</v>
      </c>
      <c r="BX17" s="1884" t="str">
        <f t="shared" si="1"/>
        <v/>
      </c>
      <c r="BY17" s="1888" t="str">
        <f t="shared" si="2"/>
        <v/>
      </c>
      <c r="BZ17" s="1884" t="str">
        <f t="shared" si="3"/>
        <v/>
      </c>
      <c r="CA17" s="1888" t="str">
        <f t="shared" si="4"/>
        <v/>
      </c>
      <c r="CB17" s="1886" t="str">
        <f t="shared" ca="1" si="5"/>
        <v/>
      </c>
      <c r="CC17" s="1883" t="str">
        <f t="shared" ca="1" si="6"/>
        <v/>
      </c>
      <c r="CD17" s="1889" t="str">
        <f t="shared" ca="1" si="7"/>
        <v/>
      </c>
      <c r="CE17" s="1883" t="str">
        <f t="shared" ca="1" si="8"/>
        <v/>
      </c>
      <c r="CF17" s="1889" t="str">
        <f t="shared" ca="1" si="9"/>
        <v/>
      </c>
      <c r="CG17" s="1887" t="str">
        <f t="shared" ca="1" si="10"/>
        <v/>
      </c>
      <c r="CH17" s="4111"/>
      <c r="CI17" s="4111"/>
      <c r="CJ17" s="4111"/>
      <c r="CK17" s="4111"/>
      <c r="CL17" s="4111"/>
      <c r="CM17" s="4111"/>
      <c r="CN17" s="4111"/>
      <c r="CO17" s="4111"/>
      <c r="CP17" s="4111"/>
      <c r="CQ17" s="4111"/>
      <c r="CR17" s="4111"/>
      <c r="CS17" s="4111"/>
      <c r="CT17" s="4111"/>
      <c r="CU17" s="4111"/>
      <c r="CV17" s="4111"/>
      <c r="CW17" s="4111"/>
      <c r="CX17" s="4111"/>
      <c r="CY17" s="4140"/>
      <c r="CZ17" s="4142"/>
      <c r="DA17" s="4138"/>
      <c r="DB17"/>
      <c r="DC17"/>
      <c r="DD17" s="1157" t="s">
        <v>2217</v>
      </c>
      <c r="DE17"/>
      <c r="DF17"/>
      <c r="DG17" s="1157" t="s">
        <v>2216</v>
      </c>
      <c r="DH17" s="1157" t="s">
        <v>2654</v>
      </c>
      <c r="DI17"/>
      <c r="DJ17"/>
      <c r="DK17"/>
      <c r="DM17" s="42"/>
      <c r="DN17" s="4156"/>
      <c r="DO17" s="2013" t="s">
        <v>1113</v>
      </c>
      <c r="DP17" s="2014">
        <v>0</v>
      </c>
      <c r="DQ17" s="2013">
        <v>6674</v>
      </c>
      <c r="DR17" s="2014">
        <v>8760</v>
      </c>
      <c r="DS17" s="2013">
        <v>8760</v>
      </c>
      <c r="DT17" s="2014" t="s">
        <v>266</v>
      </c>
      <c r="DU17" s="2013" t="s">
        <v>266</v>
      </c>
    </row>
    <row r="18" spans="12:125" s="866" customFormat="1" ht="14.4" thickBot="1" x14ac:dyDescent="0.3">
      <c r="AJ18"/>
      <c r="AK18"/>
      <c r="AL18"/>
      <c r="AM18"/>
      <c r="AN18"/>
      <c r="AO18"/>
      <c r="AP18"/>
      <c r="AQ18"/>
      <c r="AR18"/>
      <c r="AS18"/>
      <c r="AT18"/>
      <c r="AU18"/>
      <c r="AV18"/>
      <c r="AW18"/>
      <c r="AX18"/>
      <c r="AY18"/>
      <c r="AZ18"/>
      <c r="BA18"/>
      <c r="BB18"/>
      <c r="BC18"/>
      <c r="BD18"/>
      <c r="BE18"/>
      <c r="BF18"/>
      <c r="BG18" s="4112" t="s">
        <v>2638</v>
      </c>
      <c r="BH18" s="4114" t="s">
        <v>2629</v>
      </c>
      <c r="BI18" s="4112" t="str">
        <f>'12 - Performance_Outputs_1'!B250</f>
        <v>Heat Pump Supplementary</v>
      </c>
      <c r="BJ18" s="4113"/>
      <c r="BK18" s="3855">
        <f>'12 - Performance_Outputs_1'!D250</f>
        <v>0</v>
      </c>
      <c r="BL18" s="3839" t="str">
        <f>'12 - Performance_Outputs_1'!E250</f>
        <v>Electricity</v>
      </c>
      <c r="BM18" s="1299" t="str">
        <f>'12 - Performance_Outputs_1'!F250</f>
        <v/>
      </c>
      <c r="BN18" s="1782" t="str">
        <f>'12 - Performance_Outputs_1'!G250</f>
        <v/>
      </c>
      <c r="BO18" s="1782" t="str">
        <f ca="1">'12 - Performance_Outputs_1'!H250</f>
        <v/>
      </c>
      <c r="BP18" s="1877" t="str">
        <f ca="1">'12 - Performance_Outputs_1'!I250</f>
        <v/>
      </c>
      <c r="BQ18" s="3849" t="str">
        <f ca="1">'12 - Performance_Outputs_1'!J250</f>
        <v/>
      </c>
      <c r="BR18" s="1880" t="str">
        <f ca="1">'12 - Performance_Outputs_1'!K250</f>
        <v/>
      </c>
      <c r="BS18" s="1879" t="str">
        <f ca="1">'12 - Performance_Outputs_1'!M250</f>
        <v/>
      </c>
      <c r="BT18" s="1882" t="str">
        <f>'12 - Performance_Outputs_1'!R250</f>
        <v/>
      </c>
      <c r="BU18" s="1882" t="str">
        <f>'12 - Performance_Outputs_1'!S250</f>
        <v/>
      </c>
      <c r="BV18" s="1885">
        <f ca="1">SUMIF('12 - Performance_Outputs_1'!$B$311:$B$316,BL18,'12 - Performance_Outputs_1'!$E$311:$G$315)</f>
        <v>0</v>
      </c>
      <c r="BW18" s="1885">
        <f ca="1">SUMIF('12 - Performance_Outputs_1'!$B$311:$B$316,BL18,'12 - Performance_Outputs_1'!$H$311:$H$315)</f>
        <v>0</v>
      </c>
      <c r="BX18" s="1884" t="str">
        <f t="shared" si="1"/>
        <v/>
      </c>
      <c r="BY18" s="1888" t="str">
        <f t="shared" si="2"/>
        <v/>
      </c>
      <c r="BZ18" s="1884" t="str">
        <f t="shared" si="3"/>
        <v/>
      </c>
      <c r="CA18" s="1888" t="str">
        <f t="shared" si="4"/>
        <v/>
      </c>
      <c r="CB18" s="1886" t="str">
        <f t="shared" ca="1" si="5"/>
        <v/>
      </c>
      <c r="CC18" s="1883" t="str">
        <f t="shared" ca="1" si="6"/>
        <v/>
      </c>
      <c r="CD18" s="1889" t="str">
        <f t="shared" ca="1" si="7"/>
        <v/>
      </c>
      <c r="CE18" s="1883" t="str">
        <f t="shared" ca="1" si="8"/>
        <v/>
      </c>
      <c r="CF18" s="1889" t="str">
        <f t="shared" ca="1" si="9"/>
        <v/>
      </c>
      <c r="CG18" s="1887" t="str">
        <f t="shared" ca="1" si="10"/>
        <v/>
      </c>
      <c r="CH18" s="4110"/>
      <c r="CI18" s="4110"/>
      <c r="CJ18" s="4110"/>
      <c r="CK18" s="4110"/>
      <c r="CL18" s="4110"/>
      <c r="CM18" s="4110"/>
      <c r="CN18" s="4110"/>
      <c r="CO18" s="4110"/>
      <c r="CP18" s="4110"/>
      <c r="CQ18" s="4110"/>
      <c r="CR18" s="4110"/>
      <c r="CS18" s="4110"/>
      <c r="CT18" s="4110"/>
      <c r="CU18" s="4110"/>
      <c r="CV18" s="4110"/>
      <c r="CW18" s="4110"/>
      <c r="CX18" s="4110"/>
      <c r="CY18" s="4139"/>
      <c r="CZ18" s="4141"/>
      <c r="DA18" s="4137"/>
      <c r="DB18"/>
      <c r="DC18"/>
      <c r="DD18" s="1157" t="s">
        <v>1645</v>
      </c>
      <c r="DE18"/>
      <c r="DF18"/>
      <c r="DG18" s="1157"/>
      <c r="DH18" s="1157" t="s">
        <v>2655</v>
      </c>
      <c r="DI18"/>
      <c r="DJ18"/>
      <c r="DK18"/>
      <c r="DM18" s="42"/>
      <c r="DN18" s="4154" t="s">
        <v>69</v>
      </c>
      <c r="DO18" s="2013" t="s">
        <v>2830</v>
      </c>
      <c r="DP18" s="2014">
        <v>0.8</v>
      </c>
      <c r="DQ18" s="2013">
        <v>0.9</v>
      </c>
      <c r="DR18" s="2014">
        <v>0.9</v>
      </c>
      <c r="DS18" s="2013">
        <v>1</v>
      </c>
      <c r="DT18" s="2014" t="s">
        <v>266</v>
      </c>
      <c r="DU18" s="2013">
        <v>0.62</v>
      </c>
    </row>
    <row r="19" spans="12:125" s="866" customFormat="1" ht="14.4" thickBot="1" x14ac:dyDescent="0.3">
      <c r="AJ19"/>
      <c r="AK19"/>
      <c r="AL19"/>
      <c r="AM19"/>
      <c r="AN19"/>
      <c r="AO19"/>
      <c r="AP19"/>
      <c r="AQ19"/>
      <c r="AR19"/>
      <c r="AS19"/>
      <c r="AT19"/>
      <c r="AU19"/>
      <c r="AV19"/>
      <c r="AW19"/>
      <c r="AX19"/>
      <c r="AY19"/>
      <c r="AZ19"/>
      <c r="BA19"/>
      <c r="BB19"/>
      <c r="BC19"/>
      <c r="BD19"/>
      <c r="BE19"/>
      <c r="BF19"/>
      <c r="BG19" s="4113"/>
      <c r="BH19" s="4115"/>
      <c r="BI19" s="4113"/>
      <c r="BJ19" s="4113"/>
      <c r="BK19" s="3855"/>
      <c r="BL19" s="3839"/>
      <c r="BM19" s="1299" t="str">
        <f>'12 - Performance_Outputs_1'!F251</f>
        <v/>
      </c>
      <c r="BN19" s="1782" t="str">
        <f>'12 - Performance_Outputs_1'!G251</f>
        <v/>
      </c>
      <c r="BO19" s="1782" t="str">
        <f ca="1">'12 - Performance_Outputs_1'!H251</f>
        <v/>
      </c>
      <c r="BP19" s="1877" t="str">
        <f ca="1">'12 - Performance_Outputs_1'!I251</f>
        <v/>
      </c>
      <c r="BQ19" s="3850"/>
      <c r="BR19" s="1880">
        <f>'12 - Performance_Outputs_1'!K251</f>
        <v>0</v>
      </c>
      <c r="BS19" s="1879">
        <f>'12 - Performance_Outputs_1'!M251</f>
        <v>0</v>
      </c>
      <c r="BT19" s="1882" t="str">
        <f>'12 - Performance_Outputs_1'!R251</f>
        <v/>
      </c>
      <c r="BU19" s="1882" t="str">
        <f>'12 - Performance_Outputs_1'!S251</f>
        <v/>
      </c>
      <c r="BV19" s="1885">
        <f ca="1">SUMIF('12 - Performance_Outputs_1'!$B$311:$B$316,BL19,'12 - Performance_Outputs_1'!$E$311:$G$315)</f>
        <v>0</v>
      </c>
      <c r="BW19" s="1885">
        <f ca="1">SUMIF('12 - Performance_Outputs_1'!$B$311:$B$316,BL19,'12 - Performance_Outputs_1'!$H$311:$H$315)</f>
        <v>0</v>
      </c>
      <c r="BX19" s="1884" t="str">
        <f t="shared" si="1"/>
        <v/>
      </c>
      <c r="BY19" s="1888" t="str">
        <f t="shared" si="2"/>
        <v/>
      </c>
      <c r="BZ19" s="1884" t="str">
        <f t="shared" si="3"/>
        <v/>
      </c>
      <c r="CA19" s="1888" t="str">
        <f t="shared" si="4"/>
        <v/>
      </c>
      <c r="CB19" s="1886" t="str">
        <f t="shared" ca="1" si="5"/>
        <v/>
      </c>
      <c r="CC19" s="1883" t="str">
        <f t="shared" ca="1" si="6"/>
        <v/>
      </c>
      <c r="CD19" s="1889" t="str">
        <f t="shared" ca="1" si="7"/>
        <v/>
      </c>
      <c r="CE19" s="1883" t="str">
        <f t="shared" ca="1" si="8"/>
        <v/>
      </c>
      <c r="CF19" s="1889" t="str">
        <f t="shared" ca="1" si="9"/>
        <v/>
      </c>
      <c r="CG19" s="1887" t="str">
        <f t="shared" ca="1" si="10"/>
        <v/>
      </c>
      <c r="CH19" s="4111"/>
      <c r="CI19" s="4111"/>
      <c r="CJ19" s="4111"/>
      <c r="CK19" s="4111"/>
      <c r="CL19" s="4111"/>
      <c r="CM19" s="4111"/>
      <c r="CN19" s="4111"/>
      <c r="CO19" s="4111"/>
      <c r="CP19" s="4111"/>
      <c r="CQ19" s="4111"/>
      <c r="CR19" s="4111"/>
      <c r="CS19" s="4111"/>
      <c r="CT19" s="4111"/>
      <c r="CU19" s="4111"/>
      <c r="CV19" s="4111"/>
      <c r="CW19" s="4111"/>
      <c r="CX19" s="4111"/>
      <c r="CY19" s="4140"/>
      <c r="CZ19" s="4142"/>
      <c r="DA19" s="4138"/>
      <c r="DB19"/>
      <c r="DC19"/>
      <c r="DD19" s="1157" t="s">
        <v>74</v>
      </c>
      <c r="DE19"/>
      <c r="DF19"/>
      <c r="DG19" s="1157" t="s">
        <v>63</v>
      </c>
      <c r="DH19" s="1157" t="s">
        <v>2654</v>
      </c>
      <c r="DI19"/>
      <c r="DJ19"/>
      <c r="DK19"/>
      <c r="DM19" s="42"/>
      <c r="DN19" s="4155"/>
      <c r="DO19" s="2013" t="s">
        <v>2831</v>
      </c>
      <c r="DP19" s="2014">
        <v>0</v>
      </c>
      <c r="DQ19" s="2013">
        <v>0.05</v>
      </c>
      <c r="DR19" s="2014">
        <v>0.2</v>
      </c>
      <c r="DS19" s="2013">
        <v>0.25</v>
      </c>
      <c r="DT19" s="2014" t="s">
        <v>266</v>
      </c>
      <c r="DU19" s="2013">
        <v>0.04</v>
      </c>
    </row>
    <row r="20" spans="12:125" s="866" customFormat="1" ht="14.4" thickBot="1" x14ac:dyDescent="0.3">
      <c r="AJ20"/>
      <c r="AK20"/>
      <c r="AL20"/>
      <c r="AM20"/>
      <c r="AN20"/>
      <c r="AO20"/>
      <c r="AP20"/>
      <c r="AQ20"/>
      <c r="AR20"/>
      <c r="AS20"/>
      <c r="AT20"/>
      <c r="AU20"/>
      <c r="AV20"/>
      <c r="AW20"/>
      <c r="AX20"/>
      <c r="AY20"/>
      <c r="AZ20"/>
      <c r="BA20"/>
      <c r="BB20"/>
      <c r="BC20"/>
      <c r="BD20"/>
      <c r="BE20"/>
      <c r="BF20"/>
      <c r="BG20" s="4112" t="s">
        <v>2670</v>
      </c>
      <c r="BH20" s="4114" t="s">
        <v>2630</v>
      </c>
      <c r="BI20" s="4112" t="str">
        <f>'12 - Performance_Outputs_1'!B252</f>
        <v>Space cooling</v>
      </c>
      <c r="BJ20" s="4113"/>
      <c r="BK20" s="3855">
        <f>'12 - Performance_Outputs_1'!D252</f>
        <v>0</v>
      </c>
      <c r="BL20" s="3839" t="str">
        <f>'12 - Performance_Outputs_1'!E252</f>
        <v>Electricity</v>
      </c>
      <c r="BM20" s="1299" t="str">
        <f>'12 - Performance_Outputs_1'!F252</f>
        <v/>
      </c>
      <c r="BN20" s="1782" t="str">
        <f>'12 - Performance_Outputs_1'!G252</f>
        <v/>
      </c>
      <c r="BO20" s="1782" t="str">
        <f ca="1">'12 - Performance_Outputs_1'!H252</f>
        <v/>
      </c>
      <c r="BP20" s="1877" t="str">
        <f ca="1">'12 - Performance_Outputs_1'!I252</f>
        <v/>
      </c>
      <c r="BQ20" s="3849" t="str">
        <f ca="1">'12 - Performance_Outputs_1'!J252</f>
        <v/>
      </c>
      <c r="BR20" s="1880" t="str">
        <f ca="1">'12 - Performance_Outputs_1'!K252</f>
        <v/>
      </c>
      <c r="BS20" s="1879" t="str">
        <f ca="1">'12 - Performance_Outputs_1'!M252</f>
        <v/>
      </c>
      <c r="BT20" s="1882" t="str">
        <f>'12 - Performance_Outputs_1'!R252</f>
        <v/>
      </c>
      <c r="BU20" s="1882" t="str">
        <f>'12 - Performance_Outputs_1'!S252</f>
        <v/>
      </c>
      <c r="BV20" s="1885">
        <f ca="1">SUMIF('12 - Performance_Outputs_1'!$B$311:$B$316,BL20,'12 - Performance_Outputs_1'!$E$311:$G$315)</f>
        <v>0</v>
      </c>
      <c r="BW20" s="1885">
        <f ca="1">SUMIF('12 - Performance_Outputs_1'!$B$311:$B$316,BL20,'12 - Performance_Outputs_1'!$H$311:$H$315)</f>
        <v>0</v>
      </c>
      <c r="BX20" s="1884" t="str">
        <f t="shared" si="1"/>
        <v/>
      </c>
      <c r="BY20" s="1888" t="str">
        <f t="shared" si="2"/>
        <v/>
      </c>
      <c r="BZ20" s="1884" t="str">
        <f t="shared" si="3"/>
        <v/>
      </c>
      <c r="CA20" s="1888" t="str">
        <f t="shared" si="4"/>
        <v/>
      </c>
      <c r="CB20" s="1886" t="str">
        <f t="shared" ca="1" si="5"/>
        <v/>
      </c>
      <c r="CC20" s="1883" t="str">
        <f t="shared" ca="1" si="6"/>
        <v/>
      </c>
      <c r="CD20" s="1889" t="str">
        <f t="shared" ca="1" si="7"/>
        <v/>
      </c>
      <c r="CE20" s="1883" t="str">
        <f t="shared" ca="1" si="8"/>
        <v/>
      </c>
      <c r="CF20" s="1889" t="str">
        <f t="shared" ca="1" si="9"/>
        <v/>
      </c>
      <c r="CG20" s="1887" t="str">
        <f t="shared" ca="1" si="10"/>
        <v/>
      </c>
      <c r="CH20" s="4123" t="str">
        <f>IFERROR(IF($DD$1="4A",VLOOKUP(CH$4,'90.1-2004 Site EUI'!$A$3:$W$27,MATCH($BH20,'90.1-2004 Site EUI'!$A$4:$W$4,0),FALSE),IF($DD$1="5A",VLOOKUP(CH$4,'90.1-2004 Site EUI'!$A$29:$W$53,MATCH($BH20,'90.1-2004 Site EUI'!$A$30:$W$30,0),FALSE),IF($DD$1="6A",VLOOKUP(CH$4,'90.1-2004 Site EUI'!$A$55:$W$79,MATCH($BH20,'90.1-2004 Site EUI'!$A$56:$W$56,0),FALSE),""))),"")</f>
        <v/>
      </c>
      <c r="CI20" s="4123" t="str">
        <f>IFERROR(IF($DD$1="4A",VLOOKUP(CI$4,'90.1-2004 Site EUI'!$A$3:$W$27,MATCH($BH20,'90.1-2004 Site EUI'!$A$4:$W$4,0),FALSE),IF($DD$1="5A",VLOOKUP(CI$4,'90.1-2004 Site EUI'!$A$29:$W$53,MATCH($BH20,'90.1-2004 Site EUI'!$A$30:$W$30,0),FALSE),IF($DD$1="6A",VLOOKUP(CI$4,'90.1-2004 Site EUI'!$A$55:$W$79,MATCH($BH20,'90.1-2004 Site EUI'!$A$56:$W$56,0),FALSE),""))),"")</f>
        <v/>
      </c>
      <c r="CJ20" s="4123" t="str">
        <f>IFERROR(IF($DD$1="4A",VLOOKUP(CJ$4,'90.1-2004 Site EUI'!$A$3:$W$27,MATCH($BH20,'90.1-2004 Site EUI'!$A$4:$W$4,0),FALSE),IF($DD$1="5A",VLOOKUP(CJ$4,'90.1-2004 Site EUI'!$A$29:$W$53,MATCH($BH20,'90.1-2004 Site EUI'!$A$30:$W$30,0),FALSE),IF($DD$1="6A",VLOOKUP(CJ$4,'90.1-2004 Site EUI'!$A$55:$W$79,MATCH($BH20,'90.1-2004 Site EUI'!$A$56:$W$56,0),FALSE),""))),"")</f>
        <v/>
      </c>
      <c r="CK20" s="4123" t="str">
        <f>IFERROR(IF($DD$1="4A",VLOOKUP(CK$4,'90.1-2004 Site EUI'!$A$3:$W$27,MATCH($BH20,'90.1-2004 Site EUI'!$A$4:$W$4,0),FALSE),IF($DD$1="5A",VLOOKUP(CK$4,'90.1-2004 Site EUI'!$A$29:$W$53,MATCH($BH20,'90.1-2004 Site EUI'!$A$30:$W$30,0),FALSE),IF($DD$1="6A",VLOOKUP(CK$4,'90.1-2004 Site EUI'!$A$55:$W$79,MATCH($BH20,'90.1-2004 Site EUI'!$A$56:$W$56,0),FALSE),""))),"")</f>
        <v/>
      </c>
      <c r="CL20" s="4123" t="str">
        <f>IFERROR(IF($DD$1="4A",VLOOKUP(CL$4,'90.1-2004 Site EUI'!$A$3:$W$27,MATCH($BH20,'90.1-2004 Site EUI'!$A$4:$W$4,0),FALSE),IF($DD$1="5A",VLOOKUP(CL$4,'90.1-2004 Site EUI'!$A$29:$W$53,MATCH($BH20,'90.1-2004 Site EUI'!$A$30:$W$30,0),FALSE),IF($DD$1="6A",VLOOKUP(CL$4,'90.1-2004 Site EUI'!$A$55:$W$79,MATCH($BH20,'90.1-2004 Site EUI'!$A$56:$W$56,0),FALSE),""))),"")</f>
        <v/>
      </c>
      <c r="CM20" s="4123" t="str">
        <f>IFERROR(IF($DD$1="4A",VLOOKUP(CM$4,'90.1-2004 Site EUI'!$A$3:$W$27,MATCH($BH20,'90.1-2004 Site EUI'!$A$4:$W$4,0),FALSE),IF($DD$1="5A",VLOOKUP(CM$4,'90.1-2004 Site EUI'!$A$29:$W$53,MATCH($BH20,'90.1-2004 Site EUI'!$A$30:$W$30,0),FALSE),IF($DD$1="6A",VLOOKUP(CM$4,'90.1-2004 Site EUI'!$A$55:$W$79,MATCH($BH20,'90.1-2004 Site EUI'!$A$56:$W$56,0),FALSE),""))),"")</f>
        <v/>
      </c>
      <c r="CN20" s="4123" t="str">
        <f>IFERROR(IF($DD$1="4A",VLOOKUP(CN$4,'90.1-2004 Site EUI'!$A$3:$W$27,MATCH($BH20,'90.1-2004 Site EUI'!$A$4:$W$4,0),FALSE),IF($DD$1="5A",VLOOKUP(CN$4,'90.1-2004 Site EUI'!$A$29:$W$53,MATCH($BH20,'90.1-2004 Site EUI'!$A$30:$W$30,0),FALSE),IF($DD$1="6A",VLOOKUP(CN$4,'90.1-2004 Site EUI'!$A$55:$W$79,MATCH($BH20,'90.1-2004 Site EUI'!$A$56:$W$56,0),FALSE),""))),"")</f>
        <v/>
      </c>
      <c r="CO20" s="4123" t="e">
        <f>AVERAGE(CH20:CN21,CP20)</f>
        <v>#DIV/0!</v>
      </c>
      <c r="CP20" s="4123" t="str">
        <f>IFERROR(IF($DD$1="4A",VLOOKUP(CP$4,'90.1-2004 Site EUI'!$A$3:$W$27,MATCH($BH20,'90.1-2004 Site EUI'!$A$4:$W$4,0),FALSE),IF($DD$1="5A",VLOOKUP(CP$4,'90.1-2004 Site EUI'!$A$29:$W$53,MATCH($BH20,'90.1-2004 Site EUI'!$A$30:$W$30,0),FALSE),IF($DD$1="6A",VLOOKUP(CP$4,'90.1-2004 Site EUI'!$A$55:$W$79,MATCH($BH20,'90.1-2004 Site EUI'!$A$56:$W$56,0),FALSE),""))),"")</f>
        <v/>
      </c>
      <c r="CQ20" s="4123" t="str">
        <f>IFERROR(IF($DD$1="4A",VLOOKUP(CQ$4,'90.1-2013 Site EUI'!$A$3:$W$27,MATCH($BH20,'90.1-2013 Site EUI'!$A$4:$W$4,0),FALSE),IF($DD$1="5A",VLOOKUP(CQ$4,'90.1-2013 Site EUI'!$A$29:$W$53,MATCH($BH20,'90.1-2013 Site EUI'!$A$30:$W$30,0),FALSE),IF($DD$1="6A",VLOOKUP(CQ$4,'90.1-2013 Site EUI'!$A$55:$W$79,MATCH($BH20,'90.1-2013 Site EUI'!$A$56:$W$56,0),FALSE),""))),"")</f>
        <v/>
      </c>
      <c r="CR20" s="4123" t="str">
        <f>IFERROR(IF($DD$1="4A",VLOOKUP(CR$4,'90.1-2013 Site EUI'!$A$3:$W$27,MATCH($BH20,'90.1-2013 Site EUI'!$A$4:$W$4,0),FALSE),IF($DD$1="5A",VLOOKUP(CR$4,'90.1-2013 Site EUI'!$A$29:$W$53,MATCH($BH20,'90.1-2013 Site EUI'!$A$30:$W$30,0),FALSE),IF($DD$1="6A",VLOOKUP(CR$4,'90.1-2013 Site EUI'!$A$55:$W$79,MATCH($BH20,'90.1-2013 Site EUI'!$A$56:$W$56,0),FALSE),""))),"")</f>
        <v/>
      </c>
      <c r="CS20" s="4123" t="str">
        <f>IFERROR(IF($DD$1="4A",VLOOKUP(CS$4,'90.1-2013 Site EUI'!$A$3:$W$27,MATCH($BH20,'90.1-2013 Site EUI'!$A$4:$W$4,0),FALSE),IF($DD$1="5A",VLOOKUP(CS$4,'90.1-2013 Site EUI'!$A$29:$W$53,MATCH($BH20,'90.1-2013 Site EUI'!$A$30:$W$30,0),FALSE),IF($DD$1="6A",VLOOKUP(CS$4,'90.1-2013 Site EUI'!$A$55:$W$79,MATCH($BH20,'90.1-2013 Site EUI'!$A$56:$W$56,0),FALSE),""))),"")</f>
        <v/>
      </c>
      <c r="CT20" s="4123" t="str">
        <f>IFERROR(IF($DD$1="4A",VLOOKUP(CT$4,'90.1-2013 Site EUI'!$A$3:$W$27,MATCH($BH20,'90.1-2013 Site EUI'!$A$4:$W$4,0),FALSE),IF($DD$1="5A",VLOOKUP(CT$4,'90.1-2013 Site EUI'!$A$29:$W$53,MATCH($BH20,'90.1-2013 Site EUI'!$A$30:$W$30,0),FALSE),IF($DD$1="6A",VLOOKUP(CT$4,'90.1-2013 Site EUI'!$A$55:$W$79,MATCH($BH20,'90.1-2013 Site EUI'!$A$56:$W$56,0),FALSE),""))),"")</f>
        <v/>
      </c>
      <c r="CU20" s="4123" t="str">
        <f>IFERROR(IF($DD$1="4A",VLOOKUP(CU$4,'90.1-2013 Site EUI'!$A$3:$W$27,MATCH($BH20,'90.1-2013 Site EUI'!$A$4:$W$4,0),FALSE),IF($DD$1="5A",VLOOKUP(CU$4,'90.1-2013 Site EUI'!$A$29:$W$53,MATCH($BH20,'90.1-2013 Site EUI'!$A$30:$W$30,0),FALSE),IF($DD$1="6A",VLOOKUP(CU$4,'90.1-2013 Site EUI'!$A$55:$W$79,MATCH($BH20,'90.1-2013 Site EUI'!$A$56:$W$56,0),FALSE),""))),"")</f>
        <v/>
      </c>
      <c r="CV20" s="4123" t="str">
        <f>IFERROR(IF($DD$1="4A",VLOOKUP(CV$4,'90.1-2013 Site EUI'!$A$3:$W$27,MATCH($BH20,'90.1-2013 Site EUI'!$A$4:$W$4,0),FALSE),IF($DD$1="5A",VLOOKUP(CV$4,'90.1-2013 Site EUI'!$A$29:$W$53,MATCH($BH20,'90.1-2013 Site EUI'!$A$30:$W$30,0),FALSE),IF($DD$1="6A",VLOOKUP(CV$4,'90.1-2013 Site EUI'!$A$55:$W$79,MATCH($BH20,'90.1-2013 Site EUI'!$A$56:$W$56,0),FALSE),""))),"")</f>
        <v/>
      </c>
      <c r="CW20" s="4123" t="str">
        <f>IFERROR(IF($DD$1="4A",VLOOKUP(CW$4,'90.1-2013 Site EUI'!$A$3:$W$27,MATCH($BH20,'90.1-2013 Site EUI'!$A$4:$W$4,0),FALSE),IF($DD$1="5A",VLOOKUP(CW$4,'90.1-2013 Site EUI'!$A$29:$W$53,MATCH($BH20,'90.1-2013 Site EUI'!$A$30:$W$30,0),FALSE),IF($DD$1="6A",VLOOKUP(CW$4,'90.1-2013 Site EUI'!$A$55:$W$79,MATCH($BH20,'90.1-2013 Site EUI'!$A$56:$W$56,0),FALSE),""))),"")</f>
        <v/>
      </c>
      <c r="CX20" s="4123" t="e">
        <f>AVERAGE(CQ20:CW21,CY20)</f>
        <v>#DIV/0!</v>
      </c>
      <c r="CY20" s="4143" t="str">
        <f>IFERROR(IF($DD$1="4A",VLOOKUP(CY$4,'90.1-2013 Site EUI'!$A$3:$W$27,MATCH($BH20,'90.1-2013 Site EUI'!$A$4:$W$4,0),FALSE),IF($DD$1="5A",VLOOKUP(CY$4,'90.1-2013 Site EUI'!$A$29:$W$53,MATCH($BH20,'90.1-2013 Site EUI'!$A$30:$W$30,0),FALSE),IF($DD$1="6A",VLOOKUP(CY$4,'90.1-2013 Site EUI'!$A$55:$W$79,MATCH($BH20,'90.1-2013 Site EUI'!$A$56:$W$56,0),FALSE),""))),"")</f>
        <v/>
      </c>
      <c r="CZ20" s="4145" t="e">
        <f>SUMIF($CH$4:$CP$4,$DG$1,CH20:CP21)*$DI$1+SUMIF($CH$4:$CP$4,$DG$2,CH20:CP21)*$DI$2+SUMIF($CH$4:$CP$4,$DG$3,CH20:CP21)*$DI$3+SUMIF($CH$4:$CP$4,$DG$4,CH20:CP21)*$DI$4+SUMIF($CH$4:$CP$4,$DG$5,CH20:CP21)*$DI$5+SUMIF($CH$4:$CP$4,$DG$6,CH20:CP21)*$DI$6+SUMIF($CH$4:$CP$4,$DG$7,CH20:CP21)*$DI$7+SUMIF($CH$4:$CP$4,$DG$8,CH20:CP21)*$DI$8+SUMIF($CH$4:$CP$4,$DG$8,CH20:CP21)*$DI$8+SUMIF($CH$4:$CP$4,$DG$9,CH20:CP21)*$DI$9</f>
        <v>#DIV/0!</v>
      </c>
      <c r="DA20" s="4147" t="e">
        <f>SUMIF($CQ$4:$CY$4,$DG$1,CQ20:CY21)*$DI$1+SUMIF($CQ$4:$CY$4,$DG$2,CQ20:CY21)*$DI$2+SUMIF($CQ$4:$CY$4,$DG$3,CQ20:CY21)*$DI$3+SUMIF($CQ$4:$CY$4,$DG$4,CQ20:CY21)*$DI$4+SUMIF($CQ$4:$CY$4,$DG$5,CQ20:CY21)*$DI$5+SUMIF($CQ$4:$CY$4,$DG$6,CQ20:CY21)*$DI$6+SUMIF($CQ$4:$CY$4,$DG$7,CQ20:CY21)*$DI$7+SUMIF($CQ$4:$CY$4,$DG$8,CQ20:CY21)*$DI$8+SUMIF($CQ$4:$CY$4,$DG$9,CQ20:CY21)*$DI$9</f>
        <v>#DIV/0!</v>
      </c>
      <c r="DB20"/>
      <c r="DC20"/>
      <c r="DD20" s="1157" t="s">
        <v>61</v>
      </c>
      <c r="DE20"/>
      <c r="DF20"/>
      <c r="DG20" s="1157"/>
      <c r="DH20" s="1157" t="s">
        <v>1100</v>
      </c>
      <c r="DI20"/>
      <c r="DJ20"/>
      <c r="DK20"/>
      <c r="DM20" s="2015" t="s">
        <v>69</v>
      </c>
      <c r="DN20" s="4156"/>
      <c r="DO20" s="2013" t="s">
        <v>1113</v>
      </c>
      <c r="DP20" s="2014">
        <v>2371</v>
      </c>
      <c r="DQ20" s="2013">
        <v>3558</v>
      </c>
      <c r="DR20" s="2014">
        <v>4528</v>
      </c>
      <c r="DS20" s="2013">
        <v>4801</v>
      </c>
      <c r="DT20" s="2014">
        <v>5279</v>
      </c>
      <c r="DU20" s="2013">
        <v>2305</v>
      </c>
    </row>
    <row r="21" spans="12:125" s="866" customFormat="1" ht="14.4" thickBot="1" x14ac:dyDescent="0.3">
      <c r="AJ21"/>
      <c r="AK21"/>
      <c r="AL21"/>
      <c r="AM21"/>
      <c r="AN21"/>
      <c r="AO21"/>
      <c r="AP21"/>
      <c r="AQ21"/>
      <c r="AR21"/>
      <c r="AS21"/>
      <c r="AT21"/>
      <c r="AU21"/>
      <c r="AV21"/>
      <c r="AW21"/>
      <c r="AX21"/>
      <c r="AY21"/>
      <c r="AZ21"/>
      <c r="BA21"/>
      <c r="BB21"/>
      <c r="BC21"/>
      <c r="BD21"/>
      <c r="BE21"/>
      <c r="BF21"/>
      <c r="BG21" s="4113"/>
      <c r="BH21" s="4115"/>
      <c r="BI21" s="4113"/>
      <c r="BJ21" s="4113"/>
      <c r="BK21" s="3855"/>
      <c r="BL21" s="3839"/>
      <c r="BM21" s="1299" t="str">
        <f>'12 - Performance_Outputs_1'!F253</f>
        <v/>
      </c>
      <c r="BN21" s="1782" t="str">
        <f>'12 - Performance_Outputs_1'!G253</f>
        <v/>
      </c>
      <c r="BO21" s="1782" t="str">
        <f ca="1">'12 - Performance_Outputs_1'!H253</f>
        <v/>
      </c>
      <c r="BP21" s="1877" t="str">
        <f ca="1">'12 - Performance_Outputs_1'!I253</f>
        <v/>
      </c>
      <c r="BQ21" s="3850"/>
      <c r="BR21" s="1880">
        <f>'12 - Performance_Outputs_1'!K253</f>
        <v>0</v>
      </c>
      <c r="BS21" s="1879">
        <f>'12 - Performance_Outputs_1'!M253</f>
        <v>0</v>
      </c>
      <c r="BT21" s="1882" t="str">
        <f>'12 - Performance_Outputs_1'!R253</f>
        <v/>
      </c>
      <c r="BU21" s="1882" t="str">
        <f>'12 - Performance_Outputs_1'!S253</f>
        <v/>
      </c>
      <c r="BV21" s="1885">
        <f ca="1">SUMIF('12 - Performance_Outputs_1'!$B$311:$B$316,BL21,'12 - Performance_Outputs_1'!$E$311:$G$315)</f>
        <v>0</v>
      </c>
      <c r="BW21" s="1885">
        <f ca="1">SUMIF('12 - Performance_Outputs_1'!$B$311:$B$316,BL21,'12 - Performance_Outputs_1'!$H$311:$H$315)</f>
        <v>0</v>
      </c>
      <c r="BX21" s="1884" t="str">
        <f t="shared" si="1"/>
        <v/>
      </c>
      <c r="BY21" s="1888" t="str">
        <f t="shared" si="2"/>
        <v/>
      </c>
      <c r="BZ21" s="1884" t="str">
        <f t="shared" si="3"/>
        <v/>
      </c>
      <c r="CA21" s="1888" t="str">
        <f t="shared" si="4"/>
        <v/>
      </c>
      <c r="CB21" s="1886" t="str">
        <f t="shared" ca="1" si="5"/>
        <v/>
      </c>
      <c r="CC21" s="1883" t="str">
        <f t="shared" ca="1" si="6"/>
        <v/>
      </c>
      <c r="CD21" s="1889" t="str">
        <f t="shared" ca="1" si="7"/>
        <v/>
      </c>
      <c r="CE21" s="1883" t="str">
        <f t="shared" ca="1" si="8"/>
        <v/>
      </c>
      <c r="CF21" s="1889" t="str">
        <f t="shared" ca="1" si="9"/>
        <v/>
      </c>
      <c r="CG21" s="1887" t="str">
        <f t="shared" ca="1" si="10"/>
        <v/>
      </c>
      <c r="CH21" s="4124"/>
      <c r="CI21" s="4124"/>
      <c r="CJ21" s="4124"/>
      <c r="CK21" s="4124"/>
      <c r="CL21" s="4124"/>
      <c r="CM21" s="4124"/>
      <c r="CN21" s="4124"/>
      <c r="CO21" s="4124"/>
      <c r="CP21" s="4124"/>
      <c r="CQ21" s="4124"/>
      <c r="CR21" s="4124"/>
      <c r="CS21" s="4124"/>
      <c r="CT21" s="4124"/>
      <c r="CU21" s="4124"/>
      <c r="CV21" s="4124"/>
      <c r="CW21" s="4124"/>
      <c r="CX21" s="4124"/>
      <c r="CY21" s="4144"/>
      <c r="CZ21" s="4146"/>
      <c r="DA21" s="4148"/>
      <c r="DB21"/>
      <c r="DC21"/>
      <c r="DD21" s="1157" t="s">
        <v>2215</v>
      </c>
      <c r="DE21"/>
      <c r="DF21"/>
      <c r="DG21" s="1157"/>
      <c r="DH21" s="1157" t="s">
        <v>2655</v>
      </c>
      <c r="DI21"/>
      <c r="DJ21"/>
      <c r="DK21"/>
      <c r="DM21" s="42"/>
      <c r="DN21" s="4154" t="s">
        <v>2218</v>
      </c>
      <c r="DO21" s="2013" t="s">
        <v>2830</v>
      </c>
      <c r="DP21" s="2014">
        <v>0.95</v>
      </c>
      <c r="DQ21" s="2013">
        <v>0.9</v>
      </c>
      <c r="DR21" s="2014">
        <v>0.95</v>
      </c>
      <c r="DS21" s="2013">
        <v>1</v>
      </c>
      <c r="DT21" s="2014" t="s">
        <v>266</v>
      </c>
      <c r="DU21" s="2013">
        <v>0.83</v>
      </c>
    </row>
    <row r="22" spans="12:125" s="866" customFormat="1" ht="14.4" thickBot="1" x14ac:dyDescent="0.3">
      <c r="AJ22"/>
      <c r="AK22"/>
      <c r="AL22"/>
      <c r="AM22"/>
      <c r="AN22"/>
      <c r="AO22"/>
      <c r="AP22"/>
      <c r="AQ22"/>
      <c r="AR22"/>
      <c r="AS22"/>
      <c r="AT22"/>
      <c r="AU22"/>
      <c r="AV22"/>
      <c r="AW22"/>
      <c r="AX22"/>
      <c r="AY22"/>
      <c r="AZ22"/>
      <c r="BA22"/>
      <c r="BB22"/>
      <c r="BC22"/>
      <c r="BD22"/>
      <c r="BE22"/>
      <c r="BF22"/>
      <c r="BG22" s="4112" t="s">
        <v>2670</v>
      </c>
      <c r="BH22" s="4114" t="s">
        <v>2630</v>
      </c>
      <c r="BI22" s="4112" t="str">
        <f>'12 - Performance_Outputs_1'!B254</f>
        <v>Space cooling</v>
      </c>
      <c r="BJ22" s="4113"/>
      <c r="BK22" s="3855">
        <f>'12 - Performance_Outputs_1'!D254</f>
        <v>0</v>
      </c>
      <c r="BL22" s="3839" t="str">
        <f>'12 - Performance_Outputs_1'!E254</f>
        <v>Natural Gas</v>
      </c>
      <c r="BM22" s="1299" t="str">
        <f>'12 - Performance_Outputs_1'!F254</f>
        <v/>
      </c>
      <c r="BN22" s="1782" t="str">
        <f>'12 - Performance_Outputs_1'!G254</f>
        <v/>
      </c>
      <c r="BO22" s="1782" t="str">
        <f ca="1">'12 - Performance_Outputs_1'!H254</f>
        <v/>
      </c>
      <c r="BP22" s="1877" t="str">
        <f ca="1">'12 - Performance_Outputs_1'!I254</f>
        <v/>
      </c>
      <c r="BQ22" s="3849" t="str">
        <f ca="1">'12 - Performance_Outputs_1'!J254</f>
        <v/>
      </c>
      <c r="BR22" s="1880" t="str">
        <f ca="1">'12 - Performance_Outputs_1'!K254</f>
        <v/>
      </c>
      <c r="BS22" s="1879" t="str">
        <f ca="1">'12 - Performance_Outputs_1'!M254</f>
        <v/>
      </c>
      <c r="BT22" s="1882" t="str">
        <f>'12 - Performance_Outputs_1'!R254</f>
        <v/>
      </c>
      <c r="BU22" s="1882" t="str">
        <f>'12 - Performance_Outputs_1'!S254</f>
        <v/>
      </c>
      <c r="BV22" s="1885">
        <f ca="1">SUMIF('12 - Performance_Outputs_1'!$B$311:$B$316,BL22,'12 - Performance_Outputs_1'!$E$311:$G$315)</f>
        <v>0</v>
      </c>
      <c r="BW22" s="1885">
        <f ca="1">SUMIF('12 - Performance_Outputs_1'!$B$311:$B$316,BL22,'12 - Performance_Outputs_1'!$H$311:$H$315)</f>
        <v>0</v>
      </c>
      <c r="BX22" s="1884" t="str">
        <f t="shared" si="1"/>
        <v/>
      </c>
      <c r="BY22" s="1888" t="str">
        <f t="shared" si="2"/>
        <v/>
      </c>
      <c r="BZ22" s="1884" t="str">
        <f t="shared" si="3"/>
        <v/>
      </c>
      <c r="CA22" s="1888" t="str">
        <f t="shared" si="4"/>
        <v/>
      </c>
      <c r="CB22" s="1886" t="str">
        <f t="shared" ca="1" si="5"/>
        <v/>
      </c>
      <c r="CC22" s="1883" t="str">
        <f t="shared" ca="1" si="6"/>
        <v/>
      </c>
      <c r="CD22" s="1889" t="str">
        <f t="shared" ca="1" si="7"/>
        <v/>
      </c>
      <c r="CE22" s="1883" t="str">
        <f t="shared" ca="1" si="8"/>
        <v/>
      </c>
      <c r="CF22" s="1889" t="str">
        <f t="shared" ca="1" si="9"/>
        <v/>
      </c>
      <c r="CG22" s="1887" t="str">
        <f t="shared" ca="1" si="10"/>
        <v/>
      </c>
      <c r="CH22" s="4110"/>
      <c r="CI22" s="4110"/>
      <c r="CJ22" s="4110"/>
      <c r="CK22" s="4110"/>
      <c r="CL22" s="4110"/>
      <c r="CM22" s="4110"/>
      <c r="CN22" s="4110"/>
      <c r="CO22" s="4110"/>
      <c r="CP22" s="4110"/>
      <c r="CQ22" s="4110"/>
      <c r="CR22" s="4110"/>
      <c r="CS22" s="4110"/>
      <c r="CT22" s="4110"/>
      <c r="CU22" s="4110"/>
      <c r="CV22" s="4110"/>
      <c r="CW22" s="4110"/>
      <c r="CX22" s="4110"/>
      <c r="CY22" s="4139"/>
      <c r="CZ22" s="4141"/>
      <c r="DA22" s="4137"/>
      <c r="DB22"/>
      <c r="DC22"/>
      <c r="DD22"/>
      <c r="DE22"/>
      <c r="DF22"/>
      <c r="DG22" s="1157" t="s">
        <v>2656</v>
      </c>
      <c r="DH22" s="1157" t="s">
        <v>2217</v>
      </c>
      <c r="DI22"/>
      <c r="DJ22"/>
      <c r="DK22"/>
      <c r="DM22" s="42"/>
      <c r="DN22" s="4155"/>
      <c r="DO22" s="2013" t="s">
        <v>2831</v>
      </c>
      <c r="DP22" s="2014">
        <v>0</v>
      </c>
      <c r="DQ22" s="2013">
        <v>0.18</v>
      </c>
      <c r="DR22" s="2014">
        <v>0.35</v>
      </c>
      <c r="DS22" s="2013">
        <v>0.25</v>
      </c>
      <c r="DT22" s="2014" t="s">
        <v>266</v>
      </c>
      <c r="DU22" s="2013">
        <v>0.05</v>
      </c>
    </row>
    <row r="23" spans="12:125" s="866" customFormat="1" ht="14.4" thickBot="1" x14ac:dyDescent="0.3">
      <c r="AJ23"/>
      <c r="AK23"/>
      <c r="AL23"/>
      <c r="AM23"/>
      <c r="AN23"/>
      <c r="AO23"/>
      <c r="AP23"/>
      <c r="AQ23"/>
      <c r="AR23"/>
      <c r="AS23"/>
      <c r="AT23"/>
      <c r="AU23"/>
      <c r="AV23"/>
      <c r="AW23"/>
      <c r="AX23"/>
      <c r="AY23"/>
      <c r="AZ23"/>
      <c r="BA23"/>
      <c r="BB23"/>
      <c r="BC23"/>
      <c r="BD23"/>
      <c r="BE23"/>
      <c r="BF23"/>
      <c r="BG23" s="4113"/>
      <c r="BH23" s="4115"/>
      <c r="BI23" s="4113"/>
      <c r="BJ23" s="4113"/>
      <c r="BK23" s="3855"/>
      <c r="BL23" s="3839"/>
      <c r="BM23" s="1299" t="str">
        <f>'12 - Performance_Outputs_1'!F255</f>
        <v/>
      </c>
      <c r="BN23" s="1782" t="str">
        <f>'12 - Performance_Outputs_1'!G255</f>
        <v/>
      </c>
      <c r="BO23" s="1782" t="str">
        <f ca="1">'12 - Performance_Outputs_1'!H255</f>
        <v/>
      </c>
      <c r="BP23" s="1877" t="str">
        <f ca="1">'12 - Performance_Outputs_1'!I255</f>
        <v/>
      </c>
      <c r="BQ23" s="3850"/>
      <c r="BR23" s="1880">
        <f>'12 - Performance_Outputs_1'!K255</f>
        <v>0</v>
      </c>
      <c r="BS23" s="1879">
        <f>'12 - Performance_Outputs_1'!M255</f>
        <v>0</v>
      </c>
      <c r="BT23" s="1882" t="str">
        <f>'12 - Performance_Outputs_1'!R255</f>
        <v/>
      </c>
      <c r="BU23" s="1882" t="str">
        <f>'12 - Performance_Outputs_1'!S255</f>
        <v/>
      </c>
      <c r="BV23" s="1885">
        <f ca="1">SUMIF('12 - Performance_Outputs_1'!$B$311:$B$316,BL23,'12 - Performance_Outputs_1'!$E$311:$G$315)</f>
        <v>0</v>
      </c>
      <c r="BW23" s="1885">
        <f ca="1">SUMIF('12 - Performance_Outputs_1'!$B$311:$B$316,BL23,'12 - Performance_Outputs_1'!$H$311:$H$315)</f>
        <v>0</v>
      </c>
      <c r="BX23" s="1884" t="str">
        <f t="shared" si="1"/>
        <v/>
      </c>
      <c r="BY23" s="1888" t="str">
        <f t="shared" si="2"/>
        <v/>
      </c>
      <c r="BZ23" s="1884" t="str">
        <f t="shared" si="3"/>
        <v/>
      </c>
      <c r="CA23" s="1888" t="str">
        <f t="shared" si="4"/>
        <v/>
      </c>
      <c r="CB23" s="1886" t="str">
        <f t="shared" ca="1" si="5"/>
        <v/>
      </c>
      <c r="CC23" s="1883" t="str">
        <f t="shared" ca="1" si="6"/>
        <v/>
      </c>
      <c r="CD23" s="1889" t="str">
        <f t="shared" ca="1" si="7"/>
        <v/>
      </c>
      <c r="CE23" s="1883" t="str">
        <f t="shared" ca="1" si="8"/>
        <v/>
      </c>
      <c r="CF23" s="1889" t="str">
        <f t="shared" ca="1" si="9"/>
        <v/>
      </c>
      <c r="CG23" s="1887" t="str">
        <f t="shared" ca="1" si="10"/>
        <v/>
      </c>
      <c r="CH23" s="4111"/>
      <c r="CI23" s="4111"/>
      <c r="CJ23" s="4111"/>
      <c r="CK23" s="4111"/>
      <c r="CL23" s="4111"/>
      <c r="CM23" s="4111"/>
      <c r="CN23" s="4111"/>
      <c r="CO23" s="4111"/>
      <c r="CP23" s="4111"/>
      <c r="CQ23" s="4111"/>
      <c r="CR23" s="4111"/>
      <c r="CS23" s="4111"/>
      <c r="CT23" s="4111"/>
      <c r="CU23" s="4111"/>
      <c r="CV23" s="4111"/>
      <c r="CW23" s="4111"/>
      <c r="CX23" s="4111"/>
      <c r="CY23" s="4140"/>
      <c r="CZ23" s="4142"/>
      <c r="DA23" s="4138"/>
      <c r="DB23"/>
      <c r="DC23"/>
      <c r="DD23"/>
      <c r="DE23"/>
      <c r="DF23"/>
      <c r="DG23" s="1157"/>
      <c r="DH23" s="1157" t="s">
        <v>2657</v>
      </c>
      <c r="DI23"/>
      <c r="DJ23"/>
      <c r="DK23"/>
      <c r="DM23" s="2015" t="s">
        <v>2218</v>
      </c>
      <c r="DN23" s="4156"/>
      <c r="DO23" s="2013" t="s">
        <v>1113</v>
      </c>
      <c r="DP23" s="2014">
        <v>2096</v>
      </c>
      <c r="DQ23" s="2013">
        <v>4107</v>
      </c>
      <c r="DR23" s="2014">
        <v>4421</v>
      </c>
      <c r="DS23" s="2013">
        <v>6125</v>
      </c>
      <c r="DT23" s="2014">
        <v>3514</v>
      </c>
      <c r="DU23" s="2013">
        <v>1828</v>
      </c>
    </row>
    <row r="24" spans="12:125" s="866" customFormat="1" ht="14.4" thickBot="1" x14ac:dyDescent="0.3">
      <c r="AJ24"/>
      <c r="AK24"/>
      <c r="AL24"/>
      <c r="AM24"/>
      <c r="AN24"/>
      <c r="AO24"/>
      <c r="AP24"/>
      <c r="AQ24"/>
      <c r="AR24"/>
      <c r="AS24"/>
      <c r="AT24"/>
      <c r="AU24"/>
      <c r="AV24"/>
      <c r="AW24"/>
      <c r="AX24"/>
      <c r="AY24"/>
      <c r="AZ24"/>
      <c r="BA24"/>
      <c r="BB24"/>
      <c r="BC24"/>
      <c r="BD24"/>
      <c r="BE24"/>
      <c r="BF24"/>
      <c r="BG24" s="4112" t="s">
        <v>387</v>
      </c>
      <c r="BH24" s="4114" t="s">
        <v>387</v>
      </c>
      <c r="BI24" s="4112" t="str">
        <f>'12 - Performance_Outputs_1'!B256</f>
        <v>Pumps</v>
      </c>
      <c r="BJ24" s="4113"/>
      <c r="BK24" s="3855">
        <f>'12 - Performance_Outputs_1'!D256</f>
        <v>0</v>
      </c>
      <c r="BL24" s="3839" t="str">
        <f>'12 - Performance_Outputs_1'!E256</f>
        <v>Electricity</v>
      </c>
      <c r="BM24" s="1299" t="str">
        <f>'12 - Performance_Outputs_1'!F256</f>
        <v/>
      </c>
      <c r="BN24" s="1782" t="str">
        <f>'12 - Performance_Outputs_1'!G256</f>
        <v/>
      </c>
      <c r="BO24" s="1782" t="str">
        <f ca="1">'12 - Performance_Outputs_1'!H256</f>
        <v/>
      </c>
      <c r="BP24" s="1877" t="str">
        <f ca="1">'12 - Performance_Outputs_1'!I256</f>
        <v/>
      </c>
      <c r="BQ24" s="3849" t="str">
        <f ca="1">'12 - Performance_Outputs_1'!J256</f>
        <v/>
      </c>
      <c r="BR24" s="1880" t="str">
        <f ca="1">'12 - Performance_Outputs_1'!K256</f>
        <v/>
      </c>
      <c r="BS24" s="1879" t="str">
        <f ca="1">'12 - Performance_Outputs_1'!M256</f>
        <v/>
      </c>
      <c r="BT24" s="1882" t="str">
        <f>'12 - Performance_Outputs_1'!R256</f>
        <v/>
      </c>
      <c r="BU24" s="1882" t="str">
        <f>'12 - Performance_Outputs_1'!S256</f>
        <v/>
      </c>
      <c r="BV24" s="1885">
        <f ca="1">SUMIF('12 - Performance_Outputs_1'!$B$311:$B$316,BL24,'12 - Performance_Outputs_1'!$E$311:$G$315)</f>
        <v>0</v>
      </c>
      <c r="BW24" s="1885">
        <f ca="1">SUMIF('12 - Performance_Outputs_1'!$B$311:$B$316,BL24,'12 - Performance_Outputs_1'!$H$311:$H$315)</f>
        <v>0</v>
      </c>
      <c r="BX24" s="1884" t="str">
        <f t="shared" si="1"/>
        <v/>
      </c>
      <c r="BY24" s="1888" t="str">
        <f t="shared" si="2"/>
        <v/>
      </c>
      <c r="BZ24" s="1884" t="str">
        <f t="shared" si="3"/>
        <v/>
      </c>
      <c r="CA24" s="1888" t="str">
        <f t="shared" si="4"/>
        <v/>
      </c>
      <c r="CB24" s="1886" t="str">
        <f t="shared" ca="1" si="5"/>
        <v/>
      </c>
      <c r="CC24" s="1883" t="str">
        <f t="shared" ca="1" si="6"/>
        <v/>
      </c>
      <c r="CD24" s="1889" t="str">
        <f t="shared" ca="1" si="7"/>
        <v/>
      </c>
      <c r="CE24" s="1883" t="str">
        <f t="shared" ca="1" si="8"/>
        <v/>
      </c>
      <c r="CF24" s="1889" t="str">
        <f t="shared" ca="1" si="9"/>
        <v/>
      </c>
      <c r="CG24" s="1887" t="str">
        <f t="shared" ca="1" si="10"/>
        <v/>
      </c>
      <c r="CH24" s="4123" t="str">
        <f>IFERROR(IF($DD$1="4A",VLOOKUP(CH$4,'90.1-2004 Site EUI'!$A$3:$W$27,MATCH($BH24,'90.1-2004 Site EUI'!$A$4:$W$4,0),FALSE),IF($DD$1="5A",VLOOKUP(CH$4,'90.1-2004 Site EUI'!$A$29:$W$53,MATCH($BH24,'90.1-2004 Site EUI'!$A$30:$W$30,0),FALSE),IF($DD$1="6A",VLOOKUP(CH$4,'90.1-2004 Site EUI'!$A$55:$W$79,MATCH($BH24,'90.1-2004 Site EUI'!$A$56:$W$56,0),FALSE),""))),"")</f>
        <v/>
      </c>
      <c r="CI24" s="4123" t="str">
        <f>IFERROR(IF($DD$1="4A",VLOOKUP(CI$4,'90.1-2004 Site EUI'!$A$3:$W$27,MATCH($BH24,'90.1-2004 Site EUI'!$A$4:$W$4,0),FALSE),IF($DD$1="5A",VLOOKUP(CI$4,'90.1-2004 Site EUI'!$A$29:$W$53,MATCH($BH24,'90.1-2004 Site EUI'!$A$30:$W$30,0),FALSE),IF($DD$1="6A",VLOOKUP(CI$4,'90.1-2004 Site EUI'!$A$55:$W$79,MATCH($BH24,'90.1-2004 Site EUI'!$A$56:$W$56,0),FALSE),""))),"")</f>
        <v/>
      </c>
      <c r="CJ24" s="4123" t="str">
        <f>IFERROR(IF($DD$1="4A",VLOOKUP(CJ$4,'90.1-2004 Site EUI'!$A$3:$W$27,MATCH($BH24,'90.1-2004 Site EUI'!$A$4:$W$4,0),FALSE),IF($DD$1="5A",VLOOKUP(CJ$4,'90.1-2004 Site EUI'!$A$29:$W$53,MATCH($BH24,'90.1-2004 Site EUI'!$A$30:$W$30,0),FALSE),IF($DD$1="6A",VLOOKUP(CJ$4,'90.1-2004 Site EUI'!$A$55:$W$79,MATCH($BH24,'90.1-2004 Site EUI'!$A$56:$W$56,0),FALSE),""))),"")</f>
        <v/>
      </c>
      <c r="CK24" s="4123" t="str">
        <f>IFERROR(IF($DD$1="4A",VLOOKUP(CK$4,'90.1-2004 Site EUI'!$A$3:$W$27,MATCH($BH24,'90.1-2004 Site EUI'!$A$4:$W$4,0),FALSE),IF($DD$1="5A",VLOOKUP(CK$4,'90.1-2004 Site EUI'!$A$29:$W$53,MATCH($BH24,'90.1-2004 Site EUI'!$A$30:$W$30,0),FALSE),IF($DD$1="6A",VLOOKUP(CK$4,'90.1-2004 Site EUI'!$A$55:$W$79,MATCH($BH24,'90.1-2004 Site EUI'!$A$56:$W$56,0),FALSE),""))),"")</f>
        <v/>
      </c>
      <c r="CL24" s="4123" t="str">
        <f>IFERROR(IF($DD$1="4A",VLOOKUP(CL$4,'90.1-2004 Site EUI'!$A$3:$W$27,MATCH($BH24,'90.1-2004 Site EUI'!$A$4:$W$4,0),FALSE),IF($DD$1="5A",VLOOKUP(CL$4,'90.1-2004 Site EUI'!$A$29:$W$53,MATCH($BH24,'90.1-2004 Site EUI'!$A$30:$W$30,0),FALSE),IF($DD$1="6A",VLOOKUP(CL$4,'90.1-2004 Site EUI'!$A$55:$W$79,MATCH($BH24,'90.1-2004 Site EUI'!$A$56:$W$56,0),FALSE),""))),"")</f>
        <v/>
      </c>
      <c r="CM24" s="4123" t="str">
        <f>IFERROR(IF($DD$1="4A",VLOOKUP(CM$4,'90.1-2004 Site EUI'!$A$3:$W$27,MATCH($BH24,'90.1-2004 Site EUI'!$A$4:$W$4,0),FALSE),IF($DD$1="5A",VLOOKUP(CM$4,'90.1-2004 Site EUI'!$A$29:$W$53,MATCH($BH24,'90.1-2004 Site EUI'!$A$30:$W$30,0),FALSE),IF($DD$1="6A",VLOOKUP(CM$4,'90.1-2004 Site EUI'!$A$55:$W$79,MATCH($BH24,'90.1-2004 Site EUI'!$A$56:$W$56,0),FALSE),""))),"")</f>
        <v/>
      </c>
      <c r="CN24" s="4123" t="str">
        <f>IFERROR(IF($DD$1="4A",VLOOKUP(CN$4,'90.1-2004 Site EUI'!$A$3:$W$27,MATCH($BH24,'90.1-2004 Site EUI'!$A$4:$W$4,0),FALSE),IF($DD$1="5A",VLOOKUP(CN$4,'90.1-2004 Site EUI'!$A$29:$W$53,MATCH($BH24,'90.1-2004 Site EUI'!$A$30:$W$30,0),FALSE),IF($DD$1="6A",VLOOKUP(CN$4,'90.1-2004 Site EUI'!$A$55:$W$79,MATCH($BH24,'90.1-2004 Site EUI'!$A$56:$W$56,0),FALSE),""))),"")</f>
        <v/>
      </c>
      <c r="CO24" s="4123" t="e">
        <f>AVERAGE(CH24:CN25,CP24)</f>
        <v>#DIV/0!</v>
      </c>
      <c r="CP24" s="4123" t="str">
        <f>IFERROR(IF($DD$1="4A",VLOOKUP(CP$4,'90.1-2004 Site EUI'!$A$3:$W$27,MATCH($BH24,'90.1-2004 Site EUI'!$A$4:$W$4,0),FALSE),IF($DD$1="5A",VLOOKUP(CP$4,'90.1-2004 Site EUI'!$A$29:$W$53,MATCH($BH24,'90.1-2004 Site EUI'!$A$30:$W$30,0),FALSE),IF($DD$1="6A",VLOOKUP(CP$4,'90.1-2004 Site EUI'!$A$55:$W$79,MATCH($BH24,'90.1-2004 Site EUI'!$A$56:$W$56,0),FALSE),""))),"")</f>
        <v/>
      </c>
      <c r="CQ24" s="4123" t="str">
        <f>IFERROR(IF($DD$1="4A",VLOOKUP(CQ$4,'90.1-2013 Site EUI'!$A$3:$W$27,MATCH($BH24,'90.1-2013 Site EUI'!$A$4:$W$4,0),FALSE),IF($DD$1="5A",VLOOKUP(CQ$4,'90.1-2013 Site EUI'!$A$29:$W$53,MATCH($BH24,'90.1-2013 Site EUI'!$A$30:$W$30,0),FALSE),IF($DD$1="6A",VLOOKUP(CQ$4,'90.1-2013 Site EUI'!$A$55:$W$79,MATCH($BH24,'90.1-2013 Site EUI'!$A$56:$W$56,0),FALSE),""))),"")</f>
        <v/>
      </c>
      <c r="CR24" s="4123" t="str">
        <f>IFERROR(IF($DD$1="4A",VLOOKUP(CR$4,'90.1-2013 Site EUI'!$A$3:$W$27,MATCH($BH24,'90.1-2013 Site EUI'!$A$4:$W$4,0),FALSE),IF($DD$1="5A",VLOOKUP(CR$4,'90.1-2013 Site EUI'!$A$29:$W$53,MATCH($BH24,'90.1-2013 Site EUI'!$A$30:$W$30,0),FALSE),IF($DD$1="6A",VLOOKUP(CR$4,'90.1-2013 Site EUI'!$A$55:$W$79,MATCH($BH24,'90.1-2013 Site EUI'!$A$56:$W$56,0),FALSE),""))),"")</f>
        <v/>
      </c>
      <c r="CS24" s="4123" t="str">
        <f>IFERROR(IF($DD$1="4A",VLOOKUP(CS$4,'90.1-2013 Site EUI'!$A$3:$W$27,MATCH($BH24,'90.1-2013 Site EUI'!$A$4:$W$4,0),FALSE),IF($DD$1="5A",VLOOKUP(CS$4,'90.1-2013 Site EUI'!$A$29:$W$53,MATCH($BH24,'90.1-2013 Site EUI'!$A$30:$W$30,0),FALSE),IF($DD$1="6A",VLOOKUP(CS$4,'90.1-2013 Site EUI'!$A$55:$W$79,MATCH($BH24,'90.1-2013 Site EUI'!$A$56:$W$56,0),FALSE),""))),"")</f>
        <v/>
      </c>
      <c r="CT24" s="4123" t="str">
        <f>IFERROR(IF($DD$1="4A",VLOOKUP(CT$4,'90.1-2013 Site EUI'!$A$3:$W$27,MATCH($BH24,'90.1-2013 Site EUI'!$A$4:$W$4,0),FALSE),IF($DD$1="5A",VLOOKUP(CT$4,'90.1-2013 Site EUI'!$A$29:$W$53,MATCH($BH24,'90.1-2013 Site EUI'!$A$30:$W$30,0),FALSE),IF($DD$1="6A",VLOOKUP(CT$4,'90.1-2013 Site EUI'!$A$55:$W$79,MATCH($BH24,'90.1-2013 Site EUI'!$A$56:$W$56,0),FALSE),""))),"")</f>
        <v/>
      </c>
      <c r="CU24" s="4123" t="str">
        <f>IFERROR(IF($DD$1="4A",VLOOKUP(CU$4,'90.1-2013 Site EUI'!$A$3:$W$27,MATCH($BH24,'90.1-2013 Site EUI'!$A$4:$W$4,0),FALSE),IF($DD$1="5A",VLOOKUP(CU$4,'90.1-2013 Site EUI'!$A$29:$W$53,MATCH($BH24,'90.1-2013 Site EUI'!$A$30:$W$30,0),FALSE),IF($DD$1="6A",VLOOKUP(CU$4,'90.1-2013 Site EUI'!$A$55:$W$79,MATCH($BH24,'90.1-2013 Site EUI'!$A$56:$W$56,0),FALSE),""))),"")</f>
        <v/>
      </c>
      <c r="CV24" s="4123" t="str">
        <f>IFERROR(IF($DD$1="4A",VLOOKUP(CV$4,'90.1-2013 Site EUI'!$A$3:$W$27,MATCH($BH24,'90.1-2013 Site EUI'!$A$4:$W$4,0),FALSE),IF($DD$1="5A",VLOOKUP(CV$4,'90.1-2013 Site EUI'!$A$29:$W$53,MATCH($BH24,'90.1-2013 Site EUI'!$A$30:$W$30,0),FALSE),IF($DD$1="6A",VLOOKUP(CV$4,'90.1-2013 Site EUI'!$A$55:$W$79,MATCH($BH24,'90.1-2013 Site EUI'!$A$56:$W$56,0),FALSE),""))),"")</f>
        <v/>
      </c>
      <c r="CW24" s="4123" t="str">
        <f>IFERROR(IF($DD$1="4A",VLOOKUP(CW$4,'90.1-2013 Site EUI'!$A$3:$W$27,MATCH($BH24,'90.1-2013 Site EUI'!$A$4:$W$4,0),FALSE),IF($DD$1="5A",VLOOKUP(CW$4,'90.1-2013 Site EUI'!$A$29:$W$53,MATCH($BH24,'90.1-2013 Site EUI'!$A$30:$W$30,0),FALSE),IF($DD$1="6A",VLOOKUP(CW$4,'90.1-2013 Site EUI'!$A$55:$W$79,MATCH($BH24,'90.1-2013 Site EUI'!$A$56:$W$56,0),FALSE),""))),"")</f>
        <v/>
      </c>
      <c r="CX24" s="4123" t="e">
        <f>AVERAGE(CQ24:CW25,CY24)</f>
        <v>#DIV/0!</v>
      </c>
      <c r="CY24" s="4143" t="str">
        <f>IFERROR(IF($DD$1="4A",VLOOKUP(CY$4,'90.1-2013 Site EUI'!$A$3:$W$27,MATCH($BH24,'90.1-2013 Site EUI'!$A$4:$W$4,0),FALSE),IF($DD$1="5A",VLOOKUP(CY$4,'90.1-2013 Site EUI'!$A$29:$W$53,MATCH($BH24,'90.1-2013 Site EUI'!$A$30:$W$30,0),FALSE),IF($DD$1="6A",VLOOKUP(CY$4,'90.1-2013 Site EUI'!$A$55:$W$79,MATCH($BH24,'90.1-2013 Site EUI'!$A$56:$W$56,0),FALSE),""))),"")</f>
        <v/>
      </c>
      <c r="CZ24" s="4145" t="e">
        <f>SUMIF($CH$4:$CP$4,$DG$1,CH24:CP25)*$DI$1+SUMIF($CH$4:$CP$4,$DG$2,CH24:CP25)*$DI$2+SUMIF($CH$4:$CP$4,$DG$3,CH24:CP25)*$DI$3+SUMIF($CH$4:$CP$4,$DG$4,CH24:CP25)*$DI$4+SUMIF($CH$4:$CP$4,$DG$5,CH24:CP25)*$DI$5+SUMIF($CH$4:$CP$4,$DG$6,CH24:CP25)*$DI$6+SUMIF($CH$4:$CP$4,$DG$7,CH24:CP25)*$DI$7+SUMIF($CH$4:$CP$4,$DG$8,CH24:CP25)*$DI$8+SUMIF($CH$4:$CP$4,$DG$8,CH24:CP25)*$DI$8+SUMIF($CH$4:$CP$4,$DG$9,CH24:CP25)*$DI$9</f>
        <v>#DIV/0!</v>
      </c>
      <c r="DA24" s="4147" t="e">
        <f>SUMIF($CQ$4:$CY$4,$DG$1,CQ24:CY25)*$DI$1+SUMIF($CQ$4:$CY$4,$DG$2,CQ24:CY25)*$DI$2+SUMIF($CQ$4:$CY$4,$DG$3,CQ24:CY25)*$DI$3+SUMIF($CQ$4:$CY$4,$DG$4,CQ24:CY25)*$DI$4+SUMIF($CQ$4:$CY$4,$DG$5,CQ24:CY25)*$DI$5+SUMIF($CQ$4:$CY$4,$DG$6,CQ24:CY25)*$DI$6+SUMIF($CQ$4:$CY$4,$DG$7,CQ24:CY25)*$DI$7+SUMIF($CQ$4:$CY$4,$DG$8,CQ24:CY25)*$DI$8+SUMIF($CQ$4:$CY$4,$DG$9,CQ24:CY25)*$DI$9</f>
        <v>#DIV/0!</v>
      </c>
      <c r="DB24"/>
      <c r="DC24"/>
      <c r="DD24"/>
      <c r="DE24"/>
      <c r="DF24"/>
      <c r="DG24" s="1157" t="s">
        <v>2658</v>
      </c>
      <c r="DH24" s="1157" t="s">
        <v>2659</v>
      </c>
      <c r="DI24"/>
      <c r="DJ24"/>
      <c r="DK24"/>
      <c r="DM24" s="42"/>
      <c r="DN24" s="4154" t="s">
        <v>23</v>
      </c>
      <c r="DO24" s="2013" t="s">
        <v>2830</v>
      </c>
      <c r="DP24" s="2014">
        <v>1</v>
      </c>
      <c r="DQ24" s="2013">
        <v>1</v>
      </c>
      <c r="DR24" s="2014">
        <v>1</v>
      </c>
      <c r="DS24" s="2013">
        <v>1</v>
      </c>
      <c r="DT24" s="2014" t="s">
        <v>266</v>
      </c>
      <c r="DU24" s="2013">
        <v>0.8</v>
      </c>
    </row>
    <row r="25" spans="12:125" s="866" customFormat="1" ht="14.4" thickBot="1" x14ac:dyDescent="0.3">
      <c r="AJ25" s="1903"/>
      <c r="AK25" s="1903"/>
      <c r="AL25" s="1903"/>
      <c r="AM25" s="1903"/>
      <c r="AN25" s="1903"/>
      <c r="AO25" s="1903"/>
      <c r="AP25" s="1903"/>
      <c r="AQ25" s="1903"/>
      <c r="AR25" s="1903"/>
      <c r="AS25" s="1903"/>
      <c r="AT25" s="1903"/>
      <c r="AU25" s="1903"/>
      <c r="AV25" s="1903"/>
      <c r="AW25" s="1903"/>
      <c r="AX25" s="1903"/>
      <c r="AY25" s="1903"/>
      <c r="AZ25" s="1903"/>
      <c r="BA25" s="1903"/>
      <c r="BB25" s="1903"/>
      <c r="BC25" s="1903"/>
      <c r="BD25"/>
      <c r="BE25"/>
      <c r="BF25"/>
      <c r="BG25" s="4113"/>
      <c r="BH25" s="4115"/>
      <c r="BI25" s="4113"/>
      <c r="BJ25" s="4113"/>
      <c r="BK25" s="3855"/>
      <c r="BL25" s="3839"/>
      <c r="BM25" s="1299" t="str">
        <f>'12 - Performance_Outputs_1'!F257</f>
        <v/>
      </c>
      <c r="BN25" s="1782" t="str">
        <f>'12 - Performance_Outputs_1'!G257</f>
        <v/>
      </c>
      <c r="BO25" s="1782" t="str">
        <f ca="1">'12 - Performance_Outputs_1'!H257</f>
        <v/>
      </c>
      <c r="BP25" s="1877" t="str">
        <f ca="1">'12 - Performance_Outputs_1'!I257</f>
        <v/>
      </c>
      <c r="BQ25" s="3850"/>
      <c r="BR25" s="1880">
        <f>'12 - Performance_Outputs_1'!K257</f>
        <v>0</v>
      </c>
      <c r="BS25" s="1879">
        <f>'12 - Performance_Outputs_1'!M257</f>
        <v>0</v>
      </c>
      <c r="BT25" s="1882" t="str">
        <f>'12 - Performance_Outputs_1'!R257</f>
        <v/>
      </c>
      <c r="BU25" s="1882" t="str">
        <f>'12 - Performance_Outputs_1'!S257</f>
        <v/>
      </c>
      <c r="BV25" s="1885">
        <f ca="1">SUMIF('12 - Performance_Outputs_1'!$B$311:$B$316,BL25,'12 - Performance_Outputs_1'!$E$311:$G$315)</f>
        <v>0</v>
      </c>
      <c r="BW25" s="1885">
        <f ca="1">SUMIF('12 - Performance_Outputs_1'!$B$311:$B$316,BL25,'12 - Performance_Outputs_1'!$H$311:$H$315)</f>
        <v>0</v>
      </c>
      <c r="BX25" s="1884" t="str">
        <f t="shared" si="1"/>
        <v/>
      </c>
      <c r="BY25" s="1888" t="str">
        <f t="shared" si="2"/>
        <v/>
      </c>
      <c r="BZ25" s="1884" t="str">
        <f t="shared" si="3"/>
        <v/>
      </c>
      <c r="CA25" s="1888" t="str">
        <f t="shared" si="4"/>
        <v/>
      </c>
      <c r="CB25" s="1886" t="str">
        <f t="shared" ca="1" si="5"/>
        <v/>
      </c>
      <c r="CC25" s="1883" t="str">
        <f t="shared" ca="1" si="6"/>
        <v/>
      </c>
      <c r="CD25" s="1889" t="str">
        <f t="shared" ca="1" si="7"/>
        <v/>
      </c>
      <c r="CE25" s="1883" t="str">
        <f t="shared" ca="1" si="8"/>
        <v/>
      </c>
      <c r="CF25" s="1889" t="str">
        <f t="shared" ca="1" si="9"/>
        <v/>
      </c>
      <c r="CG25" s="1887" t="str">
        <f t="shared" ca="1" si="10"/>
        <v/>
      </c>
      <c r="CH25" s="4124"/>
      <c r="CI25" s="4124"/>
      <c r="CJ25" s="4124"/>
      <c r="CK25" s="4124"/>
      <c r="CL25" s="4124"/>
      <c r="CM25" s="4124"/>
      <c r="CN25" s="4124"/>
      <c r="CO25" s="4124"/>
      <c r="CP25" s="4124"/>
      <c r="CQ25" s="4124"/>
      <c r="CR25" s="4124"/>
      <c r="CS25" s="4124"/>
      <c r="CT25" s="4124"/>
      <c r="CU25" s="4124"/>
      <c r="CV25" s="4124"/>
      <c r="CW25" s="4124"/>
      <c r="CX25" s="4124"/>
      <c r="CY25" s="4144"/>
      <c r="CZ25" s="4146"/>
      <c r="DA25" s="4148"/>
      <c r="DB25"/>
      <c r="DC25"/>
      <c r="DD25"/>
      <c r="DE25"/>
      <c r="DF25"/>
      <c r="DG25" s="1157"/>
      <c r="DH25" s="1157" t="s">
        <v>2660</v>
      </c>
      <c r="DI25"/>
      <c r="DJ25"/>
      <c r="DK25"/>
      <c r="DM25" s="42"/>
      <c r="DN25" s="4155"/>
      <c r="DO25" s="2013" t="s">
        <v>2831</v>
      </c>
      <c r="DP25" s="2014">
        <v>0.25</v>
      </c>
      <c r="DQ25" s="2013">
        <v>0.1</v>
      </c>
      <c r="DR25" s="2014">
        <v>0.4</v>
      </c>
      <c r="DS25" s="2013">
        <v>1</v>
      </c>
      <c r="DT25" s="2014" t="s">
        <v>266</v>
      </c>
      <c r="DU25" s="2013">
        <v>0</v>
      </c>
    </row>
    <row r="26" spans="12:125" s="866" customFormat="1" ht="14.4" thickBot="1" x14ac:dyDescent="0.3">
      <c r="AJ26" s="1903"/>
      <c r="AK26" s="1895"/>
      <c r="AL26"/>
      <c r="AM26"/>
      <c r="AN26"/>
      <c r="AO26"/>
      <c r="AP26"/>
      <c r="AQ26"/>
      <c r="AR26"/>
      <c r="AS26"/>
      <c r="AT26"/>
      <c r="AU26"/>
      <c r="AV26"/>
      <c r="AW26"/>
      <c r="AX26"/>
      <c r="AY26"/>
      <c r="AZ26"/>
      <c r="BA26"/>
      <c r="BB26"/>
      <c r="BC26"/>
      <c r="BD26"/>
      <c r="BE26"/>
      <c r="BF26"/>
      <c r="BG26" s="4112" t="s">
        <v>2670</v>
      </c>
      <c r="BH26" s="4114" t="s">
        <v>1978</v>
      </c>
      <c r="BI26" s="4112" t="str">
        <f>'12 - Performance_Outputs_1'!B258</f>
        <v>Heat rejection</v>
      </c>
      <c r="BJ26" s="4113"/>
      <c r="BK26" s="3855">
        <f>'12 - Performance_Outputs_1'!D258</f>
        <v>0</v>
      </c>
      <c r="BL26" s="3839" t="str">
        <f>'12 - Performance_Outputs_1'!E258</f>
        <v>Electricity</v>
      </c>
      <c r="BM26" s="1299" t="str">
        <f>'12 - Performance_Outputs_1'!F258</f>
        <v/>
      </c>
      <c r="BN26" s="1782" t="str">
        <f>'12 - Performance_Outputs_1'!G258</f>
        <v/>
      </c>
      <c r="BO26" s="1782" t="str">
        <f ca="1">'12 - Performance_Outputs_1'!H258</f>
        <v/>
      </c>
      <c r="BP26" s="1877" t="str">
        <f ca="1">'12 - Performance_Outputs_1'!I258</f>
        <v/>
      </c>
      <c r="BQ26" s="3849" t="str">
        <f ca="1">'12 - Performance_Outputs_1'!J258</f>
        <v/>
      </c>
      <c r="BR26" s="1880" t="str">
        <f ca="1">'12 - Performance_Outputs_1'!K258</f>
        <v/>
      </c>
      <c r="BS26" s="1879" t="str">
        <f ca="1">'12 - Performance_Outputs_1'!M258</f>
        <v/>
      </c>
      <c r="BT26" s="1882" t="str">
        <f>'12 - Performance_Outputs_1'!R258</f>
        <v/>
      </c>
      <c r="BU26" s="1882" t="str">
        <f>'12 - Performance_Outputs_1'!S258</f>
        <v/>
      </c>
      <c r="BV26" s="1885">
        <f ca="1">SUMIF('12 - Performance_Outputs_1'!$B$311:$B$316,BL26,'12 - Performance_Outputs_1'!$E$311:$G$315)</f>
        <v>0</v>
      </c>
      <c r="BW26" s="1885">
        <f ca="1">SUMIF('12 - Performance_Outputs_1'!$B$311:$B$316,BL26,'12 - Performance_Outputs_1'!$H$311:$H$315)</f>
        <v>0</v>
      </c>
      <c r="BX26" s="1884" t="str">
        <f t="shared" si="1"/>
        <v/>
      </c>
      <c r="BY26" s="1888" t="str">
        <f t="shared" si="2"/>
        <v/>
      </c>
      <c r="BZ26" s="1884" t="str">
        <f t="shared" si="3"/>
        <v/>
      </c>
      <c r="CA26" s="1888" t="str">
        <f t="shared" si="4"/>
        <v/>
      </c>
      <c r="CB26" s="1886" t="str">
        <f t="shared" ca="1" si="5"/>
        <v/>
      </c>
      <c r="CC26" s="1883" t="str">
        <f t="shared" ca="1" si="6"/>
        <v/>
      </c>
      <c r="CD26" s="1889" t="str">
        <f t="shared" ca="1" si="7"/>
        <v/>
      </c>
      <c r="CE26" s="1883" t="str">
        <f t="shared" ca="1" si="8"/>
        <v/>
      </c>
      <c r="CF26" s="1889" t="str">
        <f t="shared" ca="1" si="9"/>
        <v/>
      </c>
      <c r="CG26" s="1887" t="str">
        <f t="shared" ca="1" si="10"/>
        <v/>
      </c>
      <c r="CH26" s="4123" t="str">
        <f>IFERROR(IF($DD$1="4A",VLOOKUP(CH$4,'90.1-2004 Site EUI'!$A$3:$W$27,MATCH($BH26,'90.1-2004 Site EUI'!$A$4:$W$4,0),FALSE),IF($DD$1="5A",VLOOKUP(CH$4,'90.1-2004 Site EUI'!$A$29:$W$53,MATCH($BH26,'90.1-2004 Site EUI'!$A$30:$W$30,0),FALSE),IF($DD$1="6A",VLOOKUP(CH$4,'90.1-2004 Site EUI'!$A$55:$W$79,MATCH($BH26,'90.1-2004 Site EUI'!$A$56:$W$56,0),FALSE),""))),"")</f>
        <v/>
      </c>
      <c r="CI26" s="4123" t="str">
        <f>IFERROR(IF($DD$1="4A",VLOOKUP(CI$4,'90.1-2004 Site EUI'!$A$3:$W$27,MATCH($BH26,'90.1-2004 Site EUI'!$A$4:$W$4,0),FALSE),IF($DD$1="5A",VLOOKUP(CI$4,'90.1-2004 Site EUI'!$A$29:$W$53,MATCH($BH26,'90.1-2004 Site EUI'!$A$30:$W$30,0),FALSE),IF($DD$1="6A",VLOOKUP(CI$4,'90.1-2004 Site EUI'!$A$55:$W$79,MATCH($BH26,'90.1-2004 Site EUI'!$A$56:$W$56,0),FALSE),""))),"")</f>
        <v/>
      </c>
      <c r="CJ26" s="4123" t="str">
        <f>IFERROR(IF($DD$1="4A",VLOOKUP(CJ$4,'90.1-2004 Site EUI'!$A$3:$W$27,MATCH($BH26,'90.1-2004 Site EUI'!$A$4:$W$4,0),FALSE),IF($DD$1="5A",VLOOKUP(CJ$4,'90.1-2004 Site EUI'!$A$29:$W$53,MATCH($BH26,'90.1-2004 Site EUI'!$A$30:$W$30,0),FALSE),IF($DD$1="6A",VLOOKUP(CJ$4,'90.1-2004 Site EUI'!$A$55:$W$79,MATCH($BH26,'90.1-2004 Site EUI'!$A$56:$W$56,0),FALSE),""))),"")</f>
        <v/>
      </c>
      <c r="CK26" s="4123" t="str">
        <f>IFERROR(IF($DD$1="4A",VLOOKUP(CK$4,'90.1-2004 Site EUI'!$A$3:$W$27,MATCH($BH26,'90.1-2004 Site EUI'!$A$4:$W$4,0),FALSE),IF($DD$1="5A",VLOOKUP(CK$4,'90.1-2004 Site EUI'!$A$29:$W$53,MATCH($BH26,'90.1-2004 Site EUI'!$A$30:$W$30,0),FALSE),IF($DD$1="6A",VLOOKUP(CK$4,'90.1-2004 Site EUI'!$A$55:$W$79,MATCH($BH26,'90.1-2004 Site EUI'!$A$56:$W$56,0),FALSE),""))),"")</f>
        <v/>
      </c>
      <c r="CL26" s="4123" t="str">
        <f>IFERROR(IF($DD$1="4A",VLOOKUP(CL$4,'90.1-2004 Site EUI'!$A$3:$W$27,MATCH($BH26,'90.1-2004 Site EUI'!$A$4:$W$4,0),FALSE),IF($DD$1="5A",VLOOKUP(CL$4,'90.1-2004 Site EUI'!$A$29:$W$53,MATCH($BH26,'90.1-2004 Site EUI'!$A$30:$W$30,0),FALSE),IF($DD$1="6A",VLOOKUP(CL$4,'90.1-2004 Site EUI'!$A$55:$W$79,MATCH($BH26,'90.1-2004 Site EUI'!$A$56:$W$56,0),FALSE),""))),"")</f>
        <v/>
      </c>
      <c r="CM26" s="4123" t="str">
        <f>IFERROR(IF($DD$1="4A",VLOOKUP(CM$4,'90.1-2004 Site EUI'!$A$3:$W$27,MATCH($BH26,'90.1-2004 Site EUI'!$A$4:$W$4,0),FALSE),IF($DD$1="5A",VLOOKUP(CM$4,'90.1-2004 Site EUI'!$A$29:$W$53,MATCH($BH26,'90.1-2004 Site EUI'!$A$30:$W$30,0),FALSE),IF($DD$1="6A",VLOOKUP(CM$4,'90.1-2004 Site EUI'!$A$55:$W$79,MATCH($BH26,'90.1-2004 Site EUI'!$A$56:$W$56,0),FALSE),""))),"")</f>
        <v/>
      </c>
      <c r="CN26" s="4123" t="str">
        <f>IFERROR(IF($DD$1="4A",VLOOKUP(CN$4,'90.1-2004 Site EUI'!$A$3:$W$27,MATCH($BH26,'90.1-2004 Site EUI'!$A$4:$W$4,0),FALSE),IF($DD$1="5A",VLOOKUP(CN$4,'90.1-2004 Site EUI'!$A$29:$W$53,MATCH($BH26,'90.1-2004 Site EUI'!$A$30:$W$30,0),FALSE),IF($DD$1="6A",VLOOKUP(CN$4,'90.1-2004 Site EUI'!$A$55:$W$79,MATCH($BH26,'90.1-2004 Site EUI'!$A$56:$W$56,0),FALSE),""))),"")</f>
        <v/>
      </c>
      <c r="CO26" s="4123" t="e">
        <f>AVERAGE(CH26:CN27,CP26)</f>
        <v>#DIV/0!</v>
      </c>
      <c r="CP26" s="4123" t="str">
        <f>IFERROR(IF($DD$1="4A",VLOOKUP(CP$4,'90.1-2004 Site EUI'!$A$3:$W$27,MATCH($BH26,'90.1-2004 Site EUI'!$A$4:$W$4,0),FALSE),IF($DD$1="5A",VLOOKUP(CP$4,'90.1-2004 Site EUI'!$A$29:$W$53,MATCH($BH26,'90.1-2004 Site EUI'!$A$30:$W$30,0),FALSE),IF($DD$1="6A",VLOOKUP(CP$4,'90.1-2004 Site EUI'!$A$55:$W$79,MATCH($BH26,'90.1-2004 Site EUI'!$A$56:$W$56,0),FALSE),""))),"")</f>
        <v/>
      </c>
      <c r="CQ26" s="4123" t="str">
        <f>IFERROR(IF($DD$1="4A",VLOOKUP(CQ$4,'90.1-2013 Site EUI'!$A$3:$W$27,MATCH($BH26,'90.1-2013 Site EUI'!$A$4:$W$4,0),FALSE),IF($DD$1="5A",VLOOKUP(CQ$4,'90.1-2013 Site EUI'!$A$29:$W$53,MATCH($BH26,'90.1-2013 Site EUI'!$A$30:$W$30,0),FALSE),IF($DD$1="6A",VLOOKUP(CQ$4,'90.1-2013 Site EUI'!$A$55:$W$79,MATCH($BH26,'90.1-2013 Site EUI'!$A$56:$W$56,0),FALSE),""))),"")</f>
        <v/>
      </c>
      <c r="CR26" s="4123" t="str">
        <f>IFERROR(IF($DD$1="4A",VLOOKUP(CR$4,'90.1-2013 Site EUI'!$A$3:$W$27,MATCH($BH26,'90.1-2013 Site EUI'!$A$4:$W$4,0),FALSE),IF($DD$1="5A",VLOOKUP(CR$4,'90.1-2013 Site EUI'!$A$29:$W$53,MATCH($BH26,'90.1-2013 Site EUI'!$A$30:$W$30,0),FALSE),IF($DD$1="6A",VLOOKUP(CR$4,'90.1-2013 Site EUI'!$A$55:$W$79,MATCH($BH26,'90.1-2013 Site EUI'!$A$56:$W$56,0),FALSE),""))),"")</f>
        <v/>
      </c>
      <c r="CS26" s="4123" t="str">
        <f>IFERROR(IF($DD$1="4A",VLOOKUP(CS$4,'90.1-2013 Site EUI'!$A$3:$W$27,MATCH($BH26,'90.1-2013 Site EUI'!$A$4:$W$4,0),FALSE),IF($DD$1="5A",VLOOKUP(CS$4,'90.1-2013 Site EUI'!$A$29:$W$53,MATCH($BH26,'90.1-2013 Site EUI'!$A$30:$W$30,0),FALSE),IF($DD$1="6A",VLOOKUP(CS$4,'90.1-2013 Site EUI'!$A$55:$W$79,MATCH($BH26,'90.1-2013 Site EUI'!$A$56:$W$56,0),FALSE),""))),"")</f>
        <v/>
      </c>
      <c r="CT26" s="4123" t="str">
        <f>IFERROR(IF($DD$1="4A",VLOOKUP(CT$4,'90.1-2013 Site EUI'!$A$3:$W$27,MATCH($BH26,'90.1-2013 Site EUI'!$A$4:$W$4,0),FALSE),IF($DD$1="5A",VLOOKUP(CT$4,'90.1-2013 Site EUI'!$A$29:$W$53,MATCH($BH26,'90.1-2013 Site EUI'!$A$30:$W$30,0),FALSE),IF($DD$1="6A",VLOOKUP(CT$4,'90.1-2013 Site EUI'!$A$55:$W$79,MATCH($BH26,'90.1-2013 Site EUI'!$A$56:$W$56,0),FALSE),""))),"")</f>
        <v/>
      </c>
      <c r="CU26" s="4123" t="str">
        <f>IFERROR(IF($DD$1="4A",VLOOKUP(CU$4,'90.1-2013 Site EUI'!$A$3:$W$27,MATCH($BH26,'90.1-2013 Site EUI'!$A$4:$W$4,0),FALSE),IF($DD$1="5A",VLOOKUP(CU$4,'90.1-2013 Site EUI'!$A$29:$W$53,MATCH($BH26,'90.1-2013 Site EUI'!$A$30:$W$30,0),FALSE),IF($DD$1="6A",VLOOKUP(CU$4,'90.1-2013 Site EUI'!$A$55:$W$79,MATCH($BH26,'90.1-2013 Site EUI'!$A$56:$W$56,0),FALSE),""))),"")</f>
        <v/>
      </c>
      <c r="CV26" s="4123" t="str">
        <f>IFERROR(IF($DD$1="4A",VLOOKUP(CV$4,'90.1-2013 Site EUI'!$A$3:$W$27,MATCH($BH26,'90.1-2013 Site EUI'!$A$4:$W$4,0),FALSE),IF($DD$1="5A",VLOOKUP(CV$4,'90.1-2013 Site EUI'!$A$29:$W$53,MATCH($BH26,'90.1-2013 Site EUI'!$A$30:$W$30,0),FALSE),IF($DD$1="6A",VLOOKUP(CV$4,'90.1-2013 Site EUI'!$A$55:$W$79,MATCH($BH26,'90.1-2013 Site EUI'!$A$56:$W$56,0),FALSE),""))),"")</f>
        <v/>
      </c>
      <c r="CW26" s="4123" t="str">
        <f>IFERROR(IF($DD$1="4A",VLOOKUP(CW$4,'90.1-2013 Site EUI'!$A$3:$W$27,MATCH($BH26,'90.1-2013 Site EUI'!$A$4:$W$4,0),FALSE),IF($DD$1="5A",VLOOKUP(CW$4,'90.1-2013 Site EUI'!$A$29:$W$53,MATCH($BH26,'90.1-2013 Site EUI'!$A$30:$W$30,0),FALSE),IF($DD$1="6A",VLOOKUP(CW$4,'90.1-2013 Site EUI'!$A$55:$W$79,MATCH($BH26,'90.1-2013 Site EUI'!$A$56:$W$56,0),FALSE),""))),"")</f>
        <v/>
      </c>
      <c r="CX26" s="4123" t="e">
        <f>AVERAGE(CQ26:CW27,CY26)</f>
        <v>#DIV/0!</v>
      </c>
      <c r="CY26" s="4143" t="str">
        <f>IFERROR(IF($DD$1="4A",VLOOKUP(CY$4,'90.1-2013 Site EUI'!$A$3:$W$27,MATCH($BH26,'90.1-2013 Site EUI'!$A$4:$W$4,0),FALSE),IF($DD$1="5A",VLOOKUP(CY$4,'90.1-2013 Site EUI'!$A$29:$W$53,MATCH($BH26,'90.1-2013 Site EUI'!$A$30:$W$30,0),FALSE),IF($DD$1="6A",VLOOKUP(CY$4,'90.1-2013 Site EUI'!$A$55:$W$79,MATCH($BH26,'90.1-2013 Site EUI'!$A$56:$W$56,0),FALSE),""))),"")</f>
        <v/>
      </c>
      <c r="CZ26" s="4145" t="e">
        <f>SUMIF($CH$4:$CP$4,$DG$1,CH26:CP27)*$DI$1+SUMIF($CH$4:$CP$4,$DG$2,CH26:CP27)*$DI$2+SUMIF($CH$4:$CP$4,$DG$3,CH26:CP27)*$DI$3+SUMIF($CH$4:$CP$4,$DG$4,CH26:CP27)*$DI$4+SUMIF($CH$4:$CP$4,$DG$5,CH26:CP27)*$DI$5+SUMIF($CH$4:$CP$4,$DG$6,CH26:CP27)*$DI$6+SUMIF($CH$4:$CP$4,$DG$7,CH26:CP27)*$DI$7+SUMIF($CH$4:$CP$4,$DG$8,CH26:CP27)*$DI$8+SUMIF($CH$4:$CP$4,$DG$8,CH26:CP27)*$DI$8+SUMIF($CH$4:$CP$4,$DG$9,CH26:CP27)*$DI$9</f>
        <v>#DIV/0!</v>
      </c>
      <c r="DA26" s="4147" t="e">
        <f>SUMIF($CQ$4:$CY$4,$DG$1,CQ26:CY27)*$DI$1+SUMIF($CQ$4:$CY$4,$DG$2,CQ26:CY27)*$DI$2+SUMIF($CQ$4:$CY$4,$DG$3,CQ26:CY27)*$DI$3+SUMIF($CQ$4:$CY$4,$DG$4,CQ26:CY27)*$DI$4+SUMIF($CQ$4:$CY$4,$DG$5,CQ26:CY27)*$DI$5+SUMIF($CQ$4:$CY$4,$DG$6,CQ26:CY27)*$DI$6+SUMIF($CQ$4:$CY$4,$DG$7,CQ26:CY27)*$DI$7+SUMIF($CQ$4:$CY$4,$DG$8,CQ26:CY27)*$DI$8+SUMIF($CQ$4:$CY$4,$DG$9,CQ26:CY27)*$DI$9</f>
        <v>#DIV/0!</v>
      </c>
      <c r="DB26"/>
      <c r="DC26"/>
      <c r="DD26"/>
      <c r="DE26"/>
      <c r="DF26"/>
      <c r="DG26" s="1157" t="s">
        <v>2218</v>
      </c>
      <c r="DH26" s="1157" t="s">
        <v>2661</v>
      </c>
      <c r="DI26"/>
      <c r="DJ26"/>
      <c r="DK26"/>
      <c r="DM26" s="2015" t="s">
        <v>61</v>
      </c>
      <c r="DN26" s="4157"/>
      <c r="DO26" s="2013" t="s">
        <v>1113</v>
      </c>
      <c r="DP26" s="2014">
        <v>6041</v>
      </c>
      <c r="DQ26" s="2013">
        <v>2884</v>
      </c>
      <c r="DR26" s="2014">
        <v>5840</v>
      </c>
      <c r="DS26" s="2013">
        <v>8760</v>
      </c>
      <c r="DT26" s="2014">
        <v>8760</v>
      </c>
      <c r="DU26" s="2013">
        <v>2628</v>
      </c>
    </row>
    <row r="27" spans="12:125" s="866" customFormat="1" ht="14.4" thickBot="1" x14ac:dyDescent="0.3">
      <c r="AJ27" s="1903"/>
      <c r="AK27" s="1896"/>
      <c r="AL27"/>
      <c r="AM27"/>
      <c r="AN27"/>
      <c r="AO27"/>
      <c r="AP27"/>
      <c r="AQ27"/>
      <c r="AR27"/>
      <c r="AS27"/>
      <c r="AT27"/>
      <c r="AU27"/>
      <c r="AV27"/>
      <c r="AW27"/>
      <c r="AX27"/>
      <c r="AY27"/>
      <c r="AZ27"/>
      <c r="BA27"/>
      <c r="BB27"/>
      <c r="BC27"/>
      <c r="BD27"/>
      <c r="BE27"/>
      <c r="BF27"/>
      <c r="BG27" s="4113"/>
      <c r="BH27" s="4115"/>
      <c r="BI27" s="4113"/>
      <c r="BJ27" s="4113"/>
      <c r="BK27" s="3855"/>
      <c r="BL27" s="3839"/>
      <c r="BM27" s="1299" t="str">
        <f>'12 - Performance_Outputs_1'!F259</f>
        <v/>
      </c>
      <c r="BN27" s="1782" t="str">
        <f>'12 - Performance_Outputs_1'!G259</f>
        <v/>
      </c>
      <c r="BO27" s="1782" t="str">
        <f ca="1">'12 - Performance_Outputs_1'!H259</f>
        <v/>
      </c>
      <c r="BP27" s="1877" t="str">
        <f ca="1">'12 - Performance_Outputs_1'!I259</f>
        <v/>
      </c>
      <c r="BQ27" s="3850"/>
      <c r="BR27" s="1880">
        <f>'12 - Performance_Outputs_1'!K259</f>
        <v>0</v>
      </c>
      <c r="BS27" s="1879">
        <f>'12 - Performance_Outputs_1'!M259</f>
        <v>0</v>
      </c>
      <c r="BT27" s="1882" t="str">
        <f>'12 - Performance_Outputs_1'!R259</f>
        <v/>
      </c>
      <c r="BU27" s="1882" t="str">
        <f>'12 - Performance_Outputs_1'!S259</f>
        <v/>
      </c>
      <c r="BV27" s="1885">
        <f ca="1">SUMIF('12 - Performance_Outputs_1'!$B$311:$B$316,BL27,'12 - Performance_Outputs_1'!$E$311:$G$315)</f>
        <v>0</v>
      </c>
      <c r="BW27" s="1885">
        <f ca="1">SUMIF('12 - Performance_Outputs_1'!$B$311:$B$316,BL27,'12 - Performance_Outputs_1'!$H$311:$H$315)</f>
        <v>0</v>
      </c>
      <c r="BX27" s="1884" t="str">
        <f t="shared" si="1"/>
        <v/>
      </c>
      <c r="BY27" s="1888" t="str">
        <f t="shared" si="2"/>
        <v/>
      </c>
      <c r="BZ27" s="1884" t="str">
        <f t="shared" si="3"/>
        <v/>
      </c>
      <c r="CA27" s="1888" t="str">
        <f t="shared" si="4"/>
        <v/>
      </c>
      <c r="CB27" s="1886" t="str">
        <f t="shared" ca="1" si="5"/>
        <v/>
      </c>
      <c r="CC27" s="1883" t="str">
        <f t="shared" ca="1" si="6"/>
        <v/>
      </c>
      <c r="CD27" s="1889" t="str">
        <f t="shared" ca="1" si="7"/>
        <v/>
      </c>
      <c r="CE27" s="1883" t="str">
        <f t="shared" ca="1" si="8"/>
        <v/>
      </c>
      <c r="CF27" s="1889" t="str">
        <f t="shared" ca="1" si="9"/>
        <v/>
      </c>
      <c r="CG27" s="1887" t="str">
        <f t="shared" ca="1" si="10"/>
        <v/>
      </c>
      <c r="CH27" s="4124"/>
      <c r="CI27" s="4124"/>
      <c r="CJ27" s="4124"/>
      <c r="CK27" s="4124"/>
      <c r="CL27" s="4124"/>
      <c r="CM27" s="4124"/>
      <c r="CN27" s="4124"/>
      <c r="CO27" s="4124"/>
      <c r="CP27" s="4124"/>
      <c r="CQ27" s="4124"/>
      <c r="CR27" s="4124"/>
      <c r="CS27" s="4124"/>
      <c r="CT27" s="4124"/>
      <c r="CU27" s="4124"/>
      <c r="CV27" s="4124"/>
      <c r="CW27" s="4124"/>
      <c r="CX27" s="4124"/>
      <c r="CY27" s="4144"/>
      <c r="CZ27" s="4146"/>
      <c r="DA27" s="4148"/>
      <c r="DB27"/>
      <c r="DC27"/>
      <c r="DD27"/>
      <c r="DE27"/>
      <c r="DF27"/>
      <c r="DG27" s="1157"/>
      <c r="DH27" s="1157" t="s">
        <v>2662</v>
      </c>
      <c r="DI27"/>
      <c r="DJ27"/>
      <c r="DK27"/>
      <c r="DM27" s="42"/>
      <c r="DO27" s="2013" t="s">
        <v>2875</v>
      </c>
      <c r="DP27" s="2034">
        <f>AVERAGE(DP5,DP8,DP11,DP14,DP17,DP20,DP23,DP26)</f>
        <v>3166.125</v>
      </c>
      <c r="DQ27" s="2035">
        <f t="shared" ref="DQ27:DU27" si="37">AVERAGE(DQ5,DQ8,DQ11,DQ14,DQ17,DQ20,DQ23,DQ26)</f>
        <v>4017.75</v>
      </c>
      <c r="DR27" s="2034">
        <f t="shared" si="37"/>
        <v>5033.375</v>
      </c>
      <c r="DS27" s="2035">
        <f t="shared" si="37"/>
        <v>5253</v>
      </c>
      <c r="DT27" s="2034">
        <f t="shared" si="37"/>
        <v>6595.5714285714284</v>
      </c>
      <c r="DU27" s="2035">
        <f t="shared" si="37"/>
        <v>2000.4285714285713</v>
      </c>
    </row>
    <row r="28" spans="12:125" s="866" customFormat="1" x14ac:dyDescent="0.25">
      <c r="L28" s="1570"/>
      <c r="AJ28"/>
      <c r="AK28"/>
      <c r="AL28"/>
      <c r="AM28"/>
      <c r="AN28"/>
      <c r="AO28"/>
      <c r="AP28"/>
      <c r="AQ28"/>
      <c r="AR28"/>
      <c r="AS28"/>
      <c r="AT28"/>
      <c r="AU28"/>
      <c r="AV28"/>
      <c r="AW28"/>
      <c r="AX28"/>
      <c r="AY28"/>
      <c r="AZ28"/>
      <c r="BA28"/>
      <c r="BB28"/>
      <c r="BC28"/>
      <c r="BD28"/>
      <c r="BE28"/>
      <c r="BF28"/>
      <c r="BG28" s="4112" t="s">
        <v>2631</v>
      </c>
      <c r="BH28" s="4114" t="s">
        <v>2631</v>
      </c>
      <c r="BI28" s="4112" t="str">
        <f>'12 - Performance_Outputs_1'!B260</f>
        <v>Fans - interior ventilation</v>
      </c>
      <c r="BJ28" s="4113"/>
      <c r="BK28" s="3855">
        <f>'12 - Performance_Outputs_1'!D260</f>
        <v>0</v>
      </c>
      <c r="BL28" s="3839" t="str">
        <f>'12 - Performance_Outputs_1'!E260</f>
        <v>Electricity</v>
      </c>
      <c r="BM28" s="1299" t="str">
        <f>'12 - Performance_Outputs_1'!F260</f>
        <v/>
      </c>
      <c r="BN28" s="1782" t="str">
        <f>'12 - Performance_Outputs_1'!G260</f>
        <v/>
      </c>
      <c r="BO28" s="1782" t="str">
        <f ca="1">'12 - Performance_Outputs_1'!H260</f>
        <v/>
      </c>
      <c r="BP28" s="1877" t="str">
        <f ca="1">'12 - Performance_Outputs_1'!I260</f>
        <v/>
      </c>
      <c r="BQ28" s="3849" t="str">
        <f ca="1">'12 - Performance_Outputs_1'!J260</f>
        <v/>
      </c>
      <c r="BR28" s="1880" t="str">
        <f ca="1">'12 - Performance_Outputs_1'!K260</f>
        <v/>
      </c>
      <c r="BS28" s="1879" t="str">
        <f ca="1">'12 - Performance_Outputs_1'!M260</f>
        <v/>
      </c>
      <c r="BT28" s="1882" t="str">
        <f>'12 - Performance_Outputs_1'!R260</f>
        <v/>
      </c>
      <c r="BU28" s="1882" t="str">
        <f>'12 - Performance_Outputs_1'!S260</f>
        <v/>
      </c>
      <c r="BV28" s="1885">
        <f ca="1">SUMIF('12 - Performance_Outputs_1'!$B$311:$B$316,BL28,'12 - Performance_Outputs_1'!$E$311:$G$315)</f>
        <v>0</v>
      </c>
      <c r="BW28" s="1885">
        <f ca="1">SUMIF('12 - Performance_Outputs_1'!$B$311:$B$316,BL28,'12 - Performance_Outputs_1'!$H$311:$H$315)</f>
        <v>0</v>
      </c>
      <c r="BX28" s="1884" t="str">
        <f t="shared" si="1"/>
        <v/>
      </c>
      <c r="BY28" s="1888" t="str">
        <f t="shared" si="2"/>
        <v/>
      </c>
      <c r="BZ28" s="1884" t="str">
        <f t="shared" si="3"/>
        <v/>
      </c>
      <c r="CA28" s="1888" t="str">
        <f t="shared" si="4"/>
        <v/>
      </c>
      <c r="CB28" s="1886" t="str">
        <f t="shared" ca="1" si="5"/>
        <v/>
      </c>
      <c r="CC28" s="1883" t="str">
        <f t="shared" ca="1" si="6"/>
        <v/>
      </c>
      <c r="CD28" s="1889" t="str">
        <f t="shared" ca="1" si="7"/>
        <v/>
      </c>
      <c r="CE28" s="1883" t="str">
        <f t="shared" ca="1" si="8"/>
        <v/>
      </c>
      <c r="CF28" s="1889" t="str">
        <f t="shared" ca="1" si="9"/>
        <v/>
      </c>
      <c r="CG28" s="1887" t="str">
        <f t="shared" ca="1" si="10"/>
        <v/>
      </c>
      <c r="CH28" s="4123" t="str">
        <f>IFERROR(IF($DD$1="4A",VLOOKUP(CH$4,'90.1-2004 Site EUI'!$A$3:$W$27,MATCH($BH28,'90.1-2004 Site EUI'!$A$4:$W$4,0),FALSE),IF($DD$1="5A",VLOOKUP(CH$4,'90.1-2004 Site EUI'!$A$29:$W$53,MATCH($BH28,'90.1-2004 Site EUI'!$A$30:$W$30,0),FALSE),IF($DD$1="6A",VLOOKUP(CH$4,'90.1-2004 Site EUI'!$A$55:$W$79,MATCH($BH28,'90.1-2004 Site EUI'!$A$56:$W$56,0),FALSE),""))),"")</f>
        <v/>
      </c>
      <c r="CI28" s="4123" t="str">
        <f>IFERROR(IF($DD$1="4A",VLOOKUP(CI$4,'90.1-2004 Site EUI'!$A$3:$W$27,MATCH($BH28,'90.1-2004 Site EUI'!$A$4:$W$4,0),FALSE),IF($DD$1="5A",VLOOKUP(CI$4,'90.1-2004 Site EUI'!$A$29:$W$53,MATCH($BH28,'90.1-2004 Site EUI'!$A$30:$W$30,0),FALSE),IF($DD$1="6A",VLOOKUP(CI$4,'90.1-2004 Site EUI'!$A$55:$W$79,MATCH($BH28,'90.1-2004 Site EUI'!$A$56:$W$56,0),FALSE),""))),"")</f>
        <v/>
      </c>
      <c r="CJ28" s="4123" t="str">
        <f>IFERROR(IF($DD$1="4A",VLOOKUP(CJ$4,'90.1-2004 Site EUI'!$A$3:$W$27,MATCH($BH28,'90.1-2004 Site EUI'!$A$4:$W$4,0),FALSE),IF($DD$1="5A",VLOOKUP(CJ$4,'90.1-2004 Site EUI'!$A$29:$W$53,MATCH($BH28,'90.1-2004 Site EUI'!$A$30:$W$30,0),FALSE),IF($DD$1="6A",VLOOKUP(CJ$4,'90.1-2004 Site EUI'!$A$55:$W$79,MATCH($BH28,'90.1-2004 Site EUI'!$A$56:$W$56,0),FALSE),""))),"")</f>
        <v/>
      </c>
      <c r="CK28" s="4123" t="str">
        <f>IFERROR(IF($DD$1="4A",VLOOKUP(CK$4,'90.1-2004 Site EUI'!$A$3:$W$27,MATCH($BH28,'90.1-2004 Site EUI'!$A$4:$W$4,0),FALSE),IF($DD$1="5A",VLOOKUP(CK$4,'90.1-2004 Site EUI'!$A$29:$W$53,MATCH($BH28,'90.1-2004 Site EUI'!$A$30:$W$30,0),FALSE),IF($DD$1="6A",VLOOKUP(CK$4,'90.1-2004 Site EUI'!$A$55:$W$79,MATCH($BH28,'90.1-2004 Site EUI'!$A$56:$W$56,0),FALSE),""))),"")</f>
        <v/>
      </c>
      <c r="CL28" s="4123" t="str">
        <f>IFERROR(IF($DD$1="4A",VLOOKUP(CL$4,'90.1-2004 Site EUI'!$A$3:$W$27,MATCH($BH28,'90.1-2004 Site EUI'!$A$4:$W$4,0),FALSE),IF($DD$1="5A",VLOOKUP(CL$4,'90.1-2004 Site EUI'!$A$29:$W$53,MATCH($BH28,'90.1-2004 Site EUI'!$A$30:$W$30,0),FALSE),IF($DD$1="6A",VLOOKUP(CL$4,'90.1-2004 Site EUI'!$A$55:$W$79,MATCH($BH28,'90.1-2004 Site EUI'!$A$56:$W$56,0),FALSE),""))),"")</f>
        <v/>
      </c>
      <c r="CM28" s="4123" t="str">
        <f>IFERROR(IF($DD$1="4A",VLOOKUP(CM$4,'90.1-2004 Site EUI'!$A$3:$W$27,MATCH($BH28,'90.1-2004 Site EUI'!$A$4:$W$4,0),FALSE),IF($DD$1="5A",VLOOKUP(CM$4,'90.1-2004 Site EUI'!$A$29:$W$53,MATCH($BH28,'90.1-2004 Site EUI'!$A$30:$W$30,0),FALSE),IF($DD$1="6A",VLOOKUP(CM$4,'90.1-2004 Site EUI'!$A$55:$W$79,MATCH($BH28,'90.1-2004 Site EUI'!$A$56:$W$56,0),FALSE),""))),"")</f>
        <v/>
      </c>
      <c r="CN28" s="4123" t="str">
        <f>IFERROR(IF($DD$1="4A",VLOOKUP(CN$4,'90.1-2004 Site EUI'!$A$3:$W$27,MATCH($BH28,'90.1-2004 Site EUI'!$A$4:$W$4,0),FALSE),IF($DD$1="5A",VLOOKUP(CN$4,'90.1-2004 Site EUI'!$A$29:$W$53,MATCH($BH28,'90.1-2004 Site EUI'!$A$30:$W$30,0),FALSE),IF($DD$1="6A",VLOOKUP(CN$4,'90.1-2004 Site EUI'!$A$55:$W$79,MATCH($BH28,'90.1-2004 Site EUI'!$A$56:$W$56,0),FALSE),""))),"")</f>
        <v/>
      </c>
      <c r="CO28" s="4123" t="e">
        <f>AVERAGE(CH28:CN29,CP28)</f>
        <v>#DIV/0!</v>
      </c>
      <c r="CP28" s="4123" t="str">
        <f>IFERROR(IF($DD$1="4A",VLOOKUP(CP$4,'90.1-2004 Site EUI'!$A$3:$W$27,MATCH($BH28,'90.1-2004 Site EUI'!$A$4:$W$4,0),FALSE),IF($DD$1="5A",VLOOKUP(CP$4,'90.1-2004 Site EUI'!$A$29:$W$53,MATCH($BH28,'90.1-2004 Site EUI'!$A$30:$W$30,0),FALSE),IF($DD$1="6A",VLOOKUP(CP$4,'90.1-2004 Site EUI'!$A$55:$W$79,MATCH($BH28,'90.1-2004 Site EUI'!$A$56:$W$56,0),FALSE),""))),"")</f>
        <v/>
      </c>
      <c r="CQ28" s="4123" t="str">
        <f>IFERROR(IF($DD$1="4A",VLOOKUP(CQ$4,'90.1-2013 Site EUI'!$A$3:$W$27,MATCH($BH28,'90.1-2013 Site EUI'!$A$4:$W$4,0),FALSE),IF($DD$1="5A",VLOOKUP(CQ$4,'90.1-2013 Site EUI'!$A$29:$W$53,MATCH($BH28,'90.1-2013 Site EUI'!$A$30:$W$30,0),FALSE),IF($DD$1="6A",VLOOKUP(CQ$4,'90.1-2013 Site EUI'!$A$55:$W$79,MATCH($BH28,'90.1-2013 Site EUI'!$A$56:$W$56,0),FALSE),""))),"")</f>
        <v/>
      </c>
      <c r="CR28" s="4123" t="str">
        <f>IFERROR(IF($DD$1="4A",VLOOKUP(CR$4,'90.1-2013 Site EUI'!$A$3:$W$27,MATCH($BH28,'90.1-2013 Site EUI'!$A$4:$W$4,0),FALSE),IF($DD$1="5A",VLOOKUP(CR$4,'90.1-2013 Site EUI'!$A$29:$W$53,MATCH($BH28,'90.1-2013 Site EUI'!$A$30:$W$30,0),FALSE),IF($DD$1="6A",VLOOKUP(CR$4,'90.1-2013 Site EUI'!$A$55:$W$79,MATCH($BH28,'90.1-2013 Site EUI'!$A$56:$W$56,0),FALSE),""))),"")</f>
        <v/>
      </c>
      <c r="CS28" s="4123" t="str">
        <f>IFERROR(IF($DD$1="4A",VLOOKUP(CS$4,'90.1-2013 Site EUI'!$A$3:$W$27,MATCH($BH28,'90.1-2013 Site EUI'!$A$4:$W$4,0),FALSE),IF($DD$1="5A",VLOOKUP(CS$4,'90.1-2013 Site EUI'!$A$29:$W$53,MATCH($BH28,'90.1-2013 Site EUI'!$A$30:$W$30,0),FALSE),IF($DD$1="6A",VLOOKUP(CS$4,'90.1-2013 Site EUI'!$A$55:$W$79,MATCH($BH28,'90.1-2013 Site EUI'!$A$56:$W$56,0),FALSE),""))),"")</f>
        <v/>
      </c>
      <c r="CT28" s="4123" t="str">
        <f>IFERROR(IF($DD$1="4A",VLOOKUP(CT$4,'90.1-2013 Site EUI'!$A$3:$W$27,MATCH($BH28,'90.1-2013 Site EUI'!$A$4:$W$4,0),FALSE),IF($DD$1="5A",VLOOKUP(CT$4,'90.1-2013 Site EUI'!$A$29:$W$53,MATCH($BH28,'90.1-2013 Site EUI'!$A$30:$W$30,0),FALSE),IF($DD$1="6A",VLOOKUP(CT$4,'90.1-2013 Site EUI'!$A$55:$W$79,MATCH($BH28,'90.1-2013 Site EUI'!$A$56:$W$56,0),FALSE),""))),"")</f>
        <v/>
      </c>
      <c r="CU28" s="4123" t="str">
        <f>IFERROR(IF($DD$1="4A",VLOOKUP(CU$4,'90.1-2013 Site EUI'!$A$3:$W$27,MATCH($BH28,'90.1-2013 Site EUI'!$A$4:$W$4,0),FALSE),IF($DD$1="5A",VLOOKUP(CU$4,'90.1-2013 Site EUI'!$A$29:$W$53,MATCH($BH28,'90.1-2013 Site EUI'!$A$30:$W$30,0),FALSE),IF($DD$1="6A",VLOOKUP(CU$4,'90.1-2013 Site EUI'!$A$55:$W$79,MATCH($BH28,'90.1-2013 Site EUI'!$A$56:$W$56,0),FALSE),""))),"")</f>
        <v/>
      </c>
      <c r="CV28" s="4123" t="str">
        <f>IFERROR(IF($DD$1="4A",VLOOKUP(CV$4,'90.1-2013 Site EUI'!$A$3:$W$27,MATCH($BH28,'90.1-2013 Site EUI'!$A$4:$W$4,0),FALSE),IF($DD$1="5A",VLOOKUP(CV$4,'90.1-2013 Site EUI'!$A$29:$W$53,MATCH($BH28,'90.1-2013 Site EUI'!$A$30:$W$30,0),FALSE),IF($DD$1="6A",VLOOKUP(CV$4,'90.1-2013 Site EUI'!$A$55:$W$79,MATCH($BH28,'90.1-2013 Site EUI'!$A$56:$W$56,0),FALSE),""))),"")</f>
        <v/>
      </c>
      <c r="CW28" s="4123" t="str">
        <f>IFERROR(IF($DD$1="4A",VLOOKUP(CW$4,'90.1-2013 Site EUI'!$A$3:$W$27,MATCH($BH28,'90.1-2013 Site EUI'!$A$4:$W$4,0),FALSE),IF($DD$1="5A",VLOOKUP(CW$4,'90.1-2013 Site EUI'!$A$29:$W$53,MATCH($BH28,'90.1-2013 Site EUI'!$A$30:$W$30,0),FALSE),IF($DD$1="6A",VLOOKUP(CW$4,'90.1-2013 Site EUI'!$A$55:$W$79,MATCH($BH28,'90.1-2013 Site EUI'!$A$56:$W$56,0),FALSE),""))),"")</f>
        <v/>
      </c>
      <c r="CX28" s="4123" t="e">
        <f>AVERAGE(CQ28:CW29,CY28)</f>
        <v>#DIV/0!</v>
      </c>
      <c r="CY28" s="4143" t="str">
        <f>IFERROR(IF($DD$1="4A",VLOOKUP(CY$4,'90.1-2013 Site EUI'!$A$3:$W$27,MATCH($BH28,'90.1-2013 Site EUI'!$A$4:$W$4,0),FALSE),IF($DD$1="5A",VLOOKUP(CY$4,'90.1-2013 Site EUI'!$A$29:$W$53,MATCH($BH28,'90.1-2013 Site EUI'!$A$30:$W$30,0),FALSE),IF($DD$1="6A",VLOOKUP(CY$4,'90.1-2013 Site EUI'!$A$55:$W$79,MATCH($BH28,'90.1-2013 Site EUI'!$A$56:$W$56,0),FALSE),""))),"")</f>
        <v/>
      </c>
      <c r="CZ28" s="4145" t="e">
        <f>SUMIF($CH$4:$CP$4,$DG$1,CH28:CP29)*$DI$1+SUMIF($CH$4:$CP$4,$DG$2,CH28:CP29)*$DI$2+SUMIF($CH$4:$CP$4,$DG$3,CH28:CP29)*$DI$3+SUMIF($CH$4:$CP$4,$DG$4,CH28:CP29)*$DI$4+SUMIF($CH$4:$CP$4,$DG$5,CH28:CP29)*$DI$5+SUMIF($CH$4:$CP$4,$DG$6,CH28:CP29)*$DI$6+SUMIF($CH$4:$CP$4,$DG$7,CH28:CP29)*$DI$7+SUMIF($CH$4:$CP$4,$DG$8,CH28:CP29)*$DI$8+SUMIF($CH$4:$CP$4,$DG$8,CH28:CP29)*$DI$8+SUMIF($CH$4:$CP$4,$DG$9,CH28:CP29)*$DI$9</f>
        <v>#DIV/0!</v>
      </c>
      <c r="DA28" s="4147" t="e">
        <f>SUMIF($CQ$4:$CY$4,$DG$1,CQ28:CY29)*$DI$1+SUMIF($CQ$4:$CY$4,$DG$2,CQ28:CY29)*$DI$2+SUMIF($CQ$4:$CY$4,$DG$3,CQ28:CY29)*$DI$3+SUMIF($CQ$4:$CY$4,$DG$4,CQ28:CY29)*$DI$4+SUMIF($CQ$4:$CY$4,$DG$5,CQ28:CY29)*$DI$5+SUMIF($CQ$4:$CY$4,$DG$6,CQ28:CY29)*$DI$6+SUMIF($CQ$4:$CY$4,$DG$7,CQ28:CY29)*$DI$7+SUMIF($CQ$4:$CY$4,$DG$8,CQ28:CY29)*$DI$8+SUMIF($CQ$4:$CY$4,$DG$9,CQ28:CY29)*$DI$9</f>
        <v>#DIV/0!</v>
      </c>
      <c r="DB28"/>
      <c r="DC28"/>
      <c r="DD28"/>
      <c r="DE28"/>
      <c r="DF28"/>
      <c r="DG28" s="1157" t="s">
        <v>74</v>
      </c>
      <c r="DH28" s="1157"/>
      <c r="DI28"/>
      <c r="DJ28"/>
      <c r="DK28"/>
    </row>
    <row r="29" spans="12:125" s="866" customFormat="1" x14ac:dyDescent="0.25">
      <c r="AJ29"/>
      <c r="AK29" s="1896"/>
      <c r="AL29"/>
      <c r="AM29"/>
      <c r="AN29"/>
      <c r="AO29"/>
      <c r="AP29"/>
      <c r="AQ29"/>
      <c r="AR29"/>
      <c r="AS29"/>
      <c r="AT29"/>
      <c r="AU29"/>
      <c r="AV29"/>
      <c r="AW29"/>
      <c r="AX29"/>
      <c r="AY29"/>
      <c r="AZ29"/>
      <c r="BA29"/>
      <c r="BB29"/>
      <c r="BC29"/>
      <c r="BD29"/>
      <c r="BE29"/>
      <c r="BF29"/>
      <c r="BG29" s="4113"/>
      <c r="BH29" s="4115"/>
      <c r="BI29" s="4113"/>
      <c r="BJ29" s="4113"/>
      <c r="BK29" s="3855"/>
      <c r="BL29" s="3839"/>
      <c r="BM29" s="1299" t="str">
        <f>'12 - Performance_Outputs_1'!F261</f>
        <v/>
      </c>
      <c r="BN29" s="1782" t="str">
        <f>'12 - Performance_Outputs_1'!G261</f>
        <v/>
      </c>
      <c r="BO29" s="1782" t="str">
        <f ca="1">'12 - Performance_Outputs_1'!H261</f>
        <v/>
      </c>
      <c r="BP29" s="1877" t="str">
        <f ca="1">'12 - Performance_Outputs_1'!I261</f>
        <v/>
      </c>
      <c r="BQ29" s="3850"/>
      <c r="BR29" s="1880">
        <f>'12 - Performance_Outputs_1'!K261</f>
        <v>0</v>
      </c>
      <c r="BS29" s="1879">
        <f>'12 - Performance_Outputs_1'!M261</f>
        <v>0</v>
      </c>
      <c r="BT29" s="1882" t="str">
        <f>'12 - Performance_Outputs_1'!R261</f>
        <v/>
      </c>
      <c r="BU29" s="1882" t="str">
        <f>'12 - Performance_Outputs_1'!S261</f>
        <v/>
      </c>
      <c r="BV29" s="1885">
        <f ca="1">SUMIF('12 - Performance_Outputs_1'!$B$311:$B$316,BL29,'12 - Performance_Outputs_1'!$E$311:$G$315)</f>
        <v>0</v>
      </c>
      <c r="BW29" s="1885">
        <f ca="1">SUMIF('12 - Performance_Outputs_1'!$B$311:$B$316,BL29,'12 - Performance_Outputs_1'!$H$311:$H$315)</f>
        <v>0</v>
      </c>
      <c r="BX29" s="1884" t="str">
        <f t="shared" si="1"/>
        <v/>
      </c>
      <c r="BY29" s="1888" t="str">
        <f t="shared" si="2"/>
        <v/>
      </c>
      <c r="BZ29" s="1884" t="str">
        <f t="shared" si="3"/>
        <v/>
      </c>
      <c r="CA29" s="1888" t="str">
        <f t="shared" si="4"/>
        <v/>
      </c>
      <c r="CB29" s="1886" t="str">
        <f t="shared" ca="1" si="5"/>
        <v/>
      </c>
      <c r="CC29" s="1883" t="str">
        <f t="shared" ca="1" si="6"/>
        <v/>
      </c>
      <c r="CD29" s="1889" t="str">
        <f t="shared" ca="1" si="7"/>
        <v/>
      </c>
      <c r="CE29" s="1883" t="str">
        <f t="shared" ca="1" si="8"/>
        <v/>
      </c>
      <c r="CF29" s="1889" t="str">
        <f t="shared" ca="1" si="9"/>
        <v/>
      </c>
      <c r="CG29" s="1887" t="str">
        <f t="shared" ca="1" si="10"/>
        <v/>
      </c>
      <c r="CH29" s="4124"/>
      <c r="CI29" s="4124"/>
      <c r="CJ29" s="4124"/>
      <c r="CK29" s="4124"/>
      <c r="CL29" s="4124"/>
      <c r="CM29" s="4124"/>
      <c r="CN29" s="4124"/>
      <c r="CO29" s="4124"/>
      <c r="CP29" s="4124"/>
      <c r="CQ29" s="4124"/>
      <c r="CR29" s="4124"/>
      <c r="CS29" s="4124"/>
      <c r="CT29" s="4124"/>
      <c r="CU29" s="4124"/>
      <c r="CV29" s="4124"/>
      <c r="CW29" s="4124"/>
      <c r="CX29" s="4124"/>
      <c r="CY29" s="4144"/>
      <c r="CZ29" s="4146"/>
      <c r="DA29" s="4148"/>
      <c r="DB29"/>
      <c r="DC29"/>
      <c r="DD29"/>
      <c r="DE29"/>
      <c r="DF29"/>
      <c r="DG29"/>
      <c r="DH29"/>
      <c r="DI29"/>
      <c r="DJ29"/>
      <c r="DK29"/>
    </row>
    <row r="30" spans="12:125" s="866" customFormat="1" x14ac:dyDescent="0.25">
      <c r="AJ30"/>
      <c r="AK30"/>
      <c r="AL30"/>
      <c r="AM30"/>
      <c r="AN30"/>
      <c r="AO30"/>
      <c r="AP30"/>
      <c r="AQ30"/>
      <c r="AR30"/>
      <c r="AS30"/>
      <c r="AT30"/>
      <c r="AU30"/>
      <c r="AV30"/>
      <c r="AW30"/>
      <c r="AX30"/>
      <c r="AY30"/>
      <c r="AZ30"/>
      <c r="BA30"/>
      <c r="BB30"/>
      <c r="BC30"/>
      <c r="BD30"/>
      <c r="BE30"/>
      <c r="BF30"/>
      <c r="BG30" s="4112" t="str">
        <f>IF(BK30="","Other Regulated","Other Non-Regulated")</f>
        <v>Other Non-Regulated</v>
      </c>
      <c r="BH30" s="4114" t="s">
        <v>275</v>
      </c>
      <c r="BI30" s="4112" t="str">
        <f>'12 - Performance_Outputs_1'!B262</f>
        <v>Fans - parking garage</v>
      </c>
      <c r="BJ30" s="4113"/>
      <c r="BK30" s="3855">
        <f>'12 - Performance_Outputs_1'!D262</f>
        <v>0</v>
      </c>
      <c r="BL30" s="3839" t="str">
        <f>'12 - Performance_Outputs_1'!E262</f>
        <v>Electricity</v>
      </c>
      <c r="BM30" s="1299" t="str">
        <f>'12 - Performance_Outputs_1'!F262</f>
        <v/>
      </c>
      <c r="BN30" s="1782" t="str">
        <f>'12 - Performance_Outputs_1'!G262</f>
        <v/>
      </c>
      <c r="BO30" s="1782" t="str">
        <f ca="1">'12 - Performance_Outputs_1'!H262</f>
        <v/>
      </c>
      <c r="BP30" s="1877" t="str">
        <f ca="1">'12 - Performance_Outputs_1'!I262</f>
        <v/>
      </c>
      <c r="BQ30" s="3849" t="str">
        <f ca="1">'12 - Performance_Outputs_1'!J262</f>
        <v/>
      </c>
      <c r="BR30" s="1880" t="str">
        <f ca="1">'12 - Performance_Outputs_1'!K262</f>
        <v/>
      </c>
      <c r="BS30" s="1879" t="str">
        <f ca="1">'12 - Performance_Outputs_1'!M262</f>
        <v/>
      </c>
      <c r="BT30" s="1882" t="str">
        <f>'12 - Performance_Outputs_1'!R262</f>
        <v/>
      </c>
      <c r="BU30" s="1882" t="str">
        <f>'12 - Performance_Outputs_1'!S262</f>
        <v/>
      </c>
      <c r="BV30" s="1885">
        <f ca="1">SUMIF('12 - Performance_Outputs_1'!$B$311:$B$316,BL30,'12 - Performance_Outputs_1'!$E$311:$G$315)</f>
        <v>0</v>
      </c>
      <c r="BW30" s="1885">
        <f ca="1">SUMIF('12 - Performance_Outputs_1'!$B$311:$B$316,BL30,'12 - Performance_Outputs_1'!$H$311:$H$315)</f>
        <v>0</v>
      </c>
      <c r="BX30" s="1884" t="str">
        <f t="shared" si="1"/>
        <v/>
      </c>
      <c r="BY30" s="1888" t="str">
        <f t="shared" si="2"/>
        <v/>
      </c>
      <c r="BZ30" s="1884" t="str">
        <f t="shared" si="3"/>
        <v/>
      </c>
      <c r="CA30" s="1888" t="str">
        <f t="shared" si="4"/>
        <v/>
      </c>
      <c r="CB30" s="1886" t="str">
        <f t="shared" ca="1" si="5"/>
        <v/>
      </c>
      <c r="CC30" s="1883" t="str">
        <f t="shared" ca="1" si="6"/>
        <v/>
      </c>
      <c r="CD30" s="1889" t="str">
        <f t="shared" ca="1" si="7"/>
        <v/>
      </c>
      <c r="CE30" s="1883" t="str">
        <f t="shared" ca="1" si="8"/>
        <v/>
      </c>
      <c r="CF30" s="1889" t="str">
        <f t="shared" ca="1" si="9"/>
        <v/>
      </c>
      <c r="CG30" s="1887" t="str">
        <f t="shared" ca="1" si="10"/>
        <v/>
      </c>
      <c r="CH30" s="4110"/>
      <c r="CI30" s="4110"/>
      <c r="CJ30" s="4110"/>
      <c r="CK30" s="4110"/>
      <c r="CL30" s="4110"/>
      <c r="CM30" s="4110"/>
      <c r="CN30" s="4110"/>
      <c r="CO30" s="4110"/>
      <c r="CP30" s="4110"/>
      <c r="CQ30" s="4110"/>
      <c r="CR30" s="4110"/>
      <c r="CS30" s="4110"/>
      <c r="CT30" s="4110"/>
      <c r="CU30" s="4110"/>
      <c r="CV30" s="4110"/>
      <c r="CW30" s="4110"/>
      <c r="CX30" s="4110"/>
      <c r="CY30" s="4139"/>
      <c r="CZ30" s="4141"/>
      <c r="DA30" s="4137"/>
      <c r="DB30"/>
      <c r="DC30"/>
      <c r="DD30"/>
      <c r="DE30"/>
      <c r="DF30"/>
      <c r="DG30"/>
      <c r="DH30"/>
      <c r="DI30"/>
      <c r="DJ30"/>
      <c r="DK30"/>
    </row>
    <row r="31" spans="12:125" s="866" customFormat="1" x14ac:dyDescent="0.25">
      <c r="AJ31"/>
      <c r="AK31"/>
      <c r="AL31"/>
      <c r="AM31"/>
      <c r="AN31"/>
      <c r="AO31"/>
      <c r="AP31"/>
      <c r="AQ31"/>
      <c r="AR31"/>
      <c r="AS31"/>
      <c r="AT31"/>
      <c r="AU31"/>
      <c r="AV31"/>
      <c r="AW31"/>
      <c r="AX31"/>
      <c r="AY31"/>
      <c r="AZ31"/>
      <c r="BA31"/>
      <c r="BB31"/>
      <c r="BC31"/>
      <c r="BD31"/>
      <c r="BE31"/>
      <c r="BF31"/>
      <c r="BG31" s="4113"/>
      <c r="BH31" s="4115"/>
      <c r="BI31" s="4113"/>
      <c r="BJ31" s="4113"/>
      <c r="BK31" s="3855"/>
      <c r="BL31" s="3839"/>
      <c r="BM31" s="1299" t="str">
        <f>'12 - Performance_Outputs_1'!F263</f>
        <v/>
      </c>
      <c r="BN31" s="1782" t="str">
        <f>'12 - Performance_Outputs_1'!G263</f>
        <v/>
      </c>
      <c r="BO31" s="1782" t="str">
        <f ca="1">'12 - Performance_Outputs_1'!H263</f>
        <v/>
      </c>
      <c r="BP31" s="1877" t="str">
        <f ca="1">'12 - Performance_Outputs_1'!I263</f>
        <v/>
      </c>
      <c r="BQ31" s="3850"/>
      <c r="BR31" s="1880">
        <f>'12 - Performance_Outputs_1'!K263</f>
        <v>0</v>
      </c>
      <c r="BS31" s="1879">
        <f>'12 - Performance_Outputs_1'!M263</f>
        <v>0</v>
      </c>
      <c r="BT31" s="1882" t="str">
        <f>'12 - Performance_Outputs_1'!R263</f>
        <v/>
      </c>
      <c r="BU31" s="1882" t="str">
        <f>'12 - Performance_Outputs_1'!S263</f>
        <v/>
      </c>
      <c r="BV31" s="1885">
        <f ca="1">SUMIF('12 - Performance_Outputs_1'!$B$311:$B$316,BL31,'12 - Performance_Outputs_1'!$E$311:$G$315)</f>
        <v>0</v>
      </c>
      <c r="BW31" s="1885">
        <f ca="1">SUMIF('12 - Performance_Outputs_1'!$B$311:$B$316,BL31,'12 - Performance_Outputs_1'!$H$311:$H$315)</f>
        <v>0</v>
      </c>
      <c r="BX31" s="1884" t="str">
        <f t="shared" si="1"/>
        <v/>
      </c>
      <c r="BY31" s="1888" t="str">
        <f t="shared" si="2"/>
        <v/>
      </c>
      <c r="BZ31" s="1884" t="str">
        <f t="shared" si="3"/>
        <v/>
      </c>
      <c r="CA31" s="1888" t="str">
        <f t="shared" si="4"/>
        <v/>
      </c>
      <c r="CB31" s="1886" t="str">
        <f t="shared" ca="1" si="5"/>
        <v/>
      </c>
      <c r="CC31" s="1883" t="str">
        <f t="shared" ca="1" si="6"/>
        <v/>
      </c>
      <c r="CD31" s="1889" t="str">
        <f t="shared" ca="1" si="7"/>
        <v/>
      </c>
      <c r="CE31" s="1883" t="str">
        <f t="shared" ca="1" si="8"/>
        <v/>
      </c>
      <c r="CF31" s="1889" t="str">
        <f t="shared" ca="1" si="9"/>
        <v/>
      </c>
      <c r="CG31" s="1887" t="str">
        <f t="shared" ca="1" si="10"/>
        <v/>
      </c>
      <c r="CH31" s="4111"/>
      <c r="CI31" s="4111"/>
      <c r="CJ31" s="4111"/>
      <c r="CK31" s="4111"/>
      <c r="CL31" s="4111"/>
      <c r="CM31" s="4111"/>
      <c r="CN31" s="4111"/>
      <c r="CO31" s="4111"/>
      <c r="CP31" s="4111"/>
      <c r="CQ31" s="4111"/>
      <c r="CR31" s="4111"/>
      <c r="CS31" s="4111"/>
      <c r="CT31" s="4111"/>
      <c r="CU31" s="4111"/>
      <c r="CV31" s="4111"/>
      <c r="CW31" s="4111"/>
      <c r="CX31" s="4111"/>
      <c r="CY31" s="4140"/>
      <c r="CZ31" s="4142"/>
      <c r="DA31" s="4138"/>
      <c r="DB31"/>
      <c r="DC31"/>
      <c r="DD31"/>
      <c r="DE31"/>
      <c r="DF31"/>
      <c r="DG31"/>
      <c r="DH31"/>
      <c r="DI31"/>
      <c r="DJ31"/>
      <c r="DK31"/>
    </row>
    <row r="32" spans="12:125" s="866" customFormat="1" x14ac:dyDescent="0.25">
      <c r="AJ32"/>
      <c r="AK32"/>
      <c r="AL32"/>
      <c r="AM32"/>
      <c r="AN32"/>
      <c r="AO32"/>
      <c r="AP32"/>
      <c r="AQ32"/>
      <c r="AR32"/>
      <c r="AS32"/>
      <c r="AT32"/>
      <c r="AU32"/>
      <c r="AV32"/>
      <c r="AW32"/>
      <c r="AX32"/>
      <c r="AY32"/>
      <c r="AZ32"/>
      <c r="BA32"/>
      <c r="BB32"/>
      <c r="BC32"/>
      <c r="BD32"/>
      <c r="BE32"/>
      <c r="BF32"/>
      <c r="BG32" s="4112" t="str">
        <f>IF(BK32="","Other Regulated","Other Non-Regulated")</f>
        <v>Other Non-Regulated</v>
      </c>
      <c r="BH32" s="4114" t="s">
        <v>275</v>
      </c>
      <c r="BI32" s="4112" t="str">
        <f>'12 - Performance_Outputs_1'!B264</f>
        <v>Fans - Kitchen Ventilation</v>
      </c>
      <c r="BJ32" s="4113"/>
      <c r="BK32" s="3855">
        <f>'12 - Performance_Outputs_1'!D264</f>
        <v>0</v>
      </c>
      <c r="BL32" s="3839" t="str">
        <f>'12 - Performance_Outputs_1'!E264</f>
        <v>Electricity</v>
      </c>
      <c r="BM32" s="1299" t="str">
        <f>'12 - Performance_Outputs_1'!F264</f>
        <v/>
      </c>
      <c r="BN32" s="1782" t="str">
        <f>'12 - Performance_Outputs_1'!G264</f>
        <v/>
      </c>
      <c r="BO32" s="1782" t="str">
        <f ca="1">'12 - Performance_Outputs_1'!H264</f>
        <v/>
      </c>
      <c r="BP32" s="1877" t="str">
        <f ca="1">'12 - Performance_Outputs_1'!I264</f>
        <v/>
      </c>
      <c r="BQ32" s="3849" t="str">
        <f ca="1">'12 - Performance_Outputs_1'!J264</f>
        <v/>
      </c>
      <c r="BR32" s="1880" t="str">
        <f ca="1">'12 - Performance_Outputs_1'!K264</f>
        <v/>
      </c>
      <c r="BS32" s="1879" t="str">
        <f ca="1">'12 - Performance_Outputs_1'!M264</f>
        <v/>
      </c>
      <c r="BT32" s="1882" t="str">
        <f>'12 - Performance_Outputs_1'!R264</f>
        <v/>
      </c>
      <c r="BU32" s="1882" t="str">
        <f>'12 - Performance_Outputs_1'!S264</f>
        <v/>
      </c>
      <c r="BV32" s="1885">
        <f ca="1">SUMIF('12 - Performance_Outputs_1'!$B$311:$B$316,BL32,'12 - Performance_Outputs_1'!$E$311:$G$315)</f>
        <v>0</v>
      </c>
      <c r="BW32" s="1885">
        <f ca="1">SUMIF('12 - Performance_Outputs_1'!$B$311:$B$316,BL32,'12 - Performance_Outputs_1'!$H$311:$H$315)</f>
        <v>0</v>
      </c>
      <c r="BX32" s="1884" t="str">
        <f t="shared" si="1"/>
        <v/>
      </c>
      <c r="BY32" s="1888" t="str">
        <f t="shared" si="2"/>
        <v/>
      </c>
      <c r="BZ32" s="1884" t="str">
        <f t="shared" si="3"/>
        <v/>
      </c>
      <c r="CA32" s="1888" t="str">
        <f t="shared" si="4"/>
        <v/>
      </c>
      <c r="CB32" s="1886" t="str">
        <f t="shared" ca="1" si="5"/>
        <v/>
      </c>
      <c r="CC32" s="1883" t="str">
        <f t="shared" ca="1" si="6"/>
        <v/>
      </c>
      <c r="CD32" s="1889" t="str">
        <f t="shared" ca="1" si="7"/>
        <v/>
      </c>
      <c r="CE32" s="1883" t="str">
        <f t="shared" ca="1" si="8"/>
        <v/>
      </c>
      <c r="CF32" s="1889" t="str">
        <f t="shared" ca="1" si="9"/>
        <v/>
      </c>
      <c r="CG32" s="1887" t="str">
        <f t="shared" ca="1" si="10"/>
        <v/>
      </c>
      <c r="CH32" s="4110"/>
      <c r="CI32" s="4110"/>
      <c r="CJ32" s="4110"/>
      <c r="CK32" s="4110"/>
      <c r="CL32" s="4110"/>
      <c r="CM32" s="4110"/>
      <c r="CN32" s="4110"/>
      <c r="CO32" s="4110"/>
      <c r="CP32" s="4110"/>
      <c r="CQ32" s="4110"/>
      <c r="CR32" s="4110"/>
      <c r="CS32" s="4110"/>
      <c r="CT32" s="4110"/>
      <c r="CU32" s="4110"/>
      <c r="CV32" s="4110"/>
      <c r="CW32" s="4110"/>
      <c r="CX32" s="4110"/>
      <c r="CY32" s="4139"/>
      <c r="CZ32" s="4141"/>
      <c r="DA32" s="4137"/>
      <c r="DB32"/>
      <c r="DC32"/>
      <c r="DD32"/>
      <c r="DE32"/>
      <c r="DF32"/>
      <c r="DG32"/>
      <c r="DH32"/>
      <c r="DI32"/>
      <c r="DJ32"/>
      <c r="DK32"/>
    </row>
    <row r="33" spans="2:115" s="866" customFormat="1" x14ac:dyDescent="0.25">
      <c r="AJ33"/>
      <c r="AK33"/>
      <c r="AL33"/>
      <c r="AM33"/>
      <c r="AN33"/>
      <c r="AO33"/>
      <c r="AP33"/>
      <c r="AQ33"/>
      <c r="AR33"/>
      <c r="AS33"/>
      <c r="AT33"/>
      <c r="AU33"/>
      <c r="AV33"/>
      <c r="AW33"/>
      <c r="AX33"/>
      <c r="AY33"/>
      <c r="AZ33"/>
      <c r="BA33"/>
      <c r="BB33"/>
      <c r="BC33"/>
      <c r="BD33"/>
      <c r="BE33"/>
      <c r="BF33"/>
      <c r="BG33" s="4113"/>
      <c r="BH33" s="4115"/>
      <c r="BI33" s="4113"/>
      <c r="BJ33" s="4113"/>
      <c r="BK33" s="3855"/>
      <c r="BL33" s="3839"/>
      <c r="BM33" s="1299" t="str">
        <f>'12 - Performance_Outputs_1'!F265</f>
        <v/>
      </c>
      <c r="BN33" s="1782" t="str">
        <f>'12 - Performance_Outputs_1'!G265</f>
        <v/>
      </c>
      <c r="BO33" s="1782" t="str">
        <f ca="1">'12 - Performance_Outputs_1'!H265</f>
        <v/>
      </c>
      <c r="BP33" s="1877" t="str">
        <f ca="1">'12 - Performance_Outputs_1'!I265</f>
        <v/>
      </c>
      <c r="BQ33" s="3850"/>
      <c r="BR33" s="1880">
        <f>'12 - Performance_Outputs_1'!K265</f>
        <v>0</v>
      </c>
      <c r="BS33" s="1879">
        <f>'12 - Performance_Outputs_1'!M265</f>
        <v>0</v>
      </c>
      <c r="BT33" s="1882" t="str">
        <f>'12 - Performance_Outputs_1'!R265</f>
        <v/>
      </c>
      <c r="BU33" s="1882" t="str">
        <f>'12 - Performance_Outputs_1'!S265</f>
        <v/>
      </c>
      <c r="BV33" s="1885">
        <f ca="1">SUMIF('12 - Performance_Outputs_1'!$B$311:$B$316,BL33,'12 - Performance_Outputs_1'!$E$311:$G$315)</f>
        <v>0</v>
      </c>
      <c r="BW33" s="1885">
        <f ca="1">SUMIF('12 - Performance_Outputs_1'!$B$311:$B$316,BL33,'12 - Performance_Outputs_1'!$H$311:$H$315)</f>
        <v>0</v>
      </c>
      <c r="BX33" s="1884" t="str">
        <f t="shared" si="1"/>
        <v/>
      </c>
      <c r="BY33" s="1888" t="str">
        <f t="shared" si="2"/>
        <v/>
      </c>
      <c r="BZ33" s="1884" t="str">
        <f t="shared" si="3"/>
        <v/>
      </c>
      <c r="CA33" s="1888" t="str">
        <f t="shared" si="4"/>
        <v/>
      </c>
      <c r="CB33" s="1886" t="str">
        <f t="shared" ca="1" si="5"/>
        <v/>
      </c>
      <c r="CC33" s="1883" t="str">
        <f t="shared" ca="1" si="6"/>
        <v/>
      </c>
      <c r="CD33" s="1889" t="str">
        <f t="shared" ca="1" si="7"/>
        <v/>
      </c>
      <c r="CE33" s="1883" t="str">
        <f t="shared" ca="1" si="8"/>
        <v/>
      </c>
      <c r="CF33" s="1889" t="str">
        <f t="shared" ca="1" si="9"/>
        <v/>
      </c>
      <c r="CG33" s="1887" t="str">
        <f t="shared" ca="1" si="10"/>
        <v/>
      </c>
      <c r="CH33" s="4111"/>
      <c r="CI33" s="4111"/>
      <c r="CJ33" s="4111"/>
      <c r="CK33" s="4111"/>
      <c r="CL33" s="4111"/>
      <c r="CM33" s="4111"/>
      <c r="CN33" s="4111"/>
      <c r="CO33" s="4111"/>
      <c r="CP33" s="4111"/>
      <c r="CQ33" s="4111"/>
      <c r="CR33" s="4111"/>
      <c r="CS33" s="4111"/>
      <c r="CT33" s="4111"/>
      <c r="CU33" s="4111"/>
      <c r="CV33" s="4111"/>
      <c r="CW33" s="4111"/>
      <c r="CX33" s="4111"/>
      <c r="CY33" s="4140"/>
      <c r="CZ33" s="4142"/>
      <c r="DA33" s="4138"/>
      <c r="DB33"/>
      <c r="DC33"/>
      <c r="DD33"/>
      <c r="DE33"/>
      <c r="DF33"/>
      <c r="DG33"/>
      <c r="DH33"/>
      <c r="DI33"/>
      <c r="DJ33"/>
      <c r="DK33"/>
    </row>
    <row r="34" spans="2:115" s="866" customFormat="1" x14ac:dyDescent="0.25">
      <c r="AJ34"/>
      <c r="AK34"/>
      <c r="AL34"/>
      <c r="AM34"/>
      <c r="AN34"/>
      <c r="AO34"/>
      <c r="AP34"/>
      <c r="AQ34"/>
      <c r="AR34"/>
      <c r="AS34"/>
      <c r="AT34"/>
      <c r="AU34"/>
      <c r="AV34"/>
      <c r="AW34"/>
      <c r="AX34"/>
      <c r="AY34"/>
      <c r="AZ34"/>
      <c r="BA34"/>
      <c r="BB34"/>
      <c r="BC34"/>
      <c r="BD34"/>
      <c r="BE34"/>
      <c r="BF34"/>
      <c r="BG34" s="4112" t="s">
        <v>2669</v>
      </c>
      <c r="BH34" s="4114" t="s">
        <v>2628</v>
      </c>
      <c r="BI34" s="4112" t="str">
        <f>'12 - Performance_Outputs_1'!B266</f>
        <v>Service water heating</v>
      </c>
      <c r="BJ34" s="4113"/>
      <c r="BK34" s="3855">
        <f>'12 - Performance_Outputs_1'!D266</f>
        <v>0</v>
      </c>
      <c r="BL34" s="3839" t="str">
        <f>'12 - Performance_Outputs_1'!E266</f>
        <v>Natural Gas</v>
      </c>
      <c r="BM34" s="1299" t="str">
        <f>'12 - Performance_Outputs_1'!F266</f>
        <v/>
      </c>
      <c r="BN34" s="1782" t="str">
        <f>'12 - Performance_Outputs_1'!G266</f>
        <v/>
      </c>
      <c r="BO34" s="1782" t="str">
        <f ca="1">'12 - Performance_Outputs_1'!H266</f>
        <v/>
      </c>
      <c r="BP34" s="1877" t="str">
        <f ca="1">'12 - Performance_Outputs_1'!I266</f>
        <v/>
      </c>
      <c r="BQ34" s="3849" t="str">
        <f ca="1">'12 - Performance_Outputs_1'!J266</f>
        <v/>
      </c>
      <c r="BR34" s="1880" t="str">
        <f ca="1">'12 - Performance_Outputs_1'!K266</f>
        <v/>
      </c>
      <c r="BS34" s="1879" t="str">
        <f ca="1">'12 - Performance_Outputs_1'!M266</f>
        <v/>
      </c>
      <c r="BT34" s="1882" t="str">
        <f>'12 - Performance_Outputs_1'!R266</f>
        <v/>
      </c>
      <c r="BU34" s="1882" t="str">
        <f>'12 - Performance_Outputs_1'!S266</f>
        <v/>
      </c>
      <c r="BV34" s="1885">
        <f ca="1">SUMIF('12 - Performance_Outputs_1'!$B$311:$B$316,BL34,'12 - Performance_Outputs_1'!$E$311:$G$315)</f>
        <v>0</v>
      </c>
      <c r="BW34" s="1885">
        <f ca="1">SUMIF('12 - Performance_Outputs_1'!$B$311:$B$316,BL34,'12 - Performance_Outputs_1'!$H$311:$H$315)</f>
        <v>0</v>
      </c>
      <c r="BX34" s="1884" t="str">
        <f t="shared" si="1"/>
        <v/>
      </c>
      <c r="BY34" s="1888" t="str">
        <f t="shared" si="2"/>
        <v/>
      </c>
      <c r="BZ34" s="1884" t="str">
        <f t="shared" si="3"/>
        <v/>
      </c>
      <c r="CA34" s="1888" t="str">
        <f t="shared" si="4"/>
        <v/>
      </c>
      <c r="CB34" s="1886" t="str">
        <f t="shared" ca="1" si="5"/>
        <v/>
      </c>
      <c r="CC34" s="1883" t="str">
        <f t="shared" ca="1" si="6"/>
        <v/>
      </c>
      <c r="CD34" s="1889" t="str">
        <f t="shared" ca="1" si="7"/>
        <v/>
      </c>
      <c r="CE34" s="1883" t="str">
        <f t="shared" ca="1" si="8"/>
        <v/>
      </c>
      <c r="CF34" s="1889" t="str">
        <f t="shared" ca="1" si="9"/>
        <v/>
      </c>
      <c r="CG34" s="1887" t="str">
        <f t="shared" ca="1" si="10"/>
        <v/>
      </c>
      <c r="CH34" s="4123" t="str">
        <f>IFERROR(IF($DD$1="4A",VLOOKUP(CH$4,'90.1-2004 Site EUI'!$A$3:$W$27,MATCH($BH34,'90.1-2004 Site EUI'!$A$4:$W$4,0),FALSE),IF($DD$1="5A",VLOOKUP(CH$4,'90.1-2004 Site EUI'!$A$29:$W$53,MATCH($BH34,'90.1-2004 Site EUI'!$A$30:$W$30,0),FALSE),IF($DD$1="6A",VLOOKUP(CH$4,'90.1-2004 Site EUI'!$A$55:$W$79,MATCH($BH34,'90.1-2004 Site EUI'!$A$56:$W$56,0),FALSE),""))),"")</f>
        <v/>
      </c>
      <c r="CI34" s="4123" t="str">
        <f>IFERROR(IF($DD$1="4A",VLOOKUP(CI$4,'90.1-2004 Site EUI'!$A$3:$W$27,MATCH($BH34,'90.1-2004 Site EUI'!$A$4:$W$4,0),FALSE),IF($DD$1="5A",VLOOKUP(CI$4,'90.1-2004 Site EUI'!$A$29:$W$53,MATCH($BH34,'90.1-2004 Site EUI'!$A$30:$W$30,0),FALSE),IF($DD$1="6A",VLOOKUP(CI$4,'90.1-2004 Site EUI'!$A$55:$W$79,MATCH($BH34,'90.1-2004 Site EUI'!$A$56:$W$56,0),FALSE),""))),"")</f>
        <v/>
      </c>
      <c r="CJ34" s="4123" t="str">
        <f>IFERROR(IF($DD$1="4A",VLOOKUP(CJ$4,'90.1-2004 Site EUI'!$A$3:$W$27,MATCH($BH34,'90.1-2004 Site EUI'!$A$4:$W$4,0),FALSE),IF($DD$1="5A",VLOOKUP(CJ$4,'90.1-2004 Site EUI'!$A$29:$W$53,MATCH($BH34,'90.1-2004 Site EUI'!$A$30:$W$30,0),FALSE),IF($DD$1="6A",VLOOKUP(CJ$4,'90.1-2004 Site EUI'!$A$55:$W$79,MATCH($BH34,'90.1-2004 Site EUI'!$A$56:$W$56,0),FALSE),""))),"")</f>
        <v/>
      </c>
      <c r="CK34" s="4123" t="str">
        <f>IFERROR(IF($DD$1="4A",VLOOKUP(CK$4,'90.1-2004 Site EUI'!$A$3:$W$27,MATCH($BH34,'90.1-2004 Site EUI'!$A$4:$W$4,0),FALSE),IF($DD$1="5A",VLOOKUP(CK$4,'90.1-2004 Site EUI'!$A$29:$W$53,MATCH($BH34,'90.1-2004 Site EUI'!$A$30:$W$30,0),FALSE),IF($DD$1="6A",VLOOKUP(CK$4,'90.1-2004 Site EUI'!$A$55:$W$79,MATCH($BH34,'90.1-2004 Site EUI'!$A$56:$W$56,0),FALSE),""))),"")</f>
        <v/>
      </c>
      <c r="CL34" s="4123" t="str">
        <f>IFERROR(IF($DD$1="4A",VLOOKUP(CL$4,'90.1-2004 Site EUI'!$A$3:$W$27,MATCH($BH34,'90.1-2004 Site EUI'!$A$4:$W$4,0),FALSE),IF($DD$1="5A",VLOOKUP(CL$4,'90.1-2004 Site EUI'!$A$29:$W$53,MATCH($BH34,'90.1-2004 Site EUI'!$A$30:$W$30,0),FALSE),IF($DD$1="6A",VLOOKUP(CL$4,'90.1-2004 Site EUI'!$A$55:$W$79,MATCH($BH34,'90.1-2004 Site EUI'!$A$56:$W$56,0),FALSE),""))),"")</f>
        <v/>
      </c>
      <c r="CM34" s="4123" t="str">
        <f>IFERROR(IF($DD$1="4A",VLOOKUP(CM$4,'90.1-2004 Site EUI'!$A$3:$W$27,MATCH($BH34,'90.1-2004 Site EUI'!$A$4:$W$4,0),FALSE),IF($DD$1="5A",VLOOKUP(CM$4,'90.1-2004 Site EUI'!$A$29:$W$53,MATCH($BH34,'90.1-2004 Site EUI'!$A$30:$W$30,0),FALSE),IF($DD$1="6A",VLOOKUP(CM$4,'90.1-2004 Site EUI'!$A$55:$W$79,MATCH($BH34,'90.1-2004 Site EUI'!$A$56:$W$56,0),FALSE),""))),"")</f>
        <v/>
      </c>
      <c r="CN34" s="4123" t="str">
        <f>IFERROR(IF($DD$1="4A",VLOOKUP(CN$4,'90.1-2004 Site EUI'!$A$3:$W$27,MATCH($BH34,'90.1-2004 Site EUI'!$A$4:$W$4,0),FALSE),IF($DD$1="5A",VLOOKUP(CN$4,'90.1-2004 Site EUI'!$A$29:$W$53,MATCH($BH34,'90.1-2004 Site EUI'!$A$30:$W$30,0),FALSE),IF($DD$1="6A",VLOOKUP(CN$4,'90.1-2004 Site EUI'!$A$55:$W$79,MATCH($BH34,'90.1-2004 Site EUI'!$A$56:$W$56,0),FALSE),""))),"")</f>
        <v/>
      </c>
      <c r="CO34" s="4123" t="e">
        <f>AVERAGE(CH34:CN35,CP34)</f>
        <v>#DIV/0!</v>
      </c>
      <c r="CP34" s="4123" t="str">
        <f>IFERROR(IF($DD$1="4A",VLOOKUP(CP$4,'90.1-2004 Site EUI'!$A$3:$W$27,MATCH($BH34,'90.1-2004 Site EUI'!$A$4:$W$4,0),FALSE),IF($DD$1="5A",VLOOKUP(CP$4,'90.1-2004 Site EUI'!$A$29:$W$53,MATCH($BH34,'90.1-2004 Site EUI'!$A$30:$W$30,0),FALSE),IF($DD$1="6A",VLOOKUP(CP$4,'90.1-2004 Site EUI'!$A$55:$W$79,MATCH($BH34,'90.1-2004 Site EUI'!$A$56:$W$56,0),FALSE),""))),"")</f>
        <v/>
      </c>
      <c r="CQ34" s="4123" t="str">
        <f>IFERROR(IF($DD$1="4A",VLOOKUP(CQ$4,'90.1-2013 Site EUI'!$A$3:$W$27,MATCH($BH34,'90.1-2013 Site EUI'!$A$4:$W$4,0),FALSE),IF($DD$1="5A",VLOOKUP(CQ$4,'90.1-2013 Site EUI'!$A$29:$W$53,MATCH($BH34,'90.1-2013 Site EUI'!$A$30:$W$30,0),FALSE),IF($DD$1="6A",VLOOKUP(CQ$4,'90.1-2013 Site EUI'!$A$55:$W$79,MATCH($BH34,'90.1-2013 Site EUI'!$A$56:$W$56,0),FALSE),""))),"")</f>
        <v/>
      </c>
      <c r="CR34" s="4123" t="str">
        <f>IFERROR(IF($DD$1="4A",VLOOKUP(CR$4,'90.1-2013 Site EUI'!$A$3:$W$27,MATCH($BH34,'90.1-2013 Site EUI'!$A$4:$W$4,0),FALSE),IF($DD$1="5A",VLOOKUP(CR$4,'90.1-2013 Site EUI'!$A$29:$W$53,MATCH($BH34,'90.1-2013 Site EUI'!$A$30:$W$30,0),FALSE),IF($DD$1="6A",VLOOKUP(CR$4,'90.1-2013 Site EUI'!$A$55:$W$79,MATCH($BH34,'90.1-2013 Site EUI'!$A$56:$W$56,0),FALSE),""))),"")</f>
        <v/>
      </c>
      <c r="CS34" s="4123" t="str">
        <f>IFERROR(IF($DD$1="4A",VLOOKUP(CS$4,'90.1-2013 Site EUI'!$A$3:$W$27,MATCH($BH34,'90.1-2013 Site EUI'!$A$4:$W$4,0),FALSE),IF($DD$1="5A",VLOOKUP(CS$4,'90.1-2013 Site EUI'!$A$29:$W$53,MATCH($BH34,'90.1-2013 Site EUI'!$A$30:$W$30,0),FALSE),IF($DD$1="6A",VLOOKUP(CS$4,'90.1-2013 Site EUI'!$A$55:$W$79,MATCH($BH34,'90.1-2013 Site EUI'!$A$56:$W$56,0),FALSE),""))),"")</f>
        <v/>
      </c>
      <c r="CT34" s="4123" t="str">
        <f>IFERROR(IF($DD$1="4A",VLOOKUP(CT$4,'90.1-2013 Site EUI'!$A$3:$W$27,MATCH($BH34,'90.1-2013 Site EUI'!$A$4:$W$4,0),FALSE),IF($DD$1="5A",VLOOKUP(CT$4,'90.1-2013 Site EUI'!$A$29:$W$53,MATCH($BH34,'90.1-2013 Site EUI'!$A$30:$W$30,0),FALSE),IF($DD$1="6A",VLOOKUP(CT$4,'90.1-2013 Site EUI'!$A$55:$W$79,MATCH($BH34,'90.1-2013 Site EUI'!$A$56:$W$56,0),FALSE),""))),"")</f>
        <v/>
      </c>
      <c r="CU34" s="4123" t="str">
        <f>IFERROR(IF($DD$1="4A",VLOOKUP(CU$4,'90.1-2013 Site EUI'!$A$3:$W$27,MATCH($BH34,'90.1-2013 Site EUI'!$A$4:$W$4,0),FALSE),IF($DD$1="5A",VLOOKUP(CU$4,'90.1-2013 Site EUI'!$A$29:$W$53,MATCH($BH34,'90.1-2013 Site EUI'!$A$30:$W$30,0),FALSE),IF($DD$1="6A",VLOOKUP(CU$4,'90.1-2013 Site EUI'!$A$55:$W$79,MATCH($BH34,'90.1-2013 Site EUI'!$A$56:$W$56,0),FALSE),""))),"")</f>
        <v/>
      </c>
      <c r="CV34" s="4123" t="str">
        <f>IFERROR(IF($DD$1="4A",VLOOKUP(CV$4,'90.1-2013 Site EUI'!$A$3:$W$27,MATCH($BH34,'90.1-2013 Site EUI'!$A$4:$W$4,0),FALSE),IF($DD$1="5A",VLOOKUP(CV$4,'90.1-2013 Site EUI'!$A$29:$W$53,MATCH($BH34,'90.1-2013 Site EUI'!$A$30:$W$30,0),FALSE),IF($DD$1="6A",VLOOKUP(CV$4,'90.1-2013 Site EUI'!$A$55:$W$79,MATCH($BH34,'90.1-2013 Site EUI'!$A$56:$W$56,0),FALSE),""))),"")</f>
        <v/>
      </c>
      <c r="CW34" s="4123" t="str">
        <f>IFERROR(IF($DD$1="4A",VLOOKUP(CW$4,'90.1-2013 Site EUI'!$A$3:$W$27,MATCH($BH34,'90.1-2013 Site EUI'!$A$4:$W$4,0),FALSE),IF($DD$1="5A",VLOOKUP(CW$4,'90.1-2013 Site EUI'!$A$29:$W$53,MATCH($BH34,'90.1-2013 Site EUI'!$A$30:$W$30,0),FALSE),IF($DD$1="6A",VLOOKUP(CW$4,'90.1-2013 Site EUI'!$A$55:$W$79,MATCH($BH34,'90.1-2013 Site EUI'!$A$56:$W$56,0),FALSE),""))),"")</f>
        <v/>
      </c>
      <c r="CX34" s="4123" t="e">
        <f>AVERAGE(CQ34:CW35,CY34)</f>
        <v>#DIV/0!</v>
      </c>
      <c r="CY34" s="4143" t="str">
        <f>IFERROR(IF($DD$1="4A",VLOOKUP(CY$4,'90.1-2013 Site EUI'!$A$3:$W$27,MATCH($BH34,'90.1-2013 Site EUI'!$A$4:$W$4,0),FALSE),IF($DD$1="5A",VLOOKUP(CY$4,'90.1-2013 Site EUI'!$A$29:$W$53,MATCH($BH34,'90.1-2013 Site EUI'!$A$30:$W$30,0),FALSE),IF($DD$1="6A",VLOOKUP(CY$4,'90.1-2013 Site EUI'!$A$55:$W$79,MATCH($BH34,'90.1-2013 Site EUI'!$A$56:$W$56,0),FALSE),""))),"")</f>
        <v/>
      </c>
      <c r="CZ34" s="4145" t="e">
        <f>SUMIF($CH$4:$CP$4,$DG$1,CH34:CP35)*$DI$1+SUMIF($CH$4:$CP$4,$DG$2,CH34:CP35)*$DI$2+SUMIF($CH$4:$CP$4,$DG$3,CH34:CP35)*$DI$3+SUMIF($CH$4:$CP$4,$DG$4,CH34:CP35)*$DI$4+SUMIF($CH$4:$CP$4,$DG$5,CH34:CP35)*$DI$5+SUMIF($CH$4:$CP$4,$DG$6,CH34:CP35)*$DI$6+SUMIF($CH$4:$CP$4,$DG$7,CH34:CP35)*$DI$7+SUMIF($CH$4:$CP$4,$DG$8,CH34:CP35)*$DI$8+SUMIF($CH$4:$CP$4,$DG$8,CH34:CP35)*$DI$8+SUMIF($CH$4:$CP$4,$DG$9,CH34:CP35)*$DI$9</f>
        <v>#DIV/0!</v>
      </c>
      <c r="DA34" s="4147" t="e">
        <f>SUMIF($CQ$4:$CY$4,$DG$1,CQ34:CY35)*$DI$1+SUMIF($CQ$4:$CY$4,$DG$2,CQ34:CY35)*$DI$2+SUMIF($CQ$4:$CY$4,$DG$3,CQ34:CY35)*$DI$3+SUMIF($CQ$4:$CY$4,$DG$4,CQ34:CY35)*$DI$4+SUMIF($CQ$4:$CY$4,$DG$5,CQ34:CY35)*$DI$5+SUMIF($CQ$4:$CY$4,$DG$6,CQ34:CY35)*$DI$6+SUMIF($CQ$4:$CY$4,$DG$7,CQ34:CY35)*$DI$7+SUMIF($CQ$4:$CY$4,$DG$8,CQ34:CY35)*$DI$8+SUMIF($CQ$4:$CY$4,$DG$9,CQ34:CY35)*$DI$9</f>
        <v>#DIV/0!</v>
      </c>
      <c r="DB34"/>
      <c r="DC34"/>
      <c r="DD34"/>
      <c r="DE34"/>
      <c r="DF34"/>
      <c r="DG34"/>
      <c r="DH34"/>
      <c r="DI34"/>
      <c r="DJ34"/>
      <c r="DK34"/>
    </row>
    <row r="35" spans="2:115" s="866" customFormat="1" x14ac:dyDescent="0.25">
      <c r="AJ35"/>
      <c r="AK35"/>
      <c r="AL35"/>
      <c r="AM35"/>
      <c r="AN35"/>
      <c r="AO35"/>
      <c r="AP35"/>
      <c r="AQ35"/>
      <c r="AR35"/>
      <c r="AS35"/>
      <c r="AT35"/>
      <c r="AU35"/>
      <c r="AV35"/>
      <c r="AW35"/>
      <c r="AX35"/>
      <c r="AY35"/>
      <c r="AZ35"/>
      <c r="BA35"/>
      <c r="BB35"/>
      <c r="BC35"/>
      <c r="BD35"/>
      <c r="BE35"/>
      <c r="BF35"/>
      <c r="BG35" s="4113"/>
      <c r="BH35" s="4115"/>
      <c r="BI35" s="4113"/>
      <c r="BJ35" s="4113"/>
      <c r="BK35" s="3855"/>
      <c r="BL35" s="3839"/>
      <c r="BM35" s="1299" t="str">
        <f>'12 - Performance_Outputs_1'!F267</f>
        <v/>
      </c>
      <c r="BN35" s="1782" t="str">
        <f>'12 - Performance_Outputs_1'!G267</f>
        <v/>
      </c>
      <c r="BO35" s="1782" t="str">
        <f ca="1">'12 - Performance_Outputs_1'!H267</f>
        <v/>
      </c>
      <c r="BP35" s="1877" t="str">
        <f ca="1">'12 - Performance_Outputs_1'!I267</f>
        <v/>
      </c>
      <c r="BQ35" s="3850"/>
      <c r="BR35" s="1880">
        <f>'12 - Performance_Outputs_1'!K267</f>
        <v>0</v>
      </c>
      <c r="BS35" s="1879">
        <f>'12 - Performance_Outputs_1'!M267</f>
        <v>0</v>
      </c>
      <c r="BT35" s="1882" t="str">
        <f>'12 - Performance_Outputs_1'!R267</f>
        <v/>
      </c>
      <c r="BU35" s="1882" t="str">
        <f>'12 - Performance_Outputs_1'!S267</f>
        <v/>
      </c>
      <c r="BV35" s="1885">
        <f ca="1">SUMIF('12 - Performance_Outputs_1'!$B$311:$B$316,BL35,'12 - Performance_Outputs_1'!$E$311:$G$315)</f>
        <v>0</v>
      </c>
      <c r="BW35" s="1885">
        <f ca="1">SUMIF('12 - Performance_Outputs_1'!$B$311:$B$316,BL35,'12 - Performance_Outputs_1'!$H$311:$H$315)</f>
        <v>0</v>
      </c>
      <c r="BX35" s="1884" t="str">
        <f t="shared" si="1"/>
        <v/>
      </c>
      <c r="BY35" s="1888" t="str">
        <f t="shared" si="2"/>
        <v/>
      </c>
      <c r="BZ35" s="1884" t="str">
        <f t="shared" si="3"/>
        <v/>
      </c>
      <c r="CA35" s="1888" t="str">
        <f t="shared" si="4"/>
        <v/>
      </c>
      <c r="CB35" s="1886" t="str">
        <f t="shared" ca="1" si="5"/>
        <v/>
      </c>
      <c r="CC35" s="1883" t="str">
        <f t="shared" ca="1" si="6"/>
        <v/>
      </c>
      <c r="CD35" s="1889" t="str">
        <f t="shared" ca="1" si="7"/>
        <v/>
      </c>
      <c r="CE35" s="1883" t="str">
        <f t="shared" ca="1" si="8"/>
        <v/>
      </c>
      <c r="CF35" s="1889" t="str">
        <f t="shared" ca="1" si="9"/>
        <v/>
      </c>
      <c r="CG35" s="1887" t="str">
        <f t="shared" ca="1" si="10"/>
        <v/>
      </c>
      <c r="CH35" s="4124"/>
      <c r="CI35" s="4124"/>
      <c r="CJ35" s="4124"/>
      <c r="CK35" s="4124"/>
      <c r="CL35" s="4124"/>
      <c r="CM35" s="4124"/>
      <c r="CN35" s="4124"/>
      <c r="CO35" s="4124"/>
      <c r="CP35" s="4124"/>
      <c r="CQ35" s="4124"/>
      <c r="CR35" s="4124"/>
      <c r="CS35" s="4124"/>
      <c r="CT35" s="4124"/>
      <c r="CU35" s="4124"/>
      <c r="CV35" s="4124"/>
      <c r="CW35" s="4124"/>
      <c r="CX35" s="4124"/>
      <c r="CY35" s="4144"/>
      <c r="CZ35" s="4146"/>
      <c r="DA35" s="4148"/>
      <c r="DB35"/>
      <c r="DC35"/>
      <c r="DD35"/>
      <c r="DE35"/>
      <c r="DF35"/>
      <c r="DG35"/>
      <c r="DH35"/>
      <c r="DI35"/>
      <c r="DJ35"/>
      <c r="DK35"/>
    </row>
    <row r="36" spans="2:115" s="866" customFormat="1" x14ac:dyDescent="0.25">
      <c r="AJ36"/>
      <c r="AK36"/>
      <c r="AL36"/>
      <c r="AM36"/>
      <c r="AN36"/>
      <c r="AO36"/>
      <c r="AP36"/>
      <c r="AQ36"/>
      <c r="AR36"/>
      <c r="AS36"/>
      <c r="AT36"/>
      <c r="AU36"/>
      <c r="AV36"/>
      <c r="AW36"/>
      <c r="AX36"/>
      <c r="AY36"/>
      <c r="AZ36"/>
      <c r="BA36"/>
      <c r="BB36"/>
      <c r="BC36"/>
      <c r="BD36"/>
      <c r="BE36"/>
      <c r="BF36"/>
      <c r="BG36" s="4112" t="str">
        <f>IF(BK36="","Other Regulated","Other Non-Regulated")</f>
        <v>Other Non-Regulated</v>
      </c>
      <c r="BH36" s="4114" t="s">
        <v>2635</v>
      </c>
      <c r="BI36" s="4112" t="str">
        <f>'12 - Performance_Outputs_1'!B268</f>
        <v>Service water heating</v>
      </c>
      <c r="BJ36" s="4113"/>
      <c r="BK36" s="3855">
        <f>'12 - Performance_Outputs_1'!D268</f>
        <v>0</v>
      </c>
      <c r="BL36" s="3839" t="str">
        <f>'12 - Performance_Outputs_1'!E268</f>
        <v>Electricity</v>
      </c>
      <c r="BM36" s="1299" t="str">
        <f>'12 - Performance_Outputs_1'!F268</f>
        <v/>
      </c>
      <c r="BN36" s="1782" t="str">
        <f>'12 - Performance_Outputs_1'!G268</f>
        <v/>
      </c>
      <c r="BO36" s="1782" t="str">
        <f ca="1">'12 - Performance_Outputs_1'!H268</f>
        <v/>
      </c>
      <c r="BP36" s="1877" t="str">
        <f ca="1">'12 - Performance_Outputs_1'!I268</f>
        <v/>
      </c>
      <c r="BQ36" s="3849" t="str">
        <f ca="1">'12 - Performance_Outputs_1'!J268</f>
        <v/>
      </c>
      <c r="BR36" s="1880" t="str">
        <f ca="1">'12 - Performance_Outputs_1'!K268</f>
        <v/>
      </c>
      <c r="BS36" s="1879" t="str">
        <f ca="1">'12 - Performance_Outputs_1'!M268</f>
        <v/>
      </c>
      <c r="BT36" s="1882" t="str">
        <f>'12 - Performance_Outputs_1'!R268</f>
        <v/>
      </c>
      <c r="BU36" s="1882" t="str">
        <f>'12 - Performance_Outputs_1'!S268</f>
        <v/>
      </c>
      <c r="BV36" s="1885">
        <f ca="1">SUMIF('12 - Performance_Outputs_1'!$B$311:$B$316,BL36,'12 - Performance_Outputs_1'!$E$311:$G$315)</f>
        <v>0</v>
      </c>
      <c r="BW36" s="1885">
        <f ca="1">SUMIF('12 - Performance_Outputs_1'!$B$311:$B$316,BL36,'12 - Performance_Outputs_1'!$H$311:$H$315)</f>
        <v>0</v>
      </c>
      <c r="BX36" s="1884" t="str">
        <f t="shared" si="1"/>
        <v/>
      </c>
      <c r="BY36" s="1888" t="str">
        <f t="shared" si="2"/>
        <v/>
      </c>
      <c r="BZ36" s="1884" t="str">
        <f t="shared" si="3"/>
        <v/>
      </c>
      <c r="CA36" s="1888" t="str">
        <f t="shared" si="4"/>
        <v/>
      </c>
      <c r="CB36" s="1886" t="str">
        <f t="shared" ca="1" si="5"/>
        <v/>
      </c>
      <c r="CC36" s="1883" t="str">
        <f t="shared" ca="1" si="6"/>
        <v/>
      </c>
      <c r="CD36" s="1889" t="str">
        <f t="shared" ca="1" si="7"/>
        <v/>
      </c>
      <c r="CE36" s="1883" t="str">
        <f t="shared" ca="1" si="8"/>
        <v/>
      </c>
      <c r="CF36" s="1889" t="str">
        <f t="shared" ca="1" si="9"/>
        <v/>
      </c>
      <c r="CG36" s="1887" t="str">
        <f t="shared" ca="1" si="10"/>
        <v/>
      </c>
      <c r="CH36" s="4123" t="str">
        <f>IFERROR(IF($DD$1="4A",VLOOKUP(CH$4,'90.1-2004 Site EUI'!$A$3:$W$27,MATCH($BH36,'90.1-2004 Site EUI'!$A$4:$W$4,0),FALSE),IF($DD$1="5A",VLOOKUP(CH$4,'90.1-2004 Site EUI'!$A$29:$W$53,MATCH($BH36,'90.1-2004 Site EUI'!$A$30:$W$30,0),FALSE),IF($DD$1="6A",VLOOKUP(CH$4,'90.1-2004 Site EUI'!$A$55:$W$79,MATCH($BH36,'90.1-2004 Site EUI'!$A$56:$W$56,0),FALSE),""))),"")</f>
        <v/>
      </c>
      <c r="CI36" s="4123" t="str">
        <f>IFERROR(IF($DD$1="4A",VLOOKUP(CI$4,'90.1-2004 Site EUI'!$A$3:$W$27,MATCH($BH36,'90.1-2004 Site EUI'!$A$4:$W$4,0),FALSE),IF($DD$1="5A",VLOOKUP(CI$4,'90.1-2004 Site EUI'!$A$29:$W$53,MATCH($BH36,'90.1-2004 Site EUI'!$A$30:$W$30,0),FALSE),IF($DD$1="6A",VLOOKUP(CI$4,'90.1-2004 Site EUI'!$A$55:$W$79,MATCH($BH36,'90.1-2004 Site EUI'!$A$56:$W$56,0),FALSE),""))),"")</f>
        <v/>
      </c>
      <c r="CJ36" s="4123" t="str">
        <f>IFERROR(IF($DD$1="4A",VLOOKUP(CJ$4,'90.1-2004 Site EUI'!$A$3:$W$27,MATCH($BH36,'90.1-2004 Site EUI'!$A$4:$W$4,0),FALSE),IF($DD$1="5A",VLOOKUP(CJ$4,'90.1-2004 Site EUI'!$A$29:$W$53,MATCH($BH36,'90.1-2004 Site EUI'!$A$30:$W$30,0),FALSE),IF($DD$1="6A",VLOOKUP(CJ$4,'90.1-2004 Site EUI'!$A$55:$W$79,MATCH($BH36,'90.1-2004 Site EUI'!$A$56:$W$56,0),FALSE),""))),"")</f>
        <v/>
      </c>
      <c r="CK36" s="4123" t="str">
        <f>IFERROR(IF($DD$1="4A",VLOOKUP(CK$4,'90.1-2004 Site EUI'!$A$3:$W$27,MATCH($BH36,'90.1-2004 Site EUI'!$A$4:$W$4,0),FALSE),IF($DD$1="5A",VLOOKUP(CK$4,'90.1-2004 Site EUI'!$A$29:$W$53,MATCH($BH36,'90.1-2004 Site EUI'!$A$30:$W$30,0),FALSE),IF($DD$1="6A",VLOOKUP(CK$4,'90.1-2004 Site EUI'!$A$55:$W$79,MATCH($BH36,'90.1-2004 Site EUI'!$A$56:$W$56,0),FALSE),""))),"")</f>
        <v/>
      </c>
      <c r="CL36" s="4123" t="str">
        <f>IFERROR(IF($DD$1="4A",VLOOKUP(CL$4,'90.1-2004 Site EUI'!$A$3:$W$27,MATCH($BH36,'90.1-2004 Site EUI'!$A$4:$W$4,0),FALSE),IF($DD$1="5A",VLOOKUP(CL$4,'90.1-2004 Site EUI'!$A$29:$W$53,MATCH($BH36,'90.1-2004 Site EUI'!$A$30:$W$30,0),FALSE),IF($DD$1="6A",VLOOKUP(CL$4,'90.1-2004 Site EUI'!$A$55:$W$79,MATCH($BH36,'90.1-2004 Site EUI'!$A$56:$W$56,0),FALSE),""))),"")</f>
        <v/>
      </c>
      <c r="CM36" s="4123" t="str">
        <f>IFERROR(IF($DD$1="4A",VLOOKUP(CM$4,'90.1-2004 Site EUI'!$A$3:$W$27,MATCH($BH36,'90.1-2004 Site EUI'!$A$4:$W$4,0),FALSE),IF($DD$1="5A",VLOOKUP(CM$4,'90.1-2004 Site EUI'!$A$29:$W$53,MATCH($BH36,'90.1-2004 Site EUI'!$A$30:$W$30,0),FALSE),IF($DD$1="6A",VLOOKUP(CM$4,'90.1-2004 Site EUI'!$A$55:$W$79,MATCH($BH36,'90.1-2004 Site EUI'!$A$56:$W$56,0),FALSE),""))),"")</f>
        <v/>
      </c>
      <c r="CN36" s="4123" t="str">
        <f>IFERROR(IF($DD$1="4A",VLOOKUP(CN$4,'90.1-2004 Site EUI'!$A$3:$W$27,MATCH($BH36,'90.1-2004 Site EUI'!$A$4:$W$4,0),FALSE),IF($DD$1="5A",VLOOKUP(CN$4,'90.1-2004 Site EUI'!$A$29:$W$53,MATCH($BH36,'90.1-2004 Site EUI'!$A$30:$W$30,0),FALSE),IF($DD$1="6A",VLOOKUP(CN$4,'90.1-2004 Site EUI'!$A$55:$W$79,MATCH($BH36,'90.1-2004 Site EUI'!$A$56:$W$56,0),FALSE),""))),"")</f>
        <v/>
      </c>
      <c r="CO36" s="4123" t="e">
        <f>AVERAGE(CH36:CN37,CP36)</f>
        <v>#DIV/0!</v>
      </c>
      <c r="CP36" s="4123" t="str">
        <f>IFERROR(IF($DD$1="4A",VLOOKUP(CP$4,'90.1-2004 Site EUI'!$A$3:$W$27,MATCH($BH36,'90.1-2004 Site EUI'!$A$4:$W$4,0),FALSE),IF($DD$1="5A",VLOOKUP(CP$4,'90.1-2004 Site EUI'!$A$29:$W$53,MATCH($BH36,'90.1-2004 Site EUI'!$A$30:$W$30,0),FALSE),IF($DD$1="6A",VLOOKUP(CP$4,'90.1-2004 Site EUI'!$A$55:$W$79,MATCH($BH36,'90.1-2004 Site EUI'!$A$56:$W$56,0),FALSE),""))),"")</f>
        <v/>
      </c>
      <c r="CQ36" s="4123" t="str">
        <f>IFERROR(IF($DD$1="4A",VLOOKUP(CQ$4,'90.1-2013 Site EUI'!$A$3:$W$27,MATCH($BH36,'90.1-2013 Site EUI'!$A$4:$W$4,0),FALSE),IF($DD$1="5A",VLOOKUP(CQ$4,'90.1-2013 Site EUI'!$A$29:$W$53,MATCH($BH36,'90.1-2013 Site EUI'!$A$30:$W$30,0),FALSE),IF($DD$1="6A",VLOOKUP(CQ$4,'90.1-2013 Site EUI'!$A$55:$W$79,MATCH($BH36,'90.1-2013 Site EUI'!$A$56:$W$56,0),FALSE),""))),"")</f>
        <v/>
      </c>
      <c r="CR36" s="4123" t="str">
        <f>IFERROR(IF($DD$1="4A",VLOOKUP(CR$4,'90.1-2013 Site EUI'!$A$3:$W$27,MATCH($BH36,'90.1-2013 Site EUI'!$A$4:$W$4,0),FALSE),IF($DD$1="5A",VLOOKUP(CR$4,'90.1-2013 Site EUI'!$A$29:$W$53,MATCH($BH36,'90.1-2013 Site EUI'!$A$30:$W$30,0),FALSE),IF($DD$1="6A",VLOOKUP(CR$4,'90.1-2013 Site EUI'!$A$55:$W$79,MATCH($BH36,'90.1-2013 Site EUI'!$A$56:$W$56,0),FALSE),""))),"")</f>
        <v/>
      </c>
      <c r="CS36" s="4123" t="str">
        <f>IFERROR(IF($DD$1="4A",VLOOKUP(CS$4,'90.1-2013 Site EUI'!$A$3:$W$27,MATCH($BH36,'90.1-2013 Site EUI'!$A$4:$W$4,0),FALSE),IF($DD$1="5A",VLOOKUP(CS$4,'90.1-2013 Site EUI'!$A$29:$W$53,MATCH($BH36,'90.1-2013 Site EUI'!$A$30:$W$30,0),FALSE),IF($DD$1="6A",VLOOKUP(CS$4,'90.1-2013 Site EUI'!$A$55:$W$79,MATCH($BH36,'90.1-2013 Site EUI'!$A$56:$W$56,0),FALSE),""))),"")</f>
        <v/>
      </c>
      <c r="CT36" s="4123" t="str">
        <f>IFERROR(IF($DD$1="4A",VLOOKUP(CT$4,'90.1-2013 Site EUI'!$A$3:$W$27,MATCH($BH36,'90.1-2013 Site EUI'!$A$4:$W$4,0),FALSE),IF($DD$1="5A",VLOOKUP(CT$4,'90.1-2013 Site EUI'!$A$29:$W$53,MATCH($BH36,'90.1-2013 Site EUI'!$A$30:$W$30,0),FALSE),IF($DD$1="6A",VLOOKUP(CT$4,'90.1-2013 Site EUI'!$A$55:$W$79,MATCH($BH36,'90.1-2013 Site EUI'!$A$56:$W$56,0),FALSE),""))),"")</f>
        <v/>
      </c>
      <c r="CU36" s="4123" t="str">
        <f>IFERROR(IF($DD$1="4A",VLOOKUP(CU$4,'90.1-2013 Site EUI'!$A$3:$W$27,MATCH($BH36,'90.1-2013 Site EUI'!$A$4:$W$4,0),FALSE),IF($DD$1="5A",VLOOKUP(CU$4,'90.1-2013 Site EUI'!$A$29:$W$53,MATCH($BH36,'90.1-2013 Site EUI'!$A$30:$W$30,0),FALSE),IF($DD$1="6A",VLOOKUP(CU$4,'90.1-2013 Site EUI'!$A$55:$W$79,MATCH($BH36,'90.1-2013 Site EUI'!$A$56:$W$56,0),FALSE),""))),"")</f>
        <v/>
      </c>
      <c r="CV36" s="4123" t="str">
        <f>IFERROR(IF($DD$1="4A",VLOOKUP(CV$4,'90.1-2013 Site EUI'!$A$3:$W$27,MATCH($BH36,'90.1-2013 Site EUI'!$A$4:$W$4,0),FALSE),IF($DD$1="5A",VLOOKUP(CV$4,'90.1-2013 Site EUI'!$A$29:$W$53,MATCH($BH36,'90.1-2013 Site EUI'!$A$30:$W$30,0),FALSE),IF($DD$1="6A",VLOOKUP(CV$4,'90.1-2013 Site EUI'!$A$55:$W$79,MATCH($BH36,'90.1-2013 Site EUI'!$A$56:$W$56,0),FALSE),""))),"")</f>
        <v/>
      </c>
      <c r="CW36" s="4123" t="str">
        <f>IFERROR(IF($DD$1="4A",VLOOKUP(CW$4,'90.1-2013 Site EUI'!$A$3:$W$27,MATCH($BH36,'90.1-2013 Site EUI'!$A$4:$W$4,0),FALSE),IF($DD$1="5A",VLOOKUP(CW$4,'90.1-2013 Site EUI'!$A$29:$W$53,MATCH($BH36,'90.1-2013 Site EUI'!$A$30:$W$30,0),FALSE),IF($DD$1="6A",VLOOKUP(CW$4,'90.1-2013 Site EUI'!$A$55:$W$79,MATCH($BH36,'90.1-2013 Site EUI'!$A$56:$W$56,0),FALSE),""))),"")</f>
        <v/>
      </c>
      <c r="CX36" s="4123" t="e">
        <f>AVERAGE(CQ36:CW37,CY36)</f>
        <v>#DIV/0!</v>
      </c>
      <c r="CY36" s="4143" t="str">
        <f>IFERROR(IF($DD$1="4A",VLOOKUP(CY$4,'90.1-2013 Site EUI'!$A$3:$W$27,MATCH($BH36,'90.1-2013 Site EUI'!$A$4:$W$4,0),FALSE),IF($DD$1="5A",VLOOKUP(CY$4,'90.1-2013 Site EUI'!$A$29:$W$53,MATCH($BH36,'90.1-2013 Site EUI'!$A$30:$W$30,0),FALSE),IF($DD$1="6A",VLOOKUP(CY$4,'90.1-2013 Site EUI'!$A$55:$W$79,MATCH($BH36,'90.1-2013 Site EUI'!$A$56:$W$56,0),FALSE),""))),"")</f>
        <v/>
      </c>
      <c r="CZ36" s="4145" t="e">
        <f>SUMIF($CH$4:$CP$4,$DG$1,CH36:CP37)*$DI$1+SUMIF($CH$4:$CP$4,$DG$2,CH36:CP37)*$DI$2+SUMIF($CH$4:$CP$4,$DG$3,CH36:CP37)*$DI$3+SUMIF($CH$4:$CP$4,$DG$4,CH36:CP37)*$DI$4+SUMIF($CH$4:$CP$4,$DG$5,CH36:CP37)*$DI$5+SUMIF($CH$4:$CP$4,$DG$6,CH36:CP37)*$DI$6+SUMIF($CH$4:$CP$4,$DG$7,CH36:CP37)*$DI$7+SUMIF($CH$4:$CP$4,$DG$8,CH36:CP37)*$DI$8+SUMIF($CH$4:$CP$4,$DG$8,CH36:CP37)*$DI$8+SUMIF($CH$4:$CP$4,$DG$9,CH36:CP37)*$DI$9</f>
        <v>#DIV/0!</v>
      </c>
      <c r="DA36" s="4147" t="e">
        <f>SUMIF($CQ$4:$CY$4,$DG$1,CQ36:CY37)*$DI$1+SUMIF($CQ$4:$CY$4,$DG$2,CQ36:CY37)*$DI$2+SUMIF($CQ$4:$CY$4,$DG$3,CQ36:CY37)*$DI$3+SUMIF($CQ$4:$CY$4,$DG$4,CQ36:CY37)*$DI$4+SUMIF($CQ$4:$CY$4,$DG$5,CQ36:CY37)*$DI$5+SUMIF($CQ$4:$CY$4,$DG$6,CQ36:CY37)*$DI$6+SUMIF($CQ$4:$CY$4,$DG$7,CQ36:CY37)*$DI$7+SUMIF($CQ$4:$CY$4,$DG$8,CQ36:CY37)*$DI$8+SUMIF($CQ$4:$CY$4,$DG$9,CQ36:CY37)*$DI$9</f>
        <v>#DIV/0!</v>
      </c>
      <c r="DB36"/>
      <c r="DC36"/>
      <c r="DD36"/>
      <c r="DE36"/>
      <c r="DF36"/>
      <c r="DG36"/>
      <c r="DH36"/>
      <c r="DI36"/>
      <c r="DJ36"/>
      <c r="DK36"/>
    </row>
    <row r="37" spans="2:115" s="866" customFormat="1" x14ac:dyDescent="0.25">
      <c r="AJ37"/>
      <c r="AK37"/>
      <c r="AL37"/>
      <c r="AM37"/>
      <c r="AN37"/>
      <c r="AO37"/>
      <c r="AP37"/>
      <c r="AQ37"/>
      <c r="AR37"/>
      <c r="AS37"/>
      <c r="AT37"/>
      <c r="AU37"/>
      <c r="AV37"/>
      <c r="AW37"/>
      <c r="AX37"/>
      <c r="AY37"/>
      <c r="AZ37"/>
      <c r="BA37"/>
      <c r="BB37"/>
      <c r="BC37"/>
      <c r="BD37"/>
      <c r="BE37"/>
      <c r="BF37"/>
      <c r="BG37" s="4113"/>
      <c r="BH37" s="4115"/>
      <c r="BI37" s="4113"/>
      <c r="BJ37" s="4113"/>
      <c r="BK37" s="3855"/>
      <c r="BL37" s="3839"/>
      <c r="BM37" s="1299" t="str">
        <f>'12 - Performance_Outputs_1'!F269</f>
        <v/>
      </c>
      <c r="BN37" s="1782" t="str">
        <f>'12 - Performance_Outputs_1'!G269</f>
        <v/>
      </c>
      <c r="BO37" s="1782" t="str">
        <f ca="1">'12 - Performance_Outputs_1'!H269</f>
        <v/>
      </c>
      <c r="BP37" s="1877" t="str">
        <f ca="1">'12 - Performance_Outputs_1'!I269</f>
        <v/>
      </c>
      <c r="BQ37" s="3850"/>
      <c r="BR37" s="1880">
        <f>'12 - Performance_Outputs_1'!K269</f>
        <v>0</v>
      </c>
      <c r="BS37" s="1879">
        <f>'12 - Performance_Outputs_1'!M269</f>
        <v>0</v>
      </c>
      <c r="BT37" s="1882" t="str">
        <f>'12 - Performance_Outputs_1'!R269</f>
        <v/>
      </c>
      <c r="BU37" s="1882" t="str">
        <f>'12 - Performance_Outputs_1'!S269</f>
        <v/>
      </c>
      <c r="BV37" s="1885">
        <f ca="1">SUMIF('12 - Performance_Outputs_1'!$B$311:$B$316,BL37,'12 - Performance_Outputs_1'!$E$311:$G$315)</f>
        <v>0</v>
      </c>
      <c r="BW37" s="1885">
        <f ca="1">SUMIF('12 - Performance_Outputs_1'!$B$311:$B$316,BL37,'12 - Performance_Outputs_1'!$H$311:$H$315)</f>
        <v>0</v>
      </c>
      <c r="BX37" s="1884" t="str">
        <f t="shared" si="1"/>
        <v/>
      </c>
      <c r="BY37" s="1888" t="str">
        <f t="shared" si="2"/>
        <v/>
      </c>
      <c r="BZ37" s="1884" t="str">
        <f t="shared" si="3"/>
        <v/>
      </c>
      <c r="CA37" s="1888" t="str">
        <f t="shared" si="4"/>
        <v/>
      </c>
      <c r="CB37" s="1886" t="str">
        <f t="shared" ca="1" si="5"/>
        <v/>
      </c>
      <c r="CC37" s="1883" t="str">
        <f t="shared" ca="1" si="6"/>
        <v/>
      </c>
      <c r="CD37" s="1889" t="str">
        <f t="shared" ca="1" si="7"/>
        <v/>
      </c>
      <c r="CE37" s="1883" t="str">
        <f t="shared" ca="1" si="8"/>
        <v/>
      </c>
      <c r="CF37" s="1889" t="str">
        <f t="shared" ca="1" si="9"/>
        <v/>
      </c>
      <c r="CG37" s="1887" t="str">
        <f t="shared" ca="1" si="10"/>
        <v/>
      </c>
      <c r="CH37" s="4124"/>
      <c r="CI37" s="4124"/>
      <c r="CJ37" s="4124"/>
      <c r="CK37" s="4124"/>
      <c r="CL37" s="4124"/>
      <c r="CM37" s="4124"/>
      <c r="CN37" s="4124"/>
      <c r="CO37" s="4124"/>
      <c r="CP37" s="4124"/>
      <c r="CQ37" s="4124"/>
      <c r="CR37" s="4124"/>
      <c r="CS37" s="4124"/>
      <c r="CT37" s="4124"/>
      <c r="CU37" s="4124"/>
      <c r="CV37" s="4124"/>
      <c r="CW37" s="4124"/>
      <c r="CX37" s="4124"/>
      <c r="CY37" s="4144"/>
      <c r="CZ37" s="4146"/>
      <c r="DA37" s="4148"/>
      <c r="DB37"/>
      <c r="DC37"/>
      <c r="DD37"/>
      <c r="DE37"/>
      <c r="DF37"/>
      <c r="DG37"/>
      <c r="DH37"/>
      <c r="DI37"/>
      <c r="DJ37"/>
      <c r="DK37"/>
    </row>
    <row r="38" spans="2:115" s="866" customFormat="1" x14ac:dyDescent="0.25">
      <c r="AJ38"/>
      <c r="AK38"/>
      <c r="AL38"/>
      <c r="AM38"/>
      <c r="AN38"/>
      <c r="AO38"/>
      <c r="AP38"/>
      <c r="AQ38"/>
      <c r="AR38"/>
      <c r="AS38"/>
      <c r="AT38"/>
      <c r="AU38"/>
      <c r="AV38"/>
      <c r="AW38"/>
      <c r="AX38"/>
      <c r="AY38"/>
      <c r="AZ38"/>
      <c r="BA38"/>
      <c r="BB38"/>
      <c r="BC38"/>
      <c r="BD38"/>
      <c r="BE38"/>
      <c r="BF38"/>
      <c r="BG38" s="4112" t="str">
        <f>IF(BK38="","Other Regulated","Other Non-Regulated")</f>
        <v>Other Non-Regulated</v>
      </c>
      <c r="BH38" s="4114" t="s">
        <v>2635</v>
      </c>
      <c r="BI38" s="4112" t="str">
        <f>'12 - Performance_Outputs_1'!B270</f>
        <v>Misc Equipment</v>
      </c>
      <c r="BJ38" s="4113"/>
      <c r="BK38" s="3855" t="str">
        <f>'12 - Performance_Outputs_1'!D270</f>
        <v>x</v>
      </c>
      <c r="BL38" s="3839" t="str">
        <f>'12 - Performance_Outputs_1'!E270</f>
        <v>Electricity</v>
      </c>
      <c r="BM38" s="1299" t="str">
        <f>'12 - Performance_Outputs_1'!F270</f>
        <v/>
      </c>
      <c r="BN38" s="1782" t="str">
        <f>'12 - Performance_Outputs_1'!G270</f>
        <v/>
      </c>
      <c r="BO38" s="1782" t="str">
        <f ca="1">'12 - Performance_Outputs_1'!H270</f>
        <v/>
      </c>
      <c r="BP38" s="1877" t="str">
        <f ca="1">'12 - Performance_Outputs_1'!I270</f>
        <v/>
      </c>
      <c r="BQ38" s="3849" t="str">
        <f ca="1">'12 - Performance_Outputs_1'!J270</f>
        <v/>
      </c>
      <c r="BR38" s="1880" t="str">
        <f ca="1">'12 - Performance_Outputs_1'!K270</f>
        <v/>
      </c>
      <c r="BS38" s="1879" t="str">
        <f ca="1">'12 - Performance_Outputs_1'!M270</f>
        <v/>
      </c>
      <c r="BT38" s="1882" t="str">
        <f>'12 - Performance_Outputs_1'!R270</f>
        <v/>
      </c>
      <c r="BU38" s="1882" t="str">
        <f>'12 - Performance_Outputs_1'!S270</f>
        <v/>
      </c>
      <c r="BV38" s="1885">
        <f ca="1">SUMIF('12 - Performance_Outputs_1'!$B$311:$B$316,BL38,'12 - Performance_Outputs_1'!$E$311:$G$315)</f>
        <v>0</v>
      </c>
      <c r="BW38" s="1885">
        <f ca="1">SUMIF('12 - Performance_Outputs_1'!$B$311:$B$316,BL38,'12 - Performance_Outputs_1'!$H$311:$H$315)</f>
        <v>0</v>
      </c>
      <c r="BX38" s="1884" t="str">
        <f t="shared" ref="BX38:BX60" si="38">IFERROR(BN38*BT38,"")</f>
        <v/>
      </c>
      <c r="BY38" s="1888" t="str">
        <f t="shared" ref="BY38:BY60" si="39">IFERROR((BX38*1000)/$DD$2,"")</f>
        <v/>
      </c>
      <c r="BZ38" s="1884" t="str">
        <f t="shared" ref="BZ38:BZ60" si="40">IFERROR(BN38*BU38,"")</f>
        <v/>
      </c>
      <c r="CA38" s="1888" t="str">
        <f t="shared" ref="CA38:CA60" si="41">IFERROR((BZ38*1000)/$DD$2,"")</f>
        <v/>
      </c>
      <c r="CB38" s="1886" t="str">
        <f t="shared" ref="CB38:CB60" ca="1" si="42">IFERROR(BN38*BV38,"")</f>
        <v/>
      </c>
      <c r="CC38" s="1883" t="str">
        <f t="shared" ref="CC38:CC60" ca="1" si="43">IFERROR(BO38*BT38,"")</f>
        <v/>
      </c>
      <c r="CD38" s="1889" t="str">
        <f t="shared" ref="CD38:CD60" ca="1" si="44">IFERROR((CC38*1000)/$DD$2,"")</f>
        <v/>
      </c>
      <c r="CE38" s="1883" t="str">
        <f t="shared" ref="CE38:CE60" ca="1" si="45">IFERROR(BO38*BU38,"")</f>
        <v/>
      </c>
      <c r="CF38" s="1889" t="str">
        <f t="shared" ref="CF38:CF60" ca="1" si="46">IFERROR((CE38*1000)/$DD$2,"")</f>
        <v/>
      </c>
      <c r="CG38" s="1887" t="str">
        <f t="shared" ref="CG38:CG60" ca="1" si="47">IFERROR(BO38*BW38,"")</f>
        <v/>
      </c>
      <c r="CH38" s="4110"/>
      <c r="CI38" s="4110"/>
      <c r="CJ38" s="4110"/>
      <c r="CK38" s="4110"/>
      <c r="CL38" s="4110"/>
      <c r="CM38" s="4110"/>
      <c r="CN38" s="4110"/>
      <c r="CO38" s="4110"/>
      <c r="CP38" s="4110"/>
      <c r="CQ38" s="4110"/>
      <c r="CR38" s="4110"/>
      <c r="CS38" s="4110"/>
      <c r="CT38" s="4110"/>
      <c r="CU38" s="4110"/>
      <c r="CV38" s="4110"/>
      <c r="CW38" s="4110"/>
      <c r="CX38" s="4110"/>
      <c r="CY38" s="4139"/>
      <c r="CZ38" s="4141"/>
      <c r="DA38" s="4137"/>
      <c r="DB38"/>
      <c r="DC38"/>
      <c r="DD38"/>
      <c r="DE38"/>
      <c r="DF38"/>
      <c r="DG38"/>
      <c r="DH38"/>
      <c r="DI38"/>
      <c r="DJ38"/>
      <c r="DK38"/>
    </row>
    <row r="39" spans="2:115" s="866" customFormat="1" x14ac:dyDescent="0.25">
      <c r="AJ39"/>
      <c r="AK39"/>
      <c r="AL39"/>
      <c r="AM39"/>
      <c r="AN39"/>
      <c r="AO39"/>
      <c r="AP39"/>
      <c r="AQ39"/>
      <c r="AR39"/>
      <c r="AS39"/>
      <c r="AT39"/>
      <c r="AU39"/>
      <c r="AV39"/>
      <c r="AW39"/>
      <c r="AX39"/>
      <c r="AY39"/>
      <c r="AZ39"/>
      <c r="BA39"/>
      <c r="BB39"/>
      <c r="BC39"/>
      <c r="BD39"/>
      <c r="BE39"/>
      <c r="BF39"/>
      <c r="BG39" s="4113"/>
      <c r="BH39" s="4115"/>
      <c r="BI39" s="4113"/>
      <c r="BJ39" s="4113"/>
      <c r="BK39" s="3855"/>
      <c r="BL39" s="3839"/>
      <c r="BM39" s="1299" t="str">
        <f>'12 - Performance_Outputs_1'!F271</f>
        <v/>
      </c>
      <c r="BN39" s="1782" t="str">
        <f>'12 - Performance_Outputs_1'!G271</f>
        <v/>
      </c>
      <c r="BO39" s="1782" t="str">
        <f ca="1">'12 - Performance_Outputs_1'!H271</f>
        <v/>
      </c>
      <c r="BP39" s="1877" t="str">
        <f ca="1">'12 - Performance_Outputs_1'!I271</f>
        <v/>
      </c>
      <c r="BQ39" s="3850"/>
      <c r="BR39" s="1880">
        <f>'12 - Performance_Outputs_1'!K271</f>
        <v>0</v>
      </c>
      <c r="BS39" s="1879">
        <f>'12 - Performance_Outputs_1'!M271</f>
        <v>0</v>
      </c>
      <c r="BT39" s="1882" t="str">
        <f>'12 - Performance_Outputs_1'!R271</f>
        <v/>
      </c>
      <c r="BU39" s="1882" t="str">
        <f>'12 - Performance_Outputs_1'!S271</f>
        <v/>
      </c>
      <c r="BV39" s="1885">
        <f ca="1">SUMIF('12 - Performance_Outputs_1'!$B$311:$B$316,BL39,'12 - Performance_Outputs_1'!$E$311:$G$315)</f>
        <v>0</v>
      </c>
      <c r="BW39" s="1885">
        <f ca="1">SUMIF('12 - Performance_Outputs_1'!$B$311:$B$316,BL39,'12 - Performance_Outputs_1'!$H$311:$H$315)</f>
        <v>0</v>
      </c>
      <c r="BX39" s="1884" t="str">
        <f t="shared" si="38"/>
        <v/>
      </c>
      <c r="BY39" s="1888" t="str">
        <f t="shared" si="39"/>
        <v/>
      </c>
      <c r="BZ39" s="1884" t="str">
        <f t="shared" si="40"/>
        <v/>
      </c>
      <c r="CA39" s="1888" t="str">
        <f t="shared" si="41"/>
        <v/>
      </c>
      <c r="CB39" s="1886" t="str">
        <f t="shared" ca="1" si="42"/>
        <v/>
      </c>
      <c r="CC39" s="1883" t="str">
        <f t="shared" ca="1" si="43"/>
        <v/>
      </c>
      <c r="CD39" s="1889" t="str">
        <f t="shared" ca="1" si="44"/>
        <v/>
      </c>
      <c r="CE39" s="1883" t="str">
        <f t="shared" ca="1" si="45"/>
        <v/>
      </c>
      <c r="CF39" s="1889" t="str">
        <f t="shared" ca="1" si="46"/>
        <v/>
      </c>
      <c r="CG39" s="1887" t="str">
        <f t="shared" ca="1" si="47"/>
        <v/>
      </c>
      <c r="CH39" s="4111"/>
      <c r="CI39" s="4111"/>
      <c r="CJ39" s="4111"/>
      <c r="CK39" s="4111"/>
      <c r="CL39" s="4111"/>
      <c r="CM39" s="4111"/>
      <c r="CN39" s="4111"/>
      <c r="CO39" s="4111"/>
      <c r="CP39" s="4111"/>
      <c r="CQ39" s="4111"/>
      <c r="CR39" s="4111"/>
      <c r="CS39" s="4111"/>
      <c r="CT39" s="4111"/>
      <c r="CU39" s="4111"/>
      <c r="CV39" s="4111"/>
      <c r="CW39" s="4111"/>
      <c r="CX39" s="4111"/>
      <c r="CY39" s="4140"/>
      <c r="CZ39" s="4142"/>
      <c r="DA39" s="4138"/>
      <c r="DB39"/>
      <c r="DC39"/>
      <c r="DD39"/>
      <c r="DE39"/>
      <c r="DF39"/>
      <c r="DG39"/>
      <c r="DH39"/>
      <c r="DI39"/>
      <c r="DJ39"/>
      <c r="DK39"/>
    </row>
    <row r="40" spans="2:115" s="866" customFormat="1" x14ac:dyDescent="0.25">
      <c r="AJ40"/>
      <c r="AK40"/>
      <c r="AL40"/>
      <c r="AM40"/>
      <c r="AN40"/>
      <c r="AO40"/>
      <c r="AP40"/>
      <c r="AQ40"/>
      <c r="AR40"/>
      <c r="AS40"/>
      <c r="AT40"/>
      <c r="AU40"/>
      <c r="AV40"/>
      <c r="AW40"/>
      <c r="AX40"/>
      <c r="AY40"/>
      <c r="AZ40"/>
      <c r="BA40"/>
      <c r="BB40"/>
      <c r="BC40"/>
      <c r="BD40"/>
      <c r="BE40"/>
      <c r="BF40"/>
      <c r="BG40" s="4112" t="str">
        <f>IF(BK40="","Other Regulated","Other Non-Regulated")</f>
        <v>Other Non-Regulated</v>
      </c>
      <c r="BH40" s="4114" t="s">
        <v>910</v>
      </c>
      <c r="BI40" s="4112" t="str">
        <f>'12 - Performance_Outputs_1'!B272</f>
        <v>Misc Equipment</v>
      </c>
      <c r="BJ40" s="4113"/>
      <c r="BK40" s="3855" t="str">
        <f>'12 - Performance_Outputs_1'!D272</f>
        <v>x</v>
      </c>
      <c r="BL40" s="3839" t="str">
        <f>'12 - Performance_Outputs_1'!E272</f>
        <v>Natural Gas</v>
      </c>
      <c r="BM40" s="1299" t="str">
        <f>'12 - Performance_Outputs_1'!F272</f>
        <v/>
      </c>
      <c r="BN40" s="1782" t="str">
        <f>'12 - Performance_Outputs_1'!G272</f>
        <v/>
      </c>
      <c r="BO40" s="1782" t="str">
        <f ca="1">'12 - Performance_Outputs_1'!H272</f>
        <v/>
      </c>
      <c r="BP40" s="1877" t="str">
        <f ca="1">'12 - Performance_Outputs_1'!I272</f>
        <v/>
      </c>
      <c r="BQ40" s="3849" t="str">
        <f ca="1">'12 - Performance_Outputs_1'!J272</f>
        <v/>
      </c>
      <c r="BR40" s="1880" t="str">
        <f ca="1">'12 - Performance_Outputs_1'!K272</f>
        <v/>
      </c>
      <c r="BS40" s="1879" t="str">
        <f ca="1">'12 - Performance_Outputs_1'!M272</f>
        <v/>
      </c>
      <c r="BT40" s="1882" t="str">
        <f>'12 - Performance_Outputs_1'!R272</f>
        <v/>
      </c>
      <c r="BU40" s="1882" t="str">
        <f>'12 - Performance_Outputs_1'!S272</f>
        <v/>
      </c>
      <c r="BV40" s="1885">
        <f ca="1">SUMIF('12 - Performance_Outputs_1'!$B$311:$B$316,BL40,'12 - Performance_Outputs_1'!$E$311:$G$315)</f>
        <v>0</v>
      </c>
      <c r="BW40" s="1885">
        <f ca="1">SUMIF('12 - Performance_Outputs_1'!$B$311:$B$316,BL40,'12 - Performance_Outputs_1'!$H$311:$H$315)</f>
        <v>0</v>
      </c>
      <c r="BX40" s="1884" t="str">
        <f t="shared" si="38"/>
        <v/>
      </c>
      <c r="BY40" s="1888" t="str">
        <f t="shared" si="39"/>
        <v/>
      </c>
      <c r="BZ40" s="1884" t="str">
        <f t="shared" si="40"/>
        <v/>
      </c>
      <c r="CA40" s="1888" t="str">
        <f t="shared" si="41"/>
        <v/>
      </c>
      <c r="CB40" s="1886" t="str">
        <f t="shared" ca="1" si="42"/>
        <v/>
      </c>
      <c r="CC40" s="1883" t="str">
        <f t="shared" ca="1" si="43"/>
        <v/>
      </c>
      <c r="CD40" s="1889" t="str">
        <f t="shared" ca="1" si="44"/>
        <v/>
      </c>
      <c r="CE40" s="1883" t="str">
        <f t="shared" ca="1" si="45"/>
        <v/>
      </c>
      <c r="CF40" s="1889" t="str">
        <f t="shared" ca="1" si="46"/>
        <v/>
      </c>
      <c r="CG40" s="1887" t="str">
        <f t="shared" ca="1" si="47"/>
        <v/>
      </c>
      <c r="CH40" s="4123" t="str">
        <f>IFERROR(IF($DD$1="4A",VLOOKUP(CH$4,'90.1-2004 Site EUI'!$A$3:$W$27,MATCH($BH40,'90.1-2004 Site EUI'!$A$4:$W$4,0),FALSE),IF($DD$1="5A",VLOOKUP(CH$4,'90.1-2004 Site EUI'!$A$29:$W$53,MATCH($BH40,'90.1-2004 Site EUI'!$A$30:$W$30,0),FALSE),IF($DD$1="6A",VLOOKUP(CH$4,'90.1-2004 Site EUI'!$A$55:$W$79,MATCH($BH40,'90.1-2004 Site EUI'!$A$56:$W$56,0),FALSE),""))),"")</f>
        <v/>
      </c>
      <c r="CI40" s="4123" t="str">
        <f>IFERROR(IF($DD$1="4A",VLOOKUP(CI$4,'90.1-2004 Site EUI'!$A$3:$W$27,MATCH($BH40,'90.1-2004 Site EUI'!$A$4:$W$4,0),FALSE),IF($DD$1="5A",VLOOKUP(CI$4,'90.1-2004 Site EUI'!$A$29:$W$53,MATCH($BH40,'90.1-2004 Site EUI'!$A$30:$W$30,0),FALSE),IF($DD$1="6A",VLOOKUP(CI$4,'90.1-2004 Site EUI'!$A$55:$W$79,MATCH($BH40,'90.1-2004 Site EUI'!$A$56:$W$56,0),FALSE),""))),"")</f>
        <v/>
      </c>
      <c r="CJ40" s="4123" t="str">
        <f>IFERROR(IF($DD$1="4A",VLOOKUP(CJ$4,'90.1-2004 Site EUI'!$A$3:$W$27,MATCH($BH40,'90.1-2004 Site EUI'!$A$4:$W$4,0),FALSE),IF($DD$1="5A",VLOOKUP(CJ$4,'90.1-2004 Site EUI'!$A$29:$W$53,MATCH($BH40,'90.1-2004 Site EUI'!$A$30:$W$30,0),FALSE),IF($DD$1="6A",VLOOKUP(CJ$4,'90.1-2004 Site EUI'!$A$55:$W$79,MATCH($BH40,'90.1-2004 Site EUI'!$A$56:$W$56,0),FALSE),""))),"")</f>
        <v/>
      </c>
      <c r="CK40" s="4123" t="str">
        <f>IFERROR(IF($DD$1="4A",VLOOKUP(CK$4,'90.1-2004 Site EUI'!$A$3:$W$27,MATCH($BH40,'90.1-2004 Site EUI'!$A$4:$W$4,0),FALSE),IF($DD$1="5A",VLOOKUP(CK$4,'90.1-2004 Site EUI'!$A$29:$W$53,MATCH($BH40,'90.1-2004 Site EUI'!$A$30:$W$30,0),FALSE),IF($DD$1="6A",VLOOKUP(CK$4,'90.1-2004 Site EUI'!$A$55:$W$79,MATCH($BH40,'90.1-2004 Site EUI'!$A$56:$W$56,0),FALSE),""))),"")</f>
        <v/>
      </c>
      <c r="CL40" s="4123" t="str">
        <f>IFERROR(IF($DD$1="4A",VLOOKUP(CL$4,'90.1-2004 Site EUI'!$A$3:$W$27,MATCH($BH40,'90.1-2004 Site EUI'!$A$4:$W$4,0),FALSE),IF($DD$1="5A",VLOOKUP(CL$4,'90.1-2004 Site EUI'!$A$29:$W$53,MATCH($BH40,'90.1-2004 Site EUI'!$A$30:$W$30,0),FALSE),IF($DD$1="6A",VLOOKUP(CL$4,'90.1-2004 Site EUI'!$A$55:$W$79,MATCH($BH40,'90.1-2004 Site EUI'!$A$56:$W$56,0),FALSE),""))),"")</f>
        <v/>
      </c>
      <c r="CM40" s="4123" t="str">
        <f>IFERROR(IF($DD$1="4A",VLOOKUP(CM$4,'90.1-2004 Site EUI'!$A$3:$W$27,MATCH($BH40,'90.1-2004 Site EUI'!$A$4:$W$4,0),FALSE),IF($DD$1="5A",VLOOKUP(CM$4,'90.1-2004 Site EUI'!$A$29:$W$53,MATCH($BH40,'90.1-2004 Site EUI'!$A$30:$W$30,0),FALSE),IF($DD$1="6A",VLOOKUP(CM$4,'90.1-2004 Site EUI'!$A$55:$W$79,MATCH($BH40,'90.1-2004 Site EUI'!$A$56:$W$56,0),FALSE),""))),"")</f>
        <v/>
      </c>
      <c r="CN40" s="4123" t="str">
        <f>IFERROR(IF($DD$1="4A",VLOOKUP(CN$4,'90.1-2004 Site EUI'!$A$3:$W$27,MATCH($BH40,'90.1-2004 Site EUI'!$A$4:$W$4,0),FALSE),IF($DD$1="5A",VLOOKUP(CN$4,'90.1-2004 Site EUI'!$A$29:$W$53,MATCH($BH40,'90.1-2004 Site EUI'!$A$30:$W$30,0),FALSE),IF($DD$1="6A",VLOOKUP(CN$4,'90.1-2004 Site EUI'!$A$55:$W$79,MATCH($BH40,'90.1-2004 Site EUI'!$A$56:$W$56,0),FALSE),""))),"")</f>
        <v/>
      </c>
      <c r="CO40" s="4123" t="e">
        <f>AVERAGE(CH40:CN41,CP40)</f>
        <v>#DIV/0!</v>
      </c>
      <c r="CP40" s="4123" t="str">
        <f>IFERROR(IF($DD$1="4A",VLOOKUP(CP$4,'90.1-2004 Site EUI'!$A$3:$W$27,MATCH($BH40,'90.1-2004 Site EUI'!$A$4:$W$4,0),FALSE),IF($DD$1="5A",VLOOKUP(CP$4,'90.1-2004 Site EUI'!$A$29:$W$53,MATCH($BH40,'90.1-2004 Site EUI'!$A$30:$W$30,0),FALSE),IF($DD$1="6A",VLOOKUP(CP$4,'90.1-2004 Site EUI'!$A$55:$W$79,MATCH($BH40,'90.1-2004 Site EUI'!$A$56:$W$56,0),FALSE),""))),"")</f>
        <v/>
      </c>
      <c r="CQ40" s="4123" t="str">
        <f>IFERROR(IF($DD$1="4A",VLOOKUP(CQ$4,'90.1-2013 Site EUI'!$A$3:$W$27,MATCH($BH40,'90.1-2013 Site EUI'!$A$4:$W$4,0),FALSE),IF($DD$1="5A",VLOOKUP(CQ$4,'90.1-2013 Site EUI'!$A$29:$W$53,MATCH($BH40,'90.1-2013 Site EUI'!$A$30:$W$30,0),FALSE),IF($DD$1="6A",VLOOKUP(CQ$4,'90.1-2013 Site EUI'!$A$55:$W$79,MATCH($BH40,'90.1-2013 Site EUI'!$A$56:$W$56,0),FALSE),""))),"")</f>
        <v/>
      </c>
      <c r="CR40" s="4123" t="str">
        <f>IFERROR(IF($DD$1="4A",VLOOKUP(CR$4,'90.1-2013 Site EUI'!$A$3:$W$27,MATCH($BH40,'90.1-2013 Site EUI'!$A$4:$W$4,0),FALSE),IF($DD$1="5A",VLOOKUP(CR$4,'90.1-2013 Site EUI'!$A$29:$W$53,MATCH($BH40,'90.1-2013 Site EUI'!$A$30:$W$30,0),FALSE),IF($DD$1="6A",VLOOKUP(CR$4,'90.1-2013 Site EUI'!$A$55:$W$79,MATCH($BH40,'90.1-2013 Site EUI'!$A$56:$W$56,0),FALSE),""))),"")</f>
        <v/>
      </c>
      <c r="CS40" s="4123" t="str">
        <f>IFERROR(IF($DD$1="4A",VLOOKUP(CS$4,'90.1-2013 Site EUI'!$A$3:$W$27,MATCH($BH40,'90.1-2013 Site EUI'!$A$4:$W$4,0),FALSE),IF($DD$1="5A",VLOOKUP(CS$4,'90.1-2013 Site EUI'!$A$29:$W$53,MATCH($BH40,'90.1-2013 Site EUI'!$A$30:$W$30,0),FALSE),IF($DD$1="6A",VLOOKUP(CS$4,'90.1-2013 Site EUI'!$A$55:$W$79,MATCH($BH40,'90.1-2013 Site EUI'!$A$56:$W$56,0),FALSE),""))),"")</f>
        <v/>
      </c>
      <c r="CT40" s="4123" t="str">
        <f>IFERROR(IF($DD$1="4A",VLOOKUP(CT$4,'90.1-2013 Site EUI'!$A$3:$W$27,MATCH($BH40,'90.1-2013 Site EUI'!$A$4:$W$4,0),FALSE),IF($DD$1="5A",VLOOKUP(CT$4,'90.1-2013 Site EUI'!$A$29:$W$53,MATCH($BH40,'90.1-2013 Site EUI'!$A$30:$W$30,0),FALSE),IF($DD$1="6A",VLOOKUP(CT$4,'90.1-2013 Site EUI'!$A$55:$W$79,MATCH($BH40,'90.1-2013 Site EUI'!$A$56:$W$56,0),FALSE),""))),"")</f>
        <v/>
      </c>
      <c r="CU40" s="4123" t="str">
        <f>IFERROR(IF($DD$1="4A",VLOOKUP(CU$4,'90.1-2013 Site EUI'!$A$3:$W$27,MATCH($BH40,'90.1-2013 Site EUI'!$A$4:$W$4,0),FALSE),IF($DD$1="5A",VLOOKUP(CU$4,'90.1-2013 Site EUI'!$A$29:$W$53,MATCH($BH40,'90.1-2013 Site EUI'!$A$30:$W$30,0),FALSE),IF($DD$1="6A",VLOOKUP(CU$4,'90.1-2013 Site EUI'!$A$55:$W$79,MATCH($BH40,'90.1-2013 Site EUI'!$A$56:$W$56,0),FALSE),""))),"")</f>
        <v/>
      </c>
      <c r="CV40" s="4123" t="str">
        <f>IFERROR(IF($DD$1="4A",VLOOKUP(CV$4,'90.1-2013 Site EUI'!$A$3:$W$27,MATCH($BH40,'90.1-2013 Site EUI'!$A$4:$W$4,0),FALSE),IF($DD$1="5A",VLOOKUP(CV$4,'90.1-2013 Site EUI'!$A$29:$W$53,MATCH($BH40,'90.1-2013 Site EUI'!$A$30:$W$30,0),FALSE),IF($DD$1="6A",VLOOKUP(CV$4,'90.1-2013 Site EUI'!$A$55:$W$79,MATCH($BH40,'90.1-2013 Site EUI'!$A$56:$W$56,0),FALSE),""))),"")</f>
        <v/>
      </c>
      <c r="CW40" s="4123" t="str">
        <f>IFERROR(IF($DD$1="4A",VLOOKUP(CW$4,'90.1-2013 Site EUI'!$A$3:$W$27,MATCH($BH40,'90.1-2013 Site EUI'!$A$4:$W$4,0),FALSE),IF($DD$1="5A",VLOOKUP(CW$4,'90.1-2013 Site EUI'!$A$29:$W$53,MATCH($BH40,'90.1-2013 Site EUI'!$A$30:$W$30,0),FALSE),IF($DD$1="6A",VLOOKUP(CW$4,'90.1-2013 Site EUI'!$A$55:$W$79,MATCH($BH40,'90.1-2013 Site EUI'!$A$56:$W$56,0),FALSE),""))),"")</f>
        <v/>
      </c>
      <c r="CX40" s="4123" t="e">
        <f>AVERAGE(CQ40:CW41,CY40)</f>
        <v>#DIV/0!</v>
      </c>
      <c r="CY40" s="4143" t="str">
        <f>IFERROR(IF($DD$1="4A",VLOOKUP(CY$4,'90.1-2013 Site EUI'!$A$3:$W$27,MATCH($BH40,'90.1-2013 Site EUI'!$A$4:$W$4,0),FALSE),IF($DD$1="5A",VLOOKUP(CY$4,'90.1-2013 Site EUI'!$A$29:$W$53,MATCH($BH40,'90.1-2013 Site EUI'!$A$30:$W$30,0),FALSE),IF($DD$1="6A",VLOOKUP(CY$4,'90.1-2013 Site EUI'!$A$55:$W$79,MATCH($BH40,'90.1-2013 Site EUI'!$A$56:$W$56,0),FALSE),""))),"")</f>
        <v/>
      </c>
      <c r="CZ40" s="4145" t="e">
        <f>SUMIF($CH$4:$CP$4,$DG$1,CH40:CP41)*$DI$1+SUMIF($CH$4:$CP$4,$DG$2,CH40:CP41)*$DI$2+SUMIF($CH$4:$CP$4,$DG$3,CH40:CP41)*$DI$3+SUMIF($CH$4:$CP$4,$DG$4,CH40:CP41)*$DI$4+SUMIF($CH$4:$CP$4,$DG$5,CH40:CP41)*$DI$5+SUMIF($CH$4:$CP$4,$DG$6,CH40:CP41)*$DI$6+SUMIF($CH$4:$CP$4,$DG$7,CH40:CP41)*$DI$7+SUMIF($CH$4:$CP$4,$DG$8,CH40:CP41)*$DI$8+SUMIF($CH$4:$CP$4,$DG$8,CH40:CP41)*$DI$8+SUMIF($CH$4:$CP$4,$DG$9,CH40:CP41)*$DI$9</f>
        <v>#DIV/0!</v>
      </c>
      <c r="DA40" s="4147" t="e">
        <f>SUMIF($CQ$4:$CY$4,$DG$1,CQ40:CY41)*$DI$1+SUMIF($CQ$4:$CY$4,$DG$2,CQ40:CY41)*$DI$2+SUMIF($CQ$4:$CY$4,$DG$3,CQ40:CY41)*$DI$3+SUMIF($CQ$4:$CY$4,$DG$4,CQ40:CY41)*$DI$4+SUMIF($CQ$4:$CY$4,$DG$5,CQ40:CY41)*$DI$5+SUMIF($CQ$4:$CY$4,$DG$6,CQ40:CY41)*$DI$6+SUMIF($CQ$4:$CY$4,$DG$7,CQ40:CY41)*$DI$7+SUMIF($CQ$4:$CY$4,$DG$8,CQ40:CY41)*$DI$8+SUMIF($CQ$4:$CY$4,$DG$9,CQ40:CY41)*$DI$9</f>
        <v>#DIV/0!</v>
      </c>
      <c r="DB40"/>
      <c r="DC40"/>
      <c r="DD40"/>
      <c r="DE40"/>
      <c r="DF40"/>
      <c r="DG40"/>
      <c r="DH40"/>
      <c r="DI40"/>
      <c r="DJ40"/>
      <c r="DK40"/>
    </row>
    <row r="41" spans="2:115" s="866" customFormat="1" x14ac:dyDescent="0.25">
      <c r="AJ41"/>
      <c r="AK41"/>
      <c r="AL41"/>
      <c r="AM41"/>
      <c r="AN41"/>
      <c r="AO41"/>
      <c r="AP41"/>
      <c r="AQ41"/>
      <c r="AR41"/>
      <c r="AS41"/>
      <c r="AT41"/>
      <c r="AU41"/>
      <c r="AV41"/>
      <c r="AW41"/>
      <c r="AX41"/>
      <c r="AY41"/>
      <c r="AZ41"/>
      <c r="BA41"/>
      <c r="BB41"/>
      <c r="BC41"/>
      <c r="BD41"/>
      <c r="BE41"/>
      <c r="BF41"/>
      <c r="BG41" s="4113"/>
      <c r="BH41" s="4115"/>
      <c r="BI41" s="4113"/>
      <c r="BJ41" s="4113"/>
      <c r="BK41" s="3855"/>
      <c r="BL41" s="3839"/>
      <c r="BM41" s="1299" t="str">
        <f>'12 - Performance_Outputs_1'!F273</f>
        <v/>
      </c>
      <c r="BN41" s="1782" t="str">
        <f>'12 - Performance_Outputs_1'!G273</f>
        <v/>
      </c>
      <c r="BO41" s="1782" t="str">
        <f ca="1">'12 - Performance_Outputs_1'!H273</f>
        <v/>
      </c>
      <c r="BP41" s="1877" t="str">
        <f ca="1">'12 - Performance_Outputs_1'!I273</f>
        <v/>
      </c>
      <c r="BQ41" s="3850"/>
      <c r="BR41" s="1880">
        <f>'12 - Performance_Outputs_1'!K273</f>
        <v>0</v>
      </c>
      <c r="BS41" s="1879">
        <f>'12 - Performance_Outputs_1'!M273</f>
        <v>0</v>
      </c>
      <c r="BT41" s="1882" t="str">
        <f>'12 - Performance_Outputs_1'!R273</f>
        <v/>
      </c>
      <c r="BU41" s="1882" t="str">
        <f>'12 - Performance_Outputs_1'!S273</f>
        <v/>
      </c>
      <c r="BV41" s="1885">
        <f ca="1">SUMIF('12 - Performance_Outputs_1'!$B$311:$B$316,BL41,'12 - Performance_Outputs_1'!$E$311:$G$315)</f>
        <v>0</v>
      </c>
      <c r="BW41" s="1885">
        <f ca="1">SUMIF('12 - Performance_Outputs_1'!$B$311:$B$316,BL41,'12 - Performance_Outputs_1'!$H$311:$H$315)</f>
        <v>0</v>
      </c>
      <c r="BX41" s="1884" t="str">
        <f t="shared" si="38"/>
        <v/>
      </c>
      <c r="BY41" s="1888" t="str">
        <f t="shared" si="39"/>
        <v/>
      </c>
      <c r="BZ41" s="1884" t="str">
        <f t="shared" si="40"/>
        <v/>
      </c>
      <c r="CA41" s="1888" t="str">
        <f t="shared" si="41"/>
        <v/>
      </c>
      <c r="CB41" s="1886" t="str">
        <f t="shared" ca="1" si="42"/>
        <v/>
      </c>
      <c r="CC41" s="1883" t="str">
        <f t="shared" ca="1" si="43"/>
        <v/>
      </c>
      <c r="CD41" s="1889" t="str">
        <f t="shared" ca="1" si="44"/>
        <v/>
      </c>
      <c r="CE41" s="1883" t="str">
        <f t="shared" ca="1" si="45"/>
        <v/>
      </c>
      <c r="CF41" s="1889" t="str">
        <f t="shared" ca="1" si="46"/>
        <v/>
      </c>
      <c r="CG41" s="1887" t="str">
        <f t="shared" ca="1" si="47"/>
        <v/>
      </c>
      <c r="CH41" s="4124"/>
      <c r="CI41" s="4124"/>
      <c r="CJ41" s="4124"/>
      <c r="CK41" s="4124"/>
      <c r="CL41" s="4124"/>
      <c r="CM41" s="4124"/>
      <c r="CN41" s="4124"/>
      <c r="CO41" s="4124"/>
      <c r="CP41" s="4124"/>
      <c r="CQ41" s="4124"/>
      <c r="CR41" s="4124"/>
      <c r="CS41" s="4124"/>
      <c r="CT41" s="4124"/>
      <c r="CU41" s="4124"/>
      <c r="CV41" s="4124"/>
      <c r="CW41" s="4124"/>
      <c r="CX41" s="4124"/>
      <c r="CY41" s="4144"/>
      <c r="CZ41" s="4146"/>
      <c r="DA41" s="4148"/>
      <c r="DB41"/>
      <c r="DC41"/>
      <c r="DD41"/>
      <c r="DE41"/>
      <c r="DF41"/>
      <c r="DG41"/>
      <c r="DH41"/>
      <c r="DI41"/>
      <c r="DJ41"/>
      <c r="DK41"/>
    </row>
    <row r="42" spans="2:115" s="866" customFormat="1" x14ac:dyDescent="0.25">
      <c r="AJ42"/>
      <c r="AK42"/>
      <c r="AL42"/>
      <c r="AM42"/>
      <c r="AN42"/>
      <c r="AO42"/>
      <c r="AP42"/>
      <c r="AQ42"/>
      <c r="AR42"/>
      <c r="AS42"/>
      <c r="AT42"/>
      <c r="AU42"/>
      <c r="AV42"/>
      <c r="AW42"/>
      <c r="AX42"/>
      <c r="AY42"/>
      <c r="AZ42"/>
      <c r="BA42"/>
      <c r="BB42"/>
      <c r="BC42"/>
      <c r="BD42"/>
      <c r="BE42"/>
      <c r="BF42"/>
      <c r="BG42" s="4112" t="str">
        <f>IF(BK42="","Other Regulated","Other Non-Regulated")</f>
        <v>Other Non-Regulated</v>
      </c>
      <c r="BH42" s="4114" t="s">
        <v>378</v>
      </c>
      <c r="BI42" s="4112" t="str">
        <f>'12 - Performance_Outputs_1'!B274</f>
        <v>IT equipment</v>
      </c>
      <c r="BJ42" s="4113"/>
      <c r="BK42" s="3855" t="str">
        <f>'12 - Performance_Outputs_1'!D274</f>
        <v>x</v>
      </c>
      <c r="BL42" s="3839" t="str">
        <f>'12 - Performance_Outputs_1'!E274</f>
        <v>Electricity</v>
      </c>
      <c r="BM42" s="1299" t="str">
        <f>'12 - Performance_Outputs_1'!F274</f>
        <v/>
      </c>
      <c r="BN42" s="1782" t="str">
        <f>'12 - Performance_Outputs_1'!G274</f>
        <v/>
      </c>
      <c r="BO42" s="1782" t="str">
        <f ca="1">'12 - Performance_Outputs_1'!H274</f>
        <v/>
      </c>
      <c r="BP42" s="1877" t="str">
        <f ca="1">'12 - Performance_Outputs_1'!I274</f>
        <v/>
      </c>
      <c r="BQ42" s="3849" t="str">
        <f ca="1">'12 - Performance_Outputs_1'!J274</f>
        <v/>
      </c>
      <c r="BR42" s="1880" t="str">
        <f ca="1">'12 - Performance_Outputs_1'!K274</f>
        <v/>
      </c>
      <c r="BS42" s="1879" t="str">
        <f ca="1">'12 - Performance_Outputs_1'!M274</f>
        <v/>
      </c>
      <c r="BT42" s="1882" t="str">
        <f>'12 - Performance_Outputs_1'!R274</f>
        <v/>
      </c>
      <c r="BU42" s="1882" t="str">
        <f>'12 - Performance_Outputs_1'!S274</f>
        <v/>
      </c>
      <c r="BV42" s="1885">
        <f ca="1">SUMIF('12 - Performance_Outputs_1'!$B$311:$B$316,BL42,'12 - Performance_Outputs_1'!$E$311:$G$315)</f>
        <v>0</v>
      </c>
      <c r="BW42" s="1885">
        <f ca="1">SUMIF('12 - Performance_Outputs_1'!$B$311:$B$316,BL42,'12 - Performance_Outputs_1'!$H$311:$H$315)</f>
        <v>0</v>
      </c>
      <c r="BX42" s="1884" t="str">
        <f t="shared" si="38"/>
        <v/>
      </c>
      <c r="BY42" s="1888" t="str">
        <f t="shared" si="39"/>
        <v/>
      </c>
      <c r="BZ42" s="1884" t="str">
        <f t="shared" si="40"/>
        <v/>
      </c>
      <c r="CA42" s="1888" t="str">
        <f t="shared" si="41"/>
        <v/>
      </c>
      <c r="CB42" s="1886" t="str">
        <f t="shared" ca="1" si="42"/>
        <v/>
      </c>
      <c r="CC42" s="1883" t="str">
        <f t="shared" ca="1" si="43"/>
        <v/>
      </c>
      <c r="CD42" s="1889" t="str">
        <f t="shared" ca="1" si="44"/>
        <v/>
      </c>
      <c r="CE42" s="1883" t="str">
        <f t="shared" ca="1" si="45"/>
        <v/>
      </c>
      <c r="CF42" s="1889" t="str">
        <f t="shared" ca="1" si="46"/>
        <v/>
      </c>
      <c r="CG42" s="1887" t="str">
        <f t="shared" ca="1" si="47"/>
        <v/>
      </c>
      <c r="CH42" s="4123" t="str">
        <f>IFERROR(IF($DD$1="4A",VLOOKUP(CH$4,'90.1-2004 Site EUI'!$A$3:$W$27,MATCH($BH42,'90.1-2004 Site EUI'!$A$4:$W$4,0),FALSE),IF($DD$1="5A",VLOOKUP(CH$4,'90.1-2004 Site EUI'!$A$29:$W$53,MATCH($BH42,'90.1-2004 Site EUI'!$A$30:$W$30,0),FALSE),IF($DD$1="6A",VLOOKUP(CH$4,'90.1-2004 Site EUI'!$A$55:$W$79,MATCH($BH42,'90.1-2004 Site EUI'!$A$56:$W$56,0),FALSE),""))),"")</f>
        <v/>
      </c>
      <c r="CI42" s="4123" t="str">
        <f>IFERROR(IF($DD$1="4A",VLOOKUP(CI$4,'90.1-2004 Site EUI'!$A$3:$W$27,MATCH($BH42,'90.1-2004 Site EUI'!$A$4:$W$4,0),FALSE),IF($DD$1="5A",VLOOKUP(CI$4,'90.1-2004 Site EUI'!$A$29:$W$53,MATCH($BH42,'90.1-2004 Site EUI'!$A$30:$W$30,0),FALSE),IF($DD$1="6A",VLOOKUP(CI$4,'90.1-2004 Site EUI'!$A$55:$W$79,MATCH($BH42,'90.1-2004 Site EUI'!$A$56:$W$56,0),FALSE),""))),"")</f>
        <v/>
      </c>
      <c r="CJ42" s="4123" t="str">
        <f>IFERROR(IF($DD$1="4A",VLOOKUP(CJ$4,'90.1-2004 Site EUI'!$A$3:$W$27,MATCH($BH42,'90.1-2004 Site EUI'!$A$4:$W$4,0),FALSE),IF($DD$1="5A",VLOOKUP(CJ$4,'90.1-2004 Site EUI'!$A$29:$W$53,MATCH($BH42,'90.1-2004 Site EUI'!$A$30:$W$30,0),FALSE),IF($DD$1="6A",VLOOKUP(CJ$4,'90.1-2004 Site EUI'!$A$55:$W$79,MATCH($BH42,'90.1-2004 Site EUI'!$A$56:$W$56,0),FALSE),""))),"")</f>
        <v/>
      </c>
      <c r="CK42" s="4123" t="str">
        <f>IFERROR(IF($DD$1="4A",VLOOKUP(CK$4,'90.1-2004 Site EUI'!$A$3:$W$27,MATCH($BH42,'90.1-2004 Site EUI'!$A$4:$W$4,0),FALSE),IF($DD$1="5A",VLOOKUP(CK$4,'90.1-2004 Site EUI'!$A$29:$W$53,MATCH($BH42,'90.1-2004 Site EUI'!$A$30:$W$30,0),FALSE),IF($DD$1="6A",VLOOKUP(CK$4,'90.1-2004 Site EUI'!$A$55:$W$79,MATCH($BH42,'90.1-2004 Site EUI'!$A$56:$W$56,0),FALSE),""))),"")</f>
        <v/>
      </c>
      <c r="CL42" s="4123" t="str">
        <f>IFERROR(IF($DD$1="4A",VLOOKUP(CL$4,'90.1-2004 Site EUI'!$A$3:$W$27,MATCH($BH42,'90.1-2004 Site EUI'!$A$4:$W$4,0),FALSE),IF($DD$1="5A",VLOOKUP(CL$4,'90.1-2004 Site EUI'!$A$29:$W$53,MATCH($BH42,'90.1-2004 Site EUI'!$A$30:$W$30,0),FALSE),IF($DD$1="6A",VLOOKUP(CL$4,'90.1-2004 Site EUI'!$A$55:$W$79,MATCH($BH42,'90.1-2004 Site EUI'!$A$56:$W$56,0),FALSE),""))),"")</f>
        <v/>
      </c>
      <c r="CM42" s="4123" t="str">
        <f>IFERROR(IF($DD$1="4A",VLOOKUP(CM$4,'90.1-2004 Site EUI'!$A$3:$W$27,MATCH($BH42,'90.1-2004 Site EUI'!$A$4:$W$4,0),FALSE),IF($DD$1="5A",VLOOKUP(CM$4,'90.1-2004 Site EUI'!$A$29:$W$53,MATCH($BH42,'90.1-2004 Site EUI'!$A$30:$W$30,0),FALSE),IF($DD$1="6A",VLOOKUP(CM$4,'90.1-2004 Site EUI'!$A$55:$W$79,MATCH($BH42,'90.1-2004 Site EUI'!$A$56:$W$56,0),FALSE),""))),"")</f>
        <v/>
      </c>
      <c r="CN42" s="4123" t="str">
        <f>IFERROR(IF($DD$1="4A",VLOOKUP(CN$4,'90.1-2004 Site EUI'!$A$3:$W$27,MATCH($BH42,'90.1-2004 Site EUI'!$A$4:$W$4,0),FALSE),IF($DD$1="5A",VLOOKUP(CN$4,'90.1-2004 Site EUI'!$A$29:$W$53,MATCH($BH42,'90.1-2004 Site EUI'!$A$30:$W$30,0),FALSE),IF($DD$1="6A",VLOOKUP(CN$4,'90.1-2004 Site EUI'!$A$55:$W$79,MATCH($BH42,'90.1-2004 Site EUI'!$A$56:$W$56,0),FALSE),""))),"")</f>
        <v/>
      </c>
      <c r="CO42" s="4123" t="e">
        <f>AVERAGE(CH42:CN43,CP42)</f>
        <v>#DIV/0!</v>
      </c>
      <c r="CP42" s="4123" t="str">
        <f>IFERROR(IF($DD$1="4A",VLOOKUP(CP$4,'90.1-2004 Site EUI'!$A$3:$W$27,MATCH($BH42,'90.1-2004 Site EUI'!$A$4:$W$4,0),FALSE),IF($DD$1="5A",VLOOKUP(CP$4,'90.1-2004 Site EUI'!$A$29:$W$53,MATCH($BH42,'90.1-2004 Site EUI'!$A$30:$W$30,0),FALSE),IF($DD$1="6A",VLOOKUP(CP$4,'90.1-2004 Site EUI'!$A$55:$W$79,MATCH($BH42,'90.1-2004 Site EUI'!$A$56:$W$56,0),FALSE),""))),"")</f>
        <v/>
      </c>
      <c r="CQ42" s="4123" t="str">
        <f>IFERROR(IF($DD$1="4A",VLOOKUP(CQ$4,'90.1-2013 Site EUI'!$A$3:$W$27,MATCH($BH42,'90.1-2013 Site EUI'!$A$4:$W$4,0),FALSE),IF($DD$1="5A",VLOOKUP(CQ$4,'90.1-2013 Site EUI'!$A$29:$W$53,MATCH($BH42,'90.1-2013 Site EUI'!$A$30:$W$30,0),FALSE),IF($DD$1="6A",VLOOKUP(CQ$4,'90.1-2013 Site EUI'!$A$55:$W$79,MATCH($BH42,'90.1-2013 Site EUI'!$A$56:$W$56,0),FALSE),""))),"")</f>
        <v/>
      </c>
      <c r="CR42" s="4123" t="str">
        <f>IFERROR(IF($DD$1="4A",VLOOKUP(CR$4,'90.1-2013 Site EUI'!$A$3:$W$27,MATCH($BH42,'90.1-2013 Site EUI'!$A$4:$W$4,0),FALSE),IF($DD$1="5A",VLOOKUP(CR$4,'90.1-2013 Site EUI'!$A$29:$W$53,MATCH($BH42,'90.1-2013 Site EUI'!$A$30:$W$30,0),FALSE),IF($DD$1="6A",VLOOKUP(CR$4,'90.1-2013 Site EUI'!$A$55:$W$79,MATCH($BH42,'90.1-2013 Site EUI'!$A$56:$W$56,0),FALSE),""))),"")</f>
        <v/>
      </c>
      <c r="CS42" s="4123" t="str">
        <f>IFERROR(IF($DD$1="4A",VLOOKUP(CS$4,'90.1-2013 Site EUI'!$A$3:$W$27,MATCH($BH42,'90.1-2013 Site EUI'!$A$4:$W$4,0),FALSE),IF($DD$1="5A",VLOOKUP(CS$4,'90.1-2013 Site EUI'!$A$29:$W$53,MATCH($BH42,'90.1-2013 Site EUI'!$A$30:$W$30,0),FALSE),IF($DD$1="6A",VLOOKUP(CS$4,'90.1-2013 Site EUI'!$A$55:$W$79,MATCH($BH42,'90.1-2013 Site EUI'!$A$56:$W$56,0),FALSE),""))),"")</f>
        <v/>
      </c>
      <c r="CT42" s="4123" t="str">
        <f>IFERROR(IF($DD$1="4A",VLOOKUP(CT$4,'90.1-2013 Site EUI'!$A$3:$W$27,MATCH($BH42,'90.1-2013 Site EUI'!$A$4:$W$4,0),FALSE),IF($DD$1="5A",VLOOKUP(CT$4,'90.1-2013 Site EUI'!$A$29:$W$53,MATCH($BH42,'90.1-2013 Site EUI'!$A$30:$W$30,0),FALSE),IF($DD$1="6A",VLOOKUP(CT$4,'90.1-2013 Site EUI'!$A$55:$W$79,MATCH($BH42,'90.1-2013 Site EUI'!$A$56:$W$56,0),FALSE),""))),"")</f>
        <v/>
      </c>
      <c r="CU42" s="4123" t="str">
        <f>IFERROR(IF($DD$1="4A",VLOOKUP(CU$4,'90.1-2013 Site EUI'!$A$3:$W$27,MATCH($BH42,'90.1-2013 Site EUI'!$A$4:$W$4,0),FALSE),IF($DD$1="5A",VLOOKUP(CU$4,'90.1-2013 Site EUI'!$A$29:$W$53,MATCH($BH42,'90.1-2013 Site EUI'!$A$30:$W$30,0),FALSE),IF($DD$1="6A",VLOOKUP(CU$4,'90.1-2013 Site EUI'!$A$55:$W$79,MATCH($BH42,'90.1-2013 Site EUI'!$A$56:$W$56,0),FALSE),""))),"")</f>
        <v/>
      </c>
      <c r="CV42" s="4123" t="str">
        <f>IFERROR(IF($DD$1="4A",VLOOKUP(CV$4,'90.1-2013 Site EUI'!$A$3:$W$27,MATCH($BH42,'90.1-2013 Site EUI'!$A$4:$W$4,0),FALSE),IF($DD$1="5A",VLOOKUP(CV$4,'90.1-2013 Site EUI'!$A$29:$W$53,MATCH($BH42,'90.1-2013 Site EUI'!$A$30:$W$30,0),FALSE),IF($DD$1="6A",VLOOKUP(CV$4,'90.1-2013 Site EUI'!$A$55:$W$79,MATCH($BH42,'90.1-2013 Site EUI'!$A$56:$W$56,0),FALSE),""))),"")</f>
        <v/>
      </c>
      <c r="CW42" s="4123" t="str">
        <f>IFERROR(IF($DD$1="4A",VLOOKUP(CW$4,'90.1-2013 Site EUI'!$A$3:$W$27,MATCH($BH42,'90.1-2013 Site EUI'!$A$4:$W$4,0),FALSE),IF($DD$1="5A",VLOOKUP(CW$4,'90.1-2013 Site EUI'!$A$29:$W$53,MATCH($BH42,'90.1-2013 Site EUI'!$A$30:$W$30,0),FALSE),IF($DD$1="6A",VLOOKUP(CW$4,'90.1-2013 Site EUI'!$A$55:$W$79,MATCH($BH42,'90.1-2013 Site EUI'!$A$56:$W$56,0),FALSE),""))),"")</f>
        <v/>
      </c>
      <c r="CX42" s="4123" t="e">
        <f>AVERAGE(CQ42:CW43,CY42)</f>
        <v>#DIV/0!</v>
      </c>
      <c r="CY42" s="4143" t="str">
        <f>IFERROR(IF($DD$1="4A",VLOOKUP(CY$4,'90.1-2013 Site EUI'!$A$3:$W$27,MATCH($BH42,'90.1-2013 Site EUI'!$A$4:$W$4,0),FALSE),IF($DD$1="5A",VLOOKUP(CY$4,'90.1-2013 Site EUI'!$A$29:$W$53,MATCH($BH42,'90.1-2013 Site EUI'!$A$30:$W$30,0),FALSE),IF($DD$1="6A",VLOOKUP(CY$4,'90.1-2013 Site EUI'!$A$55:$W$79,MATCH($BH42,'90.1-2013 Site EUI'!$A$56:$W$56,0),FALSE),""))),"")</f>
        <v/>
      </c>
      <c r="CZ42" s="4145" t="e">
        <f>SUMIF($CH$4:$CP$4,$DG$1,CH42:CP43)*$DI$1+SUMIF($CH$4:$CP$4,$DG$2,CH42:CP43)*$DI$2+SUMIF($CH$4:$CP$4,$DG$3,CH42:CP43)*$DI$3+SUMIF($CH$4:$CP$4,$DG$4,CH42:CP43)*$DI$4+SUMIF($CH$4:$CP$4,$DG$5,CH42:CP43)*$DI$5+SUMIF($CH$4:$CP$4,$DG$6,CH42:CP43)*$DI$6+SUMIF($CH$4:$CP$4,$DG$7,CH42:CP43)*$DI$7+SUMIF($CH$4:$CP$4,$DG$8,CH42:CP43)*$DI$8+SUMIF($CH$4:$CP$4,$DG$8,CH42:CP43)*$DI$8+SUMIF($CH$4:$CP$4,$DG$9,CH42:CP43)*$DI$9</f>
        <v>#DIV/0!</v>
      </c>
      <c r="DA42" s="4147" t="e">
        <f>SUMIF($CQ$4:$CY$4,$DG$1,CQ42:CY43)*$DI$1+SUMIF($CQ$4:$CY$4,$DG$2,CQ42:CY43)*$DI$2+SUMIF($CQ$4:$CY$4,$DG$3,CQ42:CY43)*$DI$3+SUMIF($CQ$4:$CY$4,$DG$4,CQ42:CY43)*$DI$4+SUMIF($CQ$4:$CY$4,$DG$5,CQ42:CY43)*$DI$5+SUMIF($CQ$4:$CY$4,$DG$6,CQ42:CY43)*$DI$6+SUMIF($CQ$4:$CY$4,$DG$7,CQ42:CY43)*$DI$7+SUMIF($CQ$4:$CY$4,$DG$8,CQ42:CY43)*$DI$8+SUMIF($CQ$4:$CY$4,$DG$9,CQ42:CY43)*$DI$9</f>
        <v>#DIV/0!</v>
      </c>
      <c r="DB42"/>
      <c r="DC42"/>
      <c r="DD42"/>
      <c r="DE42"/>
      <c r="DF42"/>
      <c r="DG42"/>
      <c r="DH42"/>
      <c r="DI42"/>
      <c r="DJ42"/>
      <c r="DK42"/>
    </row>
    <row r="43" spans="2:115" s="866" customFormat="1" x14ac:dyDescent="0.25">
      <c r="AJ43"/>
      <c r="AK43"/>
      <c r="AL43"/>
      <c r="AM43"/>
      <c r="AN43"/>
      <c r="AO43"/>
      <c r="AP43"/>
      <c r="AQ43"/>
      <c r="AR43"/>
      <c r="AS43"/>
      <c r="AT43"/>
      <c r="AU43"/>
      <c r="AV43"/>
      <c r="AW43"/>
      <c r="AX43"/>
      <c r="AY43"/>
      <c r="AZ43"/>
      <c r="BA43"/>
      <c r="BB43"/>
      <c r="BC43"/>
      <c r="BD43"/>
      <c r="BE43"/>
      <c r="BF43"/>
      <c r="BG43" s="4113"/>
      <c r="BH43" s="4115"/>
      <c r="BI43" s="4113"/>
      <c r="BJ43" s="4113"/>
      <c r="BK43" s="3855"/>
      <c r="BL43" s="3839"/>
      <c r="BM43" s="1299" t="str">
        <f>'12 - Performance_Outputs_1'!F275</f>
        <v/>
      </c>
      <c r="BN43" s="1782" t="str">
        <f>'12 - Performance_Outputs_1'!G275</f>
        <v/>
      </c>
      <c r="BO43" s="1782" t="str">
        <f ca="1">'12 - Performance_Outputs_1'!H275</f>
        <v/>
      </c>
      <c r="BP43" s="1877" t="str">
        <f ca="1">'12 - Performance_Outputs_1'!I275</f>
        <v/>
      </c>
      <c r="BQ43" s="3850"/>
      <c r="BR43" s="1880">
        <f>'12 - Performance_Outputs_1'!K275</f>
        <v>0</v>
      </c>
      <c r="BS43" s="1879">
        <f>'12 - Performance_Outputs_1'!M275</f>
        <v>0</v>
      </c>
      <c r="BT43" s="1882" t="str">
        <f>'12 - Performance_Outputs_1'!R275</f>
        <v/>
      </c>
      <c r="BU43" s="1882" t="str">
        <f>'12 - Performance_Outputs_1'!S275</f>
        <v/>
      </c>
      <c r="BV43" s="1885">
        <f ca="1">SUMIF('12 - Performance_Outputs_1'!$B$311:$B$316,BL43,'12 - Performance_Outputs_1'!$E$311:$G$315)</f>
        <v>0</v>
      </c>
      <c r="BW43" s="1885">
        <f ca="1">SUMIF('12 - Performance_Outputs_1'!$B$311:$B$316,BL43,'12 - Performance_Outputs_1'!$H$311:$H$315)</f>
        <v>0</v>
      </c>
      <c r="BX43" s="1884" t="str">
        <f t="shared" si="38"/>
        <v/>
      </c>
      <c r="BY43" s="1888" t="str">
        <f t="shared" si="39"/>
        <v/>
      </c>
      <c r="BZ43" s="1884" t="str">
        <f t="shared" si="40"/>
        <v/>
      </c>
      <c r="CA43" s="1888" t="str">
        <f t="shared" si="41"/>
        <v/>
      </c>
      <c r="CB43" s="1886" t="str">
        <f t="shared" ca="1" si="42"/>
        <v/>
      </c>
      <c r="CC43" s="1883" t="str">
        <f t="shared" ca="1" si="43"/>
        <v/>
      </c>
      <c r="CD43" s="1889" t="str">
        <f t="shared" ca="1" si="44"/>
        <v/>
      </c>
      <c r="CE43" s="1883" t="str">
        <f t="shared" ca="1" si="45"/>
        <v/>
      </c>
      <c r="CF43" s="1889" t="str">
        <f t="shared" ca="1" si="46"/>
        <v/>
      </c>
      <c r="CG43" s="1887" t="str">
        <f t="shared" ca="1" si="47"/>
        <v/>
      </c>
      <c r="CH43" s="4124"/>
      <c r="CI43" s="4124"/>
      <c r="CJ43" s="4124"/>
      <c r="CK43" s="4124"/>
      <c r="CL43" s="4124"/>
      <c r="CM43" s="4124"/>
      <c r="CN43" s="4124"/>
      <c r="CO43" s="4124"/>
      <c r="CP43" s="4124"/>
      <c r="CQ43" s="4124"/>
      <c r="CR43" s="4124"/>
      <c r="CS43" s="4124"/>
      <c r="CT43" s="4124"/>
      <c r="CU43" s="4124"/>
      <c r="CV43" s="4124"/>
      <c r="CW43" s="4124"/>
      <c r="CX43" s="4124"/>
      <c r="CY43" s="4144"/>
      <c r="CZ43" s="4146"/>
      <c r="DA43" s="4148"/>
      <c r="DB43"/>
      <c r="DC43"/>
      <c r="DD43"/>
      <c r="DE43"/>
      <c r="DF43"/>
      <c r="DG43"/>
      <c r="DH43"/>
      <c r="DI43"/>
      <c r="DJ43"/>
      <c r="DK43"/>
    </row>
    <row r="44" spans="2:115" s="866" customFormat="1" hidden="1" x14ac:dyDescent="0.25">
      <c r="AJ44"/>
      <c r="AK44"/>
      <c r="AL44"/>
      <c r="AM44"/>
      <c r="AN44"/>
      <c r="AO44"/>
      <c r="AP44"/>
      <c r="AQ44"/>
      <c r="AR44"/>
      <c r="AS44"/>
      <c r="AT44"/>
      <c r="AU44"/>
      <c r="AV44"/>
      <c r="AW44"/>
      <c r="AX44"/>
      <c r="AY44"/>
      <c r="AZ44"/>
      <c r="BA44"/>
      <c r="BB44"/>
      <c r="BC44"/>
      <c r="BD44"/>
      <c r="BE44"/>
      <c r="BF44"/>
      <c r="BG44" s="4112" t="str">
        <f>IF(BK44="","Other Regulated","Other Non-Regulated")</f>
        <v>Other Non-Regulated</v>
      </c>
      <c r="BH44" s="4114" t="s">
        <v>275</v>
      </c>
      <c r="BI44" s="4112" t="str">
        <f>'12 - Performance_Outputs_1'!B276</f>
        <v>Cooking</v>
      </c>
      <c r="BJ44" s="4113"/>
      <c r="BK44" s="3855" t="str">
        <f>'12 - Performance_Outputs_1'!D276</f>
        <v>x</v>
      </c>
      <c r="BL44" s="3839" t="str">
        <f>'12 - Performance_Outputs_1'!E276</f>
        <v>Electricity</v>
      </c>
      <c r="BM44" s="1299" t="str">
        <f>'12 - Performance_Outputs_1'!F276</f>
        <v/>
      </c>
      <c r="BN44" s="1782" t="str">
        <f>'12 - Performance_Outputs_1'!G276</f>
        <v/>
      </c>
      <c r="BO44" s="1782" t="str">
        <f ca="1">'12 - Performance_Outputs_1'!H276</f>
        <v/>
      </c>
      <c r="BP44" s="1877" t="str">
        <f ca="1">'12 - Performance_Outputs_1'!I276</f>
        <v/>
      </c>
      <c r="BQ44" s="3849" t="str">
        <f ca="1">'12 - Performance_Outputs_1'!J276</f>
        <v/>
      </c>
      <c r="BR44" s="1880" t="str">
        <f ca="1">'12 - Performance_Outputs_1'!K276</f>
        <v/>
      </c>
      <c r="BS44" s="1879" t="str">
        <f ca="1">'12 - Performance_Outputs_1'!M276</f>
        <v/>
      </c>
      <c r="BT44" s="1882" t="str">
        <f>'12 - Performance_Outputs_1'!R276</f>
        <v/>
      </c>
      <c r="BU44" s="1882" t="str">
        <f>'12 - Performance_Outputs_1'!S276</f>
        <v/>
      </c>
      <c r="BV44" s="1885">
        <f ca="1">SUMIF('12 - Performance_Outputs_1'!$B$311:$B$316,BL44,'12 - Performance_Outputs_1'!$E$311:$G$315)</f>
        <v>0</v>
      </c>
      <c r="BW44" s="1885">
        <f ca="1">SUMIF('12 - Performance_Outputs_1'!$B$311:$B$316,BL44,'12 - Performance_Outputs_1'!$H$311:$H$315)</f>
        <v>0</v>
      </c>
      <c r="BX44" s="1884" t="str">
        <f t="shared" si="38"/>
        <v/>
      </c>
      <c r="BY44" s="1888" t="str">
        <f t="shared" si="39"/>
        <v/>
      </c>
      <c r="BZ44" s="1884" t="str">
        <f t="shared" si="40"/>
        <v/>
      </c>
      <c r="CA44" s="1888" t="str">
        <f t="shared" si="41"/>
        <v/>
      </c>
      <c r="CB44" s="1886" t="str">
        <f t="shared" ca="1" si="42"/>
        <v/>
      </c>
      <c r="CC44" s="1883" t="str">
        <f t="shared" ca="1" si="43"/>
        <v/>
      </c>
      <c r="CD44" s="1889" t="str">
        <f t="shared" ca="1" si="44"/>
        <v/>
      </c>
      <c r="CE44" s="1883" t="str">
        <f t="shared" ca="1" si="45"/>
        <v/>
      </c>
      <c r="CF44" s="1889" t="str">
        <f t="shared" ca="1" si="46"/>
        <v/>
      </c>
      <c r="CG44" s="1887" t="str">
        <f t="shared" ca="1" si="47"/>
        <v/>
      </c>
      <c r="CH44" s="4110"/>
      <c r="CI44" s="4110"/>
      <c r="CJ44" s="4110"/>
      <c r="CK44" s="4110"/>
      <c r="CL44" s="4110"/>
      <c r="CM44" s="4110"/>
      <c r="CN44" s="4110"/>
      <c r="CO44" s="4110"/>
      <c r="CP44" s="4110"/>
      <c r="CQ44" s="4110"/>
      <c r="CR44" s="4110"/>
      <c r="CS44" s="4110"/>
      <c r="CT44" s="4110"/>
      <c r="CU44" s="4110"/>
      <c r="CV44" s="4110"/>
      <c r="CW44" s="4110"/>
      <c r="CX44" s="4110"/>
      <c r="CY44" s="4139"/>
      <c r="CZ44" s="4141"/>
      <c r="DA44" s="4137"/>
      <c r="DB44"/>
      <c r="DC44"/>
      <c r="DD44"/>
      <c r="DE44"/>
      <c r="DF44"/>
      <c r="DG44"/>
      <c r="DH44"/>
      <c r="DI44"/>
      <c r="DJ44"/>
      <c r="DK44"/>
    </row>
    <row r="45" spans="2:115" s="866" customFormat="1" hidden="1" x14ac:dyDescent="0.25">
      <c r="AJ45"/>
      <c r="AK45"/>
      <c r="AL45"/>
      <c r="AM45"/>
      <c r="AN45"/>
      <c r="AO45"/>
      <c r="AP45"/>
      <c r="AQ45"/>
      <c r="AR45"/>
      <c r="AS45"/>
      <c r="AT45"/>
      <c r="AU45"/>
      <c r="AV45"/>
      <c r="AW45"/>
      <c r="AX45"/>
      <c r="AY45"/>
      <c r="AZ45"/>
      <c r="BA45"/>
      <c r="BB45"/>
      <c r="BC45"/>
      <c r="BD45"/>
      <c r="BE45"/>
      <c r="BF45"/>
      <c r="BG45" s="4113"/>
      <c r="BH45" s="4115"/>
      <c r="BI45" s="4113"/>
      <c r="BJ45" s="4113"/>
      <c r="BK45" s="3855"/>
      <c r="BL45" s="3839"/>
      <c r="BM45" s="1299" t="str">
        <f>'12 - Performance_Outputs_1'!F277</f>
        <v/>
      </c>
      <c r="BN45" s="1782" t="str">
        <f>'12 - Performance_Outputs_1'!G277</f>
        <v/>
      </c>
      <c r="BO45" s="1782" t="str">
        <f ca="1">'12 - Performance_Outputs_1'!H277</f>
        <v/>
      </c>
      <c r="BP45" s="1877" t="str">
        <f ca="1">'12 - Performance_Outputs_1'!I277</f>
        <v/>
      </c>
      <c r="BQ45" s="3850"/>
      <c r="BR45" s="1880">
        <f>'12 - Performance_Outputs_1'!K277</f>
        <v>0</v>
      </c>
      <c r="BS45" s="1879">
        <f>'12 - Performance_Outputs_1'!M277</f>
        <v>0</v>
      </c>
      <c r="BT45" s="1882" t="str">
        <f>'12 - Performance_Outputs_1'!R277</f>
        <v/>
      </c>
      <c r="BU45" s="1882" t="str">
        <f>'12 - Performance_Outputs_1'!S277</f>
        <v/>
      </c>
      <c r="BV45" s="1885">
        <f ca="1">SUMIF('12 - Performance_Outputs_1'!$B$311:$B$316,BL45,'12 - Performance_Outputs_1'!$E$311:$G$315)</f>
        <v>0</v>
      </c>
      <c r="BW45" s="1885">
        <f ca="1">SUMIF('12 - Performance_Outputs_1'!$B$311:$B$316,BL45,'12 - Performance_Outputs_1'!$H$311:$H$315)</f>
        <v>0</v>
      </c>
      <c r="BX45" s="1884" t="str">
        <f t="shared" si="38"/>
        <v/>
      </c>
      <c r="BY45" s="1888" t="str">
        <f t="shared" si="39"/>
        <v/>
      </c>
      <c r="BZ45" s="1884" t="str">
        <f t="shared" si="40"/>
        <v/>
      </c>
      <c r="CA45" s="1888" t="str">
        <f t="shared" si="41"/>
        <v/>
      </c>
      <c r="CB45" s="1886" t="str">
        <f t="shared" ca="1" si="42"/>
        <v/>
      </c>
      <c r="CC45" s="1883" t="str">
        <f t="shared" ca="1" si="43"/>
        <v/>
      </c>
      <c r="CD45" s="1889" t="str">
        <f t="shared" ca="1" si="44"/>
        <v/>
      </c>
      <c r="CE45" s="1883" t="str">
        <f t="shared" ca="1" si="45"/>
        <v/>
      </c>
      <c r="CF45" s="1889" t="str">
        <f t="shared" ca="1" si="46"/>
        <v/>
      </c>
      <c r="CG45" s="1887" t="str">
        <f t="shared" ca="1" si="47"/>
        <v/>
      </c>
      <c r="CH45" s="4111"/>
      <c r="CI45" s="4111"/>
      <c r="CJ45" s="4111"/>
      <c r="CK45" s="4111"/>
      <c r="CL45" s="4111"/>
      <c r="CM45" s="4111"/>
      <c r="CN45" s="4111"/>
      <c r="CO45" s="4111"/>
      <c r="CP45" s="4111"/>
      <c r="CQ45" s="4111"/>
      <c r="CR45" s="4111"/>
      <c r="CS45" s="4111"/>
      <c r="CT45" s="4111"/>
      <c r="CU45" s="4111"/>
      <c r="CV45" s="4111"/>
      <c r="CW45" s="4111"/>
      <c r="CX45" s="4111"/>
      <c r="CY45" s="4140"/>
      <c r="CZ45" s="4142"/>
      <c r="DA45" s="4138"/>
      <c r="DB45"/>
      <c r="DC45"/>
      <c r="DD45"/>
      <c r="DE45"/>
      <c r="DF45"/>
      <c r="DG45"/>
      <c r="DH45"/>
      <c r="DI45"/>
      <c r="DJ45"/>
      <c r="DK45"/>
    </row>
    <row r="46" spans="2:115" s="866" customFormat="1" hidden="1" x14ac:dyDescent="0.25">
      <c r="AJ46"/>
      <c r="AK46"/>
      <c r="AL46"/>
      <c r="AM46"/>
      <c r="AN46"/>
      <c r="AO46"/>
      <c r="AP46"/>
      <c r="AQ46"/>
      <c r="AR46"/>
      <c r="AS46"/>
      <c r="AT46"/>
      <c r="AU46"/>
      <c r="AV46"/>
      <c r="AW46"/>
      <c r="AX46"/>
      <c r="AY46"/>
      <c r="AZ46"/>
      <c r="BA46"/>
      <c r="BB46"/>
      <c r="BC46"/>
      <c r="BD46"/>
      <c r="BE46"/>
      <c r="BF46"/>
      <c r="BG46" s="4112" t="s">
        <v>2671</v>
      </c>
      <c r="BH46" s="4114" t="s">
        <v>2632</v>
      </c>
      <c r="BI46" s="4112" t="str">
        <f>'12 - Performance_Outputs_1'!B278</f>
        <v>Industrial Process</v>
      </c>
      <c r="BJ46" s="4113"/>
      <c r="BK46" s="3855" t="str">
        <f>'12 - Performance_Outputs_1'!D278</f>
        <v>x</v>
      </c>
      <c r="BL46" s="3839" t="str">
        <f>'12 - Performance_Outputs_1'!E278</f>
        <v>Electricity</v>
      </c>
      <c r="BM46" s="1299" t="str">
        <f>'12 - Performance_Outputs_1'!F278</f>
        <v/>
      </c>
      <c r="BN46" s="1782" t="str">
        <f>'12 - Performance_Outputs_1'!G278</f>
        <v/>
      </c>
      <c r="BO46" s="1782" t="str">
        <f ca="1">'12 - Performance_Outputs_1'!H278</f>
        <v/>
      </c>
      <c r="BP46" s="1877" t="str">
        <f ca="1">'12 - Performance_Outputs_1'!I278</f>
        <v/>
      </c>
      <c r="BQ46" s="3849" t="str">
        <f ca="1">'12 - Performance_Outputs_1'!J278</f>
        <v/>
      </c>
      <c r="BR46" s="1880" t="str">
        <f ca="1">'12 - Performance_Outputs_1'!K278</f>
        <v/>
      </c>
      <c r="BS46" s="1879" t="str">
        <f ca="1">'12 - Performance_Outputs_1'!M278</f>
        <v/>
      </c>
      <c r="BT46" s="1882" t="str">
        <f>'12 - Performance_Outputs_1'!R278</f>
        <v/>
      </c>
      <c r="BU46" s="1882" t="str">
        <f>'12 - Performance_Outputs_1'!S278</f>
        <v/>
      </c>
      <c r="BV46" s="1885">
        <f ca="1">SUMIF('12 - Performance_Outputs_1'!$B$311:$B$316,BL46,'12 - Performance_Outputs_1'!$E$311:$G$315)</f>
        <v>0</v>
      </c>
      <c r="BW46" s="1885">
        <f ca="1">SUMIF('12 - Performance_Outputs_1'!$B$311:$B$316,BL46,'12 - Performance_Outputs_1'!$H$311:$H$315)</f>
        <v>0</v>
      </c>
      <c r="BX46" s="1884" t="str">
        <f t="shared" si="38"/>
        <v/>
      </c>
      <c r="BY46" s="1888" t="str">
        <f t="shared" si="39"/>
        <v/>
      </c>
      <c r="BZ46" s="1884" t="str">
        <f t="shared" si="40"/>
        <v/>
      </c>
      <c r="CA46" s="1888" t="str">
        <f t="shared" si="41"/>
        <v/>
      </c>
      <c r="CB46" s="1886" t="str">
        <f t="shared" ca="1" si="42"/>
        <v/>
      </c>
      <c r="CC46" s="1883" t="str">
        <f t="shared" ca="1" si="43"/>
        <v/>
      </c>
      <c r="CD46" s="1889" t="str">
        <f t="shared" ca="1" si="44"/>
        <v/>
      </c>
      <c r="CE46" s="1883" t="str">
        <f t="shared" ca="1" si="45"/>
        <v/>
      </c>
      <c r="CF46" s="1889" t="str">
        <f t="shared" ca="1" si="46"/>
        <v/>
      </c>
      <c r="CG46" s="1887" t="str">
        <f t="shared" ca="1" si="47"/>
        <v/>
      </c>
      <c r="CH46" s="4123" t="str">
        <f>IFERROR(IF($DD$1="4A",VLOOKUP(CH$4,'90.1-2004 Site EUI'!$A$3:$W$27,MATCH($BH46,'90.1-2004 Site EUI'!$A$4:$W$4,0),FALSE),IF($DD$1="5A",VLOOKUP(CH$4,'90.1-2004 Site EUI'!$A$29:$W$53,MATCH($BH46,'90.1-2004 Site EUI'!$A$30:$W$30,0),FALSE),IF($DD$1="6A",VLOOKUP(CH$4,'90.1-2004 Site EUI'!$A$55:$W$79,MATCH($BH46,'90.1-2004 Site EUI'!$A$56:$W$56,0),FALSE),""))),"")</f>
        <v/>
      </c>
      <c r="CI46" s="4123" t="str">
        <f>IFERROR(IF($DD$1="4A",VLOOKUP(CI$4,'90.1-2004 Site EUI'!$A$3:$W$27,MATCH($BH46,'90.1-2004 Site EUI'!$A$4:$W$4,0),FALSE),IF($DD$1="5A",VLOOKUP(CI$4,'90.1-2004 Site EUI'!$A$29:$W$53,MATCH($BH46,'90.1-2004 Site EUI'!$A$30:$W$30,0),FALSE),IF($DD$1="6A",VLOOKUP(CI$4,'90.1-2004 Site EUI'!$A$55:$W$79,MATCH($BH46,'90.1-2004 Site EUI'!$A$56:$W$56,0),FALSE),""))),"")</f>
        <v/>
      </c>
      <c r="CJ46" s="4123" t="str">
        <f>IFERROR(IF($DD$1="4A",VLOOKUP(CJ$4,'90.1-2004 Site EUI'!$A$3:$W$27,MATCH($BH46,'90.1-2004 Site EUI'!$A$4:$W$4,0),FALSE),IF($DD$1="5A",VLOOKUP(CJ$4,'90.1-2004 Site EUI'!$A$29:$W$53,MATCH($BH46,'90.1-2004 Site EUI'!$A$30:$W$30,0),FALSE),IF($DD$1="6A",VLOOKUP(CJ$4,'90.1-2004 Site EUI'!$A$55:$W$79,MATCH($BH46,'90.1-2004 Site EUI'!$A$56:$W$56,0),FALSE),""))),"")</f>
        <v/>
      </c>
      <c r="CK46" s="4123" t="str">
        <f>IFERROR(IF($DD$1="4A",VLOOKUP(CK$4,'90.1-2004 Site EUI'!$A$3:$W$27,MATCH($BH46,'90.1-2004 Site EUI'!$A$4:$W$4,0),FALSE),IF($DD$1="5A",VLOOKUP(CK$4,'90.1-2004 Site EUI'!$A$29:$W$53,MATCH($BH46,'90.1-2004 Site EUI'!$A$30:$W$30,0),FALSE),IF($DD$1="6A",VLOOKUP(CK$4,'90.1-2004 Site EUI'!$A$55:$W$79,MATCH($BH46,'90.1-2004 Site EUI'!$A$56:$W$56,0),FALSE),""))),"")</f>
        <v/>
      </c>
      <c r="CL46" s="4123" t="str">
        <f>IFERROR(IF($DD$1="4A",VLOOKUP(CL$4,'90.1-2004 Site EUI'!$A$3:$W$27,MATCH($BH46,'90.1-2004 Site EUI'!$A$4:$W$4,0),FALSE),IF($DD$1="5A",VLOOKUP(CL$4,'90.1-2004 Site EUI'!$A$29:$W$53,MATCH($BH46,'90.1-2004 Site EUI'!$A$30:$W$30,0),FALSE),IF($DD$1="6A",VLOOKUP(CL$4,'90.1-2004 Site EUI'!$A$55:$W$79,MATCH($BH46,'90.1-2004 Site EUI'!$A$56:$W$56,0),FALSE),""))),"")</f>
        <v/>
      </c>
      <c r="CM46" s="4123" t="str">
        <f>IFERROR(IF($DD$1="4A",VLOOKUP(CM$4,'90.1-2004 Site EUI'!$A$3:$W$27,MATCH($BH46,'90.1-2004 Site EUI'!$A$4:$W$4,0),FALSE),IF($DD$1="5A",VLOOKUP(CM$4,'90.1-2004 Site EUI'!$A$29:$W$53,MATCH($BH46,'90.1-2004 Site EUI'!$A$30:$W$30,0),FALSE),IF($DD$1="6A",VLOOKUP(CM$4,'90.1-2004 Site EUI'!$A$55:$W$79,MATCH($BH46,'90.1-2004 Site EUI'!$A$56:$W$56,0),FALSE),""))),"")</f>
        <v/>
      </c>
      <c r="CN46" s="4123" t="str">
        <f>IFERROR(IF($DD$1="4A",VLOOKUP(CN$4,'90.1-2004 Site EUI'!$A$3:$W$27,MATCH($BH46,'90.1-2004 Site EUI'!$A$4:$W$4,0),FALSE),IF($DD$1="5A",VLOOKUP(CN$4,'90.1-2004 Site EUI'!$A$29:$W$53,MATCH($BH46,'90.1-2004 Site EUI'!$A$30:$W$30,0),FALSE),IF($DD$1="6A",VLOOKUP(CN$4,'90.1-2004 Site EUI'!$A$55:$W$79,MATCH($BH46,'90.1-2004 Site EUI'!$A$56:$W$56,0),FALSE),""))),"")</f>
        <v/>
      </c>
      <c r="CO46" s="4123" t="e">
        <f>AVERAGE(CH46:CN47,CP46)</f>
        <v>#DIV/0!</v>
      </c>
      <c r="CP46" s="4123" t="str">
        <f>IFERROR(IF($DD$1="4A",VLOOKUP(CP$4,'90.1-2004 Site EUI'!$A$3:$W$27,MATCH($BH46,'90.1-2004 Site EUI'!$A$4:$W$4,0),FALSE),IF($DD$1="5A",VLOOKUP(CP$4,'90.1-2004 Site EUI'!$A$29:$W$53,MATCH($BH46,'90.1-2004 Site EUI'!$A$30:$W$30,0),FALSE),IF($DD$1="6A",VLOOKUP(CP$4,'90.1-2004 Site EUI'!$A$55:$W$79,MATCH($BH46,'90.1-2004 Site EUI'!$A$56:$W$56,0),FALSE),""))),"")</f>
        <v/>
      </c>
      <c r="CQ46" s="4123" t="str">
        <f>IFERROR(IF($DD$1="4A",VLOOKUP(CQ$4,'90.1-2013 Site EUI'!$A$3:$W$27,MATCH($BH46,'90.1-2013 Site EUI'!$A$4:$W$4,0),FALSE),IF($DD$1="5A",VLOOKUP(CQ$4,'90.1-2013 Site EUI'!$A$29:$W$53,MATCH($BH46,'90.1-2013 Site EUI'!$A$30:$W$30,0),FALSE),IF($DD$1="6A",VLOOKUP(CQ$4,'90.1-2013 Site EUI'!$A$55:$W$79,MATCH($BH46,'90.1-2013 Site EUI'!$A$56:$W$56,0),FALSE),""))),"")</f>
        <v/>
      </c>
      <c r="CR46" s="4123" t="str">
        <f>IFERROR(IF($DD$1="4A",VLOOKUP(CR$4,'90.1-2013 Site EUI'!$A$3:$W$27,MATCH($BH46,'90.1-2013 Site EUI'!$A$4:$W$4,0),FALSE),IF($DD$1="5A",VLOOKUP(CR$4,'90.1-2013 Site EUI'!$A$29:$W$53,MATCH($BH46,'90.1-2013 Site EUI'!$A$30:$W$30,0),FALSE),IF($DD$1="6A",VLOOKUP(CR$4,'90.1-2013 Site EUI'!$A$55:$W$79,MATCH($BH46,'90.1-2013 Site EUI'!$A$56:$W$56,0),FALSE),""))),"")</f>
        <v/>
      </c>
      <c r="CS46" s="4123" t="str">
        <f>IFERROR(IF($DD$1="4A",VLOOKUP(CS$4,'90.1-2013 Site EUI'!$A$3:$W$27,MATCH($BH46,'90.1-2013 Site EUI'!$A$4:$W$4,0),FALSE),IF($DD$1="5A",VLOOKUP(CS$4,'90.1-2013 Site EUI'!$A$29:$W$53,MATCH($BH46,'90.1-2013 Site EUI'!$A$30:$W$30,0),FALSE),IF($DD$1="6A",VLOOKUP(CS$4,'90.1-2013 Site EUI'!$A$55:$W$79,MATCH($BH46,'90.1-2013 Site EUI'!$A$56:$W$56,0),FALSE),""))),"")</f>
        <v/>
      </c>
      <c r="CT46" s="4123" t="str">
        <f>IFERROR(IF($DD$1="4A",VLOOKUP(CT$4,'90.1-2013 Site EUI'!$A$3:$W$27,MATCH($BH46,'90.1-2013 Site EUI'!$A$4:$W$4,0),FALSE),IF($DD$1="5A",VLOOKUP(CT$4,'90.1-2013 Site EUI'!$A$29:$W$53,MATCH($BH46,'90.1-2013 Site EUI'!$A$30:$W$30,0),FALSE),IF($DD$1="6A",VLOOKUP(CT$4,'90.1-2013 Site EUI'!$A$55:$W$79,MATCH($BH46,'90.1-2013 Site EUI'!$A$56:$W$56,0),FALSE),""))),"")</f>
        <v/>
      </c>
      <c r="CU46" s="4123" t="str">
        <f>IFERROR(IF($DD$1="4A",VLOOKUP(CU$4,'90.1-2013 Site EUI'!$A$3:$W$27,MATCH($BH46,'90.1-2013 Site EUI'!$A$4:$W$4,0),FALSE),IF($DD$1="5A",VLOOKUP(CU$4,'90.1-2013 Site EUI'!$A$29:$W$53,MATCH($BH46,'90.1-2013 Site EUI'!$A$30:$W$30,0),FALSE),IF($DD$1="6A",VLOOKUP(CU$4,'90.1-2013 Site EUI'!$A$55:$W$79,MATCH($BH46,'90.1-2013 Site EUI'!$A$56:$W$56,0),FALSE),""))),"")</f>
        <v/>
      </c>
      <c r="CV46" s="4123" t="str">
        <f>IFERROR(IF($DD$1="4A",VLOOKUP(CV$4,'90.1-2013 Site EUI'!$A$3:$W$27,MATCH($BH46,'90.1-2013 Site EUI'!$A$4:$W$4,0),FALSE),IF($DD$1="5A",VLOOKUP(CV$4,'90.1-2013 Site EUI'!$A$29:$W$53,MATCH($BH46,'90.1-2013 Site EUI'!$A$30:$W$30,0),FALSE),IF($DD$1="6A",VLOOKUP(CV$4,'90.1-2013 Site EUI'!$A$55:$W$79,MATCH($BH46,'90.1-2013 Site EUI'!$A$56:$W$56,0),FALSE),""))),"")</f>
        <v/>
      </c>
      <c r="CW46" s="4123" t="str">
        <f>IFERROR(IF($DD$1="4A",VLOOKUP(CW$4,'90.1-2013 Site EUI'!$A$3:$W$27,MATCH($BH46,'90.1-2013 Site EUI'!$A$4:$W$4,0),FALSE),IF($DD$1="5A",VLOOKUP(CW$4,'90.1-2013 Site EUI'!$A$29:$W$53,MATCH($BH46,'90.1-2013 Site EUI'!$A$30:$W$30,0),FALSE),IF($DD$1="6A",VLOOKUP(CW$4,'90.1-2013 Site EUI'!$A$55:$W$79,MATCH($BH46,'90.1-2013 Site EUI'!$A$56:$W$56,0),FALSE),""))),"")</f>
        <v/>
      </c>
      <c r="CX46" s="4123" t="e">
        <f>AVERAGE(CQ46:CW47,CY46)</f>
        <v>#DIV/0!</v>
      </c>
      <c r="CY46" s="4143" t="str">
        <f>IFERROR(IF($DD$1="4A",VLOOKUP(CY$4,'90.1-2013 Site EUI'!$A$3:$W$27,MATCH($BH46,'90.1-2013 Site EUI'!$A$4:$W$4,0),FALSE),IF($DD$1="5A",VLOOKUP(CY$4,'90.1-2013 Site EUI'!$A$29:$W$53,MATCH($BH46,'90.1-2013 Site EUI'!$A$30:$W$30,0),FALSE),IF($DD$1="6A",VLOOKUP(CY$4,'90.1-2013 Site EUI'!$A$55:$W$79,MATCH($BH46,'90.1-2013 Site EUI'!$A$56:$W$56,0),FALSE),""))),"")</f>
        <v/>
      </c>
      <c r="CZ46" s="4145" t="e">
        <f>SUMIF($CH$4:$CP$4,$DG$1,CH46:CP47)*$DI$1+SUMIF($CH$4:$CP$4,$DG$2,CH46:CP47)*$DI$2+SUMIF($CH$4:$CP$4,$DG$3,CH46:CP47)*$DI$3+SUMIF($CH$4:$CP$4,$DG$4,CH46:CP47)*$DI$4+SUMIF($CH$4:$CP$4,$DG$5,CH46:CP47)*$DI$5+SUMIF($CH$4:$CP$4,$DG$6,CH46:CP47)*$DI$6+SUMIF($CH$4:$CP$4,$DG$7,CH46:CP47)*$DI$7+SUMIF($CH$4:$CP$4,$DG$8,CH46:CP47)*$DI$8+SUMIF($CH$4:$CP$4,$DG$8,CH46:CP47)*$DI$8+SUMIF($CH$4:$CP$4,$DG$9,CH46:CP47)*$DI$9</f>
        <v>#DIV/0!</v>
      </c>
      <c r="DA46" s="4147" t="e">
        <f>SUMIF($CQ$4:$CY$4,$DG$1,CQ46:CY47)*$DI$1+SUMIF($CQ$4:$CY$4,$DG$2,CQ46:CY47)*$DI$2+SUMIF($CQ$4:$CY$4,$DG$3,CQ46:CY47)*$DI$3+SUMIF($CQ$4:$CY$4,$DG$4,CQ46:CY47)*$DI$4+SUMIF($CQ$4:$CY$4,$DG$5,CQ46:CY47)*$DI$5+SUMIF($CQ$4:$CY$4,$DG$6,CQ46:CY47)*$DI$6+SUMIF($CQ$4:$CY$4,$DG$7,CQ46:CY47)*$DI$7+SUMIF($CQ$4:$CY$4,$DG$8,CQ46:CY47)*$DI$8+SUMIF($CQ$4:$CY$4,$DG$9,CQ46:CY47)*$DI$9</f>
        <v>#DIV/0!</v>
      </c>
      <c r="DB46"/>
      <c r="DC46"/>
      <c r="DD46"/>
      <c r="DE46"/>
      <c r="DF46"/>
      <c r="DG46"/>
      <c r="DH46"/>
      <c r="DI46"/>
      <c r="DJ46"/>
      <c r="DK46"/>
    </row>
    <row r="47" spans="2:115" s="866" customFormat="1" hidden="1" x14ac:dyDescent="0.25">
      <c r="AJ47"/>
      <c r="AK47"/>
      <c r="AL47"/>
      <c r="AM47"/>
      <c r="AN47"/>
      <c r="AO47"/>
      <c r="AP47"/>
      <c r="AQ47"/>
      <c r="AR47"/>
      <c r="AS47"/>
      <c r="AT47"/>
      <c r="AU47"/>
      <c r="AV47"/>
      <c r="AW47"/>
      <c r="AX47"/>
      <c r="AY47"/>
      <c r="AZ47"/>
      <c r="BA47"/>
      <c r="BB47"/>
      <c r="BC47"/>
      <c r="BD47"/>
      <c r="BE47"/>
      <c r="BF47"/>
      <c r="BG47" s="4113"/>
      <c r="BH47" s="4115"/>
      <c r="BI47" s="4113"/>
      <c r="BJ47" s="4113"/>
      <c r="BK47" s="3855"/>
      <c r="BL47" s="3839"/>
      <c r="BM47" s="1299" t="str">
        <f>'12 - Performance_Outputs_1'!F279</f>
        <v/>
      </c>
      <c r="BN47" s="1782" t="str">
        <f>'12 - Performance_Outputs_1'!G279</f>
        <v/>
      </c>
      <c r="BO47" s="1782" t="str">
        <f ca="1">'12 - Performance_Outputs_1'!H279</f>
        <v/>
      </c>
      <c r="BP47" s="1877" t="str">
        <f ca="1">'12 - Performance_Outputs_1'!I279</f>
        <v/>
      </c>
      <c r="BQ47" s="3850"/>
      <c r="BR47" s="1880">
        <f>'12 - Performance_Outputs_1'!K279</f>
        <v>0</v>
      </c>
      <c r="BS47" s="1879">
        <f>'12 - Performance_Outputs_1'!M279</f>
        <v>0</v>
      </c>
      <c r="BT47" s="1882" t="str">
        <f>'12 - Performance_Outputs_1'!R279</f>
        <v/>
      </c>
      <c r="BU47" s="1882" t="str">
        <f>'12 - Performance_Outputs_1'!S279</f>
        <v/>
      </c>
      <c r="BV47" s="1885">
        <f ca="1">SUMIF('12 - Performance_Outputs_1'!$B$311:$B$316,BL47,'12 - Performance_Outputs_1'!$E$311:$G$315)</f>
        <v>0</v>
      </c>
      <c r="BW47" s="1885">
        <f ca="1">SUMIF('12 - Performance_Outputs_1'!$B$311:$B$316,BL47,'12 - Performance_Outputs_1'!$H$311:$H$315)</f>
        <v>0</v>
      </c>
      <c r="BX47" s="1884" t="str">
        <f t="shared" si="38"/>
        <v/>
      </c>
      <c r="BY47" s="1888" t="str">
        <f t="shared" si="39"/>
        <v/>
      </c>
      <c r="BZ47" s="1884" t="str">
        <f t="shared" si="40"/>
        <v/>
      </c>
      <c r="CA47" s="1888" t="str">
        <f t="shared" si="41"/>
        <v/>
      </c>
      <c r="CB47" s="1886" t="str">
        <f t="shared" ca="1" si="42"/>
        <v/>
      </c>
      <c r="CC47" s="1883" t="str">
        <f t="shared" ca="1" si="43"/>
        <v/>
      </c>
      <c r="CD47" s="1889" t="str">
        <f t="shared" ca="1" si="44"/>
        <v/>
      </c>
      <c r="CE47" s="1883" t="str">
        <f t="shared" ca="1" si="45"/>
        <v/>
      </c>
      <c r="CF47" s="1889" t="str">
        <f t="shared" ca="1" si="46"/>
        <v/>
      </c>
      <c r="CG47" s="1887" t="str">
        <f t="shared" ca="1" si="47"/>
        <v/>
      </c>
      <c r="CH47" s="4124"/>
      <c r="CI47" s="4124"/>
      <c r="CJ47" s="4124"/>
      <c r="CK47" s="4124"/>
      <c r="CL47" s="4124"/>
      <c r="CM47" s="4124"/>
      <c r="CN47" s="4124"/>
      <c r="CO47" s="4124"/>
      <c r="CP47" s="4124"/>
      <c r="CQ47" s="4124"/>
      <c r="CR47" s="4124"/>
      <c r="CS47" s="4124"/>
      <c r="CT47" s="4124"/>
      <c r="CU47" s="4124"/>
      <c r="CV47" s="4124"/>
      <c r="CW47" s="4124"/>
      <c r="CX47" s="4124"/>
      <c r="CY47" s="4144"/>
      <c r="CZ47" s="4146"/>
      <c r="DA47" s="4148"/>
      <c r="DB47"/>
      <c r="DC47"/>
      <c r="DD47"/>
      <c r="DE47"/>
      <c r="DF47"/>
      <c r="DG47"/>
      <c r="DH47"/>
      <c r="DI47"/>
      <c r="DJ47"/>
      <c r="DK47"/>
    </row>
    <row r="48" spans="2:115" s="866" customFormat="1" ht="14.25" hidden="1" customHeight="1" x14ac:dyDescent="0.25">
      <c r="B48"/>
      <c r="C48"/>
      <c r="D48" s="3886" t="s">
        <v>2643</v>
      </c>
      <c r="E48" s="3887"/>
      <c r="F48" s="3887"/>
      <c r="G48" s="3887"/>
      <c r="H48" s="3887"/>
      <c r="I48" s="3983"/>
      <c r="M48"/>
      <c r="N48"/>
      <c r="O48" s="3886" t="s">
        <v>2644</v>
      </c>
      <c r="P48" s="3887"/>
      <c r="Q48" s="3983"/>
      <c r="V48"/>
      <c r="W48"/>
      <c r="X48" s="3886" t="s">
        <v>2687</v>
      </c>
      <c r="Y48" s="3887"/>
      <c r="Z48" s="3983"/>
      <c r="AJ48"/>
      <c r="AK48"/>
      <c r="AL48"/>
      <c r="AM48"/>
      <c r="AN48"/>
      <c r="AO48"/>
      <c r="AP48"/>
      <c r="AQ48"/>
      <c r="AR48"/>
      <c r="AS48"/>
      <c r="AT48"/>
      <c r="AU48"/>
      <c r="AV48"/>
      <c r="AW48"/>
      <c r="AX48"/>
      <c r="AY48"/>
      <c r="AZ48"/>
      <c r="BA48"/>
      <c r="BB48"/>
      <c r="BC48"/>
      <c r="BD48"/>
      <c r="BE48"/>
      <c r="BF48"/>
      <c r="BG48" s="4112" t="str">
        <f>IF(BK48="","Other Regulated","Other Non-Regulated")</f>
        <v>Other Non-Regulated</v>
      </c>
      <c r="BH48" s="4114" t="s">
        <v>2632</v>
      </c>
      <c r="BI48" s="4112" t="str">
        <f>'12 - Performance_Outputs_1'!B280</f>
        <v>Refrigeration Equipment (Regulated)</v>
      </c>
      <c r="BJ48" s="4113"/>
      <c r="BK48" s="3855">
        <f>'12 - Performance_Outputs_1'!D280</f>
        <v>0</v>
      </c>
      <c r="BL48" s="3839" t="str">
        <f>'12 - Performance_Outputs_1'!E280</f>
        <v>Electricity</v>
      </c>
      <c r="BM48" s="1299" t="str">
        <f>'12 - Performance_Outputs_1'!F280</f>
        <v/>
      </c>
      <c r="BN48" s="1782" t="str">
        <f>'12 - Performance_Outputs_1'!G280</f>
        <v/>
      </c>
      <c r="BO48" s="1782" t="str">
        <f ca="1">'12 - Performance_Outputs_1'!H280</f>
        <v/>
      </c>
      <c r="BP48" s="1877" t="str">
        <f ca="1">'12 - Performance_Outputs_1'!I280</f>
        <v/>
      </c>
      <c r="BQ48" s="3849" t="str">
        <f ca="1">'12 - Performance_Outputs_1'!J280</f>
        <v/>
      </c>
      <c r="BR48" s="1880" t="str">
        <f ca="1">'12 - Performance_Outputs_1'!K280</f>
        <v/>
      </c>
      <c r="BS48" s="1879" t="str">
        <f ca="1">'12 - Performance_Outputs_1'!M280</f>
        <v/>
      </c>
      <c r="BT48" s="1882" t="str">
        <f>'12 - Performance_Outputs_1'!R280</f>
        <v/>
      </c>
      <c r="BU48" s="1882" t="str">
        <f>'12 - Performance_Outputs_1'!S280</f>
        <v/>
      </c>
      <c r="BV48" s="1885">
        <f ca="1">SUMIF('12 - Performance_Outputs_1'!$B$311:$B$316,BL48,'12 - Performance_Outputs_1'!$E$311:$G$315)</f>
        <v>0</v>
      </c>
      <c r="BW48" s="1885">
        <f ca="1">SUMIF('12 - Performance_Outputs_1'!$B$311:$B$316,BL48,'12 - Performance_Outputs_1'!$H$311:$H$315)</f>
        <v>0</v>
      </c>
      <c r="BX48" s="1884" t="str">
        <f t="shared" si="38"/>
        <v/>
      </c>
      <c r="BY48" s="1888" t="str">
        <f t="shared" si="39"/>
        <v/>
      </c>
      <c r="BZ48" s="1884" t="str">
        <f t="shared" si="40"/>
        <v/>
      </c>
      <c r="CA48" s="1888" t="str">
        <f t="shared" si="41"/>
        <v/>
      </c>
      <c r="CB48" s="1886" t="str">
        <f t="shared" ca="1" si="42"/>
        <v/>
      </c>
      <c r="CC48" s="1883" t="str">
        <f t="shared" ca="1" si="43"/>
        <v/>
      </c>
      <c r="CD48" s="1889" t="str">
        <f t="shared" ca="1" si="44"/>
        <v/>
      </c>
      <c r="CE48" s="1883" t="str">
        <f t="shared" ca="1" si="45"/>
        <v/>
      </c>
      <c r="CF48" s="1889" t="str">
        <f t="shared" ca="1" si="46"/>
        <v/>
      </c>
      <c r="CG48" s="1887" t="str">
        <f t="shared" ca="1" si="47"/>
        <v/>
      </c>
      <c r="CH48" s="4110"/>
      <c r="CI48" s="4110"/>
      <c r="CJ48" s="4110"/>
      <c r="CK48" s="4110"/>
      <c r="CL48" s="4110"/>
      <c r="CM48" s="4110"/>
      <c r="CN48" s="4110"/>
      <c r="CO48" s="4110"/>
      <c r="CP48" s="4110"/>
      <c r="CQ48" s="4110"/>
      <c r="CR48" s="4110"/>
      <c r="CS48" s="4110"/>
      <c r="CT48" s="4110"/>
      <c r="CU48" s="4110"/>
      <c r="CV48" s="4110"/>
      <c r="CW48" s="4110"/>
      <c r="CX48" s="4110"/>
      <c r="CY48" s="4139"/>
      <c r="CZ48" s="4141"/>
      <c r="DA48" s="4137"/>
      <c r="DB48"/>
      <c r="DC48"/>
      <c r="DD48"/>
      <c r="DE48"/>
      <c r="DF48"/>
      <c r="DG48"/>
      <c r="DH48"/>
      <c r="DI48"/>
      <c r="DJ48"/>
      <c r="DK48"/>
    </row>
    <row r="49" spans="1:115" s="866" customFormat="1" ht="14.25" hidden="1" customHeight="1" x14ac:dyDescent="0.25">
      <c r="B49"/>
      <c r="C49"/>
      <c r="D49" s="3886" t="s">
        <v>272</v>
      </c>
      <c r="E49" s="3983"/>
      <c r="F49" s="3886" t="s">
        <v>273</v>
      </c>
      <c r="G49" s="3887"/>
      <c r="H49" s="3887"/>
      <c r="I49" s="3983"/>
      <c r="M49"/>
      <c r="N49"/>
      <c r="O49" s="1946" t="s">
        <v>272</v>
      </c>
      <c r="P49" s="3886" t="s">
        <v>2674</v>
      </c>
      <c r="Q49" s="3983"/>
      <c r="V49"/>
      <c r="W49"/>
      <c r="X49" s="1946" t="s">
        <v>273</v>
      </c>
      <c r="Y49" s="3886" t="s">
        <v>2206</v>
      </c>
      <c r="Z49" s="3983"/>
      <c r="AJ49"/>
      <c r="AK49"/>
      <c r="AL49"/>
      <c r="AM49"/>
      <c r="AN49"/>
      <c r="AO49"/>
      <c r="AP49"/>
      <c r="AQ49"/>
      <c r="AR49"/>
      <c r="AS49"/>
      <c r="AT49"/>
      <c r="AU49"/>
      <c r="AV49"/>
      <c r="AW49"/>
      <c r="AX49"/>
      <c r="AY49"/>
      <c r="AZ49"/>
      <c r="BA49"/>
      <c r="BB49"/>
      <c r="BC49"/>
      <c r="BD49"/>
      <c r="BE49"/>
      <c r="BF49"/>
      <c r="BG49" s="4113"/>
      <c r="BH49" s="4115"/>
      <c r="BI49" s="4113"/>
      <c r="BJ49" s="4113"/>
      <c r="BK49" s="3855"/>
      <c r="BL49" s="3839"/>
      <c r="BM49" s="1299" t="str">
        <f>'12 - Performance_Outputs_1'!F281</f>
        <v/>
      </c>
      <c r="BN49" s="1782" t="str">
        <f>'12 - Performance_Outputs_1'!G281</f>
        <v/>
      </c>
      <c r="BO49" s="1782" t="str">
        <f ca="1">'12 - Performance_Outputs_1'!H281</f>
        <v/>
      </c>
      <c r="BP49" s="1877" t="str">
        <f ca="1">'12 - Performance_Outputs_1'!I281</f>
        <v/>
      </c>
      <c r="BQ49" s="3850"/>
      <c r="BR49" s="1880">
        <f>'12 - Performance_Outputs_1'!K281</f>
        <v>0</v>
      </c>
      <c r="BS49" s="1879">
        <f>'12 - Performance_Outputs_1'!M281</f>
        <v>0</v>
      </c>
      <c r="BT49" s="1882" t="str">
        <f>'12 - Performance_Outputs_1'!R281</f>
        <v/>
      </c>
      <c r="BU49" s="1882" t="str">
        <f>'12 - Performance_Outputs_1'!S281</f>
        <v/>
      </c>
      <c r="BV49" s="1885">
        <f ca="1">SUMIF('12 - Performance_Outputs_1'!$B$311:$B$316,BL49,'12 - Performance_Outputs_1'!$E$311:$G$315)</f>
        <v>0</v>
      </c>
      <c r="BW49" s="1885">
        <f ca="1">SUMIF('12 - Performance_Outputs_1'!$B$311:$B$316,BL49,'12 - Performance_Outputs_1'!$H$311:$H$315)</f>
        <v>0</v>
      </c>
      <c r="BX49" s="1884" t="str">
        <f t="shared" si="38"/>
        <v/>
      </c>
      <c r="BY49" s="1888" t="str">
        <f t="shared" si="39"/>
        <v/>
      </c>
      <c r="BZ49" s="1884" t="str">
        <f t="shared" si="40"/>
        <v/>
      </c>
      <c r="CA49" s="1888" t="str">
        <f t="shared" si="41"/>
        <v/>
      </c>
      <c r="CB49" s="1886" t="str">
        <f t="shared" ca="1" si="42"/>
        <v/>
      </c>
      <c r="CC49" s="1883" t="str">
        <f t="shared" ca="1" si="43"/>
        <v/>
      </c>
      <c r="CD49" s="1889" t="str">
        <f t="shared" ca="1" si="44"/>
        <v/>
      </c>
      <c r="CE49" s="1883" t="str">
        <f t="shared" ca="1" si="45"/>
        <v/>
      </c>
      <c r="CF49" s="1889" t="str">
        <f t="shared" ca="1" si="46"/>
        <v/>
      </c>
      <c r="CG49" s="1887" t="str">
        <f t="shared" ca="1" si="47"/>
        <v/>
      </c>
      <c r="CH49" s="4111"/>
      <c r="CI49" s="4111"/>
      <c r="CJ49" s="4111"/>
      <c r="CK49" s="4111"/>
      <c r="CL49" s="4111"/>
      <c r="CM49" s="4111"/>
      <c r="CN49" s="4111"/>
      <c r="CO49" s="4111"/>
      <c r="CP49" s="4111"/>
      <c r="CQ49" s="4111"/>
      <c r="CR49" s="4111"/>
      <c r="CS49" s="4111"/>
      <c r="CT49" s="4111"/>
      <c r="CU49" s="4111"/>
      <c r="CV49" s="4111"/>
      <c r="CW49" s="4111"/>
      <c r="CX49" s="4111"/>
      <c r="CY49" s="4140"/>
      <c r="CZ49" s="4142"/>
      <c r="DA49" s="4138"/>
      <c r="DB49"/>
      <c r="DC49"/>
      <c r="DD49"/>
      <c r="DE49"/>
      <c r="DF49"/>
      <c r="DG49"/>
      <c r="DH49"/>
      <c r="DI49"/>
      <c r="DJ49"/>
      <c r="DK49"/>
    </row>
    <row r="50" spans="1:115" s="866" customFormat="1" ht="92.4" hidden="1" x14ac:dyDescent="0.25">
      <c r="B50" s="3886" t="s">
        <v>367</v>
      </c>
      <c r="C50" s="3983"/>
      <c r="D50" s="780" t="s">
        <v>2622</v>
      </c>
      <c r="E50" s="780" t="s">
        <v>2640</v>
      </c>
      <c r="F50" s="780" t="s">
        <v>2622</v>
      </c>
      <c r="G50" s="1670" t="s">
        <v>2639</v>
      </c>
      <c r="H50" s="1670" t="s">
        <v>2641</v>
      </c>
      <c r="I50" s="780" t="s">
        <v>2640</v>
      </c>
      <c r="K50" s="780" t="s">
        <v>2814</v>
      </c>
      <c r="M50" s="3886" t="s">
        <v>367</v>
      </c>
      <c r="N50" s="3983"/>
      <c r="O50" s="780" t="s">
        <v>2622</v>
      </c>
      <c r="P50" s="780" t="s">
        <v>2622</v>
      </c>
      <c r="Q50" s="1670" t="s">
        <v>2675</v>
      </c>
      <c r="V50" s="3886" t="s">
        <v>367</v>
      </c>
      <c r="W50" s="3983"/>
      <c r="X50" s="780" t="s">
        <v>2622</v>
      </c>
      <c r="Y50" s="780" t="s">
        <v>2622</v>
      </c>
      <c r="Z50" s="1670" t="s">
        <v>2675</v>
      </c>
      <c r="AJ50"/>
      <c r="AK50"/>
      <c r="AL50"/>
      <c r="AM50"/>
      <c r="AN50"/>
      <c r="AO50"/>
      <c r="AP50"/>
      <c r="AQ50"/>
      <c r="AR50"/>
      <c r="AS50"/>
      <c r="AT50"/>
      <c r="AU50"/>
      <c r="AV50"/>
      <c r="AW50"/>
      <c r="AX50"/>
      <c r="AY50"/>
      <c r="AZ50"/>
      <c r="BA50"/>
      <c r="BB50"/>
      <c r="BC50"/>
      <c r="BD50"/>
      <c r="BE50"/>
      <c r="BF50"/>
      <c r="BG50" s="4112" t="str">
        <f>IF(BK50="","Other Regulated","Other Non-Regulated")</f>
        <v>Other Non-Regulated</v>
      </c>
      <c r="BH50" s="4114" t="s">
        <v>2633</v>
      </c>
      <c r="BI50" s="4112" t="str">
        <f>'12 - Performance_Outputs_1'!B282</f>
        <v>Refrigeration Equipment (Unregulated)</v>
      </c>
      <c r="BJ50" s="4113"/>
      <c r="BK50" s="3855" t="str">
        <f>'12 - Performance_Outputs_1'!D282</f>
        <v>x</v>
      </c>
      <c r="BL50" s="3839" t="str">
        <f>'12 - Performance_Outputs_1'!E282</f>
        <v>Electricity</v>
      </c>
      <c r="BM50" s="1299" t="str">
        <f>'12 - Performance_Outputs_1'!F282</f>
        <v/>
      </c>
      <c r="BN50" s="1782" t="str">
        <f>'12 - Performance_Outputs_1'!G282</f>
        <v/>
      </c>
      <c r="BO50" s="1782" t="str">
        <f ca="1">'12 - Performance_Outputs_1'!H282</f>
        <v/>
      </c>
      <c r="BP50" s="1877" t="str">
        <f ca="1">'12 - Performance_Outputs_1'!I282</f>
        <v/>
      </c>
      <c r="BQ50" s="3849" t="str">
        <f ca="1">'12 - Performance_Outputs_1'!J282</f>
        <v/>
      </c>
      <c r="BR50" s="1880" t="str">
        <f ca="1">'12 - Performance_Outputs_1'!K282</f>
        <v/>
      </c>
      <c r="BS50" s="1879" t="str">
        <f ca="1">'12 - Performance_Outputs_1'!M282</f>
        <v/>
      </c>
      <c r="BT50" s="1882" t="str">
        <f>'12 - Performance_Outputs_1'!R282</f>
        <v/>
      </c>
      <c r="BU50" s="1882" t="str">
        <f>'12 - Performance_Outputs_1'!S282</f>
        <v/>
      </c>
      <c r="BV50" s="1885">
        <f ca="1">SUMIF('12 - Performance_Outputs_1'!$B$311:$B$316,BL50,'12 - Performance_Outputs_1'!$E$311:$G$315)</f>
        <v>0</v>
      </c>
      <c r="BW50" s="1885">
        <f ca="1">SUMIF('12 - Performance_Outputs_1'!$B$311:$B$316,BL50,'12 - Performance_Outputs_1'!$H$311:$H$315)</f>
        <v>0</v>
      </c>
      <c r="BX50" s="1884" t="str">
        <f t="shared" si="38"/>
        <v/>
      </c>
      <c r="BY50" s="1888" t="str">
        <f t="shared" si="39"/>
        <v/>
      </c>
      <c r="BZ50" s="1884" t="str">
        <f t="shared" si="40"/>
        <v/>
      </c>
      <c r="CA50" s="1888" t="str">
        <f t="shared" si="41"/>
        <v/>
      </c>
      <c r="CB50" s="1886" t="str">
        <f t="shared" ca="1" si="42"/>
        <v/>
      </c>
      <c r="CC50" s="1883" t="str">
        <f t="shared" ca="1" si="43"/>
        <v/>
      </c>
      <c r="CD50" s="1889" t="str">
        <f t="shared" ca="1" si="44"/>
        <v/>
      </c>
      <c r="CE50" s="1883" t="str">
        <f t="shared" ca="1" si="45"/>
        <v/>
      </c>
      <c r="CF50" s="1889" t="str">
        <f t="shared" ca="1" si="46"/>
        <v/>
      </c>
      <c r="CG50" s="1887" t="str">
        <f t="shared" ca="1" si="47"/>
        <v/>
      </c>
      <c r="CH50" s="4123" t="str">
        <f>IFERROR(IF($DD$1="4A",VLOOKUP(CH$4,'90.1-2004 Site EUI'!$A$3:$W$27,MATCH($BH50,'90.1-2004 Site EUI'!$A$4:$W$4,0),FALSE),IF($DD$1="5A",VLOOKUP(CH$4,'90.1-2004 Site EUI'!$A$29:$W$53,MATCH($BH50,'90.1-2004 Site EUI'!$A$30:$W$30,0),FALSE),IF($DD$1="6A",VLOOKUP(CH$4,'90.1-2004 Site EUI'!$A$55:$W$79,MATCH($BH50,'90.1-2004 Site EUI'!$A$56:$W$56,0),FALSE),""))),"")</f>
        <v/>
      </c>
      <c r="CI50" s="4123" t="str">
        <f>IFERROR(IF($DD$1="4A",VLOOKUP(CI$4,'90.1-2004 Site EUI'!$A$3:$W$27,MATCH($BH50,'90.1-2004 Site EUI'!$A$4:$W$4,0),FALSE),IF($DD$1="5A",VLOOKUP(CI$4,'90.1-2004 Site EUI'!$A$29:$W$53,MATCH($BH50,'90.1-2004 Site EUI'!$A$30:$W$30,0),FALSE),IF($DD$1="6A",VLOOKUP(CI$4,'90.1-2004 Site EUI'!$A$55:$W$79,MATCH($BH50,'90.1-2004 Site EUI'!$A$56:$W$56,0),FALSE),""))),"")</f>
        <v/>
      </c>
      <c r="CJ50" s="4123" t="str">
        <f>IFERROR(IF($DD$1="4A",VLOOKUP(CJ$4,'90.1-2004 Site EUI'!$A$3:$W$27,MATCH($BH50,'90.1-2004 Site EUI'!$A$4:$W$4,0),FALSE),IF($DD$1="5A",VLOOKUP(CJ$4,'90.1-2004 Site EUI'!$A$29:$W$53,MATCH($BH50,'90.1-2004 Site EUI'!$A$30:$W$30,0),FALSE),IF($DD$1="6A",VLOOKUP(CJ$4,'90.1-2004 Site EUI'!$A$55:$W$79,MATCH($BH50,'90.1-2004 Site EUI'!$A$56:$W$56,0),FALSE),""))),"")</f>
        <v/>
      </c>
      <c r="CK50" s="4123" t="str">
        <f>IFERROR(IF($DD$1="4A",VLOOKUP(CK$4,'90.1-2004 Site EUI'!$A$3:$W$27,MATCH($BH50,'90.1-2004 Site EUI'!$A$4:$W$4,0),FALSE),IF($DD$1="5A",VLOOKUP(CK$4,'90.1-2004 Site EUI'!$A$29:$W$53,MATCH($BH50,'90.1-2004 Site EUI'!$A$30:$W$30,0),FALSE),IF($DD$1="6A",VLOOKUP(CK$4,'90.1-2004 Site EUI'!$A$55:$W$79,MATCH($BH50,'90.1-2004 Site EUI'!$A$56:$W$56,0),FALSE),""))),"")</f>
        <v/>
      </c>
      <c r="CL50" s="4123" t="str">
        <f>IFERROR(IF($DD$1="4A",VLOOKUP(CL$4,'90.1-2004 Site EUI'!$A$3:$W$27,MATCH($BH50,'90.1-2004 Site EUI'!$A$4:$W$4,0),FALSE),IF($DD$1="5A",VLOOKUP(CL$4,'90.1-2004 Site EUI'!$A$29:$W$53,MATCH($BH50,'90.1-2004 Site EUI'!$A$30:$W$30,0),FALSE),IF($DD$1="6A",VLOOKUP(CL$4,'90.1-2004 Site EUI'!$A$55:$W$79,MATCH($BH50,'90.1-2004 Site EUI'!$A$56:$W$56,0),FALSE),""))),"")</f>
        <v/>
      </c>
      <c r="CM50" s="4123" t="str">
        <f>IFERROR(IF($DD$1="4A",VLOOKUP(CM$4,'90.1-2004 Site EUI'!$A$3:$W$27,MATCH($BH50,'90.1-2004 Site EUI'!$A$4:$W$4,0),FALSE),IF($DD$1="5A",VLOOKUP(CM$4,'90.1-2004 Site EUI'!$A$29:$W$53,MATCH($BH50,'90.1-2004 Site EUI'!$A$30:$W$30,0),FALSE),IF($DD$1="6A",VLOOKUP(CM$4,'90.1-2004 Site EUI'!$A$55:$W$79,MATCH($BH50,'90.1-2004 Site EUI'!$A$56:$W$56,0),FALSE),""))),"")</f>
        <v/>
      </c>
      <c r="CN50" s="4123" t="str">
        <f>IFERROR(IF($DD$1="4A",VLOOKUP(CN$4,'90.1-2004 Site EUI'!$A$3:$W$27,MATCH($BH50,'90.1-2004 Site EUI'!$A$4:$W$4,0),FALSE),IF($DD$1="5A",VLOOKUP(CN$4,'90.1-2004 Site EUI'!$A$29:$W$53,MATCH($BH50,'90.1-2004 Site EUI'!$A$30:$W$30,0),FALSE),IF($DD$1="6A",VLOOKUP(CN$4,'90.1-2004 Site EUI'!$A$55:$W$79,MATCH($BH50,'90.1-2004 Site EUI'!$A$56:$W$56,0),FALSE),""))),"")</f>
        <v/>
      </c>
      <c r="CO50" s="4123" t="e">
        <f>AVERAGE(CH50:CN51,CP50)</f>
        <v>#DIV/0!</v>
      </c>
      <c r="CP50" s="4123" t="str">
        <f>IFERROR(IF($DD$1="4A",VLOOKUP(CP$4,'90.1-2004 Site EUI'!$A$3:$W$27,MATCH($BH50,'90.1-2004 Site EUI'!$A$4:$W$4,0),FALSE),IF($DD$1="5A",VLOOKUP(CP$4,'90.1-2004 Site EUI'!$A$29:$W$53,MATCH($BH50,'90.1-2004 Site EUI'!$A$30:$W$30,0),FALSE),IF($DD$1="6A",VLOOKUP(CP$4,'90.1-2004 Site EUI'!$A$55:$W$79,MATCH($BH50,'90.1-2004 Site EUI'!$A$56:$W$56,0),FALSE),""))),"")</f>
        <v/>
      </c>
      <c r="CQ50" s="4123" t="str">
        <f>IFERROR(IF($DD$1="4A",VLOOKUP(CQ$4,'90.1-2013 Site EUI'!$A$3:$W$27,MATCH($BH50,'90.1-2013 Site EUI'!$A$4:$W$4,0),FALSE),IF($DD$1="5A",VLOOKUP(CQ$4,'90.1-2013 Site EUI'!$A$29:$W$53,MATCH($BH50,'90.1-2013 Site EUI'!$A$30:$W$30,0),FALSE),IF($DD$1="6A",VLOOKUP(CQ$4,'90.1-2013 Site EUI'!$A$55:$W$79,MATCH($BH50,'90.1-2013 Site EUI'!$A$56:$W$56,0),FALSE),""))),"")</f>
        <v/>
      </c>
      <c r="CR50" s="4123" t="str">
        <f>IFERROR(IF($DD$1="4A",VLOOKUP(CR$4,'90.1-2013 Site EUI'!$A$3:$W$27,MATCH($BH50,'90.1-2013 Site EUI'!$A$4:$W$4,0),FALSE),IF($DD$1="5A",VLOOKUP(CR$4,'90.1-2013 Site EUI'!$A$29:$W$53,MATCH($BH50,'90.1-2013 Site EUI'!$A$30:$W$30,0),FALSE),IF($DD$1="6A",VLOOKUP(CR$4,'90.1-2013 Site EUI'!$A$55:$W$79,MATCH($BH50,'90.1-2013 Site EUI'!$A$56:$W$56,0),FALSE),""))),"")</f>
        <v/>
      </c>
      <c r="CS50" s="4123" t="str">
        <f>IFERROR(IF($DD$1="4A",VLOOKUP(CS$4,'90.1-2013 Site EUI'!$A$3:$W$27,MATCH($BH50,'90.1-2013 Site EUI'!$A$4:$W$4,0),FALSE),IF($DD$1="5A",VLOOKUP(CS$4,'90.1-2013 Site EUI'!$A$29:$W$53,MATCH($BH50,'90.1-2013 Site EUI'!$A$30:$W$30,0),FALSE),IF($DD$1="6A",VLOOKUP(CS$4,'90.1-2013 Site EUI'!$A$55:$W$79,MATCH($BH50,'90.1-2013 Site EUI'!$A$56:$W$56,0),FALSE),""))),"")</f>
        <v/>
      </c>
      <c r="CT50" s="4123" t="str">
        <f>IFERROR(IF($DD$1="4A",VLOOKUP(CT$4,'90.1-2013 Site EUI'!$A$3:$W$27,MATCH($BH50,'90.1-2013 Site EUI'!$A$4:$W$4,0),FALSE),IF($DD$1="5A",VLOOKUP(CT$4,'90.1-2013 Site EUI'!$A$29:$W$53,MATCH($BH50,'90.1-2013 Site EUI'!$A$30:$W$30,0),FALSE),IF($DD$1="6A",VLOOKUP(CT$4,'90.1-2013 Site EUI'!$A$55:$W$79,MATCH($BH50,'90.1-2013 Site EUI'!$A$56:$W$56,0),FALSE),""))),"")</f>
        <v/>
      </c>
      <c r="CU50" s="4123" t="str">
        <f>IFERROR(IF($DD$1="4A",VLOOKUP(CU$4,'90.1-2013 Site EUI'!$A$3:$W$27,MATCH($BH50,'90.1-2013 Site EUI'!$A$4:$W$4,0),FALSE),IF($DD$1="5A",VLOOKUP(CU$4,'90.1-2013 Site EUI'!$A$29:$W$53,MATCH($BH50,'90.1-2013 Site EUI'!$A$30:$W$30,0),FALSE),IF($DD$1="6A",VLOOKUP(CU$4,'90.1-2013 Site EUI'!$A$55:$W$79,MATCH($BH50,'90.1-2013 Site EUI'!$A$56:$W$56,0),FALSE),""))),"")</f>
        <v/>
      </c>
      <c r="CV50" s="4123" t="str">
        <f>IFERROR(IF($DD$1="4A",VLOOKUP(CV$4,'90.1-2013 Site EUI'!$A$3:$W$27,MATCH($BH50,'90.1-2013 Site EUI'!$A$4:$W$4,0),FALSE),IF($DD$1="5A",VLOOKUP(CV$4,'90.1-2013 Site EUI'!$A$29:$W$53,MATCH($BH50,'90.1-2013 Site EUI'!$A$30:$W$30,0),FALSE),IF($DD$1="6A",VLOOKUP(CV$4,'90.1-2013 Site EUI'!$A$55:$W$79,MATCH($BH50,'90.1-2013 Site EUI'!$A$56:$W$56,0),FALSE),""))),"")</f>
        <v/>
      </c>
      <c r="CW50" s="4123" t="str">
        <f>IFERROR(IF($DD$1="4A",VLOOKUP(CW$4,'90.1-2013 Site EUI'!$A$3:$W$27,MATCH($BH50,'90.1-2013 Site EUI'!$A$4:$W$4,0),FALSE),IF($DD$1="5A",VLOOKUP(CW$4,'90.1-2013 Site EUI'!$A$29:$W$53,MATCH($BH50,'90.1-2013 Site EUI'!$A$30:$W$30,0),FALSE),IF($DD$1="6A",VLOOKUP(CW$4,'90.1-2013 Site EUI'!$A$55:$W$79,MATCH($BH50,'90.1-2013 Site EUI'!$A$56:$W$56,0),FALSE),""))),"")</f>
        <v/>
      </c>
      <c r="CX50" s="4123" t="e">
        <f>AVERAGE(CQ50:CW51,CY50)</f>
        <v>#DIV/0!</v>
      </c>
      <c r="CY50" s="4143" t="str">
        <f>IFERROR(IF($DD$1="4A",VLOOKUP(CY$4,'90.1-2013 Site EUI'!$A$3:$W$27,MATCH($BH50,'90.1-2013 Site EUI'!$A$4:$W$4,0),FALSE),IF($DD$1="5A",VLOOKUP(CY$4,'90.1-2013 Site EUI'!$A$29:$W$53,MATCH($BH50,'90.1-2013 Site EUI'!$A$30:$W$30,0),FALSE),IF($DD$1="6A",VLOOKUP(CY$4,'90.1-2013 Site EUI'!$A$55:$W$79,MATCH($BH50,'90.1-2013 Site EUI'!$A$56:$W$56,0),FALSE),""))),"")</f>
        <v/>
      </c>
      <c r="CZ50" s="4145" t="e">
        <f>SUMIF($CH$4:$CP$4,$DG$1,CH50:CP51)*$DI$1+SUMIF($CH$4:$CP$4,$DG$2,CH50:CP51)*$DI$2+SUMIF($CH$4:$CP$4,$DG$3,CH50:CP51)*$DI$3+SUMIF($CH$4:$CP$4,$DG$4,CH50:CP51)*$DI$4+SUMIF($CH$4:$CP$4,$DG$5,CH50:CP51)*$DI$5+SUMIF($CH$4:$CP$4,$DG$6,CH50:CP51)*$DI$6+SUMIF($CH$4:$CP$4,$DG$7,CH50:CP51)*$DI$7+SUMIF($CH$4:$CP$4,$DG$8,CH50:CP51)*$DI$8+SUMIF($CH$4:$CP$4,$DG$8,CH50:CP51)*$DI$8+SUMIF($CH$4:$CP$4,$DG$9,CH50:CP51)*$DI$9</f>
        <v>#DIV/0!</v>
      </c>
      <c r="DA50" s="4147" t="e">
        <f>SUMIF($CQ$4:$CY$4,$DG$1,CQ50:CY51)*$DI$1+SUMIF($CQ$4:$CY$4,$DG$2,CQ50:CY51)*$DI$2+SUMIF($CQ$4:$CY$4,$DG$3,CQ50:CY51)*$DI$3+SUMIF($CQ$4:$CY$4,$DG$4,CQ50:CY51)*$DI$4+SUMIF($CQ$4:$CY$4,$DG$5,CQ50:CY51)*$DI$5+SUMIF($CQ$4:$CY$4,$DG$6,CQ50:CY51)*$DI$6+SUMIF($CQ$4:$CY$4,$DG$7,CQ50:CY51)*$DI$7+SUMIF($CQ$4:$CY$4,$DG$8,CQ50:CY51)*$DI$8+SUMIF($CQ$4:$CY$4,$DG$9,CQ50:CY51)*$DI$9</f>
        <v>#DIV/0!</v>
      </c>
      <c r="DB50"/>
      <c r="DC50"/>
      <c r="DD50"/>
      <c r="DE50"/>
      <c r="DF50"/>
      <c r="DG50"/>
      <c r="DH50"/>
      <c r="DI50"/>
      <c r="DJ50"/>
      <c r="DK50"/>
    </row>
    <row r="51" spans="1:115" s="866" customFormat="1" hidden="1" x14ac:dyDescent="0.25">
      <c r="B51" s="4135" t="str">
        <f>'Quality Assurance Checks'!AJ7</f>
        <v>Lighting, Interior</v>
      </c>
      <c r="C51" s="4136"/>
      <c r="D51" s="1948">
        <f>SUMIF('Quality Assurance Checks'!AJ:AJ,B51,'Quality Assurance Checks'!AL:AL)</f>
        <v>0</v>
      </c>
      <c r="E51" s="1948" t="e">
        <f ca="1">SUMIF('Quality Assurance Checks'!AJ:AJ,B51,'Quality Assurance Checks'!AP:AP)</f>
        <v>#DIV/0!</v>
      </c>
      <c r="F51" s="1948">
        <f ca="1">SUMIF('Quality Assurance Checks'!AJ:AJ,B51,'Quality Assurance Checks'!AS:AS)</f>
        <v>0</v>
      </c>
      <c r="G51" s="1950" t="e">
        <f ca="1">IF(SUMIF('Quality Assurance Checks'!AJ:AJ,B51,'Quality Assurance Checks'!AX:AX)&lt;0.001,#N/A,SUMIF('Quality Assurance Checks'!AJ:AJ,B51,'Quality Assurance Checks'!AX:AX))</f>
        <v>#N/A</v>
      </c>
      <c r="H51" s="1950" t="e">
        <f ca="1">IF(SUMIF('Quality Assurance Checks'!AJ:AJ,B51,'Quality Assurance Checks'!AY:AY)&lt;0.001,#N/A,SUMIF('Quality Assurance Checks'!AJ:AJ,B51,'Quality Assurance Checks'!AY:AY))</f>
        <v>#N/A</v>
      </c>
      <c r="I51" s="1948" t="e">
        <f ca="1">SUMIF('Quality Assurance Checks'!AJ:AJ,B51,'Quality Assurance Checks'!AW:AW)</f>
        <v>#DIV/0!</v>
      </c>
      <c r="J51" s="1948" t="str">
        <f ca="1">IFERROR(100*G51,"")</f>
        <v/>
      </c>
      <c r="K51" s="2003" t="str">
        <f ca="1">IFERROR(RANK(J51,$J$51:$J$59,0),"")</f>
        <v/>
      </c>
      <c r="L51" s="2005" t="s">
        <v>236</v>
      </c>
      <c r="M51" s="1999" t="str">
        <f>'Quality Assurance Checks'!AJ7</f>
        <v>Lighting, Interior</v>
      </c>
      <c r="N51" s="2000"/>
      <c r="O51" s="1948">
        <f>SUMIF('Quality Assurance Checks'!AJ:AJ,M51,'Quality Assurance Checks'!AL:AL)</f>
        <v>0</v>
      </c>
      <c r="P51" s="1948" t="e">
        <f>SUMIF('Quality Assurance Checks'!AJ:AJ,M51,'Quality Assurance Checks'!BB:BB)</f>
        <v>#DIV/0!</v>
      </c>
      <c r="Q51" s="1950" t="e">
        <f>IF(SUMIF('Quality Assurance Checks'!AJ:AJ,M51,'Quality Assurance Checks'!AQ:AQ)&lt;0.001,#N/A,SUMIF('Quality Assurance Checks'!AJ:AJ,M51,'Quality Assurance Checks'!AQ:AQ))</f>
        <v>#N/A</v>
      </c>
      <c r="V51" s="4135" t="str">
        <f>'Quality Assurance Checks'!AJ7</f>
        <v>Lighting, Interior</v>
      </c>
      <c r="W51" s="4136"/>
      <c r="X51" s="1948">
        <f ca="1">SUMIF('Quality Assurance Checks'!AJ:AJ,'Quality Assurance Checks'!M51,'Quality Assurance Checks'!AS:AS)</f>
        <v>0</v>
      </c>
      <c r="Y51" s="1948" t="e">
        <f>SUMIF('Quality Assurance Checks'!AJ:AJ,'Quality Assurance Checks'!M51,'Quality Assurance Checks'!BC:BC)</f>
        <v>#DIV/0!</v>
      </c>
      <c r="Z51" s="1950" t="e">
        <f ca="1">IF(SUMIF('Quality Assurance Checks'!AJ:AJ,'Quality Assurance Checks'!M51,'Quality Assurance Checks'!BA:BA)&lt;0.001,#N/A,SUMIF('Quality Assurance Checks'!AJ:AJ,'Quality Assurance Checks'!M51,'Quality Assurance Checks'!BA:BA))</f>
        <v>#N/A</v>
      </c>
      <c r="AJ51"/>
      <c r="AK51"/>
      <c r="AL51"/>
      <c r="AM51"/>
      <c r="AN51"/>
      <c r="AO51"/>
      <c r="AP51"/>
      <c r="AQ51"/>
      <c r="AR51"/>
      <c r="AS51"/>
      <c r="AT51"/>
      <c r="AU51"/>
      <c r="AV51"/>
      <c r="AW51"/>
      <c r="AX51"/>
      <c r="AY51"/>
      <c r="AZ51"/>
      <c r="BA51"/>
      <c r="BB51"/>
      <c r="BC51"/>
      <c r="BD51"/>
      <c r="BE51"/>
      <c r="BF51"/>
      <c r="BG51" s="4113"/>
      <c r="BH51" s="4115"/>
      <c r="BI51" s="4113"/>
      <c r="BJ51" s="4113"/>
      <c r="BK51" s="3855"/>
      <c r="BL51" s="3839"/>
      <c r="BM51" s="1299" t="str">
        <f>'12 - Performance_Outputs_1'!F283</f>
        <v/>
      </c>
      <c r="BN51" s="1782" t="str">
        <f>'12 - Performance_Outputs_1'!G283</f>
        <v/>
      </c>
      <c r="BO51" s="1782" t="str">
        <f ca="1">'12 - Performance_Outputs_1'!H283</f>
        <v/>
      </c>
      <c r="BP51" s="1877" t="str">
        <f ca="1">'12 - Performance_Outputs_1'!I283</f>
        <v/>
      </c>
      <c r="BQ51" s="3850"/>
      <c r="BR51" s="1880">
        <f>'12 - Performance_Outputs_1'!K283</f>
        <v>0</v>
      </c>
      <c r="BS51" s="1879">
        <f>'12 - Performance_Outputs_1'!M283</f>
        <v>0</v>
      </c>
      <c r="BT51" s="1882" t="str">
        <f>'12 - Performance_Outputs_1'!R283</f>
        <v/>
      </c>
      <c r="BU51" s="1882" t="str">
        <f>'12 - Performance_Outputs_1'!S283</f>
        <v/>
      </c>
      <c r="BV51" s="1885">
        <f ca="1">SUMIF('12 - Performance_Outputs_1'!$B$311:$B$316,BL51,'12 - Performance_Outputs_1'!$E$311:$G$315)</f>
        <v>0</v>
      </c>
      <c r="BW51" s="1885">
        <f ca="1">SUMIF('12 - Performance_Outputs_1'!$B$311:$B$316,BL51,'12 - Performance_Outputs_1'!$H$311:$H$315)</f>
        <v>0</v>
      </c>
      <c r="BX51" s="1884" t="str">
        <f t="shared" si="38"/>
        <v/>
      </c>
      <c r="BY51" s="1888" t="str">
        <f t="shared" si="39"/>
        <v/>
      </c>
      <c r="BZ51" s="1884" t="str">
        <f t="shared" si="40"/>
        <v/>
      </c>
      <c r="CA51" s="1888" t="str">
        <f t="shared" si="41"/>
        <v/>
      </c>
      <c r="CB51" s="1886" t="str">
        <f t="shared" ca="1" si="42"/>
        <v/>
      </c>
      <c r="CC51" s="1883" t="str">
        <f t="shared" ca="1" si="43"/>
        <v/>
      </c>
      <c r="CD51" s="1889" t="str">
        <f t="shared" ca="1" si="44"/>
        <v/>
      </c>
      <c r="CE51" s="1883" t="str">
        <f t="shared" ca="1" si="45"/>
        <v/>
      </c>
      <c r="CF51" s="1889" t="str">
        <f t="shared" ca="1" si="46"/>
        <v/>
      </c>
      <c r="CG51" s="1887" t="str">
        <f t="shared" ca="1" si="47"/>
        <v/>
      </c>
      <c r="CH51" s="4124"/>
      <c r="CI51" s="4124"/>
      <c r="CJ51" s="4124"/>
      <c r="CK51" s="4124"/>
      <c r="CL51" s="4124"/>
      <c r="CM51" s="4124"/>
      <c r="CN51" s="4124"/>
      <c r="CO51" s="4124"/>
      <c r="CP51" s="4124"/>
      <c r="CQ51" s="4124"/>
      <c r="CR51" s="4124"/>
      <c r="CS51" s="4124"/>
      <c r="CT51" s="4124"/>
      <c r="CU51" s="4124"/>
      <c r="CV51" s="4124"/>
      <c r="CW51" s="4124"/>
      <c r="CX51" s="4124"/>
      <c r="CY51" s="4144"/>
      <c r="CZ51" s="4146"/>
      <c r="DA51" s="4148"/>
      <c r="DB51"/>
      <c r="DC51"/>
      <c r="DD51"/>
      <c r="DE51"/>
      <c r="DF51"/>
      <c r="DG51"/>
      <c r="DH51"/>
      <c r="DI51"/>
      <c r="DJ51"/>
      <c r="DK51"/>
    </row>
    <row r="52" spans="1:115" s="866" customFormat="1" hidden="1" x14ac:dyDescent="0.25">
      <c r="B52" s="4133" t="str">
        <f>'Quality Assurance Checks'!AJ8</f>
        <v>Lighting, Exterior</v>
      </c>
      <c r="C52" s="4134"/>
      <c r="D52" s="1949">
        <f>SUMIF('Quality Assurance Checks'!AJ:AJ,B52,'Quality Assurance Checks'!AL:AL)</f>
        <v>0</v>
      </c>
      <c r="E52" s="1949" t="e">
        <f ca="1">SUMIF('Quality Assurance Checks'!AJ:AJ,B52,'Quality Assurance Checks'!AP:AP)</f>
        <v>#DIV/0!</v>
      </c>
      <c r="F52" s="1949">
        <f ca="1">SUMIF('Quality Assurance Checks'!AJ:AJ,B52,'Quality Assurance Checks'!AS:AS)</f>
        <v>0</v>
      </c>
      <c r="G52" s="1951" t="e">
        <f ca="1">IF(SUMIF('Quality Assurance Checks'!AJ:AJ,B52,'Quality Assurance Checks'!AX:AX)&lt;0.001,#N/A,SUMIF('Quality Assurance Checks'!AJ:AJ,B52,'Quality Assurance Checks'!AX:AX))</f>
        <v>#N/A</v>
      </c>
      <c r="H52" s="1951" t="e">
        <f ca="1">IF(SUMIF('Quality Assurance Checks'!AJ:AJ,B52,'Quality Assurance Checks'!AY:AY)&lt;0.001,#N/A,SUMIF('Quality Assurance Checks'!AJ:AJ,B52,'Quality Assurance Checks'!AY:AY))</f>
        <v>#N/A</v>
      </c>
      <c r="I52" s="1949" t="e">
        <f ca="1">SUMIF('Quality Assurance Checks'!AJ:AJ,B52,'Quality Assurance Checks'!AW:AW)</f>
        <v>#DIV/0!</v>
      </c>
      <c r="J52" s="1949" t="str">
        <f t="shared" ref="J52:J59" ca="1" si="48">IFERROR(100*G52,"")</f>
        <v/>
      </c>
      <c r="K52" s="2004" t="str">
        <f t="shared" ref="K52:K59" ca="1" si="49">IFERROR(RANK(J52,$J$51:$J$59,0),"")</f>
        <v/>
      </c>
      <c r="L52" s="2005" t="s">
        <v>237</v>
      </c>
      <c r="M52" s="2001" t="str">
        <f>'Quality Assurance Checks'!AJ8</f>
        <v>Lighting, Exterior</v>
      </c>
      <c r="N52" s="2002"/>
      <c r="O52" s="1949">
        <f>SUMIF('Quality Assurance Checks'!AJ:AJ,M52,'Quality Assurance Checks'!AL:AL)</f>
        <v>0</v>
      </c>
      <c r="P52" s="1949" t="e">
        <f>SUMIF('Quality Assurance Checks'!AJ:AJ,M52,'Quality Assurance Checks'!BB:BB)</f>
        <v>#DIV/0!</v>
      </c>
      <c r="Q52" s="1951" t="e">
        <f>IF(SUMIF('Quality Assurance Checks'!AJ:AJ,M52,'Quality Assurance Checks'!AQ:AQ)&lt;0.001,#N/A,SUMIF('Quality Assurance Checks'!AJ:AJ,M52,'Quality Assurance Checks'!AQ:AQ))</f>
        <v>#N/A</v>
      </c>
      <c r="V52" s="4133" t="str">
        <f>'Quality Assurance Checks'!AJ8</f>
        <v>Lighting, Exterior</v>
      </c>
      <c r="W52" s="4134"/>
      <c r="X52" s="1949">
        <f ca="1">SUMIF('Quality Assurance Checks'!AJ:AJ,'Quality Assurance Checks'!M52,'Quality Assurance Checks'!AS:AS)</f>
        <v>0</v>
      </c>
      <c r="Y52" s="1949" t="e">
        <f>SUMIF('Quality Assurance Checks'!AJ:AJ,'Quality Assurance Checks'!M52,'Quality Assurance Checks'!BC:BC)</f>
        <v>#DIV/0!</v>
      </c>
      <c r="Z52" s="1951" t="e">
        <f ca="1">IF(SUMIF('Quality Assurance Checks'!AJ:AJ,'Quality Assurance Checks'!M52,'Quality Assurance Checks'!BA:BA)&lt;0.001,#N/A,SUMIF('Quality Assurance Checks'!AJ:AJ,'Quality Assurance Checks'!M52,'Quality Assurance Checks'!BA:BA))</f>
        <v>#N/A</v>
      </c>
      <c r="AJ52"/>
      <c r="AK52"/>
      <c r="AL52"/>
      <c r="AM52"/>
      <c r="AN52"/>
      <c r="AO52"/>
      <c r="AP52"/>
      <c r="AQ52"/>
      <c r="AR52"/>
      <c r="AS52"/>
      <c r="AT52"/>
      <c r="AU52"/>
      <c r="AV52"/>
      <c r="AW52"/>
      <c r="AX52"/>
      <c r="AY52"/>
      <c r="AZ52"/>
      <c r="BA52"/>
      <c r="BB52"/>
      <c r="BC52"/>
      <c r="BD52"/>
      <c r="BE52"/>
      <c r="BF52"/>
      <c r="BG52" s="4112" t="str">
        <f>IF(BK52="","Other Regulated","Other Non-Regulated")</f>
        <v>Other Non-Regulated</v>
      </c>
      <c r="BH52" s="4114" t="s">
        <v>2634</v>
      </c>
      <c r="BI52" s="4112" t="str">
        <f>'12 - Performance_Outputs_1'!B284</f>
        <v>Elevators and escalators</v>
      </c>
      <c r="BJ52" s="4113"/>
      <c r="BK52" s="3855">
        <f>'12 - Performance_Outputs_1'!D284</f>
        <v>0</v>
      </c>
      <c r="BL52" s="3839" t="str">
        <f>'12 - Performance_Outputs_1'!E284</f>
        <v>Electricity</v>
      </c>
      <c r="BM52" s="1299" t="str">
        <f>'12 - Performance_Outputs_1'!F284</f>
        <v/>
      </c>
      <c r="BN52" s="1782" t="str">
        <f>'12 - Performance_Outputs_1'!G284</f>
        <v/>
      </c>
      <c r="BO52" s="1782" t="str">
        <f ca="1">'12 - Performance_Outputs_1'!H284</f>
        <v/>
      </c>
      <c r="BP52" s="1877" t="str">
        <f ca="1">'12 - Performance_Outputs_1'!I284</f>
        <v/>
      </c>
      <c r="BQ52" s="3849" t="str">
        <f ca="1">'12 - Performance_Outputs_1'!J284</f>
        <v/>
      </c>
      <c r="BR52" s="1880" t="str">
        <f ca="1">'12 - Performance_Outputs_1'!K284</f>
        <v/>
      </c>
      <c r="BS52" s="1879" t="str">
        <f ca="1">'12 - Performance_Outputs_1'!M284</f>
        <v/>
      </c>
      <c r="BT52" s="1882" t="str">
        <f>'12 - Performance_Outputs_1'!R284</f>
        <v/>
      </c>
      <c r="BU52" s="1882" t="str">
        <f>'12 - Performance_Outputs_1'!S284</f>
        <v/>
      </c>
      <c r="BV52" s="1885">
        <f ca="1">SUMIF('12 - Performance_Outputs_1'!$B$311:$B$316,BL52,'12 - Performance_Outputs_1'!$E$311:$G$315)</f>
        <v>0</v>
      </c>
      <c r="BW52" s="1885">
        <f ca="1">SUMIF('12 - Performance_Outputs_1'!$B$311:$B$316,BL52,'12 - Performance_Outputs_1'!$H$311:$H$315)</f>
        <v>0</v>
      </c>
      <c r="BX52" s="1884" t="str">
        <f t="shared" si="38"/>
        <v/>
      </c>
      <c r="BY52" s="1888" t="str">
        <f t="shared" si="39"/>
        <v/>
      </c>
      <c r="BZ52" s="1884" t="str">
        <f t="shared" si="40"/>
        <v/>
      </c>
      <c r="CA52" s="1888" t="str">
        <f t="shared" si="41"/>
        <v/>
      </c>
      <c r="CB52" s="1886" t="str">
        <f t="shared" ca="1" si="42"/>
        <v/>
      </c>
      <c r="CC52" s="1883" t="str">
        <f t="shared" ca="1" si="43"/>
        <v/>
      </c>
      <c r="CD52" s="1889" t="str">
        <f t="shared" ca="1" si="44"/>
        <v/>
      </c>
      <c r="CE52" s="1883" t="str">
        <f t="shared" ca="1" si="45"/>
        <v/>
      </c>
      <c r="CF52" s="1889" t="str">
        <f t="shared" ca="1" si="46"/>
        <v/>
      </c>
      <c r="CG52" s="1887" t="str">
        <f t="shared" ca="1" si="47"/>
        <v/>
      </c>
      <c r="CH52" s="4123" t="str">
        <f>IFERROR(IF($DD$1="4A",VLOOKUP(CH$4,'90.1-2004 Site EUI'!$A$3:$W$27,MATCH($BH52,'90.1-2004 Site EUI'!$A$4:$W$4,0),FALSE),IF($DD$1="5A",VLOOKUP(CH$4,'90.1-2004 Site EUI'!$A$29:$W$53,MATCH($BH52,'90.1-2004 Site EUI'!$A$30:$W$30,0),FALSE),IF($DD$1="6A",VLOOKUP(CH$4,'90.1-2004 Site EUI'!$A$55:$W$79,MATCH($BH52,'90.1-2004 Site EUI'!$A$56:$W$56,0),FALSE),""))),"")</f>
        <v/>
      </c>
      <c r="CI52" s="4123" t="str">
        <f>IFERROR(IF($DD$1="4A",VLOOKUP(CI$4,'90.1-2004 Site EUI'!$A$3:$W$27,MATCH($BH52,'90.1-2004 Site EUI'!$A$4:$W$4,0),FALSE),IF($DD$1="5A",VLOOKUP(CI$4,'90.1-2004 Site EUI'!$A$29:$W$53,MATCH($BH52,'90.1-2004 Site EUI'!$A$30:$W$30,0),FALSE),IF($DD$1="6A",VLOOKUP(CI$4,'90.1-2004 Site EUI'!$A$55:$W$79,MATCH($BH52,'90.1-2004 Site EUI'!$A$56:$W$56,0),FALSE),""))),"")</f>
        <v/>
      </c>
      <c r="CJ52" s="4123" t="str">
        <f>IFERROR(IF($DD$1="4A",VLOOKUP(CJ$4,'90.1-2004 Site EUI'!$A$3:$W$27,MATCH($BH52,'90.1-2004 Site EUI'!$A$4:$W$4,0),FALSE),IF($DD$1="5A",VLOOKUP(CJ$4,'90.1-2004 Site EUI'!$A$29:$W$53,MATCH($BH52,'90.1-2004 Site EUI'!$A$30:$W$30,0),FALSE),IF($DD$1="6A",VLOOKUP(CJ$4,'90.1-2004 Site EUI'!$A$55:$W$79,MATCH($BH52,'90.1-2004 Site EUI'!$A$56:$W$56,0),FALSE),""))),"")</f>
        <v/>
      </c>
      <c r="CK52" s="4123" t="str">
        <f>IFERROR(IF($DD$1="4A",VLOOKUP(CK$4,'90.1-2004 Site EUI'!$A$3:$W$27,MATCH($BH52,'90.1-2004 Site EUI'!$A$4:$W$4,0),FALSE),IF($DD$1="5A",VLOOKUP(CK$4,'90.1-2004 Site EUI'!$A$29:$W$53,MATCH($BH52,'90.1-2004 Site EUI'!$A$30:$W$30,0),FALSE),IF($DD$1="6A",VLOOKUP(CK$4,'90.1-2004 Site EUI'!$A$55:$W$79,MATCH($BH52,'90.1-2004 Site EUI'!$A$56:$W$56,0),FALSE),""))),"")</f>
        <v/>
      </c>
      <c r="CL52" s="4123" t="str">
        <f>IFERROR(IF($DD$1="4A",VLOOKUP(CL$4,'90.1-2004 Site EUI'!$A$3:$W$27,MATCH($BH52,'90.1-2004 Site EUI'!$A$4:$W$4,0),FALSE),IF($DD$1="5A",VLOOKUP(CL$4,'90.1-2004 Site EUI'!$A$29:$W$53,MATCH($BH52,'90.1-2004 Site EUI'!$A$30:$W$30,0),FALSE),IF($DD$1="6A",VLOOKUP(CL$4,'90.1-2004 Site EUI'!$A$55:$W$79,MATCH($BH52,'90.1-2004 Site EUI'!$A$56:$W$56,0),FALSE),""))),"")</f>
        <v/>
      </c>
      <c r="CM52" s="4123" t="str">
        <f>IFERROR(IF($DD$1="4A",VLOOKUP(CM$4,'90.1-2004 Site EUI'!$A$3:$W$27,MATCH($BH52,'90.1-2004 Site EUI'!$A$4:$W$4,0),FALSE),IF($DD$1="5A",VLOOKUP(CM$4,'90.1-2004 Site EUI'!$A$29:$W$53,MATCH($BH52,'90.1-2004 Site EUI'!$A$30:$W$30,0),FALSE),IF($DD$1="6A",VLOOKUP(CM$4,'90.1-2004 Site EUI'!$A$55:$W$79,MATCH($BH52,'90.1-2004 Site EUI'!$A$56:$W$56,0),FALSE),""))),"")</f>
        <v/>
      </c>
      <c r="CN52" s="4123" t="str">
        <f>IFERROR(IF($DD$1="4A",VLOOKUP(CN$4,'90.1-2004 Site EUI'!$A$3:$W$27,MATCH($BH52,'90.1-2004 Site EUI'!$A$4:$W$4,0),FALSE),IF($DD$1="5A",VLOOKUP(CN$4,'90.1-2004 Site EUI'!$A$29:$W$53,MATCH($BH52,'90.1-2004 Site EUI'!$A$30:$W$30,0),FALSE),IF($DD$1="6A",VLOOKUP(CN$4,'90.1-2004 Site EUI'!$A$55:$W$79,MATCH($BH52,'90.1-2004 Site EUI'!$A$56:$W$56,0),FALSE),""))),"")</f>
        <v/>
      </c>
      <c r="CO52" s="4123" t="e">
        <f>AVERAGE(CH52:CN53,CP52)</f>
        <v>#DIV/0!</v>
      </c>
      <c r="CP52" s="4123" t="str">
        <f>IFERROR(IF($DD$1="4A",VLOOKUP(CP$4,'90.1-2004 Site EUI'!$A$3:$W$27,MATCH($BH52,'90.1-2004 Site EUI'!$A$4:$W$4,0),FALSE),IF($DD$1="5A",VLOOKUP(CP$4,'90.1-2004 Site EUI'!$A$29:$W$53,MATCH($BH52,'90.1-2004 Site EUI'!$A$30:$W$30,0),FALSE),IF($DD$1="6A",VLOOKUP(CP$4,'90.1-2004 Site EUI'!$A$55:$W$79,MATCH($BH52,'90.1-2004 Site EUI'!$A$56:$W$56,0),FALSE),""))),"")</f>
        <v/>
      </c>
      <c r="CQ52" s="4123" t="str">
        <f>IFERROR(IF($DD$1="4A",VLOOKUP(CQ$4,'90.1-2013 Site EUI'!$A$3:$W$27,MATCH($BH52,'90.1-2013 Site EUI'!$A$4:$W$4,0),FALSE),IF($DD$1="5A",VLOOKUP(CQ$4,'90.1-2013 Site EUI'!$A$29:$W$53,MATCH($BH52,'90.1-2013 Site EUI'!$A$30:$W$30,0),FALSE),IF($DD$1="6A",VLOOKUP(CQ$4,'90.1-2013 Site EUI'!$A$55:$W$79,MATCH($BH52,'90.1-2013 Site EUI'!$A$56:$W$56,0),FALSE),""))),"")</f>
        <v/>
      </c>
      <c r="CR52" s="4123" t="str">
        <f>IFERROR(IF($DD$1="4A",VLOOKUP(CR$4,'90.1-2013 Site EUI'!$A$3:$W$27,MATCH($BH52,'90.1-2013 Site EUI'!$A$4:$W$4,0),FALSE),IF($DD$1="5A",VLOOKUP(CR$4,'90.1-2013 Site EUI'!$A$29:$W$53,MATCH($BH52,'90.1-2013 Site EUI'!$A$30:$W$30,0),FALSE),IF($DD$1="6A",VLOOKUP(CR$4,'90.1-2013 Site EUI'!$A$55:$W$79,MATCH($BH52,'90.1-2013 Site EUI'!$A$56:$W$56,0),FALSE),""))),"")</f>
        <v/>
      </c>
      <c r="CS52" s="4123" t="str">
        <f>IFERROR(IF($DD$1="4A",VLOOKUP(CS$4,'90.1-2013 Site EUI'!$A$3:$W$27,MATCH($BH52,'90.1-2013 Site EUI'!$A$4:$W$4,0),FALSE),IF($DD$1="5A",VLOOKUP(CS$4,'90.1-2013 Site EUI'!$A$29:$W$53,MATCH($BH52,'90.1-2013 Site EUI'!$A$30:$W$30,0),FALSE),IF($DD$1="6A",VLOOKUP(CS$4,'90.1-2013 Site EUI'!$A$55:$W$79,MATCH($BH52,'90.1-2013 Site EUI'!$A$56:$W$56,0),FALSE),""))),"")</f>
        <v/>
      </c>
      <c r="CT52" s="4123" t="str">
        <f>IFERROR(IF($DD$1="4A",VLOOKUP(CT$4,'90.1-2013 Site EUI'!$A$3:$W$27,MATCH($BH52,'90.1-2013 Site EUI'!$A$4:$W$4,0),FALSE),IF($DD$1="5A",VLOOKUP(CT$4,'90.1-2013 Site EUI'!$A$29:$W$53,MATCH($BH52,'90.1-2013 Site EUI'!$A$30:$W$30,0),FALSE),IF($DD$1="6A",VLOOKUP(CT$4,'90.1-2013 Site EUI'!$A$55:$W$79,MATCH($BH52,'90.1-2013 Site EUI'!$A$56:$W$56,0),FALSE),""))),"")</f>
        <v/>
      </c>
      <c r="CU52" s="4123" t="str">
        <f>IFERROR(IF($DD$1="4A",VLOOKUP(CU$4,'90.1-2013 Site EUI'!$A$3:$W$27,MATCH($BH52,'90.1-2013 Site EUI'!$A$4:$W$4,0),FALSE),IF($DD$1="5A",VLOOKUP(CU$4,'90.1-2013 Site EUI'!$A$29:$W$53,MATCH($BH52,'90.1-2013 Site EUI'!$A$30:$W$30,0),FALSE),IF($DD$1="6A",VLOOKUP(CU$4,'90.1-2013 Site EUI'!$A$55:$W$79,MATCH($BH52,'90.1-2013 Site EUI'!$A$56:$W$56,0),FALSE),""))),"")</f>
        <v/>
      </c>
      <c r="CV52" s="4123" t="str">
        <f>IFERROR(IF($DD$1="4A",VLOOKUP(CV$4,'90.1-2013 Site EUI'!$A$3:$W$27,MATCH($BH52,'90.1-2013 Site EUI'!$A$4:$W$4,0),FALSE),IF($DD$1="5A",VLOOKUP(CV$4,'90.1-2013 Site EUI'!$A$29:$W$53,MATCH($BH52,'90.1-2013 Site EUI'!$A$30:$W$30,0),FALSE),IF($DD$1="6A",VLOOKUP(CV$4,'90.1-2013 Site EUI'!$A$55:$W$79,MATCH($BH52,'90.1-2013 Site EUI'!$A$56:$W$56,0),FALSE),""))),"")</f>
        <v/>
      </c>
      <c r="CW52" s="4123" t="str">
        <f>IFERROR(IF($DD$1="4A",VLOOKUP(CW$4,'90.1-2013 Site EUI'!$A$3:$W$27,MATCH($BH52,'90.1-2013 Site EUI'!$A$4:$W$4,0),FALSE),IF($DD$1="5A",VLOOKUP(CW$4,'90.1-2013 Site EUI'!$A$29:$W$53,MATCH($BH52,'90.1-2013 Site EUI'!$A$30:$W$30,0),FALSE),IF($DD$1="6A",VLOOKUP(CW$4,'90.1-2013 Site EUI'!$A$55:$W$79,MATCH($BH52,'90.1-2013 Site EUI'!$A$56:$W$56,0),FALSE),""))),"")</f>
        <v/>
      </c>
      <c r="CX52" s="4123" t="e">
        <f>AVERAGE(CQ52:CW53,CY52)</f>
        <v>#DIV/0!</v>
      </c>
      <c r="CY52" s="4143" t="str">
        <f>IFERROR(IF($DD$1="4A",VLOOKUP(CY$4,'90.1-2013 Site EUI'!$A$3:$W$27,MATCH($BH52,'90.1-2013 Site EUI'!$A$4:$W$4,0),FALSE),IF($DD$1="5A",VLOOKUP(CY$4,'90.1-2013 Site EUI'!$A$29:$W$53,MATCH($BH52,'90.1-2013 Site EUI'!$A$30:$W$30,0),FALSE),IF($DD$1="6A",VLOOKUP(CY$4,'90.1-2013 Site EUI'!$A$55:$W$79,MATCH($BH52,'90.1-2013 Site EUI'!$A$56:$W$56,0),FALSE),""))),"")</f>
        <v/>
      </c>
      <c r="CZ52" s="4145" t="e">
        <f>SUMIF($CH$4:$CP$4,$DG$1,CH52:CP53)*$DI$1+SUMIF($CH$4:$CP$4,$DG$2,CH52:CP53)*$DI$2+SUMIF($CH$4:$CP$4,$DG$3,CH52:CP53)*$DI$3+SUMIF($CH$4:$CP$4,$DG$4,CH52:CP53)*$DI$4+SUMIF($CH$4:$CP$4,$DG$5,CH52:CP53)*$DI$5+SUMIF($CH$4:$CP$4,$DG$6,CH52:CP53)*$DI$6+SUMIF($CH$4:$CP$4,$DG$7,CH52:CP53)*$DI$7+SUMIF($CH$4:$CP$4,$DG$8,CH52:CP53)*$DI$8+SUMIF($CH$4:$CP$4,$DG$8,CH52:CP53)*$DI$8+SUMIF($CH$4:$CP$4,$DG$9,CH52:CP53)*$DI$9</f>
        <v>#DIV/0!</v>
      </c>
      <c r="DA52" s="4147" t="e">
        <f>SUMIF($CQ$4:$CY$4,$DG$1,CQ52:CY53)*$DI$1+SUMIF($CQ$4:$CY$4,$DG$2,CQ52:CY53)*$DI$2+SUMIF($CQ$4:$CY$4,$DG$3,CQ52:CY53)*$DI$3+SUMIF($CQ$4:$CY$4,$DG$4,CQ52:CY53)*$DI$4+SUMIF($CQ$4:$CY$4,$DG$5,CQ52:CY53)*$DI$5+SUMIF($CQ$4:$CY$4,$DG$6,CQ52:CY53)*$DI$6+SUMIF($CQ$4:$CY$4,$DG$7,CQ52:CY53)*$DI$7+SUMIF($CQ$4:$CY$4,$DG$8,CQ52:CY53)*$DI$8+SUMIF($CQ$4:$CY$4,$DG$9,CQ52:CY53)*$DI$9</f>
        <v>#DIV/0!</v>
      </c>
      <c r="DB52"/>
      <c r="DC52"/>
      <c r="DD52"/>
      <c r="DE52"/>
      <c r="DF52"/>
      <c r="DG52"/>
      <c r="DH52"/>
      <c r="DI52"/>
      <c r="DJ52"/>
      <c r="DK52"/>
    </row>
    <row r="53" spans="1:115" s="866" customFormat="1" hidden="1" x14ac:dyDescent="0.25">
      <c r="B53" s="4135" t="str">
        <f>'Quality Assurance Checks'!AJ9</f>
        <v>SHW</v>
      </c>
      <c r="C53" s="4136"/>
      <c r="D53" s="1948">
        <f>SUMIF('Quality Assurance Checks'!AJ:AJ,B53,'Quality Assurance Checks'!AL:AL)</f>
        <v>0</v>
      </c>
      <c r="E53" s="1948" t="e">
        <f ca="1">SUMIF('Quality Assurance Checks'!AJ:AJ,B53,'Quality Assurance Checks'!AP:AP)</f>
        <v>#DIV/0!</v>
      </c>
      <c r="F53" s="1948">
        <f ca="1">SUMIF('Quality Assurance Checks'!AJ:AJ,B53,'Quality Assurance Checks'!AS:AS)</f>
        <v>0</v>
      </c>
      <c r="G53" s="1950" t="e">
        <f ca="1">IF(SUMIF('Quality Assurance Checks'!AJ:AJ,B53,'Quality Assurance Checks'!AX:AX)&lt;0.001,#N/A,SUMIF('Quality Assurance Checks'!AJ:AJ,B53,'Quality Assurance Checks'!AX:AX))</f>
        <v>#N/A</v>
      </c>
      <c r="H53" s="1950" t="e">
        <f ca="1">IF(SUMIF('Quality Assurance Checks'!AJ:AJ,B53,'Quality Assurance Checks'!AY:AY)&lt;0.001,#N/A,SUMIF('Quality Assurance Checks'!AJ:AJ,B53,'Quality Assurance Checks'!AY:AY))</f>
        <v>#N/A</v>
      </c>
      <c r="I53" s="1948" t="e">
        <f ca="1">SUMIF('Quality Assurance Checks'!AJ:AJ,B53,'Quality Assurance Checks'!AW:AW)</f>
        <v>#DIV/0!</v>
      </c>
      <c r="J53" s="1948" t="str">
        <f t="shared" ca="1" si="48"/>
        <v/>
      </c>
      <c r="K53" s="2003" t="str">
        <f t="shared" ca="1" si="49"/>
        <v/>
      </c>
      <c r="L53" s="2005" t="s">
        <v>2815</v>
      </c>
      <c r="M53" s="1999" t="str">
        <f>'Quality Assurance Checks'!AJ9</f>
        <v>SHW</v>
      </c>
      <c r="N53" s="2000"/>
      <c r="O53" s="1948">
        <f>SUMIF('Quality Assurance Checks'!AJ:AJ,M53,'Quality Assurance Checks'!AL:AL)</f>
        <v>0</v>
      </c>
      <c r="P53" s="1948" t="e">
        <f>SUMIF('Quality Assurance Checks'!AJ:AJ,M53,'Quality Assurance Checks'!BB:BB)</f>
        <v>#DIV/0!</v>
      </c>
      <c r="Q53" s="1950" t="e">
        <f>IF(SUMIF('Quality Assurance Checks'!AJ:AJ,M53,'Quality Assurance Checks'!AQ:AQ)&lt;0.001,#N/A,SUMIF('Quality Assurance Checks'!AJ:AJ,M53,'Quality Assurance Checks'!AQ:AQ))</f>
        <v>#N/A</v>
      </c>
      <c r="V53" s="4135" t="str">
        <f>'Quality Assurance Checks'!AJ9</f>
        <v>SHW</v>
      </c>
      <c r="W53" s="4136"/>
      <c r="X53" s="1948">
        <f ca="1">SUMIF('Quality Assurance Checks'!AJ:AJ,'Quality Assurance Checks'!M53,'Quality Assurance Checks'!AS:AS)</f>
        <v>0</v>
      </c>
      <c r="Y53" s="1948" t="e">
        <f>SUMIF('Quality Assurance Checks'!AJ:AJ,'Quality Assurance Checks'!M53,'Quality Assurance Checks'!BC:BC)</f>
        <v>#DIV/0!</v>
      </c>
      <c r="Z53" s="1950" t="e">
        <f ca="1">IF(SUMIF('Quality Assurance Checks'!AJ:AJ,'Quality Assurance Checks'!M53,'Quality Assurance Checks'!BA:BA)&lt;0.001,#N/A,SUMIF('Quality Assurance Checks'!AJ:AJ,'Quality Assurance Checks'!M53,'Quality Assurance Checks'!BA:BA))</f>
        <v>#N/A</v>
      </c>
      <c r="AJ53"/>
      <c r="AK53"/>
      <c r="AL53"/>
      <c r="AM53"/>
      <c r="AN53"/>
      <c r="AO53"/>
      <c r="AP53"/>
      <c r="AQ53"/>
      <c r="AR53"/>
      <c r="AS53"/>
      <c r="AT53"/>
      <c r="AU53"/>
      <c r="AV53"/>
      <c r="AW53"/>
      <c r="AX53"/>
      <c r="AY53"/>
      <c r="AZ53"/>
      <c r="BA53"/>
      <c r="BB53"/>
      <c r="BC53"/>
      <c r="BD53"/>
      <c r="BE53"/>
      <c r="BF53"/>
      <c r="BG53" s="4113"/>
      <c r="BH53" s="4115"/>
      <c r="BI53" s="4113"/>
      <c r="BJ53" s="4113"/>
      <c r="BK53" s="3855"/>
      <c r="BL53" s="3839"/>
      <c r="BM53" s="1299" t="str">
        <f>'12 - Performance_Outputs_1'!F285</f>
        <v/>
      </c>
      <c r="BN53" s="1782" t="str">
        <f>'12 - Performance_Outputs_1'!G285</f>
        <v/>
      </c>
      <c r="BO53" s="1782" t="str">
        <f ca="1">'12 - Performance_Outputs_1'!H285</f>
        <v/>
      </c>
      <c r="BP53" s="1877" t="str">
        <f ca="1">'12 - Performance_Outputs_1'!I285</f>
        <v/>
      </c>
      <c r="BQ53" s="3850"/>
      <c r="BR53" s="1880">
        <f>'12 - Performance_Outputs_1'!K285</f>
        <v>0</v>
      </c>
      <c r="BS53" s="1879">
        <f>'12 - Performance_Outputs_1'!M285</f>
        <v>0</v>
      </c>
      <c r="BT53" s="1882" t="str">
        <f>'12 - Performance_Outputs_1'!R285</f>
        <v/>
      </c>
      <c r="BU53" s="1882" t="str">
        <f>'12 - Performance_Outputs_1'!S285</f>
        <v/>
      </c>
      <c r="BV53" s="1885">
        <f ca="1">SUMIF('12 - Performance_Outputs_1'!$B$311:$B$316,BL53,'12 - Performance_Outputs_1'!$E$311:$G$315)</f>
        <v>0</v>
      </c>
      <c r="BW53" s="1885">
        <f ca="1">SUMIF('12 - Performance_Outputs_1'!$B$311:$B$316,BL53,'12 - Performance_Outputs_1'!$H$311:$H$315)</f>
        <v>0</v>
      </c>
      <c r="BX53" s="1884" t="str">
        <f t="shared" si="38"/>
        <v/>
      </c>
      <c r="BY53" s="1888" t="str">
        <f t="shared" si="39"/>
        <v/>
      </c>
      <c r="BZ53" s="1884" t="str">
        <f t="shared" si="40"/>
        <v/>
      </c>
      <c r="CA53" s="1888" t="str">
        <f t="shared" si="41"/>
        <v/>
      </c>
      <c r="CB53" s="1886" t="str">
        <f t="shared" ca="1" si="42"/>
        <v/>
      </c>
      <c r="CC53" s="1883" t="str">
        <f t="shared" ca="1" si="43"/>
        <v/>
      </c>
      <c r="CD53" s="1889" t="str">
        <f t="shared" ca="1" si="44"/>
        <v/>
      </c>
      <c r="CE53" s="1883" t="str">
        <f t="shared" ca="1" si="45"/>
        <v/>
      </c>
      <c r="CF53" s="1889" t="str">
        <f t="shared" ca="1" si="46"/>
        <v/>
      </c>
      <c r="CG53" s="1887" t="str">
        <f t="shared" ca="1" si="47"/>
        <v/>
      </c>
      <c r="CH53" s="4124"/>
      <c r="CI53" s="4124"/>
      <c r="CJ53" s="4124"/>
      <c r="CK53" s="4124"/>
      <c r="CL53" s="4124"/>
      <c r="CM53" s="4124"/>
      <c r="CN53" s="4124"/>
      <c r="CO53" s="4124"/>
      <c r="CP53" s="4124"/>
      <c r="CQ53" s="4124"/>
      <c r="CR53" s="4124"/>
      <c r="CS53" s="4124"/>
      <c r="CT53" s="4124"/>
      <c r="CU53" s="4124"/>
      <c r="CV53" s="4124"/>
      <c r="CW53" s="4124"/>
      <c r="CX53" s="4124"/>
      <c r="CY53" s="4144"/>
      <c r="CZ53" s="4146"/>
      <c r="DA53" s="4148"/>
      <c r="DB53"/>
      <c r="DC53"/>
      <c r="DD53"/>
      <c r="DE53"/>
      <c r="DF53"/>
      <c r="DG53"/>
      <c r="DH53"/>
      <c r="DI53"/>
      <c r="DJ53"/>
      <c r="DK53"/>
    </row>
    <row r="54" spans="1:115" s="866" customFormat="1" hidden="1" x14ac:dyDescent="0.25">
      <c r="B54" s="4133" t="str">
        <f>'Quality Assurance Checks'!AJ10</f>
        <v>Heat</v>
      </c>
      <c r="C54" s="4134"/>
      <c r="D54" s="1949">
        <f>SUMIF('Quality Assurance Checks'!AJ:AJ,B54,'Quality Assurance Checks'!AL:AL)</f>
        <v>0</v>
      </c>
      <c r="E54" s="1949" t="e">
        <f ca="1">SUMIF('Quality Assurance Checks'!AJ:AJ,B54,'Quality Assurance Checks'!AP:AP)</f>
        <v>#DIV/0!</v>
      </c>
      <c r="F54" s="1949">
        <f ca="1">SUMIF('Quality Assurance Checks'!AJ:AJ,B54,'Quality Assurance Checks'!AS:AS)</f>
        <v>0</v>
      </c>
      <c r="G54" s="1951" t="e">
        <f ca="1">IF(SUMIF('Quality Assurance Checks'!AJ:AJ,B54,'Quality Assurance Checks'!AX:AX)&lt;0.001,#N/A,SUMIF('Quality Assurance Checks'!AJ:AJ,B54,'Quality Assurance Checks'!AX:AX))</f>
        <v>#N/A</v>
      </c>
      <c r="H54" s="1951" t="e">
        <f ca="1">IF(SUMIF('Quality Assurance Checks'!AJ:AJ,B54,'Quality Assurance Checks'!AY:AY)&lt;0.001,#N/A,SUMIF('Quality Assurance Checks'!AJ:AJ,B54,'Quality Assurance Checks'!AY:AY))</f>
        <v>#N/A</v>
      </c>
      <c r="I54" s="1949" t="e">
        <f ca="1">SUMIF('Quality Assurance Checks'!AJ:AJ,B54,'Quality Assurance Checks'!AW:AW)</f>
        <v>#DIV/0!</v>
      </c>
      <c r="J54" s="1949" t="str">
        <f t="shared" ca="1" si="48"/>
        <v/>
      </c>
      <c r="K54" s="2004" t="str">
        <f t="shared" ca="1" si="49"/>
        <v/>
      </c>
      <c r="L54" s="2005" t="s">
        <v>2629</v>
      </c>
      <c r="M54" s="2001" t="str">
        <f>'Quality Assurance Checks'!AJ10</f>
        <v>Heat</v>
      </c>
      <c r="N54" s="2002"/>
      <c r="O54" s="1949">
        <f>SUMIF('Quality Assurance Checks'!AJ:AJ,M54,'Quality Assurance Checks'!AL:AL)</f>
        <v>0</v>
      </c>
      <c r="P54" s="1949" t="e">
        <f>SUMIF('Quality Assurance Checks'!AJ:AJ,M54,'Quality Assurance Checks'!BB:BB)</f>
        <v>#DIV/0!</v>
      </c>
      <c r="Q54" s="1951" t="e">
        <f>IF(SUMIF('Quality Assurance Checks'!AJ:AJ,M54,'Quality Assurance Checks'!AQ:AQ)&lt;0.001,#N/A,SUMIF('Quality Assurance Checks'!AJ:AJ,M54,'Quality Assurance Checks'!AQ:AQ))</f>
        <v>#N/A</v>
      </c>
      <c r="V54" s="4133" t="str">
        <f>'Quality Assurance Checks'!AJ10</f>
        <v>Heat</v>
      </c>
      <c r="W54" s="4134"/>
      <c r="X54" s="1949">
        <f ca="1">SUMIF('Quality Assurance Checks'!AJ:AJ,'Quality Assurance Checks'!M54,'Quality Assurance Checks'!AS:AS)</f>
        <v>0</v>
      </c>
      <c r="Y54" s="1949" t="e">
        <f>SUMIF('Quality Assurance Checks'!AJ:AJ,'Quality Assurance Checks'!M54,'Quality Assurance Checks'!BC:BC)</f>
        <v>#DIV/0!</v>
      </c>
      <c r="Z54" s="1951" t="e">
        <f ca="1">IF(SUMIF('Quality Assurance Checks'!AJ:AJ,'Quality Assurance Checks'!M54,'Quality Assurance Checks'!BA:BA)&lt;0.001,#N/A,SUMIF('Quality Assurance Checks'!AJ:AJ,'Quality Assurance Checks'!M54,'Quality Assurance Checks'!BA:BA))</f>
        <v>#N/A</v>
      </c>
      <c r="AJ54"/>
      <c r="AK54"/>
      <c r="AL54"/>
      <c r="AM54"/>
      <c r="AN54"/>
      <c r="AO54"/>
      <c r="AP54"/>
      <c r="AQ54"/>
      <c r="AR54"/>
      <c r="AS54"/>
      <c r="AT54"/>
      <c r="AU54"/>
      <c r="AV54"/>
      <c r="AW54"/>
      <c r="AX54"/>
      <c r="AY54"/>
      <c r="AZ54"/>
      <c r="BA54"/>
      <c r="BB54"/>
      <c r="BC54"/>
      <c r="BD54"/>
      <c r="BE54"/>
      <c r="BF54"/>
      <c r="BG54" s="4112" t="str">
        <f>IF(BK54="","Other Regulated","Other Non-Regulated")</f>
        <v>Other Non-Regulated</v>
      </c>
      <c r="BH54" s="4114" t="s">
        <v>275</v>
      </c>
      <c r="BI54" s="4112" t="str">
        <f>'12 - Performance_Outputs_1'!B286</f>
        <v>Building Transformers</v>
      </c>
      <c r="BJ54" s="4113"/>
      <c r="BK54" s="3855">
        <f>'12 - Performance_Outputs_1'!D286</f>
        <v>0</v>
      </c>
      <c r="BL54" s="3839" t="str">
        <f>'12 - Performance_Outputs_1'!E286</f>
        <v>Electricity</v>
      </c>
      <c r="BM54" s="1299" t="str">
        <f>'12 - Performance_Outputs_1'!F286</f>
        <v/>
      </c>
      <c r="BN54" s="1782" t="str">
        <f>'12 - Performance_Outputs_1'!G286</f>
        <v/>
      </c>
      <c r="BO54" s="1782" t="str">
        <f ca="1">'12 - Performance_Outputs_1'!H286</f>
        <v/>
      </c>
      <c r="BP54" s="1877" t="str">
        <f ca="1">'12 - Performance_Outputs_1'!I286</f>
        <v/>
      </c>
      <c r="BQ54" s="3849" t="str">
        <f ca="1">'12 - Performance_Outputs_1'!J286</f>
        <v/>
      </c>
      <c r="BR54" s="1880" t="str">
        <f ca="1">'12 - Performance_Outputs_1'!K286</f>
        <v/>
      </c>
      <c r="BS54" s="1879" t="str">
        <f ca="1">'12 - Performance_Outputs_1'!M286</f>
        <v/>
      </c>
      <c r="BT54" s="1882" t="str">
        <f>'12 - Performance_Outputs_1'!R286</f>
        <v/>
      </c>
      <c r="BU54" s="1882" t="str">
        <f>'12 - Performance_Outputs_1'!S286</f>
        <v/>
      </c>
      <c r="BV54" s="1885">
        <f ca="1">SUMIF('12 - Performance_Outputs_1'!$B$311:$B$316,BL54,'12 - Performance_Outputs_1'!$E$311:$G$315)</f>
        <v>0</v>
      </c>
      <c r="BW54" s="1885">
        <f ca="1">SUMIF('12 - Performance_Outputs_1'!$B$311:$B$316,BL54,'12 - Performance_Outputs_1'!$H$311:$H$315)</f>
        <v>0</v>
      </c>
      <c r="BX54" s="1884" t="str">
        <f t="shared" si="38"/>
        <v/>
      </c>
      <c r="BY54" s="1888" t="str">
        <f t="shared" si="39"/>
        <v/>
      </c>
      <c r="BZ54" s="1884" t="str">
        <f t="shared" si="40"/>
        <v/>
      </c>
      <c r="CA54" s="1888" t="str">
        <f t="shared" si="41"/>
        <v/>
      </c>
      <c r="CB54" s="1886" t="str">
        <f t="shared" ca="1" si="42"/>
        <v/>
      </c>
      <c r="CC54" s="1883" t="str">
        <f t="shared" ca="1" si="43"/>
        <v/>
      </c>
      <c r="CD54" s="1889" t="str">
        <f t="shared" ca="1" si="44"/>
        <v/>
      </c>
      <c r="CE54" s="1883" t="str">
        <f t="shared" ca="1" si="45"/>
        <v/>
      </c>
      <c r="CF54" s="1889" t="str">
        <f t="shared" ca="1" si="46"/>
        <v/>
      </c>
      <c r="CG54" s="1887" t="str">
        <f t="shared" ca="1" si="47"/>
        <v/>
      </c>
      <c r="CH54" s="4110"/>
      <c r="CI54" s="4110"/>
      <c r="CJ54" s="4110"/>
      <c r="CK54" s="4110"/>
      <c r="CL54" s="4110"/>
      <c r="CM54" s="4110"/>
      <c r="CN54" s="4110"/>
      <c r="CO54" s="4110"/>
      <c r="CP54" s="4110"/>
      <c r="CQ54" s="4110"/>
      <c r="CR54" s="4110"/>
      <c r="CS54" s="4110"/>
      <c r="CT54" s="4110"/>
      <c r="CU54" s="4110"/>
      <c r="CV54" s="4110"/>
      <c r="CW54" s="4110"/>
      <c r="CX54" s="4110"/>
      <c r="CY54" s="4139"/>
      <c r="CZ54" s="4141"/>
      <c r="DA54" s="4137"/>
      <c r="DB54"/>
      <c r="DC54"/>
      <c r="DD54"/>
      <c r="DE54"/>
      <c r="DF54"/>
      <c r="DG54"/>
      <c r="DH54"/>
      <c r="DI54"/>
      <c r="DJ54"/>
      <c r="DK54"/>
    </row>
    <row r="55" spans="1:115" s="866" customFormat="1" hidden="1" x14ac:dyDescent="0.25">
      <c r="B55" s="4135" t="str">
        <f>'Quality Assurance Checks'!AJ11</f>
        <v>Cool</v>
      </c>
      <c r="C55" s="4136"/>
      <c r="D55" s="1948">
        <f>SUMIF('Quality Assurance Checks'!AJ:AJ,B55,'Quality Assurance Checks'!AL:AL)</f>
        <v>0</v>
      </c>
      <c r="E55" s="1948" t="e">
        <f ca="1">SUMIF('Quality Assurance Checks'!AJ:AJ,B55,'Quality Assurance Checks'!AP:AP)</f>
        <v>#DIV/0!</v>
      </c>
      <c r="F55" s="1948">
        <f ca="1">SUMIF('Quality Assurance Checks'!AJ:AJ,B55,'Quality Assurance Checks'!AS:AS)</f>
        <v>0</v>
      </c>
      <c r="G55" s="1950" t="e">
        <f ca="1">IF(SUMIF('Quality Assurance Checks'!AJ:AJ,B55,'Quality Assurance Checks'!AX:AX)&lt;0.001,#N/A,SUMIF('Quality Assurance Checks'!AJ:AJ,B55,'Quality Assurance Checks'!AX:AX))</f>
        <v>#N/A</v>
      </c>
      <c r="H55" s="1950" t="e">
        <f ca="1">IF(SUMIF('Quality Assurance Checks'!AJ:AJ,B55,'Quality Assurance Checks'!AY:AY)&lt;0.001,#N/A,SUMIF('Quality Assurance Checks'!AJ:AJ,B55,'Quality Assurance Checks'!AY:AY))</f>
        <v>#N/A</v>
      </c>
      <c r="I55" s="1948" t="e">
        <f ca="1">SUMIF('Quality Assurance Checks'!AJ:AJ,B55,'Quality Assurance Checks'!AW:AW)</f>
        <v>#DIV/0!</v>
      </c>
      <c r="J55" s="1948" t="str">
        <f t="shared" ca="1" si="48"/>
        <v/>
      </c>
      <c r="K55" s="2003" t="str">
        <f t="shared" ca="1" si="49"/>
        <v/>
      </c>
      <c r="L55" s="2005" t="s">
        <v>2630</v>
      </c>
      <c r="M55" s="1999" t="str">
        <f>'Quality Assurance Checks'!AJ11</f>
        <v>Cool</v>
      </c>
      <c r="N55" s="2000"/>
      <c r="O55" s="1948">
        <f>SUMIF('Quality Assurance Checks'!AJ:AJ,M55,'Quality Assurance Checks'!AL:AL)</f>
        <v>0</v>
      </c>
      <c r="P55" s="1948" t="e">
        <f>SUMIF('Quality Assurance Checks'!AJ:AJ,M55,'Quality Assurance Checks'!BB:BB)</f>
        <v>#DIV/0!</v>
      </c>
      <c r="Q55" s="1950" t="e">
        <f>IF(SUMIF('Quality Assurance Checks'!AJ:AJ,M55,'Quality Assurance Checks'!AQ:AQ)&lt;0.001,#N/A,SUMIF('Quality Assurance Checks'!AJ:AJ,M55,'Quality Assurance Checks'!AQ:AQ))</f>
        <v>#N/A</v>
      </c>
      <c r="V55" s="4135" t="str">
        <f>'Quality Assurance Checks'!AJ11</f>
        <v>Cool</v>
      </c>
      <c r="W55" s="4136"/>
      <c r="X55" s="1948">
        <f ca="1">SUMIF('Quality Assurance Checks'!AJ:AJ,'Quality Assurance Checks'!M55,'Quality Assurance Checks'!AS:AS)</f>
        <v>0</v>
      </c>
      <c r="Y55" s="1948" t="e">
        <f>SUMIF('Quality Assurance Checks'!AJ:AJ,'Quality Assurance Checks'!M55,'Quality Assurance Checks'!BC:BC)</f>
        <v>#DIV/0!</v>
      </c>
      <c r="Z55" s="1950" t="e">
        <f ca="1">IF(SUMIF('Quality Assurance Checks'!AJ:AJ,'Quality Assurance Checks'!M55,'Quality Assurance Checks'!BA:BA)&lt;0.001,#N/A,SUMIF('Quality Assurance Checks'!AJ:AJ,'Quality Assurance Checks'!M55,'Quality Assurance Checks'!BA:BA))</f>
        <v>#N/A</v>
      </c>
      <c r="AJ55"/>
      <c r="AK55"/>
      <c r="AL55"/>
      <c r="AM55"/>
      <c r="AN55"/>
      <c r="AO55"/>
      <c r="AP55"/>
      <c r="AQ55"/>
      <c r="AR55"/>
      <c r="AS55"/>
      <c r="AT55"/>
      <c r="AU55"/>
      <c r="AV55"/>
      <c r="AW55"/>
      <c r="AX55"/>
      <c r="AY55"/>
      <c r="AZ55"/>
      <c r="BA55"/>
      <c r="BB55"/>
      <c r="BC55"/>
      <c r="BD55"/>
      <c r="BE55"/>
      <c r="BF55"/>
      <c r="BG55" s="4113"/>
      <c r="BH55" s="4115"/>
      <c r="BI55" s="4113"/>
      <c r="BJ55" s="4113"/>
      <c r="BK55" s="3855"/>
      <c r="BL55" s="3839"/>
      <c r="BM55" s="1299" t="str">
        <f>'12 - Performance_Outputs_1'!F287</f>
        <v/>
      </c>
      <c r="BN55" s="1782" t="str">
        <f>'12 - Performance_Outputs_1'!G287</f>
        <v/>
      </c>
      <c r="BO55" s="1782" t="str">
        <f ca="1">'12 - Performance_Outputs_1'!H287</f>
        <v/>
      </c>
      <c r="BP55" s="1877" t="str">
        <f ca="1">'12 - Performance_Outputs_1'!I287</f>
        <v/>
      </c>
      <c r="BQ55" s="3850"/>
      <c r="BR55" s="1880">
        <f>'12 - Performance_Outputs_1'!K287</f>
        <v>0</v>
      </c>
      <c r="BS55" s="1879">
        <f>'12 - Performance_Outputs_1'!M287</f>
        <v>0</v>
      </c>
      <c r="BT55" s="1882" t="str">
        <f>'12 - Performance_Outputs_1'!R287</f>
        <v/>
      </c>
      <c r="BU55" s="1882" t="str">
        <f>'12 - Performance_Outputs_1'!S287</f>
        <v/>
      </c>
      <c r="BV55" s="1885">
        <f ca="1">SUMIF('12 - Performance_Outputs_1'!$B$311:$B$316,BL55,'12 - Performance_Outputs_1'!$E$311:$G$315)</f>
        <v>0</v>
      </c>
      <c r="BW55" s="1885">
        <f ca="1">SUMIF('12 - Performance_Outputs_1'!$B$311:$B$316,BL55,'12 - Performance_Outputs_1'!$H$311:$H$315)</f>
        <v>0</v>
      </c>
      <c r="BX55" s="1884" t="str">
        <f t="shared" si="38"/>
        <v/>
      </c>
      <c r="BY55" s="1888" t="str">
        <f t="shared" si="39"/>
        <v/>
      </c>
      <c r="BZ55" s="1884" t="str">
        <f t="shared" si="40"/>
        <v/>
      </c>
      <c r="CA55" s="1888" t="str">
        <f t="shared" si="41"/>
        <v/>
      </c>
      <c r="CB55" s="1886" t="str">
        <f t="shared" ca="1" si="42"/>
        <v/>
      </c>
      <c r="CC55" s="1883" t="str">
        <f t="shared" ca="1" si="43"/>
        <v/>
      </c>
      <c r="CD55" s="1889" t="str">
        <f t="shared" ca="1" si="44"/>
        <v/>
      </c>
      <c r="CE55" s="1883" t="str">
        <f t="shared" ca="1" si="45"/>
        <v/>
      </c>
      <c r="CF55" s="1889" t="str">
        <f t="shared" ca="1" si="46"/>
        <v/>
      </c>
      <c r="CG55" s="1887" t="str">
        <f t="shared" ca="1" si="47"/>
        <v/>
      </c>
      <c r="CH55" s="4111"/>
      <c r="CI55" s="4111"/>
      <c r="CJ55" s="4111"/>
      <c r="CK55" s="4111"/>
      <c r="CL55" s="4111"/>
      <c r="CM55" s="4111"/>
      <c r="CN55" s="4111"/>
      <c r="CO55" s="4111"/>
      <c r="CP55" s="4111"/>
      <c r="CQ55" s="4111"/>
      <c r="CR55" s="4111"/>
      <c r="CS55" s="4111"/>
      <c r="CT55" s="4111"/>
      <c r="CU55" s="4111"/>
      <c r="CV55" s="4111"/>
      <c r="CW55" s="4111"/>
      <c r="CX55" s="4111"/>
      <c r="CY55" s="4140"/>
      <c r="CZ55" s="4142"/>
      <c r="DA55" s="4138"/>
      <c r="DB55"/>
      <c r="DC55"/>
      <c r="DD55"/>
      <c r="DE55"/>
      <c r="DF55"/>
      <c r="DG55"/>
      <c r="DH55"/>
      <c r="DI55"/>
      <c r="DJ55"/>
      <c r="DK55"/>
    </row>
    <row r="56" spans="1:115" s="866" customFormat="1" hidden="1" x14ac:dyDescent="0.25">
      <c r="B56" s="4133" t="str">
        <f>'Quality Assurance Checks'!AJ12</f>
        <v>Fans</v>
      </c>
      <c r="C56" s="4134"/>
      <c r="D56" s="1949">
        <f>SUMIF('Quality Assurance Checks'!AJ:AJ,B56,'Quality Assurance Checks'!AL:AL)</f>
        <v>0</v>
      </c>
      <c r="E56" s="1949" t="e">
        <f ca="1">SUMIF('Quality Assurance Checks'!AJ:AJ,B56,'Quality Assurance Checks'!AP:AP)</f>
        <v>#DIV/0!</v>
      </c>
      <c r="F56" s="1949">
        <f ca="1">SUMIF('Quality Assurance Checks'!AJ:AJ,B56,'Quality Assurance Checks'!AS:AS)</f>
        <v>0</v>
      </c>
      <c r="G56" s="1951" t="e">
        <f ca="1">IF(SUMIF('Quality Assurance Checks'!AJ:AJ,B56,'Quality Assurance Checks'!AX:AX)&lt;0.001,#N/A,SUMIF('Quality Assurance Checks'!AJ:AJ,B56,'Quality Assurance Checks'!AX:AX))</f>
        <v>#N/A</v>
      </c>
      <c r="H56" s="1951" t="e">
        <f ca="1">IF(SUMIF('Quality Assurance Checks'!AJ:AJ,B56,'Quality Assurance Checks'!AY:AY)&lt;0.001,#N/A,SUMIF('Quality Assurance Checks'!AJ:AJ,B56,'Quality Assurance Checks'!AY:AY))</f>
        <v>#N/A</v>
      </c>
      <c r="I56" s="1949" t="e">
        <f ca="1">SUMIF('Quality Assurance Checks'!AJ:AJ,B56,'Quality Assurance Checks'!AW:AW)</f>
        <v>#DIV/0!</v>
      </c>
      <c r="J56" s="1949" t="str">
        <f t="shared" ca="1" si="48"/>
        <v/>
      </c>
      <c r="K56" s="2004" t="str">
        <f t="shared" ca="1" si="49"/>
        <v/>
      </c>
      <c r="L56" s="2005" t="s">
        <v>2631</v>
      </c>
      <c r="M56" s="2001" t="str">
        <f>'Quality Assurance Checks'!AJ12</f>
        <v>Fans</v>
      </c>
      <c r="N56" s="2002"/>
      <c r="O56" s="1949">
        <f>SUMIF('Quality Assurance Checks'!AJ:AJ,M56,'Quality Assurance Checks'!AL:AL)</f>
        <v>0</v>
      </c>
      <c r="P56" s="1949" t="e">
        <f>SUMIF('Quality Assurance Checks'!AJ:AJ,M56,'Quality Assurance Checks'!BB:BB)</f>
        <v>#DIV/0!</v>
      </c>
      <c r="Q56" s="1951" t="e">
        <f>IF(SUMIF('Quality Assurance Checks'!AJ:AJ,M56,'Quality Assurance Checks'!AQ:AQ)&lt;0.001,#N/A,SUMIF('Quality Assurance Checks'!AJ:AJ,M56,'Quality Assurance Checks'!AQ:AQ))</f>
        <v>#N/A</v>
      </c>
      <c r="V56" s="4133" t="str">
        <f>'Quality Assurance Checks'!AJ12</f>
        <v>Fans</v>
      </c>
      <c r="W56" s="4134"/>
      <c r="X56" s="1949">
        <f ca="1">SUMIF('Quality Assurance Checks'!AJ:AJ,'Quality Assurance Checks'!M56,'Quality Assurance Checks'!AS:AS)</f>
        <v>0</v>
      </c>
      <c r="Y56" s="1949" t="e">
        <f>SUMIF('Quality Assurance Checks'!AJ:AJ,'Quality Assurance Checks'!M56,'Quality Assurance Checks'!BC:BC)</f>
        <v>#DIV/0!</v>
      </c>
      <c r="Z56" s="1951" t="e">
        <f ca="1">IF(SUMIF('Quality Assurance Checks'!AJ:AJ,'Quality Assurance Checks'!M56,'Quality Assurance Checks'!BA:BA)&lt;0.001,#N/A,SUMIF('Quality Assurance Checks'!AJ:AJ,'Quality Assurance Checks'!M56,'Quality Assurance Checks'!BA:BA))</f>
        <v>#N/A</v>
      </c>
      <c r="AJ56"/>
      <c r="AK56"/>
      <c r="AL56"/>
      <c r="AM56"/>
      <c r="AN56"/>
      <c r="AO56"/>
      <c r="AP56"/>
      <c r="AQ56"/>
      <c r="AR56"/>
      <c r="AS56"/>
      <c r="AT56"/>
      <c r="AU56"/>
      <c r="AV56"/>
      <c r="AW56"/>
      <c r="AX56"/>
      <c r="AY56"/>
      <c r="AZ56"/>
      <c r="BA56"/>
      <c r="BB56"/>
      <c r="BC56"/>
      <c r="BD56"/>
      <c r="BE56"/>
      <c r="BF56"/>
      <c r="BG56" s="4112" t="str">
        <f>IF(BK56="","Other Regulated","Other Non-Regulated")</f>
        <v>Other Non-Regulated</v>
      </c>
      <c r="BH56" s="4114" t="s">
        <v>275</v>
      </c>
      <c r="BI56" s="4112">
        <f>'12 - Performance_Outputs_1'!B288</f>
        <v>0</v>
      </c>
      <c r="BJ56" s="4113"/>
      <c r="BK56" s="3855">
        <f>'12 - Performance_Outputs_1'!D288</f>
        <v>0</v>
      </c>
      <c r="BL56" s="3839">
        <f>'12 - Performance_Outputs_1'!E288</f>
        <v>0</v>
      </c>
      <c r="BM56" s="1299" t="str">
        <f>'12 - Performance_Outputs_1'!F288</f>
        <v/>
      </c>
      <c r="BN56" s="1782" t="str">
        <f>'12 - Performance_Outputs_1'!G288</f>
        <v/>
      </c>
      <c r="BO56" s="1782" t="str">
        <f ca="1">'12 - Performance_Outputs_1'!H288</f>
        <v/>
      </c>
      <c r="BP56" s="1877" t="str">
        <f ca="1">'12 - Performance_Outputs_1'!I288</f>
        <v/>
      </c>
      <c r="BQ56" s="3849" t="str">
        <f ca="1">'12 - Performance_Outputs_1'!J288</f>
        <v/>
      </c>
      <c r="BR56" s="1880" t="str">
        <f ca="1">'12 - Performance_Outputs_1'!K288</f>
        <v/>
      </c>
      <c r="BS56" s="1879" t="str">
        <f ca="1">'12 - Performance_Outputs_1'!M288</f>
        <v/>
      </c>
      <c r="BT56" s="1882" t="str">
        <f>'12 - Performance_Outputs_1'!R288</f>
        <v/>
      </c>
      <c r="BU56" s="1882" t="str">
        <f>'12 - Performance_Outputs_1'!S288</f>
        <v/>
      </c>
      <c r="BV56" s="1885">
        <f ca="1">SUMIF('12 - Performance_Outputs_1'!$B$311:$B$316,BL56,'12 - Performance_Outputs_1'!$E$311:$G$315)</f>
        <v>0</v>
      </c>
      <c r="BW56" s="1885">
        <f ca="1">SUMIF('12 - Performance_Outputs_1'!$B$311:$B$316,BL56,'12 - Performance_Outputs_1'!$H$311:$H$315)</f>
        <v>0</v>
      </c>
      <c r="BX56" s="1884" t="str">
        <f t="shared" si="38"/>
        <v/>
      </c>
      <c r="BY56" s="1888" t="str">
        <f t="shared" si="39"/>
        <v/>
      </c>
      <c r="BZ56" s="1884" t="str">
        <f t="shared" si="40"/>
        <v/>
      </c>
      <c r="CA56" s="1888" t="str">
        <f t="shared" si="41"/>
        <v/>
      </c>
      <c r="CB56" s="1886" t="str">
        <f t="shared" ca="1" si="42"/>
        <v/>
      </c>
      <c r="CC56" s="1883" t="str">
        <f t="shared" ca="1" si="43"/>
        <v/>
      </c>
      <c r="CD56" s="1889" t="str">
        <f t="shared" ca="1" si="44"/>
        <v/>
      </c>
      <c r="CE56" s="1883" t="str">
        <f t="shared" ca="1" si="45"/>
        <v/>
      </c>
      <c r="CF56" s="1889" t="str">
        <f t="shared" ca="1" si="46"/>
        <v/>
      </c>
      <c r="CG56" s="1887" t="str">
        <f t="shared" ca="1" si="47"/>
        <v/>
      </c>
      <c r="CH56" s="4110"/>
      <c r="CI56" s="4110"/>
      <c r="CJ56" s="4110"/>
      <c r="CK56" s="4110"/>
      <c r="CL56" s="4110"/>
      <c r="CM56" s="4110"/>
      <c r="CN56" s="4110"/>
      <c r="CO56" s="4110"/>
      <c r="CP56" s="4110"/>
      <c r="CQ56" s="4110"/>
      <c r="CR56" s="4110"/>
      <c r="CS56" s="4110"/>
      <c r="CT56" s="4110"/>
      <c r="CU56" s="4110"/>
      <c r="CV56" s="4110"/>
      <c r="CW56" s="4110"/>
      <c r="CX56" s="4110"/>
      <c r="CY56" s="4139"/>
      <c r="CZ56" s="4141"/>
      <c r="DA56" s="4137"/>
      <c r="DB56"/>
      <c r="DC56"/>
      <c r="DD56"/>
      <c r="DE56"/>
      <c r="DF56"/>
      <c r="DG56"/>
      <c r="DH56"/>
      <c r="DI56"/>
      <c r="DJ56"/>
      <c r="DK56"/>
    </row>
    <row r="57" spans="1:115" s="866" customFormat="1" hidden="1" x14ac:dyDescent="0.25">
      <c r="B57" s="4135" t="str">
        <f>'Quality Assurance Checks'!AJ13</f>
        <v>Pumps</v>
      </c>
      <c r="C57" s="4136"/>
      <c r="D57" s="1948">
        <f>SUMIF('Quality Assurance Checks'!AJ:AJ,B57,'Quality Assurance Checks'!AL:AL)</f>
        <v>0</v>
      </c>
      <c r="E57" s="1948" t="e">
        <f ca="1">SUMIF('Quality Assurance Checks'!AJ:AJ,B57,'Quality Assurance Checks'!AP:AP)</f>
        <v>#DIV/0!</v>
      </c>
      <c r="F57" s="1948">
        <f ca="1">SUMIF('Quality Assurance Checks'!AJ:AJ,B57,'Quality Assurance Checks'!AS:AS)</f>
        <v>0</v>
      </c>
      <c r="G57" s="1950" t="e">
        <f ca="1">IF(SUMIF('Quality Assurance Checks'!AJ:AJ,B57,'Quality Assurance Checks'!AX:AX)&lt;0.001,#N/A,SUMIF('Quality Assurance Checks'!AJ:AJ,B57,'Quality Assurance Checks'!AX:AX))</f>
        <v>#N/A</v>
      </c>
      <c r="H57" s="1950" t="e">
        <f ca="1">IF(SUMIF('Quality Assurance Checks'!AJ:AJ,B57,'Quality Assurance Checks'!AY:AY)&lt;0.001,#N/A,SUMIF('Quality Assurance Checks'!AJ:AJ,B57,'Quality Assurance Checks'!AY:AY))</f>
        <v>#N/A</v>
      </c>
      <c r="I57" s="1948" t="e">
        <f ca="1">SUMIF('Quality Assurance Checks'!AJ:AJ,B57,'Quality Assurance Checks'!AW:AW)</f>
        <v>#DIV/0!</v>
      </c>
      <c r="J57" s="1948" t="str">
        <f t="shared" ca="1" si="48"/>
        <v/>
      </c>
      <c r="K57" s="2003" t="str">
        <f t="shared" ca="1" si="49"/>
        <v/>
      </c>
      <c r="L57" s="2005" t="s">
        <v>387</v>
      </c>
      <c r="M57" s="1999" t="str">
        <f>'Quality Assurance Checks'!AJ13</f>
        <v>Pumps</v>
      </c>
      <c r="N57" s="2000"/>
      <c r="O57" s="1948">
        <f>SUMIF('Quality Assurance Checks'!AJ:AJ,M57,'Quality Assurance Checks'!AL:AL)</f>
        <v>0</v>
      </c>
      <c r="P57" s="1948" t="e">
        <f>SUMIF('Quality Assurance Checks'!AJ:AJ,M57,'Quality Assurance Checks'!BB:BB)</f>
        <v>#DIV/0!</v>
      </c>
      <c r="Q57" s="1950" t="e">
        <f>IF(SUMIF('Quality Assurance Checks'!AJ:AJ,M57,'Quality Assurance Checks'!AQ:AQ)&lt;0.001,#N/A,SUMIF('Quality Assurance Checks'!AJ:AJ,M57,'Quality Assurance Checks'!AQ:AQ))</f>
        <v>#N/A</v>
      </c>
      <c r="V57" s="4135" t="str">
        <f>'Quality Assurance Checks'!AJ13</f>
        <v>Pumps</v>
      </c>
      <c r="W57" s="4136"/>
      <c r="X57" s="1948">
        <f ca="1">SUMIF('Quality Assurance Checks'!AJ:AJ,'Quality Assurance Checks'!M57,'Quality Assurance Checks'!AS:AS)</f>
        <v>0</v>
      </c>
      <c r="Y57" s="1948" t="e">
        <f>SUMIF('Quality Assurance Checks'!AJ:AJ,'Quality Assurance Checks'!M57,'Quality Assurance Checks'!BC:BC)</f>
        <v>#DIV/0!</v>
      </c>
      <c r="Z57" s="1950" t="e">
        <f ca="1">IF(SUMIF('Quality Assurance Checks'!AJ:AJ,'Quality Assurance Checks'!M57,'Quality Assurance Checks'!BA:BA)&lt;0.001,#N/A,SUMIF('Quality Assurance Checks'!AJ:AJ,'Quality Assurance Checks'!M57,'Quality Assurance Checks'!BA:BA))</f>
        <v>#N/A</v>
      </c>
      <c r="AJ57"/>
      <c r="AK57"/>
      <c r="AL57"/>
      <c r="AM57"/>
      <c r="AN57"/>
      <c r="AO57"/>
      <c r="AP57"/>
      <c r="AQ57"/>
      <c r="AR57"/>
      <c r="AS57"/>
      <c r="AT57"/>
      <c r="AU57"/>
      <c r="AV57"/>
      <c r="AW57"/>
      <c r="AX57"/>
      <c r="AY57"/>
      <c r="AZ57"/>
      <c r="BA57"/>
      <c r="BB57"/>
      <c r="BC57"/>
      <c r="BD57"/>
      <c r="BE57"/>
      <c r="BF57"/>
      <c r="BG57" s="4113"/>
      <c r="BH57" s="4115"/>
      <c r="BI57" s="4113"/>
      <c r="BJ57" s="4113"/>
      <c r="BK57" s="3855"/>
      <c r="BL57" s="3839"/>
      <c r="BM57" s="1299" t="str">
        <f>'12 - Performance_Outputs_1'!F289</f>
        <v/>
      </c>
      <c r="BN57" s="1782" t="str">
        <f>'12 - Performance_Outputs_1'!G289</f>
        <v/>
      </c>
      <c r="BO57" s="1782" t="str">
        <f ca="1">'12 - Performance_Outputs_1'!H289</f>
        <v/>
      </c>
      <c r="BP57" s="1877" t="str">
        <f ca="1">'12 - Performance_Outputs_1'!I289</f>
        <v/>
      </c>
      <c r="BQ57" s="3850"/>
      <c r="BR57" s="1880">
        <f>'12 - Performance_Outputs_1'!K289</f>
        <v>0</v>
      </c>
      <c r="BS57" s="1879">
        <f>'12 - Performance_Outputs_1'!M289</f>
        <v>0</v>
      </c>
      <c r="BT57" s="1882" t="str">
        <f>'12 - Performance_Outputs_1'!R289</f>
        <v/>
      </c>
      <c r="BU57" s="1882" t="str">
        <f>'12 - Performance_Outputs_1'!S289</f>
        <v/>
      </c>
      <c r="BV57" s="1885">
        <f ca="1">SUMIF('12 - Performance_Outputs_1'!$B$311:$B$316,BL57,'12 - Performance_Outputs_1'!$E$311:$G$315)</f>
        <v>0</v>
      </c>
      <c r="BW57" s="1885">
        <f ca="1">SUMIF('12 - Performance_Outputs_1'!$B$311:$B$316,BL57,'12 - Performance_Outputs_1'!$H$311:$H$315)</f>
        <v>0</v>
      </c>
      <c r="BX57" s="1884" t="str">
        <f t="shared" si="38"/>
        <v/>
      </c>
      <c r="BY57" s="1888" t="str">
        <f t="shared" si="39"/>
        <v/>
      </c>
      <c r="BZ57" s="1884" t="str">
        <f t="shared" si="40"/>
        <v/>
      </c>
      <c r="CA57" s="1888" t="str">
        <f t="shared" si="41"/>
        <v/>
      </c>
      <c r="CB57" s="1886" t="str">
        <f t="shared" ca="1" si="42"/>
        <v/>
      </c>
      <c r="CC57" s="1883" t="str">
        <f t="shared" ca="1" si="43"/>
        <v/>
      </c>
      <c r="CD57" s="1889" t="str">
        <f t="shared" ca="1" si="44"/>
        <v/>
      </c>
      <c r="CE57" s="1883" t="str">
        <f t="shared" ca="1" si="45"/>
        <v/>
      </c>
      <c r="CF57" s="1889" t="str">
        <f t="shared" ca="1" si="46"/>
        <v/>
      </c>
      <c r="CG57" s="1887" t="str">
        <f t="shared" ca="1" si="47"/>
        <v/>
      </c>
      <c r="CH57" s="4111"/>
      <c r="CI57" s="4111"/>
      <c r="CJ57" s="4111"/>
      <c r="CK57" s="4111"/>
      <c r="CL57" s="4111"/>
      <c r="CM57" s="4111"/>
      <c r="CN57" s="4111"/>
      <c r="CO57" s="4111"/>
      <c r="CP57" s="4111"/>
      <c r="CQ57" s="4111"/>
      <c r="CR57" s="4111"/>
      <c r="CS57" s="4111"/>
      <c r="CT57" s="4111"/>
      <c r="CU57" s="4111"/>
      <c r="CV57" s="4111"/>
      <c r="CW57" s="4111"/>
      <c r="CX57" s="4111"/>
      <c r="CY57" s="4140"/>
      <c r="CZ57" s="4142"/>
      <c r="DA57" s="4138"/>
      <c r="DB57"/>
      <c r="DC57"/>
      <c r="DD57"/>
      <c r="DE57"/>
      <c r="DF57"/>
      <c r="DG57"/>
      <c r="DH57"/>
      <c r="DI57"/>
      <c r="DJ57"/>
      <c r="DK57"/>
    </row>
    <row r="58" spans="1:115" s="866" customFormat="1" hidden="1" x14ac:dyDescent="0.25">
      <c r="B58" s="4133" t="str">
        <f>'Quality Assurance Checks'!AJ14</f>
        <v>Other Regulated</v>
      </c>
      <c r="C58" s="4134"/>
      <c r="D58" s="1949">
        <f>SUMIF('Quality Assurance Checks'!AJ:AJ,B58,'Quality Assurance Checks'!AL:AL)</f>
        <v>0</v>
      </c>
      <c r="E58" s="1949" t="e">
        <f ca="1">SUMIF('Quality Assurance Checks'!AJ:AJ,B58,'Quality Assurance Checks'!AP:AP)</f>
        <v>#DIV/0!</v>
      </c>
      <c r="F58" s="1949">
        <f ca="1">SUMIF('Quality Assurance Checks'!AJ:AJ,B58,'Quality Assurance Checks'!AS:AS)</f>
        <v>0</v>
      </c>
      <c r="G58" s="1951" t="e">
        <f ca="1">IF(SUMIF('Quality Assurance Checks'!AJ:AJ,B58,'Quality Assurance Checks'!AX:AX)&lt;0.001,#N/A,SUMIF('Quality Assurance Checks'!AJ:AJ,B58,'Quality Assurance Checks'!AX:AX))</f>
        <v>#N/A</v>
      </c>
      <c r="H58" s="1951" t="e">
        <f ca="1">IF(SUMIF('Quality Assurance Checks'!AJ:AJ,B58,'Quality Assurance Checks'!AY:AY)&lt;0.001,#N/A,SUMIF('Quality Assurance Checks'!AJ:AJ,B58,'Quality Assurance Checks'!AY:AY))</f>
        <v>#N/A</v>
      </c>
      <c r="I58" s="1949" t="e">
        <f ca="1">SUMIF('Quality Assurance Checks'!AJ:AJ,B58,'Quality Assurance Checks'!AW:AW)</f>
        <v>#DIV/0!</v>
      </c>
      <c r="J58" s="1949" t="str">
        <f t="shared" ca="1" si="48"/>
        <v/>
      </c>
      <c r="K58" s="2004" t="str">
        <f t="shared" ca="1" si="49"/>
        <v/>
      </c>
      <c r="L58" s="2005" t="s">
        <v>2816</v>
      </c>
      <c r="M58" s="2001" t="str">
        <f>'Quality Assurance Checks'!AJ14</f>
        <v>Other Regulated</v>
      </c>
      <c r="N58" s="2002"/>
      <c r="O58" s="1949">
        <f>SUMIF('Quality Assurance Checks'!AJ:AJ,M58,'Quality Assurance Checks'!AL:AL)</f>
        <v>0</v>
      </c>
      <c r="P58" s="1949" t="e">
        <f>SUMIF('Quality Assurance Checks'!AJ:AJ,M58,'Quality Assurance Checks'!BB:BB)</f>
        <v>#DIV/0!</v>
      </c>
      <c r="Q58" s="1951" t="e">
        <f>IF(SUMIF('Quality Assurance Checks'!AJ:AJ,M58,'Quality Assurance Checks'!AQ:AQ)&lt;0.001,#N/A,SUMIF('Quality Assurance Checks'!AJ:AJ,M58,'Quality Assurance Checks'!AQ:AQ))</f>
        <v>#N/A</v>
      </c>
      <c r="V58" s="4133" t="str">
        <f>'Quality Assurance Checks'!AJ14</f>
        <v>Other Regulated</v>
      </c>
      <c r="W58" s="4134"/>
      <c r="X58" s="1949">
        <f ca="1">SUMIF('Quality Assurance Checks'!AJ:AJ,'Quality Assurance Checks'!M58,'Quality Assurance Checks'!AS:AS)</f>
        <v>0</v>
      </c>
      <c r="Y58" s="1949" t="e">
        <f>SUMIF('Quality Assurance Checks'!AJ:AJ,'Quality Assurance Checks'!M58,'Quality Assurance Checks'!BC:BC)</f>
        <v>#DIV/0!</v>
      </c>
      <c r="Z58" s="1951" t="e">
        <f ca="1">IF(SUMIF('Quality Assurance Checks'!AJ:AJ,'Quality Assurance Checks'!M58,'Quality Assurance Checks'!BA:BA)&lt;0.001,#N/A,SUMIF('Quality Assurance Checks'!AJ:AJ,'Quality Assurance Checks'!M58,'Quality Assurance Checks'!BA:BA))</f>
        <v>#N/A</v>
      </c>
      <c r="AJ58"/>
      <c r="AK58"/>
      <c r="AL58"/>
      <c r="AM58"/>
      <c r="AN58"/>
      <c r="AO58"/>
      <c r="AP58"/>
      <c r="AQ58"/>
      <c r="AR58"/>
      <c r="AS58"/>
      <c r="AT58"/>
      <c r="AU58"/>
      <c r="AV58"/>
      <c r="AW58"/>
      <c r="AX58"/>
      <c r="AY58"/>
      <c r="AZ58"/>
      <c r="BA58"/>
      <c r="BB58"/>
      <c r="BC58"/>
      <c r="BD58"/>
      <c r="BE58"/>
      <c r="BF58"/>
      <c r="BG58" s="4112" t="str">
        <f>IF(BK58="","Other Regulated","Other Non-Regulated")</f>
        <v>Other Non-Regulated</v>
      </c>
      <c r="BH58" s="4114" t="s">
        <v>275</v>
      </c>
      <c r="BI58" s="4112">
        <f>'12 - Performance_Outputs_1'!B290</f>
        <v>0</v>
      </c>
      <c r="BJ58" s="4113"/>
      <c r="BK58" s="3855">
        <f>'12 - Performance_Outputs_1'!D290</f>
        <v>0</v>
      </c>
      <c r="BL58" s="3839">
        <f>'12 - Performance_Outputs_1'!E290</f>
        <v>0</v>
      </c>
      <c r="BM58" s="1299" t="str">
        <f>'12 - Performance_Outputs_1'!F290</f>
        <v/>
      </c>
      <c r="BN58" s="1782" t="str">
        <f>'12 - Performance_Outputs_1'!G290</f>
        <v/>
      </c>
      <c r="BO58" s="1782" t="str">
        <f ca="1">'12 - Performance_Outputs_1'!H290</f>
        <v/>
      </c>
      <c r="BP58" s="1877" t="str">
        <f ca="1">'12 - Performance_Outputs_1'!I290</f>
        <v/>
      </c>
      <c r="BQ58" s="3849" t="str">
        <f ca="1">'12 - Performance_Outputs_1'!J290</f>
        <v/>
      </c>
      <c r="BR58" s="1880" t="str">
        <f ca="1">'12 - Performance_Outputs_1'!K290</f>
        <v/>
      </c>
      <c r="BS58" s="1879" t="str">
        <f ca="1">'12 - Performance_Outputs_1'!M290</f>
        <v/>
      </c>
      <c r="BT58" s="1882" t="str">
        <f>'12 - Performance_Outputs_1'!R290</f>
        <v/>
      </c>
      <c r="BU58" s="1882" t="str">
        <f>'12 - Performance_Outputs_1'!S290</f>
        <v/>
      </c>
      <c r="BV58" s="1885">
        <f ca="1">SUMIF('12 - Performance_Outputs_1'!$B$311:$B$316,BL58,'12 - Performance_Outputs_1'!$E$311:$G$315)</f>
        <v>0</v>
      </c>
      <c r="BW58" s="1885">
        <f ca="1">SUMIF('12 - Performance_Outputs_1'!$B$311:$B$316,BL58,'12 - Performance_Outputs_1'!$H$311:$H$315)</f>
        <v>0</v>
      </c>
      <c r="BX58" s="1884" t="str">
        <f t="shared" si="38"/>
        <v/>
      </c>
      <c r="BY58" s="1888" t="str">
        <f t="shared" si="39"/>
        <v/>
      </c>
      <c r="BZ58" s="1884" t="str">
        <f t="shared" si="40"/>
        <v/>
      </c>
      <c r="CA58" s="1888" t="str">
        <f t="shared" si="41"/>
        <v/>
      </c>
      <c r="CB58" s="1886" t="str">
        <f t="shared" ca="1" si="42"/>
        <v/>
      </c>
      <c r="CC58" s="1883" t="str">
        <f t="shared" ca="1" si="43"/>
        <v/>
      </c>
      <c r="CD58" s="1889" t="str">
        <f t="shared" ca="1" si="44"/>
        <v/>
      </c>
      <c r="CE58" s="1883" t="str">
        <f t="shared" ca="1" si="45"/>
        <v/>
      </c>
      <c r="CF58" s="1889" t="str">
        <f t="shared" ca="1" si="46"/>
        <v/>
      </c>
      <c r="CG58" s="1887" t="str">
        <f t="shared" ca="1" si="47"/>
        <v/>
      </c>
      <c r="CH58" s="4110"/>
      <c r="CI58" s="4110"/>
      <c r="CJ58" s="4110"/>
      <c r="CK58" s="4110"/>
      <c r="CL58" s="4110"/>
      <c r="CM58" s="4110"/>
      <c r="CN58" s="4110"/>
      <c r="CO58" s="4110"/>
      <c r="CP58" s="4110"/>
      <c r="CQ58" s="4110"/>
      <c r="CR58" s="4110"/>
      <c r="CS58" s="4110"/>
      <c r="CT58" s="4110"/>
      <c r="CU58" s="4110"/>
      <c r="CV58" s="4110"/>
      <c r="CW58" s="4110"/>
      <c r="CX58" s="4110"/>
      <c r="CY58" s="4139"/>
      <c r="CZ58" s="4141"/>
      <c r="DA58" s="4137"/>
      <c r="DB58"/>
      <c r="DC58"/>
      <c r="DD58"/>
      <c r="DE58"/>
      <c r="DF58"/>
      <c r="DG58"/>
      <c r="DH58"/>
      <c r="DI58"/>
      <c r="DJ58"/>
      <c r="DK58"/>
    </row>
    <row r="59" spans="1:115" s="866" customFormat="1" hidden="1" x14ac:dyDescent="0.25">
      <c r="B59" s="4135" t="str">
        <f>'Quality Assurance Checks'!AJ15</f>
        <v>Other Non-Regulated</v>
      </c>
      <c r="C59" s="4136"/>
      <c r="D59" s="1948">
        <f>SUMIF('Quality Assurance Checks'!AJ:AJ,B59,'Quality Assurance Checks'!AL:AL)</f>
        <v>0</v>
      </c>
      <c r="E59" s="1948" t="e">
        <f ca="1">SUMIF('Quality Assurance Checks'!AJ:AJ,B59,'Quality Assurance Checks'!AP:AP)</f>
        <v>#DIV/0!</v>
      </c>
      <c r="F59" s="1948">
        <f ca="1">SUMIF('Quality Assurance Checks'!AJ:AJ,B59,'Quality Assurance Checks'!AS:AS)</f>
        <v>0</v>
      </c>
      <c r="G59" s="1950" t="e">
        <f ca="1">IF(SUMIF('Quality Assurance Checks'!AJ:AJ,B59,'Quality Assurance Checks'!AX:AX)&lt;0.001,#N/A,SUMIF('Quality Assurance Checks'!AJ:AJ,B59,'Quality Assurance Checks'!AX:AX))</f>
        <v>#N/A</v>
      </c>
      <c r="H59" s="1950" t="e">
        <f ca="1">IF(SUMIF('Quality Assurance Checks'!AJ:AJ,B59,'Quality Assurance Checks'!AY:AY)&lt;0.001,#N/A,SUMIF('Quality Assurance Checks'!AJ:AJ,B59,'Quality Assurance Checks'!AY:AY))</f>
        <v>#N/A</v>
      </c>
      <c r="I59" s="1948" t="e">
        <f ca="1">SUMIF('Quality Assurance Checks'!AJ:AJ,B59,'Quality Assurance Checks'!AW:AW)</f>
        <v>#DIV/0!</v>
      </c>
      <c r="J59" s="1948" t="str">
        <f t="shared" ca="1" si="48"/>
        <v/>
      </c>
      <c r="K59" s="2003" t="str">
        <f t="shared" ca="1" si="49"/>
        <v/>
      </c>
      <c r="L59" s="2005" t="s">
        <v>2817</v>
      </c>
      <c r="M59" s="1999" t="str">
        <f>'Quality Assurance Checks'!AJ15</f>
        <v>Other Non-Regulated</v>
      </c>
      <c r="N59" s="2000"/>
      <c r="O59" s="1948">
        <f>SUMIF('Quality Assurance Checks'!AJ:AJ,M59,'Quality Assurance Checks'!AL:AL)</f>
        <v>0</v>
      </c>
      <c r="P59" s="1948" t="e">
        <f>SUMIF('Quality Assurance Checks'!AJ:AJ,M59,'Quality Assurance Checks'!BB:BB)</f>
        <v>#DIV/0!</v>
      </c>
      <c r="Q59" s="1950" t="e">
        <f>IF(SUMIF('Quality Assurance Checks'!AJ:AJ,M59,'Quality Assurance Checks'!AQ:AQ)&lt;0.001,#N/A,SUMIF('Quality Assurance Checks'!AJ:AJ,M59,'Quality Assurance Checks'!AQ:AQ))</f>
        <v>#N/A</v>
      </c>
      <c r="V59" s="4135" t="str">
        <f>'Quality Assurance Checks'!AJ15</f>
        <v>Other Non-Regulated</v>
      </c>
      <c r="W59" s="4136"/>
      <c r="X59" s="1948">
        <f ca="1">SUMIF('Quality Assurance Checks'!AJ:AJ,'Quality Assurance Checks'!M59,'Quality Assurance Checks'!AS:AS)</f>
        <v>0</v>
      </c>
      <c r="Y59" s="1948" t="e">
        <f>SUMIF('Quality Assurance Checks'!AJ:AJ,'Quality Assurance Checks'!M59,'Quality Assurance Checks'!BC:BC)</f>
        <v>#DIV/0!</v>
      </c>
      <c r="Z59" s="1950" t="e">
        <f ca="1">IF(SUMIF('Quality Assurance Checks'!AJ:AJ,'Quality Assurance Checks'!M59,'Quality Assurance Checks'!BA:BA)&lt;0.001,#N/A,SUMIF('Quality Assurance Checks'!AJ:AJ,'Quality Assurance Checks'!M59,'Quality Assurance Checks'!BA:BA))</f>
        <v>#N/A</v>
      </c>
      <c r="AJ59"/>
      <c r="AK59"/>
      <c r="AL59"/>
      <c r="AM59"/>
      <c r="AN59"/>
      <c r="AO59"/>
      <c r="AP59"/>
      <c r="AQ59"/>
      <c r="AR59"/>
      <c r="AS59"/>
      <c r="AT59"/>
      <c r="AU59"/>
      <c r="AV59"/>
      <c r="AW59"/>
      <c r="AX59"/>
      <c r="AY59"/>
      <c r="AZ59"/>
      <c r="BA59"/>
      <c r="BB59"/>
      <c r="BC59"/>
      <c r="BD59"/>
      <c r="BE59"/>
      <c r="BF59"/>
      <c r="BG59" s="4113"/>
      <c r="BH59" s="4115"/>
      <c r="BI59" s="4113"/>
      <c r="BJ59" s="4113"/>
      <c r="BK59" s="3855"/>
      <c r="BL59" s="3839"/>
      <c r="BM59" s="1299" t="str">
        <f>'12 - Performance_Outputs_1'!F291</f>
        <v/>
      </c>
      <c r="BN59" s="1782" t="str">
        <f>'12 - Performance_Outputs_1'!G291</f>
        <v/>
      </c>
      <c r="BO59" s="1782" t="str">
        <f ca="1">'12 - Performance_Outputs_1'!H291</f>
        <v/>
      </c>
      <c r="BP59" s="1877" t="str">
        <f ca="1">'12 - Performance_Outputs_1'!I291</f>
        <v/>
      </c>
      <c r="BQ59" s="3850"/>
      <c r="BR59" s="1880">
        <f>'12 - Performance_Outputs_1'!K291</f>
        <v>0</v>
      </c>
      <c r="BS59" s="1879">
        <f>'12 - Performance_Outputs_1'!M291</f>
        <v>0</v>
      </c>
      <c r="BT59" s="1882" t="str">
        <f>'12 - Performance_Outputs_1'!R291</f>
        <v/>
      </c>
      <c r="BU59" s="1882" t="str">
        <f>'12 - Performance_Outputs_1'!S291</f>
        <v/>
      </c>
      <c r="BV59" s="1885">
        <f ca="1">SUMIF('12 - Performance_Outputs_1'!$B$311:$B$316,BL59,'12 - Performance_Outputs_1'!$E$311:$G$315)</f>
        <v>0</v>
      </c>
      <c r="BW59" s="1885">
        <f ca="1">SUMIF('12 - Performance_Outputs_1'!$B$311:$B$316,BL59,'12 - Performance_Outputs_1'!$H$311:$H$315)</f>
        <v>0</v>
      </c>
      <c r="BX59" s="1884" t="str">
        <f t="shared" si="38"/>
        <v/>
      </c>
      <c r="BY59" s="1888" t="str">
        <f t="shared" si="39"/>
        <v/>
      </c>
      <c r="BZ59" s="1884" t="str">
        <f t="shared" si="40"/>
        <v/>
      </c>
      <c r="CA59" s="1888" t="str">
        <f t="shared" si="41"/>
        <v/>
      </c>
      <c r="CB59" s="1886" t="str">
        <f t="shared" ca="1" si="42"/>
        <v/>
      </c>
      <c r="CC59" s="1883" t="str">
        <f t="shared" ca="1" si="43"/>
        <v/>
      </c>
      <c r="CD59" s="1889" t="str">
        <f t="shared" ca="1" si="44"/>
        <v/>
      </c>
      <c r="CE59" s="1883" t="str">
        <f t="shared" ca="1" si="45"/>
        <v/>
      </c>
      <c r="CF59" s="1889" t="str">
        <f t="shared" ca="1" si="46"/>
        <v/>
      </c>
      <c r="CG59" s="1887" t="str">
        <f t="shared" ca="1" si="47"/>
        <v/>
      </c>
      <c r="CH59" s="4111"/>
      <c r="CI59" s="4111"/>
      <c r="CJ59" s="4111"/>
      <c r="CK59" s="4111"/>
      <c r="CL59" s="4111"/>
      <c r="CM59" s="4111"/>
      <c r="CN59" s="4111"/>
      <c r="CO59" s="4111"/>
      <c r="CP59" s="4111"/>
      <c r="CQ59" s="4111"/>
      <c r="CR59" s="4111"/>
      <c r="CS59" s="4111"/>
      <c r="CT59" s="4111"/>
      <c r="CU59" s="4111"/>
      <c r="CV59" s="4111"/>
      <c r="CW59" s="4111"/>
      <c r="CX59" s="4111"/>
      <c r="CY59" s="4140"/>
      <c r="CZ59" s="4142"/>
      <c r="DA59" s="4138"/>
      <c r="DB59"/>
      <c r="DC59"/>
      <c r="DD59"/>
      <c r="DE59"/>
      <c r="DF59"/>
      <c r="DG59"/>
      <c r="DH59"/>
      <c r="DI59"/>
      <c r="DJ59"/>
      <c r="DK59"/>
    </row>
    <row r="60" spans="1:115" s="866" customFormat="1" ht="14.25" customHeight="1" x14ac:dyDescent="0.25">
      <c r="AJ60"/>
      <c r="AK60"/>
      <c r="AL60"/>
      <c r="AM60"/>
      <c r="AN60"/>
      <c r="AO60"/>
      <c r="AP60"/>
      <c r="AQ60"/>
      <c r="AR60"/>
      <c r="AS60"/>
      <c r="AT60"/>
      <c r="AU60"/>
      <c r="AV60"/>
      <c r="AW60"/>
      <c r="AX60"/>
      <c r="AY60"/>
      <c r="AZ60"/>
      <c r="BA60"/>
      <c r="BB60"/>
      <c r="BC60"/>
      <c r="BD60"/>
      <c r="BE60"/>
      <c r="BF60"/>
      <c r="BG60" s="1898" t="str">
        <f>IF(BK60="","Other Regulated","Other Non-Regulated")</f>
        <v>Other Non-Regulated</v>
      </c>
      <c r="BH60" s="1991" t="s">
        <v>275</v>
      </c>
      <c r="BI60" s="4112">
        <f>'12 - Performance_Outputs_1'!B292</f>
        <v>0</v>
      </c>
      <c r="BJ60" s="4113"/>
      <c r="BK60" s="1985">
        <f>'12 - Performance_Outputs_1'!D292</f>
        <v>0</v>
      </c>
      <c r="BL60" s="1986">
        <f>'12 - Performance_Outputs_1'!E292</f>
        <v>0</v>
      </c>
      <c r="BM60" s="1299" t="str">
        <f>'12 - Performance_Outputs_1'!F292</f>
        <v/>
      </c>
      <c r="BN60" s="1782" t="str">
        <f>'12 - Performance_Outputs_1'!G292</f>
        <v/>
      </c>
      <c r="BO60" s="1782" t="str">
        <f ca="1">'12 - Performance_Outputs_1'!H292</f>
        <v/>
      </c>
      <c r="BP60" s="1877" t="str">
        <f ca="1">'12 - Performance_Outputs_1'!I292</f>
        <v/>
      </c>
      <c r="BQ60" s="1877" t="str">
        <f ca="1">'12 - Performance_Outputs_1'!J292</f>
        <v/>
      </c>
      <c r="BR60" s="1880" t="str">
        <f ca="1">'12 - Performance_Outputs_1'!K292</f>
        <v/>
      </c>
      <c r="BS60" s="1879" t="str">
        <f ca="1">'12 - Performance_Outputs_1'!M292</f>
        <v/>
      </c>
      <c r="BT60" s="1882" t="str">
        <f>'12 - Performance_Outputs_1'!R292</f>
        <v/>
      </c>
      <c r="BU60" s="1882" t="str">
        <f>'12 - Performance_Outputs_1'!S292</f>
        <v/>
      </c>
      <c r="BV60" s="1885">
        <f ca="1">SUMIF('12 - Performance_Outputs_1'!$B$311:$B$316,BL60,'12 - Performance_Outputs_1'!$E$311:$G$315)</f>
        <v>0</v>
      </c>
      <c r="BW60" s="1885">
        <f ca="1">SUMIF('12 - Performance_Outputs_1'!$B$311:$B$316,BL60,'12 - Performance_Outputs_1'!$H$311:$H$315)</f>
        <v>0</v>
      </c>
      <c r="BX60" s="1884" t="str">
        <f t="shared" si="38"/>
        <v/>
      </c>
      <c r="BY60" s="1888" t="str">
        <f t="shared" si="39"/>
        <v/>
      </c>
      <c r="BZ60" s="1884" t="str">
        <f t="shared" si="40"/>
        <v/>
      </c>
      <c r="CA60" s="1888" t="str">
        <f t="shared" si="41"/>
        <v/>
      </c>
      <c r="CB60" s="1886" t="str">
        <f t="shared" ca="1" si="42"/>
        <v/>
      </c>
      <c r="CC60" s="1883" t="str">
        <f t="shared" ca="1" si="43"/>
        <v/>
      </c>
      <c r="CD60" s="1889" t="str">
        <f t="shared" ca="1" si="44"/>
        <v/>
      </c>
      <c r="CE60" s="1883" t="str">
        <f t="shared" ca="1" si="45"/>
        <v/>
      </c>
      <c r="CF60" s="1889" t="str">
        <f t="shared" ca="1" si="46"/>
        <v/>
      </c>
      <c r="CG60" s="1887" t="str">
        <f t="shared" ca="1" si="47"/>
        <v/>
      </c>
      <c r="CH60" s="1987"/>
      <c r="CI60" s="1987"/>
      <c r="CJ60" s="1987"/>
      <c r="CK60" s="1987"/>
      <c r="CL60" s="1987"/>
      <c r="CM60" s="1987"/>
      <c r="CN60" s="1987"/>
      <c r="CO60" s="1987"/>
      <c r="CP60" s="1987"/>
      <c r="CQ60" s="1987"/>
      <c r="CR60" s="1987"/>
      <c r="CS60" s="1987"/>
      <c r="CT60" s="1987"/>
      <c r="CU60" s="1987"/>
      <c r="CV60" s="1987"/>
      <c r="CW60" s="1987"/>
      <c r="CX60" s="1987"/>
      <c r="CY60" s="1988"/>
      <c r="CZ60" s="1989"/>
      <c r="DA60" s="1990"/>
      <c r="DB60"/>
      <c r="DC60"/>
      <c r="DD60"/>
      <c r="DE60"/>
      <c r="DF60"/>
      <c r="DG60"/>
      <c r="DH60"/>
      <c r="DI60"/>
      <c r="DJ60"/>
      <c r="DK60"/>
    </row>
    <row r="61" spans="1:115" s="866" customFormat="1" x14ac:dyDescent="0.25">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row>
    <row r="62" spans="1:115" s="866" customFormat="1" ht="17.25" customHeight="1" x14ac:dyDescent="0.25">
      <c r="A62" s="4104" t="s">
        <v>349</v>
      </c>
      <c r="B62" s="4105"/>
      <c r="C62" s="4105"/>
      <c r="D62" s="4105"/>
      <c r="E62" s="4105"/>
      <c r="F62" s="4105"/>
      <c r="G62" s="4091" t="s">
        <v>350</v>
      </c>
      <c r="H62" s="4092"/>
      <c r="I62" s="4092"/>
      <c r="J62" s="4092"/>
      <c r="K62" s="4092"/>
      <c r="L62" s="4092"/>
      <c r="M62" s="4093"/>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row>
    <row r="63" spans="1:115" s="235" customFormat="1" ht="93.75" customHeight="1" x14ac:dyDescent="0.25">
      <c r="A63" s="2027" t="str">
        <f>"Please Explain"</f>
        <v>Please Explain</v>
      </c>
      <c r="B63" s="4078" t="str">
        <f ca="1">IFERROR("The three largest end use contributors to the cost savings are "&amp;CONCATENATE(VLOOKUP(1,$K$51:$L$59,2,FALSE),", ", VLOOKUP(2,$K$51:$L$59,2,FALSE), ", and ",VLOOKUP(3,$K$51:$L$59,2,FALSE))&amp;" (as reported in the 12 - Performance_Outputs_1 tab). Please provide a narrative to justify the savings of these end uses, such as the energy efficiency measures which contribute to the savings claimed.","-")</f>
        <v>-</v>
      </c>
      <c r="C63" s="4079"/>
      <c r="D63" s="4079"/>
      <c r="E63" s="4079"/>
      <c r="F63" s="4080"/>
      <c r="G63" s="4075"/>
      <c r="H63" s="4076"/>
      <c r="I63" s="4076"/>
      <c r="J63" s="4076"/>
      <c r="K63" s="4076"/>
      <c r="L63" s="4076"/>
      <c r="M63" s="4077"/>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row>
    <row r="64" spans="1:115" s="866" customFormat="1" x14ac:dyDescent="0.25">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row>
    <row r="65" spans="1:115" s="235" customFormat="1" ht="25.5" customHeight="1" x14ac:dyDescent="0.25">
      <c r="A65" s="4116" t="s">
        <v>2807</v>
      </c>
      <c r="B65" s="4117"/>
      <c r="C65" s="4117"/>
      <c r="D65" s="4117"/>
      <c r="E65" s="4117"/>
      <c r="F65" s="4117"/>
      <c r="G65" s="4117"/>
      <c r="H65" s="4117"/>
      <c r="I65" s="4117"/>
      <c r="J65" s="4117"/>
      <c r="K65" s="4117"/>
      <c r="L65" s="4117"/>
      <c r="M65" s="4118"/>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row>
    <row r="66" spans="1:115" s="235" customFormat="1" ht="16.5" customHeight="1" x14ac:dyDescent="0.25">
      <c r="A66" s="4104" t="s">
        <v>2808</v>
      </c>
      <c r="B66" s="4105"/>
      <c r="C66" s="4105"/>
      <c r="D66" s="4105"/>
      <c r="E66" s="4105"/>
      <c r="F66" s="4105"/>
      <c r="G66" s="4105"/>
      <c r="H66" s="4105"/>
      <c r="I66" s="4105"/>
      <c r="J66" s="4105"/>
      <c r="K66" s="4105"/>
      <c r="L66" s="4105"/>
      <c r="M66" s="4119"/>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row>
    <row r="67" spans="1:115" s="235" customFormat="1" ht="58.5" customHeight="1" x14ac:dyDescent="0.25">
      <c r="A67" s="4083" t="str">
        <f>CONCATENATE(" Building Area",IF(SI_IP_Units="IP"," (sq ft)"," (sq m)")&amp;"
(General Information tab)")</f>
        <v xml:space="preserve"> Building Area (sq ft)
(General Information tab)</v>
      </c>
      <c r="B67" s="4096"/>
      <c r="C67" s="4084"/>
      <c r="D67" s="4083" t="str">
        <f>CONCATENATE(" Building Area",IF(SI_IP_Units="IP"," (sq ft)"," (sq m)")&amp;"
(6a - Lighting Counts tab)")</f>
        <v xml:space="preserve"> Building Area (sq ft)
(6a - Lighting Counts tab)</v>
      </c>
      <c r="E67" s="4084"/>
      <c r="F67" s="4083" t="s">
        <v>2818</v>
      </c>
      <c r="G67" s="4084"/>
      <c r="H67" s="4083" t="s">
        <v>2854</v>
      </c>
      <c r="I67" s="4084"/>
      <c r="J67" s="4083" t="s">
        <v>2820</v>
      </c>
      <c r="K67" s="4096"/>
      <c r="L67" s="4096"/>
      <c r="M67" s="4084"/>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row>
    <row r="68" spans="1:115" s="235" customFormat="1" ht="16.5" customHeight="1" x14ac:dyDescent="0.25">
      <c r="A68" s="4167">
        <f>'General Information'!G30</f>
        <v>0</v>
      </c>
      <c r="B68" s="4168"/>
      <c r="C68" s="4169"/>
      <c r="D68" s="4167">
        <f>'6a - Lighting Counts'!H26</f>
        <v>0</v>
      </c>
      <c r="E68" s="4169"/>
      <c r="F68" s="4167">
        <f>'12 - Performance_Outputs_1'!F483</f>
        <v>0</v>
      </c>
      <c r="G68" s="4169"/>
      <c r="H68" s="4167">
        <f>'12 - Performance_Outputs_1'!I483</f>
        <v>0</v>
      </c>
      <c r="I68" s="4169"/>
      <c r="J68" s="4158">
        <f>SUM('6a - Lighting Counts'!F29:F551)</f>
        <v>0</v>
      </c>
      <c r="K68" s="4159"/>
      <c r="L68" s="4159"/>
      <c r="M68" s="4160"/>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row>
    <row r="69" spans="1:115" s="866" customFormat="1" ht="17.25" customHeight="1" x14ac:dyDescent="0.25">
      <c r="A69" s="4014" t="s">
        <v>349</v>
      </c>
      <c r="B69" s="4015"/>
      <c r="C69" s="4015"/>
      <c r="D69" s="4105"/>
      <c r="E69" s="4105"/>
      <c r="F69" s="4105"/>
      <c r="G69" s="4091" t="s">
        <v>350</v>
      </c>
      <c r="H69" s="4092"/>
      <c r="I69" s="4092"/>
      <c r="J69" s="4092"/>
      <c r="K69" s="4092"/>
      <c r="L69" s="4092"/>
      <c r="M69" s="4093"/>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row>
    <row r="70" spans="1:115" s="235" customFormat="1" ht="93.75" customHeight="1" x14ac:dyDescent="0.25">
      <c r="A70" s="2027" t="str">
        <f>IFERROR(IF(ABS(A68-D68)/MIN(A68,D68)&gt;0.1,"Please Explain","Pass"),"Please Explain")</f>
        <v>Please Explain</v>
      </c>
      <c r="B70" s="4078" t="str">
        <f>"The total building area reported in the "&amp;IF(MultipleBuildingsExist="No","General Information", "Multiple Building Details")&amp; " tab differs from the total building area reported in the Lighting tab (Interior Lighting section) by more than 10%. Please check for consistency and verify that the building areas reported are accurate."</f>
        <v>The total building area reported in the General Information tab differs from the total building area reported in the Lighting tab (Interior Lighting section) by more than 10%. Please check for consistency and verify that the building areas reported are accurate.</v>
      </c>
      <c r="C70" s="4079"/>
      <c r="D70" s="4079"/>
      <c r="E70" s="4079"/>
      <c r="F70" s="4080"/>
      <c r="G70" s="4075"/>
      <c r="H70" s="4076"/>
      <c r="I70" s="4076"/>
      <c r="J70" s="4076"/>
      <c r="K70" s="4076"/>
      <c r="L70" s="4076"/>
      <c r="M70" s="4077"/>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row>
    <row r="71" spans="1:115" s="235" customFormat="1" ht="93.75" customHeight="1" x14ac:dyDescent="0.25">
      <c r="A71" s="2027" t="str">
        <f>IFERROR(IF(J68&lt;10,"Please Explain","Pass"),"Please Explain")</f>
        <v>Please Explain</v>
      </c>
      <c r="B71" s="4078" t="s">
        <v>2819</v>
      </c>
      <c r="C71" s="4079"/>
      <c r="D71" s="4079"/>
      <c r="E71" s="4079"/>
      <c r="F71" s="4080"/>
      <c r="G71" s="4075"/>
      <c r="H71" s="4076"/>
      <c r="I71" s="4076"/>
      <c r="J71" s="4076"/>
      <c r="K71" s="4076"/>
      <c r="L71" s="4076"/>
      <c r="M71" s="4077"/>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row>
    <row r="72" spans="1:115" s="235" customFormat="1" ht="93.75" customHeight="1" x14ac:dyDescent="0.25">
      <c r="A72" s="2027" t="str">
        <f>IFERROR(IF(MAX(F68:I68)&gt;300,"Please Explain","Pass"),"Please Explain")</f>
        <v>Pass</v>
      </c>
      <c r="B72" s="4078" t="s">
        <v>1073</v>
      </c>
      <c r="C72" s="4079"/>
      <c r="D72" s="4079"/>
      <c r="E72" s="4079"/>
      <c r="F72" s="4080"/>
      <c r="G72" s="4101"/>
      <c r="H72" s="4102"/>
      <c r="I72" s="4102"/>
      <c r="J72" s="4102"/>
      <c r="K72" s="4102"/>
      <c r="L72" s="4102"/>
      <c r="M72" s="4103"/>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row>
    <row r="73" spans="1:115" s="235" customFormat="1" ht="23.25" customHeight="1" x14ac:dyDescent="0.25">
      <c r="A73" s="4116" t="s">
        <v>2809</v>
      </c>
      <c r="B73" s="4117"/>
      <c r="C73" s="4117"/>
      <c r="D73" s="4117"/>
      <c r="E73" s="4117"/>
      <c r="F73" s="4117"/>
      <c r="G73" s="4117"/>
      <c r="H73" s="4117"/>
      <c r="I73" s="4117"/>
      <c r="J73" s="4117"/>
      <c r="K73" s="4117"/>
      <c r="L73" s="4117"/>
      <c r="M73" s="4118"/>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row>
    <row r="74" spans="1:115" s="235" customFormat="1" ht="16.5" customHeight="1" x14ac:dyDescent="0.25">
      <c r="A74" s="4104" t="s">
        <v>2808</v>
      </c>
      <c r="B74" s="4105"/>
      <c r="C74" s="4105"/>
      <c r="D74" s="4105"/>
      <c r="E74" s="4105"/>
      <c r="F74" s="4105"/>
      <c r="G74" s="4105"/>
      <c r="H74" s="4105"/>
      <c r="I74" s="4105"/>
      <c r="J74" s="4105"/>
      <c r="K74" s="4105"/>
      <c r="L74" s="4105"/>
      <c r="M74" s="4119"/>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row>
    <row r="75" spans="1:115" s="235" customFormat="1" ht="67.5" customHeight="1" x14ac:dyDescent="0.25">
      <c r="A75" s="4083" t="s">
        <v>2984</v>
      </c>
      <c r="B75" s="4096"/>
      <c r="C75" s="4084"/>
      <c r="D75" s="4083" t="s">
        <v>2985</v>
      </c>
      <c r="E75" s="4096"/>
      <c r="F75" s="4084"/>
      <c r="G75" s="4083" t="s">
        <v>2974</v>
      </c>
      <c r="H75" s="4096"/>
      <c r="I75" s="4096"/>
      <c r="J75" s="4096"/>
      <c r="K75" s="4096"/>
      <c r="L75" s="4096"/>
      <c r="M75" s="4084"/>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row>
    <row r="76" spans="1:115" s="235" customFormat="1" ht="16.5" customHeight="1" x14ac:dyDescent="0.25">
      <c r="A76" s="4120">
        <f>IFERROR(ROUND('4 - Shading and Fenestration'!D54,3),"-")</f>
        <v>0</v>
      </c>
      <c r="B76" s="4121"/>
      <c r="C76" s="4122"/>
      <c r="D76" s="4120" t="str">
        <f ca="1">IFERROR(ROUND('4 - Shading and Fenestration'!B54,3),"-")</f>
        <v>-</v>
      </c>
      <c r="E76" s="4121"/>
      <c r="F76" s="4122"/>
      <c r="G76" s="4107" t="str">
        <f>IF('12 - Performance_Outputs_1'!S126=1,"Yes","No")</f>
        <v>Yes</v>
      </c>
      <c r="H76" s="4108"/>
      <c r="I76" s="4108"/>
      <c r="J76" s="4108"/>
      <c r="K76" s="4108"/>
      <c r="L76" s="4108"/>
      <c r="M76" s="4109"/>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row>
    <row r="77" spans="1:115" s="866" customFormat="1" ht="17.25" customHeight="1" x14ac:dyDescent="0.25">
      <c r="A77" s="4104" t="s">
        <v>349</v>
      </c>
      <c r="B77" s="4105"/>
      <c r="C77" s="4105"/>
      <c r="D77" s="4105"/>
      <c r="E77" s="4105"/>
      <c r="F77" s="4105"/>
      <c r="G77" s="4091" t="s">
        <v>350</v>
      </c>
      <c r="H77" s="4092"/>
      <c r="I77" s="4092"/>
      <c r="J77" s="4092"/>
      <c r="K77" s="4092"/>
      <c r="L77" s="4092"/>
      <c r="M77" s="4093"/>
      <c r="N77" s="235"/>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row>
    <row r="78" spans="1:115" s="235" customFormat="1" ht="93.75" customHeight="1" x14ac:dyDescent="0.25">
      <c r="A78" s="2027" t="str">
        <f ca="1">IFERROR(IF(A76=D76,"Pass","Please Explain"),"Pass")</f>
        <v>Please Explain</v>
      </c>
      <c r="B78" s="4078" t="s">
        <v>1903</v>
      </c>
      <c r="C78" s="4079"/>
      <c r="D78" s="4079"/>
      <c r="E78" s="4079"/>
      <c r="F78" s="4080"/>
      <c r="G78" s="4075"/>
      <c r="H78" s="4076"/>
      <c r="I78" s="4076"/>
      <c r="J78" s="4076"/>
      <c r="K78" s="4076"/>
      <c r="L78" s="4076"/>
      <c r="M78" s="4077"/>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row>
    <row r="79" spans="1:115" s="235" customFormat="1" ht="93.75" customHeight="1" x14ac:dyDescent="0.25">
      <c r="A79" s="2027" t="str">
        <f>IFERROR(IF(G76="No","Please Explain","Pass"),"Please Explain")</f>
        <v>Pass</v>
      </c>
      <c r="B79" s="4078" t="s">
        <v>1900</v>
      </c>
      <c r="C79" s="4079"/>
      <c r="D79" s="4079"/>
      <c r="E79" s="4079"/>
      <c r="F79" s="4080"/>
      <c r="G79" s="4101"/>
      <c r="H79" s="4102"/>
      <c r="I79" s="4102"/>
      <c r="J79" s="4102"/>
      <c r="K79" s="4102"/>
      <c r="L79" s="4102"/>
      <c r="M79" s="4103"/>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row>
    <row r="80" spans="1:115" s="235" customFormat="1" ht="23.25" customHeight="1" x14ac:dyDescent="0.25">
      <c r="A80" s="4116" t="s">
        <v>236</v>
      </c>
      <c r="B80" s="4117"/>
      <c r="C80" s="4117"/>
      <c r="D80" s="4117"/>
      <c r="E80" s="4117"/>
      <c r="F80" s="4117"/>
      <c r="G80" s="4117"/>
      <c r="H80" s="4117"/>
      <c r="I80" s="4117"/>
      <c r="J80" s="4117"/>
      <c r="K80" s="4117"/>
      <c r="L80" s="4117"/>
      <c r="M80" s="4118"/>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row>
    <row r="81" spans="1:115" s="235" customFormat="1" ht="16.5" customHeight="1" x14ac:dyDescent="0.25">
      <c r="A81" s="4104" t="s">
        <v>2808</v>
      </c>
      <c r="B81" s="4105"/>
      <c r="C81" s="4105"/>
      <c r="D81" s="4105"/>
      <c r="E81" s="4105"/>
      <c r="F81" s="4105"/>
      <c r="G81" s="4105"/>
      <c r="H81" s="4105"/>
      <c r="I81" s="4105"/>
      <c r="J81" s="4105"/>
      <c r="K81" s="4105"/>
      <c r="L81" s="4105"/>
      <c r="M81" s="4119"/>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row>
    <row r="82" spans="1:115" s="235" customFormat="1" ht="54.75" customHeight="1" x14ac:dyDescent="0.25">
      <c r="A82" s="2029"/>
      <c r="B82" s="784" t="s">
        <v>2824</v>
      </c>
      <c r="C82" s="4083" t="s">
        <v>2823</v>
      </c>
      <c r="D82" s="4084"/>
      <c r="E82" s="4083" t="s">
        <v>2822</v>
      </c>
      <c r="F82" s="4084"/>
      <c r="G82" s="4083" t="s">
        <v>2821</v>
      </c>
      <c r="H82" s="4084"/>
      <c r="I82" s="784" t="s">
        <v>2963</v>
      </c>
      <c r="J82" s="784" t="str">
        <f>"Typical EFLH for "&amp;IF(INDEX('General Information'!$E$20:$E$28,2,1)="",INDEX('General Information'!$E$20:$E$28,1,1),INDEX('General Information'!$E$20:$E$28,1,1)&amp;" and "&amp;INDEX('General Information'!$E$20:$E$28,2,1))</f>
        <v xml:space="preserve">Typical EFLH for </v>
      </c>
      <c r="K82" s="4083" t="s">
        <v>2810</v>
      </c>
      <c r="L82" s="4096"/>
      <c r="M82" s="4084"/>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row>
    <row r="83" spans="1:115" s="235" customFormat="1" ht="16.5" customHeight="1" x14ac:dyDescent="0.25">
      <c r="A83" s="2030"/>
      <c r="B83" s="784" t="s">
        <v>802</v>
      </c>
      <c r="C83" s="4083" t="s">
        <v>803</v>
      </c>
      <c r="D83" s="4084"/>
      <c r="E83" s="4083" t="s">
        <v>804</v>
      </c>
      <c r="F83" s="4084"/>
      <c r="G83" s="4083" t="s">
        <v>805</v>
      </c>
      <c r="H83" s="4084"/>
      <c r="I83" s="784" t="s">
        <v>2987</v>
      </c>
      <c r="J83" s="784" t="s">
        <v>807</v>
      </c>
      <c r="K83" s="4083" t="s">
        <v>2986</v>
      </c>
      <c r="L83" s="4096"/>
      <c r="M83" s="4084"/>
      <c r="O83" s="866"/>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row>
    <row r="84" spans="1:115" s="235" customFormat="1" ht="36" customHeight="1" x14ac:dyDescent="0.25">
      <c r="A84" s="1992" t="s">
        <v>2811</v>
      </c>
      <c r="B84" s="2026">
        <f>'6b - General Lighting'!F60</f>
        <v>0</v>
      </c>
      <c r="C84" s="4094">
        <f>'6b - General Lighting'!F60</f>
        <v>0</v>
      </c>
      <c r="D84" s="4095"/>
      <c r="E84" s="4094" t="str">
        <f>IFERROR('12 - Performance_Outputs_1'!G239*1000+'12 - Performance_Outputs_1'!G241*1000,"-")</f>
        <v>-</v>
      </c>
      <c r="F84" s="4095"/>
      <c r="G84" s="4094" t="str">
        <f>IFERROR('12 - Performance_Outputs_1'!G238+'12 - Performance_Outputs_1'!G240,"-")</f>
        <v>-</v>
      </c>
      <c r="H84" s="4095"/>
      <c r="I84" s="2026" t="str">
        <f>IFERROR(G84/(B84/1000),"-")</f>
        <v>-</v>
      </c>
      <c r="J84" s="2026">
        <f>IFERROR(SUM('General Information'!V20:V26),$DQ$27)</f>
        <v>4017.75</v>
      </c>
      <c r="K84" s="4097" t="str">
        <f>IFERROR(E84/B84,"-")</f>
        <v>-</v>
      </c>
      <c r="L84" s="4098"/>
      <c r="M84" s="4099"/>
      <c r="O84" s="866"/>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row>
    <row r="85" spans="1:115" s="235" customFormat="1" ht="16.5" customHeight="1" x14ac:dyDescent="0.25">
      <c r="A85" s="1992" t="s">
        <v>2682</v>
      </c>
      <c r="B85" s="2026">
        <f>'6b - General Lighting'!E60</f>
        <v>0</v>
      </c>
      <c r="C85" s="4094">
        <f>'6b - General Lighting'!L60</f>
        <v>0</v>
      </c>
      <c r="D85" s="4095"/>
      <c r="E85" s="4094" t="str">
        <f ca="1">IFERROR('12 - Performance_Outputs_1'!H239*1000+'12 - Performance_Outputs_1'!H241*1000,"-")</f>
        <v>-</v>
      </c>
      <c r="F85" s="4095"/>
      <c r="G85" s="4094" t="str">
        <f ca="1">IFERROR('12 - Performance_Outputs_1'!H238+'12 - Performance_Outputs_1'!H240,"-")</f>
        <v>-</v>
      </c>
      <c r="H85" s="4095"/>
      <c r="I85" s="2026" t="str">
        <f ca="1">IFERROR(G85/(B85/1000),"-")</f>
        <v>-</v>
      </c>
      <c r="J85" s="784" t="s">
        <v>2212</v>
      </c>
      <c r="K85" s="4097" t="str">
        <f ca="1">IFERROR(E85/B85,"-")</f>
        <v>-</v>
      </c>
      <c r="L85" s="4098"/>
      <c r="M85" s="4099"/>
      <c r="O85" s="866"/>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row>
    <row r="86" spans="1:115" s="235" customFormat="1" ht="16.5" customHeight="1" x14ac:dyDescent="0.25">
      <c r="A86" s="1992" t="s">
        <v>2857</v>
      </c>
      <c r="B86" s="2017" t="str">
        <f>IFERROR(B85/B84,"-")</f>
        <v>-</v>
      </c>
      <c r="C86" s="4089" t="str">
        <f>IFERROR(C85/C84,"-")</f>
        <v>-</v>
      </c>
      <c r="D86" s="4090"/>
      <c r="E86" s="4089" t="str">
        <f ca="1">IFERROR(E85/E84,"-")</f>
        <v>-</v>
      </c>
      <c r="F86" s="4090"/>
      <c r="G86" s="4089" t="str">
        <f ca="1">IFERROR(G85/G84,"-")</f>
        <v>-</v>
      </c>
      <c r="H86" s="4090"/>
      <c r="I86" s="2017" t="str">
        <f ca="1">IFERROR(I85/I84,"-")</f>
        <v>-</v>
      </c>
      <c r="J86" s="2017" t="s">
        <v>2212</v>
      </c>
      <c r="K86" s="4089" t="str">
        <f ca="1">IFERROR(K85/K84,"-")</f>
        <v>-</v>
      </c>
      <c r="L86" s="4100"/>
      <c r="M86" s="4090"/>
      <c r="O86" s="86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row>
    <row r="87" spans="1:115" s="866" customFormat="1" ht="17.25" customHeight="1" x14ac:dyDescent="0.25">
      <c r="A87" s="4104" t="s">
        <v>349</v>
      </c>
      <c r="B87" s="4105"/>
      <c r="C87" s="4105"/>
      <c r="D87" s="4105"/>
      <c r="E87" s="4105"/>
      <c r="F87" s="4105"/>
      <c r="G87" s="4091" t="s">
        <v>350</v>
      </c>
      <c r="H87" s="4092"/>
      <c r="I87" s="4092"/>
      <c r="J87" s="4092"/>
      <c r="K87" s="4092"/>
      <c r="L87" s="4092"/>
      <c r="M87" s="4093"/>
      <c r="N87" s="235"/>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row>
    <row r="88" spans="1:115" s="235" customFormat="1" ht="93.75" customHeight="1" x14ac:dyDescent="0.25">
      <c r="A88" s="2027" t="str">
        <f>IF(E84&gt;B84,"Please Explain","Pass")</f>
        <v>Please Explain</v>
      </c>
      <c r="B88" s="4078" t="s">
        <v>3012</v>
      </c>
      <c r="C88" s="4079"/>
      <c r="D88" s="4079"/>
      <c r="E88" s="4079"/>
      <c r="F88" s="4080"/>
      <c r="G88" s="4075"/>
      <c r="H88" s="4076"/>
      <c r="I88" s="4076"/>
      <c r="J88" s="4076"/>
      <c r="K88" s="4076"/>
      <c r="L88" s="4076"/>
      <c r="M88" s="4077"/>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row>
    <row r="89" spans="1:115" s="235" customFormat="1" ht="93.75" customHeight="1" x14ac:dyDescent="0.25">
      <c r="A89" s="2027" t="str">
        <f ca="1">IF(E85&gt;B85,"Please Explain","Pass")</f>
        <v>Please Explain</v>
      </c>
      <c r="B89" s="4078" t="s">
        <v>3013</v>
      </c>
      <c r="C89" s="4079"/>
      <c r="D89" s="4079"/>
      <c r="E89" s="4079"/>
      <c r="F89" s="4080"/>
      <c r="G89" s="4075"/>
      <c r="H89" s="4076"/>
      <c r="I89" s="4076"/>
      <c r="J89" s="4076"/>
      <c r="K89" s="4076"/>
      <c r="L89" s="4076"/>
      <c r="M89" s="4077"/>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row>
    <row r="90" spans="1:115" s="235" customFormat="1" ht="93.75" customHeight="1" x14ac:dyDescent="0.25">
      <c r="A90" s="2027" t="str">
        <f ca="1">IFERROR(IF((E86&lt;0.9*C86),"Please Explain","Pass"),"Please Explain")</f>
        <v>Please Explain</v>
      </c>
      <c r="B90" s="4078" t="str">
        <f ca="1">AJ90&amp;TEXT(C86,"00%")&amp;AJ93&amp;TEXT(E86,"00%")&amp;AJ92</f>
        <v>Based on the General Lighting tab, the proposed lighting power adjusted for occupancy sensors is - of the baseline. A similar relationship is expected for the non-coincident peak demand. However, based on the modeling results in the Performance Outputs tab, the proposed non-coincident lighting peak demand is - of the baseline, which is less  than expected. Please review and correct the lighting inputs in the proposed and / or baseline model, update the inputs on the Lighting Counts tab, or explain.</v>
      </c>
      <c r="C90" s="4079"/>
      <c r="D90" s="4079"/>
      <c r="E90" s="4079"/>
      <c r="F90" s="4080"/>
      <c r="G90" s="4075"/>
      <c r="H90" s="4076"/>
      <c r="I90" s="4076"/>
      <c r="J90" s="4076"/>
      <c r="K90" s="4076"/>
      <c r="L90" s="4076"/>
      <c r="M90" s="4077"/>
      <c r="AJ90" s="2175" t="s">
        <v>3008</v>
      </c>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row>
    <row r="91" spans="1:115" s="235" customFormat="1" ht="93.75" customHeight="1" x14ac:dyDescent="0.25">
      <c r="A91" s="2027" t="str">
        <f>IFERROR(IF(AND(RatingSystemSelection="ENERGY STAR MFHR",'6b - General Lighting'!X60=1),"Please Explain","Pass"),"Please Explain")</f>
        <v>Pass</v>
      </c>
      <c r="B91" s="4078" t="s">
        <v>2478</v>
      </c>
      <c r="C91" s="4079"/>
      <c r="D91" s="4079"/>
      <c r="E91" s="4079"/>
      <c r="F91" s="4080"/>
      <c r="G91" s="4101"/>
      <c r="H91" s="4102"/>
      <c r="I91" s="4102"/>
      <c r="J91" s="4102"/>
      <c r="K91" s="4102"/>
      <c r="L91" s="4102"/>
      <c r="M91" s="4103"/>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row>
    <row r="92" spans="1:115" s="235" customFormat="1" ht="93.75" customHeight="1" x14ac:dyDescent="0.25">
      <c r="A92" s="2027" t="str">
        <f ca="1">IFERROR(IF(((C85*0.9)/(C84))&gt;(G85/G84),"Please Explain","Pass"),"Please Explain")</f>
        <v>Please Explain</v>
      </c>
      <c r="B92" s="4078" t="s">
        <v>2989</v>
      </c>
      <c r="C92" s="4079"/>
      <c r="D92" s="4079"/>
      <c r="E92" s="4079"/>
      <c r="F92" s="4080"/>
      <c r="G92" s="4075"/>
      <c r="H92" s="4076"/>
      <c r="I92" s="4076"/>
      <c r="J92" s="4076"/>
      <c r="K92" s="4076"/>
      <c r="L92" s="4076"/>
      <c r="M92" s="4077"/>
      <c r="AJ92" s="2175" t="s">
        <v>3010</v>
      </c>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row>
    <row r="93" spans="1:115" s="235" customFormat="1" ht="93.75" customHeight="1" x14ac:dyDescent="0.25">
      <c r="A93" s="2027" t="str">
        <f>IF((I84&gt;1.2*J84),"Please Explain","Pass")</f>
        <v>Please Explain</v>
      </c>
      <c r="B93" s="4078" t="s">
        <v>2988</v>
      </c>
      <c r="C93" s="4079"/>
      <c r="D93" s="4079"/>
      <c r="E93" s="4079"/>
      <c r="F93" s="4080"/>
      <c r="G93" s="4075"/>
      <c r="H93" s="4076"/>
      <c r="I93" s="4076"/>
      <c r="J93" s="4076"/>
      <c r="K93" s="4076"/>
      <c r="L93" s="4076"/>
      <c r="M93" s="4077"/>
      <c r="AJ93" s="2175" t="s">
        <v>3009</v>
      </c>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row>
    <row r="94" spans="1:115" s="235" customFormat="1" ht="93.75" customHeight="1" x14ac:dyDescent="0.25">
      <c r="A94" s="2027" t="str">
        <f>IFERROR(IF(AND(RatingSystemSelection="ENERGY STAR MFHR",'6b - General Lighting'!X60&gt;0),"Please Explain","Pass"),"Please Explain")</f>
        <v>Pass</v>
      </c>
      <c r="B94" s="4078" t="s">
        <v>2990</v>
      </c>
      <c r="C94" s="4079"/>
      <c r="D94" s="4079"/>
      <c r="E94" s="4079"/>
      <c r="F94" s="4080"/>
      <c r="G94" s="4101"/>
      <c r="H94" s="4102"/>
      <c r="I94" s="4102"/>
      <c r="J94" s="4102"/>
      <c r="K94" s="4102"/>
      <c r="L94" s="4102"/>
      <c r="M94" s="4103"/>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row>
    <row r="95" spans="1:115" s="235" customFormat="1" ht="23.25" customHeight="1" x14ac:dyDescent="0.25">
      <c r="A95" s="4116" t="s">
        <v>237</v>
      </c>
      <c r="B95" s="4117"/>
      <c r="C95" s="4117"/>
      <c r="D95" s="4117"/>
      <c r="E95" s="4117"/>
      <c r="F95" s="4117"/>
      <c r="G95" s="4117"/>
      <c r="H95" s="4117"/>
      <c r="I95" s="4117"/>
      <c r="J95" s="4117"/>
      <c r="K95" s="4117"/>
      <c r="L95" s="4117"/>
      <c r="M95" s="4118"/>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row>
    <row r="96" spans="1:115" ht="14.25" customHeight="1" x14ac:dyDescent="0.25">
      <c r="A96" s="4104" t="s">
        <v>2808</v>
      </c>
      <c r="B96" s="4105"/>
      <c r="C96" s="4105"/>
      <c r="D96" s="4105"/>
      <c r="E96" s="4105"/>
      <c r="F96" s="4105"/>
      <c r="G96" s="4105"/>
      <c r="H96" s="4105"/>
      <c r="I96" s="4105"/>
      <c r="J96" s="4105"/>
      <c r="K96" s="4105"/>
      <c r="L96" s="4105"/>
      <c r="M96" s="4119"/>
      <c r="N96" s="235"/>
    </row>
    <row r="97" spans="1:115" ht="34.049999999999997" customHeight="1" x14ac:dyDescent="0.25">
      <c r="A97" s="2029"/>
      <c r="B97" s="4083" t="s">
        <v>2835</v>
      </c>
      <c r="C97" s="4096"/>
      <c r="D97" s="4084"/>
      <c r="E97" s="4083" t="s">
        <v>2822</v>
      </c>
      <c r="F97" s="4096"/>
      <c r="G97" s="4084"/>
      <c r="H97" s="4083" t="s">
        <v>2821</v>
      </c>
      <c r="I97" s="4096"/>
      <c r="J97" s="4084"/>
      <c r="K97" s="4083" t="s">
        <v>2963</v>
      </c>
      <c r="L97" s="4096"/>
      <c r="M97" s="4084"/>
      <c r="N97" s="235"/>
    </row>
    <row r="98" spans="1:115" x14ac:dyDescent="0.25">
      <c r="A98" s="2030"/>
      <c r="B98" s="4083" t="s">
        <v>802</v>
      </c>
      <c r="C98" s="4096"/>
      <c r="D98" s="4084"/>
      <c r="E98" s="4083" t="s">
        <v>803</v>
      </c>
      <c r="F98" s="4096"/>
      <c r="G98" s="4084"/>
      <c r="H98" s="4083" t="s">
        <v>804</v>
      </c>
      <c r="I98" s="4096"/>
      <c r="J98" s="4084"/>
      <c r="K98" s="4083" t="s">
        <v>3014</v>
      </c>
      <c r="L98" s="4096"/>
      <c r="M98" s="4084"/>
      <c r="N98" s="235"/>
    </row>
    <row r="99" spans="1:115" x14ac:dyDescent="0.25">
      <c r="A99" s="1992" t="s">
        <v>2811</v>
      </c>
      <c r="B99" s="4172">
        <f>'6b - General Lighting'!J173*1000</f>
        <v>0</v>
      </c>
      <c r="C99" s="4173"/>
      <c r="D99" s="4174"/>
      <c r="E99" s="4172">
        <f>IFERROR(IF('12 - Performance_Outputs_1'!G245="",0,'12 - Performance_Outputs_1'!G245*1000),"-")</f>
        <v>0</v>
      </c>
      <c r="F99" s="4173"/>
      <c r="G99" s="4174"/>
      <c r="H99" s="4172">
        <f>IFERROR(IF('12 - Performance_Outputs_1'!G244="",0,'12 - Performance_Outputs_1'!G244),"-")</f>
        <v>0</v>
      </c>
      <c r="I99" s="4173"/>
      <c r="J99" s="4174"/>
      <c r="K99" s="4172" t="str">
        <f>IFERROR(H99/(B99/1000),"-")</f>
        <v>-</v>
      </c>
      <c r="L99" s="4173"/>
      <c r="M99" s="4174"/>
      <c r="N99" s="235"/>
    </row>
    <row r="100" spans="1:115" x14ac:dyDescent="0.25">
      <c r="A100" s="1992" t="s">
        <v>2682</v>
      </c>
      <c r="B100" s="4172">
        <f>'6b - General Lighting'!M173*1000</f>
        <v>0</v>
      </c>
      <c r="C100" s="4173"/>
      <c r="D100" s="4174"/>
      <c r="E100" s="4172" t="str">
        <f ca="1">IFERROR('12 - Performance_Outputs_1'!H245*1000,"-")</f>
        <v>-</v>
      </c>
      <c r="F100" s="4173"/>
      <c r="G100" s="4174"/>
      <c r="H100" s="4172">
        <f ca="1">IFERROR(IF('12 - Performance_Outputs_1'!H244="",0,'12 - Performance_Outputs_1'!H244),"-")</f>
        <v>0</v>
      </c>
      <c r="I100" s="4173"/>
      <c r="J100" s="4174"/>
      <c r="K100" s="4172" t="str">
        <f ca="1">IFERROR(H100/(B100/1000),"-")</f>
        <v>-</v>
      </c>
      <c r="L100" s="4173"/>
      <c r="M100" s="4174"/>
      <c r="N100" s="235"/>
    </row>
    <row r="101" spans="1:115" x14ac:dyDescent="0.25">
      <c r="A101" s="1992" t="s">
        <v>2857</v>
      </c>
      <c r="B101" s="4175" t="str">
        <f>IFERROR(B100/B99,"-")</f>
        <v>-</v>
      </c>
      <c r="C101" s="4176"/>
      <c r="D101" s="4177"/>
      <c r="E101" s="4175" t="str">
        <f ca="1">IFERROR(E100/E99,"-")</f>
        <v>-</v>
      </c>
      <c r="F101" s="4176"/>
      <c r="G101" s="4177"/>
      <c r="H101" s="4087" t="str">
        <f ca="1">IFERROR(H100/H99,"-")</f>
        <v>-</v>
      </c>
      <c r="I101" s="4106"/>
      <c r="J101" s="4088"/>
      <c r="K101" s="4087" t="str">
        <f ca="1">IFERROR(K100/K99,"-")</f>
        <v>-</v>
      </c>
      <c r="L101" s="4106"/>
      <c r="M101" s="4088"/>
      <c r="N101" s="235"/>
    </row>
    <row r="102" spans="1:115" s="866" customFormat="1" ht="17.25" customHeight="1" x14ac:dyDescent="0.25">
      <c r="A102" s="4104" t="s">
        <v>349</v>
      </c>
      <c r="B102" s="4105"/>
      <c r="C102" s="4105"/>
      <c r="D102" s="4105"/>
      <c r="E102" s="4105"/>
      <c r="F102" s="4105"/>
      <c r="G102" s="4091" t="s">
        <v>350</v>
      </c>
      <c r="H102" s="4092"/>
      <c r="I102" s="4092"/>
      <c r="J102" s="4092"/>
      <c r="K102" s="4092"/>
      <c r="L102" s="4092"/>
      <c r="M102" s="4093"/>
      <c r="N102" s="235"/>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row>
    <row r="103" spans="1:115" s="235" customFormat="1" ht="93.75" customHeight="1" x14ac:dyDescent="0.25">
      <c r="A103" s="2027" t="str">
        <f>IF(B99&lt;E99,"Please Explain","Pass")</f>
        <v>Pass</v>
      </c>
      <c r="B103" s="4078" t="s">
        <v>2991</v>
      </c>
      <c r="C103" s="4079"/>
      <c r="D103" s="4079"/>
      <c r="E103" s="4079"/>
      <c r="F103" s="4080"/>
      <c r="G103" s="4101"/>
      <c r="H103" s="4102"/>
      <c r="I103" s="4102"/>
      <c r="J103" s="4102"/>
      <c r="K103" s="4102"/>
      <c r="L103" s="4102"/>
      <c r="M103" s="4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row>
    <row r="104" spans="1:115" s="235" customFormat="1" ht="93.75" customHeight="1" x14ac:dyDescent="0.25">
      <c r="A104" s="2027" t="str">
        <f>IF(B100&gt;B99,"Please Explain","Pass")</f>
        <v>Pass</v>
      </c>
      <c r="B104" s="4078" t="s">
        <v>2992</v>
      </c>
      <c r="C104" s="4079"/>
      <c r="D104" s="4079"/>
      <c r="E104" s="4079"/>
      <c r="F104" s="4080"/>
      <c r="G104" s="4101"/>
      <c r="H104" s="4102"/>
      <c r="I104" s="4102"/>
      <c r="J104" s="4102"/>
      <c r="K104" s="4102"/>
      <c r="L104" s="4102"/>
      <c r="M104" s="4103"/>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row>
    <row r="105" spans="1:115" s="235" customFormat="1" ht="93.75" customHeight="1" x14ac:dyDescent="0.25">
      <c r="A105" s="2027" t="str">
        <f>IFERROR(IF(K99="-","Pass",IF(K99&gt;2920,"Please Explain","Pass")),"Please Explain")</f>
        <v>Pass</v>
      </c>
      <c r="B105" s="4078" t="s">
        <v>2993</v>
      </c>
      <c r="C105" s="4079"/>
      <c r="D105" s="4079"/>
      <c r="E105" s="4079"/>
      <c r="F105" s="4080"/>
      <c r="G105" s="4101"/>
      <c r="H105" s="4102"/>
      <c r="I105" s="4102"/>
      <c r="J105" s="4102"/>
      <c r="K105" s="4102"/>
      <c r="L105" s="4102"/>
      <c r="M105" s="4103"/>
      <c r="S105" s="1170"/>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row>
    <row r="106" spans="1:115" s="235" customFormat="1" ht="93.75" customHeight="1" x14ac:dyDescent="0.25">
      <c r="A106" s="2027" t="str">
        <f ca="1">IFERROR(IF(AND(K99="-",K100="-"),"Pass",IF((ABS(K99-K100)/MIN(K100,K99))&gt;0.01,"Please Explain","Pass")),"Please Explain")</f>
        <v>Pass</v>
      </c>
      <c r="B106" s="4078" t="s">
        <v>2994</v>
      </c>
      <c r="C106" s="4079"/>
      <c r="D106" s="4079"/>
      <c r="E106" s="4079"/>
      <c r="F106" s="4080"/>
      <c r="G106" s="4101"/>
      <c r="H106" s="4102"/>
      <c r="I106" s="4102"/>
      <c r="J106" s="4102"/>
      <c r="K106" s="4102"/>
      <c r="L106" s="4102"/>
      <c r="M106" s="4103"/>
      <c r="O106" s="2"/>
      <c r="S106" s="1170"/>
      <c r="AE106" s="1171"/>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row>
    <row r="107" spans="1:115" s="235" customFormat="1" ht="93.75" customHeight="1" x14ac:dyDescent="0.25">
      <c r="A107" s="2027" t="str">
        <f ca="1">IF(E100=0,"Please Explain","Pass")</f>
        <v>Pass</v>
      </c>
      <c r="B107" s="4078" t="s">
        <v>2836</v>
      </c>
      <c r="C107" s="4079"/>
      <c r="D107" s="4079"/>
      <c r="E107" s="4079"/>
      <c r="F107" s="4080"/>
      <c r="G107" s="4101"/>
      <c r="H107" s="4102"/>
      <c r="I107" s="4102"/>
      <c r="J107" s="4102"/>
      <c r="K107" s="4102"/>
      <c r="L107" s="4102"/>
      <c r="M107" s="4103"/>
      <c r="S107" s="1170"/>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row>
    <row r="108" spans="1:115" s="235" customFormat="1" ht="93.75" customHeight="1" x14ac:dyDescent="0.25">
      <c r="A108" s="2027" t="str">
        <f ca="1">IFERROR(IF(AND(B99=0,B100=0,H99=0,H100=0),"Pass",IF((B99/B100)&lt;&gt;(H99/H100),"Please Explain","Pass")),"Please Explain")</f>
        <v>Pass</v>
      </c>
      <c r="B108" s="4078" t="s">
        <v>2995</v>
      </c>
      <c r="C108" s="4079"/>
      <c r="D108" s="4079"/>
      <c r="E108" s="4079"/>
      <c r="F108" s="4080"/>
      <c r="G108" s="4101"/>
      <c r="H108" s="4102"/>
      <c r="I108" s="4102"/>
      <c r="J108" s="4102"/>
      <c r="K108" s="4102"/>
      <c r="L108" s="4102"/>
      <c r="M108" s="4103"/>
      <c r="O108" s="2"/>
      <c r="S108" s="1170"/>
      <c r="AE108" s="380"/>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row>
    <row r="109" spans="1:115" s="235" customFormat="1" ht="93.75" customHeight="1" x14ac:dyDescent="0.25">
      <c r="A109" s="2027" t="str">
        <f ca="1">IFERROR(IF(AND(H99=0,H100=0),"Pass",IF((ABS(H99-H100)/MIN(H100,H99))&lt;0.01,"Please Explain","Pass")),"Please Explain")</f>
        <v>Pass</v>
      </c>
      <c r="B109" s="4078" t="s">
        <v>2837</v>
      </c>
      <c r="C109" s="4079"/>
      <c r="D109" s="4079"/>
      <c r="E109" s="4079"/>
      <c r="F109" s="4080"/>
      <c r="G109" s="4101"/>
      <c r="H109" s="4102"/>
      <c r="I109" s="4102"/>
      <c r="J109" s="4102"/>
      <c r="K109" s="4102"/>
      <c r="L109" s="4102"/>
      <c r="M109" s="4103"/>
      <c r="O109" s="2"/>
      <c r="S109" s="1170"/>
      <c r="AE109" s="380"/>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row>
    <row r="110" spans="1:115" s="235" customFormat="1" ht="23.25" customHeight="1" x14ac:dyDescent="0.25">
      <c r="A110" s="4116" t="s">
        <v>2812</v>
      </c>
      <c r="B110" s="4117"/>
      <c r="C110" s="4117"/>
      <c r="D110" s="4117"/>
      <c r="E110" s="4117"/>
      <c r="F110" s="4117"/>
      <c r="G110" s="4117"/>
      <c r="H110" s="4117"/>
      <c r="I110" s="4117"/>
      <c r="J110" s="4117"/>
      <c r="K110" s="4117"/>
      <c r="L110" s="4117"/>
      <c r="M110" s="4118"/>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row>
    <row r="111" spans="1:115" ht="14.25" customHeight="1" x14ac:dyDescent="0.25">
      <c r="A111" s="4104" t="s">
        <v>2808</v>
      </c>
      <c r="B111" s="4105"/>
      <c r="C111" s="4105"/>
      <c r="D111" s="4105"/>
      <c r="E111" s="4105"/>
      <c r="F111" s="4105"/>
      <c r="G111" s="4105"/>
      <c r="H111" s="4105"/>
      <c r="I111" s="4105"/>
      <c r="J111" s="4105"/>
      <c r="K111" s="4105"/>
      <c r="L111" s="4105"/>
      <c r="M111" s="4119"/>
      <c r="N111" s="235"/>
    </row>
    <row r="112" spans="1:115" ht="76.5" customHeight="1" x14ac:dyDescent="0.25">
      <c r="A112" s="2029"/>
      <c r="B112" s="4162" t="s">
        <v>2838</v>
      </c>
      <c r="C112" s="4162"/>
      <c r="D112" s="4162"/>
      <c r="E112" s="4162" t="s">
        <v>2839</v>
      </c>
      <c r="F112" s="4162"/>
      <c r="G112" s="4162"/>
      <c r="H112" s="4083" t="str">
        <f>"Typical Miscellaneous Loads for "&amp;IF(INDEX('General Information'!$T$20:$T$28,2,1)="",INDEX('General Information'!$T$20:$T$28,1,1),INDEX('General Information'!$T$20:$T$28,1,1)&amp;" and "&amp;INDEX('General Information'!$T$20:$T$28,2,1))&amp;" [kBtu/SF] "</f>
        <v xml:space="preserve">Typical Miscellaneous Loads for 0 and 0 [kBtu/SF] </v>
      </c>
      <c r="I112" s="4096"/>
      <c r="J112" s="4096"/>
      <c r="K112" s="4084"/>
      <c r="L112" s="4162" t="str">
        <f>"Typical EFLH for "&amp;IF(INDEX('General Information'!$E$20:$E$28,2,1)="",INDEX('General Information'!$E$20:$E$28,1,1),INDEX('General Information'!$E$20:$E$28,1,1)&amp;" and "&amp;INDEX('General Information'!$E$20:$E$28,2,1))</f>
        <v xml:space="preserve">Typical EFLH for </v>
      </c>
      <c r="M112" s="4162"/>
      <c r="N112" s="235"/>
    </row>
    <row r="113" spans="1:115" x14ac:dyDescent="0.25">
      <c r="A113" s="2030"/>
      <c r="B113" s="4162" t="s">
        <v>802</v>
      </c>
      <c r="C113" s="4162"/>
      <c r="D113" s="4162"/>
      <c r="E113" s="4162" t="s">
        <v>803</v>
      </c>
      <c r="F113" s="4162"/>
      <c r="G113" s="4162"/>
      <c r="H113" s="4083" t="s">
        <v>804</v>
      </c>
      <c r="I113" s="4096"/>
      <c r="J113" s="4096"/>
      <c r="K113" s="4084"/>
      <c r="L113" s="4162" t="s">
        <v>806</v>
      </c>
      <c r="M113" s="4162"/>
      <c r="N113" s="235"/>
    </row>
    <row r="114" spans="1:115" x14ac:dyDescent="0.25">
      <c r="A114" s="1992" t="s">
        <v>2811</v>
      </c>
      <c r="B114" s="4185" t="str">
        <f>IFERROR(SUMIF('12 - Performance_Outputs_1'!AJ238:AJ293,1,'12 - Performance_Outputs_1'!V238:V293)*1000/BuildingArea,"-")</f>
        <v>-</v>
      </c>
      <c r="C114" s="4185"/>
      <c r="D114" s="4185"/>
      <c r="E114" s="4185" t="str">
        <f>IFERROR(SUMIF('12 - Performance_Outputs_1'!AK238:AK293,1,'12 - Performance_Outputs_1'!V238:V293)*1000/BuildingArea,"-")</f>
        <v>-</v>
      </c>
      <c r="F114" s="4185"/>
      <c r="G114" s="4185"/>
      <c r="H114" s="4179" t="str">
        <f>IFERROR(SUM('General Information'!U20:U26),"-")</f>
        <v>-</v>
      </c>
      <c r="I114" s="4180"/>
      <c r="J114" s="4180"/>
      <c r="K114" s="4181"/>
      <c r="L114" s="4170">
        <f>IFERROR(SUM('General Information'!V20:V26),$DR$27)</f>
        <v>5033.375</v>
      </c>
      <c r="M114" s="4170"/>
      <c r="N114" s="235"/>
    </row>
    <row r="115" spans="1:115" x14ac:dyDescent="0.25">
      <c r="A115" s="1992" t="s">
        <v>2682</v>
      </c>
      <c r="B115" s="4185" t="str">
        <f ca="1">IFERROR(SUMIF('12 - Performance_Outputs_1'!AJ238:AJ293,1,'12 - Performance_Outputs_1'!W238:W293)*1000/BuildingArea,"-")</f>
        <v>-</v>
      </c>
      <c r="C115" s="4185"/>
      <c r="D115" s="4185"/>
      <c r="E115" s="4185" t="str">
        <f ca="1">IFERROR(SUMIF('12 - Performance_Outputs_1'!AK238:AK293,1,'12 - Performance_Outputs_1'!W238:W293)*1000/BuildingArea,"-")</f>
        <v>-</v>
      </c>
      <c r="F115" s="4185"/>
      <c r="G115" s="4185"/>
      <c r="H115" s="4083" t="s">
        <v>2212</v>
      </c>
      <c r="I115" s="4096"/>
      <c r="J115" s="4096"/>
      <c r="K115" s="4084"/>
      <c r="L115" s="4162" t="s">
        <v>2212</v>
      </c>
      <c r="M115" s="4162"/>
      <c r="N115" s="235"/>
    </row>
    <row r="116" spans="1:115" x14ac:dyDescent="0.25">
      <c r="A116" s="1992" t="s">
        <v>2857</v>
      </c>
      <c r="B116" s="4165" t="str">
        <f ca="1">IFERROR(B115/B114,"-")</f>
        <v>-</v>
      </c>
      <c r="C116" s="4165"/>
      <c r="D116" s="4165"/>
      <c r="E116" s="4165" t="str">
        <f ca="1">IFERROR(E115/E114,"-")</f>
        <v>-</v>
      </c>
      <c r="F116" s="4165"/>
      <c r="G116" s="4165"/>
      <c r="H116" s="4089" t="s">
        <v>2212</v>
      </c>
      <c r="I116" s="4100"/>
      <c r="J116" s="4100"/>
      <c r="K116" s="4090"/>
      <c r="L116" s="4165" t="s">
        <v>2212</v>
      </c>
      <c r="M116" s="4165"/>
      <c r="N116" s="235"/>
    </row>
    <row r="117" spans="1:115" s="866" customFormat="1" ht="17.25" customHeight="1" x14ac:dyDescent="0.25">
      <c r="A117" s="4104" t="s">
        <v>349</v>
      </c>
      <c r="B117" s="4105"/>
      <c r="C117" s="4105"/>
      <c r="D117" s="4105"/>
      <c r="E117" s="4105"/>
      <c r="F117" s="4105"/>
      <c r="G117" s="4091" t="s">
        <v>350</v>
      </c>
      <c r="H117" s="4092"/>
      <c r="I117" s="4092"/>
      <c r="J117" s="4092"/>
      <c r="K117" s="4092"/>
      <c r="L117" s="4092"/>
      <c r="M117" s="4093"/>
      <c r="N117" s="235"/>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row>
    <row r="118" spans="1:115" s="235" customFormat="1" ht="93.75" customHeight="1" x14ac:dyDescent="0.25">
      <c r="A118" s="2027" t="str">
        <f ca="1">IFERROR(IF(SUM('12 - Performance_Outputs_1'!$AL$238:$AL$293)&gt;0.01,"Please Explain","Pass"),"Please Explain")</f>
        <v>Pass</v>
      </c>
      <c r="B118" s="4078" t="s">
        <v>2840</v>
      </c>
      <c r="C118" s="4079"/>
      <c r="D118" s="4079"/>
      <c r="E118" s="4079"/>
      <c r="F118" s="4080"/>
      <c r="G118" s="4101"/>
      <c r="H118" s="4102"/>
      <c r="I118" s="4102"/>
      <c r="J118" s="4102"/>
      <c r="K118" s="4102"/>
      <c r="L118" s="4102"/>
      <c r="M118" s="4103"/>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row>
    <row r="119" spans="1:115" s="235" customFormat="1" ht="93.75" customHeight="1" x14ac:dyDescent="0.25">
      <c r="A119" s="2027" t="str">
        <f>IFERROR(IF((ABS(E114-H114)/MIN(E114,H114))&gt;0.2,"Please Explain","Pass"),"Please Explain")</f>
        <v>Please Explain</v>
      </c>
      <c r="B119" s="4078" t="str">
        <f>"Modeled Miscellaneous Loads differs from typical for "&amp;J114&amp;" building type(s) by more than 20%. Please review model inputs related to plug and process loads, and explain the sources of the relevant assumptions, such as plug and process loads."</f>
        <v>Modeled Miscellaneous Loads differs from typical for  building type(s) by more than 20%. Please review model inputs related to plug and process loads, and explain the sources of the relevant assumptions, such as plug and process loads.</v>
      </c>
      <c r="C119" s="4079"/>
      <c r="D119" s="4079"/>
      <c r="E119" s="4079"/>
      <c r="F119" s="4080"/>
      <c r="G119" s="4075"/>
      <c r="H119" s="4076"/>
      <c r="I119" s="4076"/>
      <c r="J119" s="4076"/>
      <c r="K119" s="4076"/>
      <c r="L119" s="4076"/>
      <c r="M119" s="4077"/>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row>
    <row r="120" spans="1:115" s="235" customFormat="1" ht="23.25" customHeight="1" x14ac:dyDescent="0.25">
      <c r="A120" s="4116" t="s">
        <v>2999</v>
      </c>
      <c r="B120" s="4117"/>
      <c r="C120" s="4117"/>
      <c r="D120" s="4117"/>
      <c r="E120" s="4117"/>
      <c r="F120" s="4117"/>
      <c r="G120" s="4117"/>
      <c r="H120" s="4117"/>
      <c r="I120" s="4117"/>
      <c r="J120" s="4117"/>
      <c r="K120" s="4117"/>
      <c r="L120" s="4117"/>
      <c r="M120" s="4118"/>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row>
    <row r="121" spans="1:115" ht="14.25" customHeight="1" x14ac:dyDescent="0.25">
      <c r="A121" s="4104" t="s">
        <v>2808</v>
      </c>
      <c r="B121" s="4105"/>
      <c r="C121" s="4105"/>
      <c r="D121" s="4105"/>
      <c r="E121" s="4105"/>
      <c r="F121" s="4105"/>
      <c r="G121" s="4105"/>
      <c r="H121" s="4105"/>
      <c r="I121" s="4105"/>
      <c r="J121" s="4105"/>
      <c r="K121" s="4105"/>
      <c r="L121" s="4105"/>
      <c r="M121" s="4119"/>
      <c r="N121" s="235"/>
    </row>
    <row r="122" spans="1:115" ht="76.5" customHeight="1" x14ac:dyDescent="0.25">
      <c r="A122" s="1992"/>
      <c r="B122" s="4161" t="s">
        <v>2865</v>
      </c>
      <c r="C122" s="4161"/>
      <c r="D122" s="784" t="s">
        <v>2864</v>
      </c>
      <c r="E122" s="784" t="s">
        <v>2872</v>
      </c>
      <c r="F122" s="784" t="s">
        <v>2869</v>
      </c>
      <c r="G122" s="1992" t="s">
        <v>2870</v>
      </c>
      <c r="H122" s="4161" t="s">
        <v>2871</v>
      </c>
      <c r="I122" s="4161"/>
      <c r="J122" s="4161" t="s">
        <v>2873</v>
      </c>
      <c r="K122" s="4161"/>
      <c r="L122" s="4081" t="str">
        <f>"Typical EFLH for "&amp;IF(INDEX('General Information'!$E$20:$E$28,2,1)="",INDEX('General Information'!$E$20:$E$28,1,1),INDEX('General Information'!$E$20:$E$28,1,1)&amp;" and "&amp;INDEX('General Information'!$E$20:$E$28,2,1))&amp;"  [kBtu/SF]"</f>
        <v>Typical EFLH for   [kBtu/SF]</v>
      </c>
      <c r="M122" s="4082"/>
      <c r="N122" s="235"/>
    </row>
    <row r="123" spans="1:115" x14ac:dyDescent="0.25">
      <c r="A123" s="1992"/>
      <c r="B123" s="4162" t="s">
        <v>802</v>
      </c>
      <c r="C123" s="4162"/>
      <c r="D123" s="784" t="s">
        <v>803</v>
      </c>
      <c r="E123" s="784" t="s">
        <v>2998</v>
      </c>
      <c r="F123" s="784" t="s">
        <v>805</v>
      </c>
      <c r="G123" s="784" t="s">
        <v>806</v>
      </c>
      <c r="H123" s="4162" t="s">
        <v>2997</v>
      </c>
      <c r="I123" s="4162"/>
      <c r="J123" s="4162" t="s">
        <v>3016</v>
      </c>
      <c r="K123" s="4162"/>
      <c r="L123" s="4083" t="s">
        <v>2962</v>
      </c>
      <c r="M123" s="4084"/>
      <c r="N123" s="235"/>
    </row>
    <row r="124" spans="1:115" x14ac:dyDescent="0.25">
      <c r="A124" s="1992" t="s">
        <v>2811</v>
      </c>
      <c r="B124" s="4166" t="str">
        <f>IFERROR('12 - Performance_Outputs_1'!G266*'12 - Performance_Outputs_1'!R266+'12 - Performance_Outputs_1'!G268*'12 - Performance_Outputs_1'!R268,"-")</f>
        <v>-</v>
      </c>
      <c r="C124" s="4166"/>
      <c r="D124" s="2008" t="str">
        <f>IFERROR('8 - Service Water Heating'!BD15,"-")</f>
        <v>-</v>
      </c>
      <c r="E124" s="2008" t="str">
        <f>IFERROR(B124/D124*1000,"-")</f>
        <v>-</v>
      </c>
      <c r="F124" s="1959">
        <f>IFERROR(SUM('General Information'!W20:W26),$DU$27)</f>
        <v>2000.4285714285713</v>
      </c>
      <c r="G124" s="2033" t="str">
        <f>IFERROR('8 - Service Water Heating'!G21,"-")</f>
        <v/>
      </c>
      <c r="H124" s="4166" t="str">
        <f>IFERROR(B124*G124,"-")</f>
        <v>-</v>
      </c>
      <c r="I124" s="4166"/>
      <c r="J124" s="4178" t="str">
        <f>IFERROR(B124*1000/BuildingArea,"-")</f>
        <v>-</v>
      </c>
      <c r="K124" s="4178"/>
      <c r="L124" s="4085" t="str">
        <f>IFERROR(Y53,"-")</f>
        <v>-</v>
      </c>
      <c r="M124" s="4086"/>
      <c r="N124" s="235"/>
    </row>
    <row r="125" spans="1:115" x14ac:dyDescent="0.25">
      <c r="A125" s="1992" t="s">
        <v>2682</v>
      </c>
      <c r="B125" s="4166" t="str">
        <f ca="1">IFERROR('12 - Performance_Outputs_1'!H266*'12 - Performance_Outputs_1'!R266+'12 - Performance_Outputs_1'!H268*'12 - Performance_Outputs_1'!R268,"-")</f>
        <v>-</v>
      </c>
      <c r="C125" s="4166"/>
      <c r="D125" s="2008" t="str">
        <f>IFERROR('8 - Service Water Heating'!#REF!,"-")</f>
        <v>-</v>
      </c>
      <c r="E125" s="2008" t="s">
        <v>2212</v>
      </c>
      <c r="F125" s="1959" t="s">
        <v>2212</v>
      </c>
      <c r="G125" s="2033">
        <f>IFERROR('8 - Service Water Heating'!K21,"-")</f>
        <v>0</v>
      </c>
      <c r="H125" s="4166" t="str">
        <f ca="1">IFERROR(B125*G125,"-")</f>
        <v>-</v>
      </c>
      <c r="I125" s="4166"/>
      <c r="J125" s="4178" t="str">
        <f ca="1">IFERROR(B125*1000/BuildingArea,"-")</f>
        <v>-</v>
      </c>
      <c r="K125" s="4178"/>
      <c r="L125" s="4087" t="s">
        <v>2212</v>
      </c>
      <c r="M125" s="4088"/>
      <c r="N125" s="235"/>
    </row>
    <row r="126" spans="1:115" x14ac:dyDescent="0.25">
      <c r="A126" s="1992" t="s">
        <v>2857</v>
      </c>
      <c r="B126" s="4165" t="str">
        <f ca="1">IFERROR(B125/B124,"-")</f>
        <v>-</v>
      </c>
      <c r="C126" s="4165"/>
      <c r="D126" s="2017" t="str">
        <f>IFERROR(D125/D124,"-")</f>
        <v>-</v>
      </c>
      <c r="E126" s="784" t="s">
        <v>2212</v>
      </c>
      <c r="F126" s="784" t="s">
        <v>2212</v>
      </c>
      <c r="G126" s="2017" t="str">
        <f>IFERROR(G125/G124,"-")</f>
        <v>-</v>
      </c>
      <c r="H126" s="4165" t="str">
        <f ca="1">IFERROR(H125/H124,"-")</f>
        <v>-</v>
      </c>
      <c r="I126" s="4165"/>
      <c r="J126" s="4165" t="str">
        <f ca="1">IFERROR(J125/J124,"-")</f>
        <v>-</v>
      </c>
      <c r="K126" s="4165"/>
      <c r="L126" s="4089" t="str">
        <f>IFERROR(L125/L124,"-")</f>
        <v>-</v>
      </c>
      <c r="M126" s="4090"/>
      <c r="N126" s="235"/>
    </row>
    <row r="127" spans="1:115" s="866" customFormat="1" ht="17.25" customHeight="1" x14ac:dyDescent="0.25">
      <c r="A127" s="4104" t="s">
        <v>349</v>
      </c>
      <c r="B127" s="4105"/>
      <c r="C127" s="4105"/>
      <c r="D127" s="4105"/>
      <c r="E127" s="4105"/>
      <c r="F127" s="4105"/>
      <c r="G127" s="4091" t="s">
        <v>350</v>
      </c>
      <c r="H127" s="4092"/>
      <c r="I127" s="4092"/>
      <c r="J127" s="4092"/>
      <c r="K127" s="4092"/>
      <c r="L127" s="4092"/>
      <c r="M127" s="4093"/>
      <c r="N127" s="235"/>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row>
    <row r="128" spans="1:115" s="235" customFormat="1" ht="93.75" customHeight="1" x14ac:dyDescent="0.25">
      <c r="A128" s="2027" t="str">
        <f>IFERROR(IF(((J124-L124)/L124)&gt;0.25,"Please Explain","Pass"),"Please Explain")</f>
        <v>Please Explain</v>
      </c>
      <c r="B128" s="4078" t="s">
        <v>3015</v>
      </c>
      <c r="C128" s="4079"/>
      <c r="D128" s="4079"/>
      <c r="E128" s="4079"/>
      <c r="F128" s="4080"/>
      <c r="G128" s="4075"/>
      <c r="H128" s="4076"/>
      <c r="I128" s="4076"/>
      <c r="J128" s="4076"/>
      <c r="K128" s="4076"/>
      <c r="L128" s="4076"/>
      <c r="M128" s="4077"/>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row>
    <row r="129" spans="1:115" s="235" customFormat="1" ht="93.75" customHeight="1" x14ac:dyDescent="0.25">
      <c r="A129" s="2027" t="str">
        <f ca="1">IFERROR(IF(ABS((H124-H125)/H125)&gt;0.02,"Please Explain","Pass"),"Please Explain")</f>
        <v>Please Explain</v>
      </c>
      <c r="B129" s="4078" t="s">
        <v>2874</v>
      </c>
      <c r="C129" s="4079"/>
      <c r="D129" s="4079"/>
      <c r="E129" s="4079"/>
      <c r="F129" s="4080"/>
      <c r="G129" s="4075"/>
      <c r="H129" s="4076"/>
      <c r="I129" s="4076"/>
      <c r="J129" s="4076"/>
      <c r="K129" s="4076"/>
      <c r="L129" s="4076"/>
      <c r="M129" s="4077"/>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row>
    <row r="130" spans="1:115" s="235" customFormat="1" ht="93.75" customHeight="1" x14ac:dyDescent="0.25">
      <c r="A130" s="2027" t="str">
        <f>IFERROR(IF(((E124-F124)/F124)&gt;0.25,"Please Explain","Pass"),"Please Explain")</f>
        <v>Please Explain</v>
      </c>
      <c r="B130" s="4078" t="s">
        <v>2996</v>
      </c>
      <c r="C130" s="4079"/>
      <c r="D130" s="4079"/>
      <c r="E130" s="4079"/>
      <c r="F130" s="4080"/>
      <c r="G130" s="4075"/>
      <c r="H130" s="4076"/>
      <c r="I130" s="4076"/>
      <c r="J130" s="4076"/>
      <c r="K130" s="4076"/>
      <c r="L130" s="4076"/>
      <c r="M130" s="4077"/>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row>
    <row r="131" spans="1:115" s="235" customFormat="1" ht="93.75" customHeight="1" x14ac:dyDescent="0.25">
      <c r="A131" s="2027" t="str">
        <f>IFERROR((IF(OR(J124&lt;0.75*L124,J124&gt;1.25*L124),"Please Explain","Pass")),"Please Explain")</f>
        <v>Please Explain</v>
      </c>
      <c r="B131" s="4078" t="s">
        <v>3011</v>
      </c>
      <c r="C131" s="4079"/>
      <c r="D131" s="4079"/>
      <c r="E131" s="4079"/>
      <c r="F131" s="4080"/>
      <c r="G131" s="4075"/>
      <c r="H131" s="4076"/>
      <c r="I131" s="4076"/>
      <c r="J131" s="4076"/>
      <c r="K131" s="4076"/>
      <c r="L131" s="4076"/>
      <c r="M131" s="4077"/>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row>
    <row r="132" spans="1:115" s="235" customFormat="1" ht="23.25" customHeight="1" x14ac:dyDescent="0.25">
      <c r="A132" s="4116" t="s">
        <v>851</v>
      </c>
      <c r="B132" s="4117"/>
      <c r="C132" s="4117"/>
      <c r="D132" s="4117"/>
      <c r="E132" s="4117"/>
      <c r="F132" s="4117"/>
      <c r="G132" s="4117"/>
      <c r="H132" s="4117"/>
      <c r="I132" s="4117"/>
      <c r="J132" s="4117"/>
      <c r="K132" s="4117"/>
      <c r="L132" s="4117"/>
      <c r="M132" s="4118"/>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row>
    <row r="133" spans="1:115" ht="14.25" customHeight="1" x14ac:dyDescent="0.25">
      <c r="A133" s="4104" t="s">
        <v>2808</v>
      </c>
      <c r="B133" s="4105"/>
      <c r="C133" s="4105"/>
      <c r="D133" s="4105"/>
      <c r="E133" s="4105"/>
      <c r="F133" s="4105"/>
      <c r="G133" s="4105"/>
      <c r="H133" s="4105"/>
      <c r="I133" s="4105"/>
      <c r="J133" s="4105"/>
      <c r="K133" s="4105"/>
      <c r="L133" s="4105"/>
      <c r="M133" s="4119"/>
      <c r="N133" s="235"/>
    </row>
    <row r="134" spans="1:115" ht="52.8" x14ac:dyDescent="0.25">
      <c r="A134" s="1992"/>
      <c r="B134" s="1992" t="s">
        <v>2885</v>
      </c>
      <c r="C134" s="784" t="s">
        <v>3000</v>
      </c>
      <c r="D134" s="784" t="s">
        <v>3001</v>
      </c>
      <c r="E134" s="784" t="s">
        <v>3002</v>
      </c>
      <c r="F134" s="784" t="s">
        <v>3004</v>
      </c>
      <c r="G134" s="784" t="s">
        <v>2886</v>
      </c>
      <c r="H134" s="4162" t="s">
        <v>3005</v>
      </c>
      <c r="I134" s="4162"/>
      <c r="J134" s="4161" t="s">
        <v>2975</v>
      </c>
      <c r="K134" s="4161"/>
      <c r="L134" s="784" t="s">
        <v>2967</v>
      </c>
      <c r="M134" s="784" t="s">
        <v>2897</v>
      </c>
      <c r="N134" s="235"/>
      <c r="AB134" s="2046"/>
    </row>
    <row r="135" spans="1:115" x14ac:dyDescent="0.25">
      <c r="A135" s="1992"/>
      <c r="B135" s="784" t="s">
        <v>802</v>
      </c>
      <c r="C135" s="784" t="s">
        <v>803</v>
      </c>
      <c r="D135" s="784" t="s">
        <v>804</v>
      </c>
      <c r="E135" s="784" t="s">
        <v>3003</v>
      </c>
      <c r="F135" s="784" t="s">
        <v>806</v>
      </c>
      <c r="G135" s="784" t="s">
        <v>807</v>
      </c>
      <c r="H135" s="4162" t="s">
        <v>1038</v>
      </c>
      <c r="I135" s="4162"/>
      <c r="J135" s="4162" t="s">
        <v>2962</v>
      </c>
      <c r="K135" s="4162"/>
      <c r="L135" s="784" t="s">
        <v>3007</v>
      </c>
      <c r="M135" s="784" t="s">
        <v>2969</v>
      </c>
      <c r="N135" s="235"/>
      <c r="AB135" s="2046"/>
    </row>
    <row r="136" spans="1:115" x14ac:dyDescent="0.25">
      <c r="A136" s="1992" t="s">
        <v>2811</v>
      </c>
      <c r="B136" s="2008">
        <f>AVERAGE('2a - Schedules'!O12:O18)</f>
        <v>8760</v>
      </c>
      <c r="C136" s="2177">
        <f>'10a - Baseline Air-Side HVAC'!G65</f>
        <v>0</v>
      </c>
      <c r="D136" s="2177">
        <f>'10a - Baseline Air-Side HVAC'!G66</f>
        <v>0</v>
      </c>
      <c r="E136" s="2177">
        <f>C136+D136</f>
        <v>0</v>
      </c>
      <c r="F136" s="2264" t="str">
        <f>'12 - Performance_Outputs_1'!G261</f>
        <v/>
      </c>
      <c r="G136" s="1959" t="str">
        <f>'10a - Baseline Air-Side HVAC'!E25</f>
        <v>0</v>
      </c>
      <c r="H136" s="4163" t="str">
        <f>'10a - Baseline Air-Side HVAC'!E25</f>
        <v>0</v>
      </c>
      <c r="I136" s="4163"/>
      <c r="J136" s="4166" t="str">
        <f>'12 - Performance_Outputs_1'!G260</f>
        <v/>
      </c>
      <c r="K136" s="4166"/>
      <c r="L136" s="2045" t="str">
        <f>IFERROR(J136/F136,"-")</f>
        <v>-</v>
      </c>
      <c r="M136" s="2045">
        <f>'10a - Baseline Air-Side HVAC'!E14/DropdownData!G8</f>
        <v>0</v>
      </c>
      <c r="N136" s="2284"/>
      <c r="O136" s="2283"/>
      <c r="AB136" s="2285"/>
    </row>
    <row r="137" spans="1:115" x14ac:dyDescent="0.25">
      <c r="A137" s="1992" t="s">
        <v>2682</v>
      </c>
      <c r="B137" s="2008">
        <f>AVERAGE('2a - Schedules'!O12:O18)</f>
        <v>8760</v>
      </c>
      <c r="C137" s="2177">
        <f>'10b - Proposed Air-Side HVAC'!F34</f>
        <v>0</v>
      </c>
      <c r="D137" s="2177">
        <f>'10b - Proposed Air-Side HVAC'!F35</f>
        <v>0</v>
      </c>
      <c r="E137" s="2177">
        <f>C137+D137</f>
        <v>0</v>
      </c>
      <c r="F137" s="2264" t="str">
        <f ca="1">'12 - Performance_Outputs_1'!H261</f>
        <v/>
      </c>
      <c r="G137" s="1959" t="str">
        <f>'10b - Proposed Air-Side HVAC'!D22</f>
        <v>0</v>
      </c>
      <c r="H137" s="4163" t="str">
        <f>'10b - Proposed Air-Side HVAC'!D23</f>
        <v>0</v>
      </c>
      <c r="I137" s="4163"/>
      <c r="J137" s="4166" t="str">
        <f ca="1">'12 - Performance_Outputs_1'!H260</f>
        <v/>
      </c>
      <c r="K137" s="4166"/>
      <c r="L137" s="2045" t="str">
        <f ca="1">IFERROR(J137/F137,"-")</f>
        <v>-</v>
      </c>
      <c r="M137" s="2045">
        <f>'10b - Proposed Air-Side HVAC'!D14/DropdownData!G8</f>
        <v>0</v>
      </c>
      <c r="N137" s="235"/>
      <c r="AB137" s="2285"/>
    </row>
    <row r="138" spans="1:115" x14ac:dyDescent="0.25">
      <c r="A138" s="1992" t="s">
        <v>2857</v>
      </c>
      <c r="B138" s="2017">
        <f t="shared" ref="B138:H138" si="50">IFERROR(B137/B136,"-")</f>
        <v>1</v>
      </c>
      <c r="C138" s="2017" t="str">
        <f t="shared" si="50"/>
        <v>-</v>
      </c>
      <c r="D138" s="2017" t="str">
        <f t="shared" si="50"/>
        <v>-</v>
      </c>
      <c r="E138" s="2017" t="str">
        <f t="shared" si="50"/>
        <v>-</v>
      </c>
      <c r="F138" s="2017" t="str">
        <f ca="1">IFERROR(F137/F136,"-")</f>
        <v>-</v>
      </c>
      <c r="G138" s="2017" t="str">
        <f t="shared" si="50"/>
        <v>-</v>
      </c>
      <c r="H138" s="4165" t="str">
        <f t="shared" si="50"/>
        <v>-</v>
      </c>
      <c r="I138" s="4165"/>
      <c r="J138" s="4165" t="str">
        <f ca="1">IFERROR(J137/J136,"-")</f>
        <v>-</v>
      </c>
      <c r="K138" s="4165"/>
      <c r="L138" s="2017" t="str">
        <f ca="1">IFERROR(L137/L136,"-")</f>
        <v>-</v>
      </c>
      <c r="M138" s="2017" t="str">
        <f>IFERROR(M137/M136,"-")</f>
        <v>-</v>
      </c>
      <c r="N138" s="235"/>
      <c r="AB138" s="2046"/>
    </row>
    <row r="139" spans="1:115" s="866" customFormat="1" ht="17.25" customHeight="1" x14ac:dyDescent="0.25">
      <c r="A139" s="4104" t="s">
        <v>349</v>
      </c>
      <c r="B139" s="4105"/>
      <c r="C139" s="4105"/>
      <c r="D139" s="4105"/>
      <c r="E139" s="4105"/>
      <c r="F139" s="4105"/>
      <c r="G139" s="4091" t="s">
        <v>350</v>
      </c>
      <c r="H139" s="4092"/>
      <c r="I139" s="4092"/>
      <c r="J139" s="4092"/>
      <c r="K139" s="4092"/>
      <c r="L139" s="4092"/>
      <c r="M139" s="4093"/>
      <c r="N139" s="235"/>
      <c r="AB139" s="2046"/>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row>
    <row r="140" spans="1:115" s="235" customFormat="1" ht="93.75" customHeight="1" x14ac:dyDescent="0.25">
      <c r="A140" s="2027" t="str">
        <f>IFERROR(IF(OR(AND('General Information'!N19="Multifamily",('General Information'!H30+'General Information'!I30)/'Quality Assurance Checks'!M136&lt;400),AND('General Information'!O18=FALSE,('General Information'!H30+'General Information'!I30)/'Quality Assurance Checks'!M136&lt;280)),"Please Explain","Pass"),"Please Explain")</f>
        <v>Please Explain</v>
      </c>
      <c r="B140" s="4164" t="e">
        <f>AB140&amp;ROUND(('General Information'!H30+'General Information'!I30)/'Quality Assurance Checks'!M136,0)&amp;" sf/ton"&amp;AB142</f>
        <v>#DIV/0!</v>
      </c>
      <c r="C140" s="4079"/>
      <c r="D140" s="4079"/>
      <c r="E140" s="4079"/>
      <c r="F140" s="4080"/>
      <c r="G140" s="4075"/>
      <c r="H140" s="4076"/>
      <c r="I140" s="4076"/>
      <c r="J140" s="4076"/>
      <c r="K140" s="4076"/>
      <c r="L140" s="4076"/>
      <c r="M140" s="4077"/>
      <c r="AB140" s="2970" t="s">
        <v>3017</v>
      </c>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row>
    <row r="141" spans="1:115" s="235" customFormat="1" ht="93.75" customHeight="1" x14ac:dyDescent="0.25">
      <c r="A141" s="2027" t="str">
        <f>IFERROR(IF(AND(VLOOKUP('General Information'!H53,AF153:AG187,2,FALSE)="no",'12 - Performance_Outputs_1'!G248=""),"Pass",IF(AND(VLOOKUP('General Information'!H53,AF153:AG187,2,FALSE)="only",'12 - Performance_Outputs_1'!G2156=""),"Pass","Please Explain")),"Please Explain")</f>
        <v>Please Explain</v>
      </c>
      <c r="B141" s="4078" t="e">
        <f>AB154&amp;'General Information'!H53&amp;'Quality Assurance Checks'!AC154&amp;VLOOKUP('General Information'!H53,AF153:AG187,2,FALSE)&amp;'Quality Assurance Checks'!AD154</f>
        <v>#N/A</v>
      </c>
      <c r="C141" s="4079"/>
      <c r="D141" s="4079"/>
      <c r="E141" s="4079"/>
      <c r="F141" s="4080"/>
      <c r="G141" s="4075"/>
      <c r="H141" s="4076"/>
      <c r="I141" s="4076"/>
      <c r="J141" s="4076"/>
      <c r="K141" s="4076"/>
      <c r="L141" s="4076"/>
      <c r="M141" s="4077"/>
      <c r="AB141" s="2046" t="s">
        <v>2898</v>
      </c>
      <c r="AF141" s="2176" t="s">
        <v>2904</v>
      </c>
      <c r="AG141" s="2176" t="s">
        <v>2905</v>
      </c>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row>
    <row r="142" spans="1:115" s="235" customFormat="1" ht="93.75" customHeight="1" x14ac:dyDescent="0.25">
      <c r="A142" s="2027" t="str">
        <f>IFERROR(IF(OR(AND('General Information'!N19="Multifamily",'Quality Assurance Checks'!G136/('General Information'!H30+'General Information'!I30)&gt;0.8),AND('General Information'!O18=FALSE,('Quality Assurance Checks'!G136/'General Information'!H30+'General Information'!I30)&gt;1.6)),"Please Explain","Pass"),"Please Explain")</f>
        <v>Please Explain</v>
      </c>
      <c r="B142" s="4078" t="s">
        <v>2899</v>
      </c>
      <c r="C142" s="4079"/>
      <c r="D142" s="4079"/>
      <c r="E142" s="4079"/>
      <c r="F142" s="4080"/>
      <c r="G142" s="4075"/>
      <c r="H142" s="4076"/>
      <c r="I142" s="4076"/>
      <c r="J142" s="4076"/>
      <c r="K142" s="4076"/>
      <c r="L142" s="4076"/>
      <c r="M142" s="4077"/>
      <c r="AB142" s="2046" t="s">
        <v>3018</v>
      </c>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row>
    <row r="143" spans="1:115" s="235" customFormat="1" ht="93.75" customHeight="1" x14ac:dyDescent="0.25">
      <c r="A143" s="2027" t="str">
        <f>IFERROR(IF(AND('10a - Baseline Air-Side HVAC'!E31='10b - Proposed Air-Side HVAC'!D30,'10a - Baseline Air-Side HVAC'!E32='10b - Proposed Air-Side HVAC'!D31,'10a - Baseline Air-Side HVAC'!E33='10b - Proposed Air-Side HVAC'!D32),"Pass","Please Explain"),"Please Explain")</f>
        <v>Please Explain</v>
      </c>
      <c r="B143" s="4078" t="s">
        <v>3006</v>
      </c>
      <c r="C143" s="4079"/>
      <c r="D143" s="4079"/>
      <c r="E143" s="4079"/>
      <c r="F143" s="4080"/>
      <c r="G143" s="4075"/>
      <c r="H143" s="4076"/>
      <c r="I143" s="4076"/>
      <c r="J143" s="4076"/>
      <c r="K143" s="4076"/>
      <c r="L143" s="4076"/>
      <c r="M143" s="4077"/>
      <c r="AB143" s="2046"/>
      <c r="AF143" s="2176"/>
      <c r="AG143" s="2176"/>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row>
    <row r="144" spans="1:115" s="235" customFormat="1" ht="93.75" customHeight="1" x14ac:dyDescent="0.25">
      <c r="A144" s="2027" t="str">
        <f>IF(F136&gt;1.01*E136,"Please Explain","Pass")</f>
        <v>Please Explain</v>
      </c>
      <c r="B144" s="4078" t="s">
        <v>3019</v>
      </c>
      <c r="C144" s="4079"/>
      <c r="D144" s="4079"/>
      <c r="E144" s="4079"/>
      <c r="F144" s="4080"/>
      <c r="G144" s="4075"/>
      <c r="H144" s="4076"/>
      <c r="I144" s="4076"/>
      <c r="J144" s="4076"/>
      <c r="K144" s="4076"/>
      <c r="L144" s="4076"/>
      <c r="M144" s="4077"/>
      <c r="AB144" s="2046"/>
      <c r="AF144" s="2176"/>
      <c r="AG144" s="2176"/>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row>
    <row r="145" spans="1:115" s="235" customFormat="1" ht="93.75" customHeight="1" x14ac:dyDescent="0.25">
      <c r="A145" s="2027" t="str">
        <f ca="1">IFERROR(IF((C136*B136/E136+D136*0.3/E136)&lt;L137*0.85,"Please Explain","Pass"),"Please Explain")</f>
        <v>Please Explain</v>
      </c>
      <c r="B145" s="4078" t="str">
        <f>AB145&amp;IFERROR((C133*B133/E133+D133*0.3/E133),B133)&amp;AB146</f>
        <v>The baseline fan EFLH appears low. EFLH for CV systems is expected to be similar to the number of hours per year the building is occupied. Average flow rate of VAV systems is typically 50% of the design, with the fan system drawing ~ 30% of the design power, and thus the EFLH approximately equal to 30% of hours the building is occupied. Based on this rule of thumb, the estimated EFLH for the project are  (B*A/D+C*0.3/D), and are more than 15% lower than reported. Please review the baseline fan power inputs, flow controls (CV vs VAV), and operation mode (continuous versus cycling).</v>
      </c>
      <c r="C145" s="4079"/>
      <c r="D145" s="4079"/>
      <c r="E145" s="4079"/>
      <c r="F145" s="4080"/>
      <c r="G145" s="4075"/>
      <c r="H145" s="4076"/>
      <c r="I145" s="4076"/>
      <c r="J145" s="4076"/>
      <c r="K145" s="4076"/>
      <c r="L145" s="4076"/>
      <c r="M145" s="4077"/>
      <c r="AB145" s="2970" t="s">
        <v>3037</v>
      </c>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row>
    <row r="146" spans="1:115" s="235" customFormat="1" ht="93.75" customHeight="1" x14ac:dyDescent="0.25">
      <c r="A146" s="2027" t="str">
        <f ca="1">IFERROR(IF(AND('9 - General HVAC'!I24&gt;=1,'12 - Performance_Outputs_1'!AO248&lt;1),"Please Explain","Pass"),"Please Explain")</f>
        <v>Pass</v>
      </c>
      <c r="B146" s="4078" t="s">
        <v>2887</v>
      </c>
      <c r="C146" s="4079"/>
      <c r="D146" s="4079"/>
      <c r="E146" s="4079"/>
      <c r="F146" s="4080"/>
      <c r="G146" s="4101"/>
      <c r="H146" s="4102"/>
      <c r="I146" s="4102"/>
      <c r="J146" s="4102"/>
      <c r="K146" s="4102"/>
      <c r="L146" s="4102"/>
      <c r="M146" s="4103"/>
      <c r="AB146" s="2046" t="s">
        <v>3038</v>
      </c>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row>
    <row r="147" spans="1:115" s="235" customFormat="1" ht="93.75" customHeight="1" x14ac:dyDescent="0.25">
      <c r="A147" s="2027" t="str">
        <f ca="1">IF(F137&gt;E137,"Please Explain","Pass")</f>
        <v>Please Explain</v>
      </c>
      <c r="B147" s="4078" t="s">
        <v>3020</v>
      </c>
      <c r="C147" s="4079"/>
      <c r="D147" s="4079"/>
      <c r="E147" s="4079"/>
      <c r="F147" s="4080"/>
      <c r="G147" s="4075"/>
      <c r="H147" s="4076"/>
      <c r="I147" s="4076"/>
      <c r="J147" s="4076"/>
      <c r="K147" s="4076"/>
      <c r="L147" s="4076"/>
      <c r="M147" s="4077"/>
      <c r="AB147" s="2046"/>
      <c r="AF147" s="2176"/>
      <c r="AG147" s="2176"/>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row>
    <row r="148" spans="1:115" s="235" customFormat="1" ht="93.75" customHeight="1" x14ac:dyDescent="0.25">
      <c r="A148" s="2027" t="str">
        <f ca="1">IF(F137&lt;E137*(1-0.15),"Please Explain","Pass")</f>
        <v>Pass</v>
      </c>
      <c r="B148" s="4078" t="s">
        <v>2966</v>
      </c>
      <c r="C148" s="4079"/>
      <c r="D148" s="4079"/>
      <c r="E148" s="4079"/>
      <c r="F148" s="4080"/>
      <c r="G148" s="4101"/>
      <c r="H148" s="4102"/>
      <c r="I148" s="4102"/>
      <c r="J148" s="4102"/>
      <c r="K148" s="4102"/>
      <c r="L148" s="4102"/>
      <c r="M148" s="4103"/>
      <c r="AB148" s="2046" t="s">
        <v>2480</v>
      </c>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row>
    <row r="149" spans="1:115" s="235" customFormat="1" ht="93.75" customHeight="1" x14ac:dyDescent="0.25">
      <c r="A149" s="2027" t="e">
        <f ca="1">IF((C137*B137/E137+D137*0.3/E137)&gt;L137*1.15,"Please Explain","Pass")</f>
        <v>#DIV/0!</v>
      </c>
      <c r="B149" s="4078" t="str">
        <f>AB149&amp;IFERROR((C137*B137/E137+D137*0.3/E137),B137)&amp;AB150</f>
        <v>The proposed fan EFLH appears low. EFLH for CV systems is expected to be similar to the number of hours per year the building is occupied. Average flow rate of VAV systems is typically 50% of the design, with the fan system drawing ~ 30% of the design power, and thus the EFLH approximately equal to 30% of hours the building is occupied. Based on this rule of thumb, the estimated EFLH for the project are 8760 (B*A/D+C*0.3/D), and are more than 15% higher than reported. Please review the proposed fan power inputs, flow controls (CV vs VAV), and operation mode (continuous versus cycling).</v>
      </c>
      <c r="C149" s="4079"/>
      <c r="D149" s="4079"/>
      <c r="E149" s="4079"/>
      <c r="F149" s="4080"/>
      <c r="G149" s="4101"/>
      <c r="H149" s="4102"/>
      <c r="I149" s="4102"/>
      <c r="J149" s="4102"/>
      <c r="K149" s="4102"/>
      <c r="L149" s="4102"/>
      <c r="M149" s="4103"/>
      <c r="AB149" s="2046" t="s">
        <v>2891</v>
      </c>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row>
    <row r="150" spans="1:115" s="235" customFormat="1" ht="93.75" customHeight="1" x14ac:dyDescent="0.25">
      <c r="A150" s="2027" t="str">
        <f ca="1">IFERROR(IF(OR(ABS((L136-L137)/L136)&gt;0.25,B136&gt;8760,B137&gt;8760,L136&gt;8760,L137&gt;8760),"Please Explain","Pass"),"Please Explain")</f>
        <v>Please Explain</v>
      </c>
      <c r="B150" s="4078" t="s">
        <v>2908</v>
      </c>
      <c r="C150" s="4079"/>
      <c r="D150" s="4079"/>
      <c r="E150" s="4079"/>
      <c r="F150" s="4080"/>
      <c r="G150" s="4075"/>
      <c r="H150" s="4076"/>
      <c r="I150" s="4076"/>
      <c r="J150" s="4076"/>
      <c r="K150" s="4076"/>
      <c r="L150" s="4076"/>
      <c r="M150" s="4077"/>
      <c r="AB150" s="2046" t="s">
        <v>2968</v>
      </c>
      <c r="AC150" s="2046"/>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row>
    <row r="151" spans="1:115" s="235" customFormat="1" ht="93.75" customHeight="1" x14ac:dyDescent="0.25">
      <c r="A151" s="2027" t="str">
        <f>IFERROR(IF(ABS(G136-G137)/G136&gt;0.35,"Please Explain","Pass"),"Please Explain")</f>
        <v>Please Explain</v>
      </c>
      <c r="B151" s="4078" t="s">
        <v>2888</v>
      </c>
      <c r="C151" s="4079"/>
      <c r="D151" s="4079"/>
      <c r="E151" s="4079"/>
      <c r="F151" s="4080"/>
      <c r="G151" s="4075"/>
      <c r="H151" s="4076"/>
      <c r="I151" s="4076"/>
      <c r="J151" s="4076"/>
      <c r="K151" s="4076"/>
      <c r="L151" s="4076"/>
      <c r="M151" s="4077"/>
      <c r="AB151" s="2046"/>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row>
    <row r="152" spans="1:115" s="235" customFormat="1" ht="93.75" customHeight="1" x14ac:dyDescent="0.25">
      <c r="A152" s="2286" t="str">
        <f>IFERROR(IF(ABS(H136-H137)/H137&gt;0.01,"Please Explain",IF(ABS(H137-H136)/H136&gt;0.01,"Please Explain","Pass")),"Please Explain")</f>
        <v>Please Explain</v>
      </c>
      <c r="B152" s="4078" t="s">
        <v>2965</v>
      </c>
      <c r="C152" s="4079"/>
      <c r="D152" s="4079"/>
      <c r="E152" s="4079"/>
      <c r="F152" s="4080"/>
      <c r="G152" s="4075"/>
      <c r="H152" s="4076"/>
      <c r="I152" s="4076"/>
      <c r="J152" s="4076"/>
      <c r="K152" s="4076"/>
      <c r="L152" s="4076"/>
      <c r="M152" s="4077"/>
      <c r="AB152" s="2046"/>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row>
    <row r="153" spans="1:115" s="235" customFormat="1" ht="23.25" customHeight="1" x14ac:dyDescent="0.25">
      <c r="A153" s="4116" t="s">
        <v>850</v>
      </c>
      <c r="B153" s="4117"/>
      <c r="C153" s="4117"/>
      <c r="D153" s="4117"/>
      <c r="E153" s="4117"/>
      <c r="F153" s="4117"/>
      <c r="G153" s="4117"/>
      <c r="H153" s="4117"/>
      <c r="I153" s="4117"/>
      <c r="J153" s="4117"/>
      <c r="K153" s="4117"/>
      <c r="L153" s="4117"/>
      <c r="M153" s="4118"/>
      <c r="AB153" s="362" t="s">
        <v>2898</v>
      </c>
      <c r="AF153" s="2175" t="s">
        <v>31</v>
      </c>
      <c r="AG153" s="2175" t="s">
        <v>2907</v>
      </c>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row>
    <row r="154" spans="1:115" ht="14.25" customHeight="1" x14ac:dyDescent="0.25">
      <c r="A154" s="4104" t="s">
        <v>2808</v>
      </c>
      <c r="B154" s="4105"/>
      <c r="C154" s="4105"/>
      <c r="D154" s="4105"/>
      <c r="E154" s="4105"/>
      <c r="F154" s="4105"/>
      <c r="G154" s="4105"/>
      <c r="H154" s="4105"/>
      <c r="I154" s="4105"/>
      <c r="J154" s="4105"/>
      <c r="K154" s="4105"/>
      <c r="L154" s="4105"/>
      <c r="M154" s="4119"/>
      <c r="N154" s="235"/>
      <c r="AB154" s="362" t="s">
        <v>2901</v>
      </c>
      <c r="AC154" t="s">
        <v>2902</v>
      </c>
      <c r="AD154" t="s">
        <v>2903</v>
      </c>
      <c r="AF154" s="2175" t="s">
        <v>32</v>
      </c>
      <c r="AG154" s="2175" t="s">
        <v>2907</v>
      </c>
    </row>
    <row r="155" spans="1:115" ht="51" customHeight="1" x14ac:dyDescent="0.25">
      <c r="A155" s="1992"/>
      <c r="B155" s="4161" t="s">
        <v>2885</v>
      </c>
      <c r="C155" s="4161"/>
      <c r="D155" s="784" t="s">
        <v>2900</v>
      </c>
      <c r="E155" s="4162" t="s">
        <v>2976</v>
      </c>
      <c r="F155" s="4162"/>
      <c r="G155" s="4162" t="s">
        <v>2977</v>
      </c>
      <c r="H155" s="4162"/>
      <c r="I155" s="4162" t="s">
        <v>2978</v>
      </c>
      <c r="J155" s="4162"/>
      <c r="K155" s="4162" t="s">
        <v>2979</v>
      </c>
      <c r="L155" s="4162"/>
      <c r="M155" s="784" t="s">
        <v>2972</v>
      </c>
      <c r="N155" s="235"/>
      <c r="AB155" s="362" t="s">
        <v>2970</v>
      </c>
      <c r="AF155" s="2175" t="s">
        <v>33</v>
      </c>
      <c r="AG155" s="2175" t="s">
        <v>2907</v>
      </c>
    </row>
    <row r="156" spans="1:115" x14ac:dyDescent="0.25">
      <c r="A156" s="1992"/>
      <c r="B156" s="4162" t="s">
        <v>802</v>
      </c>
      <c r="C156" s="4162"/>
      <c r="D156" s="784" t="s">
        <v>803</v>
      </c>
      <c r="E156" s="4162" t="s">
        <v>804</v>
      </c>
      <c r="F156" s="4162"/>
      <c r="G156" s="4162" t="s">
        <v>805</v>
      </c>
      <c r="H156" s="4162"/>
      <c r="I156" s="4162" t="s">
        <v>806</v>
      </c>
      <c r="J156" s="4162"/>
      <c r="K156" s="4162" t="s">
        <v>807</v>
      </c>
      <c r="L156" s="4162"/>
      <c r="M156" s="784" t="s">
        <v>3021</v>
      </c>
      <c r="N156" s="235"/>
      <c r="AB156" s="362" t="s">
        <v>2971</v>
      </c>
      <c r="AF156" s="2175" t="s">
        <v>34</v>
      </c>
      <c r="AG156" s="2175" t="s">
        <v>2907</v>
      </c>
    </row>
    <row r="157" spans="1:115" x14ac:dyDescent="0.25">
      <c r="A157" s="1992" t="s">
        <v>2811</v>
      </c>
      <c r="B157" s="4166">
        <f>AVERAGE('2a - Schedules'!O12:O18)</f>
        <v>8760</v>
      </c>
      <c r="C157" s="4166"/>
      <c r="D157" s="2177">
        <f>'11 - Water-Side HVAC'!Z11</f>
        <v>0</v>
      </c>
      <c r="E157" s="4171" t="str">
        <f>'12 - Performance_Outputs_1'!G257</f>
        <v/>
      </c>
      <c r="F157" s="4171"/>
      <c r="G157" s="4163" t="str">
        <f>'12 - Performance_Outputs_1'!G256</f>
        <v/>
      </c>
      <c r="H157" s="4163"/>
      <c r="I157" s="4171" t="str">
        <f>IF('12 - Performance_Outputs_1'!G259="","-")</f>
        <v>-</v>
      </c>
      <c r="J157" s="4171"/>
      <c r="K157" s="4163" t="str">
        <f>IF('12 - Performance_Outputs_1'!G258="","-")</f>
        <v>-</v>
      </c>
      <c r="L157" s="4163"/>
      <c r="M157" s="2008" t="str">
        <f>IFERROR(G157/E157,"-")</f>
        <v>-</v>
      </c>
      <c r="N157" s="235"/>
      <c r="AB157" s="362"/>
      <c r="AF157" s="2175" t="s">
        <v>35</v>
      </c>
      <c r="AG157" s="2175" t="s">
        <v>2907</v>
      </c>
    </row>
    <row r="158" spans="1:115" x14ac:dyDescent="0.25">
      <c r="A158" s="1992" t="s">
        <v>2682</v>
      </c>
      <c r="B158" s="4166">
        <f>AVERAGE('2a - Schedules'!O12:O18)</f>
        <v>8760</v>
      </c>
      <c r="C158" s="4166"/>
      <c r="D158" s="2177">
        <f>'11 - Water-Side HVAC'!Z12</f>
        <v>0</v>
      </c>
      <c r="E158" s="4171" t="str">
        <f ca="1">'12 - Performance_Outputs_1'!H257</f>
        <v/>
      </c>
      <c r="F158" s="4171"/>
      <c r="G158" s="4163" t="str">
        <f ca="1">'12 - Performance_Outputs_1'!H256</f>
        <v/>
      </c>
      <c r="H158" s="4163"/>
      <c r="I158" s="4171" t="str">
        <f ca="1">'12 - Performance_Outputs_1'!H259</f>
        <v/>
      </c>
      <c r="J158" s="4171"/>
      <c r="K158" s="4163" t="str">
        <f ca="1">'12 - Performance_Outputs_1'!H258</f>
        <v/>
      </c>
      <c r="L158" s="4163"/>
      <c r="M158" s="2008" t="str">
        <f ca="1">IFERROR(G158/E158,"-")</f>
        <v>-</v>
      </c>
      <c r="N158" s="235"/>
      <c r="AB158" s="362"/>
      <c r="AF158" s="2175" t="s">
        <v>36</v>
      </c>
      <c r="AG158" s="2175" t="s">
        <v>2906</v>
      </c>
    </row>
    <row r="159" spans="1:115" ht="15" customHeight="1" x14ac:dyDescent="0.25">
      <c r="A159" s="1992" t="s">
        <v>2857</v>
      </c>
      <c r="B159" s="4165">
        <f t="shared" ref="B159" si="51">IFERROR(B158/B157,"-")</f>
        <v>1</v>
      </c>
      <c r="C159" s="4165"/>
      <c r="D159" s="2017" t="str">
        <f>IFERROR(D158/D157,"-")</f>
        <v>-</v>
      </c>
      <c r="E159" s="4165" t="str">
        <f ca="1">IFERROR(E158/E157,"-")</f>
        <v>-</v>
      </c>
      <c r="F159" s="4165"/>
      <c r="G159" s="4165" t="str">
        <f ca="1">IFERROR(G158/G157,"-")</f>
        <v>-</v>
      </c>
      <c r="H159" s="4165"/>
      <c r="I159" s="4165" t="str">
        <f t="shared" ref="I159" ca="1" si="52">IFERROR(I158/I157,"-")</f>
        <v>-</v>
      </c>
      <c r="J159" s="4165"/>
      <c r="K159" s="4165" t="str">
        <f ca="1">IFERROR(K158/K157,"-")</f>
        <v>-</v>
      </c>
      <c r="L159" s="4165"/>
      <c r="M159" s="2017" t="str">
        <f ca="1">IFERROR(M158/M157,"-")</f>
        <v>-</v>
      </c>
      <c r="N159" s="235"/>
      <c r="AB159" s="362"/>
      <c r="AF159" s="2175" t="s">
        <v>37</v>
      </c>
      <c r="AG159" s="2175" t="s">
        <v>2906</v>
      </c>
    </row>
    <row r="160" spans="1:115" s="866" customFormat="1" ht="17.25" customHeight="1" x14ac:dyDescent="0.25">
      <c r="A160" s="4104" t="s">
        <v>349</v>
      </c>
      <c r="B160" s="4105"/>
      <c r="C160" s="4105"/>
      <c r="D160" s="4105"/>
      <c r="E160" s="4105"/>
      <c r="F160" s="4105"/>
      <c r="G160" s="4091" t="s">
        <v>350</v>
      </c>
      <c r="H160" s="4092"/>
      <c r="I160" s="4092"/>
      <c r="J160" s="4092"/>
      <c r="K160" s="4092"/>
      <c r="L160" s="4092"/>
      <c r="M160" s="4093"/>
      <c r="N160" s="235"/>
      <c r="AB160" s="866" t="s">
        <v>2920</v>
      </c>
      <c r="AF160" s="2175" t="s">
        <v>38</v>
      </c>
      <c r="AG160" s="2175" t="s">
        <v>2906</v>
      </c>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row>
    <row r="161" spans="1:115" s="235" customFormat="1" ht="93.75" customHeight="1" x14ac:dyDescent="0.25">
      <c r="A161" s="2027" t="str">
        <f>IFERROR(IF(AND('9 - General HVAC'!Q27&gt;0,'11 - Water-Side HVAC'!G58=""),"Please Explain","Pass"),"Please Explain")</f>
        <v>Pass</v>
      </c>
      <c r="B161" s="4078" t="s">
        <v>3028</v>
      </c>
      <c r="C161" s="4079"/>
      <c r="D161" s="4079"/>
      <c r="E161" s="4079"/>
      <c r="F161" s="4080"/>
      <c r="G161" s="4101"/>
      <c r="H161" s="4102"/>
      <c r="I161" s="4102"/>
      <c r="J161" s="4102"/>
      <c r="K161" s="4102"/>
      <c r="L161" s="4102"/>
      <c r="M161" s="4103"/>
      <c r="AB161" s="2046" t="str">
        <f>IF('9 - General HVAC'!J28="","",'9 - General HVAC'!J28)</f>
        <v/>
      </c>
      <c r="AC161" s="235" t="str">
        <f>IF(AB161=0,"","System "&amp;AB161)</f>
        <v xml:space="preserve">System </v>
      </c>
      <c r="AF161" s="2175" t="s">
        <v>39</v>
      </c>
      <c r="AG161" s="2175" t="s">
        <v>2906</v>
      </c>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row>
    <row r="162" spans="1:115" s="235" customFormat="1" ht="93.75" customHeight="1" x14ac:dyDescent="0.25">
      <c r="A162" s="2027" t="str">
        <f>IFERROR(IF(AND('9 - General HVAC'!R27&gt;0,'11 - Water-Side HVAC'!G21=""),"Please Explain","Pass"),"Please Explain")</f>
        <v>Pass</v>
      </c>
      <c r="B162" s="4078" t="s">
        <v>3029</v>
      </c>
      <c r="C162" s="4079"/>
      <c r="D162" s="4079"/>
      <c r="E162" s="4079"/>
      <c r="F162" s="4080"/>
      <c r="G162" s="4101"/>
      <c r="H162" s="4102"/>
      <c r="I162" s="4102"/>
      <c r="J162" s="4102"/>
      <c r="K162" s="4102"/>
      <c r="L162" s="4102"/>
      <c r="M162" s="4103"/>
      <c r="AB162" s="2046" t="str">
        <f>IF('9 - General HVAC'!J29="","",'9 - General HVAC'!J29)</f>
        <v/>
      </c>
      <c r="AC162" s="235" t="str">
        <f t="shared" ref="AC162:AC169" si="53">IF(AB162=0,"","System "&amp;AB162)</f>
        <v xml:space="preserve">System </v>
      </c>
      <c r="AF162" s="2175" t="s">
        <v>39</v>
      </c>
      <c r="AG162" s="2175" t="s">
        <v>2906</v>
      </c>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row>
    <row r="163" spans="1:115" s="235" customFormat="1" ht="93.75" customHeight="1" x14ac:dyDescent="0.25">
      <c r="A163" s="2027" t="str">
        <f>IFERROR(IF(AND('9 - General HVAC'!R27&gt;0,'11 - Water-Side HVAC'!G42=""),"Please Explain","Pass"),"Please Explain")</f>
        <v>Pass</v>
      </c>
      <c r="B163" s="4078" t="s">
        <v>3030</v>
      </c>
      <c r="C163" s="4079"/>
      <c r="D163" s="4079"/>
      <c r="E163" s="4079"/>
      <c r="F163" s="4080"/>
      <c r="G163" s="4101"/>
      <c r="H163" s="4102"/>
      <c r="I163" s="4102"/>
      <c r="J163" s="4102"/>
      <c r="K163" s="4102"/>
      <c r="L163" s="4102"/>
      <c r="M163" s="4103"/>
      <c r="AB163" s="2046">
        <f>IF('9 - General HVAC'!J30="","",'9 - General HVAC'!J30)</f>
        <v>0</v>
      </c>
      <c r="AC163" s="235" t="str">
        <f t="shared" si="53"/>
        <v/>
      </c>
      <c r="AF163" s="2175" t="s">
        <v>39</v>
      </c>
      <c r="AG163" s="2175" t="s">
        <v>2906</v>
      </c>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row>
    <row r="164" spans="1:115" s="235" customFormat="1" ht="93.75" customHeight="1" x14ac:dyDescent="0.25">
      <c r="A164" s="2027" t="str">
        <f>IFERROR(IF('9 - General HVAC'!M31=TRUE,"Please Explain","Pass"),"Please Explain")</f>
        <v>Pass</v>
      </c>
      <c r="B164" s="4078" t="str">
        <f>"Project baseline includes Systems "&amp;AC164&amp;" "&amp;AC165&amp;" "&amp;AC166&amp;" "&amp;AC168&amp;" "&amp;AC167&amp;" "&amp;AC169&amp;". These systems do not have pumps, however pump energy is reported on the Performance Output tab for the baseline. Please review the baseline model inputs, or explain."</f>
        <v>Project baseline includes Systems    System   System . These systems do not have pumps, however pump energy is reported on the Performance Output tab for the baseline. Please review the baseline model inputs, or explain.</v>
      </c>
      <c r="C164" s="4079"/>
      <c r="D164" s="4079"/>
      <c r="E164" s="4079"/>
      <c r="F164" s="4080"/>
      <c r="G164" s="4101"/>
      <c r="H164" s="4102"/>
      <c r="I164" s="4102"/>
      <c r="J164" s="4102"/>
      <c r="K164" s="4102"/>
      <c r="L164" s="4102"/>
      <c r="M164" s="4103"/>
      <c r="AB164" s="2046">
        <f>IF('9 - General HVAC'!J31="","",'9 - General HVAC'!J31)</f>
        <v>0</v>
      </c>
      <c r="AC164" s="235" t="str">
        <f t="shared" si="53"/>
        <v/>
      </c>
      <c r="AF164" s="2175" t="s">
        <v>39</v>
      </c>
      <c r="AG164" s="2175" t="s">
        <v>2906</v>
      </c>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row>
    <row r="165" spans="1:115" s="235" customFormat="1" ht="93.75" customHeight="1" x14ac:dyDescent="0.25">
      <c r="A165" s="2027" t="str">
        <f>IFERROR(IF('9 - General HVAC'!O31=TRUE,"Please Explain","Pass"),"Please Explain")</f>
        <v>Pass</v>
      </c>
      <c r="B165" s="4078" t="str">
        <f>"Project baseline includes "&amp;AC164&amp;" "&amp;AC165&amp;" "&amp;AC166&amp;" "&amp;AC168&amp;" "&amp;AC167&amp;" "&amp;AC169&amp;". These systems do not have cooling tower, however Heat rejection energy is reported on the Performance Output tab for the baseline. Please review the baseline model inputs, or explain. "</f>
        <v xml:space="preserve">Project baseline includes    System   System . These systems do not have cooling tower, however Heat rejection energy is reported on the Performance Output tab for the baseline. Please review the baseline model inputs, or explain. </v>
      </c>
      <c r="C165" s="4079"/>
      <c r="D165" s="4079"/>
      <c r="E165" s="4079"/>
      <c r="F165" s="4080"/>
      <c r="G165" s="4101"/>
      <c r="H165" s="4102"/>
      <c r="I165" s="4102"/>
      <c r="J165" s="4102"/>
      <c r="K165" s="4102"/>
      <c r="L165" s="4102"/>
      <c r="M165" s="4103"/>
      <c r="AB165" s="2046">
        <f>IF('9 - General HVAC'!J32="","",'9 - General HVAC'!J32)</f>
        <v>0</v>
      </c>
      <c r="AC165" s="235" t="str">
        <f t="shared" si="53"/>
        <v/>
      </c>
      <c r="AF165" s="2175" t="s">
        <v>40</v>
      </c>
      <c r="AG165" s="2175" t="s">
        <v>2906</v>
      </c>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row>
    <row r="166" spans="1:115" s="235" customFormat="1" ht="93.75" customHeight="1" x14ac:dyDescent="0.25">
      <c r="A166" s="2027" t="str">
        <f>IFERROR(IF(D157&gt;0.85*E157,"Please Explain","Pass"),"Please Explain")</f>
        <v>Please Explain</v>
      </c>
      <c r="B166" s="4078" t="str">
        <f>AB155&amp;D157&amp;AB156</f>
        <v>Based on “11 – Water Side HVAC” tab, the total baseline design pump power (B) including chilled water pumps, hot water pumps, and condenser loop pumps is 0. This exceeds 85% of peak demand for pump end use (C) reported on the “Performance Outputs” tab. Please review baseline model inputs related to pump power and loop controls.</v>
      </c>
      <c r="C166" s="4079"/>
      <c r="D166" s="4079"/>
      <c r="E166" s="4079"/>
      <c r="F166" s="4080"/>
      <c r="G166" s="4075"/>
      <c r="H166" s="4076"/>
      <c r="I166" s="4076"/>
      <c r="J166" s="4076"/>
      <c r="K166" s="4076"/>
      <c r="L166" s="4076"/>
      <c r="M166" s="4077"/>
      <c r="AB166" s="2046">
        <f>IF('9 - General HVAC'!J33="","",'9 - General HVAC'!J33)</f>
        <v>0</v>
      </c>
      <c r="AC166" s="235" t="str">
        <f t="shared" si="53"/>
        <v/>
      </c>
      <c r="AF166" s="2175" t="s">
        <v>41</v>
      </c>
      <c r="AG166" s="2175" t="s">
        <v>2906</v>
      </c>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row>
    <row r="167" spans="1:115" s="235" customFormat="1" ht="93.75" customHeight="1" x14ac:dyDescent="0.25">
      <c r="A167" s="2027" t="str">
        <f>IFERROR(IF(M157&gt;0.75*B157,"Please Explain","Pass"),"Please Explain")</f>
        <v>Please Explain</v>
      </c>
      <c r="B167" s="4078" t="str">
        <f>AJ167&amp;ROUND(B157,0)&amp;AK167</f>
        <v>The baseline pump EFLH appear high. The building is occupied 8760 hours per year when HVAC system are running in occupied mode. Assuming that pumps run at 100% of design load 1% of the time, at 75% of the design load 42% of the time, 50% of design load 45% of the time, and 25% of design load 12% of design, the weighted average Watt of the pump riding pump curve is ~ 78% of the design, and pumps with VSD is 43% of design. However, based on the simulation results, the EFLH of the pumps exceeds 75% of the hours the building is occupied, which is unexpected. Please review the baseline pump power input, flow control (i.e. whether VSD is specified), and confirm that two-way valves were modeled to reflect the continuous variable flow (G3.1.3.5, G3.1.3.10).</v>
      </c>
      <c r="C167" s="4079"/>
      <c r="D167" s="4079"/>
      <c r="E167" s="4079"/>
      <c r="F167" s="4080"/>
      <c r="G167" s="4075"/>
      <c r="H167" s="4076"/>
      <c r="I167" s="4076"/>
      <c r="J167" s="4076"/>
      <c r="K167" s="4076"/>
      <c r="L167" s="4076"/>
      <c r="M167" s="4077"/>
      <c r="AB167" s="2046">
        <f>IF('9 - General HVAC'!J34="","",'9 - General HVAC'!J34)</f>
        <v>0</v>
      </c>
      <c r="AC167" s="235" t="str">
        <f t="shared" si="53"/>
        <v/>
      </c>
      <c r="AF167" s="2175" t="s">
        <v>43</v>
      </c>
      <c r="AG167" s="2175" t="s">
        <v>2906</v>
      </c>
      <c r="AJ167" s="2175" t="s">
        <v>2923</v>
      </c>
      <c r="AK167" s="2175" t="s">
        <v>2924</v>
      </c>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row>
    <row r="168" spans="1:115" s="235" customFormat="1" ht="93.75" customHeight="1" x14ac:dyDescent="0.25">
      <c r="A168" s="2027" t="str">
        <f ca="1">IFERROR(IF(D158&gt;0.85*E158,"Please Explain","Pass"),"Please Explain")</f>
        <v>Please Explain</v>
      </c>
      <c r="B168" s="4078" t="str">
        <f>"Based on “11 – Water Side HVAC” tab, the total proposed design pump power (B) including chilled water pumps, hot water pumps, and condenser loop pumps is "&amp;D158&amp;". This exceeds 85% of peak demand for pump end use (C) reported on the “Performance Outputs” tab. Please review baseline model inputs related to pump power and loop controls."</f>
        <v>Based on “11 – Water Side HVAC” tab, the total proposed design pump power (B) including chilled water pumps, hot water pumps, and condenser loop pumps is 0. This exceeds 85% of peak demand for pump end use (C) reported on the “Performance Outputs” tab. Please review baseline model inputs related to pump power and loop controls.</v>
      </c>
      <c r="C168" s="4079"/>
      <c r="D168" s="4079"/>
      <c r="E168" s="4079"/>
      <c r="F168" s="4080"/>
      <c r="G168" s="4075"/>
      <c r="H168" s="4076"/>
      <c r="I168" s="4076"/>
      <c r="J168" s="4076"/>
      <c r="K168" s="4076"/>
      <c r="L168" s="4076"/>
      <c r="M168" s="4077"/>
      <c r="AB168" s="2046" t="str">
        <f>IF('9 - General HVAC'!J35="","",'9 - General HVAC'!J35)</f>
        <v/>
      </c>
      <c r="AC168" s="235" t="str">
        <f t="shared" si="53"/>
        <v xml:space="preserve">System </v>
      </c>
      <c r="AF168" s="2175" t="s">
        <v>42</v>
      </c>
      <c r="AG168" s="2175" t="s">
        <v>2906</v>
      </c>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row>
    <row r="169" spans="1:115" s="235" customFormat="1" ht="93.75" customHeight="1" x14ac:dyDescent="0.25">
      <c r="A169" s="2027" t="str">
        <f ca="1">IFERROR(IF(M158&lt;0.35*B158,"Please Explain","Pass"),"Please Explain")</f>
        <v>Pass</v>
      </c>
      <c r="B169" s="4078" t="str">
        <f>AJ169&amp;ROUND(B158,0)&amp;AK169</f>
        <v xml:space="preserve">The proposed pump EFLH appears low. The building is occupied 8760 hours per year when HVAC system are running in occupied mode. Assuming that pumps run at 100% of design load 1% of the time, at 75% of the design load 42% of the time, 50% of design load 45% of the time, and 25% of design load 12% of design, the weighted average Watt of the pump riding pump curve is ~ 78% of the design, and pumps with VSD is 43% of design, and pump with VSD and differential pressure reset controls is 34%. However, based on the simulation results, the EFLH of the proposed pumps is less than 35% of the hours the building is occupied, which is unexpected. Please review the proposed pump power input, flow control (i.e. whether VSD is specified), and confirm that CHW, CW, and HW loop design (primary/secondary, and  variable / constant flow) is reflected in the proposed design model. </v>
      </c>
      <c r="C169" s="4079"/>
      <c r="D169" s="4079"/>
      <c r="E169" s="4079"/>
      <c r="F169" s="4080"/>
      <c r="G169" s="4101"/>
      <c r="H169" s="4102"/>
      <c r="I169" s="4102"/>
      <c r="J169" s="4102"/>
      <c r="K169" s="4102"/>
      <c r="L169" s="4102"/>
      <c r="M169" s="4103"/>
      <c r="AB169" s="2046" t="str">
        <f>IF('9 - General HVAC'!J36="","",'9 - General HVAC'!J36)</f>
        <v/>
      </c>
      <c r="AC169" s="235" t="str">
        <f t="shared" si="53"/>
        <v xml:space="preserve">System </v>
      </c>
      <c r="AF169" s="2175" t="s">
        <v>44</v>
      </c>
      <c r="AG169" s="2175" t="s">
        <v>2906</v>
      </c>
      <c r="AJ169" s="2175" t="s">
        <v>2925</v>
      </c>
      <c r="AK169" s="2175" t="s">
        <v>2926</v>
      </c>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row>
    <row r="170" spans="1:115" s="235" customFormat="1" ht="23.25" customHeight="1" x14ac:dyDescent="0.25">
      <c r="A170" s="4116" t="s">
        <v>275</v>
      </c>
      <c r="B170" s="4117"/>
      <c r="C170" s="4117"/>
      <c r="D170" s="4117"/>
      <c r="E170" s="4117"/>
      <c r="F170" s="4117"/>
      <c r="G170" s="4117"/>
      <c r="H170" s="4117"/>
      <c r="I170" s="4117"/>
      <c r="J170" s="4117"/>
      <c r="K170" s="4117"/>
      <c r="L170" s="4117"/>
      <c r="M170" s="4118"/>
      <c r="AB170" s="235" t="s">
        <v>2898</v>
      </c>
      <c r="AF170" s="2175" t="s">
        <v>45</v>
      </c>
      <c r="AG170" s="2175" t="s">
        <v>2906</v>
      </c>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row>
    <row r="171" spans="1:115" s="866" customFormat="1" ht="17.25" customHeight="1" x14ac:dyDescent="0.25">
      <c r="A171" s="4104" t="s">
        <v>349</v>
      </c>
      <c r="B171" s="4105"/>
      <c r="C171" s="4105"/>
      <c r="D171" s="4105"/>
      <c r="E171" s="4105"/>
      <c r="F171" s="4105"/>
      <c r="G171" s="4091" t="s">
        <v>350</v>
      </c>
      <c r="H171" s="4092"/>
      <c r="I171" s="4092"/>
      <c r="J171" s="4092"/>
      <c r="K171" s="4092"/>
      <c r="L171" s="4092"/>
      <c r="M171" s="4093"/>
      <c r="N171" s="235"/>
      <c r="AF171" s="2175" t="s">
        <v>221</v>
      </c>
      <c r="AG171" s="2175" t="s">
        <v>2906</v>
      </c>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row>
    <row r="172" spans="1:115" s="235" customFormat="1" ht="93.75" customHeight="1" x14ac:dyDescent="0.25">
      <c r="A172" s="2027" t="str">
        <f ca="1">IF('12 - Performance_Outputs_1'!AE56=FALSE,"Pass",IFERROR(IF((IFERROR(MAX(IFERROR(OFFSET(PO_renewable_table,MATCH("Photovoltaic system",PO_renewable_Index,0)-2,MATCH($S$35,PO_renewable_hdr,0)-1,1,1),0),
IFERROR(OFFSET(PO_renewable_table,MATCH("Solar thermal system",PO_renewable_Index,0)-2,MATCH($S$35,PO_renewable_hdr,0)-1,1,1),0)),""))="","Please Explain",IF('12 - Performance_Outputs_1'!G498&gt;1500,"Please Explain","Pass")),"Please Explain"))</f>
        <v>Pass</v>
      </c>
      <c r="B172" s="4078" t="s">
        <v>1067</v>
      </c>
      <c r="C172" s="4079"/>
      <c r="D172" s="4079"/>
      <c r="E172" s="4079"/>
      <c r="F172" s="4080"/>
      <c r="G172" s="4101"/>
      <c r="H172" s="4102"/>
      <c r="I172" s="4102"/>
      <c r="J172" s="4102"/>
      <c r="K172" s="4102"/>
      <c r="L172" s="4102"/>
      <c r="M172" s="4103"/>
      <c r="AB172" s="2046"/>
      <c r="AF172" s="2175" t="s">
        <v>222</v>
      </c>
      <c r="AG172" s="2175" t="s">
        <v>2906</v>
      </c>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row>
    <row r="173" spans="1:115" s="235" customFormat="1" ht="93.75" customHeight="1" x14ac:dyDescent="0.25">
      <c r="A173" s="2027" t="str">
        <f>IF(RatingSystemSelection="BD+C: Data Centers","Please Explain","Pass")</f>
        <v>Pass</v>
      </c>
      <c r="B173" s="4078" t="s">
        <v>1580</v>
      </c>
      <c r="C173" s="4079"/>
      <c r="D173" s="4079"/>
      <c r="E173" s="4079"/>
      <c r="F173" s="4080"/>
      <c r="G173" s="4101"/>
      <c r="H173" s="4102"/>
      <c r="I173" s="4102"/>
      <c r="J173" s="4102"/>
      <c r="K173" s="4102"/>
      <c r="L173" s="4102"/>
      <c r="M173" s="4103"/>
      <c r="AF173" s="2175">
        <v>8</v>
      </c>
      <c r="AG173" s="2175" t="s">
        <v>2906</v>
      </c>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row>
    <row r="174" spans="1:115" s="235" customFormat="1" ht="23.25" customHeight="1" x14ac:dyDescent="0.25">
      <c r="A174" s="4116" t="s">
        <v>2911</v>
      </c>
      <c r="B174" s="4117"/>
      <c r="C174" s="4117"/>
      <c r="D174" s="4117"/>
      <c r="E174" s="4117"/>
      <c r="F174" s="4117"/>
      <c r="G174" s="4117"/>
      <c r="H174" s="4117"/>
      <c r="I174" s="4117"/>
      <c r="J174" s="4117"/>
      <c r="K174" s="4117"/>
      <c r="L174" s="4117"/>
      <c r="M174" s="4118"/>
      <c r="AB174" s="235" t="s">
        <v>2898</v>
      </c>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row>
    <row r="175" spans="1:115" ht="14.25" customHeight="1" x14ac:dyDescent="0.25">
      <c r="A175" s="4104" t="s">
        <v>2808</v>
      </c>
      <c r="B175" s="4012"/>
      <c r="C175" s="4012"/>
      <c r="D175" s="4012"/>
      <c r="E175" s="4105"/>
      <c r="F175" s="4105"/>
      <c r="G175" s="4105"/>
      <c r="H175" s="4105"/>
      <c r="I175" s="4105"/>
      <c r="J175" s="4105"/>
      <c r="K175" s="4105"/>
      <c r="L175" s="4105"/>
      <c r="M175" s="4119"/>
      <c r="N175" s="235"/>
      <c r="AB175" s="362" t="s">
        <v>2901</v>
      </c>
      <c r="AC175" t="s">
        <v>2902</v>
      </c>
      <c r="AD175" t="s">
        <v>2903</v>
      </c>
      <c r="AF175" s="2175" t="s">
        <v>32</v>
      </c>
      <c r="AG175" s="2175" t="s">
        <v>2907</v>
      </c>
    </row>
    <row r="176" spans="1:115" ht="15" hidden="1" customHeight="1" x14ac:dyDescent="0.25">
      <c r="A176" s="2240"/>
      <c r="B176" s="2243"/>
      <c r="C176" s="2241"/>
      <c r="D176" s="2242" t="str">
        <f>IF('12 - Performance_Outputs_1'!C17="","-",'12 - Performance_Outputs_1'!B17)</f>
        <v>-</v>
      </c>
      <c r="E176" s="2243"/>
      <c r="F176" s="2241"/>
      <c r="G176" s="2242" t="str">
        <f>IF('12 - Performance_Outputs_1'!C18="","-",'12 - Performance_Outputs_1'!B18)</f>
        <v>-</v>
      </c>
      <c r="H176" s="2243"/>
      <c r="I176" s="2241"/>
      <c r="J176" s="2242" t="str">
        <f>IF('12 - Performance_Outputs_1'!C19="","-",'12 - Performance_Outputs_1'!B19)</f>
        <v>-</v>
      </c>
      <c r="K176" s="2243"/>
      <c r="L176" s="2241"/>
      <c r="M176" s="2242" t="str">
        <f>IF('12 - Performance_Outputs_1'!C20="","-",'12 - Performance_Outputs_1'!B20)</f>
        <v>-</v>
      </c>
      <c r="N176" s="235"/>
      <c r="AB176" s="362"/>
      <c r="AF176" s="2175"/>
      <c r="AG176" s="2175"/>
    </row>
    <row r="177" spans="1:115" ht="14.25" customHeight="1" x14ac:dyDescent="0.25">
      <c r="A177" s="1992"/>
      <c r="B177" s="4182" t="str">
        <f>IF('12 - Performance_Outputs_1'!C17="","-",'12 - Performance_Outputs_1'!B17&amp;" Virtual Rate")</f>
        <v>-</v>
      </c>
      <c r="C177" s="4183"/>
      <c r="D177" s="4184"/>
      <c r="E177" s="4083" t="str">
        <f>IF('12 - Performance_Outputs_1'!C18="","-",'12 - Performance_Outputs_1'!B18&amp;" Virtual Rate")</f>
        <v>-</v>
      </c>
      <c r="F177" s="4096"/>
      <c r="G177" s="4084"/>
      <c r="H177" s="4083" t="str">
        <f>IF('12 - Performance_Outputs_1'!C19="","-",'12 - Performance_Outputs_1'!B19&amp;" Virtual Rate")</f>
        <v>-</v>
      </c>
      <c r="I177" s="4096"/>
      <c r="J177" s="4084"/>
      <c r="K177" s="4083" t="str">
        <f>IF('12 - Performance_Outputs_1'!C20="","-",'12 - Performance_Outputs_1'!B20&amp;" Virtual Rate")</f>
        <v>-</v>
      </c>
      <c r="L177" s="4096"/>
      <c r="M177" s="4084"/>
      <c r="N177" s="235"/>
      <c r="AB177" s="362"/>
      <c r="AF177" s="2175"/>
      <c r="AG177" s="2175"/>
    </row>
    <row r="178" spans="1:115" ht="51" customHeight="1" x14ac:dyDescent="0.25">
      <c r="A178" s="1992"/>
      <c r="B178" s="784" t="str">
        <f>IF('12 - Performance_Outputs_1'!C17="","-","$/"&amp;'12 - Performance_Outputs_1'!C17&amp;" (Performance Outputs tab, Table 12.8)")</f>
        <v>-</v>
      </c>
      <c r="C178" s="784" t="str">
        <f>IF('12 - Performance_Outputs_1'!C17="","-",'12 - Performance_Outputs_1'!C17&amp;" to Site MMBtu Conversion (Performance Outputs tab Table 12.1)")</f>
        <v>-</v>
      </c>
      <c r="D178" s="784" t="str">
        <f>IF('12 - Performance_Outputs_1'!C17="","-","$/MMBtu")</f>
        <v>-</v>
      </c>
      <c r="E178" s="784" t="str">
        <f>IF('12 - Performance_Outputs_1'!C18="","-","$/"&amp;'12 - Performance_Outputs_1'!C18&amp;" (Performance Outputs tab, Table 12.8)")</f>
        <v>-</v>
      </c>
      <c r="F178" s="784" t="str">
        <f>IF('12 - Performance_Outputs_1'!C18="","-",'12 - Performance_Outputs_1'!C18&amp;" to Site MMBtu Conversion (Performance Outputs tab Table 12.1)")</f>
        <v>-</v>
      </c>
      <c r="G178" s="784" t="str">
        <f>IF('12 - Performance_Outputs_1'!C18="","-","$/MMBtu")</f>
        <v>-</v>
      </c>
      <c r="H178" s="784" t="str">
        <f>IF('12 - Performance_Outputs_1'!C19="","-","$/"&amp;'12 - Performance_Outputs_1'!C19&amp;" (Performance Outputs tab, Table 12.8)")</f>
        <v>-</v>
      </c>
      <c r="I178" s="784" t="str">
        <f>IF('12 - Performance_Outputs_1'!C19="","-",'12 - Performance_Outputs_1'!C19&amp;" to Site MMBtu Conversion (Performance Outputs tab Table 12.1)")</f>
        <v>-</v>
      </c>
      <c r="J178" s="784" t="str">
        <f>IF('12 - Performance_Outputs_1'!C19="","-","$/MMBtu")</f>
        <v>-</v>
      </c>
      <c r="K178" s="784" t="str">
        <f>IF('12 - Performance_Outputs_1'!C20="","-","$/"&amp;'12 - Performance_Outputs_1'!C20&amp;" (Performance Outputs tab, Table 12.8)")</f>
        <v>-</v>
      </c>
      <c r="L178" s="784" t="str">
        <f>IF('12 - Performance_Outputs_1'!C20="","-",'12 - Performance_Outputs_1'!C20&amp;" to Site MMBtu Conversion (Performance Outputs tab Table 12.1)")</f>
        <v>-</v>
      </c>
      <c r="M178" s="784" t="str">
        <f>IF('12 - Performance_Outputs_1'!C20="","-","$/MMBtu")</f>
        <v>-</v>
      </c>
      <c r="N178" s="235"/>
      <c r="AB178" s="362" t="s">
        <v>2921</v>
      </c>
      <c r="AF178" s="2175" t="s">
        <v>33</v>
      </c>
      <c r="AG178" s="2175" t="s">
        <v>2907</v>
      </c>
    </row>
    <row r="179" spans="1:115" x14ac:dyDescent="0.25">
      <c r="A179" s="1992"/>
      <c r="B179" s="784" t="s">
        <v>802</v>
      </c>
      <c r="C179" s="784" t="s">
        <v>803</v>
      </c>
      <c r="D179" s="784" t="s">
        <v>804</v>
      </c>
      <c r="E179" s="784" t="s">
        <v>805</v>
      </c>
      <c r="F179" s="784" t="s">
        <v>806</v>
      </c>
      <c r="G179" s="784" t="s">
        <v>807</v>
      </c>
      <c r="H179" s="784" t="s">
        <v>1038</v>
      </c>
      <c r="I179" s="784" t="s">
        <v>2962</v>
      </c>
      <c r="J179" s="784" t="s">
        <v>2964</v>
      </c>
      <c r="K179" s="784" t="s">
        <v>2969</v>
      </c>
      <c r="L179" s="784" t="s">
        <v>2973</v>
      </c>
      <c r="M179" s="784" t="s">
        <v>2063</v>
      </c>
      <c r="N179" s="235"/>
      <c r="AB179" s="362" t="s">
        <v>2922</v>
      </c>
      <c r="AF179" s="2175" t="s">
        <v>34</v>
      </c>
      <c r="AG179" s="2175" t="s">
        <v>2907</v>
      </c>
    </row>
    <row r="180" spans="1:115" x14ac:dyDescent="0.25">
      <c r="A180" s="1992" t="s">
        <v>2811</v>
      </c>
      <c r="B180" s="2181" t="str">
        <f>IFERROR('12 - Performance_Outputs_1'!E311,"-")</f>
        <v/>
      </c>
      <c r="C180" s="2182" t="str">
        <f>IFERROR('12 - Performance_Outputs_1'!K17,"-")</f>
        <v/>
      </c>
      <c r="D180" s="2183" t="str">
        <f>IFERROR(B180/C180,"-")</f>
        <v>-</v>
      </c>
      <c r="E180" s="2181" t="str">
        <f>IFERROR('12 - Performance_Outputs_1'!E312,"-")</f>
        <v/>
      </c>
      <c r="F180" s="2182" t="str">
        <f>IFERROR('12 - Performance_Outputs_1'!K18,"-")</f>
        <v/>
      </c>
      <c r="G180" s="2183" t="str">
        <f>IFERROR(E180/F180,"-")</f>
        <v>-</v>
      </c>
      <c r="H180" s="2181" t="str">
        <f>IFERROR('12 - Performance_Outputs_1'!E313,"-")</f>
        <v/>
      </c>
      <c r="I180" s="2182" t="str">
        <f>IFERROR('12 - Performance_Outputs_1'!K19,"-")</f>
        <v/>
      </c>
      <c r="J180" s="2183" t="str">
        <f>IFERROR(H180/I180,"-")</f>
        <v>-</v>
      </c>
      <c r="K180" s="2181" t="str">
        <f>IFERROR('12 - Performance_Outputs_1'!E314,"-")</f>
        <v/>
      </c>
      <c r="L180" s="2182" t="str">
        <f>IFERROR('12 - Performance_Outputs_1'!K20,"-")</f>
        <v/>
      </c>
      <c r="M180" s="2183" t="str">
        <f>IFERROR(K180/L180,"-")</f>
        <v>-</v>
      </c>
      <c r="N180" s="235"/>
      <c r="AB180" s="362"/>
      <c r="AF180" s="2175" t="s">
        <v>35</v>
      </c>
      <c r="AG180" s="2175" t="s">
        <v>2907</v>
      </c>
    </row>
    <row r="181" spans="1:115" x14ac:dyDescent="0.25">
      <c r="A181" s="1992" t="s">
        <v>2682</v>
      </c>
      <c r="B181" s="2181" t="str">
        <f>IFERROR('12 - Performance_Outputs_1'!H311,"-")</f>
        <v/>
      </c>
      <c r="C181" s="2182" t="str">
        <f>IFERROR('12 - Performance_Outputs_1'!K17,"-")</f>
        <v/>
      </c>
      <c r="D181" s="2183" t="str">
        <f>IFERROR(B181/C181,"-")</f>
        <v>-</v>
      </c>
      <c r="E181" s="2181" t="str">
        <f>IFERROR('12 - Performance_Outputs_1'!H312,"-")</f>
        <v/>
      </c>
      <c r="F181" s="2182" t="str">
        <f>IFERROR('12 - Performance_Outputs_1'!K18,"-")</f>
        <v/>
      </c>
      <c r="G181" s="2183" t="str">
        <f>IFERROR(E181/F181,"-")</f>
        <v>-</v>
      </c>
      <c r="H181" s="2181" t="str">
        <f>IFERROR('12 - Performance_Outputs_1'!E313,"-")</f>
        <v/>
      </c>
      <c r="I181" s="2182" t="str">
        <f>IFERROR('12 - Performance_Outputs_1'!K19,"-")</f>
        <v/>
      </c>
      <c r="J181" s="2183" t="str">
        <f>IFERROR(H181/I181,"-")</f>
        <v>-</v>
      </c>
      <c r="K181" s="2181" t="str">
        <f>IFERROR('12 - Performance_Outputs_1'!E314,"-")</f>
        <v/>
      </c>
      <c r="L181" s="2182" t="str">
        <f>IFERROR('12 - Performance_Outputs_1'!K20,"-")</f>
        <v/>
      </c>
      <c r="M181" s="2183" t="str">
        <f>IFERROR(K181/L181,"-")</f>
        <v>-</v>
      </c>
      <c r="N181" s="235"/>
      <c r="AB181" s="362"/>
      <c r="AF181" s="2175" t="s">
        <v>36</v>
      </c>
      <c r="AG181" s="2175" t="s">
        <v>2906</v>
      </c>
    </row>
    <row r="182" spans="1:115" ht="15" customHeight="1" x14ac:dyDescent="0.25">
      <c r="A182" s="1992" t="s">
        <v>2857</v>
      </c>
      <c r="B182" s="2017" t="str">
        <f>IFERROR((B181/B180),"-")</f>
        <v>-</v>
      </c>
      <c r="C182" s="2017" t="str">
        <f t="shared" ref="C182:M182" si="54">IFERROR((C181/C180),"-")</f>
        <v>-</v>
      </c>
      <c r="D182" s="2017" t="str">
        <f t="shared" si="54"/>
        <v>-</v>
      </c>
      <c r="E182" s="2017" t="str">
        <f t="shared" si="54"/>
        <v>-</v>
      </c>
      <c r="F182" s="2017" t="str">
        <f t="shared" si="54"/>
        <v>-</v>
      </c>
      <c r="G182" s="2017" t="str">
        <f t="shared" si="54"/>
        <v>-</v>
      </c>
      <c r="H182" s="2017" t="str">
        <f t="shared" si="54"/>
        <v>-</v>
      </c>
      <c r="I182" s="2017" t="str">
        <f t="shared" si="54"/>
        <v>-</v>
      </c>
      <c r="J182" s="2017" t="str">
        <f t="shared" si="54"/>
        <v>-</v>
      </c>
      <c r="K182" s="2017" t="str">
        <f t="shared" si="54"/>
        <v>-</v>
      </c>
      <c r="L182" s="2017" t="str">
        <f t="shared" si="54"/>
        <v>-</v>
      </c>
      <c r="M182" s="2017" t="str">
        <f t="shared" si="54"/>
        <v>-</v>
      </c>
      <c r="N182" s="235"/>
      <c r="AB182" s="362"/>
      <c r="AF182" s="2175" t="s">
        <v>37</v>
      </c>
      <c r="AG182" s="2175" t="s">
        <v>2906</v>
      </c>
    </row>
    <row r="183" spans="1:115" s="866" customFormat="1" ht="17.25" customHeight="1" x14ac:dyDescent="0.25">
      <c r="A183" s="4104" t="s">
        <v>349</v>
      </c>
      <c r="B183" s="4105"/>
      <c r="C183" s="4105"/>
      <c r="D183" s="4105"/>
      <c r="E183" s="4105"/>
      <c r="F183" s="4105"/>
      <c r="G183" s="4091" t="s">
        <v>350</v>
      </c>
      <c r="H183" s="4092"/>
      <c r="I183" s="4092"/>
      <c r="J183" s="4092"/>
      <c r="K183" s="4092"/>
      <c r="L183" s="4092"/>
      <c r="M183" s="4093"/>
      <c r="N183" s="235"/>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row>
    <row r="184" spans="1:115" s="235" customFormat="1" ht="93.75" customHeight="1" x14ac:dyDescent="0.25">
      <c r="A184" s="2027" t="str">
        <f ca="1">IFERROR(IF(OR('12 - Performance_Outputs_1'!I498&lt;0.06,'12 - Performance_Outputs_1'!I498&gt;0.25),"Please Explain","Pass"),"Please Explain")</f>
        <v>Please Explain</v>
      </c>
      <c r="B184" s="4078" t="s">
        <v>1070</v>
      </c>
      <c r="C184" s="4079"/>
      <c r="D184" s="4079"/>
      <c r="E184" s="4079"/>
      <c r="F184" s="4080"/>
      <c r="G184" s="4075"/>
      <c r="H184" s="4076"/>
      <c r="I184" s="4076"/>
      <c r="J184" s="4076"/>
      <c r="K184" s="4076"/>
      <c r="L184" s="4076"/>
      <c r="M184" s="4077"/>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row>
    <row r="185" spans="1:115" s="235" customFormat="1" ht="93.75" customHeight="1" x14ac:dyDescent="0.25">
      <c r="A185" s="2027" t="str">
        <f t="array" ref="A185">IF(OR(EXACT("Natural Gas",'12 - Performance_Outputs_1'!B17:B22)),IF('General Information'!S53="Gas",IFERROR(IF(OR('12 - Performance_Outputs_1'!J498&lt;0.5,'12 - Performance_Outputs_1'!J498&gt;2),"Please Explain","Pass"),"Please Explain"),"Pass"),"Pass")</f>
        <v>Pass</v>
      </c>
      <c r="B185" s="4078" t="s">
        <v>1558</v>
      </c>
      <c r="C185" s="4079"/>
      <c r="D185" s="4079"/>
      <c r="E185" s="4079"/>
      <c r="F185" s="4080"/>
      <c r="G185" s="4101"/>
      <c r="H185" s="4102"/>
      <c r="I185" s="4102"/>
      <c r="J185" s="4102"/>
      <c r="K185" s="4102"/>
      <c r="L185" s="4102"/>
      <c r="M185" s="4103"/>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row>
    <row r="186" spans="1:115" s="235" customFormat="1" ht="93.75" customHeight="1" x14ac:dyDescent="0.25">
      <c r="A186" s="2027" t="str">
        <f>IFERROR(IF(PO_SiteRenewable=TRUE,IF(COUNTIF(INDEX(PO_renewable_table,,MATCH('12 - Performance_Outputs_1'!$W$62,PO_renewable_hdr,0)),"&gt;0.05")+COUNTIF(INDEX(PO_renewable_table,,MATCH('12 - Performance_Outputs_1'!$W$62,PO_renewable_hdr,0)),"&lt;-0.05")&gt;0,"Please Explain","Pass"),"Pass"),"Please Explain")</f>
        <v>Pass</v>
      </c>
      <c r="B186" s="4078" t="s">
        <v>1069</v>
      </c>
      <c r="C186" s="4079"/>
      <c r="D186" s="4079"/>
      <c r="E186" s="4079"/>
      <c r="F186" s="4080"/>
      <c r="G186" s="4101"/>
      <c r="H186" s="4102"/>
      <c r="I186" s="4102"/>
      <c r="J186" s="4102"/>
      <c r="K186" s="4102"/>
      <c r="L186" s="4102"/>
      <c r="M186" s="4103"/>
      <c r="AF186" s="2175"/>
      <c r="AG186" s="2175"/>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row>
    <row r="187" spans="1:115" s="235" customFormat="1" ht="93.75" customHeight="1" x14ac:dyDescent="0.25">
      <c r="A187" s="2027" t="str">
        <f>IFERROR(IF(COUNTIF(INDEX(PO_Enrgy_8_Table,,MATCH('12 - Performance_Outputs_1'!$K$310,PO_Enrgy_8_Hdr,0)),"&gt;0.1")+COUNTIF(INDEX(PO_Enrgy_8_Table,,MATCH('12 - Performance_Outputs_1'!$K$310,PO_Enrgy_8_Hdr,0)),"&lt;-0.1")&gt;0,"Please Explain","Pass"),"Please Explain")</f>
        <v>Pass</v>
      </c>
      <c r="B187" s="4078" t="s">
        <v>1068</v>
      </c>
      <c r="C187" s="4079"/>
      <c r="D187" s="4079"/>
      <c r="E187" s="4079"/>
      <c r="F187" s="4080"/>
      <c r="G187" s="4075"/>
      <c r="H187" s="4076"/>
      <c r="I187" s="4076"/>
      <c r="J187" s="4076"/>
      <c r="K187" s="4076"/>
      <c r="L187" s="4076"/>
      <c r="M187" s="4077"/>
      <c r="AF187" s="2175"/>
      <c r="AG187" s="2175"/>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row>
    <row r="188" spans="1:115" s="235" customFormat="1" ht="93.75" customHeight="1" x14ac:dyDescent="0.25">
      <c r="A188" s="2027" t="str">
        <f>IFERROR(IF(PO_ShowExCalc=TRUE,IF(COUNTIF(INDEX(PO_ExCalc_Table,,MATCH('12 - Performance_Outputs_1'!$V$91,PO_ExCalc_Hdr,0)),"&gt;0.05")+COUNTIF(INDEX(PO_ExCalc_Table,,MATCH('12 - Performance_Outputs_1'!$V$91,PO_ExCalc_Hdr,0)),"&lt;-0.05")&gt;0,"Please Explain","Pass"),"Pass"),"Please Explain")</f>
        <v>Pass</v>
      </c>
      <c r="B188" s="4078" t="s">
        <v>1557</v>
      </c>
      <c r="C188" s="4079"/>
      <c r="D188" s="4079"/>
      <c r="E188" s="4079"/>
      <c r="F188" s="4080"/>
      <c r="G188" s="4101"/>
      <c r="H188" s="4102"/>
      <c r="I188" s="4102"/>
      <c r="J188" s="4102"/>
      <c r="K188" s="4102"/>
      <c r="L188" s="4102"/>
      <c r="M188" s="4103"/>
      <c r="O188" s="2"/>
      <c r="P188" s="2"/>
      <c r="AE188" s="2"/>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row>
    <row r="189" spans="1:115" s="235" customFormat="1" ht="93.75" customHeight="1" x14ac:dyDescent="0.25">
      <c r="A189" s="2027" t="str">
        <f t="array" ref="A189">IF(OR(EXACT("Natural Gas",'12 - Performance_Outputs_1'!B17:B22)),IFERROR(IF((SUMIF(176:176,"Electricity",180:180))&gt;5*(SUMIF(176:176,"Natural Gas",180:180)),"Please Explain","Pass"),"Please Explain"),"Please Explain")</f>
        <v>Please Explain</v>
      </c>
      <c r="B189" s="4078" t="s">
        <v>2928</v>
      </c>
      <c r="C189" s="4079"/>
      <c r="D189" s="4079"/>
      <c r="E189" s="4079"/>
      <c r="F189" s="4080"/>
      <c r="G189" s="4075"/>
      <c r="H189" s="4076"/>
      <c r="I189" s="4076"/>
      <c r="J189" s="4076"/>
      <c r="K189" s="4076"/>
      <c r="L189" s="4076"/>
      <c r="M189" s="4077"/>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row>
    <row r="190" spans="1:115" s="235" customFormat="1" ht="93.75" customHeight="1" x14ac:dyDescent="0.25">
      <c r="A190" s="2027" t="str">
        <f>IFERROR(IF((SUMIF(176:176,"Electricity",180:180))&lt;2*(SUMIF(176:176,"Natural Gas",180:180)),"Please Explain","Pass"),"Please Explain")</f>
        <v>Pass</v>
      </c>
      <c r="B190" s="4078" t="s">
        <v>2929</v>
      </c>
      <c r="C190" s="4079"/>
      <c r="D190" s="4079"/>
      <c r="E190" s="4079"/>
      <c r="F190" s="4080"/>
      <c r="G190" s="4101"/>
      <c r="H190" s="4102"/>
      <c r="I190" s="4102"/>
      <c r="J190" s="4102"/>
      <c r="K190" s="4102"/>
      <c r="L190" s="4102"/>
      <c r="M190" s="4103"/>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row>
    <row r="191" spans="1:115" s="235" customFormat="1" ht="21.75" customHeight="1" x14ac:dyDescent="0.25">
      <c r="B191" s="1993"/>
      <c r="C191" s="1993"/>
      <c r="D191" s="1993"/>
      <c r="E191" s="1993"/>
      <c r="F191" s="1993"/>
      <c r="G191" s="1993"/>
      <c r="H191" s="1993"/>
      <c r="I191" s="1994"/>
      <c r="J191" s="1994"/>
      <c r="K191" s="1994"/>
      <c r="L191" s="1994"/>
      <c r="M191" s="1994"/>
      <c r="AF191" s="2175"/>
      <c r="AG191" s="2175"/>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row>
    <row r="192" spans="1:115" s="235" customFormat="1" ht="21.75" customHeight="1" x14ac:dyDescent="0.25">
      <c r="B192" s="1993"/>
      <c r="C192" s="1993"/>
      <c r="D192" s="1993"/>
      <c r="E192" s="1993"/>
      <c r="F192" s="1993"/>
      <c r="G192" s="1993"/>
      <c r="H192" s="1993"/>
      <c r="I192" s="1994"/>
      <c r="J192" s="1994"/>
      <c r="K192" s="1994"/>
      <c r="L192" s="1994"/>
      <c r="M192" s="1994"/>
      <c r="AF192" s="2175"/>
      <c r="AG192" s="2175"/>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row>
    <row r="193" spans="2:115" s="235" customFormat="1" ht="21.75" customHeight="1" x14ac:dyDescent="0.25">
      <c r="B193" s="1993"/>
      <c r="C193" s="1993"/>
      <c r="D193" s="1993"/>
      <c r="E193" s="1993"/>
      <c r="F193" s="1993"/>
      <c r="G193" s="1993"/>
      <c r="H193" s="1993"/>
      <c r="I193" s="1994"/>
      <c r="J193" s="1994"/>
      <c r="K193" s="1994"/>
      <c r="L193" s="1994"/>
      <c r="M193" s="1994"/>
      <c r="AF193" s="2175"/>
      <c r="AG193" s="2175"/>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row>
    <row r="194" spans="2:115" s="235" customFormat="1" ht="21.75" customHeight="1" x14ac:dyDescent="0.25">
      <c r="B194" s="1993"/>
      <c r="C194" s="1993"/>
      <c r="D194" s="1993"/>
      <c r="E194" s="1993"/>
      <c r="F194" s="1993"/>
      <c r="G194" s="1993"/>
      <c r="H194" s="1993"/>
      <c r="I194" s="1994"/>
      <c r="J194" s="1994"/>
      <c r="K194" s="1994"/>
      <c r="L194" s="1994"/>
      <c r="M194" s="1994"/>
      <c r="AF194" s="2175"/>
      <c r="AG194" s="2175"/>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row>
    <row r="195" spans="2:115" s="235" customFormat="1" ht="21.75" customHeight="1" x14ac:dyDescent="0.25">
      <c r="B195" s="1993"/>
      <c r="C195" s="1993"/>
      <c r="D195" s="1993"/>
      <c r="E195" s="1993"/>
      <c r="F195" s="1993"/>
      <c r="G195" s="1993"/>
      <c r="H195" s="1993"/>
      <c r="I195" s="1994"/>
      <c r="J195" s="1994"/>
      <c r="K195" s="1994"/>
      <c r="L195" s="1994"/>
      <c r="M195" s="1994"/>
      <c r="AF195" s="2175"/>
      <c r="AG195" s="217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row>
    <row r="196" spans="2:115" s="235" customFormat="1" ht="21.75" customHeight="1" x14ac:dyDescent="0.25">
      <c r="B196" s="1993"/>
      <c r="C196" s="1993"/>
      <c r="D196" s="1993"/>
      <c r="E196" s="1993"/>
      <c r="F196" s="1993"/>
      <c r="G196" s="1993"/>
      <c r="H196" s="1993"/>
      <c r="I196" s="1994"/>
      <c r="J196" s="1994"/>
      <c r="K196" s="1994"/>
      <c r="L196" s="1994"/>
      <c r="M196" s="1994"/>
      <c r="AF196" s="2175"/>
      <c r="AG196" s="2175"/>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row>
    <row r="197" spans="2:115" s="235" customFormat="1" ht="21.75" customHeight="1" x14ac:dyDescent="0.25">
      <c r="AF197" s="2175"/>
      <c r="AG197" s="2175"/>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row>
  </sheetData>
  <sheetProtection algorithmName="SHA-512" hashValue="e0Lgrrt2SoRpG7YIu7ckzCmMDGnNAymIDlIGj2H4RhD9HdcA+TQADVvfqg0RpT2WzuQC4qziQRdY41a61oDOtw==" saltValue="g0TxsB78BVR873O33P8N6Q==" spinCount="100000" sheet="1" objects="1" scenarios="1"/>
  <mergeCells count="1040">
    <mergeCell ref="B145:F145"/>
    <mergeCell ref="G145:M145"/>
    <mergeCell ref="A5:M5"/>
    <mergeCell ref="G143:M143"/>
    <mergeCell ref="B189:F189"/>
    <mergeCell ref="G189:M189"/>
    <mergeCell ref="B190:F190"/>
    <mergeCell ref="G190:M190"/>
    <mergeCell ref="B177:D177"/>
    <mergeCell ref="E177:G177"/>
    <mergeCell ref="H177:J177"/>
    <mergeCell ref="K177:M177"/>
    <mergeCell ref="I156:J156"/>
    <mergeCell ref="I157:J157"/>
    <mergeCell ref="I158:J158"/>
    <mergeCell ref="I159:J159"/>
    <mergeCell ref="G186:M186"/>
    <mergeCell ref="G188:M188"/>
    <mergeCell ref="G184:M184"/>
    <mergeCell ref="G185:M185"/>
    <mergeCell ref="B186:F186"/>
    <mergeCell ref="B188:F188"/>
    <mergeCell ref="B184:F184"/>
    <mergeCell ref="B185:F185"/>
    <mergeCell ref="E113:G113"/>
    <mergeCell ref="E114:G114"/>
    <mergeCell ref="E115:G115"/>
    <mergeCell ref="E116:G116"/>
    <mergeCell ref="B112:D112"/>
    <mergeCell ref="B113:D113"/>
    <mergeCell ref="B114:D114"/>
    <mergeCell ref="B115:D115"/>
    <mergeCell ref="B116:D116"/>
    <mergeCell ref="B126:C126"/>
    <mergeCell ref="H125:I125"/>
    <mergeCell ref="H126:I126"/>
    <mergeCell ref="J122:K122"/>
    <mergeCell ref="J123:K123"/>
    <mergeCell ref="J124:K124"/>
    <mergeCell ref="J125:K125"/>
    <mergeCell ref="J126:K126"/>
    <mergeCell ref="B122:C122"/>
    <mergeCell ref="B123:C123"/>
    <mergeCell ref="B124:C124"/>
    <mergeCell ref="B125:C125"/>
    <mergeCell ref="A117:F117"/>
    <mergeCell ref="G117:M117"/>
    <mergeCell ref="H113:K113"/>
    <mergeCell ref="H114:K114"/>
    <mergeCell ref="H115:K115"/>
    <mergeCell ref="H116:K116"/>
    <mergeCell ref="G105:M105"/>
    <mergeCell ref="G106:M106"/>
    <mergeCell ref="L112:M112"/>
    <mergeCell ref="A110:M110"/>
    <mergeCell ref="A111:M111"/>
    <mergeCell ref="B97:D97"/>
    <mergeCell ref="B98:D98"/>
    <mergeCell ref="B99:D99"/>
    <mergeCell ref="B100:D100"/>
    <mergeCell ref="B101:D101"/>
    <mergeCell ref="E97:G97"/>
    <mergeCell ref="E101:G101"/>
    <mergeCell ref="B103:F103"/>
    <mergeCell ref="B104:F104"/>
    <mergeCell ref="G103:M103"/>
    <mergeCell ref="G104:M104"/>
    <mergeCell ref="K99:M99"/>
    <mergeCell ref="E100:G100"/>
    <mergeCell ref="H100:J100"/>
    <mergeCell ref="K100:M100"/>
    <mergeCell ref="E112:G112"/>
    <mergeCell ref="H98:J98"/>
    <mergeCell ref="K98:M98"/>
    <mergeCell ref="E99:G99"/>
    <mergeCell ref="H99:J99"/>
    <mergeCell ref="H112:K112"/>
    <mergeCell ref="H97:J97"/>
    <mergeCell ref="K97:M97"/>
    <mergeCell ref="E98:G98"/>
    <mergeCell ref="B107:F107"/>
    <mergeCell ref="B105:F105"/>
    <mergeCell ref="B106:F106"/>
    <mergeCell ref="G108:M108"/>
    <mergeCell ref="G109:M109"/>
    <mergeCell ref="A170:M170"/>
    <mergeCell ref="A171:F171"/>
    <mergeCell ref="G171:M171"/>
    <mergeCell ref="A174:M174"/>
    <mergeCell ref="A183:F183"/>
    <mergeCell ref="G183:M183"/>
    <mergeCell ref="B168:F168"/>
    <mergeCell ref="G168:M168"/>
    <mergeCell ref="B167:F167"/>
    <mergeCell ref="G167:M167"/>
    <mergeCell ref="B169:F169"/>
    <mergeCell ref="G169:M169"/>
    <mergeCell ref="E156:F156"/>
    <mergeCell ref="E157:F157"/>
    <mergeCell ref="E158:F158"/>
    <mergeCell ref="E159:F159"/>
    <mergeCell ref="G155:H155"/>
    <mergeCell ref="G156:H156"/>
    <mergeCell ref="G157:H157"/>
    <mergeCell ref="G158:H158"/>
    <mergeCell ref="G164:M164"/>
    <mergeCell ref="B155:C155"/>
    <mergeCell ref="B156:C156"/>
    <mergeCell ref="B163:F163"/>
    <mergeCell ref="G163:M163"/>
    <mergeCell ref="B162:F162"/>
    <mergeCell ref="G162:M162"/>
    <mergeCell ref="B161:F161"/>
    <mergeCell ref="G161:M161"/>
    <mergeCell ref="H124:I124"/>
    <mergeCell ref="B159:C159"/>
    <mergeCell ref="E155:F155"/>
    <mergeCell ref="B108:F108"/>
    <mergeCell ref="B109:F109"/>
    <mergeCell ref="G107:M107"/>
    <mergeCell ref="B165:F165"/>
    <mergeCell ref="G165:M165"/>
    <mergeCell ref="B166:F166"/>
    <mergeCell ref="G166:M166"/>
    <mergeCell ref="B141:F141"/>
    <mergeCell ref="G141:M141"/>
    <mergeCell ref="A153:M153"/>
    <mergeCell ref="A154:M154"/>
    <mergeCell ref="A160:F160"/>
    <mergeCell ref="G160:M160"/>
    <mergeCell ref="B164:F164"/>
    <mergeCell ref="A67:C67"/>
    <mergeCell ref="A68:C68"/>
    <mergeCell ref="D67:E67"/>
    <mergeCell ref="D68:E68"/>
    <mergeCell ref="F67:G67"/>
    <mergeCell ref="H67:I67"/>
    <mergeCell ref="F68:G68"/>
    <mergeCell ref="H68:I68"/>
    <mergeCell ref="L113:M113"/>
    <mergeCell ref="L114:M114"/>
    <mergeCell ref="L115:M115"/>
    <mergeCell ref="L116:M116"/>
    <mergeCell ref="G83:H83"/>
    <mergeCell ref="E84:F84"/>
    <mergeCell ref="G84:H84"/>
    <mergeCell ref="E85:F85"/>
    <mergeCell ref="A127:F127"/>
    <mergeCell ref="G127:M127"/>
    <mergeCell ref="E83:F83"/>
    <mergeCell ref="A95:M95"/>
    <mergeCell ref="A96:M96"/>
    <mergeCell ref="B152:F152"/>
    <mergeCell ref="G152:M152"/>
    <mergeCell ref="B148:F148"/>
    <mergeCell ref="G148:M148"/>
    <mergeCell ref="B149:F149"/>
    <mergeCell ref="G149:M149"/>
    <mergeCell ref="B150:F150"/>
    <mergeCell ref="G150:M150"/>
    <mergeCell ref="H134:I134"/>
    <mergeCell ref="G187:M187"/>
    <mergeCell ref="G173:M173"/>
    <mergeCell ref="B172:F172"/>
    <mergeCell ref="B187:F187"/>
    <mergeCell ref="B173:F173"/>
    <mergeCell ref="G172:M172"/>
    <mergeCell ref="A175:M175"/>
    <mergeCell ref="K155:L155"/>
    <mergeCell ref="K156:L156"/>
    <mergeCell ref="K157:L157"/>
    <mergeCell ref="K158:L158"/>
    <mergeCell ref="K159:L159"/>
    <mergeCell ref="G159:H159"/>
    <mergeCell ref="I155:J155"/>
    <mergeCell ref="G142:M142"/>
    <mergeCell ref="B143:F143"/>
    <mergeCell ref="B157:C157"/>
    <mergeCell ref="B158:C158"/>
    <mergeCell ref="B93:F93"/>
    <mergeCell ref="G77:M77"/>
    <mergeCell ref="H135:I135"/>
    <mergeCell ref="H136:I136"/>
    <mergeCell ref="H137:I137"/>
    <mergeCell ref="B151:F151"/>
    <mergeCell ref="G151:M151"/>
    <mergeCell ref="B140:F140"/>
    <mergeCell ref="G140:M140"/>
    <mergeCell ref="B142:F142"/>
    <mergeCell ref="B118:F118"/>
    <mergeCell ref="B119:F119"/>
    <mergeCell ref="G130:M130"/>
    <mergeCell ref="G128:M128"/>
    <mergeCell ref="G129:M129"/>
    <mergeCell ref="B130:F130"/>
    <mergeCell ref="B128:F128"/>
    <mergeCell ref="B129:F129"/>
    <mergeCell ref="G118:M118"/>
    <mergeCell ref="G119:M119"/>
    <mergeCell ref="A121:M121"/>
    <mergeCell ref="A132:M132"/>
    <mergeCell ref="A133:M133"/>
    <mergeCell ref="A139:F139"/>
    <mergeCell ref="G139:M139"/>
    <mergeCell ref="A120:M120"/>
    <mergeCell ref="H138:I138"/>
    <mergeCell ref="J134:K134"/>
    <mergeCell ref="J135:K135"/>
    <mergeCell ref="J136:K136"/>
    <mergeCell ref="J137:K137"/>
    <mergeCell ref="J138:K138"/>
    <mergeCell ref="A62:F62"/>
    <mergeCell ref="G62:M62"/>
    <mergeCell ref="A69:F69"/>
    <mergeCell ref="G69:M69"/>
    <mergeCell ref="A77:F77"/>
    <mergeCell ref="J67:M67"/>
    <mergeCell ref="J68:M68"/>
    <mergeCell ref="B147:F147"/>
    <mergeCell ref="H122:I122"/>
    <mergeCell ref="H123:I123"/>
    <mergeCell ref="B63:F63"/>
    <mergeCell ref="G63:M63"/>
    <mergeCell ref="B70:F70"/>
    <mergeCell ref="B72:F72"/>
    <mergeCell ref="G70:M70"/>
    <mergeCell ref="G72:M72"/>
    <mergeCell ref="G71:M71"/>
    <mergeCell ref="B71:F71"/>
    <mergeCell ref="G78:M78"/>
    <mergeCell ref="G79:M79"/>
    <mergeCell ref="B78:F78"/>
    <mergeCell ref="B79:F79"/>
    <mergeCell ref="B88:F88"/>
    <mergeCell ref="B89:F89"/>
    <mergeCell ref="A102:F102"/>
    <mergeCell ref="G102:M102"/>
    <mergeCell ref="B92:F92"/>
    <mergeCell ref="B91:F91"/>
    <mergeCell ref="B94:F94"/>
    <mergeCell ref="G88:M88"/>
    <mergeCell ref="G89:M89"/>
    <mergeCell ref="G90:M90"/>
    <mergeCell ref="V50:W50"/>
    <mergeCell ref="V51:W51"/>
    <mergeCell ref="B58:C58"/>
    <mergeCell ref="B59:C59"/>
    <mergeCell ref="D49:E49"/>
    <mergeCell ref="B53:C53"/>
    <mergeCell ref="B54:C54"/>
    <mergeCell ref="B55:C55"/>
    <mergeCell ref="F49:I49"/>
    <mergeCell ref="P49:Q49"/>
    <mergeCell ref="M50:N50"/>
    <mergeCell ref="D48:I48"/>
    <mergeCell ref="B50:C50"/>
    <mergeCell ref="B51:C51"/>
    <mergeCell ref="B52:C52"/>
    <mergeCell ref="B56:C56"/>
    <mergeCell ref="B57:C57"/>
    <mergeCell ref="V55:W55"/>
    <mergeCell ref="V56:W56"/>
    <mergeCell ref="BG52:BG53"/>
    <mergeCell ref="BG58:BG59"/>
    <mergeCell ref="BH58:BH59"/>
    <mergeCell ref="BI58:BJ59"/>
    <mergeCell ref="BK58:BK59"/>
    <mergeCell ref="BK52:BK53"/>
    <mergeCell ref="BL52:BL53"/>
    <mergeCell ref="BQ52:BQ53"/>
    <mergeCell ref="BL58:BL59"/>
    <mergeCell ref="X48:Z48"/>
    <mergeCell ref="Y49:Z49"/>
    <mergeCell ref="BG54:BG55"/>
    <mergeCell ref="BH54:BH55"/>
    <mergeCell ref="BI54:BJ55"/>
    <mergeCell ref="BK54:BK55"/>
    <mergeCell ref="BL54:BL55"/>
    <mergeCell ref="BQ54:BQ55"/>
    <mergeCell ref="DN3:DN5"/>
    <mergeCell ref="DN6:DN8"/>
    <mergeCell ref="DN9:DN11"/>
    <mergeCell ref="DN12:DN14"/>
    <mergeCell ref="DN15:DN17"/>
    <mergeCell ref="O48:Q48"/>
    <mergeCell ref="BQ46:BQ47"/>
    <mergeCell ref="BG48:BG49"/>
    <mergeCell ref="BG38:BG39"/>
    <mergeCell ref="BG42:BG43"/>
    <mergeCell ref="BK38:BK39"/>
    <mergeCell ref="BH42:BH43"/>
    <mergeCell ref="BH44:BH45"/>
    <mergeCell ref="BH46:BH47"/>
    <mergeCell ref="BG44:BG45"/>
    <mergeCell ref="BI42:BJ43"/>
    <mergeCell ref="BI38:BJ39"/>
    <mergeCell ref="CM20:CM21"/>
    <mergeCell ref="CN20:CN21"/>
    <mergeCell ref="CP20:CP21"/>
    <mergeCell ref="CR20:CR21"/>
    <mergeCell ref="CL42:CL43"/>
    <mergeCell ref="CP42:CP43"/>
    <mergeCell ref="CN42:CN43"/>
    <mergeCell ref="DN18:DN20"/>
    <mergeCell ref="DN21:DN23"/>
    <mergeCell ref="DN24:DN26"/>
    <mergeCell ref="BK42:BK43"/>
    <mergeCell ref="BL42:BL43"/>
    <mergeCell ref="BQ42:BQ43"/>
    <mergeCell ref="BI44:BJ45"/>
    <mergeCell ref="BK44:BK45"/>
    <mergeCell ref="CK40:CK41"/>
    <mergeCell ref="CK30:CK31"/>
    <mergeCell ref="CJ32:CJ33"/>
    <mergeCell ref="CH32:CH33"/>
    <mergeCell ref="CI32:CI33"/>
    <mergeCell ref="CM36:CM37"/>
    <mergeCell ref="CN36:CN37"/>
    <mergeCell ref="CK28:CK29"/>
    <mergeCell ref="CJ30:CJ31"/>
    <mergeCell ref="CH30:CH31"/>
    <mergeCell ref="CI30:CI31"/>
    <mergeCell ref="CH34:CH35"/>
    <mergeCell ref="CI34:CI35"/>
    <mergeCell ref="CJ34:CJ35"/>
    <mergeCell ref="CK34:CK35"/>
    <mergeCell ref="CL34:CL35"/>
    <mergeCell ref="CI28:CI29"/>
    <mergeCell ref="CU20:CU21"/>
    <mergeCell ref="CV20:CV21"/>
    <mergeCell ref="CU22:CU23"/>
    <mergeCell ref="CT14:CT15"/>
    <mergeCell ref="CU16:CU17"/>
    <mergeCell ref="CP36:CP37"/>
    <mergeCell ref="CK22:CK23"/>
    <mergeCell ref="CK24:CK25"/>
    <mergeCell ref="CR28:CR29"/>
    <mergeCell ref="CS30:CS31"/>
    <mergeCell ref="CP30:CP31"/>
    <mergeCell ref="CK32:CK33"/>
    <mergeCell ref="CK36:CK37"/>
    <mergeCell ref="CY36:CY37"/>
    <mergeCell ref="CV32:CV33"/>
    <mergeCell ref="CW32:CW33"/>
    <mergeCell ref="CY32:CY33"/>
    <mergeCell ref="CV36:CV37"/>
    <mergeCell ref="CL32:CL33"/>
    <mergeCell ref="CM32:CM33"/>
    <mergeCell ref="CN32:CN33"/>
    <mergeCell ref="CP32:CP33"/>
    <mergeCell ref="CR32:CR33"/>
    <mergeCell ref="CS32:CS33"/>
    <mergeCell ref="CY28:CY29"/>
    <mergeCell ref="CL30:CL31"/>
    <mergeCell ref="CM30:CM31"/>
    <mergeCell ref="CT32:CT33"/>
    <mergeCell ref="CU32:CU33"/>
    <mergeCell ref="CQ32:CQ33"/>
    <mergeCell ref="CL28:CL29"/>
    <mergeCell ref="CM28:CM29"/>
    <mergeCell ref="CQ3:CY3"/>
    <mergeCell ref="CL6:CL7"/>
    <mergeCell ref="CM6:CM7"/>
    <mergeCell ref="CT6:CT7"/>
    <mergeCell ref="CU6:CU7"/>
    <mergeCell ref="CR6:CR7"/>
    <mergeCell ref="CS6:CS7"/>
    <mergeCell ref="CV6:CV7"/>
    <mergeCell ref="CW6:CW7"/>
    <mergeCell ref="CY6:CY7"/>
    <mergeCell ref="CP6:CP7"/>
    <mergeCell ref="CQ6:CQ7"/>
    <mergeCell ref="CH3:CP3"/>
    <mergeCell ref="CN6:CN7"/>
    <mergeCell ref="CJ6:CJ7"/>
    <mergeCell ref="CS18:CS19"/>
    <mergeCell ref="CR16:CR17"/>
    <mergeCell ref="CS16:CS17"/>
    <mergeCell ref="CQ16:CQ17"/>
    <mergeCell ref="CS14:CS15"/>
    <mergeCell ref="CR12:CR13"/>
    <mergeCell ref="CS12:CS13"/>
    <mergeCell ref="CQ12:CQ13"/>
    <mergeCell ref="CT12:CT13"/>
    <mergeCell ref="CU14:CU15"/>
    <mergeCell ref="CV14:CV15"/>
    <mergeCell ref="CU12:CU13"/>
    <mergeCell ref="CV12:CV13"/>
    <mergeCell ref="CW12:CW13"/>
    <mergeCell ref="CY12:CY13"/>
    <mergeCell ref="CY16:CY17"/>
    <mergeCell ref="CT16:CT17"/>
    <mergeCell ref="CM10:CM11"/>
    <mergeCell ref="CN10:CN11"/>
    <mergeCell ref="BK20:BK21"/>
    <mergeCell ref="CT22:CT23"/>
    <mergeCell ref="CT18:CT19"/>
    <mergeCell ref="CT24:CT25"/>
    <mergeCell ref="CQ22:CQ23"/>
    <mergeCell ref="CR22:CR23"/>
    <mergeCell ref="CS22:CS23"/>
    <mergeCell ref="CQ18:CQ19"/>
    <mergeCell ref="CR18:CR19"/>
    <mergeCell ref="CK26:CK27"/>
    <mergeCell ref="CL24:CL25"/>
    <mergeCell ref="CK18:CK19"/>
    <mergeCell ref="CL18:CL19"/>
    <mergeCell ref="CM18:CM19"/>
    <mergeCell ref="CN18:CN19"/>
    <mergeCell ref="CL20:CL21"/>
    <mergeCell ref="CT20:CT21"/>
    <mergeCell ref="BK10:BK11"/>
    <mergeCell ref="BL10:BL11"/>
    <mergeCell ref="BQ10:BQ11"/>
    <mergeCell ref="CP26:CP27"/>
    <mergeCell ref="CQ24:CQ25"/>
    <mergeCell ref="CK12:CK13"/>
    <mergeCell ref="CL10:CL11"/>
    <mergeCell ref="BL20:BL21"/>
    <mergeCell ref="BL18:BL19"/>
    <mergeCell ref="BQ16:BQ17"/>
    <mergeCell ref="CJ26:CJ27"/>
    <mergeCell ref="BQ20:BQ21"/>
    <mergeCell ref="CO26:CO27"/>
    <mergeCell ref="BL28:BL29"/>
    <mergeCell ref="BQ28:BQ29"/>
    <mergeCell ref="BL30:BL31"/>
    <mergeCell ref="BQ30:BQ31"/>
    <mergeCell ref="CH28:CH29"/>
    <mergeCell ref="CH26:CH27"/>
    <mergeCell ref="CI26:CI27"/>
    <mergeCell ref="BI18:BJ19"/>
    <mergeCell ref="BK6:BK7"/>
    <mergeCell ref="BX4:CB4"/>
    <mergeCell ref="CC4:CG4"/>
    <mergeCell ref="BI5:BJ5"/>
    <mergeCell ref="BI10:BJ11"/>
    <mergeCell ref="BI8:BJ9"/>
    <mergeCell ref="BQ22:BQ23"/>
    <mergeCell ref="CI20:CI21"/>
    <mergeCell ref="CH6:CH7"/>
    <mergeCell ref="BQ18:BQ19"/>
    <mergeCell ref="BK16:BK17"/>
    <mergeCell ref="BI26:BJ27"/>
    <mergeCell ref="CI6:CI7"/>
    <mergeCell ref="BQ6:BQ7"/>
    <mergeCell ref="BK8:BK9"/>
    <mergeCell ref="BL8:BL9"/>
    <mergeCell ref="BQ8:BQ9"/>
    <mergeCell ref="BL6:BL7"/>
    <mergeCell ref="CY20:CY21"/>
    <mergeCell ref="CV22:CV23"/>
    <mergeCell ref="CW22:CW23"/>
    <mergeCell ref="CY22:CY23"/>
    <mergeCell ref="BG18:BG19"/>
    <mergeCell ref="BH6:BH7"/>
    <mergeCell ref="BH8:BH9"/>
    <mergeCell ref="BI6:BJ7"/>
    <mergeCell ref="BI16:BJ17"/>
    <mergeCell ref="DA36:DA37"/>
    <mergeCell ref="DA24:DA25"/>
    <mergeCell ref="DA28:DA29"/>
    <mergeCell ref="DA30:DA31"/>
    <mergeCell ref="DA32:DA33"/>
    <mergeCell ref="CZ20:CZ21"/>
    <mergeCell ref="DA18:DA19"/>
    <mergeCell ref="CZ16:CZ17"/>
    <mergeCell ref="DA22:DA23"/>
    <mergeCell ref="DA20:DA21"/>
    <mergeCell ref="CZ22:CZ23"/>
    <mergeCell ref="CZ36:CZ37"/>
    <mergeCell ref="DA34:DA35"/>
    <mergeCell ref="CZ24:CZ25"/>
    <mergeCell ref="CZ28:CZ29"/>
    <mergeCell ref="DA16:DA17"/>
    <mergeCell ref="CJ8:CJ9"/>
    <mergeCell ref="CL8:CL9"/>
    <mergeCell ref="CK6:CK7"/>
    <mergeCell ref="CK8:CK9"/>
    <mergeCell ref="CP24:CP25"/>
    <mergeCell ref="CH18:CH19"/>
    <mergeCell ref="CI18:CI19"/>
    <mergeCell ref="BG6:BG7"/>
    <mergeCell ref="BG8:BG9"/>
    <mergeCell ref="BG10:BG11"/>
    <mergeCell ref="BG12:BG13"/>
    <mergeCell ref="BG16:BG17"/>
    <mergeCell ref="CP12:CP13"/>
    <mergeCell ref="CM12:CM13"/>
    <mergeCell ref="CM8:CM9"/>
    <mergeCell ref="CN8:CN9"/>
    <mergeCell ref="CJ12:CJ13"/>
    <mergeCell ref="CO6:CO7"/>
    <mergeCell ref="CO8:CO9"/>
    <mergeCell ref="BH10:BH11"/>
    <mergeCell ref="BH12:BH13"/>
    <mergeCell ref="BI12:BJ13"/>
    <mergeCell ref="BK12:BK13"/>
    <mergeCell ref="BH16:BH17"/>
    <mergeCell ref="CI16:CI17"/>
    <mergeCell ref="CJ16:CJ17"/>
    <mergeCell ref="BL16:BL17"/>
    <mergeCell ref="CP8:CP9"/>
    <mergeCell ref="BG14:BG15"/>
    <mergeCell ref="BH14:BH15"/>
    <mergeCell ref="BI14:BJ15"/>
    <mergeCell ref="BK14:BK15"/>
    <mergeCell ref="CH14:CH15"/>
    <mergeCell ref="CH8:CH9"/>
    <mergeCell ref="CI8:CI9"/>
    <mergeCell ref="CH10:CH11"/>
    <mergeCell ref="CI10:CI11"/>
    <mergeCell ref="CH12:CH13"/>
    <mergeCell ref="CI12:CI13"/>
    <mergeCell ref="CY14:CY15"/>
    <mergeCell ref="CZ14:CZ15"/>
    <mergeCell ref="DA14:DA15"/>
    <mergeCell ref="CQ14:CQ15"/>
    <mergeCell ref="CY8:CY9"/>
    <mergeCell ref="CS10:CS11"/>
    <mergeCell ref="CT10:CT11"/>
    <mergeCell ref="CU10:CU11"/>
    <mergeCell ref="BQ12:BQ13"/>
    <mergeCell ref="CN12:CN13"/>
    <mergeCell ref="CI14:CI15"/>
    <mergeCell ref="CH16:CH17"/>
    <mergeCell ref="CJ14:CJ15"/>
    <mergeCell ref="CR14:CR15"/>
    <mergeCell ref="CO10:CO11"/>
    <mergeCell ref="CO12:CO13"/>
    <mergeCell ref="CO14:CO15"/>
    <mergeCell ref="CO16:CO17"/>
    <mergeCell ref="CV10:CV11"/>
    <mergeCell ref="CW10:CW11"/>
    <mergeCell ref="CU8:CU9"/>
    <mergeCell ref="CV8:CV9"/>
    <mergeCell ref="CY10:CY11"/>
    <mergeCell ref="CJ10:CJ11"/>
    <mergeCell ref="CP10:CP11"/>
    <mergeCell ref="CS8:CS9"/>
    <mergeCell ref="CT8:CT9"/>
    <mergeCell ref="CW8:CW9"/>
    <mergeCell ref="CW16:CW17"/>
    <mergeCell ref="CL16:CL17"/>
    <mergeCell ref="CM16:CM17"/>
    <mergeCell ref="CK16:CK17"/>
    <mergeCell ref="BH18:BH19"/>
    <mergeCell ref="BK18:BK19"/>
    <mergeCell ref="BL14:BL15"/>
    <mergeCell ref="BQ14:BQ15"/>
    <mergeCell ref="CK14:CK15"/>
    <mergeCell ref="CL14:CL15"/>
    <mergeCell ref="CM14:CM15"/>
    <mergeCell ref="CN14:CN15"/>
    <mergeCell ref="CP14:CP15"/>
    <mergeCell ref="CN16:CN17"/>
    <mergeCell ref="CP16:CP17"/>
    <mergeCell ref="BK22:BK23"/>
    <mergeCell ref="BK24:BK25"/>
    <mergeCell ref="CH20:CH21"/>
    <mergeCell ref="CL22:CL23"/>
    <mergeCell ref="CM22:CM23"/>
    <mergeCell ref="CN22:CN23"/>
    <mergeCell ref="CP22:CP23"/>
    <mergeCell ref="CP18:CP19"/>
    <mergeCell ref="CJ24:CJ25"/>
    <mergeCell ref="CH22:CH23"/>
    <mergeCell ref="CI22:CI23"/>
    <mergeCell ref="CH24:CH25"/>
    <mergeCell ref="CI24:CI25"/>
    <mergeCell ref="CK20:CK21"/>
    <mergeCell ref="CJ18:CJ19"/>
    <mergeCell ref="CJ20:CJ21"/>
    <mergeCell ref="CM24:CM25"/>
    <mergeCell ref="CN24:CN25"/>
    <mergeCell ref="CO22:CO23"/>
    <mergeCell ref="CO24:CO25"/>
    <mergeCell ref="DA6:DA7"/>
    <mergeCell ref="DA8:DA9"/>
    <mergeCell ref="DA10:DA11"/>
    <mergeCell ref="DA12:DA13"/>
    <mergeCell ref="CZ6:CZ7"/>
    <mergeCell ref="CZ8:CZ9"/>
    <mergeCell ref="CZ10:CZ11"/>
    <mergeCell ref="CZ12:CZ13"/>
    <mergeCell ref="CQ26:CQ27"/>
    <mergeCell ref="CR26:CR27"/>
    <mergeCell ref="CS26:CS27"/>
    <mergeCell ref="CT26:CT27"/>
    <mergeCell ref="CU26:CU27"/>
    <mergeCell ref="CV26:CV27"/>
    <mergeCell ref="CW26:CW27"/>
    <mergeCell ref="CR24:CR25"/>
    <mergeCell ref="CS24:CS25"/>
    <mergeCell ref="CV16:CV17"/>
    <mergeCell ref="CU18:CU19"/>
    <mergeCell ref="CW14:CW15"/>
    <mergeCell ref="CV18:CV19"/>
    <mergeCell ref="CW18:CW19"/>
    <mergeCell ref="CY18:CY19"/>
    <mergeCell ref="CZ18:CZ19"/>
    <mergeCell ref="CY26:CY27"/>
    <mergeCell ref="CZ26:CZ27"/>
    <mergeCell ref="DA26:DA27"/>
    <mergeCell ref="CY24:CY25"/>
    <mergeCell ref="CX6:CX7"/>
    <mergeCell ref="CX8:CX9"/>
    <mergeCell ref="CR8:CR9"/>
    <mergeCell ref="CQ8:CQ9"/>
    <mergeCell ref="CX10:CX11"/>
    <mergeCell ref="CX12:CX13"/>
    <mergeCell ref="CU28:CU29"/>
    <mergeCell ref="CQ30:CQ31"/>
    <mergeCell ref="CQ28:CQ29"/>
    <mergeCell ref="CS28:CS29"/>
    <mergeCell ref="CW28:CW29"/>
    <mergeCell ref="BL22:BL23"/>
    <mergeCell ref="CR30:CR31"/>
    <mergeCell ref="CP28:CP29"/>
    <mergeCell ref="CT30:CT31"/>
    <mergeCell ref="CU30:CU31"/>
    <mergeCell ref="CL26:CL27"/>
    <mergeCell ref="CM26:CM27"/>
    <mergeCell ref="BL26:BL27"/>
    <mergeCell ref="BQ26:BQ27"/>
    <mergeCell ref="CU24:CU25"/>
    <mergeCell ref="CV24:CV25"/>
    <mergeCell ref="CW24:CW25"/>
    <mergeCell ref="CN26:CN27"/>
    <mergeCell ref="BL24:BL25"/>
    <mergeCell ref="BQ24:BQ25"/>
    <mergeCell ref="CJ28:CJ29"/>
    <mergeCell ref="CR10:CR11"/>
    <mergeCell ref="BL12:BL13"/>
    <mergeCell ref="CQ10:CQ11"/>
    <mergeCell ref="CQ20:CQ21"/>
    <mergeCell ref="CS20:CS21"/>
    <mergeCell ref="CW20:CW21"/>
    <mergeCell ref="CL12:CL13"/>
    <mergeCell ref="CJ22:CJ23"/>
    <mergeCell ref="CK10:CK11"/>
    <mergeCell ref="BH32:BH33"/>
    <mergeCell ref="BH34:BH35"/>
    <mergeCell ref="BH36:BH37"/>
    <mergeCell ref="BH38:BH39"/>
    <mergeCell ref="BH40:BH41"/>
    <mergeCell ref="BG32:BG33"/>
    <mergeCell ref="BG34:BG35"/>
    <mergeCell ref="BG36:BG37"/>
    <mergeCell ref="BG30:BG31"/>
    <mergeCell ref="BH30:BH31"/>
    <mergeCell ref="BH28:BH29"/>
    <mergeCell ref="BG26:BG27"/>
    <mergeCell ref="BG24:BG25"/>
    <mergeCell ref="BG28:BG29"/>
    <mergeCell ref="BI28:BJ29"/>
    <mergeCell ref="BG20:BG21"/>
    <mergeCell ref="BI20:BJ21"/>
    <mergeCell ref="BI40:BJ41"/>
    <mergeCell ref="BI24:BJ25"/>
    <mergeCell ref="BH22:BH23"/>
    <mergeCell ref="BH24:BH25"/>
    <mergeCell ref="BH26:BH27"/>
    <mergeCell ref="BG22:BG23"/>
    <mergeCell ref="BI22:BJ23"/>
    <mergeCell ref="BH20:BH21"/>
    <mergeCell ref="BQ40:BQ41"/>
    <mergeCell ref="CH40:CH41"/>
    <mergeCell ref="CI40:CI41"/>
    <mergeCell ref="CJ40:CJ41"/>
    <mergeCell ref="CH46:CH47"/>
    <mergeCell ref="CI46:CI47"/>
    <mergeCell ref="CJ46:CJ47"/>
    <mergeCell ref="BI32:BJ33"/>
    <mergeCell ref="BI34:BJ35"/>
    <mergeCell ref="BI30:BJ31"/>
    <mergeCell ref="BK34:BK35"/>
    <mergeCell ref="BL34:BL35"/>
    <mergeCell ref="BQ34:BQ35"/>
    <mergeCell ref="BK32:BK33"/>
    <mergeCell ref="BL32:BL33"/>
    <mergeCell ref="BQ32:BQ33"/>
    <mergeCell ref="BK26:BK27"/>
    <mergeCell ref="BK28:BK29"/>
    <mergeCell ref="BK30:BK31"/>
    <mergeCell ref="BQ38:BQ39"/>
    <mergeCell ref="BL36:BL37"/>
    <mergeCell ref="BQ36:BQ37"/>
    <mergeCell ref="CI42:CI43"/>
    <mergeCell ref="BL44:BL45"/>
    <mergeCell ref="BQ44:BQ45"/>
    <mergeCell ref="CJ36:CJ37"/>
    <mergeCell ref="CJ38:CJ39"/>
    <mergeCell ref="CH36:CH37"/>
    <mergeCell ref="CI36:CI37"/>
    <mergeCell ref="CH38:CH39"/>
    <mergeCell ref="CI38:CI39"/>
    <mergeCell ref="CJ42:CJ43"/>
    <mergeCell ref="BG46:BG47"/>
    <mergeCell ref="BI46:BJ47"/>
    <mergeCell ref="BK46:BK47"/>
    <mergeCell ref="BL46:BL47"/>
    <mergeCell ref="BH48:BH49"/>
    <mergeCell ref="BH50:BH51"/>
    <mergeCell ref="BH52:BH53"/>
    <mergeCell ref="BI52:BJ53"/>
    <mergeCell ref="BK48:BK49"/>
    <mergeCell ref="BL48:BL49"/>
    <mergeCell ref="BG50:BG51"/>
    <mergeCell ref="BI48:BJ49"/>
    <mergeCell ref="BL50:BL51"/>
    <mergeCell ref="CH52:CH53"/>
    <mergeCell ref="CI52:CI53"/>
    <mergeCell ref="CJ52:CJ53"/>
    <mergeCell ref="BI36:BJ37"/>
    <mergeCell ref="CH50:CH51"/>
    <mergeCell ref="CI50:CI51"/>
    <mergeCell ref="CJ50:CJ51"/>
    <mergeCell ref="BG40:BG41"/>
    <mergeCell ref="BL38:BL39"/>
    <mergeCell ref="BQ50:BQ51"/>
    <mergeCell ref="BQ48:BQ49"/>
    <mergeCell ref="CH48:CH49"/>
    <mergeCell ref="CI48:CI49"/>
    <mergeCell ref="CJ48:CJ49"/>
    <mergeCell ref="BK40:BK41"/>
    <mergeCell ref="BL40:BL41"/>
    <mergeCell ref="BK36:BK37"/>
    <mergeCell ref="BI50:BJ51"/>
    <mergeCell ref="BK50:BK51"/>
    <mergeCell ref="CH44:CH45"/>
    <mergeCell ref="CI44:CI45"/>
    <mergeCell ref="CJ44:CJ45"/>
    <mergeCell ref="CK44:CK45"/>
    <mergeCell ref="CL44:CL45"/>
    <mergeCell ref="CU36:CU37"/>
    <mergeCell ref="CR36:CR37"/>
    <mergeCell ref="CQ36:CQ37"/>
    <mergeCell ref="CW36:CW37"/>
    <mergeCell ref="CL38:CL39"/>
    <mergeCell ref="CM38:CM39"/>
    <mergeCell ref="CN38:CN39"/>
    <mergeCell ref="CP38:CP39"/>
    <mergeCell ref="CM44:CM45"/>
    <mergeCell ref="CN44:CN45"/>
    <mergeCell ref="CP44:CP45"/>
    <mergeCell ref="CL36:CL37"/>
    <mergeCell ref="CM42:CM43"/>
    <mergeCell ref="CR38:CR39"/>
    <mergeCell ref="CU40:CU41"/>
    <mergeCell ref="CQ40:CQ41"/>
    <mergeCell ref="CU38:CU39"/>
    <mergeCell ref="CV38:CV39"/>
    <mergeCell ref="CQ38:CQ39"/>
    <mergeCell ref="CW38:CW39"/>
    <mergeCell ref="CP40:CP41"/>
    <mergeCell ref="CK42:CK43"/>
    <mergeCell ref="CH42:CH43"/>
    <mergeCell ref="CK38:CK39"/>
    <mergeCell ref="CL40:CL41"/>
    <mergeCell ref="CM40:CM41"/>
    <mergeCell ref="CN40:CN41"/>
    <mergeCell ref="CZ30:CZ31"/>
    <mergeCell ref="CZ32:CZ33"/>
    <mergeCell ref="CV28:CV29"/>
    <mergeCell ref="CV30:CV31"/>
    <mergeCell ref="CY42:CY43"/>
    <mergeCell ref="CY38:CY39"/>
    <mergeCell ref="CX40:CX41"/>
    <mergeCell ref="CX42:CX43"/>
    <mergeCell ref="CY30:CY31"/>
    <mergeCell ref="CV40:CV41"/>
    <mergeCell ref="CW40:CW41"/>
    <mergeCell ref="CW34:CW35"/>
    <mergeCell ref="CM34:CM35"/>
    <mergeCell ref="CN34:CN35"/>
    <mergeCell ref="CP34:CP35"/>
    <mergeCell ref="CQ34:CQ35"/>
    <mergeCell ref="CR34:CR35"/>
    <mergeCell ref="CS36:CS37"/>
    <mergeCell ref="CT36:CT37"/>
    <mergeCell ref="CW30:CW31"/>
    <mergeCell ref="CU34:CU35"/>
    <mergeCell ref="CV34:CV35"/>
    <mergeCell ref="CU42:CU43"/>
    <mergeCell ref="CV42:CV43"/>
    <mergeCell ref="CW42:CW43"/>
    <mergeCell ref="CQ42:CQ43"/>
    <mergeCell ref="CN28:CN29"/>
    <mergeCell ref="CN30:CN31"/>
    <mergeCell ref="CO28:CO29"/>
    <mergeCell ref="CO30:CO31"/>
    <mergeCell ref="CO32:CO33"/>
    <mergeCell ref="CO34:CO35"/>
    <mergeCell ref="CY44:CY45"/>
    <mergeCell ref="CZ44:CZ45"/>
    <mergeCell ref="DA44:DA45"/>
    <mergeCell ref="CX44:CX45"/>
    <mergeCell ref="CQ44:CQ45"/>
    <mergeCell ref="CR44:CR45"/>
    <mergeCell ref="CS44:CS45"/>
    <mergeCell ref="CT44:CT45"/>
    <mergeCell ref="CU44:CU45"/>
    <mergeCell ref="CV44:CV45"/>
    <mergeCell ref="CW44:CW45"/>
    <mergeCell ref="CY34:CY35"/>
    <mergeCell ref="CZ34:CZ35"/>
    <mergeCell ref="DA38:DA39"/>
    <mergeCell ref="DA42:DA43"/>
    <mergeCell ref="CZ38:CZ39"/>
    <mergeCell ref="CZ42:CZ43"/>
    <mergeCell ref="DA40:DA41"/>
    <mergeCell ref="CY40:CY41"/>
    <mergeCell ref="CZ40:CZ41"/>
    <mergeCell ref="CT42:CT43"/>
    <mergeCell ref="CK46:CK47"/>
    <mergeCell ref="CL46:CL47"/>
    <mergeCell ref="CM46:CM47"/>
    <mergeCell ref="CN46:CN47"/>
    <mergeCell ref="CP46:CP47"/>
    <mergeCell ref="CQ46:CQ47"/>
    <mergeCell ref="CR46:CR47"/>
    <mergeCell ref="CS46:CS47"/>
    <mergeCell ref="CT46:CT47"/>
    <mergeCell ref="CK48:CK49"/>
    <mergeCell ref="CL48:CL49"/>
    <mergeCell ref="CM48:CM49"/>
    <mergeCell ref="CN48:CN49"/>
    <mergeCell ref="CP48:CP49"/>
    <mergeCell ref="CQ48:CQ49"/>
    <mergeCell ref="CR48:CR49"/>
    <mergeCell ref="CS48:CS49"/>
    <mergeCell ref="CT48:CT49"/>
    <mergeCell ref="DA50:DA51"/>
    <mergeCell ref="CU52:CU53"/>
    <mergeCell ref="CV52:CV53"/>
    <mergeCell ref="CW52:CW53"/>
    <mergeCell ref="CU50:CU51"/>
    <mergeCell ref="CV50:CV51"/>
    <mergeCell ref="CW50:CW51"/>
    <mergeCell ref="CY50:CY51"/>
    <mergeCell ref="CZ50:CZ51"/>
    <mergeCell ref="CY48:CY49"/>
    <mergeCell ref="CZ48:CZ49"/>
    <mergeCell ref="DA48:DA49"/>
    <mergeCell ref="DA46:DA47"/>
    <mergeCell ref="CU48:CU49"/>
    <mergeCell ref="CV48:CV49"/>
    <mergeCell ref="CX46:CX47"/>
    <mergeCell ref="CX48:CX49"/>
    <mergeCell ref="CX50:CX51"/>
    <mergeCell ref="CX52:CX53"/>
    <mergeCell ref="CW48:CW49"/>
    <mergeCell ref="CU46:CU47"/>
    <mergeCell ref="CV46:CV47"/>
    <mergeCell ref="CW46:CW47"/>
    <mergeCell ref="CI58:CI59"/>
    <mergeCell ref="CJ58:CJ59"/>
    <mergeCell ref="CU54:CU55"/>
    <mergeCell ref="CV54:CV55"/>
    <mergeCell ref="CW54:CW55"/>
    <mergeCell ref="CR58:CR59"/>
    <mergeCell ref="CS58:CS59"/>
    <mergeCell ref="CT58:CT59"/>
    <mergeCell ref="CU58:CU59"/>
    <mergeCell ref="CV58:CV59"/>
    <mergeCell ref="CW58:CW59"/>
    <mergeCell ref="CQ58:CQ59"/>
    <mergeCell ref="CK58:CK59"/>
    <mergeCell ref="CS54:CS55"/>
    <mergeCell ref="CT54:CT55"/>
    <mergeCell ref="CR56:CR57"/>
    <mergeCell ref="CS56:CS57"/>
    <mergeCell ref="CN54:CN55"/>
    <mergeCell ref="CP54:CP55"/>
    <mergeCell ref="CK56:CK57"/>
    <mergeCell ref="CL56:CL57"/>
    <mergeCell ref="CM56:CM57"/>
    <mergeCell ref="CN56:CN57"/>
    <mergeCell ref="CP56:CP57"/>
    <mergeCell ref="DA58:DA59"/>
    <mergeCell ref="CQ50:CQ51"/>
    <mergeCell ref="CY56:CY57"/>
    <mergeCell ref="CZ56:CZ57"/>
    <mergeCell ref="DA56:DA57"/>
    <mergeCell ref="CY58:CY59"/>
    <mergeCell ref="CZ58:CZ59"/>
    <mergeCell ref="DA54:DA55"/>
    <mergeCell ref="CQ54:CQ55"/>
    <mergeCell ref="CR54:CR55"/>
    <mergeCell ref="CY54:CY55"/>
    <mergeCell ref="CZ54:CZ55"/>
    <mergeCell ref="CQ56:CQ57"/>
    <mergeCell ref="CT34:CT35"/>
    <mergeCell ref="CT28:CT29"/>
    <mergeCell ref="CS38:CS39"/>
    <mergeCell ref="CT38:CT39"/>
    <mergeCell ref="CR40:CR41"/>
    <mergeCell ref="CS40:CS41"/>
    <mergeCell ref="CT40:CT41"/>
    <mergeCell ref="CR42:CR43"/>
    <mergeCell ref="CS42:CS43"/>
    <mergeCell ref="CS34:CS35"/>
    <mergeCell ref="CX54:CX55"/>
    <mergeCell ref="CX56:CX57"/>
    <mergeCell ref="CX58:CX59"/>
    <mergeCell ref="CW56:CW57"/>
    <mergeCell ref="CY46:CY47"/>
    <mergeCell ref="CZ46:CZ47"/>
    <mergeCell ref="CY52:CY53"/>
    <mergeCell ref="CZ52:CZ53"/>
    <mergeCell ref="DA52:DA53"/>
    <mergeCell ref="EE2:EE3"/>
    <mergeCell ref="DY2:EA2"/>
    <mergeCell ref="EB2:ED2"/>
    <mergeCell ref="A65:M65"/>
    <mergeCell ref="A66:M66"/>
    <mergeCell ref="DX2:DX3"/>
    <mergeCell ref="CL58:CL59"/>
    <mergeCell ref="CM58:CM59"/>
    <mergeCell ref="CN58:CN59"/>
    <mergeCell ref="CP58:CP59"/>
    <mergeCell ref="CH56:CH57"/>
    <mergeCell ref="CI56:CI57"/>
    <mergeCell ref="CJ56:CJ57"/>
    <mergeCell ref="V52:W52"/>
    <mergeCell ref="V57:W57"/>
    <mergeCell ref="V58:W58"/>
    <mergeCell ref="V59:W59"/>
    <mergeCell ref="V53:W53"/>
    <mergeCell ref="V54:W54"/>
    <mergeCell ref="CK54:CK55"/>
    <mergeCell ref="CL54:CL55"/>
    <mergeCell ref="A2:L3"/>
    <mergeCell ref="CM54:CM55"/>
    <mergeCell ref="CO40:CO41"/>
    <mergeCell ref="CO42:CO43"/>
    <mergeCell ref="CO44:CO45"/>
    <mergeCell ref="CO46:CO47"/>
    <mergeCell ref="CO48:CO49"/>
    <mergeCell ref="CO50:CO51"/>
    <mergeCell ref="CO52:CO53"/>
    <mergeCell ref="CO18:CO19"/>
    <mergeCell ref="CO20:CO21"/>
    <mergeCell ref="CX14:CX15"/>
    <mergeCell ref="CX16:CX17"/>
    <mergeCell ref="CX18:CX19"/>
    <mergeCell ref="CX20:CX21"/>
    <mergeCell ref="CX22:CX23"/>
    <mergeCell ref="CX24:CX25"/>
    <mergeCell ref="CX26:CX27"/>
    <mergeCell ref="CX28:CX29"/>
    <mergeCell ref="CX30:CX31"/>
    <mergeCell ref="CX32:CX33"/>
    <mergeCell ref="CX34:CX35"/>
    <mergeCell ref="CX36:CX37"/>
    <mergeCell ref="CX38:CX39"/>
    <mergeCell ref="CK52:CK53"/>
    <mergeCell ref="CL52:CL53"/>
    <mergeCell ref="CM52:CM53"/>
    <mergeCell ref="CN52:CN53"/>
    <mergeCell ref="CK50:CK51"/>
    <mergeCell ref="CL50:CL51"/>
    <mergeCell ref="CM50:CM51"/>
    <mergeCell ref="CN50:CN51"/>
    <mergeCell ref="CP52:CP53"/>
    <mergeCell ref="CQ52:CQ53"/>
    <mergeCell ref="CR52:CR53"/>
    <mergeCell ref="CS52:CS53"/>
    <mergeCell ref="CT52:CT53"/>
    <mergeCell ref="CP50:CP51"/>
    <mergeCell ref="CR50:CR51"/>
    <mergeCell ref="CS50:CS51"/>
    <mergeCell ref="CT50:CT51"/>
    <mergeCell ref="CO36:CO37"/>
    <mergeCell ref="CO38:CO39"/>
    <mergeCell ref="G75:M75"/>
    <mergeCell ref="G76:M76"/>
    <mergeCell ref="K82:M82"/>
    <mergeCell ref="CO54:CO55"/>
    <mergeCell ref="CO56:CO57"/>
    <mergeCell ref="CO58:CO59"/>
    <mergeCell ref="CT56:CT57"/>
    <mergeCell ref="CU56:CU57"/>
    <mergeCell ref="CV56:CV57"/>
    <mergeCell ref="BI60:BJ60"/>
    <mergeCell ref="BQ58:BQ59"/>
    <mergeCell ref="BG56:BG57"/>
    <mergeCell ref="BH56:BH57"/>
    <mergeCell ref="BI56:BJ57"/>
    <mergeCell ref="BK56:BK57"/>
    <mergeCell ref="BL56:BL57"/>
    <mergeCell ref="BQ56:BQ57"/>
    <mergeCell ref="A73:M73"/>
    <mergeCell ref="A74:M74"/>
    <mergeCell ref="A80:M80"/>
    <mergeCell ref="A81:M81"/>
    <mergeCell ref="C82:D82"/>
    <mergeCell ref="E82:F82"/>
    <mergeCell ref="G82:H82"/>
    <mergeCell ref="A75:C75"/>
    <mergeCell ref="A76:C76"/>
    <mergeCell ref="D75:F75"/>
    <mergeCell ref="D76:F76"/>
    <mergeCell ref="CH54:CH55"/>
    <mergeCell ref="CI54:CI55"/>
    <mergeCell ref="CJ54:CJ55"/>
    <mergeCell ref="CH58:CH59"/>
    <mergeCell ref="G147:M147"/>
    <mergeCell ref="B144:F144"/>
    <mergeCell ref="G144:M144"/>
    <mergeCell ref="B131:F131"/>
    <mergeCell ref="G131:M131"/>
    <mergeCell ref="L122:M122"/>
    <mergeCell ref="L123:M123"/>
    <mergeCell ref="L124:M124"/>
    <mergeCell ref="L125:M125"/>
    <mergeCell ref="L126:M126"/>
    <mergeCell ref="G87:M87"/>
    <mergeCell ref="C83:D83"/>
    <mergeCell ref="C84:D84"/>
    <mergeCell ref="C85:D85"/>
    <mergeCell ref="C86:D86"/>
    <mergeCell ref="K83:M83"/>
    <mergeCell ref="K84:M84"/>
    <mergeCell ref="K85:M85"/>
    <mergeCell ref="K86:M86"/>
    <mergeCell ref="G85:H85"/>
    <mergeCell ref="E86:F86"/>
    <mergeCell ref="G86:H86"/>
    <mergeCell ref="B146:F146"/>
    <mergeCell ref="G146:M146"/>
    <mergeCell ref="A87:F87"/>
    <mergeCell ref="H101:J101"/>
    <mergeCell ref="K101:M101"/>
    <mergeCell ref="G93:M93"/>
    <mergeCell ref="G92:M92"/>
    <mergeCell ref="G91:M91"/>
    <mergeCell ref="G94:M94"/>
    <mergeCell ref="B90:F90"/>
  </mergeCells>
  <conditionalFormatting sqref="I191:I196 AF191:AG197 AF186:AG187 AB140 AB142 AB148:AB149 AB151:AB152 AB150:AC150">
    <cfRule type="expression" dxfId="187" priority="2357">
      <formula>IF($A140="Please Explain",TRUE,FALSE)</formula>
    </cfRule>
  </conditionalFormatting>
  <conditionalFormatting sqref="B63 B191:H196 B173 B78:B79 B90:B94 B103:B108 B128:B130 B164:B168 B184:B188 B70:B72 B140:B144 B146:B152">
    <cfRule type="expression" dxfId="186" priority="2365">
      <formula>IF($A63="Please Explain",TRUE,FALSE)</formula>
    </cfRule>
  </conditionalFormatting>
  <conditionalFormatting sqref="A121">
    <cfRule type="expression" dxfId="185" priority="222">
      <formula>IF(#REF!="Please Explain",TRUE,FALSE)</formula>
    </cfRule>
  </conditionalFormatting>
  <conditionalFormatting sqref="A66">
    <cfRule type="expression" dxfId="184" priority="2366">
      <formula>IF(#REF!="Please Explain",TRUE,FALSE)</formula>
    </cfRule>
  </conditionalFormatting>
  <conditionalFormatting sqref="A74">
    <cfRule type="expression" dxfId="183" priority="226">
      <formula>IF(#REF!="Please Explain",TRUE,FALSE)</formula>
    </cfRule>
  </conditionalFormatting>
  <conditionalFormatting sqref="A81">
    <cfRule type="expression" dxfId="182" priority="225">
      <formula>IF(#REF!="Please Explain",TRUE,FALSE)</formula>
    </cfRule>
  </conditionalFormatting>
  <conditionalFormatting sqref="A96">
    <cfRule type="expression" dxfId="181" priority="224">
      <formula>IF(#REF!="Please Explain",TRUE,FALSE)</formula>
    </cfRule>
  </conditionalFormatting>
  <conditionalFormatting sqref="A111">
    <cfRule type="expression" dxfId="180" priority="223">
      <formula>IF(#REF!="Please Explain",TRUE,FALSE)</formula>
    </cfRule>
  </conditionalFormatting>
  <conditionalFormatting sqref="A69 A183:A188">
    <cfRule type="expression" dxfId="179" priority="212">
      <formula>IF(#REF!=TRUE,TRUE,FALSE)</formula>
    </cfRule>
  </conditionalFormatting>
  <conditionalFormatting sqref="A87">
    <cfRule type="expression" dxfId="178" priority="210">
      <formula>IF(#REF!=TRUE,TRUE,FALSE)</formula>
    </cfRule>
  </conditionalFormatting>
  <conditionalFormatting sqref="A62">
    <cfRule type="expression" dxfId="177" priority="217">
      <formula>IF(#REF!=TRUE,TRUE,FALSE)</formula>
    </cfRule>
  </conditionalFormatting>
  <conditionalFormatting sqref="A77">
    <cfRule type="expression" dxfId="176" priority="211">
      <formula>IF(#REF!=TRUE,TRUE,FALSE)</formula>
    </cfRule>
  </conditionalFormatting>
  <conditionalFormatting sqref="A117 A139:A144 A146:A147">
    <cfRule type="expression" dxfId="175" priority="208">
      <formula>IF(#REF!=TRUE,TRUE,FALSE)</formula>
    </cfRule>
  </conditionalFormatting>
  <conditionalFormatting sqref="A102">
    <cfRule type="expression" dxfId="174" priority="209">
      <formula>IF(#REF!=TRUE,TRUE,FALSE)</formula>
    </cfRule>
  </conditionalFormatting>
  <conditionalFormatting sqref="A127:A129">
    <cfRule type="expression" dxfId="173" priority="207">
      <formula>IF(#REF!=TRUE,TRUE,FALSE)</formula>
    </cfRule>
  </conditionalFormatting>
  <conditionalFormatting sqref="G63">
    <cfRule type="expression" dxfId="172" priority="206">
      <formula>IF($A63="Please Explain",TRUE,FALSE)</formula>
    </cfRule>
  </conditionalFormatting>
  <conditionalFormatting sqref="B88:B89">
    <cfRule type="expression" dxfId="171" priority="179">
      <formula>IF($A88="Please Explain",TRUE,FALSE)</formula>
    </cfRule>
  </conditionalFormatting>
  <conditionalFormatting sqref="B109">
    <cfRule type="expression" dxfId="170" priority="176">
      <formula>IF($A109="Please Explain",TRUE,FALSE)</formula>
    </cfRule>
  </conditionalFormatting>
  <conditionalFormatting sqref="B118:B119">
    <cfRule type="expression" dxfId="169" priority="175">
      <formula>IF($A118="Please Explain",TRUE,FALSE)</formula>
    </cfRule>
  </conditionalFormatting>
  <conditionalFormatting sqref="A133">
    <cfRule type="expression" dxfId="168" priority="171">
      <formula>IF(#REF!="Please Explain",TRUE,FALSE)</formula>
    </cfRule>
  </conditionalFormatting>
  <conditionalFormatting sqref="AF141:AG141 AB141 AF164:AF169 AG159:AG160 AG164:AG173">
    <cfRule type="expression" dxfId="167" priority="2369">
      <formula>IF(#REF!="Please Explain",TRUE,FALSE)</formula>
    </cfRule>
  </conditionalFormatting>
  <conditionalFormatting sqref="A160">
    <cfRule type="expression" dxfId="166" priority="121">
      <formula>IF(#REF!=TRUE,TRUE,FALSE)</formula>
    </cfRule>
  </conditionalFormatting>
  <conditionalFormatting sqref="A154">
    <cfRule type="expression" dxfId="165" priority="122">
      <formula>IF(#REF!="Please Explain",TRUE,FALSE)</formula>
    </cfRule>
  </conditionalFormatting>
  <conditionalFormatting sqref="A171">
    <cfRule type="expression" dxfId="164" priority="117">
      <formula>IF(#REF!=TRUE,TRUE,FALSE)</formula>
    </cfRule>
  </conditionalFormatting>
  <conditionalFormatting sqref="B172">
    <cfRule type="expression" dxfId="163" priority="115">
      <formula>IF($A172="Please Explain",TRUE,FALSE)</formula>
    </cfRule>
  </conditionalFormatting>
  <conditionalFormatting sqref="AB172 AF170:AF173">
    <cfRule type="expression" dxfId="162" priority="116">
      <formula>IF(#REF!="Please Explain",TRUE,FALSE)</formula>
    </cfRule>
  </conditionalFormatting>
  <conditionalFormatting sqref="AF159:AF160 AF153:AG158">
    <cfRule type="expression" dxfId="161" priority="112">
      <formula>IF(#REF!="Please Explain",TRUE,FALSE)</formula>
    </cfRule>
  </conditionalFormatting>
  <conditionalFormatting sqref="AB153:AB159">
    <cfRule type="expression" dxfId="160" priority="111">
      <formula>IF(#REF!="Please Explain",TRUE,FALSE)</formula>
    </cfRule>
  </conditionalFormatting>
  <conditionalFormatting sqref="AJ167">
    <cfRule type="expression" dxfId="159" priority="110">
      <formula>IF(#REF!="Please Explain",TRUE,FALSE)</formula>
    </cfRule>
  </conditionalFormatting>
  <conditionalFormatting sqref="AK167">
    <cfRule type="expression" dxfId="158" priority="109">
      <formula>IF(#REF!="Please Explain",TRUE,FALSE)</formula>
    </cfRule>
  </conditionalFormatting>
  <conditionalFormatting sqref="AJ169">
    <cfRule type="expression" dxfId="157" priority="108">
      <formula>IF(#REF!="Please Explain",TRUE,FALSE)</formula>
    </cfRule>
  </conditionalFormatting>
  <conditionalFormatting sqref="AK169">
    <cfRule type="expression" dxfId="156" priority="107">
      <formula>IF(#REF!="Please Explain",TRUE,FALSE)</formula>
    </cfRule>
  </conditionalFormatting>
  <conditionalFormatting sqref="B169">
    <cfRule type="expression" dxfId="155" priority="106">
      <formula>IF($A169="Please Explain",TRUE,FALSE)</formula>
    </cfRule>
  </conditionalFormatting>
  <conditionalFormatting sqref="A175">
    <cfRule type="expression" dxfId="154" priority="105">
      <formula>IF(#REF!="Please Explain",TRUE,FALSE)</formula>
    </cfRule>
  </conditionalFormatting>
  <conditionalFormatting sqref="AF175:AG175 AF178:AG182">
    <cfRule type="expression" dxfId="153" priority="104">
      <formula>IF(#REF!="Please Explain",TRUE,FALSE)</formula>
    </cfRule>
  </conditionalFormatting>
  <conditionalFormatting sqref="AB175 AB178:AB182">
    <cfRule type="expression" dxfId="152" priority="103">
      <formula>IF(#REF!="Please Explain",TRUE,FALSE)</formula>
    </cfRule>
  </conditionalFormatting>
  <conditionalFormatting sqref="AF177:AG177">
    <cfRule type="expression" dxfId="151" priority="102">
      <formula>IF(#REF!="Please Explain",TRUE,FALSE)</formula>
    </cfRule>
  </conditionalFormatting>
  <conditionalFormatting sqref="AB177">
    <cfRule type="expression" dxfId="150" priority="101">
      <formula>IF(#REF!="Please Explain",TRUE,FALSE)</formula>
    </cfRule>
  </conditionalFormatting>
  <conditionalFormatting sqref="B189:B190">
    <cfRule type="expression" dxfId="149" priority="100">
      <formula>IF($A189="Please Explain",TRUE,FALSE)</formula>
    </cfRule>
  </conditionalFormatting>
  <conditionalFormatting sqref="A189:A190">
    <cfRule type="expression" dxfId="148" priority="98">
      <formula>IF(#REF!=TRUE,TRUE,FALSE)</formula>
    </cfRule>
  </conditionalFormatting>
  <conditionalFormatting sqref="AF176:AG176">
    <cfRule type="expression" dxfId="147" priority="95">
      <formula>IF(#REF!="Please Explain",TRUE,FALSE)</formula>
    </cfRule>
  </conditionalFormatting>
  <conditionalFormatting sqref="AB176">
    <cfRule type="expression" dxfId="146" priority="94">
      <formula>IF(#REF!="Please Explain",TRUE,FALSE)</formula>
    </cfRule>
  </conditionalFormatting>
  <conditionalFormatting sqref="AF143:AG143 AB143">
    <cfRule type="expression" dxfId="145" priority="93">
      <formula>IF(#REF!="Please Explain",TRUE,FALSE)</formula>
    </cfRule>
  </conditionalFormatting>
  <conditionalFormatting sqref="AJ93">
    <cfRule type="expression" dxfId="144" priority="87">
      <formula>IF(#REF!="Please Explain",TRUE,FALSE)</formula>
    </cfRule>
  </conditionalFormatting>
  <conditionalFormatting sqref="AJ90:AJ92">
    <cfRule type="expression" dxfId="143" priority="86">
      <formula>IF(#REF!="Please Explain",TRUE,FALSE)</formula>
    </cfRule>
  </conditionalFormatting>
  <conditionalFormatting sqref="AJ92">
    <cfRule type="expression" dxfId="142" priority="85">
      <formula>IF(#REF!="Please Explain",TRUE,FALSE)</formula>
    </cfRule>
  </conditionalFormatting>
  <conditionalFormatting sqref="B131">
    <cfRule type="expression" dxfId="141" priority="81">
      <formula>IF($A131="Please Explain",TRUE,FALSE)</formula>
    </cfRule>
  </conditionalFormatting>
  <conditionalFormatting sqref="AF147:AG147 AB147">
    <cfRule type="expression" dxfId="140" priority="80">
      <formula>IF(#REF!="Please Explain",TRUE,FALSE)</formula>
    </cfRule>
  </conditionalFormatting>
  <conditionalFormatting sqref="AF144:AG144 AB144 AF146:AG146">
    <cfRule type="expression" dxfId="139" priority="77">
      <formula>IF(#REF!="Please Explain",TRUE,FALSE)</formula>
    </cfRule>
  </conditionalFormatting>
  <conditionalFormatting sqref="B163">
    <cfRule type="expression" dxfId="138" priority="73">
      <formula>IF($A163="Please Explain",TRUE,FALSE)</formula>
    </cfRule>
  </conditionalFormatting>
  <conditionalFormatting sqref="AF163:AG163">
    <cfRule type="expression" dxfId="137" priority="74">
      <formula>IF(#REF!="Please Explain",TRUE,FALSE)</formula>
    </cfRule>
  </conditionalFormatting>
  <conditionalFormatting sqref="B162">
    <cfRule type="expression" dxfId="136" priority="70">
      <formula>IF($A162="Please Explain",TRUE,FALSE)</formula>
    </cfRule>
  </conditionalFormatting>
  <conditionalFormatting sqref="AF162:AG162">
    <cfRule type="expression" dxfId="135" priority="71">
      <formula>IF(#REF!="Please Explain",TRUE,FALSE)</formula>
    </cfRule>
  </conditionalFormatting>
  <conditionalFormatting sqref="B161">
    <cfRule type="expression" dxfId="134" priority="67">
      <formula>IF($A161="Please Explain",TRUE,FALSE)</formula>
    </cfRule>
  </conditionalFormatting>
  <conditionalFormatting sqref="AF161:AG161 AB161:AB169">
    <cfRule type="expression" dxfId="133" priority="68">
      <formula>IF(#REF!="Please Explain",TRUE,FALSE)</formula>
    </cfRule>
  </conditionalFormatting>
  <conditionalFormatting sqref="B145">
    <cfRule type="expression" dxfId="132" priority="65">
      <formula>IF($A145="Please Explain",TRUE,FALSE)</formula>
    </cfRule>
  </conditionalFormatting>
  <conditionalFormatting sqref="AB145:AB146">
    <cfRule type="expression" dxfId="131" priority="63">
      <formula>IF($A145="Please Explain",TRUE,FALSE)</formula>
    </cfRule>
  </conditionalFormatting>
  <conditionalFormatting sqref="A145">
    <cfRule type="expression" dxfId="130" priority="62">
      <formula>IF(#REF!=TRUE,TRUE,FALSE)</formula>
    </cfRule>
  </conditionalFormatting>
  <conditionalFormatting sqref="AB134:AB139">
    <cfRule type="expression" dxfId="129" priority="61">
      <formula>IF($A134="Please Explain",TRUE,FALSE)</formula>
    </cfRule>
  </conditionalFormatting>
  <conditionalFormatting sqref="G70">
    <cfRule type="expression" dxfId="128" priority="60">
      <formula>IF($A70="Please Explain",TRUE,FALSE)</formula>
    </cfRule>
  </conditionalFormatting>
  <conditionalFormatting sqref="G71">
    <cfRule type="expression" dxfId="127" priority="59">
      <formula>IF($A71="Please Explain",TRUE,FALSE)</formula>
    </cfRule>
  </conditionalFormatting>
  <conditionalFormatting sqref="G72">
    <cfRule type="expression" dxfId="126" priority="58">
      <formula>IF($A72="Please Explain",TRUE,FALSE)</formula>
    </cfRule>
  </conditionalFormatting>
  <conditionalFormatting sqref="G78">
    <cfRule type="expression" dxfId="125" priority="57">
      <formula>IF($A78="Please Explain",TRUE,FALSE)</formula>
    </cfRule>
  </conditionalFormatting>
  <conditionalFormatting sqref="G79">
    <cfRule type="expression" dxfId="124" priority="56">
      <formula>IF($A79="Please Explain",TRUE,FALSE)</formula>
    </cfRule>
  </conditionalFormatting>
  <conditionalFormatting sqref="G88">
    <cfRule type="expression" dxfId="123" priority="55">
      <formula>IF($A88="Please Explain",TRUE,FALSE)</formula>
    </cfRule>
  </conditionalFormatting>
  <conditionalFormatting sqref="G89">
    <cfRule type="expression" dxfId="122" priority="54">
      <formula>IF($A89="Please Explain",TRUE,FALSE)</formula>
    </cfRule>
  </conditionalFormatting>
  <conditionalFormatting sqref="G90">
    <cfRule type="expression" dxfId="121" priority="53">
      <formula>IF($A90="Please Explain",TRUE,FALSE)</formula>
    </cfRule>
  </conditionalFormatting>
  <conditionalFormatting sqref="G91">
    <cfRule type="expression" dxfId="120" priority="52">
      <formula>IF($A91="Please Explain",TRUE,FALSE)</formula>
    </cfRule>
  </conditionalFormatting>
  <conditionalFormatting sqref="G92">
    <cfRule type="expression" dxfId="119" priority="51">
      <formula>IF($A92="Please Explain",TRUE,FALSE)</formula>
    </cfRule>
  </conditionalFormatting>
  <conditionalFormatting sqref="G93">
    <cfRule type="expression" dxfId="118" priority="50">
      <formula>IF($A93="Please Explain",TRUE,FALSE)</formula>
    </cfRule>
  </conditionalFormatting>
  <conditionalFormatting sqref="G94">
    <cfRule type="expression" dxfId="117" priority="49">
      <formula>IF($A94="Please Explain",TRUE,FALSE)</formula>
    </cfRule>
  </conditionalFormatting>
  <conditionalFormatting sqref="G103">
    <cfRule type="expression" dxfId="116" priority="48">
      <formula>IF($A103="Please Explain",TRUE,FALSE)</formula>
    </cfRule>
  </conditionalFormatting>
  <conditionalFormatting sqref="G104">
    <cfRule type="expression" dxfId="115" priority="47">
      <formula>IF($A104="Please Explain",TRUE,FALSE)</formula>
    </cfRule>
  </conditionalFormatting>
  <conditionalFormatting sqref="G105">
    <cfRule type="expression" dxfId="114" priority="46">
      <formula>IF($A105="Please Explain",TRUE,FALSE)</formula>
    </cfRule>
  </conditionalFormatting>
  <conditionalFormatting sqref="G106">
    <cfRule type="expression" dxfId="113" priority="45">
      <formula>IF($A106="Please Explain",TRUE,FALSE)</formula>
    </cfRule>
  </conditionalFormatting>
  <conditionalFormatting sqref="G107">
    <cfRule type="expression" dxfId="112" priority="44">
      <formula>IF($A107="Please Explain",TRUE,FALSE)</formula>
    </cfRule>
  </conditionalFormatting>
  <conditionalFormatting sqref="G108">
    <cfRule type="expression" dxfId="111" priority="43">
      <formula>IF($A108="Please Explain",TRUE,FALSE)</formula>
    </cfRule>
  </conditionalFormatting>
  <conditionalFormatting sqref="G109">
    <cfRule type="expression" dxfId="110" priority="42">
      <formula>IF($A109="Please Explain",TRUE,FALSE)</formula>
    </cfRule>
  </conditionalFormatting>
  <conditionalFormatting sqref="G118">
    <cfRule type="expression" dxfId="109" priority="41">
      <formula>IF($A118="Please Explain",TRUE,FALSE)</formula>
    </cfRule>
  </conditionalFormatting>
  <conditionalFormatting sqref="G119">
    <cfRule type="expression" dxfId="108" priority="40">
      <formula>IF($A119="Please Explain",TRUE,FALSE)</formula>
    </cfRule>
  </conditionalFormatting>
  <conditionalFormatting sqref="G128">
    <cfRule type="expression" dxfId="107" priority="39">
      <formula>IF($A128="Please Explain",TRUE,FALSE)</formula>
    </cfRule>
  </conditionalFormatting>
  <conditionalFormatting sqref="G129">
    <cfRule type="expression" dxfId="106" priority="38">
      <formula>IF($A129="Please Explain",TRUE,FALSE)</formula>
    </cfRule>
  </conditionalFormatting>
  <conditionalFormatting sqref="G130">
    <cfRule type="expression" dxfId="105" priority="37">
      <formula>IF($A130="Please Explain",TRUE,FALSE)</formula>
    </cfRule>
  </conditionalFormatting>
  <conditionalFormatting sqref="G131">
    <cfRule type="expression" dxfId="104" priority="36">
      <formula>IF($A131="Please Explain",TRUE,FALSE)</formula>
    </cfRule>
  </conditionalFormatting>
  <conditionalFormatting sqref="G140">
    <cfRule type="expression" dxfId="103" priority="35">
      <formula>IF($A140="Please Explain",TRUE,FALSE)</formula>
    </cfRule>
  </conditionalFormatting>
  <conditionalFormatting sqref="G141">
    <cfRule type="expression" dxfId="102" priority="34">
      <formula>IF($A141="Please Explain",TRUE,FALSE)</formula>
    </cfRule>
  </conditionalFormatting>
  <conditionalFormatting sqref="G142">
    <cfRule type="expression" dxfId="101" priority="33">
      <formula>IF($A142="Please Explain",TRUE,FALSE)</formula>
    </cfRule>
  </conditionalFormatting>
  <conditionalFormatting sqref="G143">
    <cfRule type="expression" dxfId="100" priority="32">
      <formula>IF($A143="Please Explain",TRUE,FALSE)</formula>
    </cfRule>
  </conditionalFormatting>
  <conditionalFormatting sqref="G144">
    <cfRule type="expression" dxfId="99" priority="31">
      <formula>IF($A144="Please Explain",TRUE,FALSE)</formula>
    </cfRule>
  </conditionalFormatting>
  <conditionalFormatting sqref="G149">
    <cfRule type="expression" dxfId="98" priority="26">
      <formula>IF($A149="Please Explain",TRUE,FALSE)</formula>
    </cfRule>
  </conditionalFormatting>
  <conditionalFormatting sqref="G146">
    <cfRule type="expression" dxfId="97" priority="29">
      <formula>IF($A146="Please Explain",TRUE,FALSE)</formula>
    </cfRule>
  </conditionalFormatting>
  <conditionalFormatting sqref="G147">
    <cfRule type="expression" dxfId="96" priority="28">
      <formula>IF($A147="Please Explain",TRUE,FALSE)</formula>
    </cfRule>
  </conditionalFormatting>
  <conditionalFormatting sqref="G148">
    <cfRule type="expression" dxfId="95" priority="27">
      <formula>IF($A148="Please Explain",TRUE,FALSE)</formula>
    </cfRule>
  </conditionalFormatting>
  <conditionalFormatting sqref="G150">
    <cfRule type="expression" dxfId="94" priority="25">
      <formula>IF($A150="Please Explain",TRUE,FALSE)</formula>
    </cfRule>
  </conditionalFormatting>
  <conditionalFormatting sqref="G151">
    <cfRule type="expression" dxfId="93" priority="24">
      <formula>IF($A151="Please Explain",TRUE,FALSE)</formula>
    </cfRule>
  </conditionalFormatting>
  <conditionalFormatting sqref="G152">
    <cfRule type="expression" dxfId="92" priority="23">
      <formula>IF($A152="Please Explain",TRUE,FALSE)</formula>
    </cfRule>
  </conditionalFormatting>
  <conditionalFormatting sqref="G161">
    <cfRule type="expression" dxfId="91" priority="22">
      <formula>IF($A161="Please Explain",TRUE,FALSE)</formula>
    </cfRule>
  </conditionalFormatting>
  <conditionalFormatting sqref="G162">
    <cfRule type="expression" dxfId="90" priority="21">
      <formula>IF($A162="Please Explain",TRUE,FALSE)</formula>
    </cfRule>
  </conditionalFormatting>
  <conditionalFormatting sqref="G163">
    <cfRule type="expression" dxfId="89" priority="20">
      <formula>IF($A163="Please Explain",TRUE,FALSE)</formula>
    </cfRule>
  </conditionalFormatting>
  <conditionalFormatting sqref="G164">
    <cfRule type="expression" dxfId="88" priority="19">
      <formula>IF($A164="Please Explain",TRUE,FALSE)</formula>
    </cfRule>
  </conditionalFormatting>
  <conditionalFormatting sqref="G165">
    <cfRule type="expression" dxfId="87" priority="18">
      <formula>IF($A165="Please Explain",TRUE,FALSE)</formula>
    </cfRule>
  </conditionalFormatting>
  <conditionalFormatting sqref="G166">
    <cfRule type="expression" dxfId="86" priority="17">
      <formula>IF($A166="Please Explain",TRUE,FALSE)</formula>
    </cfRule>
  </conditionalFormatting>
  <conditionalFormatting sqref="G167">
    <cfRule type="expression" dxfId="85" priority="16">
      <formula>IF($A167="Please Explain",TRUE,FALSE)</formula>
    </cfRule>
  </conditionalFormatting>
  <conditionalFormatting sqref="G168">
    <cfRule type="expression" dxfId="84" priority="15">
      <formula>IF($A168="Please Explain",TRUE,FALSE)</formula>
    </cfRule>
  </conditionalFormatting>
  <conditionalFormatting sqref="G169">
    <cfRule type="expression" dxfId="83" priority="14">
      <formula>IF($A169="Please Explain",TRUE,FALSE)</formula>
    </cfRule>
  </conditionalFormatting>
  <conditionalFormatting sqref="G172">
    <cfRule type="expression" dxfId="82" priority="13">
      <formula>IF($A172="Please Explain",TRUE,FALSE)</formula>
    </cfRule>
  </conditionalFormatting>
  <conditionalFormatting sqref="G173">
    <cfRule type="expression" dxfId="81" priority="12">
      <formula>IF($A173="Please Explain",TRUE,FALSE)</formula>
    </cfRule>
  </conditionalFormatting>
  <conditionalFormatting sqref="G184">
    <cfRule type="expression" dxfId="80" priority="11">
      <formula>IF($A184="Please Explain",TRUE,FALSE)</formula>
    </cfRule>
  </conditionalFormatting>
  <conditionalFormatting sqref="G185">
    <cfRule type="expression" dxfId="79" priority="10">
      <formula>IF($A185="Please Explain",TRUE,FALSE)</formula>
    </cfRule>
  </conditionalFormatting>
  <conditionalFormatting sqref="G186">
    <cfRule type="expression" dxfId="78" priority="9">
      <formula>IF($A186="Please Explain",TRUE,FALSE)</formula>
    </cfRule>
  </conditionalFormatting>
  <conditionalFormatting sqref="G188">
    <cfRule type="expression" dxfId="77" priority="7">
      <formula>IF($A188="Please Explain",TRUE,FALSE)</formula>
    </cfRule>
  </conditionalFormatting>
  <conditionalFormatting sqref="G190">
    <cfRule type="expression" dxfId="76" priority="5">
      <formula>IF($A190="Please Explain",TRUE,FALSE)</formula>
    </cfRule>
  </conditionalFormatting>
  <conditionalFormatting sqref="G145">
    <cfRule type="expression" dxfId="75" priority="4">
      <formula>IF($A145="Please Explain",TRUE,FALSE)</formula>
    </cfRule>
  </conditionalFormatting>
  <conditionalFormatting sqref="G187">
    <cfRule type="expression" dxfId="74" priority="2">
      <formula>IF($A187="Please Explain",TRUE,FALSE)</formula>
    </cfRule>
  </conditionalFormatting>
  <conditionalFormatting sqref="G189">
    <cfRule type="expression" dxfId="73" priority="1">
      <formula>IF($A189="Please Explain",TRUE,FALSE)</formula>
    </cfRule>
  </conditionalFormatting>
  <hyperlinks>
    <hyperlink ref="DX4" r:id="rId1" location="m_-1556711099994606547__ftn1" display="https://mail.google.com/mail/u/0/ - m_-1556711099994606547__ftn1" xr:uid="{00000000-0004-0000-2A00-000000000000}"/>
  </hyperlinks>
  <pageMargins left="0.7" right="0.7" top="0.75" bottom="0.75" header="0.3" footer="0.3"/>
  <pageSetup orientation="portrait" r:id="rId2"/>
  <drawing r:id="rId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2">
    <tabColor theme="5" tint="0.39997558519241921"/>
    <pageSetUpPr fitToPage="1"/>
  </sheetPr>
  <dimension ref="A1:BH394"/>
  <sheetViews>
    <sheetView workbookViewId="0"/>
  </sheetViews>
  <sheetFormatPr defaultColWidth="8.69921875" defaultRowHeight="13.2" outlineLevelCol="1" x14ac:dyDescent="0.25"/>
  <cols>
    <col min="1" max="1" width="2.69921875" style="235" customWidth="1"/>
    <col min="2" max="2" width="21.296875" style="235" customWidth="1"/>
    <col min="3" max="3" width="24.296875" style="235" customWidth="1"/>
    <col min="4" max="4" width="3.69921875" style="235" customWidth="1"/>
    <col min="5" max="5" width="17.296875" style="235" customWidth="1"/>
    <col min="6" max="6" width="21" style="235" customWidth="1"/>
    <col min="7" max="10" width="19.19921875" style="235" customWidth="1"/>
    <col min="11" max="12" width="8.69921875" style="235" customWidth="1"/>
    <col min="13" max="13" width="17.5" style="235" customWidth="1"/>
    <col min="14" max="15" width="2.69921875" style="235" customWidth="1"/>
    <col min="16" max="16" width="9" style="235" hidden="1" customWidth="1"/>
    <col min="17" max="17" width="19.296875" style="235" hidden="1" customWidth="1" outlineLevel="1"/>
    <col min="18" max="18" width="13.296875" style="235" hidden="1" customWidth="1" outlineLevel="1"/>
    <col min="19" max="19" width="12.296875" style="235" hidden="1" customWidth="1" outlineLevel="1"/>
    <col min="20" max="28" width="9" style="235" hidden="1" customWidth="1" outlineLevel="1"/>
    <col min="29" max="31" width="11" style="235" hidden="1" customWidth="1" outlineLevel="1"/>
    <col min="32" max="32" width="9.69921875" style="235" hidden="1" customWidth="1" outlineLevel="1"/>
    <col min="33" max="33" width="9" style="235" hidden="1" customWidth="1" outlineLevel="1"/>
    <col min="34" max="34" width="12.296875" style="235" hidden="1" customWidth="1" outlineLevel="1"/>
    <col min="35" max="35" width="9" style="235" hidden="1" customWidth="1" outlineLevel="1"/>
    <col min="36" max="36" width="15.69921875" style="235" hidden="1" customWidth="1" outlineLevel="1"/>
    <col min="37" max="37" width="9" style="235" hidden="1" customWidth="1" outlineLevel="1"/>
    <col min="38" max="38" width="10.19921875" style="235" hidden="1" customWidth="1" outlineLevel="1"/>
    <col min="39" max="39" width="10.296875" style="235" hidden="1" customWidth="1" outlineLevel="1"/>
    <col min="40" max="40" width="9" style="235" hidden="1" customWidth="1" outlineLevel="1"/>
    <col min="41" max="43" width="14.69921875" style="235" hidden="1" customWidth="1" outlineLevel="1"/>
    <col min="44" max="45" width="9" style="235" hidden="1" customWidth="1" outlineLevel="1"/>
    <col min="46" max="47" width="10.19921875" style="235" hidden="1" customWidth="1" outlineLevel="1"/>
    <col min="48" max="48" width="9" style="235" hidden="1" customWidth="1" outlineLevel="1"/>
    <col min="49" max="50" width="10.796875" style="235" hidden="1" customWidth="1" outlineLevel="1"/>
    <col min="51" max="52" width="9" style="235" hidden="1" customWidth="1" outlineLevel="1"/>
    <col min="53" max="53" width="2.69921875" style="235" customWidth="1" collapsed="1"/>
    <col min="54" max="54" width="2.69921875" style="235" customWidth="1"/>
    <col min="55" max="55" width="50.69921875" style="235" customWidth="1"/>
    <col min="56" max="61" width="9" style="235" customWidth="1"/>
    <col min="62" max="102" width="8" style="235" customWidth="1"/>
    <col min="103" max="16384" width="8.69921875" style="235"/>
  </cols>
  <sheetData>
    <row r="1" spans="1:55" s="42" customFormat="1" x14ac:dyDescent="0.25">
      <c r="A1" s="331" t="s">
        <v>1038</v>
      </c>
      <c r="B1" s="276"/>
      <c r="C1" s="276"/>
      <c r="D1" s="276"/>
      <c r="E1" s="276"/>
      <c r="F1" s="276"/>
      <c r="G1" s="276"/>
      <c r="H1" s="276"/>
      <c r="I1" s="276"/>
      <c r="J1" s="276"/>
      <c r="K1" s="276"/>
      <c r="L1" s="276"/>
      <c r="M1" s="276"/>
      <c r="Q1" s="32"/>
      <c r="R1" s="32"/>
      <c r="V1" s="32"/>
      <c r="W1" s="32"/>
      <c r="X1" s="32"/>
      <c r="Y1" s="32"/>
      <c r="Z1" s="32"/>
      <c r="AA1" s="32"/>
      <c r="AB1" s="32"/>
      <c r="AC1" s="32"/>
      <c r="AD1" s="32"/>
      <c r="AE1" s="32"/>
      <c r="AF1" s="32"/>
      <c r="AG1" s="32"/>
      <c r="AH1" s="32"/>
      <c r="AI1" s="32"/>
      <c r="AJ1" s="32"/>
      <c r="AK1" s="32"/>
      <c r="AL1" s="32"/>
      <c r="AM1" s="32"/>
    </row>
    <row r="2" spans="1:55" s="42" customFormat="1" ht="24.75" customHeight="1" x14ac:dyDescent="0.25">
      <c r="A2" s="331" t="s">
        <v>1038</v>
      </c>
      <c r="B2" s="30" t="s">
        <v>1037</v>
      </c>
      <c r="C2" s="276"/>
      <c r="D2" s="280"/>
      <c r="E2" s="280"/>
      <c r="F2" s="280"/>
      <c r="G2" s="280"/>
      <c r="H2" s="280"/>
      <c r="I2" s="280"/>
      <c r="J2" s="280"/>
      <c r="K2" s="280"/>
      <c r="L2" s="280"/>
      <c r="M2" s="280"/>
      <c r="Q2" s="32"/>
      <c r="R2" s="32"/>
      <c r="V2" s="32"/>
      <c r="W2" s="32"/>
      <c r="X2" s="32"/>
      <c r="Y2" s="32"/>
      <c r="Z2" s="32"/>
      <c r="AA2" s="32"/>
      <c r="AB2" s="32"/>
      <c r="AC2" s="32"/>
      <c r="AD2" s="32"/>
      <c r="AE2" s="32"/>
      <c r="AF2" s="32"/>
      <c r="AG2" s="32"/>
      <c r="AH2" s="32"/>
      <c r="AI2" s="32"/>
      <c r="AJ2" s="32"/>
      <c r="AK2" s="32"/>
      <c r="AL2" s="32"/>
      <c r="AM2" s="32"/>
    </row>
    <row r="3" spans="1:55" s="42" customFormat="1" ht="15" customHeight="1" x14ac:dyDescent="0.25">
      <c r="A3" s="331" t="s">
        <v>1038</v>
      </c>
      <c r="B3" s="276"/>
      <c r="C3" s="276"/>
      <c r="D3" s="276"/>
      <c r="E3" s="276"/>
      <c r="F3" s="276"/>
      <c r="G3" s="276"/>
      <c r="H3" s="276"/>
      <c r="I3" s="276"/>
      <c r="J3" s="276"/>
      <c r="K3" s="276"/>
      <c r="L3" s="276"/>
      <c r="M3" s="276"/>
      <c r="Q3" s="32"/>
      <c r="R3" s="32"/>
      <c r="V3" s="32"/>
      <c r="W3" s="32"/>
      <c r="X3" s="32"/>
      <c r="Y3" s="32"/>
      <c r="Z3" s="32"/>
      <c r="AA3" s="32"/>
      <c r="AB3" s="32"/>
      <c r="AC3" s="32"/>
      <c r="AD3" s="32"/>
      <c r="AE3" s="32"/>
      <c r="AF3" s="32"/>
      <c r="AG3" s="32"/>
      <c r="AH3" s="32"/>
      <c r="AI3" s="32"/>
      <c r="AJ3" s="32"/>
      <c r="AK3" s="32"/>
      <c r="AL3" s="32"/>
      <c r="AM3" s="32"/>
    </row>
    <row r="4" spans="1:55" ht="21.75" customHeight="1" x14ac:dyDescent="0.25">
      <c r="A4" s="409" t="s">
        <v>1038</v>
      </c>
      <c r="B4" s="299"/>
      <c r="C4" s="581"/>
      <c r="D4" s="581"/>
      <c r="E4" s="589"/>
      <c r="F4" s="589"/>
      <c r="G4" s="589"/>
      <c r="H4" s="589"/>
      <c r="I4" s="589"/>
      <c r="J4" s="589"/>
      <c r="K4" s="589"/>
      <c r="L4" s="589"/>
      <c r="M4" s="589"/>
      <c r="Q4" s="416" t="s">
        <v>1221</v>
      </c>
    </row>
    <row r="5" spans="1:55" ht="21.75" customHeight="1" x14ac:dyDescent="0.25">
      <c r="A5" s="409" t="s">
        <v>1038</v>
      </c>
      <c r="B5" s="410" t="s">
        <v>1393</v>
      </c>
      <c r="C5" s="581"/>
      <c r="D5" s="581"/>
      <c r="E5" s="589"/>
      <c r="F5" s="589"/>
      <c r="G5" s="589"/>
      <c r="H5" s="3258"/>
      <c r="I5" s="3259"/>
      <c r="J5" s="3259"/>
      <c r="K5" s="3259"/>
      <c r="L5" s="3259"/>
      <c r="M5" s="3260"/>
      <c r="Q5" s="627">
        <f>IFERROR(INDEX(MBD_EMI_Table,MATCH($H$5,MBD_EMI_Index,0),MATCH('1 - Multiple Buildings Details'!$J$16,MBD_EMI_Hdr,0)),"ERROR")</f>
        <v>0</v>
      </c>
    </row>
    <row r="6" spans="1:55" ht="21.75" customHeight="1" x14ac:dyDescent="0.25">
      <c r="A6" s="409" t="s">
        <v>1038</v>
      </c>
      <c r="B6" s="299"/>
      <c r="C6" s="581"/>
      <c r="D6" s="581"/>
      <c r="E6" s="589"/>
      <c r="F6" s="589"/>
      <c r="G6" s="589"/>
      <c r="H6" s="589"/>
      <c r="I6" s="589"/>
      <c r="J6" s="589"/>
      <c r="K6" s="589"/>
      <c r="L6" s="589"/>
      <c r="M6" s="589"/>
    </row>
    <row r="7" spans="1:55" ht="22.5" customHeight="1" x14ac:dyDescent="0.25">
      <c r="A7" s="409" t="s">
        <v>1038</v>
      </c>
      <c r="B7" s="3261" t="s">
        <v>911</v>
      </c>
      <c r="C7" s="3261"/>
      <c r="D7" s="3261"/>
      <c r="E7" s="3261"/>
      <c r="F7" s="3261"/>
      <c r="G7" s="3261"/>
      <c r="H7" s="3261"/>
      <c r="I7" s="3261"/>
      <c r="J7" s="3261"/>
      <c r="K7" s="3261"/>
      <c r="L7" s="3261"/>
      <c r="M7" s="3261"/>
    </row>
    <row r="8" spans="1:55" ht="15.75" customHeight="1" x14ac:dyDescent="0.25">
      <c r="A8" s="409" t="s">
        <v>1038</v>
      </c>
      <c r="B8" s="3262"/>
      <c r="C8" s="3203"/>
      <c r="D8" s="3203"/>
      <c r="E8" s="3203"/>
      <c r="F8" s="3203"/>
      <c r="G8" s="3203"/>
      <c r="H8" s="3203"/>
      <c r="I8" s="3203"/>
      <c r="J8" s="3203"/>
      <c r="K8" s="3203"/>
      <c r="L8" s="3203"/>
      <c r="M8" s="3203"/>
    </row>
    <row r="9" spans="1:55" ht="52.5" customHeight="1" x14ac:dyDescent="0.25">
      <c r="A9" s="409" t="s">
        <v>1038</v>
      </c>
      <c r="B9" s="3263" t="s">
        <v>1394</v>
      </c>
      <c r="C9" s="3263"/>
      <c r="D9" s="3263"/>
      <c r="E9" s="3263"/>
      <c r="F9" s="3263"/>
      <c r="G9" s="3263"/>
      <c r="H9" s="3263"/>
      <c r="I9" s="3263"/>
      <c r="J9" s="3263"/>
      <c r="K9" s="3263"/>
      <c r="L9" s="3263"/>
      <c r="M9" s="3201"/>
      <c r="BC9" s="235" t="s">
        <v>1635</v>
      </c>
    </row>
    <row r="10" spans="1:55" ht="33" hidden="1" customHeight="1" x14ac:dyDescent="0.25">
      <c r="A10" s="409" t="s">
        <v>1038</v>
      </c>
      <c r="B10" s="3264" t="s">
        <v>913</v>
      </c>
      <c r="C10" s="3265"/>
      <c r="D10" s="3265"/>
      <c r="E10" s="3265"/>
      <c r="F10" s="3265"/>
      <c r="G10" s="3265"/>
      <c r="H10" s="3265"/>
      <c r="I10" s="3265"/>
      <c r="J10" s="3265"/>
      <c r="K10" s="3265"/>
      <c r="L10" s="3265"/>
      <c r="M10" s="3265"/>
    </row>
    <row r="11" spans="1:55" ht="34.200000000000003" hidden="1" customHeight="1" x14ac:dyDescent="0.25">
      <c r="A11" s="409" t="s">
        <v>1038</v>
      </c>
      <c r="B11" s="3264" t="s">
        <v>952</v>
      </c>
      <c r="C11" s="3265"/>
      <c r="D11" s="3265"/>
      <c r="E11" s="3265"/>
      <c r="F11" s="3265"/>
      <c r="G11" s="3265"/>
      <c r="H11" s="3265"/>
      <c r="I11" s="3265"/>
      <c r="J11" s="3265"/>
      <c r="K11" s="3265"/>
      <c r="L11" s="3265"/>
      <c r="M11" s="3265"/>
    </row>
    <row r="12" spans="1:55" ht="33" hidden="1" customHeight="1" x14ac:dyDescent="0.25">
      <c r="A12" s="409" t="s">
        <v>1038</v>
      </c>
      <c r="B12" s="3264" t="s">
        <v>914</v>
      </c>
      <c r="C12" s="3265"/>
      <c r="D12" s="3265"/>
      <c r="E12" s="3265"/>
      <c r="F12" s="3265"/>
      <c r="G12" s="3265"/>
      <c r="H12" s="3265"/>
      <c r="I12" s="3265"/>
      <c r="J12" s="3265"/>
      <c r="K12" s="3265"/>
      <c r="L12" s="3265"/>
      <c r="M12" s="3265"/>
    </row>
    <row r="13" spans="1:55" ht="15.75" customHeight="1" x14ac:dyDescent="0.25">
      <c r="A13" s="409" t="s">
        <v>1038</v>
      </c>
      <c r="B13" s="3262"/>
      <c r="C13" s="3203"/>
      <c r="D13" s="3203"/>
      <c r="E13" s="3203"/>
      <c r="F13" s="3203"/>
      <c r="G13" s="3203"/>
      <c r="H13" s="3203"/>
      <c r="I13" s="3203"/>
      <c r="J13" s="3203"/>
      <c r="K13" s="3203"/>
      <c r="L13" s="3203"/>
      <c r="M13" s="3203"/>
    </row>
    <row r="14" spans="1:55" ht="15" customHeight="1" x14ac:dyDescent="0.25">
      <c r="A14" s="409" t="s">
        <v>1038</v>
      </c>
      <c r="B14" s="3100" t="s">
        <v>354</v>
      </c>
      <c r="C14" s="3100" t="s">
        <v>404</v>
      </c>
      <c r="D14" s="3102"/>
      <c r="E14" s="3100" t="s">
        <v>403</v>
      </c>
      <c r="F14" s="3100" t="s">
        <v>402</v>
      </c>
      <c r="G14" s="3102"/>
      <c r="H14" s="3100" t="s">
        <v>401</v>
      </c>
      <c r="I14" s="3102"/>
      <c r="J14" s="3102"/>
      <c r="K14" s="3138" t="s">
        <v>1395</v>
      </c>
      <c r="L14" s="3266"/>
      <c r="M14" s="3266"/>
      <c r="N14" s="2"/>
      <c r="O14" s="2"/>
      <c r="P14" s="2"/>
      <c r="AC14" s="411"/>
    </row>
    <row r="15" spans="1:55" ht="62.25" customHeight="1" x14ac:dyDescent="0.25">
      <c r="A15" s="409" t="s">
        <v>1038</v>
      </c>
      <c r="B15" s="3102"/>
      <c r="C15" s="3102"/>
      <c r="D15" s="3102"/>
      <c r="E15" s="3102"/>
      <c r="F15" s="3102"/>
      <c r="G15" s="3102"/>
      <c r="H15" s="3102"/>
      <c r="I15" s="3102"/>
      <c r="J15" s="3102"/>
      <c r="K15" s="3138" t="str">
        <f>CONCATENATE("Energy Type Consumption Units to Site Energy Consumption (",PO_SiteUnits,")")</f>
        <v>Energy Type Consumption Units to Site Energy Consumption (Btu x 10^6)</v>
      </c>
      <c r="L15" s="3266"/>
      <c r="M15" s="579" t="str">
        <f>CONCATENATE("Energy Type Consumption Units to Source Energy Consumption (",PO_SourceUnits,")")</f>
        <v>Energy Type Consumption Units to Source Energy Consumption (Btu x 10^6)</v>
      </c>
      <c r="N15" s="2"/>
      <c r="O15" s="2"/>
      <c r="P15" s="2"/>
      <c r="AC15" s="412"/>
    </row>
    <row r="16" spans="1:55" ht="15" hidden="1" customHeight="1" x14ac:dyDescent="0.25">
      <c r="A16" s="409" t="s">
        <v>1038</v>
      </c>
      <c r="B16" s="484" t="s">
        <v>1396</v>
      </c>
      <c r="C16" s="3268" t="s">
        <v>1397</v>
      </c>
      <c r="D16" s="3102"/>
      <c r="E16" s="484" t="s">
        <v>1398</v>
      </c>
      <c r="F16" s="484" t="s">
        <v>1399</v>
      </c>
      <c r="G16" s="485"/>
      <c r="H16" s="484" t="s">
        <v>1400</v>
      </c>
      <c r="I16" s="486"/>
      <c r="J16" s="487"/>
      <c r="K16" s="484" t="s">
        <v>1401</v>
      </c>
      <c r="L16" s="487"/>
      <c r="M16" s="485" t="s">
        <v>1402</v>
      </c>
      <c r="N16" s="483"/>
      <c r="O16" s="412"/>
      <c r="P16" s="2"/>
    </row>
    <row r="17" spans="1:55" ht="15" customHeight="1" x14ac:dyDescent="0.25">
      <c r="A17" s="409" t="s">
        <v>1038</v>
      </c>
      <c r="B17" s="656" t="str">
        <f>IFERROR(IF('12 - Performance_Outputs_1'!B17&lt;&gt;"",'12 - Performance_Outputs_1'!B17,""),"")</f>
        <v/>
      </c>
      <c r="C17" s="4205" t="str">
        <f>IFERROR(IF('12 - Performance_Outputs_1'!C17&lt;&gt;"",'12 - Performance_Outputs_1'!C17,""),"")</f>
        <v/>
      </c>
      <c r="D17" s="4206" t="s">
        <v>853</v>
      </c>
      <c r="E17" s="651" t="str">
        <f>IFERROR(IF('12 - Performance_Outputs_1'!E17&lt;&gt;"",'12 - Performance_Outputs_1'!E17,""),"")</f>
        <v/>
      </c>
      <c r="F17" s="4207" t="str">
        <f>IFERROR(IF('12 - Performance_Outputs_1'!H17&lt;&gt;"",'12 - Performance_Outputs_1'!H17,""),"")</f>
        <v/>
      </c>
      <c r="G17" s="4208" t="s">
        <v>853</v>
      </c>
      <c r="H17" s="4209" t="str">
        <f>IFERROR(IF('12 - Performance_Outputs_1'!F17&lt;&gt;"",'12 - Performance_Outputs_1'!F17,""),"")</f>
        <v/>
      </c>
      <c r="I17" s="4210" t="s">
        <v>853</v>
      </c>
      <c r="J17" s="4210" t="s">
        <v>853</v>
      </c>
      <c r="K17" s="3115" t="str">
        <f>IFERROR(VLOOKUP("kBtu",EnergyUnitsTable,3,FALSE)/VLOOKUP(PO_SiteUnits,EnergyUnitsTable,3,FALSE)*VLOOKUP($C17,EnergyUnitsTable,3,FALSE),"")</f>
        <v/>
      </c>
      <c r="L17" s="3116"/>
      <c r="M17" s="685" t="str">
        <f>IFERROR(VLOOKUP("kBtu",EnergyUnitsTable,3,FALSE)/VLOOKUP(PO_SourceUnits,EnergyUnitsTable,3,FALSE)*VLOOKUP($C17,EnergyUnitsTable,3,FALSE)*VLOOKUP($B17,FuelTypesTable,2,FALSE),"")</f>
        <v/>
      </c>
      <c r="N17" s="413"/>
      <c r="O17" s="413"/>
      <c r="P17" s="2"/>
      <c r="BC17" s="804"/>
    </row>
    <row r="18" spans="1:55" ht="15" customHeight="1" x14ac:dyDescent="0.25">
      <c r="A18" s="409" t="s">
        <v>1038</v>
      </c>
      <c r="B18" s="656" t="str">
        <f>IFERROR(IF('12 - Performance_Outputs_1'!B18&lt;&gt;"",'12 - Performance_Outputs_1'!B18,""),"")</f>
        <v/>
      </c>
      <c r="C18" s="4205" t="str">
        <f>IFERROR(IF('12 - Performance_Outputs_1'!C18&lt;&gt;"",'12 - Performance_Outputs_1'!C18,""),"")</f>
        <v/>
      </c>
      <c r="D18" s="4206" t="s">
        <v>853</v>
      </c>
      <c r="E18" s="651" t="str">
        <f>IFERROR(IF('12 - Performance_Outputs_1'!E18&lt;&gt;"",'12 - Performance_Outputs_1'!E18,""),"")</f>
        <v/>
      </c>
      <c r="F18" s="4207" t="str">
        <f>IFERROR(IF('12 - Performance_Outputs_1'!H18&lt;&gt;"",'12 - Performance_Outputs_1'!H18,""),"")</f>
        <v/>
      </c>
      <c r="G18" s="4208" t="s">
        <v>853</v>
      </c>
      <c r="H18" s="4209" t="str">
        <f>IFERROR(IF('12 - Performance_Outputs_1'!F18&lt;&gt;"",'12 - Performance_Outputs_1'!F18,""),"")</f>
        <v/>
      </c>
      <c r="I18" s="4210" t="s">
        <v>853</v>
      </c>
      <c r="J18" s="4210" t="s">
        <v>853</v>
      </c>
      <c r="K18" s="3115" t="str">
        <f>IFERROR(VLOOKUP("kBtu",EnergyUnitsTable,3,FALSE)/VLOOKUP(PO_SiteUnits,EnergyUnitsTable,3,FALSE)*VLOOKUP($C18,EnergyUnitsTable,3,FALSE),"")</f>
        <v/>
      </c>
      <c r="L18" s="3116"/>
      <c r="M18" s="685" t="str">
        <f>IFERROR(VLOOKUP("kBtu",EnergyUnitsTable,3,FALSE)/VLOOKUP(PO_SourceUnits,EnergyUnitsTable,3,FALSE)*VLOOKUP($C18,EnergyUnitsTable,3,FALSE)*VLOOKUP($B18,FuelTypesTable,2,FALSE),"")</f>
        <v/>
      </c>
      <c r="N18" s="413"/>
      <c r="O18" s="413"/>
      <c r="P18" s="2"/>
      <c r="BC18" s="804"/>
    </row>
    <row r="19" spans="1:55" ht="15" customHeight="1" x14ac:dyDescent="0.25">
      <c r="A19" s="409" t="s">
        <v>1038</v>
      </c>
      <c r="B19" s="656" t="str">
        <f>IFERROR(IF('12 - Performance_Outputs_1'!B19&lt;&gt;"",'12 - Performance_Outputs_1'!B19,""),"")</f>
        <v/>
      </c>
      <c r="C19" s="4205" t="str">
        <f>IFERROR(IF('12 - Performance_Outputs_1'!C19&lt;&gt;"",'12 - Performance_Outputs_1'!C19,""),"")</f>
        <v/>
      </c>
      <c r="D19" s="4206" t="s">
        <v>853</v>
      </c>
      <c r="E19" s="651" t="str">
        <f>IFERROR(IF('12 - Performance_Outputs_1'!E19&lt;&gt;"",'12 - Performance_Outputs_1'!E19,""),"")</f>
        <v/>
      </c>
      <c r="F19" s="4207" t="str">
        <f>IFERROR(IF('12 - Performance_Outputs_1'!H19&lt;&gt;"",'12 - Performance_Outputs_1'!H19,""),"")</f>
        <v/>
      </c>
      <c r="G19" s="4208" t="s">
        <v>853</v>
      </c>
      <c r="H19" s="4209" t="str">
        <f>IFERROR(IF('12 - Performance_Outputs_1'!F19&lt;&gt;"",'12 - Performance_Outputs_1'!F19,""),"")</f>
        <v/>
      </c>
      <c r="I19" s="4210" t="s">
        <v>853</v>
      </c>
      <c r="J19" s="4210" t="s">
        <v>853</v>
      </c>
      <c r="K19" s="3115" t="str">
        <f>IFERROR(VLOOKUP("kBtu",EnergyUnitsTable,3,FALSE)/VLOOKUP(PO_SiteUnits,EnergyUnitsTable,3,FALSE)*VLOOKUP($C19,EnergyUnitsTable,3,FALSE),"")</f>
        <v/>
      </c>
      <c r="L19" s="3116"/>
      <c r="M19" s="685" t="str">
        <f>IFERROR(VLOOKUP("kBtu",EnergyUnitsTable,3,FALSE)/VLOOKUP(PO_SourceUnits,EnergyUnitsTable,3,FALSE)*VLOOKUP($C19,EnergyUnitsTable,3,FALSE)*VLOOKUP($B19,FuelTypesTable,2,FALSE),"")</f>
        <v/>
      </c>
      <c r="N19" s="413"/>
      <c r="O19" s="413"/>
      <c r="P19" s="2"/>
      <c r="BC19" s="804"/>
    </row>
    <row r="20" spans="1:55" ht="21" customHeight="1" x14ac:dyDescent="0.25">
      <c r="A20" s="409" t="s">
        <v>1038</v>
      </c>
      <c r="B20" s="3270" t="s">
        <v>900</v>
      </c>
      <c r="C20" s="3118"/>
      <c r="D20" s="3118"/>
      <c r="E20" s="3118"/>
      <c r="F20" s="3118"/>
      <c r="G20" s="3118"/>
      <c r="H20" s="3118"/>
      <c r="I20" s="3118"/>
      <c r="J20" s="3118"/>
      <c r="K20" s="3118"/>
      <c r="L20" s="3113" t="str">
        <f>IF(SI_IP_Units="SI","MWh","Btu x 10^6")</f>
        <v>Btu x 10^6</v>
      </c>
      <c r="M20" s="3114"/>
      <c r="N20" s="2"/>
      <c r="O20" s="2"/>
      <c r="P20" s="2"/>
      <c r="BC20" s="804"/>
    </row>
    <row r="21" spans="1:55" ht="21" customHeight="1" x14ac:dyDescent="0.25">
      <c r="A21" s="409" t="s">
        <v>1038</v>
      </c>
      <c r="B21" s="3269" t="s">
        <v>901</v>
      </c>
      <c r="C21" s="3118"/>
      <c r="D21" s="3118"/>
      <c r="E21" s="3118"/>
      <c r="F21" s="3118"/>
      <c r="G21" s="3118"/>
      <c r="H21" s="3118"/>
      <c r="I21" s="3118"/>
      <c r="J21" s="3118"/>
      <c r="K21" s="3118"/>
      <c r="L21" s="3113" t="str">
        <f>IF(SI_IP_Units="SI","MWh","Btu x 10^6")</f>
        <v>Btu x 10^6</v>
      </c>
      <c r="M21" s="3114"/>
      <c r="BC21" s="804"/>
    </row>
    <row r="22" spans="1:55" ht="33.75" customHeight="1" x14ac:dyDescent="0.25">
      <c r="A22" s="409" t="s">
        <v>1038</v>
      </c>
      <c r="B22" s="281"/>
      <c r="C22" s="261"/>
      <c r="D22" s="243"/>
      <c r="E22" s="243"/>
      <c r="F22" s="243"/>
      <c r="G22" s="243"/>
      <c r="H22" s="243"/>
      <c r="I22" s="243"/>
      <c r="J22" s="243"/>
      <c r="K22" s="243"/>
      <c r="L22" s="244"/>
      <c r="M22" s="244"/>
    </row>
    <row r="23" spans="1:55" ht="33.75" customHeight="1" x14ac:dyDescent="0.25">
      <c r="A23" s="409" t="s">
        <v>1038</v>
      </c>
      <c r="B23" s="281"/>
      <c r="C23" s="261"/>
      <c r="D23" s="243"/>
      <c r="E23" s="243"/>
      <c r="F23" s="243"/>
      <c r="G23" s="243"/>
      <c r="H23" s="243"/>
      <c r="I23" s="243"/>
      <c r="J23" s="243"/>
      <c r="K23" s="243"/>
      <c r="L23" s="244"/>
      <c r="M23" s="244"/>
    </row>
    <row r="24" spans="1:55" s="285" customFormat="1" ht="20.25" customHeight="1" x14ac:dyDescent="0.25">
      <c r="A24" s="409" t="s">
        <v>1038</v>
      </c>
      <c r="B24" s="310" t="s">
        <v>1472</v>
      </c>
    </row>
    <row r="25" spans="1:55" s="245" customFormat="1" ht="12.75" customHeight="1" x14ac:dyDescent="0.25">
      <c r="A25" s="409" t="s">
        <v>1038</v>
      </c>
      <c r="C25" s="235"/>
      <c r="D25" s="235"/>
      <c r="E25" s="235"/>
      <c r="F25" s="235"/>
      <c r="G25" s="235"/>
      <c r="H25" s="235"/>
      <c r="I25" s="235"/>
      <c r="J25" s="235"/>
      <c r="K25" s="235"/>
      <c r="AD25" s="631" t="s">
        <v>865</v>
      </c>
    </row>
    <row r="26" spans="1:55" s="245" customFormat="1" ht="21" customHeight="1" x14ac:dyDescent="0.25">
      <c r="A26" s="409" t="s">
        <v>1038</v>
      </c>
      <c r="B26" s="311" t="s">
        <v>1473</v>
      </c>
      <c r="C26" s="235"/>
      <c r="D26" s="235"/>
      <c r="E26" s="235"/>
      <c r="F26" s="235"/>
      <c r="G26" s="235"/>
      <c r="H26" s="235"/>
      <c r="I26" s="235"/>
      <c r="J26" s="235"/>
      <c r="K26" s="235"/>
      <c r="AD26" s="627" t="b">
        <v>1</v>
      </c>
    </row>
    <row r="27" spans="1:55" s="2" customFormat="1" ht="15" customHeight="1" x14ac:dyDescent="0.25">
      <c r="A27" s="409" t="s">
        <v>1038</v>
      </c>
    </row>
    <row r="28" spans="1:55" ht="21" customHeight="1" x14ac:dyDescent="0.25">
      <c r="A28" s="409" t="s">
        <v>1038</v>
      </c>
      <c r="B28" s="3271" t="s">
        <v>1474</v>
      </c>
      <c r="C28" s="3271"/>
      <c r="D28" s="3271"/>
      <c r="E28" s="3271"/>
      <c r="F28" s="3271"/>
      <c r="G28" s="3271"/>
      <c r="H28" s="3271"/>
      <c r="I28" s="3271"/>
      <c r="J28" s="3271"/>
      <c r="K28" s="3271"/>
      <c r="L28" s="3271"/>
      <c r="M28" s="3272"/>
    </row>
    <row r="29" spans="1:55" ht="115.5" customHeight="1" x14ac:dyDescent="0.25">
      <c r="A29" s="409" t="s">
        <v>1038</v>
      </c>
      <c r="B29" s="3273" t="s">
        <v>1476</v>
      </c>
      <c r="C29" s="3220"/>
      <c r="D29" s="3220"/>
      <c r="E29" s="3220"/>
      <c r="F29" s="3220"/>
      <c r="G29" s="3220"/>
      <c r="H29" s="3220"/>
      <c r="I29" s="3220"/>
      <c r="J29" s="3220"/>
      <c r="K29" s="3220"/>
      <c r="L29" s="3220"/>
      <c r="M29" s="3220"/>
    </row>
    <row r="30" spans="1:55" ht="32.25" customHeight="1" x14ac:dyDescent="0.25">
      <c r="A30" s="409" t="s">
        <v>1038</v>
      </c>
      <c r="B30" s="260"/>
      <c r="C30" s="243"/>
      <c r="D30" s="243"/>
      <c r="E30" s="243"/>
      <c r="F30" s="243"/>
      <c r="G30" s="652"/>
      <c r="H30" s="652"/>
      <c r="I30" s="652"/>
      <c r="J30" s="652"/>
      <c r="K30" s="652"/>
      <c r="L30" s="246"/>
      <c r="M30" s="246"/>
    </row>
    <row r="31" spans="1:55" ht="57.75" customHeight="1" x14ac:dyDescent="0.25">
      <c r="A31" s="409" t="s">
        <v>1038</v>
      </c>
      <c r="B31" s="3140" t="s">
        <v>1475</v>
      </c>
      <c r="C31" s="3274"/>
      <c r="D31" s="3274"/>
      <c r="E31" s="579" t="s">
        <v>997</v>
      </c>
      <c r="F31" s="3140" t="s">
        <v>898</v>
      </c>
      <c r="G31" s="3275"/>
      <c r="H31" s="3140" t="s">
        <v>396</v>
      </c>
      <c r="I31" s="3279"/>
      <c r="J31" s="3140" t="s">
        <v>998</v>
      </c>
      <c r="K31" s="3280"/>
      <c r="L31" s="3281"/>
      <c r="M31" s="3281"/>
      <c r="T31" s="415" t="s">
        <v>1409</v>
      </c>
      <c r="U31" s="415" t="s">
        <v>1556</v>
      </c>
    </row>
    <row r="32" spans="1:55" s="414" customFormat="1" ht="12.75" hidden="1" customHeight="1" x14ac:dyDescent="0.2">
      <c r="A32" s="409" t="s">
        <v>1038</v>
      </c>
      <c r="B32" s="489" t="s">
        <v>1403</v>
      </c>
      <c r="C32" s="490"/>
      <c r="D32" s="490"/>
      <c r="E32" s="491" t="s">
        <v>1404</v>
      </c>
      <c r="F32" s="489" t="s">
        <v>1405</v>
      </c>
      <c r="G32" s="492"/>
      <c r="H32" s="489" t="s">
        <v>1406</v>
      </c>
      <c r="I32" s="493"/>
      <c r="J32" s="489" t="s">
        <v>356</v>
      </c>
      <c r="K32" s="494"/>
      <c r="L32" s="495"/>
      <c r="M32" s="495"/>
      <c r="Q32" s="628" t="s">
        <v>1407</v>
      </c>
      <c r="R32" s="628" t="s">
        <v>1408</v>
      </c>
      <c r="S32" s="628" t="s">
        <v>1113</v>
      </c>
      <c r="T32" s="628" t="s">
        <v>1409</v>
      </c>
      <c r="U32" s="628" t="s">
        <v>1556</v>
      </c>
    </row>
    <row r="33" spans="1:55" ht="15" customHeight="1" x14ac:dyDescent="0.25">
      <c r="A33" s="409" t="s">
        <v>802</v>
      </c>
      <c r="B33" s="3282" t="s">
        <v>576</v>
      </c>
      <c r="C33" s="3283"/>
      <c r="D33" s="3283"/>
      <c r="E33" s="496" t="s">
        <v>374</v>
      </c>
      <c r="F33" s="497"/>
      <c r="G33" s="498" t="str">
        <f>IFERROR(IF(ISBLANK($E33),"",VLOOKUP($E33,PO_Enrgy_1_Table,MATCH($E$16,PO_Enrgy_1_Hdr,0),FALSE)),"")</f>
        <v/>
      </c>
      <c r="H33" s="497"/>
      <c r="I33" s="499" t="str">
        <f>IFERROR(IF(ISBLANK($E33),"",VLOOKUP($E33,PO_Enrgy_1_Table,MATCH($C$16,PO_Enrgy_1_Hdr,0),FALSE)),"")</f>
        <v/>
      </c>
      <c r="J33" s="3284" t="str">
        <f t="shared" ref="J33:M34" si="0">IFERROR($H33*VLOOKUP($E33,PO_Enrgy_8_Table,MATCH($H$232,PO_Enrgy_8_Hdr,0),FALSE),"")</f>
        <v/>
      </c>
      <c r="K33" s="3285" t="str">
        <f t="shared" si="0"/>
        <v/>
      </c>
      <c r="L33" s="4204" t="str">
        <f t="shared" si="0"/>
        <v/>
      </c>
      <c r="M33" s="4204" t="str">
        <f t="shared" si="0"/>
        <v/>
      </c>
      <c r="Q33" s="627" t="str">
        <f>IFERROR(IF(ISBLANK($E33),"",VLOOKUP($E33,PO_Enrgy_1_Table,MATCH($K$16,PO_Enrgy_1_Hdr,0),FALSE)),"")</f>
        <v/>
      </c>
      <c r="R33" s="627" t="str">
        <f>IFERROR(IF(ISBLANK($E33),"",VLOOKUP($E33,PO_Enrgy_1_Table,MATCH($M$16,PO_Enrgy_1_Hdr,0),FALSE)),"")</f>
        <v/>
      </c>
      <c r="S33" s="627" t="str">
        <f>IFERROR((H33*VLOOKUP(I33,EnergyUnitsTable,3,FALSE))/(F33*VLOOKUP(G33,DemandTable,3,FALSE)),"")</f>
        <v/>
      </c>
      <c r="T33" s="629" t="str">
        <f>IFERROR($H33*VLOOKUP($E33,PO_Enrgy_8_Table,MATCH($H$232,PO_Enrgy_8_Hdr,0),FALSE),"")</f>
        <v/>
      </c>
      <c r="U33" s="632">
        <f>IFERROR(1-$J33/$T33,0)</f>
        <v>0</v>
      </c>
      <c r="AH33" s="417"/>
      <c r="AI33" s="418"/>
      <c r="AJ33" s="418"/>
      <c r="BC33" s="804"/>
    </row>
    <row r="34" spans="1:55" ht="15" customHeight="1" x14ac:dyDescent="0.25">
      <c r="A34" s="409"/>
      <c r="B34" s="3282" t="s">
        <v>551</v>
      </c>
      <c r="C34" s="3283"/>
      <c r="D34" s="3283"/>
      <c r="E34" s="496" t="s">
        <v>388</v>
      </c>
      <c r="F34" s="497"/>
      <c r="G34" s="498" t="str">
        <f>IFERROR(IF(ISBLANK($E34),"",VLOOKUP($E34,PO_Enrgy_1_Table,MATCH($E$16,PO_Enrgy_1_Hdr,0),FALSE)),"")</f>
        <v/>
      </c>
      <c r="H34" s="497"/>
      <c r="I34" s="499" t="str">
        <f>IFERROR(IF(ISBLANK($E34),"",VLOOKUP($E34,PO_Enrgy_1_Table,MATCH($C$16,PO_Enrgy_1_Hdr,0),FALSE)),"")</f>
        <v/>
      </c>
      <c r="J34" s="3284" t="str">
        <f t="shared" si="0"/>
        <v/>
      </c>
      <c r="K34" s="3285" t="str">
        <f t="shared" si="0"/>
        <v/>
      </c>
      <c r="L34" s="4204" t="str">
        <f t="shared" si="0"/>
        <v/>
      </c>
      <c r="M34" s="4204" t="str">
        <f t="shared" si="0"/>
        <v/>
      </c>
      <c r="Q34" s="627" t="str">
        <f>IFERROR(IF(ISBLANK($E34),"",VLOOKUP($E34,PO_Enrgy_1_Table,MATCH($K$16,PO_Enrgy_1_Hdr,0),FALSE)),"")</f>
        <v/>
      </c>
      <c r="R34" s="627" t="str">
        <f>IFERROR(IF(ISBLANK($E34),"",VLOOKUP($E34,PO_Enrgy_1_Table,MATCH($M$16,PO_Enrgy_1_Hdr,0),FALSE)),"")</f>
        <v/>
      </c>
      <c r="S34" s="627" t="str">
        <f>IFERROR((H34*VLOOKUP(I34,EnergyUnitsTable,3,FALSE))/(F34*VLOOKUP(G34,DemandTable,3,FALSE)),"")</f>
        <v/>
      </c>
      <c r="T34" s="629" t="str">
        <f>IFERROR($H34*VLOOKUP($E34,PO_Enrgy_8_Table,MATCH($H$232,PO_Enrgy_8_Hdr,0),FALSE),"")</f>
        <v/>
      </c>
      <c r="U34" s="632">
        <f>IFERROR(1-$J34/$T34,0)</f>
        <v>0</v>
      </c>
      <c r="AH34" s="417"/>
      <c r="AI34" s="418"/>
      <c r="AJ34" s="418"/>
      <c r="BC34" s="804"/>
    </row>
    <row r="35" spans="1:55" ht="18" customHeight="1" x14ac:dyDescent="0.25">
      <c r="A35" s="409"/>
      <c r="B35" s="3140" t="s">
        <v>1410</v>
      </c>
      <c r="C35" s="3281"/>
      <c r="D35" s="3281"/>
      <c r="E35" s="3281"/>
      <c r="F35" s="3281"/>
      <c r="G35" s="3281"/>
      <c r="H35" s="3281"/>
      <c r="I35" s="3281"/>
      <c r="J35" s="3281"/>
      <c r="K35" s="3281"/>
      <c r="L35" s="3281"/>
      <c r="M35" s="3281"/>
    </row>
    <row r="36" spans="1:55" ht="20.25" customHeight="1" x14ac:dyDescent="0.25">
      <c r="A36" s="409"/>
      <c r="B36" s="3140" t="s">
        <v>1411</v>
      </c>
      <c r="C36" s="3120"/>
      <c r="D36" s="3120"/>
      <c r="E36" s="3194" t="s">
        <v>396</v>
      </c>
      <c r="F36" s="3120"/>
      <c r="G36" s="3120"/>
      <c r="H36" s="3138" t="str">
        <f>CONCATENATE("Annual Source Energy Generated
 (", PO_SourceUnits, ")")</f>
        <v>Annual Source Energy Generated
 (Btu x 10^6)</v>
      </c>
      <c r="I36" s="3102"/>
      <c r="J36" s="3140" t="s">
        <v>998</v>
      </c>
      <c r="K36" s="3120"/>
      <c r="L36" s="3120"/>
      <c r="M36" s="3120"/>
    </row>
    <row r="37" spans="1:55" ht="20.25" customHeight="1" x14ac:dyDescent="0.25">
      <c r="A37" s="409"/>
      <c r="B37" s="3120"/>
      <c r="C37" s="3120"/>
      <c r="D37" s="3120"/>
      <c r="E37" s="3194" t="s">
        <v>1412</v>
      </c>
      <c r="F37" s="3120"/>
      <c r="G37" s="579" t="str">
        <f>CONCATENATE("Units = ", PO_SiteUnits,")")</f>
        <v>Units = Btu x 10^6)</v>
      </c>
      <c r="H37" s="3102"/>
      <c r="I37" s="3102"/>
      <c r="J37" s="3120"/>
      <c r="K37" s="3120"/>
      <c r="L37" s="3120"/>
      <c r="M37" s="3120"/>
    </row>
    <row r="38" spans="1:55" s="420" customFormat="1" ht="12.75" hidden="1" customHeight="1" x14ac:dyDescent="0.2">
      <c r="A38" s="419"/>
      <c r="B38" s="484" t="s">
        <v>1396</v>
      </c>
      <c r="C38" s="500"/>
      <c r="D38" s="500"/>
      <c r="E38" s="501" t="s">
        <v>1413</v>
      </c>
      <c r="F38" s="502" t="s">
        <v>1414</v>
      </c>
      <c r="G38" s="503" t="s">
        <v>1415</v>
      </c>
      <c r="H38" s="502" t="s">
        <v>1416</v>
      </c>
      <c r="I38" s="503"/>
      <c r="J38" s="502" t="s">
        <v>356</v>
      </c>
      <c r="K38" s="504"/>
      <c r="L38" s="505"/>
      <c r="M38" s="505"/>
      <c r="Q38" s="628" t="s">
        <v>1407</v>
      </c>
      <c r="R38" s="628" t="s">
        <v>1408</v>
      </c>
    </row>
    <row r="39" spans="1:55" ht="15" customHeight="1" x14ac:dyDescent="0.25">
      <c r="A39" s="409"/>
      <c r="B39" s="3117" t="str">
        <f>IFERROR(IF(ISBLANK(B17),"",B17),"")</f>
        <v/>
      </c>
      <c r="C39" s="4200"/>
      <c r="D39" s="4200"/>
      <c r="E39" s="506">
        <f>IFERROR(IF(PO_SiteRenewable=TRUE,SUMIF(INDEX(PO_renewable_table,0,MATCH($E$32,PO_renewable_hdr,0)),$B39,INDEX(PO_renewable_table,0,MATCH($H$32,PO_renewable_hdr,0))),""),"")</f>
        <v>0</v>
      </c>
      <c r="F39" s="507" t="str">
        <f>IFERROR(IF(ISBLANK($B39),"",VLOOKUP($B39,PO_Enrgy_1_Table,MATCH($C$16,PO_Enrgy_1_Hdr,0),FALSE)),"")</f>
        <v/>
      </c>
      <c r="G39" s="657" t="str">
        <f>IFERROR($E39*$Q39,"")</f>
        <v/>
      </c>
      <c r="H39" s="3119" t="str">
        <f>IFERROR($E39*$R39,"")</f>
        <v/>
      </c>
      <c r="I39" s="3089"/>
      <c r="J39" s="3121">
        <f>IFERROR(IF(PO_SiteRenewable=TRUE,SUMIF($E$33:$E$34,$B39,$J$33:$J$34),0),"")</f>
        <v>0</v>
      </c>
      <c r="K39" s="4201"/>
      <c r="L39" s="4201"/>
      <c r="M39" s="4201"/>
      <c r="Q39" s="627" t="str">
        <f>IFERROR(IF(ISBLANK($B39),"",VLOOKUP($B39,PO_Enrgy_1_Table,MATCH($K$16,PO_Enrgy_1_Hdr,0),FALSE)),"")</f>
        <v/>
      </c>
      <c r="R39" s="627" t="str">
        <f>IFERROR(IF(ISBLANK($B39),"",VLOOKUP($B39,PO_Enrgy_1_Table,MATCH($M$16,PO_Enrgy_1_Hdr,0),FALSE)),"")</f>
        <v/>
      </c>
      <c r="BC39" s="804"/>
    </row>
    <row r="40" spans="1:55" ht="15" customHeight="1" x14ac:dyDescent="0.25">
      <c r="A40" s="409"/>
      <c r="B40" s="3117" t="str">
        <f>IFERROR(IF(ISBLANK(B18),"",B18),"")</f>
        <v/>
      </c>
      <c r="C40" s="4200"/>
      <c r="D40" s="4200"/>
      <c r="E40" s="506">
        <f>IFERROR(IF(PO_SiteRenewable=TRUE,SUMIF(INDEX(PO_renewable_table,0,MATCH($E$32,PO_renewable_hdr,0)),$B40,INDEX(PO_renewable_table,0,MATCH($H$32,PO_renewable_hdr,0))),""),"")</f>
        <v>0</v>
      </c>
      <c r="F40" s="507" t="str">
        <f>IFERROR(IF(ISBLANK($B40),"",VLOOKUP($B40,PO_Enrgy_1_Table,MATCH($C$16,PO_Enrgy_1_Hdr,0),FALSE)),"")</f>
        <v/>
      </c>
      <c r="G40" s="657" t="str">
        <f>IFERROR($E40*$Q40,"")</f>
        <v/>
      </c>
      <c r="H40" s="3119" t="str">
        <f>IFERROR($E40*$R40,"")</f>
        <v/>
      </c>
      <c r="I40" s="3089"/>
      <c r="J40" s="3121">
        <f>IFERROR(IF(PO_SiteRenewable=TRUE,SUMIF($E$33:$E$34,$B40,$J$33:$J$34),0),"")</f>
        <v>0</v>
      </c>
      <c r="K40" s="4201"/>
      <c r="L40" s="4201"/>
      <c r="M40" s="4201"/>
      <c r="Q40" s="627" t="str">
        <f>IFERROR(IF(ISBLANK($B40),"",VLOOKUP($B40,PO_Enrgy_1_Table,MATCH($K$16,PO_Enrgy_1_Hdr,0),FALSE)),"")</f>
        <v/>
      </c>
      <c r="R40" s="627" t="str">
        <f>IFERROR(IF(ISBLANK($B40),"",VLOOKUP($B40,PO_Enrgy_1_Table,MATCH($M$16,PO_Enrgy_1_Hdr,0),FALSE)),"")</f>
        <v/>
      </c>
      <c r="BC40" s="804"/>
    </row>
    <row r="41" spans="1:55" ht="15" customHeight="1" x14ac:dyDescent="0.25">
      <c r="A41" s="409"/>
      <c r="B41" s="3117" t="str">
        <f>IFERROR(IF(ISBLANK(B19),"",B19),"")</f>
        <v/>
      </c>
      <c r="C41" s="4200"/>
      <c r="D41" s="4200"/>
      <c r="E41" s="506">
        <f>IFERROR(IF(PO_SiteRenewable=TRUE,SUMIF(INDEX(PO_renewable_table,0,MATCH($E$32,PO_renewable_hdr,0)),$B41,INDEX(PO_renewable_table,0,MATCH($H$32,PO_renewable_hdr,0))),""),"")</f>
        <v>0</v>
      </c>
      <c r="F41" s="507" t="str">
        <f>IFERROR(IF(ISBLANK($B41),"",VLOOKUP($B41,PO_Enrgy_1_Table,MATCH($C$16,PO_Enrgy_1_Hdr,0),FALSE)),"")</f>
        <v/>
      </c>
      <c r="G41" s="657" t="str">
        <f>IFERROR($E41*$Q41,"")</f>
        <v/>
      </c>
      <c r="H41" s="3119" t="str">
        <f>IFERROR($E41*$R41,"")</f>
        <v/>
      </c>
      <c r="I41" s="3089"/>
      <c r="J41" s="3121">
        <f>IFERROR(IF(PO_SiteRenewable=TRUE,SUMIF($E$33:$E$34,$B41,$J$33:$J$34),0),"")</f>
        <v>0</v>
      </c>
      <c r="K41" s="4201"/>
      <c r="L41" s="4201"/>
      <c r="M41" s="4201"/>
      <c r="Q41" s="627" t="str">
        <f>IFERROR(IF(ISBLANK($B41),"",VLOOKUP($B41,PO_Enrgy_1_Table,MATCH($K$16,PO_Enrgy_1_Hdr,0),FALSE)),"")</f>
        <v/>
      </c>
      <c r="R41" s="627" t="str">
        <f>IFERROR(IF(ISBLANK($B41),"",VLOOKUP($B41,PO_Enrgy_1_Table,MATCH($M$16,PO_Enrgy_1_Hdr,0),FALSE)),"")</f>
        <v/>
      </c>
      <c r="BC41" s="804"/>
    </row>
    <row r="42" spans="1:55" ht="21" customHeight="1" x14ac:dyDescent="0.25">
      <c r="A42" s="409"/>
      <c r="B42" s="4198" t="s">
        <v>15</v>
      </c>
      <c r="C42" s="4199"/>
      <c r="D42" s="4199"/>
      <c r="E42" s="4199"/>
      <c r="F42" s="4200"/>
      <c r="G42" s="508">
        <f>IFERROR(SUM(INDEX(PO_Enrgy_2_Table,0,MATCH($G$38,PO_Enrgy_2_Hdr,0))),"")</f>
        <v>0</v>
      </c>
      <c r="H42" s="3119">
        <f>IFERROR(SUM(INDEX(PO_Enrgy_2_Table,0,MATCH($H$38,PO_Enrgy_2_Hdr,0))),"")</f>
        <v>0</v>
      </c>
      <c r="I42" s="3089">
        <f>SUM(I38:I40)</f>
        <v>0</v>
      </c>
      <c r="J42" s="3121">
        <f>IFERROR(SUM(J32:J34),"")</f>
        <v>0</v>
      </c>
      <c r="K42" s="4201"/>
      <c r="L42" s="4201"/>
      <c r="M42" s="4201"/>
      <c r="BC42" s="804"/>
    </row>
    <row r="43" spans="1:55" ht="21" customHeight="1" x14ac:dyDescent="0.25">
      <c r="A43" s="409"/>
      <c r="B43" s="4202" t="s">
        <v>999</v>
      </c>
      <c r="C43" s="4200"/>
      <c r="D43" s="4200"/>
      <c r="E43" s="4200"/>
      <c r="F43" s="4200"/>
      <c r="G43" s="4200"/>
      <c r="H43" s="4200"/>
      <c r="I43" s="4200"/>
      <c r="J43" s="3256" t="str">
        <f>IF(Datacenter_Avg=TRUE,IFERROR($J42/$J$295,""),IFERROR($J42/$J$266,""))</f>
        <v/>
      </c>
      <c r="K43" s="4203"/>
      <c r="L43" s="4203"/>
      <c r="M43" s="4203"/>
      <c r="BC43" s="804"/>
    </row>
    <row r="44" spans="1:55" ht="33.75" customHeight="1" x14ac:dyDescent="0.25">
      <c r="A44" s="409" t="s">
        <v>1038</v>
      </c>
      <c r="B44" s="3244"/>
      <c r="C44" s="3245"/>
      <c r="D44" s="3245"/>
      <c r="E44" s="3245"/>
      <c r="F44" s="3245"/>
      <c r="G44" s="3245"/>
      <c r="H44" s="3245"/>
      <c r="I44" s="3245"/>
      <c r="J44" s="3245"/>
      <c r="K44" s="3245"/>
      <c r="L44" s="3245"/>
      <c r="M44" s="589"/>
    </row>
    <row r="45" spans="1:55" ht="33.75" customHeight="1" x14ac:dyDescent="0.25">
      <c r="A45" s="409" t="s">
        <v>1038</v>
      </c>
      <c r="B45" s="264"/>
      <c r="C45" s="243"/>
      <c r="D45" s="243"/>
      <c r="E45" s="243"/>
      <c r="F45" s="243"/>
      <c r="G45" s="243"/>
      <c r="H45" s="243"/>
      <c r="I45" s="243"/>
      <c r="J45" s="243"/>
      <c r="K45" s="243"/>
      <c r="L45" s="243"/>
      <c r="M45" s="589"/>
    </row>
    <row r="46" spans="1:55" ht="21" customHeight="1" x14ac:dyDescent="0.25">
      <c r="A46" s="409" t="s">
        <v>1038</v>
      </c>
      <c r="B46" s="312" t="s">
        <v>912</v>
      </c>
      <c r="C46" s="286"/>
      <c r="D46" s="286"/>
      <c r="E46" s="286"/>
      <c r="F46" s="286"/>
      <c r="G46" s="286"/>
      <c r="H46" s="286"/>
      <c r="I46" s="286"/>
      <c r="J46" s="286"/>
      <c r="K46" s="286"/>
      <c r="L46" s="286"/>
      <c r="M46" s="286"/>
      <c r="T46" s="631" t="s">
        <v>866</v>
      </c>
      <c r="AD46" s="247"/>
    </row>
    <row r="47" spans="1:55" ht="15" customHeight="1" x14ac:dyDescent="0.25">
      <c r="A47" s="409" t="s">
        <v>1038</v>
      </c>
      <c r="E47" s="272"/>
      <c r="T47" s="630" t="b">
        <v>1</v>
      </c>
    </row>
    <row r="48" spans="1:55" ht="21" customHeight="1" x14ac:dyDescent="0.25">
      <c r="A48" s="409" t="s">
        <v>1038</v>
      </c>
      <c r="B48" s="313" t="s">
        <v>1000</v>
      </c>
      <c r="C48" s="272"/>
    </row>
    <row r="49" spans="1:55" ht="125.25" hidden="1" customHeight="1" x14ac:dyDescent="0.25">
      <c r="A49" s="409" t="s">
        <v>1038</v>
      </c>
      <c r="B49" s="3201" t="s">
        <v>1032</v>
      </c>
      <c r="C49" s="3220"/>
      <c r="D49" s="3220"/>
      <c r="E49" s="3220"/>
      <c r="F49" s="3220"/>
      <c r="G49" s="3220"/>
      <c r="H49" s="3220"/>
      <c r="I49" s="3220"/>
      <c r="J49" s="3220"/>
      <c r="K49" s="3220"/>
      <c r="L49" s="3220"/>
      <c r="M49" s="3220"/>
    </row>
    <row r="50" spans="1:55" ht="15" customHeight="1" x14ac:dyDescent="0.25">
      <c r="A50" s="409" t="s">
        <v>1038</v>
      </c>
      <c r="E50" s="272"/>
      <c r="AD50" s="247"/>
    </row>
    <row r="51" spans="1:55" ht="21" customHeight="1" x14ac:dyDescent="0.25">
      <c r="A51" s="409" t="s">
        <v>1038</v>
      </c>
      <c r="B51" s="647" t="s">
        <v>1001</v>
      </c>
      <c r="C51" s="647"/>
      <c r="D51" s="647"/>
      <c r="E51" s="647"/>
      <c r="F51" s="647"/>
      <c r="G51" s="647"/>
      <c r="H51" s="647"/>
      <c r="I51" s="647"/>
      <c r="J51" s="647"/>
      <c r="K51" s="647"/>
      <c r="L51" s="647"/>
      <c r="M51" s="583"/>
    </row>
    <row r="52" spans="1:55" ht="136.5" customHeight="1" x14ac:dyDescent="0.25">
      <c r="A52" s="409" t="s">
        <v>1038</v>
      </c>
      <c r="B52" s="3246" t="s">
        <v>1465</v>
      </c>
      <c r="C52" s="3246"/>
      <c r="D52" s="3246"/>
      <c r="E52" s="3246"/>
      <c r="F52" s="3246"/>
      <c r="G52" s="3246"/>
      <c r="H52" s="3246"/>
      <c r="I52" s="3246"/>
      <c r="J52" s="3246"/>
      <c r="K52" s="3246"/>
      <c r="L52" s="3246"/>
      <c r="M52" s="3246"/>
    </row>
    <row r="53" spans="1:55" x14ac:dyDescent="0.25">
      <c r="A53" s="409" t="s">
        <v>1038</v>
      </c>
      <c r="B53" s="281"/>
      <c r="C53" s="197"/>
      <c r="D53" s="197"/>
      <c r="E53" s="197"/>
      <c r="F53" s="197"/>
      <c r="G53" s="197"/>
      <c r="H53" s="197"/>
      <c r="I53" s="197"/>
    </row>
    <row r="54" spans="1:55" ht="44.25" customHeight="1" x14ac:dyDescent="0.25">
      <c r="A54" s="409" t="s">
        <v>1038</v>
      </c>
      <c r="B54" s="3100" t="s">
        <v>1467</v>
      </c>
      <c r="C54" s="3100" t="s">
        <v>1002</v>
      </c>
      <c r="D54" s="3100" t="s">
        <v>395</v>
      </c>
      <c r="E54" s="3185"/>
      <c r="F54" s="3248" t="s">
        <v>394</v>
      </c>
      <c r="G54" s="3100" t="s">
        <v>1003</v>
      </c>
      <c r="H54" s="3250"/>
      <c r="I54" s="3250"/>
      <c r="J54" s="3250"/>
      <c r="K54" s="3250"/>
      <c r="L54" s="3100" t="s">
        <v>1417</v>
      </c>
      <c r="M54" s="3250"/>
      <c r="AS54" s="2"/>
      <c r="AT54" s="2"/>
      <c r="AU54" s="2"/>
      <c r="AV54" s="2"/>
      <c r="AW54" s="2"/>
      <c r="AX54" s="2"/>
      <c r="AY54" s="2"/>
      <c r="AZ54" s="2"/>
    </row>
    <row r="55" spans="1:55" ht="63.75" customHeight="1" x14ac:dyDescent="0.25">
      <c r="A55" s="409" t="s">
        <v>1038</v>
      </c>
      <c r="B55" s="3247"/>
      <c r="C55" s="3247"/>
      <c r="D55" s="3185"/>
      <c r="E55" s="3185"/>
      <c r="F55" s="3249"/>
      <c r="G55" s="3101" t="s">
        <v>1418</v>
      </c>
      <c r="H55" s="3253"/>
      <c r="I55" s="584" t="str">
        <f>CONCATENATE("Site Energy 
(Units = ", PO_SiteUnits,")")</f>
        <v>Site Energy 
(Units = Btu x 10^6)</v>
      </c>
      <c r="J55" s="3101" t="str">
        <f>"Source Energy Consumption 
("  &amp; PO_SourceUnits &amp; ")"</f>
        <v>Source Energy Consumption 
(Btu x 10^6)</v>
      </c>
      <c r="K55" s="3253"/>
      <c r="L55" s="3250"/>
      <c r="M55" s="3250"/>
      <c r="AR55" s="334"/>
      <c r="AS55" s="283"/>
      <c r="AT55" s="283"/>
      <c r="AU55" s="283"/>
      <c r="AV55" s="2"/>
      <c r="AW55" s="283"/>
      <c r="AX55" s="283"/>
      <c r="AY55" s="283"/>
      <c r="AZ55" s="2"/>
    </row>
    <row r="56" spans="1:55" s="414" customFormat="1" ht="21.75" hidden="1" customHeight="1" x14ac:dyDescent="0.25">
      <c r="A56" s="409" t="s">
        <v>1038</v>
      </c>
      <c r="B56" s="509" t="s">
        <v>1468</v>
      </c>
      <c r="C56" s="509" t="s">
        <v>1419</v>
      </c>
      <c r="D56" s="3254" t="s">
        <v>1396</v>
      </c>
      <c r="E56" s="3185"/>
      <c r="F56" s="649" t="s">
        <v>1420</v>
      </c>
      <c r="G56" s="421" t="s">
        <v>1413</v>
      </c>
      <c r="H56" s="421" t="s">
        <v>1414</v>
      </c>
      <c r="I56" s="503" t="s">
        <v>1415</v>
      </c>
      <c r="J56" s="422" t="s">
        <v>1416</v>
      </c>
      <c r="K56" s="421"/>
      <c r="L56" s="423" t="s">
        <v>356</v>
      </c>
      <c r="M56" s="421"/>
      <c r="Q56" s="415" t="s">
        <v>1407</v>
      </c>
      <c r="R56" s="415" t="s">
        <v>1408</v>
      </c>
      <c r="T56" s="415" t="s">
        <v>1409</v>
      </c>
      <c r="U56" s="415" t="s">
        <v>1556</v>
      </c>
      <c r="AR56" s="424"/>
      <c r="AS56" s="425"/>
      <c r="AT56" s="425"/>
      <c r="AU56" s="425"/>
      <c r="AV56" s="426"/>
      <c r="AW56" s="425"/>
      <c r="AX56" s="425"/>
      <c r="AY56" s="425"/>
      <c r="AZ56" s="426"/>
    </row>
    <row r="57" spans="1:55" s="414" customFormat="1" ht="15" hidden="1" customHeight="1" x14ac:dyDescent="0.25">
      <c r="A57" s="427" t="s">
        <v>803</v>
      </c>
      <c r="B57" s="646"/>
      <c r="C57" s="646"/>
      <c r="D57" s="4195"/>
      <c r="E57" s="3252"/>
      <c r="F57" s="510"/>
      <c r="G57" s="511"/>
      <c r="H57" s="654" t="str">
        <f>IFERROR(IF(ISBLANK($D57),"",VLOOKUP($D57,PO_Enrgy_1_Table,MATCH($C$16,PO_Enrgy_1_Hdr,0),FALSE)),"")</f>
        <v/>
      </c>
      <c r="I57" s="512" t="str">
        <f>IFERROR(VLOOKUP($D57,PO_Enrgy_1_Table,MATCH($K$16,PO_Enrgy_1_Hdr,0),FALSE)*$G57,"")</f>
        <v/>
      </c>
      <c r="J57" s="4196" t="str">
        <f>IFERROR(VLOOKUP($D57,PO_Enrgy_1_Table,MATCH($M$16,PO_Enrgy_1_Hdr,0),FALSE)*$G57,"")</f>
        <v/>
      </c>
      <c r="K57" s="4197"/>
      <c r="L57" s="3251" t="str">
        <f>IFERROR($G57*IF($F57="Subtract from Proposed",VLOOKUP($D57,PO_Enrgy_8_Table,MATCH($H$232,PO_Enrgy_8_Hdr,0),FALSE),VLOOKUP($D57,PO_Enrgy_8_Table,MATCH($E$232,PO_Enrgy_8_Hdr,0),FALSE)),"")</f>
        <v/>
      </c>
      <c r="M57" s="3252"/>
      <c r="Q57" s="633" t="str">
        <f>IFERROR(IF(ISBLANK($D57),"",VLOOKUP($D57,PO_Enrgy_1_Table,MATCH($K$16,PO_Enrgy_1_Hdr,0),FALSE)),"")</f>
        <v/>
      </c>
      <c r="R57" s="633" t="str">
        <f>IFERROR(IF(ISBLANK($D57),"",VLOOKUP($D57,PO_Enrgy_1_Table,MATCH($M$16,PO_Enrgy_1_Hdr,0),FALSE)),"")</f>
        <v/>
      </c>
      <c r="T57" s="634" t="str">
        <f>IFERROR($G57*IF($F57="Subtract from Proposed",VLOOKUP($D57,PO_Enrgy_8_Table,MATCH($H$232,PO_Enrgy_8_Hdr,0),FALSE),VLOOKUP($D57,PO_Enrgy_8_Table,MATCH($E$232,PO_Enrgy_8_Hdr,0),FALSE)),"")</f>
        <v/>
      </c>
      <c r="U57" s="632">
        <f>IFERROR(1-$J57/$T57,0)</f>
        <v>0</v>
      </c>
      <c r="AB57" s="428" t="s">
        <v>853</v>
      </c>
      <c r="AC57" s="429"/>
      <c r="AR57" s="430"/>
      <c r="AS57" s="431"/>
      <c r="AT57" s="431"/>
      <c r="AU57" s="431"/>
      <c r="AV57" s="432"/>
      <c r="AW57" s="431"/>
      <c r="AX57" s="431"/>
      <c r="AY57" s="431"/>
      <c r="AZ57" s="426"/>
      <c r="BC57" s="805"/>
    </row>
    <row r="58" spans="1:55" s="414" customFormat="1" ht="15" customHeight="1" x14ac:dyDescent="0.25">
      <c r="A58" s="427"/>
      <c r="B58" s="686">
        <v>1</v>
      </c>
      <c r="C58" s="686"/>
      <c r="D58" s="3109"/>
      <c r="E58" s="3114"/>
      <c r="F58" s="510"/>
      <c r="G58" s="519"/>
      <c r="H58" s="687" t="str">
        <f>IFERROR(IF(ISBLANK($D58),"",VLOOKUP($D58,PO_Enrgy_1_Table,MATCH($C$16,PO_Enrgy_1_Hdr,0),FALSE)),"")</f>
        <v/>
      </c>
      <c r="I58" s="688" t="str">
        <f>IFERROR(VLOOKUP($D58,PO_Enrgy_1_Table,MATCH($K$16,PO_Enrgy_1_Hdr,0),FALSE)*$G58,"")</f>
        <v/>
      </c>
      <c r="J58" s="3131" t="str">
        <f>IFERROR(VLOOKUP($D58,PO_Enrgy_1_Table,MATCH($M$16,PO_Enrgy_1_Hdr,0),FALSE)*$G58,"")</f>
        <v/>
      </c>
      <c r="K58" s="3132"/>
      <c r="L58" s="3251" t="str">
        <f>IFERROR($G58*IF($F58="Subtract from Proposed",VLOOKUP($D58,PO_Enrgy_8_Table,MATCH($H$232,PO_Enrgy_8_Hdr,0),FALSE),VLOOKUP($D58,PO_Enrgy_8_Table,MATCH($E$232,PO_Enrgy_8_Hdr,0),FALSE)),"")</f>
        <v/>
      </c>
      <c r="M58" s="3252"/>
      <c r="Q58" s="633" t="str">
        <f>IFERROR(IF(ISBLANK($D58),"",VLOOKUP($D58,PO_Enrgy_1_Table,MATCH($K$16,PO_Enrgy_1_Hdr,0),FALSE)),"")</f>
        <v/>
      </c>
      <c r="R58" s="633" t="str">
        <f>IFERROR(IF(ISBLANK($D58),"",VLOOKUP($D58,PO_Enrgy_1_Table,MATCH($M$16,PO_Enrgy_1_Hdr,0),FALSE)),"")</f>
        <v/>
      </c>
      <c r="T58" s="634" t="str">
        <f>IFERROR($G58*IF($F58="Subtract from Proposed",VLOOKUP($D58,PO_Enrgy_8_Table,MATCH($H$232,PO_Enrgy_8_Hdr,0),FALSE),VLOOKUP($D58,PO_Enrgy_8_Table,MATCH($E$232,PO_Enrgy_8_Hdr,0),FALSE)),"")</f>
        <v/>
      </c>
      <c r="U58" s="632">
        <f>IFERROR(1-$J58/$T58,0)</f>
        <v>0</v>
      </c>
      <c r="AB58" s="428"/>
      <c r="AC58" s="429"/>
      <c r="AR58" s="430"/>
      <c r="AS58" s="431"/>
      <c r="AT58" s="431"/>
      <c r="AU58" s="431"/>
      <c r="AV58" s="432"/>
      <c r="AW58" s="431"/>
      <c r="AX58" s="431"/>
      <c r="AY58" s="431"/>
      <c r="AZ58" s="426"/>
      <c r="BC58" s="805"/>
    </row>
    <row r="59" spans="1:55" s="414" customFormat="1" ht="15" customHeight="1" x14ac:dyDescent="0.25">
      <c r="A59" s="427"/>
      <c r="B59" s="686">
        <v>2</v>
      </c>
      <c r="C59" s="686"/>
      <c r="D59" s="3109"/>
      <c r="E59" s="3114"/>
      <c r="F59" s="510"/>
      <c r="G59" s="519"/>
      <c r="H59" s="687" t="str">
        <f>IFERROR(IF(ISBLANK($D59),"",VLOOKUP($D59,PO_Enrgy_1_Table,MATCH($C$16,PO_Enrgy_1_Hdr,0),FALSE)),"")</f>
        <v/>
      </c>
      <c r="I59" s="688" t="str">
        <f>IFERROR(VLOOKUP($D59,PO_Enrgy_1_Table,MATCH($K$16,PO_Enrgy_1_Hdr,0),FALSE)*$G59,"")</f>
        <v/>
      </c>
      <c r="J59" s="3131" t="str">
        <f>IFERROR(VLOOKUP($D59,PO_Enrgy_1_Table,MATCH($M$16,PO_Enrgy_1_Hdr,0),FALSE)*$G59,"")</f>
        <v/>
      </c>
      <c r="K59" s="3132"/>
      <c r="L59" s="3251" t="str">
        <f>IFERROR($G59*IF($F59="Subtract from Proposed",VLOOKUP($D59,PO_Enrgy_8_Table,MATCH($H$232,PO_Enrgy_8_Hdr,0),FALSE),VLOOKUP($D59,PO_Enrgy_8_Table,MATCH($E$232,PO_Enrgy_8_Hdr,0),FALSE)),"")</f>
        <v/>
      </c>
      <c r="M59" s="3252"/>
      <c r="Q59" s="633" t="str">
        <f>IFERROR(IF(ISBLANK($D59),"",VLOOKUP($D59,PO_Enrgy_1_Table,MATCH($K$16,PO_Enrgy_1_Hdr,0),FALSE)),"")</f>
        <v/>
      </c>
      <c r="R59" s="633" t="str">
        <f>IFERROR(IF(ISBLANK($D59),"",VLOOKUP($D59,PO_Enrgy_1_Table,MATCH($M$16,PO_Enrgy_1_Hdr,0),FALSE)),"")</f>
        <v/>
      </c>
      <c r="T59" s="634" t="str">
        <f>IFERROR($G59*IF($F59="Subtract from Proposed",VLOOKUP($D59,PO_Enrgy_8_Table,MATCH($H$232,PO_Enrgy_8_Hdr,0),FALSE),VLOOKUP($D59,PO_Enrgy_8_Table,MATCH($E$232,PO_Enrgy_8_Hdr,0),FALSE)),"")</f>
        <v/>
      </c>
      <c r="U59" s="632">
        <f>IFERROR(1-$J59/$T59,0)</f>
        <v>0</v>
      </c>
      <c r="AB59" s="428" t="s">
        <v>853</v>
      </c>
      <c r="AC59" s="429"/>
      <c r="AR59" s="430"/>
      <c r="AS59" s="431"/>
      <c r="AT59" s="431"/>
      <c r="AU59" s="431"/>
      <c r="AV59" s="432"/>
      <c r="AW59" s="431"/>
      <c r="AX59" s="431"/>
      <c r="AY59" s="431"/>
      <c r="AZ59" s="426"/>
      <c r="BC59" s="805"/>
    </row>
    <row r="60" spans="1:55" s="414" customFormat="1" ht="15" customHeight="1" x14ac:dyDescent="0.25">
      <c r="A60" s="427"/>
      <c r="B60" s="689">
        <v>3</v>
      </c>
      <c r="C60" s="689"/>
      <c r="D60" s="3235"/>
      <c r="E60" s="3236"/>
      <c r="F60" s="690"/>
      <c r="G60" s="691"/>
      <c r="H60" s="692" t="str">
        <f>IFERROR(IF(ISBLANK($D60),"",VLOOKUP($D60,PO_Enrgy_1_Table,MATCH($C$16,PO_Enrgy_1_Hdr,0),FALSE)),"")</f>
        <v/>
      </c>
      <c r="I60" s="693" t="str">
        <f>IFERROR(VLOOKUP($D60,PO_Enrgy_1_Table,MATCH($K$16,PO_Enrgy_1_Hdr,0),FALSE)*$G60,"")</f>
        <v/>
      </c>
      <c r="J60" s="3125" t="str">
        <f>IFERROR(VLOOKUP($D60,PO_Enrgy_1_Table,MATCH($M$16,PO_Enrgy_1_Hdr,0),FALSE)*$G60,"")</f>
        <v/>
      </c>
      <c r="K60" s="3126"/>
      <c r="L60" s="3237" t="str">
        <f>IFERROR($G60*IF($F60="Subtract from Proposed",VLOOKUP($D60,PO_Enrgy_8_Table,MATCH($H$232,PO_Enrgy_8_Hdr,0),FALSE),VLOOKUP($D60,PO_Enrgy_8_Table,MATCH($E$232,PO_Enrgy_8_Hdr,0),FALSE)),"")</f>
        <v/>
      </c>
      <c r="M60" s="3238"/>
      <c r="Q60" s="633" t="str">
        <f>IFERROR(IF(ISBLANK($D60),"",VLOOKUP($D60,PO_Enrgy_1_Table,MATCH($K$16,PO_Enrgy_1_Hdr,0),FALSE)),"")</f>
        <v/>
      </c>
      <c r="R60" s="633" t="str">
        <f>IFERROR(IF(ISBLANK($D60),"",VLOOKUP($D60,PO_Enrgy_1_Table,MATCH($M$16,PO_Enrgy_1_Hdr,0),FALSE)),"")</f>
        <v/>
      </c>
      <c r="T60" s="634" t="str">
        <f>IFERROR($G60*IF($F60="Subtract from Proposed",VLOOKUP($D60,PO_Enrgy_8_Table,MATCH($H$232,PO_Enrgy_8_Hdr,0),FALSE),VLOOKUP($D60,PO_Enrgy_8_Table,MATCH($E$232,PO_Enrgy_8_Hdr,0),FALSE)),"")</f>
        <v/>
      </c>
      <c r="U60" s="632">
        <f>IFERROR(1-$J60/$T60,0)</f>
        <v>0</v>
      </c>
      <c r="AB60" s="428" t="s">
        <v>853</v>
      </c>
      <c r="AC60" s="429"/>
      <c r="AR60" s="430"/>
      <c r="AS60" s="431"/>
      <c r="AT60" s="431"/>
      <c r="AU60" s="431"/>
      <c r="AV60" s="432"/>
      <c r="AW60" s="431"/>
      <c r="AX60" s="431"/>
      <c r="AY60" s="431"/>
      <c r="AZ60" s="426"/>
      <c r="BC60" s="805"/>
    </row>
    <row r="61" spans="1:55" s="245" customFormat="1" ht="21" customHeight="1" x14ac:dyDescent="0.25">
      <c r="A61" s="433"/>
      <c r="B61" s="3239" t="s">
        <v>1020</v>
      </c>
      <c r="C61" s="3240"/>
      <c r="D61" s="3240"/>
      <c r="E61" s="3240"/>
      <c r="F61" s="702"/>
      <c r="G61" s="703"/>
      <c r="H61" s="704"/>
      <c r="I61" s="703"/>
      <c r="J61" s="705"/>
      <c r="K61" s="705"/>
      <c r="L61" s="706"/>
      <c r="M61" s="707"/>
      <c r="AI61" s="259"/>
      <c r="AJ61" s="434"/>
      <c r="AK61" s="434"/>
      <c r="AL61" s="434"/>
      <c r="AM61" s="242"/>
      <c r="AN61" s="435"/>
      <c r="AO61" s="435"/>
      <c r="AP61" s="436"/>
      <c r="AQ61" s="2"/>
      <c r="AR61" s="2"/>
      <c r="AS61" s="2"/>
      <c r="AT61" s="2"/>
      <c r="AU61" s="2"/>
      <c r="AV61" s="2"/>
      <c r="AW61" s="2"/>
      <c r="AX61" s="2"/>
      <c r="AY61" s="2"/>
      <c r="AZ61" s="2"/>
    </row>
    <row r="62" spans="1:55" s="414" customFormat="1" ht="21.75" hidden="1" customHeight="1" x14ac:dyDescent="0.25">
      <c r="A62" s="427"/>
      <c r="B62" s="694" t="s">
        <v>1396</v>
      </c>
      <c r="C62" s="695"/>
      <c r="D62" s="695"/>
      <c r="E62" s="695"/>
      <c r="F62" s="696"/>
      <c r="G62" s="697" t="s">
        <v>1413</v>
      </c>
      <c r="H62" s="698" t="s">
        <v>1414</v>
      </c>
      <c r="I62" s="699" t="s">
        <v>1415</v>
      </c>
      <c r="J62" s="700" t="s">
        <v>1416</v>
      </c>
      <c r="K62" s="697"/>
      <c r="L62" s="701" t="s">
        <v>356</v>
      </c>
      <c r="M62" s="696"/>
      <c r="Q62" s="415" t="s">
        <v>1407</v>
      </c>
      <c r="R62" s="415" t="s">
        <v>1408</v>
      </c>
      <c r="AI62" s="426"/>
      <c r="AJ62" s="426"/>
      <c r="AK62" s="426"/>
      <c r="AL62" s="426"/>
      <c r="AM62" s="426"/>
      <c r="AN62" s="426"/>
      <c r="AO62" s="426"/>
      <c r="AP62" s="426"/>
      <c r="AQ62" s="426"/>
      <c r="AR62" s="437"/>
      <c r="AS62" s="437"/>
      <c r="AT62" s="437"/>
      <c r="AU62" s="437"/>
      <c r="AV62" s="426"/>
      <c r="AW62" s="437"/>
      <c r="AX62" s="437"/>
      <c r="AY62" s="437"/>
      <c r="AZ62" s="426"/>
    </row>
    <row r="63" spans="1:55" ht="15" customHeight="1" x14ac:dyDescent="0.25">
      <c r="A63" s="409"/>
      <c r="B63" s="3174" t="str">
        <f>IFERROR(IF(ISBLANK(B17),"",B17),"")</f>
        <v/>
      </c>
      <c r="C63" s="3174"/>
      <c r="D63" s="3174"/>
      <c r="E63" s="3174"/>
      <c r="F63" s="3241"/>
      <c r="G63" s="673">
        <f>IFERROR(IF(PO_ShowExCalc=TRUE,SUMIFS(INDEX(PO_ExCalc_Table,0,MATCH($G$56,PO_ExCalc_Hdr,0)),INDEX(PO_ExCalc_Table,0,MATCH($D$56,PO_ExCalc_Hdr,0)),$B63,INDEX(PO_ExCalc_Table,0,MATCH($F$56,PO_ExCalc_Hdr,0)),"Add to Baseline"),""),"")</f>
        <v>0</v>
      </c>
      <c r="H63" s="687" t="str">
        <f>IFERROR(IF(ISBLANK($B63),"",VLOOKUP($B63,PO_Enrgy_1_Table,MATCH($C$16,PO_Enrgy_1_Hdr,0),FALSE)),"")</f>
        <v/>
      </c>
      <c r="I63" s="673" t="str">
        <f>IFERROR($G63*$Q63,"")</f>
        <v/>
      </c>
      <c r="J63" s="3131" t="str">
        <f>IFERROR($G63*$R63,"")</f>
        <v/>
      </c>
      <c r="K63" s="3132" t="str">
        <f>IFERROR($G63*$Q63,"")</f>
        <v/>
      </c>
      <c r="L63" s="3133">
        <f>IFERROR(IF(PO_ShowExCalc=TRUE,SUMIFS(INDEX(PO_ExCalc_Table,0,MATCH($L$56,PO_ExCalc_Hdr,0)),INDEX(PO_ExCalc_Table,0,MATCH($D$56,PO_ExCalc_Hdr,0)),$B63,INDEX(PO_ExCalc_Table,0,MATCH($F$56,PO_ExCalc_Hdr,0)),"Add to Baseline"),""),"")</f>
        <v>0</v>
      </c>
      <c r="M63" s="3134">
        <f>IFERROR(IF(PO_ShowExCalc=TRUE,SUMIFS(M$57:M$60,$D$57:$D$60,$B63,$F$57:$F$60,"Add to Baseline"),""),"")</f>
        <v>0</v>
      </c>
      <c r="N63" s="438"/>
      <c r="Q63" s="627" t="str">
        <f>IFERROR(IF(ISBLANK($B63),"",VLOOKUP($B63,PO_Enrgy_1_Table,MATCH($K$16,PO_Enrgy_1_Hdr,0),FALSE)),"")</f>
        <v/>
      </c>
      <c r="R63" s="627" t="str">
        <f>IFERROR(IF(ISBLANK($B63),"",VLOOKUP($B63,PO_Enrgy_1_Table,MATCH($M$16,PO_Enrgy_1_Hdr,0),FALSE)),"")</f>
        <v/>
      </c>
      <c r="AC63" s="263"/>
      <c r="AI63" s="436"/>
      <c r="AJ63" s="292"/>
      <c r="AK63" s="434"/>
      <c r="AL63" s="439"/>
      <c r="AM63" s="2"/>
      <c r="AN63" s="2"/>
      <c r="AO63" s="2"/>
      <c r="AP63" s="440"/>
      <c r="AQ63" s="441"/>
      <c r="AR63" s="439"/>
      <c r="AS63" s="442"/>
      <c r="AT63" s="443"/>
      <c r="AU63" s="2"/>
      <c r="AV63" s="2"/>
      <c r="AW63" s="2"/>
      <c r="AX63" s="2"/>
      <c r="AY63" s="2"/>
      <c r="AZ63" s="2"/>
      <c r="BC63" s="804"/>
    </row>
    <row r="64" spans="1:55" ht="15" customHeight="1" x14ac:dyDescent="0.25">
      <c r="A64" s="409"/>
      <c r="B64" s="3123" t="str">
        <f>IFERROR(IF(ISBLANK(B18),"",B18),"")</f>
        <v/>
      </c>
      <c r="C64" s="3123"/>
      <c r="D64" s="3123"/>
      <c r="E64" s="3123"/>
      <c r="F64" s="3124"/>
      <c r="G64" s="708">
        <f>IFERROR(IF(PO_ShowExCalc=TRUE,SUMIFS(INDEX(PO_ExCalc_Table,0,MATCH($G$56,PO_ExCalc_Hdr,0)),INDEX(PO_ExCalc_Table,0,MATCH($D$56,PO_ExCalc_Hdr,0)),$B64,INDEX(PO_ExCalc_Table,0,MATCH($F$56,PO_ExCalc_Hdr,0)),"Add to Baseline"),""),"")</f>
        <v>0</v>
      </c>
      <c r="H64" s="692" t="str">
        <f>IFERROR(IF(ISBLANK($B64),"",VLOOKUP($B64,PO_Enrgy_1_Table,MATCH($C$16,PO_Enrgy_1_Hdr,0),FALSE)),"")</f>
        <v/>
      </c>
      <c r="I64" s="708" t="str">
        <f>IFERROR($G64*$Q64,"")</f>
        <v/>
      </c>
      <c r="J64" s="3125" t="str">
        <f>IFERROR($G64*$R64,"")</f>
        <v/>
      </c>
      <c r="K64" s="3126" t="str">
        <f>IFERROR($G64*$Q64,"")</f>
        <v/>
      </c>
      <c r="L64" s="3127">
        <f>IFERROR(IF(PO_ShowExCalc=TRUE,SUMIFS(INDEX(PO_ExCalc_Table,0,MATCH($L$56,PO_ExCalc_Hdr,0)),INDEX(PO_ExCalc_Table,0,MATCH($D$56,PO_ExCalc_Hdr,0)),$B64,INDEX(PO_ExCalc_Table,0,MATCH($F$56,PO_ExCalc_Hdr,0)),"Add to Baseline"),""),"")</f>
        <v>0</v>
      </c>
      <c r="M64" s="3128">
        <f>IFERROR(IF(PO_ShowExCalc=TRUE,SUMIFS(M$57:M$60,$D$57:$D$60,$B64,$F$57:$F$60,"Add to Baseline"),""),"")</f>
        <v>0</v>
      </c>
      <c r="Q64" s="627" t="str">
        <f>IFERROR(IF(ISBLANK($B64),"",VLOOKUP($B64,PO_Enrgy_1_Table,MATCH($K$16,PO_Enrgy_1_Hdr,0),FALSE)),"")</f>
        <v/>
      </c>
      <c r="R64" s="627" t="str">
        <f>IFERROR(IF(ISBLANK($B64),"",VLOOKUP($B64,PO_Enrgy_1_Table,MATCH($M$16,PO_Enrgy_1_Hdr,0),FALSE)),"")</f>
        <v/>
      </c>
      <c r="AC64" s="263"/>
      <c r="AI64" s="436"/>
      <c r="AJ64" s="292"/>
      <c r="AK64" s="434"/>
      <c r="AL64" s="439"/>
      <c r="AM64" s="2"/>
      <c r="AN64" s="2"/>
      <c r="AO64" s="2"/>
      <c r="AP64" s="440"/>
      <c r="AQ64" s="441"/>
      <c r="AR64" s="439"/>
      <c r="AS64" s="442"/>
      <c r="AT64" s="443"/>
      <c r="AU64" s="2"/>
      <c r="AV64" s="2"/>
      <c r="AW64" s="2"/>
      <c r="AX64" s="2"/>
      <c r="AY64" s="2"/>
      <c r="AZ64" s="2"/>
      <c r="BC64" s="804"/>
    </row>
    <row r="65" spans="1:60" ht="15" customHeight="1" x14ac:dyDescent="0.25">
      <c r="A65" s="409"/>
      <c r="B65" s="3123" t="str">
        <f>IFERROR(IF(ISBLANK(B19),"",B19),"")</f>
        <v/>
      </c>
      <c r="C65" s="3123"/>
      <c r="D65" s="3123"/>
      <c r="E65" s="3123"/>
      <c r="F65" s="3124"/>
      <c r="G65" s="708">
        <f>IFERROR(IF(PO_ShowExCalc=TRUE,SUMIFS(INDEX(PO_ExCalc_Table,0,MATCH($G$56,PO_ExCalc_Hdr,0)),INDEX(PO_ExCalc_Table,0,MATCH($D$56,PO_ExCalc_Hdr,0)),$B65,INDEX(PO_ExCalc_Table,0,MATCH($F$56,PO_ExCalc_Hdr,0)),"Add to Baseline"),""),"")</f>
        <v>0</v>
      </c>
      <c r="H65" s="692" t="str">
        <f>IFERROR(IF(ISBLANK($B65),"",VLOOKUP($B65,PO_Enrgy_1_Table,MATCH($C$16,PO_Enrgy_1_Hdr,0),FALSE)),"")</f>
        <v/>
      </c>
      <c r="I65" s="708" t="str">
        <f>IFERROR($G65*$Q65,"")</f>
        <v/>
      </c>
      <c r="J65" s="3125" t="str">
        <f>IFERROR($G65*$R65,"")</f>
        <v/>
      </c>
      <c r="K65" s="3126" t="str">
        <f>IFERROR($G65*$Q65,"")</f>
        <v/>
      </c>
      <c r="L65" s="3127">
        <f>IFERROR(IF(PO_ShowExCalc=TRUE,SUMIFS(INDEX(PO_ExCalc_Table,0,MATCH($L$56,PO_ExCalc_Hdr,0)),INDEX(PO_ExCalc_Table,0,MATCH($D$56,PO_ExCalc_Hdr,0)),$B65,INDEX(PO_ExCalc_Table,0,MATCH($F$56,PO_ExCalc_Hdr,0)),"Add to Baseline"),""),"")</f>
        <v>0</v>
      </c>
      <c r="M65" s="3128">
        <f>IFERROR(IF(PO_ShowExCalc=TRUE,SUMIFS(M$57:M$60,$D$57:$D$60,$B65,$F$57:$F$60,"Add to Baseline"),""),"")</f>
        <v>0</v>
      </c>
      <c r="Q65" s="627" t="str">
        <f>IFERROR(IF(ISBLANK($B65),"",VLOOKUP($B65,PO_Enrgy_1_Table,MATCH($K$16,PO_Enrgy_1_Hdr,0),FALSE)),"")</f>
        <v/>
      </c>
      <c r="R65" s="627" t="str">
        <f>IFERROR(IF(ISBLANK($B65),"",VLOOKUP($B65,PO_Enrgy_1_Table,MATCH($M$16,PO_Enrgy_1_Hdr,0),FALSE)),"")</f>
        <v/>
      </c>
      <c r="AC65" s="263"/>
      <c r="AI65" s="436"/>
      <c r="AJ65" s="292"/>
      <c r="AK65" s="434"/>
      <c r="AL65" s="439"/>
      <c r="AM65" s="2"/>
      <c r="AN65" s="2"/>
      <c r="AO65" s="2"/>
      <c r="AP65" s="440"/>
      <c r="AQ65" s="441"/>
      <c r="AR65" s="439"/>
      <c r="AS65" s="442"/>
      <c r="AT65" s="443"/>
      <c r="AU65" s="2"/>
      <c r="AV65" s="2"/>
      <c r="AW65" s="2"/>
      <c r="AX65" s="2"/>
      <c r="AY65" s="2"/>
      <c r="AZ65" s="2"/>
      <c r="BC65" s="804"/>
    </row>
    <row r="66" spans="1:60" s="245" customFormat="1" ht="21" customHeight="1" x14ac:dyDescent="0.25">
      <c r="A66" s="433"/>
      <c r="B66" s="3239" t="s">
        <v>1021</v>
      </c>
      <c r="C66" s="3240"/>
      <c r="D66" s="3240"/>
      <c r="E66" s="3240"/>
      <c r="F66" s="702"/>
      <c r="G66" s="703"/>
      <c r="H66" s="704"/>
      <c r="I66" s="703"/>
      <c r="J66" s="705"/>
      <c r="K66" s="705"/>
      <c r="L66" s="706"/>
      <c r="M66" s="707"/>
      <c r="AI66" s="259"/>
      <c r="AJ66" s="434"/>
      <c r="AK66" s="434"/>
      <c r="AL66" s="434"/>
      <c r="AM66" s="242"/>
      <c r="AN66" s="435"/>
      <c r="AO66" s="435"/>
      <c r="AP66" s="436"/>
      <c r="AQ66" s="2"/>
      <c r="AR66" s="2"/>
      <c r="AS66" s="2"/>
      <c r="AT66" s="2"/>
      <c r="AU66" s="2"/>
      <c r="AV66" s="2"/>
      <c r="AW66" s="2"/>
      <c r="AX66" s="2"/>
      <c r="AY66" s="2"/>
      <c r="AZ66" s="2"/>
    </row>
    <row r="67" spans="1:60" s="414" customFormat="1" ht="21.75" hidden="1" customHeight="1" x14ac:dyDescent="0.25">
      <c r="A67" s="427"/>
      <c r="B67" s="694" t="s">
        <v>1396</v>
      </c>
      <c r="C67" s="695"/>
      <c r="D67" s="695"/>
      <c r="E67" s="695"/>
      <c r="F67" s="696"/>
      <c r="G67" s="697" t="s">
        <v>1413</v>
      </c>
      <c r="H67" s="698" t="s">
        <v>1414</v>
      </c>
      <c r="I67" s="699" t="s">
        <v>1415</v>
      </c>
      <c r="J67" s="700" t="s">
        <v>1416</v>
      </c>
      <c r="K67" s="697"/>
      <c r="L67" s="701" t="s">
        <v>356</v>
      </c>
      <c r="M67" s="696"/>
      <c r="Q67" s="415" t="s">
        <v>1407</v>
      </c>
      <c r="R67" s="415" t="s">
        <v>1408</v>
      </c>
      <c r="AI67" s="426"/>
      <c r="AJ67" s="426"/>
      <c r="AK67" s="426"/>
      <c r="AL67" s="426"/>
      <c r="AM67" s="426"/>
      <c r="AN67" s="426"/>
      <c r="AO67" s="426"/>
      <c r="AP67" s="426"/>
      <c r="AQ67" s="426"/>
      <c r="AR67" s="437"/>
      <c r="AS67" s="437"/>
      <c r="AT67" s="437"/>
      <c r="AU67" s="437"/>
      <c r="AV67" s="426"/>
      <c r="AW67" s="437"/>
      <c r="AX67" s="437"/>
      <c r="AY67" s="437"/>
      <c r="AZ67" s="426"/>
    </row>
    <row r="68" spans="1:60" ht="15" customHeight="1" x14ac:dyDescent="0.25">
      <c r="A68" s="409"/>
      <c r="B68" s="3174" t="str">
        <f>IFERROR(IF(ISBLANK(B17),"",B17),"")</f>
        <v/>
      </c>
      <c r="C68" s="3174"/>
      <c r="D68" s="3174"/>
      <c r="E68" s="3174"/>
      <c r="F68" s="3241"/>
      <c r="G68" s="673">
        <f>IFERROR(IF(PO_ShowExCalc=TRUE,SUMIFS(INDEX(PO_ExCalc_Table,0,MATCH($G$56,PO_ExCalc_Hdr,0)),INDEX(PO_ExCalc_Table,0,MATCH($D$56,PO_ExCalc_Hdr,0)),$B68,INDEX(PO_ExCalc_Table,0,MATCH($F$56,PO_ExCalc_Hdr,0)),"Subtract from Proposed"),""),"")</f>
        <v>0</v>
      </c>
      <c r="H68" s="687" t="str">
        <f>IFERROR(IF(ISBLANK($B68),"",VLOOKUP($B68,PO_Enrgy_1_Table,MATCH($C$16,PO_Enrgy_1_Hdr,0),FALSE)),"")</f>
        <v/>
      </c>
      <c r="I68" s="673" t="str">
        <f>IFERROR($G68*$Q68,"")</f>
        <v/>
      </c>
      <c r="J68" s="3131" t="str">
        <f>IFERROR($G68*$R68,"")</f>
        <v/>
      </c>
      <c r="K68" s="3132" t="str">
        <f>IFERROR($G68*$Q68,"")</f>
        <v/>
      </c>
      <c r="L68" s="3133">
        <f>IFERROR(IF(PO_ShowExCalc=TRUE,SUMIFS(INDEX(PO_ExCalc_Table,0,MATCH($L$56,PO_ExCalc_Hdr,0)),INDEX(PO_ExCalc_Table,0,MATCH($D$56,PO_ExCalc_Hdr,0)),$B68,INDEX(PO_ExCalc_Table,0,MATCH($F$56,PO_ExCalc_Hdr,0)),"Subtract from Proposed"),""),"")</f>
        <v>0</v>
      </c>
      <c r="M68" s="3134">
        <f>IFERROR(IF(PO_ShowExCalc=TRUE,SUMIFS(M$57:M$60,$D$57:$D$60,$B68,$F$57:$F$60,"Add to Baseline"),""),"")</f>
        <v>0</v>
      </c>
      <c r="Q68" s="627" t="str">
        <f>IFERROR(IF(ISBLANK($B68),"",VLOOKUP($B68,PO_Enrgy_1_Table,MATCH($K$16,PO_Enrgy_1_Hdr,0),FALSE)),"")</f>
        <v/>
      </c>
      <c r="R68" s="627" t="str">
        <f>IFERROR(IF(ISBLANK($B68),"",VLOOKUP($B68,PO_Enrgy_1_Table,MATCH($M$16,PO_Enrgy_1_Hdr,0),FALSE)),"")</f>
        <v/>
      </c>
      <c r="AC68" s="263"/>
      <c r="AI68" s="436"/>
      <c r="AJ68" s="292"/>
      <c r="AK68" s="434"/>
      <c r="AL68" s="439"/>
      <c r="AM68" s="2"/>
      <c r="AN68" s="2"/>
      <c r="AO68" s="2"/>
      <c r="AP68" s="440"/>
      <c r="AQ68" s="441"/>
      <c r="AR68" s="439"/>
      <c r="AS68" s="442"/>
      <c r="AT68" s="443"/>
      <c r="AU68" s="2"/>
      <c r="AV68" s="2"/>
      <c r="AW68" s="2"/>
      <c r="AX68" s="2"/>
      <c r="AY68" s="2"/>
      <c r="AZ68" s="2"/>
      <c r="BC68" s="804"/>
    </row>
    <row r="69" spans="1:60" ht="15" customHeight="1" x14ac:dyDescent="0.25">
      <c r="A69" s="409"/>
      <c r="B69" s="3123" t="str">
        <f>IFERROR(IF(ISBLANK(B18),"",B18),"")</f>
        <v/>
      </c>
      <c r="C69" s="3123"/>
      <c r="D69" s="3123"/>
      <c r="E69" s="3123"/>
      <c r="F69" s="3124"/>
      <c r="G69" s="708">
        <f>IFERROR(IF(PO_ShowExCalc=TRUE,SUMIFS(INDEX(PO_ExCalc_Table,0,MATCH($G$56,PO_ExCalc_Hdr,0)),INDEX(PO_ExCalc_Table,0,MATCH($D$56,PO_ExCalc_Hdr,0)),$B69,INDEX(PO_ExCalc_Table,0,MATCH($F$56,PO_ExCalc_Hdr,0)),"Subtract from Proposed"),""),"")</f>
        <v>0</v>
      </c>
      <c r="H69" s="692" t="str">
        <f>IFERROR(IF(ISBLANK($B69),"",VLOOKUP($B69,PO_Enrgy_1_Table,MATCH($C$16,PO_Enrgy_1_Hdr,0),FALSE)),"")</f>
        <v/>
      </c>
      <c r="I69" s="673" t="str">
        <f>IFERROR($G69*$Q69,"")</f>
        <v/>
      </c>
      <c r="J69" s="3131" t="str">
        <f>IFERROR($G69*$R69,"")</f>
        <v/>
      </c>
      <c r="K69" s="3132" t="str">
        <f>IFERROR($G69*$Q69,"")</f>
        <v/>
      </c>
      <c r="L69" s="3133">
        <f>IFERROR(IF(PO_ShowExCalc=TRUE,SUMIFS(INDEX(PO_ExCalc_Table,0,MATCH($L$56,PO_ExCalc_Hdr,0)),INDEX(PO_ExCalc_Table,0,MATCH($D$56,PO_ExCalc_Hdr,0)),$B69,INDEX(PO_ExCalc_Table,0,MATCH($F$56,PO_ExCalc_Hdr,0)),"Subtract from Proposed"),""),"")</f>
        <v>0</v>
      </c>
      <c r="M69" s="3134">
        <f>IFERROR(IF(PO_ShowExCalc=TRUE,SUMIFS(M$57:M$60,$D$57:$D$60,$B69,$F$57:$F$60,"Add to Baseline"),""),"")</f>
        <v>0</v>
      </c>
      <c r="Q69" s="627" t="str">
        <f>IFERROR(IF(ISBLANK($B69),"",VLOOKUP($B69,PO_Enrgy_1_Table,MATCH($K$16,PO_Enrgy_1_Hdr,0),FALSE)),"")</f>
        <v/>
      </c>
      <c r="R69" s="627" t="str">
        <f>IFERROR(IF(ISBLANK($B69),"",VLOOKUP($B69,PO_Enrgy_1_Table,MATCH($M$16,PO_Enrgy_1_Hdr,0),FALSE)),"")</f>
        <v/>
      </c>
      <c r="AC69" s="263"/>
      <c r="AI69" s="436"/>
      <c r="AJ69" s="292"/>
      <c r="AK69" s="434"/>
      <c r="AL69" s="439"/>
      <c r="AM69" s="2"/>
      <c r="AN69" s="2"/>
      <c r="AO69" s="2"/>
      <c r="AP69" s="440"/>
      <c r="AQ69" s="441"/>
      <c r="AR69" s="439"/>
      <c r="AS69" s="442"/>
      <c r="AT69" s="443"/>
      <c r="AU69" s="2"/>
      <c r="AV69" s="2"/>
      <c r="AW69" s="2"/>
      <c r="AX69" s="2"/>
      <c r="AY69" s="2"/>
      <c r="AZ69" s="2"/>
      <c r="BC69" s="804"/>
    </row>
    <row r="70" spans="1:60" ht="15" customHeight="1" x14ac:dyDescent="0.25">
      <c r="A70" s="409"/>
      <c r="B70" s="3123" t="str">
        <f>IFERROR(IF(ISBLANK(B19),"",B19),"")</f>
        <v/>
      </c>
      <c r="C70" s="3123"/>
      <c r="D70" s="3123"/>
      <c r="E70" s="3123"/>
      <c r="F70" s="3124"/>
      <c r="G70" s="708">
        <f>IFERROR(IF(PO_ShowExCalc=TRUE,SUMIFS(INDEX(PO_ExCalc_Table,0,MATCH($G$56,PO_ExCalc_Hdr,0)),INDEX(PO_ExCalc_Table,0,MATCH($D$56,PO_ExCalc_Hdr,0)),$B70,INDEX(PO_ExCalc_Table,0,MATCH($F$56,PO_ExCalc_Hdr,0)),"Subtract from Proposed"),""),"")</f>
        <v>0</v>
      </c>
      <c r="H70" s="692" t="str">
        <f>IFERROR(IF(ISBLANK($B70),"",VLOOKUP($B70,PO_Enrgy_1_Table,MATCH($C$16,PO_Enrgy_1_Hdr,0),FALSE)),"")</f>
        <v/>
      </c>
      <c r="I70" s="673" t="str">
        <f>IFERROR($G70*$Q70,"")</f>
        <v/>
      </c>
      <c r="J70" s="3131" t="str">
        <f>IFERROR($G70*$R70,"")</f>
        <v/>
      </c>
      <c r="K70" s="3132" t="str">
        <f>IFERROR($G70*$Q70,"")</f>
        <v/>
      </c>
      <c r="L70" s="3133">
        <f>IFERROR(IF(PO_ShowExCalc=TRUE,SUMIFS(INDEX(PO_ExCalc_Table,0,MATCH($L$56,PO_ExCalc_Hdr,0)),INDEX(PO_ExCalc_Table,0,MATCH($D$56,PO_ExCalc_Hdr,0)),$B70,INDEX(PO_ExCalc_Table,0,MATCH($F$56,PO_ExCalc_Hdr,0)),"Subtract from Proposed"),""),"")</f>
        <v>0</v>
      </c>
      <c r="M70" s="3134">
        <f>IFERROR(IF(PO_ShowExCalc=TRUE,SUMIFS(M$57:M$60,$D$57:$D$60,$B70,$F$57:$F$60,"Add to Baseline"),""),"")</f>
        <v>0</v>
      </c>
      <c r="Q70" s="627" t="str">
        <f>IFERROR(IF(ISBLANK($B70),"",VLOOKUP($B70,PO_Enrgy_1_Table,MATCH($K$16,PO_Enrgy_1_Hdr,0),FALSE)),"")</f>
        <v/>
      </c>
      <c r="R70" s="627" t="str">
        <f>IFERROR(IF(ISBLANK($B70),"",VLOOKUP($B70,PO_Enrgy_1_Table,MATCH($M$16,PO_Enrgy_1_Hdr,0),FALSE)),"")</f>
        <v/>
      </c>
      <c r="AC70" s="263"/>
      <c r="AI70" s="436"/>
      <c r="AJ70" s="292"/>
      <c r="AK70" s="434"/>
      <c r="AL70" s="439"/>
      <c r="AM70" s="2"/>
      <c r="AN70" s="2"/>
      <c r="AO70" s="2"/>
      <c r="AP70" s="440"/>
      <c r="AQ70" s="441"/>
      <c r="AR70" s="439"/>
      <c r="AS70" s="442"/>
      <c r="AT70" s="443"/>
      <c r="AU70" s="2"/>
      <c r="AV70" s="2"/>
      <c r="AW70" s="2"/>
      <c r="AX70" s="2"/>
      <c r="AY70" s="2"/>
      <c r="AZ70" s="2"/>
      <c r="BC70" s="804"/>
    </row>
    <row r="71" spans="1:60" ht="21" customHeight="1" x14ac:dyDescent="0.25">
      <c r="A71" s="409"/>
      <c r="B71" s="3242" t="s">
        <v>1421</v>
      </c>
      <c r="C71" s="3240"/>
      <c r="D71" s="3240"/>
      <c r="E71" s="3240"/>
      <c r="F71" s="3240"/>
      <c r="G71" s="710"/>
      <c r="H71" s="711"/>
      <c r="I71" s="709">
        <f>IFERROR(SUM(INDEX(PO_Enrgy_3_Table,0,MATCH($I62,PO_Enrgy_3_Hdr,0)),INDEX(PO_Enrgy_4_Table,0,MATCH($I67,PO_Enrgy_4_Hdr,0))),"")</f>
        <v>0</v>
      </c>
      <c r="J71" s="3131">
        <f>IFERROR(SUM(INDEX(PO_Enrgy_3_Table,0,MATCH($J62,PO_Enrgy_3_Hdr,0)),INDEX(PO_Enrgy_4_Table,0,MATCH($J67,PO_Enrgy_4_Hdr,0))),"")</f>
        <v>0</v>
      </c>
      <c r="K71" s="3132">
        <f>IFERROR(SUM(K$35:K$69),0)</f>
        <v>0</v>
      </c>
      <c r="L71" s="3243">
        <f>IFERROR(SUM(INDEX(PO_Enrgy_3_Table,0,MATCH($L62,PO_Enrgy_3_Hdr,0)),INDEX(PO_Enrgy_4_Table,0,MATCH($L67,PO_Enrgy_4_Hdr,0))),"")</f>
        <v>0</v>
      </c>
      <c r="M71" s="3243">
        <f>IFERROR(SUM(M$35:M$69),0)</f>
        <v>0</v>
      </c>
      <c r="AI71" s="242"/>
      <c r="AJ71" s="444"/>
      <c r="AK71" s="444"/>
      <c r="AL71" s="444"/>
      <c r="AM71" s="444"/>
      <c r="AN71" s="2"/>
      <c r="AO71" s="2"/>
      <c r="AP71" s="440"/>
      <c r="AQ71" s="441"/>
      <c r="AR71" s="439"/>
      <c r="AS71" s="442"/>
      <c r="AT71" s="443"/>
      <c r="AU71" s="2"/>
      <c r="AV71" s="2"/>
      <c r="AW71" s="2"/>
      <c r="AX71" s="2"/>
      <c r="AY71" s="2"/>
      <c r="AZ71" s="2"/>
      <c r="BC71" s="804"/>
    </row>
    <row r="72" spans="1:60" s="245" customFormat="1" ht="53.25" customHeight="1" x14ac:dyDescent="0.25">
      <c r="A72" s="433" t="s">
        <v>1038</v>
      </c>
      <c r="C72" s="249"/>
      <c r="D72" s="249"/>
      <c r="E72" s="249"/>
      <c r="F72" s="249"/>
      <c r="G72" s="249"/>
      <c r="H72" s="249"/>
      <c r="I72" s="282"/>
      <c r="J72" s="282"/>
      <c r="K72" s="248"/>
      <c r="L72" s="248"/>
      <c r="M72" s="248"/>
      <c r="N72" s="282"/>
      <c r="AJ72" s="249"/>
      <c r="AK72" s="249"/>
      <c r="AL72" s="249"/>
      <c r="AM72" s="249"/>
      <c r="AN72" s="249"/>
      <c r="AO72" s="282"/>
      <c r="AP72" s="282"/>
    </row>
    <row r="73" spans="1:60" ht="196.5" customHeight="1" x14ac:dyDescent="0.25">
      <c r="A73" s="433" t="s">
        <v>1038</v>
      </c>
      <c r="B73" s="3246" t="s">
        <v>1030</v>
      </c>
      <c r="C73" s="3246"/>
      <c r="D73" s="3246"/>
      <c r="E73" s="3246"/>
      <c r="F73" s="3246"/>
      <c r="G73" s="3246"/>
      <c r="H73" s="3246"/>
      <c r="I73" s="3246"/>
      <c r="J73" s="3246"/>
      <c r="K73" s="3246"/>
      <c r="L73" s="3246"/>
      <c r="M73" s="3246"/>
      <c r="N73" s="262"/>
    </row>
    <row r="74" spans="1:60" ht="12.75" customHeight="1" x14ac:dyDescent="0.25">
      <c r="A74" s="433" t="s">
        <v>1038</v>
      </c>
      <c r="B74" s="281"/>
      <c r="C74" s="281"/>
      <c r="D74" s="281"/>
      <c r="E74" s="281"/>
      <c r="F74" s="281"/>
      <c r="G74" s="281"/>
      <c r="H74" s="281"/>
      <c r="I74" s="281"/>
      <c r="J74" s="281"/>
      <c r="K74" s="281"/>
      <c r="L74" s="281"/>
      <c r="M74" s="281"/>
    </row>
    <row r="75" spans="1:60" s="347" customFormat="1" ht="33" customHeight="1" x14ac:dyDescent="0.25">
      <c r="A75" s="433" t="s">
        <v>1038</v>
      </c>
      <c r="B75" s="196" t="s">
        <v>904</v>
      </c>
      <c r="E75" s="9"/>
      <c r="H75" s="9"/>
      <c r="I75" s="9"/>
      <c r="J75" s="9"/>
      <c r="M75" s="9"/>
      <c r="N75" s="9"/>
      <c r="O75" s="9"/>
      <c r="Q75" s="42"/>
      <c r="R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row>
    <row r="76" spans="1:60" ht="40.5" customHeight="1" x14ac:dyDescent="0.25">
      <c r="A76" s="433" t="s">
        <v>1038</v>
      </c>
      <c r="B76" s="4194" t="s">
        <v>1577</v>
      </c>
      <c r="C76" s="3289"/>
      <c r="D76" s="3289"/>
      <c r="E76" s="3289"/>
      <c r="F76" s="3289"/>
      <c r="G76" s="3289"/>
      <c r="H76" s="3289"/>
      <c r="I76" s="3289"/>
      <c r="J76" s="3289"/>
      <c r="K76" s="3289"/>
      <c r="L76" s="3289"/>
      <c r="M76" s="3289"/>
    </row>
    <row r="77" spans="1:60" ht="30" customHeight="1" x14ac:dyDescent="0.25">
      <c r="A77" s="433" t="s">
        <v>1038</v>
      </c>
      <c r="B77" s="3290" t="s">
        <v>934</v>
      </c>
      <c r="C77" s="3290"/>
      <c r="D77" s="3290"/>
      <c r="E77" s="3290"/>
      <c r="F77" s="3290"/>
      <c r="G77" s="3290"/>
      <c r="H77" s="3290"/>
      <c r="I77" s="3290"/>
      <c r="J77" s="3290"/>
      <c r="K77" s="3290"/>
      <c r="L77" s="3290"/>
      <c r="M77" s="3290"/>
      <c r="R77" s="627">
        <v>5</v>
      </c>
    </row>
    <row r="78" spans="1:60" ht="9" customHeight="1" x14ac:dyDescent="0.25">
      <c r="A78" s="433" t="s">
        <v>1038</v>
      </c>
      <c r="B78" s="314"/>
      <c r="C78" s="314"/>
      <c r="D78" s="314"/>
      <c r="E78" s="314"/>
      <c r="F78" s="314"/>
      <c r="G78" s="314"/>
      <c r="H78" s="314"/>
      <c r="I78" s="314"/>
      <c r="J78" s="314"/>
      <c r="K78" s="315"/>
      <c r="L78" s="315"/>
      <c r="M78" s="311"/>
    </row>
    <row r="79" spans="1:60" ht="42" customHeight="1" x14ac:dyDescent="0.25">
      <c r="A79" s="433" t="s">
        <v>1038</v>
      </c>
      <c r="B79" s="3291" t="s">
        <v>935</v>
      </c>
      <c r="C79" s="3291"/>
      <c r="D79" s="3291"/>
      <c r="E79" s="3291"/>
      <c r="F79" s="3291"/>
      <c r="G79" s="3291"/>
      <c r="H79" s="3291"/>
      <c r="I79" s="3291"/>
      <c r="J79" s="3291"/>
      <c r="K79" s="3291"/>
      <c r="L79" s="3291"/>
      <c r="M79" s="3291"/>
    </row>
    <row r="80" spans="1:60" ht="9" customHeight="1" x14ac:dyDescent="0.25">
      <c r="A80" s="433" t="s">
        <v>1038</v>
      </c>
      <c r="B80" s="314"/>
      <c r="C80" s="314"/>
      <c r="D80" s="314"/>
      <c r="E80" s="314"/>
      <c r="F80" s="314"/>
      <c r="G80" s="314"/>
      <c r="H80" s="314"/>
      <c r="I80" s="314"/>
      <c r="J80" s="314"/>
      <c r="K80" s="315"/>
      <c r="L80" s="315"/>
      <c r="M80" s="311"/>
    </row>
    <row r="81" spans="1:60" ht="34.5" customHeight="1" x14ac:dyDescent="0.25">
      <c r="A81" s="433" t="s">
        <v>1038</v>
      </c>
      <c r="B81" s="3291" t="s">
        <v>936</v>
      </c>
      <c r="C81" s="3291"/>
      <c r="D81" s="3291"/>
      <c r="E81" s="3291"/>
      <c r="F81" s="3291"/>
      <c r="G81" s="3291"/>
      <c r="H81" s="3291"/>
      <c r="I81" s="3291"/>
      <c r="J81" s="3291"/>
      <c r="K81" s="3291"/>
      <c r="L81" s="3291"/>
      <c r="M81" s="3291"/>
    </row>
    <row r="82" spans="1:60" ht="9" customHeight="1" x14ac:dyDescent="0.25">
      <c r="A82" s="433" t="s">
        <v>1038</v>
      </c>
      <c r="B82" s="314"/>
      <c r="C82" s="314"/>
      <c r="D82" s="314"/>
      <c r="E82" s="314"/>
      <c r="F82" s="314"/>
      <c r="G82" s="314"/>
      <c r="H82" s="314"/>
      <c r="I82" s="314"/>
      <c r="J82" s="314"/>
      <c r="K82" s="315"/>
      <c r="L82" s="315"/>
      <c r="M82" s="311"/>
    </row>
    <row r="83" spans="1:60" ht="30" customHeight="1" x14ac:dyDescent="0.25">
      <c r="A83" s="433" t="s">
        <v>1038</v>
      </c>
      <c r="B83" s="3291" t="s">
        <v>937</v>
      </c>
      <c r="C83" s="3291"/>
      <c r="D83" s="3291"/>
      <c r="E83" s="3291"/>
      <c r="F83" s="3291"/>
      <c r="G83" s="3291"/>
      <c r="H83" s="3291"/>
      <c r="I83" s="3291"/>
      <c r="J83" s="3291"/>
      <c r="K83" s="3291"/>
      <c r="L83" s="3291"/>
      <c r="M83" s="3291"/>
    </row>
    <row r="84" spans="1:60" ht="14.25" customHeight="1" x14ac:dyDescent="0.25">
      <c r="A84" s="433" t="s">
        <v>1038</v>
      </c>
      <c r="B84" s="3244"/>
      <c r="C84" s="3244"/>
      <c r="D84" s="3244"/>
      <c r="E84" s="3244"/>
      <c r="F84" s="3244"/>
      <c r="G84" s="3244"/>
      <c r="H84" s="3244"/>
      <c r="I84" s="3244"/>
      <c r="J84" s="3244"/>
      <c r="K84" s="3244"/>
      <c r="L84" s="3287"/>
      <c r="M84" s="3287"/>
    </row>
    <row r="85" spans="1:60" ht="33" customHeight="1" x14ac:dyDescent="0.25">
      <c r="A85" s="433" t="s">
        <v>1038</v>
      </c>
      <c r="B85" s="259"/>
      <c r="C85" s="264"/>
      <c r="D85" s="264"/>
      <c r="E85" s="264"/>
      <c r="F85" s="264"/>
      <c r="G85" s="264"/>
      <c r="H85" s="264"/>
      <c r="I85" s="264"/>
      <c r="J85" s="264"/>
      <c r="K85" s="264"/>
      <c r="L85" s="244"/>
      <c r="M85" s="244"/>
    </row>
    <row r="86" spans="1:60" s="347" customFormat="1" ht="33.75" customHeight="1" x14ac:dyDescent="0.25">
      <c r="A86" s="433" t="s">
        <v>1038</v>
      </c>
      <c r="B86" s="196" t="s">
        <v>905</v>
      </c>
      <c r="E86" s="9"/>
      <c r="H86" s="9"/>
      <c r="I86" s="9"/>
      <c r="J86" s="9"/>
      <c r="M86" s="9"/>
      <c r="N86" s="9"/>
      <c r="O86" s="9"/>
      <c r="Q86" s="42"/>
      <c r="R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row>
    <row r="87" spans="1:60" ht="21" customHeight="1" x14ac:dyDescent="0.25">
      <c r="A87" s="433" t="s">
        <v>1038</v>
      </c>
      <c r="B87" s="647" t="s">
        <v>1007</v>
      </c>
      <c r="C87" s="647"/>
      <c r="D87" s="647"/>
      <c r="E87" s="647"/>
      <c r="F87" s="647"/>
      <c r="G87" s="647"/>
      <c r="H87" s="647"/>
      <c r="I87" s="647"/>
      <c r="J87" s="647"/>
      <c r="K87" s="647"/>
      <c r="L87" s="647"/>
      <c r="M87" s="583"/>
    </row>
    <row r="88" spans="1:60" ht="33.75" customHeight="1" x14ac:dyDescent="0.25">
      <c r="A88" s="433" t="s">
        <v>1038</v>
      </c>
      <c r="B88" s="3201" t="s">
        <v>938</v>
      </c>
      <c r="C88" s="3201"/>
      <c r="D88" s="3201"/>
      <c r="E88" s="3201"/>
      <c r="F88" s="3201"/>
      <c r="G88" s="3201"/>
      <c r="H88" s="3201"/>
      <c r="I88" s="3201"/>
      <c r="J88" s="3201"/>
      <c r="K88" s="3201"/>
      <c r="L88" s="3201"/>
      <c r="M88" s="3201"/>
    </row>
    <row r="89" spans="1:60" ht="32.25" hidden="1" customHeight="1" x14ac:dyDescent="0.25">
      <c r="A89" s="433" t="s">
        <v>1038</v>
      </c>
      <c r="B89" s="3201" t="s">
        <v>950</v>
      </c>
      <c r="C89" s="3201"/>
      <c r="D89" s="3201"/>
      <c r="E89" s="3201"/>
      <c r="F89" s="3201"/>
      <c r="G89" s="3201"/>
      <c r="H89" s="3201"/>
      <c r="I89" s="3201"/>
      <c r="J89" s="3201"/>
      <c r="K89" s="3201"/>
      <c r="L89" s="3201"/>
      <c r="M89" s="3201"/>
    </row>
    <row r="90" spans="1:60" ht="33" hidden="1" customHeight="1" x14ac:dyDescent="0.25">
      <c r="A90" s="433" t="s">
        <v>1038</v>
      </c>
      <c r="B90" s="3201" t="s">
        <v>939</v>
      </c>
      <c r="C90" s="3201"/>
      <c r="D90" s="3201"/>
      <c r="E90" s="3201"/>
      <c r="F90" s="3201"/>
      <c r="G90" s="3201"/>
      <c r="H90" s="3201"/>
      <c r="I90" s="3201"/>
      <c r="J90" s="3201"/>
      <c r="K90" s="3201"/>
      <c r="L90" s="3201"/>
      <c r="M90" s="3201"/>
    </row>
    <row r="91" spans="1:60" ht="33" hidden="1" customHeight="1" x14ac:dyDescent="0.25">
      <c r="A91" s="433" t="s">
        <v>1038</v>
      </c>
      <c r="B91" s="3201" t="s">
        <v>953</v>
      </c>
      <c r="C91" s="3201"/>
      <c r="D91" s="3201"/>
      <c r="E91" s="3201"/>
      <c r="F91" s="3201"/>
      <c r="G91" s="3201"/>
      <c r="H91" s="3201"/>
      <c r="I91" s="3201"/>
      <c r="J91" s="3201"/>
      <c r="K91" s="3201"/>
      <c r="L91" s="3201"/>
      <c r="M91" s="3201"/>
    </row>
    <row r="92" spans="1:60" ht="33" hidden="1" customHeight="1" x14ac:dyDescent="0.25">
      <c r="A92" s="433" t="s">
        <v>1038</v>
      </c>
      <c r="B92" s="3201" t="s">
        <v>940</v>
      </c>
      <c r="C92" s="3220"/>
      <c r="D92" s="3220"/>
      <c r="E92" s="3220"/>
      <c r="F92" s="3220"/>
      <c r="G92" s="3220"/>
      <c r="H92" s="3220"/>
      <c r="I92" s="3220"/>
      <c r="J92" s="3220"/>
      <c r="K92" s="3220"/>
      <c r="L92" s="3220"/>
      <c r="M92" s="3220"/>
    </row>
    <row r="93" spans="1:60" ht="45" hidden="1" customHeight="1" x14ac:dyDescent="0.25">
      <c r="A93" s="433" t="s">
        <v>1038</v>
      </c>
      <c r="B93" s="3201" t="s">
        <v>1034</v>
      </c>
      <c r="C93" s="3220"/>
      <c r="D93" s="3220"/>
      <c r="E93" s="3220"/>
      <c r="F93" s="3220"/>
      <c r="G93" s="3220"/>
      <c r="H93" s="3220"/>
      <c r="I93" s="3220"/>
      <c r="J93" s="3220"/>
      <c r="K93" s="3220"/>
      <c r="L93" s="3220"/>
      <c r="M93" s="3220"/>
    </row>
    <row r="94" spans="1:60" ht="15" customHeight="1" x14ac:dyDescent="0.25">
      <c r="A94" s="433" t="s">
        <v>1038</v>
      </c>
      <c r="B94" s="261"/>
      <c r="C94" s="281"/>
      <c r="D94" s="281"/>
      <c r="E94" s="281"/>
      <c r="F94" s="281"/>
      <c r="G94" s="281"/>
      <c r="H94" s="281"/>
      <c r="I94" s="281"/>
      <c r="J94" s="281"/>
      <c r="K94" s="281"/>
      <c r="L94" s="281"/>
      <c r="M94" s="281"/>
    </row>
    <row r="95" spans="1:60" ht="92.25" customHeight="1" x14ac:dyDescent="0.25">
      <c r="A95" s="433" t="s">
        <v>1038</v>
      </c>
      <c r="B95" s="3140" t="s">
        <v>367</v>
      </c>
      <c r="C95" s="3140"/>
      <c r="D95" s="513" t="s">
        <v>366</v>
      </c>
      <c r="E95" s="580" t="s">
        <v>354</v>
      </c>
      <c r="F95" s="580" t="s">
        <v>1010</v>
      </c>
      <c r="G95" s="514" t="s">
        <v>373</v>
      </c>
      <c r="H95" s="514" t="s">
        <v>372</v>
      </c>
      <c r="I95" s="514" t="s">
        <v>371</v>
      </c>
      <c r="J95" s="514" t="s">
        <v>370</v>
      </c>
      <c r="K95" s="3140" t="s">
        <v>393</v>
      </c>
      <c r="L95" s="3138"/>
      <c r="M95" s="3102"/>
    </row>
    <row r="96" spans="1:60" ht="18.75" hidden="1" customHeight="1" x14ac:dyDescent="0.25">
      <c r="A96" s="433" t="s">
        <v>1038</v>
      </c>
      <c r="B96" s="469" t="s">
        <v>1422</v>
      </c>
      <c r="C96" s="469"/>
      <c r="D96" s="515" t="s">
        <v>1423</v>
      </c>
      <c r="E96" s="469" t="s">
        <v>1396</v>
      </c>
      <c r="F96" s="469" t="s">
        <v>1424</v>
      </c>
      <c r="G96" s="469" t="s">
        <v>1425</v>
      </c>
      <c r="H96" s="469" t="s">
        <v>1426</v>
      </c>
      <c r="I96" s="469" t="s">
        <v>1427</v>
      </c>
      <c r="J96" s="469" t="s">
        <v>1428</v>
      </c>
      <c r="K96" s="462" t="s">
        <v>1429</v>
      </c>
      <c r="L96" s="516"/>
      <c r="M96" s="517"/>
      <c r="Q96" s="628" t="s">
        <v>1407</v>
      </c>
      <c r="R96" s="628" t="s">
        <v>1408</v>
      </c>
      <c r="S96" s="628" t="s">
        <v>1113</v>
      </c>
    </row>
    <row r="97" spans="1:55" ht="15.75" customHeight="1" x14ac:dyDescent="0.25">
      <c r="A97" s="433" t="s">
        <v>1038</v>
      </c>
      <c r="B97" s="3228" t="s">
        <v>392</v>
      </c>
      <c r="C97" s="3230"/>
      <c r="D97" s="3159"/>
      <c r="E97" s="3158" t="s">
        <v>374</v>
      </c>
      <c r="F97" s="499" t="str">
        <f>IFERROR(IF(ISBLANK(E97),"","Consumption (" &amp; VLOOKUP($E97,PO_Enrgy_1_Table,MATCH($C$16,PO_Enrgy_1_Hdr,0),FALSE) &amp; ")"),"")</f>
        <v/>
      </c>
      <c r="G97" s="518"/>
      <c r="H97" s="518"/>
      <c r="I97" s="518"/>
      <c r="J97" s="518"/>
      <c r="K97" s="3160" t="str">
        <f t="shared" ref="K97:K144" si="1">IFERROR(AVERAGE(G97,H97,I97,J97),"")</f>
        <v/>
      </c>
      <c r="L97" s="3160"/>
      <c r="M97" s="4193"/>
      <c r="Q97" s="627" t="str">
        <f t="shared" ref="Q97:Q144" si="2">IFERROR(IF(ISBLANK($E97),"",VLOOKUP($E97,PO_Enrgy_1_Table,MATCH($K$16,PO_Enrgy_1_Hdr,0),FALSE)),"")</f>
        <v/>
      </c>
      <c r="R97" s="627" t="str">
        <f t="shared" ref="R97:R144" si="3">IFERROR(IF(ISBLANK($E97),"",VLOOKUP($E97,PO_Enrgy_1_Table,MATCH($M$16,PO_Enrgy_1_Hdr,0),FALSE)),"")</f>
        <v/>
      </c>
      <c r="S97" s="627" t="str">
        <f t="shared" ref="S97:S145" si="4">IFERROR(IF(FIND("Consumption",F97),(K97*VLOOKUP(MID(F97,FIND("(",F97)+1,LEN(F97)-FIND("(",F97)-1),EnergyUnitsTable,3,FALSE))/(K98*VLOOKUP(MID(F98,FIND("(",F98)+1,LEN(F98)-FIND("(",F98)-1),DemandTable,3,FALSE)),1),"")</f>
        <v/>
      </c>
      <c r="BC97" s="804"/>
    </row>
    <row r="98" spans="1:55" ht="16.2" customHeight="1" x14ac:dyDescent="0.25">
      <c r="A98" s="433" t="s">
        <v>1038</v>
      </c>
      <c r="B98" s="3230"/>
      <c r="C98" s="3230"/>
      <c r="D98" s="3159"/>
      <c r="E98" s="3158"/>
      <c r="F98" s="499" t="str">
        <f>IFERROR(IF(ISBLANK(E97),"","Demand (" &amp; VLOOKUP($E97,PO_Enrgy_1_Table,MATCH($E$16,PO_Enrgy_1_Hdr,0),FALSE) &amp; ")"),"")</f>
        <v/>
      </c>
      <c r="G98" s="519"/>
      <c r="H98" s="519"/>
      <c r="I98" s="519"/>
      <c r="J98" s="519"/>
      <c r="K98" s="3160" t="str">
        <f t="shared" si="1"/>
        <v/>
      </c>
      <c r="L98" s="3160"/>
      <c r="M98" s="4193"/>
      <c r="Q98" s="627" t="str">
        <f t="shared" si="2"/>
        <v/>
      </c>
      <c r="R98" s="627" t="str">
        <f t="shared" si="3"/>
        <v/>
      </c>
      <c r="S98" s="627" t="str">
        <f t="shared" si="4"/>
        <v/>
      </c>
      <c r="BC98" s="804"/>
    </row>
    <row r="99" spans="1:55" ht="16.2" customHeight="1" x14ac:dyDescent="0.25">
      <c r="A99" s="433" t="s">
        <v>1038</v>
      </c>
      <c r="B99" s="3228" t="s">
        <v>391</v>
      </c>
      <c r="C99" s="3228"/>
      <c r="D99" s="3159"/>
      <c r="E99" s="3158" t="s">
        <v>374</v>
      </c>
      <c r="F99" s="499" t="str">
        <f>IFERROR(IF(ISBLANK(E99),"","Consumption (" &amp; VLOOKUP($E99,PO_Enrgy_1_Table,MATCH($C$16,PO_Enrgy_1_Hdr,0),FALSE) &amp; ")"),"")</f>
        <v/>
      </c>
      <c r="G99" s="525"/>
      <c r="H99" s="525"/>
      <c r="I99" s="525"/>
      <c r="J99" s="525"/>
      <c r="K99" s="3160" t="str">
        <f t="shared" si="1"/>
        <v/>
      </c>
      <c r="L99" s="3160"/>
      <c r="M99" s="4193"/>
      <c r="Q99" s="627" t="str">
        <f t="shared" si="2"/>
        <v/>
      </c>
      <c r="R99" s="627" t="str">
        <f t="shared" si="3"/>
        <v/>
      </c>
      <c r="S99" s="627" t="str">
        <f t="shared" si="4"/>
        <v/>
      </c>
      <c r="BC99" s="804"/>
    </row>
    <row r="100" spans="1:55" ht="16.2" customHeight="1" x14ac:dyDescent="0.25">
      <c r="A100" s="433" t="s">
        <v>1038</v>
      </c>
      <c r="B100" s="3228"/>
      <c r="C100" s="3228"/>
      <c r="D100" s="3159"/>
      <c r="E100" s="3158"/>
      <c r="F100" s="499" t="str">
        <f>IFERROR(IF(ISBLANK(E99),"","Demand (" &amp; VLOOKUP($E99,PO_Enrgy_1_Table,MATCH($E$16,PO_Enrgy_1_Hdr,0),FALSE) &amp; ")"),"")</f>
        <v/>
      </c>
      <c r="G100" s="526"/>
      <c r="H100" s="526"/>
      <c r="I100" s="526"/>
      <c r="J100" s="526"/>
      <c r="K100" s="3160" t="str">
        <f t="shared" si="1"/>
        <v/>
      </c>
      <c r="L100" s="3160"/>
      <c r="M100" s="4193"/>
      <c r="Q100" s="627" t="str">
        <f t="shared" si="2"/>
        <v/>
      </c>
      <c r="R100" s="627" t="str">
        <f t="shared" si="3"/>
        <v/>
      </c>
      <c r="S100" s="627" t="str">
        <f t="shared" si="4"/>
        <v/>
      </c>
      <c r="BC100" s="804"/>
    </row>
    <row r="101" spans="1:55" ht="16.2" customHeight="1" x14ac:dyDescent="0.25">
      <c r="A101" s="433" t="s">
        <v>1038</v>
      </c>
      <c r="B101" s="3228" t="s">
        <v>390</v>
      </c>
      <c r="C101" s="3228"/>
      <c r="D101" s="3159"/>
      <c r="E101" s="3158" t="s">
        <v>388</v>
      </c>
      <c r="F101" s="499" t="str">
        <f>IFERROR(IF(ISBLANK(E101),"","Consumption (" &amp; VLOOKUP($E101,PO_Enrgy_1_Table,MATCH($C$16,PO_Enrgy_1_Hdr,0),FALSE) &amp; ")"),"")</f>
        <v/>
      </c>
      <c r="G101" s="518"/>
      <c r="H101" s="518"/>
      <c r="I101" s="518"/>
      <c r="J101" s="518"/>
      <c r="K101" s="3160" t="str">
        <f t="shared" si="1"/>
        <v/>
      </c>
      <c r="L101" s="3160"/>
      <c r="M101" s="4193"/>
      <c r="Q101" s="627" t="str">
        <f t="shared" si="2"/>
        <v/>
      </c>
      <c r="R101" s="627" t="str">
        <f t="shared" si="3"/>
        <v/>
      </c>
      <c r="S101" s="627" t="str">
        <f t="shared" si="4"/>
        <v/>
      </c>
      <c r="BC101" s="804"/>
    </row>
    <row r="102" spans="1:55" ht="16.2" customHeight="1" x14ac:dyDescent="0.25">
      <c r="A102" s="433" t="s">
        <v>1038</v>
      </c>
      <c r="B102" s="3228"/>
      <c r="C102" s="3228"/>
      <c r="D102" s="3159"/>
      <c r="E102" s="3158"/>
      <c r="F102" s="499" t="str">
        <f>IFERROR(IF(ISBLANK(E101),"","Demand (" &amp; VLOOKUP($E101,PO_Enrgy_1_Table,MATCH($E$16,PO_Enrgy_1_Hdr,0),FALSE) &amp; ")"),"")</f>
        <v/>
      </c>
      <c r="G102" s="519"/>
      <c r="H102" s="519"/>
      <c r="I102" s="519"/>
      <c r="J102" s="519"/>
      <c r="K102" s="3160" t="str">
        <f t="shared" si="1"/>
        <v/>
      </c>
      <c r="L102" s="3160"/>
      <c r="M102" s="4193"/>
      <c r="Q102" s="627" t="str">
        <f t="shared" si="2"/>
        <v/>
      </c>
      <c r="R102" s="627" t="str">
        <f t="shared" si="3"/>
        <v/>
      </c>
      <c r="S102" s="627" t="str">
        <f t="shared" si="4"/>
        <v/>
      </c>
      <c r="BC102" s="804"/>
    </row>
    <row r="103" spans="1:55" ht="16.2" customHeight="1" x14ac:dyDescent="0.25">
      <c r="A103" s="433" t="s">
        <v>1038</v>
      </c>
      <c r="B103" s="3228" t="s">
        <v>389</v>
      </c>
      <c r="C103" s="3228"/>
      <c r="D103" s="3159"/>
      <c r="E103" s="3158" t="s">
        <v>374</v>
      </c>
      <c r="F103" s="499" t="str">
        <f>IFERROR(IF(ISBLANK(E103),"","Consumption (" &amp; VLOOKUP($E103,PO_Enrgy_1_Table,MATCH($C$16,PO_Enrgy_1_Hdr,0),FALSE) &amp; ")"),"")</f>
        <v/>
      </c>
      <c r="G103" s="518"/>
      <c r="H103" s="518"/>
      <c r="I103" s="518"/>
      <c r="J103" s="518"/>
      <c r="K103" s="3160" t="str">
        <f t="shared" si="1"/>
        <v/>
      </c>
      <c r="L103" s="3160"/>
      <c r="M103" s="4193"/>
      <c r="Q103" s="627" t="str">
        <f t="shared" si="2"/>
        <v/>
      </c>
      <c r="R103" s="627" t="str">
        <f t="shared" si="3"/>
        <v/>
      </c>
      <c r="S103" s="627" t="str">
        <f t="shared" si="4"/>
        <v/>
      </c>
      <c r="BC103" s="804"/>
    </row>
    <row r="104" spans="1:55" ht="16.2" customHeight="1" x14ac:dyDescent="0.25">
      <c r="A104" s="433" t="s">
        <v>1038</v>
      </c>
      <c r="B104" s="3228"/>
      <c r="C104" s="3228"/>
      <c r="D104" s="3159"/>
      <c r="E104" s="3158"/>
      <c r="F104" s="499" t="str">
        <f>IFERROR(IF(ISBLANK(E103),"","Demand (" &amp; VLOOKUP($E103,PO_Enrgy_1_Table,MATCH($E$16,PO_Enrgy_1_Hdr,0),FALSE) &amp; ")"),"")</f>
        <v/>
      </c>
      <c r="G104" s="519"/>
      <c r="H104" s="519"/>
      <c r="I104" s="519"/>
      <c r="J104" s="519"/>
      <c r="K104" s="3160" t="str">
        <f t="shared" si="1"/>
        <v/>
      </c>
      <c r="L104" s="3160"/>
      <c r="M104" s="4193"/>
      <c r="Q104" s="627" t="str">
        <f t="shared" si="2"/>
        <v/>
      </c>
      <c r="R104" s="627" t="str">
        <f t="shared" si="3"/>
        <v/>
      </c>
      <c r="S104" s="627" t="str">
        <f t="shared" si="4"/>
        <v/>
      </c>
      <c r="BC104" s="804"/>
    </row>
    <row r="105" spans="1:55" ht="16.2" customHeight="1" x14ac:dyDescent="0.25">
      <c r="A105" s="433" t="s">
        <v>1038</v>
      </c>
      <c r="B105" s="3228" t="s">
        <v>387</v>
      </c>
      <c r="C105" s="3228"/>
      <c r="D105" s="3159"/>
      <c r="E105" s="3158" t="s">
        <v>374</v>
      </c>
      <c r="F105" s="499" t="str">
        <f>IFERROR(IF(ISBLANK(E105),"","Consumption (" &amp; VLOOKUP($E105,PO_Enrgy_1_Table,MATCH($C$16,PO_Enrgy_1_Hdr,0),FALSE) &amp; ")"),"")</f>
        <v/>
      </c>
      <c r="G105" s="518"/>
      <c r="H105" s="518"/>
      <c r="I105" s="518"/>
      <c r="J105" s="518"/>
      <c r="K105" s="3160" t="str">
        <f t="shared" si="1"/>
        <v/>
      </c>
      <c r="L105" s="3160"/>
      <c r="M105" s="4193"/>
      <c r="Q105" s="627" t="str">
        <f t="shared" si="2"/>
        <v/>
      </c>
      <c r="R105" s="627" t="str">
        <f t="shared" si="3"/>
        <v/>
      </c>
      <c r="S105" s="627" t="str">
        <f t="shared" si="4"/>
        <v/>
      </c>
      <c r="BC105" s="804"/>
    </row>
    <row r="106" spans="1:55" ht="16.2" customHeight="1" x14ac:dyDescent="0.25">
      <c r="A106" s="433" t="s">
        <v>1038</v>
      </c>
      <c r="B106" s="3228"/>
      <c r="C106" s="3228"/>
      <c r="D106" s="3159"/>
      <c r="E106" s="3158"/>
      <c r="F106" s="499" t="str">
        <f>IFERROR(IF(ISBLANK(E105),"","Demand (" &amp; VLOOKUP($E105,PO_Enrgy_1_Table,MATCH($E$16,PO_Enrgy_1_Hdr,0),FALSE) &amp; ")"),"")</f>
        <v/>
      </c>
      <c r="G106" s="519"/>
      <c r="H106" s="519"/>
      <c r="I106" s="519"/>
      <c r="J106" s="519"/>
      <c r="K106" s="3160" t="str">
        <f t="shared" si="1"/>
        <v/>
      </c>
      <c r="L106" s="3160"/>
      <c r="M106" s="4193"/>
      <c r="Q106" s="627" t="str">
        <f t="shared" si="2"/>
        <v/>
      </c>
      <c r="R106" s="627" t="str">
        <f t="shared" si="3"/>
        <v/>
      </c>
      <c r="S106" s="627" t="str">
        <f t="shared" si="4"/>
        <v/>
      </c>
      <c r="BC106" s="804"/>
    </row>
    <row r="107" spans="1:55" ht="16.2" customHeight="1" x14ac:dyDescent="0.25">
      <c r="A107" s="433" t="s">
        <v>1038</v>
      </c>
      <c r="B107" s="3228" t="s">
        <v>386</v>
      </c>
      <c r="C107" s="3228"/>
      <c r="D107" s="3159"/>
      <c r="E107" s="3158" t="s">
        <v>374</v>
      </c>
      <c r="F107" s="499" t="str">
        <f>IFERROR(IF(ISBLANK(E107),"","Consumption (" &amp; VLOOKUP($E107,PO_Enrgy_1_Table,MATCH($C$16,PO_Enrgy_1_Hdr,0),FALSE) &amp; ")"),"")</f>
        <v/>
      </c>
      <c r="G107" s="518"/>
      <c r="H107" s="518"/>
      <c r="I107" s="518"/>
      <c r="J107" s="518"/>
      <c r="K107" s="3160" t="str">
        <f t="shared" si="1"/>
        <v/>
      </c>
      <c r="L107" s="3160"/>
      <c r="M107" s="4193"/>
      <c r="Q107" s="627" t="str">
        <f t="shared" si="2"/>
        <v/>
      </c>
      <c r="R107" s="627" t="str">
        <f t="shared" si="3"/>
        <v/>
      </c>
      <c r="S107" s="627" t="str">
        <f t="shared" si="4"/>
        <v/>
      </c>
      <c r="BC107" s="804"/>
    </row>
    <row r="108" spans="1:55" ht="16.2" customHeight="1" x14ac:dyDescent="0.25">
      <c r="A108" s="433" t="s">
        <v>1038</v>
      </c>
      <c r="B108" s="3228"/>
      <c r="C108" s="3228"/>
      <c r="D108" s="3159"/>
      <c r="E108" s="3158"/>
      <c r="F108" s="499" t="str">
        <f>IFERROR(IF(ISBLANK(E107),"","Demand (" &amp; VLOOKUP($E107,PO_Enrgy_1_Table,MATCH($E$16,PO_Enrgy_1_Hdr,0),FALSE) &amp; ")"),"")</f>
        <v/>
      </c>
      <c r="G108" s="519"/>
      <c r="H108" s="519"/>
      <c r="I108" s="519"/>
      <c r="J108" s="519"/>
      <c r="K108" s="3160" t="str">
        <f t="shared" si="1"/>
        <v/>
      </c>
      <c r="L108" s="3160"/>
      <c r="M108" s="4193"/>
      <c r="Q108" s="627" t="str">
        <f t="shared" si="2"/>
        <v/>
      </c>
      <c r="R108" s="627" t="str">
        <f t="shared" si="3"/>
        <v/>
      </c>
      <c r="S108" s="627" t="str">
        <f t="shared" si="4"/>
        <v/>
      </c>
      <c r="BC108" s="804"/>
    </row>
    <row r="109" spans="1:55" ht="16.2" customHeight="1" x14ac:dyDescent="0.25">
      <c r="A109" s="433" t="s">
        <v>1038</v>
      </c>
      <c r="B109" s="3228" t="s">
        <v>385</v>
      </c>
      <c r="C109" s="3228"/>
      <c r="D109" s="3159"/>
      <c r="E109" s="3158" t="s">
        <v>374</v>
      </c>
      <c r="F109" s="499" t="str">
        <f>IFERROR(IF(ISBLANK(E109),"","Consumption (" &amp; VLOOKUP($E109,PO_Enrgy_1_Table,MATCH($C$16,PO_Enrgy_1_Hdr,0),FALSE) &amp; ")"),"")</f>
        <v/>
      </c>
      <c r="G109" s="518"/>
      <c r="H109" s="518"/>
      <c r="I109" s="518"/>
      <c r="J109" s="518"/>
      <c r="K109" s="3160" t="str">
        <f t="shared" si="1"/>
        <v/>
      </c>
      <c r="L109" s="3160"/>
      <c r="M109" s="4193"/>
      <c r="Q109" s="627" t="str">
        <f t="shared" si="2"/>
        <v/>
      </c>
      <c r="R109" s="627" t="str">
        <f t="shared" si="3"/>
        <v/>
      </c>
      <c r="S109" s="627" t="str">
        <f t="shared" si="4"/>
        <v/>
      </c>
      <c r="BC109" s="804"/>
    </row>
    <row r="110" spans="1:55" ht="16.2" customHeight="1" x14ac:dyDescent="0.25">
      <c r="A110" s="433" t="s">
        <v>1038</v>
      </c>
      <c r="B110" s="3228"/>
      <c r="C110" s="3228"/>
      <c r="D110" s="3159"/>
      <c r="E110" s="3158"/>
      <c r="F110" s="499" t="str">
        <f>IFERROR(IF(ISBLANK(E109),"","Demand (" &amp; VLOOKUP($E109,PO_Enrgy_1_Table,MATCH($E$16,PO_Enrgy_1_Hdr,0),FALSE) &amp; ")"),"")</f>
        <v/>
      </c>
      <c r="G110" s="519"/>
      <c r="H110" s="519"/>
      <c r="I110" s="519"/>
      <c r="J110" s="519"/>
      <c r="K110" s="3160" t="str">
        <f t="shared" si="1"/>
        <v/>
      </c>
      <c r="L110" s="3160"/>
      <c r="M110" s="4193"/>
      <c r="Q110" s="627" t="str">
        <f t="shared" si="2"/>
        <v/>
      </c>
      <c r="R110" s="627" t="str">
        <f t="shared" si="3"/>
        <v/>
      </c>
      <c r="S110" s="627" t="str">
        <f t="shared" si="4"/>
        <v/>
      </c>
      <c r="BC110" s="804"/>
    </row>
    <row r="111" spans="1:55" ht="16.2" customHeight="1" x14ac:dyDescent="0.25">
      <c r="A111" s="433" t="s">
        <v>1038</v>
      </c>
      <c r="B111" s="3228" t="s">
        <v>384</v>
      </c>
      <c r="C111" s="3228"/>
      <c r="D111" s="3159" t="s">
        <v>375</v>
      </c>
      <c r="E111" s="3158" t="s">
        <v>374</v>
      </c>
      <c r="F111" s="499" t="str">
        <f>IFERROR(IF(ISBLANK(E111),"","Consumption (" &amp; VLOOKUP($E111,PO_Enrgy_1_Table,MATCH($C$16,PO_Enrgy_1_Hdr,0),FALSE) &amp; ")"),"")</f>
        <v/>
      </c>
      <c r="G111" s="518"/>
      <c r="H111" s="518"/>
      <c r="I111" s="518"/>
      <c r="J111" s="518"/>
      <c r="K111" s="3160" t="str">
        <f t="shared" si="1"/>
        <v/>
      </c>
      <c r="L111" s="3160"/>
      <c r="M111" s="4193"/>
      <c r="Q111" s="627" t="str">
        <f t="shared" si="2"/>
        <v/>
      </c>
      <c r="R111" s="627" t="str">
        <f t="shared" si="3"/>
        <v/>
      </c>
      <c r="S111" s="627" t="str">
        <f t="shared" si="4"/>
        <v/>
      </c>
      <c r="BC111" s="804"/>
    </row>
    <row r="112" spans="1:55" ht="16.2" customHeight="1" x14ac:dyDescent="0.25">
      <c r="A112" s="433" t="s">
        <v>1038</v>
      </c>
      <c r="B112" s="3228"/>
      <c r="C112" s="3228"/>
      <c r="D112" s="3159"/>
      <c r="E112" s="3158"/>
      <c r="F112" s="499" t="str">
        <f>IFERROR(IF(ISBLANK(E111),"","Demand (" &amp; VLOOKUP($E111,PO_Enrgy_1_Table,MATCH($E$16,PO_Enrgy_1_Hdr,0),FALSE) &amp; ")"),"")</f>
        <v/>
      </c>
      <c r="G112" s="519"/>
      <c r="H112" s="519"/>
      <c r="I112" s="519"/>
      <c r="J112" s="519"/>
      <c r="K112" s="3160" t="str">
        <f t="shared" si="1"/>
        <v/>
      </c>
      <c r="L112" s="3160"/>
      <c r="M112" s="4193"/>
      <c r="Q112" s="627" t="str">
        <f t="shared" si="2"/>
        <v/>
      </c>
      <c r="R112" s="627" t="str">
        <f t="shared" si="3"/>
        <v/>
      </c>
      <c r="S112" s="627" t="str">
        <f t="shared" si="4"/>
        <v/>
      </c>
      <c r="BC112" s="804"/>
    </row>
    <row r="113" spans="1:55" ht="16.2" customHeight="1" x14ac:dyDescent="0.25">
      <c r="A113" s="433" t="s">
        <v>1038</v>
      </c>
      <c r="B113" s="3228" t="s">
        <v>383</v>
      </c>
      <c r="C113" s="3228"/>
      <c r="D113" s="3159"/>
      <c r="E113" s="3158" t="s">
        <v>388</v>
      </c>
      <c r="F113" s="499" t="str">
        <f>IFERROR(IF(ISBLANK(E113),"","Consumption (" &amp; VLOOKUP($E113,PO_Enrgy_1_Table,MATCH($C$16,PO_Enrgy_1_Hdr,0),FALSE) &amp; ")"),"")</f>
        <v/>
      </c>
      <c r="G113" s="518"/>
      <c r="H113" s="518"/>
      <c r="I113" s="518"/>
      <c r="J113" s="518"/>
      <c r="K113" s="3160" t="str">
        <f t="shared" si="1"/>
        <v/>
      </c>
      <c r="L113" s="3160"/>
      <c r="M113" s="4193"/>
      <c r="Q113" s="627" t="str">
        <f t="shared" si="2"/>
        <v/>
      </c>
      <c r="R113" s="627" t="str">
        <f t="shared" si="3"/>
        <v/>
      </c>
      <c r="S113" s="627" t="str">
        <f t="shared" si="4"/>
        <v/>
      </c>
      <c r="BC113" s="804"/>
    </row>
    <row r="114" spans="1:55" ht="16.2" customHeight="1" x14ac:dyDescent="0.25">
      <c r="A114" s="433" t="s">
        <v>1038</v>
      </c>
      <c r="B114" s="3228"/>
      <c r="C114" s="3228"/>
      <c r="D114" s="3159"/>
      <c r="E114" s="3158"/>
      <c r="F114" s="499" t="str">
        <f>IFERROR(IF(ISBLANK(E113),"","Demand (" &amp; VLOOKUP($E113,PO_Enrgy_1_Table,MATCH($E$16,PO_Enrgy_1_Hdr,0),FALSE) &amp; ")"),"")</f>
        <v/>
      </c>
      <c r="G114" s="519"/>
      <c r="H114" s="519"/>
      <c r="I114" s="519"/>
      <c r="J114" s="519"/>
      <c r="K114" s="3160" t="str">
        <f t="shared" si="1"/>
        <v/>
      </c>
      <c r="L114" s="3160"/>
      <c r="M114" s="4193"/>
      <c r="Q114" s="627" t="str">
        <f t="shared" si="2"/>
        <v/>
      </c>
      <c r="R114" s="627" t="str">
        <f t="shared" si="3"/>
        <v/>
      </c>
      <c r="S114" s="627" t="str">
        <f t="shared" si="4"/>
        <v/>
      </c>
      <c r="BC114" s="804"/>
    </row>
    <row r="115" spans="1:55" ht="16.2" customHeight="1" x14ac:dyDescent="0.25">
      <c r="A115" s="433" t="s">
        <v>1038</v>
      </c>
      <c r="B115" s="3228" t="s">
        <v>382</v>
      </c>
      <c r="C115" s="3228"/>
      <c r="D115" s="3159" t="s">
        <v>375</v>
      </c>
      <c r="E115" s="3158" t="s">
        <v>374</v>
      </c>
      <c r="F115" s="499" t="str">
        <f>IFERROR(IF(ISBLANK(E115),"","Consumption (" &amp; VLOOKUP($E115,PO_Enrgy_1_Table,MATCH($C$16,PO_Enrgy_1_Hdr,0),FALSE) &amp; ")"),"")</f>
        <v/>
      </c>
      <c r="G115" s="518"/>
      <c r="H115" s="518"/>
      <c r="I115" s="518"/>
      <c r="J115" s="518"/>
      <c r="K115" s="3160" t="str">
        <f t="shared" si="1"/>
        <v/>
      </c>
      <c r="L115" s="3160"/>
      <c r="M115" s="4193"/>
      <c r="Q115" s="627" t="str">
        <f t="shared" si="2"/>
        <v/>
      </c>
      <c r="R115" s="627" t="str">
        <f t="shared" si="3"/>
        <v/>
      </c>
      <c r="S115" s="627" t="str">
        <f t="shared" si="4"/>
        <v/>
      </c>
      <c r="BC115" s="804"/>
    </row>
    <row r="116" spans="1:55" ht="16.2" customHeight="1" x14ac:dyDescent="0.25">
      <c r="A116" s="433" t="s">
        <v>1038</v>
      </c>
      <c r="B116" s="3228"/>
      <c r="C116" s="3228"/>
      <c r="D116" s="3159"/>
      <c r="E116" s="3158"/>
      <c r="F116" s="499" t="str">
        <f>IFERROR(IF(ISBLANK(E115),"","Demand (" &amp; VLOOKUP($E115,PO_Enrgy_1_Table,MATCH($E$16,PO_Enrgy_1_Hdr,0),FALSE) &amp; ")"),"")</f>
        <v/>
      </c>
      <c r="G116" s="519"/>
      <c r="H116" s="519"/>
      <c r="I116" s="519"/>
      <c r="J116" s="519"/>
      <c r="K116" s="3160" t="str">
        <f t="shared" si="1"/>
        <v/>
      </c>
      <c r="L116" s="3160"/>
      <c r="M116" s="4193"/>
      <c r="Q116" s="627" t="str">
        <f t="shared" si="2"/>
        <v/>
      </c>
      <c r="R116" s="627" t="str">
        <f t="shared" si="3"/>
        <v/>
      </c>
      <c r="S116" s="627" t="str">
        <f t="shared" si="4"/>
        <v/>
      </c>
      <c r="BC116" s="804"/>
    </row>
    <row r="117" spans="1:55" ht="16.2" customHeight="1" x14ac:dyDescent="0.25">
      <c r="A117" s="433" t="s">
        <v>1038</v>
      </c>
      <c r="B117" s="3228" t="s">
        <v>381</v>
      </c>
      <c r="C117" s="3228"/>
      <c r="D117" s="3159" t="s">
        <v>375</v>
      </c>
      <c r="E117" s="3158" t="s">
        <v>374</v>
      </c>
      <c r="F117" s="499" t="str">
        <f>IFERROR(IF(ISBLANK(E117),"","Consumption (" &amp; VLOOKUP($E117,PO_Enrgy_1_Table,MATCH($C$16,PO_Enrgy_1_Hdr,0),FALSE) &amp; ")"),"")</f>
        <v/>
      </c>
      <c r="G117" s="518"/>
      <c r="H117" s="518"/>
      <c r="I117" s="518"/>
      <c r="J117" s="518"/>
      <c r="K117" s="3160" t="str">
        <f t="shared" si="1"/>
        <v/>
      </c>
      <c r="L117" s="3160"/>
      <c r="M117" s="4193"/>
      <c r="Q117" s="627" t="str">
        <f t="shared" si="2"/>
        <v/>
      </c>
      <c r="R117" s="627" t="str">
        <f t="shared" si="3"/>
        <v/>
      </c>
      <c r="S117" s="627" t="str">
        <f t="shared" si="4"/>
        <v/>
      </c>
      <c r="BC117" s="804"/>
    </row>
    <row r="118" spans="1:55" ht="16.2" customHeight="1" x14ac:dyDescent="0.25">
      <c r="A118" s="433" t="s">
        <v>1038</v>
      </c>
      <c r="B118" s="3228"/>
      <c r="C118" s="3228"/>
      <c r="D118" s="3159"/>
      <c r="E118" s="3158"/>
      <c r="F118" s="499" t="str">
        <f>IFERROR(IF(ISBLANK(E117),"","Demand (" &amp; VLOOKUP($E117,PO_Enrgy_1_Table,MATCH($E$16,PO_Enrgy_1_Hdr,0),FALSE) &amp; ")"),"")</f>
        <v/>
      </c>
      <c r="G118" s="519"/>
      <c r="H118" s="519"/>
      <c r="I118" s="519"/>
      <c r="J118" s="519"/>
      <c r="K118" s="3160" t="str">
        <f t="shared" si="1"/>
        <v/>
      </c>
      <c r="L118" s="3160"/>
      <c r="M118" s="4193"/>
      <c r="Q118" s="627" t="str">
        <f t="shared" si="2"/>
        <v/>
      </c>
      <c r="R118" s="627" t="str">
        <f t="shared" si="3"/>
        <v/>
      </c>
      <c r="S118" s="627" t="str">
        <f t="shared" si="4"/>
        <v/>
      </c>
      <c r="BC118" s="804"/>
    </row>
    <row r="119" spans="1:55" ht="16.2" customHeight="1" x14ac:dyDescent="0.25">
      <c r="A119" s="433" t="s">
        <v>1038</v>
      </c>
      <c r="B119" s="3228" t="s">
        <v>380</v>
      </c>
      <c r="C119" s="3228"/>
      <c r="D119" s="3159" t="s">
        <v>375</v>
      </c>
      <c r="E119" s="3158" t="s">
        <v>374</v>
      </c>
      <c r="F119" s="499" t="str">
        <f>IFERROR(IF(ISBLANK(E119),"","Consumption (" &amp; VLOOKUP($E119,PO_Enrgy_1_Table,MATCH($C$16,PO_Enrgy_1_Hdr,0),FALSE) &amp; ")"),"")</f>
        <v/>
      </c>
      <c r="G119" s="518"/>
      <c r="H119" s="518"/>
      <c r="I119" s="518"/>
      <c r="J119" s="518"/>
      <c r="K119" s="3160" t="str">
        <f t="shared" si="1"/>
        <v/>
      </c>
      <c r="L119" s="3160"/>
      <c r="M119" s="4193"/>
      <c r="Q119" s="627" t="str">
        <f t="shared" si="2"/>
        <v/>
      </c>
      <c r="R119" s="627" t="str">
        <f t="shared" si="3"/>
        <v/>
      </c>
      <c r="S119" s="627" t="str">
        <f t="shared" si="4"/>
        <v/>
      </c>
      <c r="BC119" s="804"/>
    </row>
    <row r="120" spans="1:55" ht="16.2" customHeight="1" x14ac:dyDescent="0.25">
      <c r="A120" s="433" t="s">
        <v>1038</v>
      </c>
      <c r="B120" s="3228"/>
      <c r="C120" s="3228"/>
      <c r="D120" s="3159"/>
      <c r="E120" s="3158"/>
      <c r="F120" s="499" t="str">
        <f>IFERROR(IF(ISBLANK(E119),"","Demand (" &amp; VLOOKUP($E119,PO_Enrgy_1_Table,MATCH($E$16,PO_Enrgy_1_Hdr,0),FALSE) &amp; ")"),"")</f>
        <v/>
      </c>
      <c r="G120" s="519"/>
      <c r="H120" s="519"/>
      <c r="I120" s="519"/>
      <c r="J120" s="519"/>
      <c r="K120" s="3160" t="str">
        <f t="shared" si="1"/>
        <v/>
      </c>
      <c r="L120" s="3160"/>
      <c r="M120" s="4193"/>
      <c r="Q120" s="627" t="str">
        <f t="shared" si="2"/>
        <v/>
      </c>
      <c r="R120" s="627" t="str">
        <f t="shared" si="3"/>
        <v/>
      </c>
      <c r="S120" s="627" t="str">
        <f t="shared" si="4"/>
        <v/>
      </c>
      <c r="BC120" s="804"/>
    </row>
    <row r="121" spans="1:55" ht="16.2" customHeight="1" x14ac:dyDescent="0.25">
      <c r="A121" s="433" t="s">
        <v>1038</v>
      </c>
      <c r="B121" s="3228" t="s">
        <v>341</v>
      </c>
      <c r="C121" s="3228"/>
      <c r="D121" s="3159" t="s">
        <v>375</v>
      </c>
      <c r="E121" s="3158" t="s">
        <v>374</v>
      </c>
      <c r="F121" s="499" t="str">
        <f>IFERROR(IF(ISBLANK(E121),"","Consumption (" &amp; VLOOKUP($E121,PO_Enrgy_1_Table,MATCH($C$16,PO_Enrgy_1_Hdr,0),FALSE) &amp; ")"),"")</f>
        <v/>
      </c>
      <c r="G121" s="518"/>
      <c r="H121" s="518"/>
      <c r="I121" s="518"/>
      <c r="J121" s="518"/>
      <c r="K121" s="3160" t="str">
        <f t="shared" si="1"/>
        <v/>
      </c>
      <c r="L121" s="3160"/>
      <c r="M121" s="4193"/>
      <c r="Q121" s="627" t="str">
        <f t="shared" si="2"/>
        <v/>
      </c>
      <c r="R121" s="627" t="str">
        <f t="shared" si="3"/>
        <v/>
      </c>
      <c r="S121" s="627" t="str">
        <f t="shared" si="4"/>
        <v/>
      </c>
      <c r="BC121" s="804"/>
    </row>
    <row r="122" spans="1:55" ht="16.2" customHeight="1" x14ac:dyDescent="0.25">
      <c r="A122" s="433" t="s">
        <v>1038</v>
      </c>
      <c r="B122" s="3228"/>
      <c r="C122" s="3228"/>
      <c r="D122" s="3159"/>
      <c r="E122" s="3158"/>
      <c r="F122" s="499" t="str">
        <f>IFERROR(IF(ISBLANK(E121),"","Demand (" &amp; VLOOKUP($E121,PO_Enrgy_1_Table,MATCH($E$16,PO_Enrgy_1_Hdr,0),FALSE) &amp; ")"),"")</f>
        <v/>
      </c>
      <c r="G122" s="519"/>
      <c r="H122" s="519"/>
      <c r="I122" s="519"/>
      <c r="J122" s="519"/>
      <c r="K122" s="3160" t="str">
        <f t="shared" si="1"/>
        <v/>
      </c>
      <c r="L122" s="3160"/>
      <c r="M122" s="4193"/>
      <c r="Q122" s="627" t="str">
        <f t="shared" si="2"/>
        <v/>
      </c>
      <c r="R122" s="627" t="str">
        <f t="shared" si="3"/>
        <v/>
      </c>
      <c r="S122" s="627" t="str">
        <f t="shared" si="4"/>
        <v/>
      </c>
      <c r="BC122" s="804"/>
    </row>
    <row r="123" spans="1:55" ht="16.2" customHeight="1" x14ac:dyDescent="0.25">
      <c r="A123" s="433" t="s">
        <v>1038</v>
      </c>
      <c r="B123" s="3228" t="s">
        <v>379</v>
      </c>
      <c r="C123" s="3228"/>
      <c r="D123" s="3159" t="s">
        <v>375</v>
      </c>
      <c r="E123" s="3158" t="s">
        <v>374</v>
      </c>
      <c r="F123" s="499" t="str">
        <f>IFERROR(IF(ISBLANK(E123),"","Consumption (" &amp; VLOOKUP($E123,PO_Enrgy_1_Table,MATCH($C$16,PO_Enrgy_1_Hdr,0),FALSE) &amp; ")"),"")</f>
        <v/>
      </c>
      <c r="G123" s="518"/>
      <c r="H123" s="518"/>
      <c r="I123" s="518"/>
      <c r="J123" s="518"/>
      <c r="K123" s="3160" t="str">
        <f t="shared" si="1"/>
        <v/>
      </c>
      <c r="L123" s="3160"/>
      <c r="M123" s="4193"/>
      <c r="Q123" s="627" t="str">
        <f t="shared" si="2"/>
        <v/>
      </c>
      <c r="R123" s="627" t="str">
        <f t="shared" si="3"/>
        <v/>
      </c>
      <c r="S123" s="627" t="str">
        <f t="shared" si="4"/>
        <v/>
      </c>
      <c r="BC123" s="804"/>
    </row>
    <row r="124" spans="1:55" ht="16.2" customHeight="1" x14ac:dyDescent="0.25">
      <c r="A124" s="433" t="s">
        <v>1038</v>
      </c>
      <c r="B124" s="3228"/>
      <c r="C124" s="3228"/>
      <c r="D124" s="3159"/>
      <c r="E124" s="3158"/>
      <c r="F124" s="499" t="str">
        <f>IFERROR(IF(ISBLANK(E123),"","Demand (" &amp; VLOOKUP($E123,PO_Enrgy_1_Table,MATCH($E$16,PO_Enrgy_1_Hdr,0),FALSE) &amp; ")"),"")</f>
        <v/>
      </c>
      <c r="G124" s="519"/>
      <c r="H124" s="519"/>
      <c r="I124" s="519"/>
      <c r="J124" s="519"/>
      <c r="K124" s="3160" t="str">
        <f t="shared" si="1"/>
        <v/>
      </c>
      <c r="L124" s="3160"/>
      <c r="M124" s="4193"/>
      <c r="Q124" s="627" t="str">
        <f t="shared" si="2"/>
        <v/>
      </c>
      <c r="R124" s="627" t="str">
        <f t="shared" si="3"/>
        <v/>
      </c>
      <c r="S124" s="627" t="str">
        <f t="shared" si="4"/>
        <v/>
      </c>
      <c r="BC124" s="804"/>
    </row>
    <row r="125" spans="1:55" ht="16.2" customHeight="1" x14ac:dyDescent="0.25">
      <c r="A125" s="433" t="s">
        <v>1038</v>
      </c>
      <c r="B125" s="3228" t="s">
        <v>378</v>
      </c>
      <c r="C125" s="3228"/>
      <c r="D125" s="3159" t="s">
        <v>375</v>
      </c>
      <c r="E125" s="3158" t="s">
        <v>374</v>
      </c>
      <c r="F125" s="499" t="str">
        <f>IFERROR(IF(ISBLANK(E125),"","Consumption (" &amp; VLOOKUP($E125,PO_Enrgy_1_Table,MATCH($C$16,PO_Enrgy_1_Hdr,0),FALSE) &amp; ")"),"")</f>
        <v/>
      </c>
      <c r="G125" s="518"/>
      <c r="H125" s="518"/>
      <c r="I125" s="518"/>
      <c r="J125" s="518"/>
      <c r="K125" s="3160" t="str">
        <f t="shared" si="1"/>
        <v/>
      </c>
      <c r="L125" s="3160"/>
      <c r="M125" s="4193"/>
      <c r="Q125" s="627" t="str">
        <f t="shared" si="2"/>
        <v/>
      </c>
      <c r="R125" s="627" t="str">
        <f t="shared" si="3"/>
        <v/>
      </c>
      <c r="S125" s="627" t="str">
        <f t="shared" si="4"/>
        <v/>
      </c>
      <c r="BC125" s="804"/>
    </row>
    <row r="126" spans="1:55" ht="16.2" customHeight="1" x14ac:dyDescent="0.25">
      <c r="A126" s="433" t="s">
        <v>1038</v>
      </c>
      <c r="B126" s="3228"/>
      <c r="C126" s="3228"/>
      <c r="D126" s="3159"/>
      <c r="E126" s="3158"/>
      <c r="F126" s="499" t="str">
        <f>IFERROR(IF(ISBLANK(E125),"","Demand (" &amp; VLOOKUP($E125,PO_Enrgy_1_Table,MATCH($E$16,PO_Enrgy_1_Hdr,0),FALSE) &amp; ")"),"")</f>
        <v/>
      </c>
      <c r="G126" s="519"/>
      <c r="H126" s="519"/>
      <c r="I126" s="519"/>
      <c r="J126" s="519"/>
      <c r="K126" s="3160" t="str">
        <f t="shared" si="1"/>
        <v/>
      </c>
      <c r="L126" s="3160"/>
      <c r="M126" s="4193"/>
      <c r="Q126" s="627" t="str">
        <f t="shared" si="2"/>
        <v/>
      </c>
      <c r="R126" s="627" t="str">
        <f t="shared" si="3"/>
        <v/>
      </c>
      <c r="S126" s="627" t="str">
        <f t="shared" si="4"/>
        <v/>
      </c>
      <c r="BC126" s="804"/>
    </row>
    <row r="127" spans="1:55" ht="16.2" customHeight="1" x14ac:dyDescent="0.25">
      <c r="A127" s="433" t="s">
        <v>1038</v>
      </c>
      <c r="B127" s="3228" t="s">
        <v>377</v>
      </c>
      <c r="C127" s="3228"/>
      <c r="D127" s="3159" t="s">
        <v>375</v>
      </c>
      <c r="E127" s="3158" t="s">
        <v>374</v>
      </c>
      <c r="F127" s="499" t="str">
        <f>IFERROR(IF(ISBLANK(E127),"","Consumption (" &amp; VLOOKUP($E127,PO_Enrgy_1_Table,MATCH($C$16,PO_Enrgy_1_Hdr,0),FALSE) &amp; ")"),"")</f>
        <v/>
      </c>
      <c r="G127" s="518"/>
      <c r="H127" s="518"/>
      <c r="I127" s="518"/>
      <c r="J127" s="518"/>
      <c r="K127" s="3160" t="str">
        <f t="shared" si="1"/>
        <v/>
      </c>
      <c r="L127" s="3160"/>
      <c r="M127" s="4193"/>
      <c r="Q127" s="627" t="str">
        <f t="shared" si="2"/>
        <v/>
      </c>
      <c r="R127" s="627" t="str">
        <f t="shared" si="3"/>
        <v/>
      </c>
      <c r="S127" s="627" t="str">
        <f t="shared" si="4"/>
        <v/>
      </c>
      <c r="BC127" s="804"/>
    </row>
    <row r="128" spans="1:55" ht="16.2" customHeight="1" x14ac:dyDescent="0.25">
      <c r="A128" s="433" t="s">
        <v>1038</v>
      </c>
      <c r="B128" s="3228"/>
      <c r="C128" s="3228"/>
      <c r="D128" s="3159"/>
      <c r="E128" s="3158"/>
      <c r="F128" s="499" t="str">
        <f>IFERROR(IF(ISBLANK(E127),"","Demand (" &amp; VLOOKUP($E127,PO_Enrgy_1_Table,MATCH($E$16,PO_Enrgy_1_Hdr,0),FALSE) &amp; ")"),"")</f>
        <v/>
      </c>
      <c r="G128" s="519"/>
      <c r="H128" s="519"/>
      <c r="I128" s="519"/>
      <c r="J128" s="519"/>
      <c r="K128" s="3160" t="str">
        <f t="shared" si="1"/>
        <v/>
      </c>
      <c r="L128" s="3160"/>
      <c r="M128" s="4193"/>
      <c r="Q128" s="627" t="str">
        <f t="shared" si="2"/>
        <v/>
      </c>
      <c r="R128" s="627" t="str">
        <f t="shared" si="3"/>
        <v/>
      </c>
      <c r="S128" s="627" t="str">
        <f t="shared" si="4"/>
        <v/>
      </c>
      <c r="BC128" s="804"/>
    </row>
    <row r="129" spans="1:55" ht="16.2" customHeight="1" x14ac:dyDescent="0.25">
      <c r="A129" s="433" t="s">
        <v>1038</v>
      </c>
      <c r="B129" s="3228" t="s">
        <v>376</v>
      </c>
      <c r="C129" s="3228"/>
      <c r="D129" s="3159" t="s">
        <v>375</v>
      </c>
      <c r="E129" s="3158" t="s">
        <v>374</v>
      </c>
      <c r="F129" s="499" t="str">
        <f>IFERROR(IF(ISBLANK(E129),"","Consumption (" &amp; VLOOKUP($E129,PO_Enrgy_1_Table,MATCH($C$16,PO_Enrgy_1_Hdr,0),FALSE) &amp; ")"),"")</f>
        <v/>
      </c>
      <c r="G129" s="518"/>
      <c r="H129" s="518"/>
      <c r="I129" s="518"/>
      <c r="J129" s="518"/>
      <c r="K129" s="3160" t="str">
        <f t="shared" si="1"/>
        <v/>
      </c>
      <c r="L129" s="3160"/>
      <c r="M129" s="4193"/>
      <c r="Q129" s="627" t="str">
        <f t="shared" si="2"/>
        <v/>
      </c>
      <c r="R129" s="627" t="str">
        <f t="shared" si="3"/>
        <v/>
      </c>
      <c r="S129" s="627" t="str">
        <f t="shared" si="4"/>
        <v/>
      </c>
      <c r="BC129" s="804"/>
    </row>
    <row r="130" spans="1:55" ht="16.2" customHeight="1" x14ac:dyDescent="0.25">
      <c r="A130" s="433" t="s">
        <v>1038</v>
      </c>
      <c r="B130" s="3228"/>
      <c r="C130" s="3228"/>
      <c r="D130" s="3159"/>
      <c r="E130" s="3158"/>
      <c r="F130" s="499" t="str">
        <f>IFERROR(IF(ISBLANK(E129),"","Demand (" &amp; VLOOKUP($E129,PO_Enrgy_1_Table,MATCH($E$16,PO_Enrgy_1_Hdr,0),FALSE) &amp; ")"),"")</f>
        <v/>
      </c>
      <c r="G130" s="519"/>
      <c r="H130" s="519"/>
      <c r="I130" s="519"/>
      <c r="J130" s="519"/>
      <c r="K130" s="3160" t="str">
        <f t="shared" si="1"/>
        <v/>
      </c>
      <c r="L130" s="3160"/>
      <c r="M130" s="4193"/>
      <c r="Q130" s="627" t="str">
        <f t="shared" si="2"/>
        <v/>
      </c>
      <c r="R130" s="627" t="str">
        <f t="shared" si="3"/>
        <v/>
      </c>
      <c r="S130" s="627" t="str">
        <f t="shared" si="4"/>
        <v/>
      </c>
      <c r="BC130" s="804"/>
    </row>
    <row r="131" spans="1:55" ht="16.2" customHeight="1" x14ac:dyDescent="0.25">
      <c r="A131" s="433" t="s">
        <v>1038</v>
      </c>
      <c r="B131" s="3228" t="s">
        <v>879</v>
      </c>
      <c r="C131" s="3228"/>
      <c r="D131" s="3159"/>
      <c r="E131" s="3158" t="s">
        <v>374</v>
      </c>
      <c r="F131" s="499" t="str">
        <f>IFERROR(IF(ISBLANK(E131),"","Consumption (" &amp; VLOOKUP($E131,PO_Enrgy_1_Table,MATCH($C$16,PO_Enrgy_1_Hdr,0),FALSE) &amp; ")"),"")</f>
        <v/>
      </c>
      <c r="G131" s="518"/>
      <c r="H131" s="518"/>
      <c r="I131" s="518"/>
      <c r="J131" s="518"/>
      <c r="K131" s="3160" t="str">
        <f t="shared" si="1"/>
        <v/>
      </c>
      <c r="L131" s="3160"/>
      <c r="M131" s="4193"/>
      <c r="Q131" s="627" t="str">
        <f t="shared" si="2"/>
        <v/>
      </c>
      <c r="R131" s="627" t="str">
        <f t="shared" si="3"/>
        <v/>
      </c>
      <c r="S131" s="627" t="str">
        <f t="shared" si="4"/>
        <v/>
      </c>
      <c r="BC131" s="804"/>
    </row>
    <row r="132" spans="1:55" ht="16.2" customHeight="1" x14ac:dyDescent="0.25">
      <c r="A132" s="433" t="s">
        <v>1038</v>
      </c>
      <c r="B132" s="3228"/>
      <c r="C132" s="3228"/>
      <c r="D132" s="3159"/>
      <c r="E132" s="3158"/>
      <c r="F132" s="499" t="str">
        <f>IFERROR(IF(ISBLANK(E131),"","Demand (" &amp; VLOOKUP($E131,PO_Enrgy_1_Table,MATCH($E$16,PO_Enrgy_1_Hdr,0),FALSE) &amp; ")"),"")</f>
        <v/>
      </c>
      <c r="G132" s="519"/>
      <c r="H132" s="519"/>
      <c r="I132" s="519"/>
      <c r="J132" s="519"/>
      <c r="K132" s="3160" t="str">
        <f t="shared" si="1"/>
        <v/>
      </c>
      <c r="L132" s="3160"/>
      <c r="M132" s="4193"/>
      <c r="Q132" s="627" t="str">
        <f t="shared" si="2"/>
        <v/>
      </c>
      <c r="R132" s="627" t="str">
        <f t="shared" si="3"/>
        <v/>
      </c>
      <c r="S132" s="627" t="str">
        <f t="shared" si="4"/>
        <v/>
      </c>
      <c r="BC132" s="804"/>
    </row>
    <row r="133" spans="1:55" ht="16.2" customHeight="1" x14ac:dyDescent="0.25">
      <c r="A133" s="433" t="s">
        <v>1038</v>
      </c>
      <c r="B133" s="3158"/>
      <c r="C133" s="3158"/>
      <c r="D133" s="3159"/>
      <c r="E133" s="3158"/>
      <c r="F133" s="499" t="str">
        <f>IFERROR(IF(ISBLANK(E133),"","Consumption (" &amp; VLOOKUP($E133,PO_Enrgy_1_Table,MATCH($C$16,PO_Enrgy_1_Hdr,0),FALSE) &amp; ")"),"")</f>
        <v/>
      </c>
      <c r="G133" s="518"/>
      <c r="H133" s="518"/>
      <c r="I133" s="518"/>
      <c r="J133" s="518"/>
      <c r="K133" s="3160" t="str">
        <f t="shared" si="1"/>
        <v/>
      </c>
      <c r="L133" s="3160"/>
      <c r="M133" s="4193"/>
      <c r="Q133" s="627" t="str">
        <f t="shared" si="2"/>
        <v/>
      </c>
      <c r="R133" s="627" t="str">
        <f t="shared" si="3"/>
        <v/>
      </c>
      <c r="S133" s="627" t="str">
        <f t="shared" si="4"/>
        <v/>
      </c>
      <c r="BC133" s="804"/>
    </row>
    <row r="134" spans="1:55" ht="16.2" customHeight="1" x14ac:dyDescent="0.25">
      <c r="A134" s="433" t="s">
        <v>1038</v>
      </c>
      <c r="B134" s="3158"/>
      <c r="C134" s="3158"/>
      <c r="D134" s="3159"/>
      <c r="E134" s="3158"/>
      <c r="F134" s="499" t="str">
        <f>IFERROR(IF(ISBLANK(E133),"","Demand (" &amp; VLOOKUP($E133,PO_Enrgy_1_Table,MATCH($E$16,PO_Enrgy_1_Hdr,0),FALSE) &amp; ")"),"")</f>
        <v/>
      </c>
      <c r="G134" s="519"/>
      <c r="H134" s="519"/>
      <c r="I134" s="519"/>
      <c r="J134" s="519"/>
      <c r="K134" s="3160" t="str">
        <f t="shared" si="1"/>
        <v/>
      </c>
      <c r="L134" s="3160"/>
      <c r="M134" s="4193"/>
      <c r="Q134" s="627" t="str">
        <f t="shared" si="2"/>
        <v/>
      </c>
      <c r="R134" s="627" t="str">
        <f t="shared" si="3"/>
        <v/>
      </c>
      <c r="S134" s="627" t="str">
        <f t="shared" si="4"/>
        <v/>
      </c>
      <c r="BC134" s="804"/>
    </row>
    <row r="135" spans="1:55" ht="16.2" customHeight="1" x14ac:dyDescent="0.25">
      <c r="A135" s="433" t="s">
        <v>1038</v>
      </c>
      <c r="B135" s="3158"/>
      <c r="C135" s="3158"/>
      <c r="D135" s="3159"/>
      <c r="E135" s="3158"/>
      <c r="F135" s="499" t="str">
        <f>IFERROR(IF(ISBLANK(E135),"","Consumption (" &amp; VLOOKUP($E135,PO_Enrgy_1_Table,MATCH($C$16,PO_Enrgy_1_Hdr,0),FALSE) &amp; ")"),"")</f>
        <v/>
      </c>
      <c r="G135" s="518"/>
      <c r="H135" s="518"/>
      <c r="I135" s="518"/>
      <c r="J135" s="518"/>
      <c r="K135" s="3160" t="str">
        <f t="shared" si="1"/>
        <v/>
      </c>
      <c r="L135" s="3160"/>
      <c r="M135" s="4193"/>
      <c r="Q135" s="627" t="str">
        <f t="shared" si="2"/>
        <v/>
      </c>
      <c r="R135" s="627" t="str">
        <f t="shared" si="3"/>
        <v/>
      </c>
      <c r="S135" s="627" t="str">
        <f t="shared" si="4"/>
        <v/>
      </c>
      <c r="BC135" s="804"/>
    </row>
    <row r="136" spans="1:55" ht="15.75" customHeight="1" x14ac:dyDescent="0.25">
      <c r="A136" s="433" t="s">
        <v>1038</v>
      </c>
      <c r="B136" s="3158"/>
      <c r="C136" s="3158"/>
      <c r="D136" s="3159"/>
      <c r="E136" s="3158"/>
      <c r="F136" s="499" t="str">
        <f>IFERROR(IF(ISBLANK(E135),"","Demand (" &amp; VLOOKUP($E135,PO_Enrgy_1_Table,MATCH($E$16,PO_Enrgy_1_Hdr,0),FALSE) &amp; ")"),"")</f>
        <v/>
      </c>
      <c r="G136" s="519"/>
      <c r="H136" s="519"/>
      <c r="I136" s="519"/>
      <c r="J136" s="519"/>
      <c r="K136" s="3160" t="str">
        <f t="shared" si="1"/>
        <v/>
      </c>
      <c r="L136" s="3160"/>
      <c r="M136" s="4193"/>
      <c r="Q136" s="627" t="str">
        <f t="shared" si="2"/>
        <v/>
      </c>
      <c r="R136" s="627" t="str">
        <f t="shared" si="3"/>
        <v/>
      </c>
      <c r="S136" s="627" t="str">
        <f t="shared" si="4"/>
        <v/>
      </c>
      <c r="BC136" s="804"/>
    </row>
    <row r="137" spans="1:55" ht="16.2" customHeight="1" x14ac:dyDescent="0.25">
      <c r="A137" s="433" t="s">
        <v>1038</v>
      </c>
      <c r="B137" s="3158"/>
      <c r="C137" s="3158"/>
      <c r="D137" s="3159"/>
      <c r="E137" s="3158"/>
      <c r="F137" s="499" t="str">
        <f>IFERROR(IF(ISBLANK(E137),"","Consumption (" &amp; VLOOKUP($E137,PO_Enrgy_1_Table,MATCH($C$16,PO_Enrgy_1_Hdr,0),FALSE) &amp; ")"),"")</f>
        <v/>
      </c>
      <c r="G137" s="518"/>
      <c r="H137" s="518"/>
      <c r="I137" s="518"/>
      <c r="J137" s="518"/>
      <c r="K137" s="3160" t="str">
        <f t="shared" si="1"/>
        <v/>
      </c>
      <c r="L137" s="3160"/>
      <c r="M137" s="4193"/>
      <c r="Q137" s="627" t="str">
        <f t="shared" si="2"/>
        <v/>
      </c>
      <c r="R137" s="627" t="str">
        <f t="shared" si="3"/>
        <v/>
      </c>
      <c r="S137" s="627" t="str">
        <f t="shared" si="4"/>
        <v/>
      </c>
      <c r="BC137" s="804"/>
    </row>
    <row r="138" spans="1:55" ht="16.5" customHeight="1" x14ac:dyDescent="0.25">
      <c r="A138" s="433" t="s">
        <v>1038</v>
      </c>
      <c r="B138" s="3158"/>
      <c r="C138" s="3158"/>
      <c r="D138" s="3159"/>
      <c r="E138" s="3158"/>
      <c r="F138" s="499" t="str">
        <f>IFERROR(IF(ISBLANK(E137),"","Demand (" &amp; VLOOKUP($E137,PO_Enrgy_1_Table,MATCH($E$16,PO_Enrgy_1_Hdr,0),FALSE) &amp; ")"),"")</f>
        <v/>
      </c>
      <c r="G138" s="519"/>
      <c r="H138" s="519"/>
      <c r="I138" s="519"/>
      <c r="J138" s="519"/>
      <c r="K138" s="3160" t="str">
        <f t="shared" si="1"/>
        <v/>
      </c>
      <c r="L138" s="3160"/>
      <c r="M138" s="4193"/>
      <c r="Q138" s="627" t="str">
        <f t="shared" si="2"/>
        <v/>
      </c>
      <c r="R138" s="627" t="str">
        <f t="shared" si="3"/>
        <v/>
      </c>
      <c r="S138" s="627" t="str">
        <f t="shared" si="4"/>
        <v/>
      </c>
      <c r="BC138" s="804"/>
    </row>
    <row r="139" spans="1:55" ht="16.2" customHeight="1" x14ac:dyDescent="0.25">
      <c r="A139" s="433" t="s">
        <v>1038</v>
      </c>
      <c r="B139" s="3158"/>
      <c r="C139" s="3158"/>
      <c r="D139" s="3159"/>
      <c r="E139" s="3158"/>
      <c r="F139" s="499" t="str">
        <f>IFERROR(IF(ISBLANK(E139),"","Consumption (" &amp; VLOOKUP($E139,PO_Enrgy_1_Table,MATCH($C$16,PO_Enrgy_1_Hdr,0),FALSE) &amp; ")"),"")</f>
        <v/>
      </c>
      <c r="G139" s="518"/>
      <c r="H139" s="518"/>
      <c r="I139" s="518"/>
      <c r="J139" s="518"/>
      <c r="K139" s="3160" t="str">
        <f t="shared" si="1"/>
        <v/>
      </c>
      <c r="L139" s="3160"/>
      <c r="M139" s="4193"/>
      <c r="Q139" s="627" t="str">
        <f t="shared" si="2"/>
        <v/>
      </c>
      <c r="R139" s="627" t="str">
        <f t="shared" si="3"/>
        <v/>
      </c>
      <c r="S139" s="627" t="str">
        <f t="shared" si="4"/>
        <v/>
      </c>
      <c r="BC139" s="804"/>
    </row>
    <row r="140" spans="1:55" ht="15.75" customHeight="1" x14ac:dyDescent="0.25">
      <c r="A140" s="433" t="s">
        <v>1038</v>
      </c>
      <c r="B140" s="3158"/>
      <c r="C140" s="3158"/>
      <c r="D140" s="3159"/>
      <c r="E140" s="3158"/>
      <c r="F140" s="499" t="str">
        <f>IFERROR(IF(ISBLANK(E139),"","Demand (" &amp; VLOOKUP($E139,PO_Enrgy_1_Table,MATCH($E$16,PO_Enrgy_1_Hdr,0),FALSE) &amp; ")"),"")</f>
        <v/>
      </c>
      <c r="G140" s="519"/>
      <c r="H140" s="519"/>
      <c r="I140" s="519"/>
      <c r="J140" s="519"/>
      <c r="K140" s="3160" t="str">
        <f t="shared" si="1"/>
        <v/>
      </c>
      <c r="L140" s="3160"/>
      <c r="M140" s="4193"/>
      <c r="Q140" s="627" t="str">
        <f t="shared" si="2"/>
        <v/>
      </c>
      <c r="R140" s="627" t="str">
        <f t="shared" si="3"/>
        <v/>
      </c>
      <c r="S140" s="627" t="str">
        <f t="shared" si="4"/>
        <v/>
      </c>
      <c r="BC140" s="804"/>
    </row>
    <row r="141" spans="1:55" ht="16.2" customHeight="1" x14ac:dyDescent="0.25">
      <c r="A141" s="433" t="s">
        <v>1038</v>
      </c>
      <c r="B141" s="3158"/>
      <c r="C141" s="3158"/>
      <c r="D141" s="3159"/>
      <c r="E141" s="3158"/>
      <c r="F141" s="499" t="str">
        <f>IFERROR(IF(ISBLANK(E141),"","Consumption (" &amp; VLOOKUP($E141,PO_Enrgy_1_Table,MATCH($C$16,PO_Enrgy_1_Hdr,0),FALSE) &amp; ")"),"")</f>
        <v/>
      </c>
      <c r="G141" s="518"/>
      <c r="H141" s="518"/>
      <c r="I141" s="518"/>
      <c r="J141" s="518"/>
      <c r="K141" s="3160" t="str">
        <f t="shared" si="1"/>
        <v/>
      </c>
      <c r="L141" s="3160"/>
      <c r="M141" s="4193"/>
      <c r="Q141" s="627" t="str">
        <f t="shared" si="2"/>
        <v/>
      </c>
      <c r="R141" s="627" t="str">
        <f t="shared" si="3"/>
        <v/>
      </c>
      <c r="S141" s="627" t="str">
        <f t="shared" si="4"/>
        <v/>
      </c>
      <c r="BC141" s="804"/>
    </row>
    <row r="142" spans="1:55" ht="16.5" customHeight="1" x14ac:dyDescent="0.25">
      <c r="A142" s="433" t="s">
        <v>1038</v>
      </c>
      <c r="B142" s="3158"/>
      <c r="C142" s="3158"/>
      <c r="D142" s="3159"/>
      <c r="E142" s="3158"/>
      <c r="F142" s="499" t="str">
        <f>IFERROR(IF(ISBLANK(E141),"","Demand (" &amp; VLOOKUP($E141,PO_Enrgy_1_Table,MATCH($E$16,PO_Enrgy_1_Hdr,0),FALSE) &amp; ")"),"")</f>
        <v/>
      </c>
      <c r="G142" s="519"/>
      <c r="H142" s="519"/>
      <c r="I142" s="519"/>
      <c r="J142" s="519"/>
      <c r="K142" s="3160" t="str">
        <f t="shared" si="1"/>
        <v/>
      </c>
      <c r="L142" s="3160"/>
      <c r="M142" s="4193"/>
      <c r="Q142" s="627" t="str">
        <f t="shared" si="2"/>
        <v/>
      </c>
      <c r="R142" s="627" t="str">
        <f t="shared" si="3"/>
        <v/>
      </c>
      <c r="S142" s="627" t="str">
        <f t="shared" si="4"/>
        <v/>
      </c>
      <c r="BC142" s="804"/>
    </row>
    <row r="143" spans="1:55" ht="16.2" customHeight="1" x14ac:dyDescent="0.25">
      <c r="A143" s="433" t="s">
        <v>1038</v>
      </c>
      <c r="B143" s="3158"/>
      <c r="C143" s="3158"/>
      <c r="D143" s="3159"/>
      <c r="E143" s="3158"/>
      <c r="F143" s="499" t="str">
        <f>IFERROR(IF(ISBLANK(E143),"","Consumption (" &amp; VLOOKUP($E143,PO_Enrgy_1_Table,MATCH($C$16,PO_Enrgy_1_Hdr,0),FALSE) &amp; ")"),"")</f>
        <v/>
      </c>
      <c r="G143" s="518"/>
      <c r="H143" s="518"/>
      <c r="I143" s="518"/>
      <c r="J143" s="518"/>
      <c r="K143" s="3160" t="str">
        <f t="shared" si="1"/>
        <v/>
      </c>
      <c r="L143" s="3160"/>
      <c r="M143" s="4193"/>
      <c r="Q143" s="627" t="str">
        <f t="shared" si="2"/>
        <v/>
      </c>
      <c r="R143" s="627" t="str">
        <f t="shared" si="3"/>
        <v/>
      </c>
      <c r="S143" s="627" t="str">
        <f t="shared" si="4"/>
        <v/>
      </c>
      <c r="BC143" s="804"/>
    </row>
    <row r="144" spans="1:55" ht="15.75" customHeight="1" x14ac:dyDescent="0.25">
      <c r="A144" s="433" t="s">
        <v>1038</v>
      </c>
      <c r="B144" s="3158"/>
      <c r="C144" s="3158"/>
      <c r="D144" s="3159"/>
      <c r="E144" s="3158"/>
      <c r="F144" s="499" t="str">
        <f>IFERROR(IF(ISBLANK(E143),"","Demand (" &amp; VLOOKUP($E143,PO_Enrgy_1_Table,MATCH($E$16,PO_Enrgy_1_Hdr,0),FALSE) &amp; ")"),"")</f>
        <v/>
      </c>
      <c r="G144" s="519"/>
      <c r="H144" s="519"/>
      <c r="I144" s="519"/>
      <c r="J144" s="519"/>
      <c r="K144" s="3160" t="str">
        <f t="shared" si="1"/>
        <v/>
      </c>
      <c r="L144" s="3160"/>
      <c r="M144" s="4193"/>
      <c r="Q144" s="627" t="str">
        <f t="shared" si="2"/>
        <v/>
      </c>
      <c r="R144" s="627" t="str">
        <f t="shared" si="3"/>
        <v/>
      </c>
      <c r="S144" s="627" t="str">
        <f t="shared" si="4"/>
        <v/>
      </c>
      <c r="BC144" s="804"/>
    </row>
    <row r="145" spans="1:55" ht="18.75" hidden="1" customHeight="1" x14ac:dyDescent="0.25">
      <c r="A145" s="433" t="s">
        <v>1038</v>
      </c>
      <c r="B145" s="469"/>
      <c r="C145" s="469"/>
      <c r="D145" s="515"/>
      <c r="E145" s="469" t="s">
        <v>1396</v>
      </c>
      <c r="F145" s="469" t="s">
        <v>1424</v>
      </c>
      <c r="G145" s="469" t="s">
        <v>1425</v>
      </c>
      <c r="H145" s="469" t="s">
        <v>1426</v>
      </c>
      <c r="I145" s="469" t="s">
        <v>1427</v>
      </c>
      <c r="J145" s="469" t="s">
        <v>1428</v>
      </c>
      <c r="K145" s="469" t="s">
        <v>1430</v>
      </c>
      <c r="L145" s="516"/>
      <c r="M145" s="517"/>
      <c r="Q145" s="635" t="s">
        <v>1407</v>
      </c>
      <c r="R145" s="635" t="s">
        <v>1408</v>
      </c>
      <c r="S145" s="627" t="str">
        <f t="shared" si="4"/>
        <v/>
      </c>
      <c r="BC145" s="804"/>
    </row>
    <row r="146" spans="1:55" ht="21" customHeight="1" x14ac:dyDescent="0.25">
      <c r="A146" s="433" t="s">
        <v>1038</v>
      </c>
      <c r="B146" s="3091" t="s">
        <v>1005</v>
      </c>
      <c r="C146" s="3092"/>
      <c r="D146" s="3093"/>
      <c r="E146" s="650" t="str">
        <f>IFERROR(IF(ISBLANK(B17),"",B17),"")</f>
        <v/>
      </c>
      <c r="F146" s="650" t="str">
        <f>IFERROR(IF(ISBLANK(E146),"",VLOOKUP($E146,PO_Enrgy_1_Table,MATCH($C$16,PO_Enrgy_1_Hdr,0),FALSE) ),"")</f>
        <v/>
      </c>
      <c r="G146" s="520">
        <f t="shared" ref="G146:M148" si="5">IFERROR(SUMIFS(INDEX(PO_baseline_table,0,MATCH(G$96,PO_baseline_hdr,0)),INDEX(PO_baseline_table,0,MATCH($E$96,PO_baseline_hdr,0)),$E146,INDEX(PO_baseline_table,0,MATCH($F$96,PO_baseline_hdr,0)),"=Con*"),"")</f>
        <v>0</v>
      </c>
      <c r="H146" s="520">
        <f t="shared" si="5"/>
        <v>0</v>
      </c>
      <c r="I146" s="520">
        <f t="shared" si="5"/>
        <v>0</v>
      </c>
      <c r="J146" s="520">
        <f t="shared" si="5"/>
        <v>0</v>
      </c>
      <c r="K146" s="3094">
        <f t="shared" si="5"/>
        <v>0</v>
      </c>
      <c r="L146" s="3094" t="str">
        <f t="shared" si="5"/>
        <v/>
      </c>
      <c r="M146" s="3094" t="str">
        <f t="shared" si="5"/>
        <v/>
      </c>
      <c r="Q146" s="627" t="str">
        <f>IFERROR(IF(ISBLANK($E146),"",VLOOKUP($E146,PO_Enrgy_1_Table,MATCH($K$16,PO_Enrgy_1_Hdr,0),FALSE)),"")</f>
        <v/>
      </c>
      <c r="R146" s="627" t="str">
        <f>IFERROR(IF(ISBLANK($E146),"",VLOOKUP($E146,PO_Enrgy_1_Table,MATCH($M$16,PO_Enrgy_1_Hdr,0),FALSE)),"")</f>
        <v/>
      </c>
      <c r="S146" s="627"/>
      <c r="AD146" s="263"/>
      <c r="BC146" s="804"/>
    </row>
    <row r="147" spans="1:55" ht="21" customHeight="1" x14ac:dyDescent="0.25">
      <c r="A147" s="433" t="s">
        <v>1038</v>
      </c>
      <c r="B147" s="3091"/>
      <c r="C147" s="3092"/>
      <c r="D147" s="3093"/>
      <c r="E147" s="650" t="str">
        <f>IFERROR(IF(ISBLANK(B18),"",B18),"")</f>
        <v/>
      </c>
      <c r="F147" s="650" t="str">
        <f>IFERROR(IF(ISBLANK(E147),"",VLOOKUP($E147,PO_Enrgy_1_Table,MATCH($C$16,PO_Enrgy_1_Hdr,0),FALSE) ),"")</f>
        <v/>
      </c>
      <c r="G147" s="520">
        <f t="shared" si="5"/>
        <v>0</v>
      </c>
      <c r="H147" s="520">
        <f t="shared" si="5"/>
        <v>0</v>
      </c>
      <c r="I147" s="520">
        <f t="shared" si="5"/>
        <v>0</v>
      </c>
      <c r="J147" s="520">
        <f t="shared" si="5"/>
        <v>0</v>
      </c>
      <c r="K147" s="3094">
        <f t="shared" si="5"/>
        <v>0</v>
      </c>
      <c r="L147" s="3094" t="str">
        <f t="shared" si="5"/>
        <v/>
      </c>
      <c r="M147" s="3094" t="str">
        <f t="shared" si="5"/>
        <v/>
      </c>
      <c r="Q147" s="627" t="str">
        <f>IFERROR(IF(ISBLANK($E147),"",VLOOKUP($E147,PO_Enrgy_1_Table,MATCH($K$16,PO_Enrgy_1_Hdr,0),FALSE)),"")</f>
        <v/>
      </c>
      <c r="R147" s="627" t="str">
        <f>IFERROR(IF(ISBLANK($E147),"",VLOOKUP($E147,PO_Enrgy_1_Table,MATCH($M$16,PO_Enrgy_1_Hdr,0),FALSE)),"")</f>
        <v/>
      </c>
      <c r="S147" s="627"/>
      <c r="AD147" s="263"/>
      <c r="BC147" s="804"/>
    </row>
    <row r="148" spans="1:55" ht="21" customHeight="1" x14ac:dyDescent="0.25">
      <c r="A148" s="433" t="s">
        <v>1038</v>
      </c>
      <c r="B148" s="3091"/>
      <c r="C148" s="3092"/>
      <c r="D148" s="3093"/>
      <c r="E148" s="650" t="str">
        <f>IFERROR(IF(ISBLANK(B19),"",B19),"")</f>
        <v/>
      </c>
      <c r="F148" s="650" t="str">
        <f>IFERROR(IF(ISBLANK(E148),"",VLOOKUP($E148,PO_Enrgy_1_Table,MATCH($C$16,PO_Enrgy_1_Hdr,0),FALSE) ),"")</f>
        <v/>
      </c>
      <c r="G148" s="520">
        <f t="shared" si="5"/>
        <v>0</v>
      </c>
      <c r="H148" s="520">
        <f t="shared" si="5"/>
        <v>0</v>
      </c>
      <c r="I148" s="520">
        <f t="shared" si="5"/>
        <v>0</v>
      </c>
      <c r="J148" s="520">
        <f t="shared" si="5"/>
        <v>0</v>
      </c>
      <c r="K148" s="3094">
        <f t="shared" si="5"/>
        <v>0</v>
      </c>
      <c r="L148" s="3094" t="str">
        <f t="shared" si="5"/>
        <v/>
      </c>
      <c r="M148" s="3094" t="str">
        <f t="shared" si="5"/>
        <v/>
      </c>
      <c r="Q148" s="627" t="str">
        <f>IFERROR(IF(ISBLANK($E148),"",VLOOKUP($E148,PO_Enrgy_1_Table,MATCH($K$16,PO_Enrgy_1_Hdr,0),FALSE)),"")</f>
        <v/>
      </c>
      <c r="R148" s="627" t="str">
        <f>IFERROR(IF(ISBLANK($E148),"",VLOOKUP($E148,PO_Enrgy_1_Table,MATCH($M$16,PO_Enrgy_1_Hdr,0),FALSE)),"")</f>
        <v/>
      </c>
      <c r="S148" s="627"/>
      <c r="AD148" s="263"/>
      <c r="BC148" s="804"/>
    </row>
    <row r="149" spans="1:55" ht="21" customHeight="1" x14ac:dyDescent="0.25">
      <c r="A149" s="433" t="s">
        <v>1038</v>
      </c>
      <c r="B149" s="3141" t="str">
        <f>"Total site energy (" &amp; PO_SiteUnits &amp; ")"</f>
        <v>Total site energy (Btu x 10^6)</v>
      </c>
      <c r="C149" s="3142"/>
      <c r="D149" s="3142"/>
      <c r="E149" s="3142"/>
      <c r="F149" s="3142"/>
      <c r="G149" s="521">
        <f t="shared" ref="G149:M149" si="6">IFERROR(SUMPRODUCT(INDEX(PO_Enrgy_5_Table,0,MATCH(G$145,PO_Enrgy_5_Hdr,0)),INDEX(PO_Enrgy_5_Table,0,MATCH($Q145,PO_Enrgy_5_Hdr,0))),"")</f>
        <v>0</v>
      </c>
      <c r="H149" s="521">
        <f t="shared" si="6"/>
        <v>0</v>
      </c>
      <c r="I149" s="521">
        <f t="shared" si="6"/>
        <v>0</v>
      </c>
      <c r="J149" s="521">
        <f t="shared" si="6"/>
        <v>0</v>
      </c>
      <c r="K149" s="3094">
        <f t="shared" si="6"/>
        <v>0</v>
      </c>
      <c r="L149" s="3143" t="str">
        <f t="shared" si="6"/>
        <v/>
      </c>
      <c r="M149" s="3144" t="str">
        <f t="shared" si="6"/>
        <v/>
      </c>
      <c r="BC149" s="804"/>
    </row>
    <row r="150" spans="1:55" ht="21" customHeight="1" x14ac:dyDescent="0.25">
      <c r="A150" s="433" t="s">
        <v>1038</v>
      </c>
      <c r="B150" s="3141" t="str">
        <f>"Total source energy (" &amp; PO_SourceUnits &amp; ")"</f>
        <v>Total source energy (Btu x 10^6)</v>
      </c>
      <c r="C150" s="3142"/>
      <c r="D150" s="3142"/>
      <c r="E150" s="3142"/>
      <c r="F150" s="3142"/>
      <c r="G150" s="521">
        <f t="shared" ref="G150:M150" si="7">IFERROR(SUMPRODUCT(G$146:G$147,$R$146:$R$147),0)</f>
        <v>0</v>
      </c>
      <c r="H150" s="521">
        <f t="shared" si="7"/>
        <v>0</v>
      </c>
      <c r="I150" s="521">
        <f t="shared" si="7"/>
        <v>0</v>
      </c>
      <c r="J150" s="521">
        <f t="shared" si="7"/>
        <v>0</v>
      </c>
      <c r="K150" s="3094">
        <f t="shared" si="7"/>
        <v>0</v>
      </c>
      <c r="L150" s="3143">
        <f t="shared" si="7"/>
        <v>0</v>
      </c>
      <c r="M150" s="3144">
        <f t="shared" si="7"/>
        <v>0</v>
      </c>
      <c r="BC150" s="804"/>
    </row>
    <row r="151" spans="1:55" ht="21" customHeight="1" x14ac:dyDescent="0.25">
      <c r="A151" s="433" t="s">
        <v>1038</v>
      </c>
      <c r="B151" s="329"/>
      <c r="C151" s="329"/>
      <c r="D151" s="329"/>
      <c r="E151" s="266"/>
      <c r="F151" s="266"/>
      <c r="G151" s="250"/>
      <c r="H151" s="250"/>
      <c r="I151" s="250"/>
      <c r="J151" s="250"/>
      <c r="K151" s="250"/>
      <c r="L151" s="250"/>
      <c r="M151" s="250"/>
    </row>
    <row r="152" spans="1:55" ht="20.25" customHeight="1" x14ac:dyDescent="0.25">
      <c r="A152" s="433" t="s">
        <v>1038</v>
      </c>
      <c r="B152" s="287" t="s">
        <v>1006</v>
      </c>
      <c r="C152" s="288"/>
      <c r="D152" s="288"/>
      <c r="E152" s="288"/>
      <c r="F152" s="288"/>
      <c r="G152" s="288"/>
      <c r="H152" s="288"/>
      <c r="I152" s="288"/>
      <c r="J152" s="288"/>
      <c r="K152" s="288"/>
      <c r="L152" s="288"/>
      <c r="M152" s="288"/>
    </row>
    <row r="153" spans="1:55" ht="63.75" customHeight="1" x14ac:dyDescent="0.25">
      <c r="A153" s="433" t="s">
        <v>1038</v>
      </c>
      <c r="B153" s="3145" t="s">
        <v>354</v>
      </c>
      <c r="C153" s="3145"/>
      <c r="D153" s="3145"/>
      <c r="E153" s="3145"/>
      <c r="F153" s="3145"/>
      <c r="G153" s="522" t="s">
        <v>373</v>
      </c>
      <c r="H153" s="522" t="s">
        <v>372</v>
      </c>
      <c r="I153" s="522" t="s">
        <v>371</v>
      </c>
      <c r="J153" s="522" t="s">
        <v>370</v>
      </c>
      <c r="K153" s="3100" t="s">
        <v>369</v>
      </c>
      <c r="L153" s="3101"/>
      <c r="M153" s="3102"/>
    </row>
    <row r="154" spans="1:55" ht="15" hidden="1" customHeight="1" x14ac:dyDescent="0.25">
      <c r="A154" s="433" t="s">
        <v>1038</v>
      </c>
      <c r="B154" s="461" t="s">
        <v>1396</v>
      </c>
      <c r="C154" s="461"/>
      <c r="D154" s="461"/>
      <c r="E154" s="461"/>
      <c r="F154" s="461"/>
      <c r="G154" s="469" t="s">
        <v>1425</v>
      </c>
      <c r="H154" s="469" t="s">
        <v>1426</v>
      </c>
      <c r="I154" s="469" t="s">
        <v>1427</v>
      </c>
      <c r="J154" s="469" t="s">
        <v>1428</v>
      </c>
      <c r="K154" s="469" t="s">
        <v>1454</v>
      </c>
      <c r="L154" s="461"/>
      <c r="M154" s="460"/>
      <c r="Q154" s="628" t="s">
        <v>1407</v>
      </c>
      <c r="R154" s="628" t="s">
        <v>1408</v>
      </c>
    </row>
    <row r="155" spans="1:55" ht="15" customHeight="1" x14ac:dyDescent="0.25">
      <c r="A155" s="433" t="s">
        <v>1038</v>
      </c>
      <c r="B155" s="3095" t="str">
        <f>IFERROR(IF(ISBLANK(B17),"",B17),"")</f>
        <v/>
      </c>
      <c r="C155" s="3096"/>
      <c r="D155" s="3096"/>
      <c r="E155" s="3096"/>
      <c r="F155" s="650" t="str">
        <f>IFERROR(IF(ISBLANK($B155),"",VLOOKUP($B155,PO_Enrgy_1_Table,MATCH($C$16,PO_Enrgy_1_Hdr,0),FALSE) ),"")</f>
        <v/>
      </c>
      <c r="G155" s="523"/>
      <c r="H155" s="523"/>
      <c r="I155" s="523"/>
      <c r="J155" s="523"/>
      <c r="K155" s="3097" t="str">
        <f>IFERROR((AVERAGE(G155:J155)),"")</f>
        <v/>
      </c>
      <c r="L155" s="3098"/>
      <c r="M155" s="3099"/>
      <c r="Q155" s="627" t="str">
        <f>IFERROR(IF(ISBLANK($B155),"",VLOOKUP($B155,PO_Enrgy_1_Table,MATCH($K$16,PO_Enrgy_1_Hdr,0),FALSE)),"")</f>
        <v/>
      </c>
      <c r="R155" s="627" t="str">
        <f>IFERROR(IF(ISBLANK($B155),"",VLOOKUP($B155,PO_Enrgy_1_Table,MATCH($M$16,PO_Enrgy_1_Hdr,0),FALSE)),"")</f>
        <v/>
      </c>
      <c r="AD155" s="263"/>
      <c r="BC155" s="804"/>
    </row>
    <row r="156" spans="1:55" ht="15" customHeight="1" x14ac:dyDescent="0.25">
      <c r="A156" s="433" t="s">
        <v>1038</v>
      </c>
      <c r="B156" s="3095" t="str">
        <f>IFERROR(IF(ISBLANK(B18),"",B18),"")</f>
        <v/>
      </c>
      <c r="C156" s="3096"/>
      <c r="D156" s="3096"/>
      <c r="E156" s="3096"/>
      <c r="F156" s="650" t="str">
        <f>IFERROR(IF(ISBLANK($B156),"",VLOOKUP($B156,PO_Enrgy_1_Table,MATCH($C$16,PO_Enrgy_1_Hdr,0),FALSE) ),"")</f>
        <v/>
      </c>
      <c r="G156" s="523"/>
      <c r="H156" s="523"/>
      <c r="I156" s="523"/>
      <c r="J156" s="523"/>
      <c r="K156" s="3097" t="str">
        <f>IFERROR((AVERAGE(G156:J156)),"")</f>
        <v/>
      </c>
      <c r="L156" s="3098"/>
      <c r="M156" s="3099"/>
      <c r="Q156" s="627" t="str">
        <f>IFERROR(IF(ISBLANK($B156),"",VLOOKUP($B156,PO_Enrgy_1_Table,MATCH($K$16,PO_Enrgy_1_Hdr,0),FALSE)),"")</f>
        <v/>
      </c>
      <c r="R156" s="627" t="str">
        <f>IFERROR(IF(ISBLANK($B156),"",VLOOKUP($B156,PO_Enrgy_1_Table,MATCH($M$16,PO_Enrgy_1_Hdr,0),FALSE)),"")</f>
        <v/>
      </c>
      <c r="AD156" s="263"/>
      <c r="BC156" s="804"/>
    </row>
    <row r="157" spans="1:55" ht="15" customHeight="1" x14ac:dyDescent="0.25">
      <c r="A157" s="433" t="s">
        <v>1038</v>
      </c>
      <c r="B157" s="3095" t="str">
        <f>IFERROR(IF(ISBLANK(B19),"",B19),"")</f>
        <v/>
      </c>
      <c r="C157" s="3096"/>
      <c r="D157" s="3096"/>
      <c r="E157" s="3096"/>
      <c r="F157" s="650" t="str">
        <f>IFERROR(IF(ISBLANK($B157),"",VLOOKUP($B157,PO_Enrgy_1_Table,MATCH($C$16,PO_Enrgy_1_Hdr,0),FALSE) ),"")</f>
        <v/>
      </c>
      <c r="G157" s="523"/>
      <c r="H157" s="523"/>
      <c r="I157" s="523"/>
      <c r="J157" s="523"/>
      <c r="K157" s="3097" t="str">
        <f>IFERROR((AVERAGE(G157:J157)),"")</f>
        <v/>
      </c>
      <c r="L157" s="3098"/>
      <c r="M157" s="3099"/>
      <c r="Q157" s="627" t="str">
        <f>IFERROR(IF(ISBLANK($B157),"",VLOOKUP($B157,PO_Enrgy_1_Table,MATCH($K$16,PO_Enrgy_1_Hdr,0),FALSE)),"")</f>
        <v/>
      </c>
      <c r="R157" s="627" t="str">
        <f>IFERROR(IF(ISBLANK($B157),"",VLOOKUP($B157,PO_Enrgy_1_Table,MATCH($M$16,PO_Enrgy_1_Hdr,0),FALSE)),"")</f>
        <v/>
      </c>
      <c r="AD157" s="263"/>
      <c r="BC157" s="804"/>
    </row>
    <row r="158" spans="1:55" ht="21" customHeight="1" x14ac:dyDescent="0.25">
      <c r="A158" s="433" t="s">
        <v>1038</v>
      </c>
      <c r="B158" s="3141" t="s">
        <v>1008</v>
      </c>
      <c r="C158" s="3171"/>
      <c r="D158" s="3171"/>
      <c r="E158" s="3171"/>
      <c r="F158" s="3171"/>
      <c r="G158" s="524">
        <f t="shared" ref="G158:M158" si="8">IFERROR(SUM(INDEX(PO_Enrgy_6_Table,0,MATCH(G$154,PO_Enrgy_6_Hdr,0))),"")</f>
        <v>0</v>
      </c>
      <c r="H158" s="524">
        <f t="shared" si="8"/>
        <v>0</v>
      </c>
      <c r="I158" s="524">
        <f t="shared" si="8"/>
        <v>0</v>
      </c>
      <c r="J158" s="524">
        <f t="shared" si="8"/>
        <v>0</v>
      </c>
      <c r="K158" s="3232">
        <f t="shared" si="8"/>
        <v>0</v>
      </c>
      <c r="L158" s="3233" t="str">
        <f t="shared" si="8"/>
        <v/>
      </c>
      <c r="M158" s="3234" t="str">
        <f t="shared" si="8"/>
        <v/>
      </c>
      <c r="BC158" s="804"/>
    </row>
    <row r="159" spans="1:55" ht="18" customHeight="1" x14ac:dyDescent="0.25">
      <c r="A159" s="433" t="s">
        <v>1038</v>
      </c>
      <c r="B159" s="329"/>
      <c r="C159" s="329"/>
      <c r="D159" s="329"/>
      <c r="E159" s="266"/>
      <c r="F159" s="266"/>
      <c r="G159" s="337"/>
      <c r="H159" s="337"/>
      <c r="I159" s="337"/>
      <c r="J159" s="337"/>
      <c r="K159" s="251"/>
      <c r="L159" s="251"/>
      <c r="M159" s="251"/>
    </row>
    <row r="160" spans="1:55" ht="33" customHeight="1" x14ac:dyDescent="0.25">
      <c r="A160" s="433" t="s">
        <v>1038</v>
      </c>
      <c r="B160" s="329"/>
      <c r="C160" s="329"/>
      <c r="D160" s="329"/>
      <c r="E160" s="266"/>
      <c r="F160" s="266"/>
      <c r="G160" s="338"/>
      <c r="H160" s="338"/>
      <c r="I160" s="338"/>
      <c r="J160" s="338"/>
      <c r="K160" s="250"/>
      <c r="L160" s="250"/>
      <c r="M160" s="250"/>
    </row>
    <row r="161" spans="1:55" ht="21.75" customHeight="1" x14ac:dyDescent="0.25">
      <c r="A161" s="433" t="s">
        <v>1038</v>
      </c>
      <c r="B161" s="287" t="s">
        <v>1009</v>
      </c>
      <c r="C161" s="288"/>
      <c r="D161" s="288"/>
      <c r="E161" s="288"/>
      <c r="F161" s="288"/>
      <c r="G161" s="288"/>
      <c r="H161" s="288"/>
      <c r="I161" s="288"/>
      <c r="J161" s="288"/>
      <c r="K161" s="288"/>
      <c r="L161" s="288"/>
      <c r="M161" s="288"/>
    </row>
    <row r="162" spans="1:55" ht="34.5" hidden="1" customHeight="1" x14ac:dyDescent="0.25">
      <c r="A162" s="433" t="s">
        <v>1038</v>
      </c>
      <c r="B162" s="3201" t="s">
        <v>368</v>
      </c>
      <c r="C162" s="3201"/>
      <c r="D162" s="3201"/>
      <c r="E162" s="3201"/>
      <c r="F162" s="3201"/>
      <c r="G162" s="3201"/>
      <c r="H162" s="3201"/>
      <c r="I162" s="3201"/>
      <c r="J162" s="3201"/>
      <c r="K162" s="3201"/>
      <c r="L162" s="3201"/>
      <c r="M162" s="3201"/>
    </row>
    <row r="163" spans="1:55" ht="33" hidden="1" customHeight="1" x14ac:dyDescent="0.25">
      <c r="A163" s="433" t="s">
        <v>1038</v>
      </c>
      <c r="B163" s="3201" t="s">
        <v>951</v>
      </c>
      <c r="C163" s="3201"/>
      <c r="D163" s="3201"/>
      <c r="E163" s="3201"/>
      <c r="F163" s="3201"/>
      <c r="G163" s="3201"/>
      <c r="H163" s="3201"/>
      <c r="I163" s="3201"/>
      <c r="J163" s="3201"/>
      <c r="K163" s="3201"/>
      <c r="L163" s="3201"/>
      <c r="M163" s="3201"/>
    </row>
    <row r="164" spans="1:55" ht="33" hidden="1" customHeight="1" x14ac:dyDescent="0.25">
      <c r="A164" s="433" t="s">
        <v>1038</v>
      </c>
      <c r="B164" s="3201" t="s">
        <v>939</v>
      </c>
      <c r="C164" s="3201"/>
      <c r="D164" s="3201"/>
      <c r="E164" s="3201"/>
      <c r="F164" s="3201"/>
      <c r="G164" s="3201"/>
      <c r="H164" s="3201"/>
      <c r="I164" s="3201"/>
      <c r="J164" s="3201"/>
      <c r="K164" s="3201"/>
      <c r="L164" s="3201"/>
      <c r="M164" s="3201"/>
    </row>
    <row r="165" spans="1:55" ht="33" hidden="1" customHeight="1" x14ac:dyDescent="0.25">
      <c r="A165" s="433" t="s">
        <v>1038</v>
      </c>
      <c r="B165" s="3201" t="s">
        <v>953</v>
      </c>
      <c r="C165" s="3201"/>
      <c r="D165" s="3201"/>
      <c r="E165" s="3201"/>
      <c r="F165" s="3201"/>
      <c r="G165" s="3201"/>
      <c r="H165" s="3201"/>
      <c r="I165" s="3201"/>
      <c r="J165" s="3201"/>
      <c r="K165" s="3201"/>
      <c r="L165" s="3201"/>
      <c r="M165" s="3201"/>
    </row>
    <row r="166" spans="1:55" ht="33" hidden="1" customHeight="1" x14ac:dyDescent="0.25">
      <c r="A166" s="433" t="s">
        <v>1038</v>
      </c>
      <c r="B166" s="3201" t="s">
        <v>940</v>
      </c>
      <c r="C166" s="3220"/>
      <c r="D166" s="3220"/>
      <c r="E166" s="3220"/>
      <c r="F166" s="3220"/>
      <c r="G166" s="3220"/>
      <c r="H166" s="3220"/>
      <c r="I166" s="3220"/>
      <c r="J166" s="3220"/>
      <c r="K166" s="3220"/>
      <c r="L166" s="3220"/>
      <c r="M166" s="3220"/>
    </row>
    <row r="167" spans="1:55" ht="45" hidden="1" customHeight="1" x14ac:dyDescent="0.25">
      <c r="A167" s="433" t="s">
        <v>1038</v>
      </c>
      <c r="B167" s="3201" t="s">
        <v>1033</v>
      </c>
      <c r="C167" s="3220"/>
      <c r="D167" s="3220"/>
      <c r="E167" s="3220"/>
      <c r="F167" s="3220"/>
      <c r="G167" s="3220"/>
      <c r="H167" s="3220"/>
      <c r="I167" s="3220"/>
      <c r="J167" s="3220"/>
      <c r="K167" s="3220"/>
      <c r="L167" s="3220"/>
      <c r="M167" s="3220"/>
    </row>
    <row r="168" spans="1:55" ht="15" customHeight="1" x14ac:dyDescent="0.25">
      <c r="A168" s="433" t="s">
        <v>1038</v>
      </c>
      <c r="B168" s="243"/>
    </row>
    <row r="169" spans="1:55" ht="98.25" customHeight="1" x14ac:dyDescent="0.25">
      <c r="A169" s="433" t="s">
        <v>1038</v>
      </c>
      <c r="B169" s="3140" t="s">
        <v>367</v>
      </c>
      <c r="C169" s="3102"/>
      <c r="D169" s="513" t="s">
        <v>366</v>
      </c>
      <c r="E169" s="580" t="s">
        <v>354</v>
      </c>
      <c r="F169" s="580" t="s">
        <v>1010</v>
      </c>
      <c r="G169" s="580" t="s">
        <v>272</v>
      </c>
      <c r="H169" s="580" t="s">
        <v>273</v>
      </c>
      <c r="I169" s="580" t="s">
        <v>1011</v>
      </c>
      <c r="J169" s="580" t="s">
        <v>1012</v>
      </c>
      <c r="K169" s="3140" t="s">
        <v>1022</v>
      </c>
      <c r="L169" s="3140"/>
      <c r="M169" s="580" t="s">
        <v>1013</v>
      </c>
      <c r="W169" s="627" t="s">
        <v>880</v>
      </c>
      <c r="Y169" s="627" t="s">
        <v>881</v>
      </c>
      <c r="Z169" s="235" t="s">
        <v>882</v>
      </c>
      <c r="AG169" s="627" t="s">
        <v>1470</v>
      </c>
    </row>
    <row r="170" spans="1:55" s="243" customFormat="1" ht="15" hidden="1" customHeight="1" x14ac:dyDescent="0.25">
      <c r="A170" s="433" t="s">
        <v>1038</v>
      </c>
      <c r="B170" s="462" t="s">
        <v>1422</v>
      </c>
      <c r="C170" s="460"/>
      <c r="D170" s="462" t="s">
        <v>1423</v>
      </c>
      <c r="E170" s="462" t="s">
        <v>1396</v>
      </c>
      <c r="F170" s="462" t="s">
        <v>1424</v>
      </c>
      <c r="G170" s="462" t="s">
        <v>1429</v>
      </c>
      <c r="H170" s="462" t="s">
        <v>1431</v>
      </c>
      <c r="I170" s="462" t="s">
        <v>1432</v>
      </c>
      <c r="J170" s="462" t="s">
        <v>1433</v>
      </c>
      <c r="K170" s="462" t="s">
        <v>1434</v>
      </c>
      <c r="L170" s="462"/>
      <c r="M170" s="462" t="s">
        <v>1435</v>
      </c>
      <c r="Q170" s="628" t="s">
        <v>1407</v>
      </c>
      <c r="R170" s="628" t="s">
        <v>1408</v>
      </c>
      <c r="S170" s="628" t="s">
        <v>1483</v>
      </c>
      <c r="T170" s="628" t="s">
        <v>1484</v>
      </c>
      <c r="W170" s="243" t="s">
        <v>880</v>
      </c>
      <c r="Y170" s="243" t="s">
        <v>881</v>
      </c>
      <c r="Z170" s="243" t="s">
        <v>882</v>
      </c>
    </row>
    <row r="171" spans="1:55" ht="15.75" customHeight="1" x14ac:dyDescent="0.25">
      <c r="A171" s="433" t="s">
        <v>1038</v>
      </c>
      <c r="B171" s="3228" t="s">
        <v>392</v>
      </c>
      <c r="C171" s="3230"/>
      <c r="D171" s="3227">
        <f>INDEX(PO_baseline_table,1, 3)</f>
        <v>0</v>
      </c>
      <c r="E171" s="3225" t="str">
        <f>INDEX(PO_baseline_table,1, 4)</f>
        <v>Electricity</v>
      </c>
      <c r="F171" s="499" t="str">
        <f>IFERROR(IF(ISBLANK(E171),"","Consumption (" &amp; VLOOKUP($E171,PO_Enrgy_1_Table,MATCH($C$16,PO_Enrgy_1_Hdr,0),FALSE) &amp; ")"),"")</f>
        <v/>
      </c>
      <c r="G171" s="590" t="str">
        <f>INDEX(PO_baseline_table,1, 10)</f>
        <v/>
      </c>
      <c r="H171" s="525"/>
      <c r="I171" s="658" t="str">
        <f>IFERROR(1-H171/G171,"")</f>
        <v/>
      </c>
      <c r="J171" s="3105" t="str">
        <f>IFERROR(IF($E$327-$H$327&lt;0,"",($G171-$H171)*VLOOKUP($E171,PO_Enrgy_1_Table,MATCH($K$16,PO_Enrgy_1_Hdr,0),FALSE)/($E$327-$H$327)),"")</f>
        <v/>
      </c>
      <c r="K171" s="3103" t="str">
        <f>IFERROR(IF($G$327-$J$327&lt;0,"",($G171*VLOOKUP($E171,PO_Enrgy_8_Table,MATCH($E$232,PO_Enrgy_8_Hdr,0),FALSE)-($H171*VLOOKUP($E171,PO_Enrgy_8_Table,MATCH($H$232,PO_Enrgy_8_Hdr,0),FALSE)))/($G$327-$J$327)),"")</f>
        <v/>
      </c>
      <c r="L171" s="3103"/>
      <c r="M171" s="3104" t="str">
        <f>IFERROR(H171*VLOOKUP($E171,PO_Enrgy_1_Table,MATCH($K$16,PO_Enrgy_1_Hdr,0))/$H$227,"")</f>
        <v/>
      </c>
      <c r="Q171" s="627" t="str">
        <f t="shared" ref="Q171:Q218" si="9">IFERROR(IF(ISBLANK($E171),"",VLOOKUP($E171,PO_Enrgy_1_Table,MATCH($K$16,PO_Enrgy_1_Hdr,0),FALSE)),"")</f>
        <v/>
      </c>
      <c r="R171" s="627" t="str">
        <f t="shared" ref="R171:R218" si="10">IFERROR(IF(ISBLANK($E171),"",VLOOKUP($E171,PO_Enrgy_1_Table,MATCH($M$16,PO_Enrgy_1_Hdr,0),FALSE)),"")</f>
        <v/>
      </c>
      <c r="S171" s="627" t="str">
        <f t="shared" ref="S171:S218" si="11">IFERROR(IF(FIND("Consumption",F171),(G171*VLOOKUP(MID(F171,FIND("(",F171)+1,LEN(F171)-FIND("(",F171)-1),EnergyUnitsTable,3,FALSE))/(G172*VLOOKUP(MID(F172,FIND("(",F172)+1,LEN(F172)-FIND("(",F172)-1),DemandTable,3,FALSE)),1),"")</f>
        <v/>
      </c>
      <c r="T171" s="627" t="str">
        <f t="shared" ref="T171:T218" si="12">IFERROR(IF(FIND("Consumption",$F171),(H171*VLOOKUP(MID($F171,FIND("(",$F171)+1,LEN($F171)-FIND("(",$F171)-1),EnergyUnitsTable,3,FALSE))/(H172*VLOOKUP(MID($F172,FIND("(",$F172)+1,LEN($F172)-FIND("(",$F172)-1),DemandTable,3,FALSE)),1),"")</f>
        <v/>
      </c>
      <c r="V171" s="636">
        <f t="shared" ref="V171:V218" si="13">IFERROR($AN171*H171,0)</f>
        <v>0</v>
      </c>
      <c r="W171" s="627">
        <f t="shared" ref="W171:W218" si="14">IFERROR(G171*VLOOKUP($AE171,PO_Enrgy_8_Table,4,FALSE),0)</f>
        <v>0</v>
      </c>
      <c r="X171" s="627">
        <f t="shared" ref="X171:X218" si="15">IFERROR(H171*VLOOKUP($AE171,PO_Enrgy_8_Table,7,FALSE),0)</f>
        <v>0</v>
      </c>
      <c r="Y171" s="627" t="b">
        <f>IFERROR(IF(D171="x",IF(OR(G171/H171&gt;1.03,G171/H171&lt;0.97),TRUE,FALSE),FALSE),FALSE)</f>
        <v>0</v>
      </c>
      <c r="Z171" s="627">
        <f>IFERROR(J171*100,)</f>
        <v>0</v>
      </c>
      <c r="AA171" s="627"/>
      <c r="AB171" s="627">
        <f>RANK(Z171,$Z$171:$Z$218,0)</f>
        <v>1</v>
      </c>
      <c r="AC171" s="627">
        <f>AB171</f>
        <v>1</v>
      </c>
      <c r="AD171" s="627" t="str">
        <f>B171</f>
        <v>Interior lighting</v>
      </c>
      <c r="AE171" s="2"/>
      <c r="AF171" s="3231" t="str">
        <f>IFERROR(G171/'6b - General Lighting'!#REF!,"")</f>
        <v/>
      </c>
      <c r="AG171" s="3231"/>
      <c r="AH171" s="436"/>
      <c r="AI171" s="363"/>
      <c r="AJ171" s="363"/>
      <c r="AK171" s="562"/>
      <c r="AO171" s="252"/>
      <c r="BC171" s="804"/>
    </row>
    <row r="172" spans="1:55" ht="16.2" customHeight="1" x14ac:dyDescent="0.25">
      <c r="A172" s="433" t="s">
        <v>1038</v>
      </c>
      <c r="B172" s="3230"/>
      <c r="C172" s="3230"/>
      <c r="D172" s="3227"/>
      <c r="E172" s="3225"/>
      <c r="F172" s="499" t="str">
        <f>IFERROR(IF(ISBLANK(E171),"","Demand (" &amp; VLOOKUP($E171,PO_Enrgy_1_Table,MATCH($E$16,PO_Enrgy_1_Hdr,0),FALSE) &amp; ")"),"")</f>
        <v/>
      </c>
      <c r="G172" s="590" t="str">
        <f>INDEX(PO_baseline_table,2, 10)</f>
        <v/>
      </c>
      <c r="H172" s="526"/>
      <c r="I172" s="592" t="str">
        <f t="shared" ref="I172:I218" si="16">IFERROR(1-H172/G172,"")</f>
        <v/>
      </c>
      <c r="J172" s="3106"/>
      <c r="K172" s="3103"/>
      <c r="L172" s="3103"/>
      <c r="M172" s="3088"/>
      <c r="Q172" s="627" t="str">
        <f t="shared" si="9"/>
        <v/>
      </c>
      <c r="R172" s="627" t="str">
        <f t="shared" si="10"/>
        <v/>
      </c>
      <c r="S172" s="627" t="str">
        <f t="shared" si="11"/>
        <v/>
      </c>
      <c r="T172" s="627" t="str">
        <f t="shared" si="12"/>
        <v/>
      </c>
      <c r="V172" s="636">
        <f t="shared" si="13"/>
        <v>0</v>
      </c>
      <c r="W172" s="627">
        <f t="shared" si="14"/>
        <v>0</v>
      </c>
      <c r="X172" s="627">
        <f t="shared" si="15"/>
        <v>0</v>
      </c>
      <c r="Y172" s="627"/>
      <c r="Z172" s="627"/>
      <c r="AA172" s="627"/>
      <c r="AB172" s="627"/>
      <c r="AC172" s="627"/>
      <c r="AD172" s="627"/>
      <c r="AE172" s="2"/>
      <c r="AF172" s="3231"/>
      <c r="AG172" s="3231"/>
      <c r="AH172" s="436"/>
      <c r="AI172" s="363"/>
      <c r="AJ172" s="363"/>
      <c r="AK172" s="563"/>
      <c r="AO172" s="252"/>
      <c r="BC172" s="804"/>
    </row>
    <row r="173" spans="1:55" ht="16.2" customHeight="1" x14ac:dyDescent="0.25">
      <c r="A173" s="433" t="s">
        <v>1038</v>
      </c>
      <c r="B173" s="3228" t="s">
        <v>391</v>
      </c>
      <c r="C173" s="3228"/>
      <c r="D173" s="3227">
        <f>INDEX(PO_baseline_table,3, 3)</f>
        <v>0</v>
      </c>
      <c r="E173" s="3225" t="str">
        <f>INDEX(PO_baseline_table,3, 4)</f>
        <v>Electricity</v>
      </c>
      <c r="F173" s="499" t="str">
        <f>IFERROR(IF(ISBLANK(E173),"","Consumption (" &amp; VLOOKUP($E173,PO_Enrgy_1_Table,MATCH($C$16,PO_Enrgy_1_Hdr,0),FALSE) &amp; ")"),"")</f>
        <v/>
      </c>
      <c r="G173" s="590" t="str">
        <f>INDEX(PO_baseline_table,3, 10)</f>
        <v/>
      </c>
      <c r="H173" s="525"/>
      <c r="I173" s="658" t="str">
        <f t="shared" si="16"/>
        <v/>
      </c>
      <c r="J173" s="3105" t="str">
        <f>IFERROR(IF($E$327-$H$327&lt;0,"",($G173-$H173)*VLOOKUP($E173,PO_Enrgy_1_Table,MATCH($K$16,PO_Enrgy_1_Hdr,0),FALSE)/($E$327-$H$327)),"")</f>
        <v/>
      </c>
      <c r="K173" s="3103" t="str">
        <f>IFERROR(IF($G$327-$J$327&lt;0,"",($G173*VLOOKUP($E173,PO_Enrgy_8_Table,MATCH($E$232,PO_Enrgy_8_Hdr,0),FALSE)-($H173*VLOOKUP($E173,PO_Enrgy_8_Table,MATCH($H$232,PO_Enrgy_8_Hdr,0),FALSE)))/($G$327-$J$327)),"")</f>
        <v/>
      </c>
      <c r="L173" s="3103"/>
      <c r="M173" s="3104" t="str">
        <f>IFERROR(H173*VLOOKUP($E173,PO_Enrgy_1_Table,MATCH($K$16,PO_Enrgy_1_Hdr,0))/$H$227,"")</f>
        <v/>
      </c>
      <c r="Q173" s="627" t="str">
        <f t="shared" si="9"/>
        <v/>
      </c>
      <c r="R173" s="627" t="str">
        <f t="shared" si="10"/>
        <v/>
      </c>
      <c r="S173" s="627" t="str">
        <f t="shared" si="11"/>
        <v/>
      </c>
      <c r="T173" s="627" t="str">
        <f t="shared" si="12"/>
        <v/>
      </c>
      <c r="V173" s="636">
        <f t="shared" si="13"/>
        <v>0</v>
      </c>
      <c r="W173" s="627">
        <f t="shared" si="14"/>
        <v>0</v>
      </c>
      <c r="X173" s="627">
        <f t="shared" si="15"/>
        <v>0</v>
      </c>
      <c r="Y173" s="627" t="b">
        <f>IFERROR(IF(D173="x",IF(OR(G173/H173&gt;1.03,G173/H173&lt;0.97),TRUE,FALSE),FALSE),FALSE)</f>
        <v>0</v>
      </c>
      <c r="Z173" s="627">
        <f>IFERROR(J173*100,)</f>
        <v>0</v>
      </c>
      <c r="AA173" s="627"/>
      <c r="AB173" s="627">
        <f>RANK(Z173,$Z$171:$Z$218,0)</f>
        <v>1</v>
      </c>
      <c r="AC173" s="627">
        <f>AB173+COUNTIF($AB$171:$AB172,AB173)</f>
        <v>2</v>
      </c>
      <c r="AD173" s="627" t="str">
        <f>B173</f>
        <v>Exterior lighting</v>
      </c>
      <c r="AE173" s="2"/>
      <c r="AF173" s="3222"/>
      <c r="AG173" s="3222"/>
      <c r="AH173" s="436"/>
      <c r="AI173" s="363"/>
      <c r="AJ173" s="363"/>
      <c r="AK173" s="562"/>
      <c r="AO173" s="252"/>
      <c r="BC173" s="804"/>
    </row>
    <row r="174" spans="1:55" ht="16.2" customHeight="1" x14ac:dyDescent="0.25">
      <c r="A174" s="433" t="s">
        <v>1038</v>
      </c>
      <c r="B174" s="3228"/>
      <c r="C174" s="3228"/>
      <c r="D174" s="3227"/>
      <c r="E174" s="3225"/>
      <c r="F174" s="499" t="str">
        <f>IFERROR(IF(ISBLANK(E173),"","Demand (" &amp; VLOOKUP($E173,PO_Enrgy_1_Table,MATCH($E$16,PO_Enrgy_1_Hdr,0),FALSE) &amp; ")"),"")</f>
        <v/>
      </c>
      <c r="G174" s="591" t="str">
        <f>INDEX(PO_baseline_table,4, 10)</f>
        <v/>
      </c>
      <c r="H174" s="526"/>
      <c r="I174" s="592" t="str">
        <f t="shared" si="16"/>
        <v/>
      </c>
      <c r="J174" s="3106"/>
      <c r="K174" s="3103"/>
      <c r="L174" s="3103"/>
      <c r="M174" s="3088"/>
      <c r="Q174" s="627" t="str">
        <f t="shared" si="9"/>
        <v/>
      </c>
      <c r="R174" s="627" t="str">
        <f t="shared" si="10"/>
        <v/>
      </c>
      <c r="S174" s="627" t="str">
        <f t="shared" si="11"/>
        <v/>
      </c>
      <c r="T174" s="627" t="str">
        <f t="shared" si="12"/>
        <v/>
      </c>
      <c r="V174" s="636">
        <f t="shared" si="13"/>
        <v>0</v>
      </c>
      <c r="W174" s="627">
        <f t="shared" si="14"/>
        <v>0</v>
      </c>
      <c r="X174" s="627">
        <f t="shared" si="15"/>
        <v>0</v>
      </c>
      <c r="Y174" s="627"/>
      <c r="Z174" s="627"/>
      <c r="AA174" s="627"/>
      <c r="AB174" s="627"/>
      <c r="AC174" s="627"/>
      <c r="AD174" s="627"/>
      <c r="AE174" s="2"/>
      <c r="AF174" s="3222"/>
      <c r="AG174" s="3222"/>
      <c r="AH174" s="436"/>
      <c r="AI174" s="363"/>
      <c r="AJ174" s="363"/>
      <c r="AK174" s="563"/>
      <c r="AO174" s="252"/>
      <c r="BC174" s="804"/>
    </row>
    <row r="175" spans="1:55" ht="16.2" customHeight="1" x14ac:dyDescent="0.25">
      <c r="A175" s="433" t="s">
        <v>1038</v>
      </c>
      <c r="B175" s="3228" t="s">
        <v>390</v>
      </c>
      <c r="C175" s="3228"/>
      <c r="D175" s="3227">
        <f>INDEX(PO_baseline_table,5, 3)</f>
        <v>0</v>
      </c>
      <c r="E175" s="3225" t="str">
        <f>INDEX(PO_baseline_table,5, 4)</f>
        <v>Natural Gas</v>
      </c>
      <c r="F175" s="499" t="str">
        <f>IFERROR(IF(ISBLANK(E175),"","Consumption (" &amp; VLOOKUP($E175,PO_Enrgy_1_Table,MATCH($C$16,PO_Enrgy_1_Hdr,0),FALSE) &amp; ")"),"")</f>
        <v/>
      </c>
      <c r="G175" s="590" t="str">
        <f>INDEX(PO_baseline_table,5, 10)</f>
        <v/>
      </c>
      <c r="H175" s="525"/>
      <c r="I175" s="658" t="str">
        <f t="shared" si="16"/>
        <v/>
      </c>
      <c r="J175" s="3105" t="str">
        <f>IFERROR(IF($E$327-$H$327&lt;0,"",($G175-$H175)*VLOOKUP($E175,PO_Enrgy_1_Table,MATCH($K$16,PO_Enrgy_1_Hdr,0),FALSE)/($E$327-$H$327)),"")</f>
        <v/>
      </c>
      <c r="K175" s="3103" t="str">
        <f>IFERROR(IF($G$327-$J$327&lt;0,"",($G175*VLOOKUP($E175,PO_Enrgy_8_Table,MATCH($E$232,PO_Enrgy_8_Hdr,0),FALSE)-($H175*VLOOKUP($E175,PO_Enrgy_8_Table,MATCH($H$232,PO_Enrgy_8_Hdr,0),FALSE)))/($G$327-$J$327)),"")</f>
        <v/>
      </c>
      <c r="L175" s="3103"/>
      <c r="M175" s="3104" t="str">
        <f>IFERROR(H175*VLOOKUP($E175,PO_Enrgy_1_Table,MATCH($K$16,PO_Enrgy_1_Hdr,0))/$H$227,"")</f>
        <v/>
      </c>
      <c r="Q175" s="627" t="str">
        <f t="shared" si="9"/>
        <v/>
      </c>
      <c r="R175" s="627" t="str">
        <f t="shared" si="10"/>
        <v/>
      </c>
      <c r="S175" s="627" t="str">
        <f t="shared" si="11"/>
        <v/>
      </c>
      <c r="T175" s="627" t="str">
        <f t="shared" si="12"/>
        <v/>
      </c>
      <c r="V175" s="636">
        <f t="shared" si="13"/>
        <v>0</v>
      </c>
      <c r="W175" s="627">
        <f t="shared" si="14"/>
        <v>0</v>
      </c>
      <c r="X175" s="627">
        <f t="shared" si="15"/>
        <v>0</v>
      </c>
      <c r="Y175" s="627" t="b">
        <f>IFERROR(IF(D175="x",IF(OR(G175/H175&gt;1.03,G175/H175&lt;0.97),TRUE,FALSE),FALSE),FALSE)</f>
        <v>0</v>
      </c>
      <c r="Z175" s="627">
        <f>IFERROR(J175*100,)</f>
        <v>0</v>
      </c>
      <c r="AA175" s="627"/>
      <c r="AB175" s="627">
        <f>RANK(Z175,$Z$171:$Z$218,0)</f>
        <v>1</v>
      </c>
      <c r="AC175" s="627">
        <f>AB175+COUNTIF($AB$171:$AB174,AB175)</f>
        <v>3</v>
      </c>
      <c r="AD175" s="627" t="str">
        <f>B175</f>
        <v>Space heating</v>
      </c>
      <c r="AE175" s="2"/>
      <c r="AF175" s="3222"/>
      <c r="AG175" s="3222"/>
      <c r="AH175" s="436"/>
      <c r="AI175" s="363"/>
      <c r="AJ175" s="363"/>
      <c r="AK175" s="562"/>
      <c r="AO175" s="252"/>
      <c r="BC175" s="804"/>
    </row>
    <row r="176" spans="1:55" ht="16.2" customHeight="1" x14ac:dyDescent="0.25">
      <c r="A176" s="433" t="s">
        <v>1038</v>
      </c>
      <c r="B176" s="3228"/>
      <c r="C176" s="3228"/>
      <c r="D176" s="3227"/>
      <c r="E176" s="3225"/>
      <c r="F176" s="499" t="str">
        <f>IFERROR(IF(ISBLANK(E175),"","Demand (" &amp; VLOOKUP($E175,PO_Enrgy_1_Table,MATCH($E$16,PO_Enrgy_1_Hdr,0),FALSE) &amp; ")"),"")</f>
        <v/>
      </c>
      <c r="G176" s="591" t="str">
        <f>INDEX(PO_baseline_table,6, 10)</f>
        <v/>
      </c>
      <c r="H176" s="526"/>
      <c r="I176" s="592" t="str">
        <f t="shared" si="16"/>
        <v/>
      </c>
      <c r="J176" s="3106"/>
      <c r="K176" s="3103"/>
      <c r="L176" s="3103"/>
      <c r="M176" s="3088"/>
      <c r="Q176" s="627" t="str">
        <f t="shared" si="9"/>
        <v/>
      </c>
      <c r="R176" s="627" t="str">
        <f t="shared" si="10"/>
        <v/>
      </c>
      <c r="S176" s="627" t="str">
        <f t="shared" si="11"/>
        <v/>
      </c>
      <c r="T176" s="627" t="str">
        <f t="shared" si="12"/>
        <v/>
      </c>
      <c r="V176" s="636">
        <f t="shared" si="13"/>
        <v>0</v>
      </c>
      <c r="W176" s="627">
        <f t="shared" si="14"/>
        <v>0</v>
      </c>
      <c r="X176" s="627">
        <f t="shared" si="15"/>
        <v>0</v>
      </c>
      <c r="Y176" s="627"/>
      <c r="Z176" s="627"/>
      <c r="AA176" s="627"/>
      <c r="AB176" s="627"/>
      <c r="AC176" s="627"/>
      <c r="AD176" s="627"/>
      <c r="AE176" s="2"/>
      <c r="AF176" s="3222"/>
      <c r="AG176" s="3222"/>
      <c r="AH176" s="436"/>
      <c r="AI176" s="363"/>
      <c r="AJ176" s="363"/>
      <c r="AK176" s="563"/>
      <c r="AO176" s="252"/>
      <c r="BC176" s="804"/>
    </row>
    <row r="177" spans="1:55" ht="16.2" customHeight="1" x14ac:dyDescent="0.25">
      <c r="A177" s="433" t="s">
        <v>1038</v>
      </c>
      <c r="B177" s="3228" t="s">
        <v>389</v>
      </c>
      <c r="C177" s="3228"/>
      <c r="D177" s="3227">
        <f>INDEX(PO_baseline_table,7, 3)</f>
        <v>0</v>
      </c>
      <c r="E177" s="3225" t="str">
        <f>INDEX(PO_baseline_table,7, 4)</f>
        <v>Electricity</v>
      </c>
      <c r="F177" s="499" t="str">
        <f>IFERROR(IF(ISBLANK(E177),"","Consumption (" &amp; VLOOKUP($E177,PO_Enrgy_1_Table,MATCH($C$16,PO_Enrgy_1_Hdr,0),FALSE) &amp; ")"),"")</f>
        <v/>
      </c>
      <c r="G177" s="590" t="str">
        <f>INDEX(PO_baseline_table,7, 10)</f>
        <v/>
      </c>
      <c r="H177" s="525"/>
      <c r="I177" s="658" t="str">
        <f t="shared" si="16"/>
        <v/>
      </c>
      <c r="J177" s="3105" t="str">
        <f>IFERROR(IF($E$327-$H$327&lt;0,"",($G177-$H177)*VLOOKUP($E177,PO_Enrgy_1_Table,MATCH($K$16,PO_Enrgy_1_Hdr,0),FALSE)/($E$327-$H$327)),"")</f>
        <v/>
      </c>
      <c r="K177" s="3103" t="str">
        <f>IFERROR(IF($G$327-$J$327&lt;0,"",($G177*VLOOKUP($E177,PO_Enrgy_8_Table,MATCH($E$232,PO_Enrgy_8_Hdr,0),FALSE)-($H177*VLOOKUP($E177,PO_Enrgy_8_Table,MATCH($H$232,PO_Enrgy_8_Hdr,0),FALSE)))/($G$327-$J$327)),"")</f>
        <v/>
      </c>
      <c r="L177" s="3103"/>
      <c r="M177" s="3104" t="str">
        <f>IFERROR(H177*VLOOKUP($E177,PO_Enrgy_1_Table,MATCH($K$16,PO_Enrgy_1_Hdr,0))/$H$227,"")</f>
        <v/>
      </c>
      <c r="Q177" s="627" t="str">
        <f t="shared" si="9"/>
        <v/>
      </c>
      <c r="R177" s="627" t="str">
        <f t="shared" si="10"/>
        <v/>
      </c>
      <c r="S177" s="627" t="str">
        <f t="shared" si="11"/>
        <v/>
      </c>
      <c r="T177" s="627" t="str">
        <f t="shared" si="12"/>
        <v/>
      </c>
      <c r="V177" s="636">
        <f t="shared" si="13"/>
        <v>0</v>
      </c>
      <c r="W177" s="627">
        <f t="shared" si="14"/>
        <v>0</v>
      </c>
      <c r="X177" s="627">
        <f t="shared" si="15"/>
        <v>0</v>
      </c>
      <c r="Y177" s="627" t="b">
        <f>IFERROR(IF(D177="x",IF(OR(G177/H177&gt;1.03,G177/H177&lt;0.97),TRUE,FALSE),FALSE),FALSE)</f>
        <v>0</v>
      </c>
      <c r="Z177" s="627">
        <f>IFERROR(J177*100,)</f>
        <v>0</v>
      </c>
      <c r="AA177" s="627"/>
      <c r="AB177" s="627">
        <f>RANK(Z177,$Z$171:$Z$218,0)</f>
        <v>1</v>
      </c>
      <c r="AC177" s="627">
        <f>AB177+COUNTIF($AB$171:$AB176,AB177)</f>
        <v>4</v>
      </c>
      <c r="AD177" s="627" t="str">
        <f>B177</f>
        <v>Space cooling</v>
      </c>
      <c r="AE177" s="2"/>
      <c r="AF177" s="3222"/>
      <c r="AG177" s="3222"/>
      <c r="AH177" s="436"/>
      <c r="AI177" s="363"/>
      <c r="AJ177" s="363"/>
      <c r="AK177" s="562"/>
      <c r="AO177" s="252"/>
      <c r="BC177" s="804"/>
    </row>
    <row r="178" spans="1:55" ht="16.2" customHeight="1" x14ac:dyDescent="0.25">
      <c r="A178" s="433" t="s">
        <v>1038</v>
      </c>
      <c r="B178" s="3228"/>
      <c r="C178" s="3228"/>
      <c r="D178" s="3227"/>
      <c r="E178" s="3225"/>
      <c r="F178" s="499" t="str">
        <f>IFERROR(IF(ISBLANK(E177),"","Demand (" &amp; VLOOKUP($E177,PO_Enrgy_1_Table,MATCH($E$16,PO_Enrgy_1_Hdr,0),FALSE) &amp; ")"),"")</f>
        <v/>
      </c>
      <c r="G178" s="591" t="str">
        <f>INDEX(PO_baseline_table,8, 10)</f>
        <v/>
      </c>
      <c r="H178" s="526"/>
      <c r="I178" s="592" t="str">
        <f t="shared" si="16"/>
        <v/>
      </c>
      <c r="J178" s="3106"/>
      <c r="K178" s="3103"/>
      <c r="L178" s="3103"/>
      <c r="M178" s="3088"/>
      <c r="Q178" s="627" t="str">
        <f t="shared" si="9"/>
        <v/>
      </c>
      <c r="R178" s="627" t="str">
        <f t="shared" si="10"/>
        <v/>
      </c>
      <c r="S178" s="627" t="str">
        <f t="shared" si="11"/>
        <v/>
      </c>
      <c r="T178" s="627" t="str">
        <f t="shared" si="12"/>
        <v/>
      </c>
      <c r="V178" s="636">
        <f t="shared" si="13"/>
        <v>0</v>
      </c>
      <c r="W178" s="627">
        <f t="shared" si="14"/>
        <v>0</v>
      </c>
      <c r="X178" s="627">
        <f t="shared" si="15"/>
        <v>0</v>
      </c>
      <c r="Y178" s="627"/>
      <c r="Z178" s="627"/>
      <c r="AA178" s="627"/>
      <c r="AB178" s="627"/>
      <c r="AC178" s="627"/>
      <c r="AD178" s="627"/>
      <c r="AE178" s="2"/>
      <c r="AF178" s="3222"/>
      <c r="AG178" s="3222"/>
      <c r="AH178" s="436"/>
      <c r="AI178" s="363"/>
      <c r="AJ178" s="363"/>
      <c r="AK178" s="563"/>
      <c r="AO178" s="252"/>
      <c r="BC178" s="804"/>
    </row>
    <row r="179" spans="1:55" ht="16.2" customHeight="1" x14ac:dyDescent="0.25">
      <c r="A179" s="433" t="s">
        <v>1038</v>
      </c>
      <c r="B179" s="3228" t="s">
        <v>387</v>
      </c>
      <c r="C179" s="3228"/>
      <c r="D179" s="3227">
        <f>INDEX(PO_baseline_table,9, 3)</f>
        <v>0</v>
      </c>
      <c r="E179" s="3225" t="str">
        <f>INDEX(PO_baseline_table,9, 4)</f>
        <v>Electricity</v>
      </c>
      <c r="F179" s="499" t="str">
        <f>IFERROR(IF(ISBLANK(E179),"","Consumption (" &amp; VLOOKUP($E179,PO_Enrgy_1_Table,MATCH($C$16,PO_Enrgy_1_Hdr,0),FALSE) &amp; ")"),"")</f>
        <v/>
      </c>
      <c r="G179" s="590" t="str">
        <f>INDEX(PO_baseline_table,9, 10)</f>
        <v/>
      </c>
      <c r="H179" s="525"/>
      <c r="I179" s="658" t="str">
        <f t="shared" si="16"/>
        <v/>
      </c>
      <c r="J179" s="3105" t="str">
        <f>IFERROR(IF($E$327-$H$327&lt;0,"",($G179-$H179)*VLOOKUP($E179,PO_Enrgy_1_Table,MATCH($K$16,PO_Enrgy_1_Hdr,0),FALSE)/($E$327-$H$327)),"")</f>
        <v/>
      </c>
      <c r="K179" s="3103" t="str">
        <f>IFERROR(IF($G$327-$J$327&lt;0,"",($G179*VLOOKUP($E179,PO_Enrgy_8_Table,MATCH($E$232,PO_Enrgy_8_Hdr,0),FALSE)-($H179*VLOOKUP($E179,PO_Enrgy_8_Table,MATCH($H$232,PO_Enrgy_8_Hdr,0),FALSE)))/($G$327-$J$327)),"")</f>
        <v/>
      </c>
      <c r="L179" s="3103"/>
      <c r="M179" s="3104" t="str">
        <f>IFERROR(H179*VLOOKUP($E179,PO_Enrgy_1_Table,MATCH($K$16,PO_Enrgy_1_Hdr,0))/$H$227,"")</f>
        <v/>
      </c>
      <c r="Q179" s="627" t="str">
        <f t="shared" si="9"/>
        <v/>
      </c>
      <c r="R179" s="627" t="str">
        <f t="shared" si="10"/>
        <v/>
      </c>
      <c r="S179" s="627" t="str">
        <f t="shared" si="11"/>
        <v/>
      </c>
      <c r="T179" s="627" t="str">
        <f t="shared" si="12"/>
        <v/>
      </c>
      <c r="V179" s="636">
        <f t="shared" si="13"/>
        <v>0</v>
      </c>
      <c r="W179" s="627">
        <f t="shared" si="14"/>
        <v>0</v>
      </c>
      <c r="X179" s="627">
        <f t="shared" si="15"/>
        <v>0</v>
      </c>
      <c r="Y179" s="627" t="b">
        <f>IFERROR(IF(D179="x",IF(OR(G179/H179&gt;1.03,G179/H179&lt;0.97),TRUE,FALSE),FALSE),FALSE)</f>
        <v>0</v>
      </c>
      <c r="Z179" s="627">
        <f>IFERROR(J179*100,)</f>
        <v>0</v>
      </c>
      <c r="AA179" s="627"/>
      <c r="AB179" s="627">
        <f>RANK(Z179,$Z$171:$Z$218,0)</f>
        <v>1</v>
      </c>
      <c r="AC179" s="627">
        <f>AB179+COUNTIF($AB$171:$AB178,AB179)</f>
        <v>5</v>
      </c>
      <c r="AD179" s="627" t="str">
        <f>B179</f>
        <v>Pumps</v>
      </c>
      <c r="AE179" s="2"/>
      <c r="AF179" s="3222"/>
      <c r="AG179" s="3222"/>
      <c r="AH179" s="436"/>
      <c r="AI179" s="363"/>
      <c r="AJ179" s="363"/>
      <c r="AK179" s="562"/>
      <c r="AO179" s="252"/>
      <c r="BC179" s="804"/>
    </row>
    <row r="180" spans="1:55" ht="16.2" customHeight="1" x14ac:dyDescent="0.25">
      <c r="A180" s="433" t="s">
        <v>1038</v>
      </c>
      <c r="B180" s="3228"/>
      <c r="C180" s="3228"/>
      <c r="D180" s="3227"/>
      <c r="E180" s="3225"/>
      <c r="F180" s="499" t="str">
        <f>IFERROR(IF(ISBLANK(E179),"","Demand (" &amp; VLOOKUP($E179,PO_Enrgy_1_Table,MATCH($E$16,PO_Enrgy_1_Hdr,0),FALSE) &amp; ")"),"")</f>
        <v/>
      </c>
      <c r="G180" s="591" t="str">
        <f>INDEX(PO_baseline_table,10, 10)</f>
        <v/>
      </c>
      <c r="H180" s="526"/>
      <c r="I180" s="592" t="str">
        <f t="shared" si="16"/>
        <v/>
      </c>
      <c r="J180" s="3106"/>
      <c r="K180" s="3103"/>
      <c r="L180" s="3103"/>
      <c r="M180" s="3088"/>
      <c r="Q180" s="627" t="str">
        <f t="shared" si="9"/>
        <v/>
      </c>
      <c r="R180" s="627" t="str">
        <f t="shared" si="10"/>
        <v/>
      </c>
      <c r="S180" s="627" t="str">
        <f t="shared" si="11"/>
        <v/>
      </c>
      <c r="T180" s="627" t="str">
        <f t="shared" si="12"/>
        <v/>
      </c>
      <c r="V180" s="636">
        <f t="shared" si="13"/>
        <v>0</v>
      </c>
      <c r="W180" s="627">
        <f t="shared" si="14"/>
        <v>0</v>
      </c>
      <c r="X180" s="627">
        <f t="shared" si="15"/>
        <v>0</v>
      </c>
      <c r="Y180" s="627"/>
      <c r="Z180" s="627"/>
      <c r="AA180" s="627"/>
      <c r="AB180" s="627"/>
      <c r="AC180" s="627"/>
      <c r="AD180" s="627"/>
      <c r="AE180" s="2"/>
      <c r="AF180" s="3222"/>
      <c r="AG180" s="3222"/>
      <c r="AH180" s="436"/>
      <c r="AI180" s="363"/>
      <c r="AJ180" s="363"/>
      <c r="AK180" s="563"/>
      <c r="AO180" s="252"/>
      <c r="BC180" s="804"/>
    </row>
    <row r="181" spans="1:55" ht="16.2" customHeight="1" x14ac:dyDescent="0.25">
      <c r="A181" s="433" t="s">
        <v>1038</v>
      </c>
      <c r="B181" s="3228" t="s">
        <v>386</v>
      </c>
      <c r="C181" s="3228"/>
      <c r="D181" s="3227">
        <f>INDEX(PO_baseline_table,11, 3)</f>
        <v>0</v>
      </c>
      <c r="E181" s="3225" t="str">
        <f>INDEX(PO_baseline_table,11, 4)</f>
        <v>Electricity</v>
      </c>
      <c r="F181" s="499" t="str">
        <f>IFERROR(IF(ISBLANK(E181),"","Consumption (" &amp; VLOOKUP($E181,PO_Enrgy_1_Table,MATCH($C$16,PO_Enrgy_1_Hdr,0),FALSE) &amp; ")"),"")</f>
        <v/>
      </c>
      <c r="G181" s="590" t="str">
        <f>INDEX(PO_baseline_table,11, 10)</f>
        <v/>
      </c>
      <c r="H181" s="525"/>
      <c r="I181" s="658" t="str">
        <f t="shared" si="16"/>
        <v/>
      </c>
      <c r="J181" s="3105" t="str">
        <f>IFERROR(IF($E$327-$H$327&lt;0,"",($G181-$H181)*VLOOKUP($E181,PO_Enrgy_1_Table,MATCH($K$16,PO_Enrgy_1_Hdr,0),FALSE)/($E$327-$H$327)),"")</f>
        <v/>
      </c>
      <c r="K181" s="3103" t="str">
        <f>IFERROR(IF($G$327-$J$327&lt;0,"",($G181*VLOOKUP($E181,PO_Enrgy_8_Table,MATCH($E$232,PO_Enrgy_8_Hdr,0),FALSE)-($H181*VLOOKUP($E181,PO_Enrgy_8_Table,MATCH($H$232,PO_Enrgy_8_Hdr,0),FALSE)))/($G$327-$J$327)),"")</f>
        <v/>
      </c>
      <c r="L181" s="3103"/>
      <c r="M181" s="3104" t="str">
        <f>IFERROR(H181*VLOOKUP($E181,PO_Enrgy_1_Table,MATCH($K$16,PO_Enrgy_1_Hdr,0))/$H$227,"")</f>
        <v/>
      </c>
      <c r="Q181" s="627" t="str">
        <f t="shared" si="9"/>
        <v/>
      </c>
      <c r="R181" s="627" t="str">
        <f t="shared" si="10"/>
        <v/>
      </c>
      <c r="S181" s="627" t="str">
        <f t="shared" si="11"/>
        <v/>
      </c>
      <c r="T181" s="627" t="str">
        <f t="shared" si="12"/>
        <v/>
      </c>
      <c r="V181" s="636">
        <f t="shared" si="13"/>
        <v>0</v>
      </c>
      <c r="W181" s="627">
        <f t="shared" si="14"/>
        <v>0</v>
      </c>
      <c r="X181" s="627">
        <f t="shared" si="15"/>
        <v>0</v>
      </c>
      <c r="Y181" s="627" t="b">
        <f>IFERROR(IF(D181="x",IF(OR(G181/H181&gt;1.03,G181/H181&lt;0.97),TRUE,FALSE),FALSE),FALSE)</f>
        <v>0</v>
      </c>
      <c r="Z181" s="627">
        <f>IFERROR(J181*100,)</f>
        <v>0</v>
      </c>
      <c r="AA181" s="627"/>
      <c r="AB181" s="627">
        <f>RANK(Z181,$Z$171:$Z$218,0)</f>
        <v>1</v>
      </c>
      <c r="AC181" s="627">
        <f>AB181+COUNTIF($AB$171:$AB180,AB181)</f>
        <v>6</v>
      </c>
      <c r="AD181" s="627" t="str">
        <f>B181</f>
        <v>Heat rejection</v>
      </c>
      <c r="AE181" s="2"/>
      <c r="AF181" s="3222"/>
      <c r="AG181" s="3222"/>
      <c r="AH181" s="436"/>
      <c r="AI181" s="363"/>
      <c r="AJ181" s="363"/>
      <c r="AK181" s="562"/>
      <c r="AO181" s="252"/>
      <c r="BC181" s="804"/>
    </row>
    <row r="182" spans="1:55" ht="16.2" customHeight="1" x14ac:dyDescent="0.25">
      <c r="A182" s="433" t="s">
        <v>1038</v>
      </c>
      <c r="B182" s="3228"/>
      <c r="C182" s="3228"/>
      <c r="D182" s="3227"/>
      <c r="E182" s="3225"/>
      <c r="F182" s="499" t="str">
        <f>IFERROR(IF(ISBLANK(E181),"","Demand (" &amp; VLOOKUP($E181,PO_Enrgy_1_Table,MATCH($E$16,PO_Enrgy_1_Hdr,0),FALSE) &amp; ")"),"")</f>
        <v/>
      </c>
      <c r="G182" s="591" t="str">
        <f>INDEX(PO_baseline_table,12, 10)</f>
        <v/>
      </c>
      <c r="H182" s="526"/>
      <c r="I182" s="592" t="str">
        <f t="shared" si="16"/>
        <v/>
      </c>
      <c r="J182" s="3106"/>
      <c r="K182" s="3103"/>
      <c r="L182" s="3103"/>
      <c r="M182" s="3088"/>
      <c r="Q182" s="627" t="str">
        <f t="shared" si="9"/>
        <v/>
      </c>
      <c r="R182" s="627" t="str">
        <f t="shared" si="10"/>
        <v/>
      </c>
      <c r="S182" s="627" t="str">
        <f t="shared" si="11"/>
        <v/>
      </c>
      <c r="T182" s="627" t="str">
        <f t="shared" si="12"/>
        <v/>
      </c>
      <c r="V182" s="636">
        <f t="shared" si="13"/>
        <v>0</v>
      </c>
      <c r="W182" s="627">
        <f t="shared" si="14"/>
        <v>0</v>
      </c>
      <c r="X182" s="627">
        <f t="shared" si="15"/>
        <v>0</v>
      </c>
      <c r="Y182" s="627"/>
      <c r="Z182" s="627"/>
      <c r="AA182" s="627"/>
      <c r="AB182" s="627"/>
      <c r="AC182" s="627"/>
      <c r="AD182" s="627"/>
      <c r="AE182" s="2"/>
      <c r="AF182" s="3222"/>
      <c r="AG182" s="3222"/>
      <c r="AH182" s="436"/>
      <c r="AI182" s="363"/>
      <c r="AJ182" s="363"/>
      <c r="AK182" s="563"/>
      <c r="AO182" s="252"/>
      <c r="BC182" s="804"/>
    </row>
    <row r="183" spans="1:55" ht="16.2" customHeight="1" x14ac:dyDescent="0.25">
      <c r="A183" s="433" t="s">
        <v>1038</v>
      </c>
      <c r="B183" s="3228" t="s">
        <v>385</v>
      </c>
      <c r="C183" s="3228"/>
      <c r="D183" s="3227">
        <f>INDEX(PO_baseline_table,13, 3)</f>
        <v>0</v>
      </c>
      <c r="E183" s="3225" t="str">
        <f>INDEX(PO_baseline_table,13, 4)</f>
        <v>Electricity</v>
      </c>
      <c r="F183" s="499" t="str">
        <f>IFERROR(IF(ISBLANK(E183),"","Consumption (" &amp; VLOOKUP($E183,PO_Enrgy_1_Table,MATCH($C$16,PO_Enrgy_1_Hdr,0),FALSE) &amp; ")"),"")</f>
        <v/>
      </c>
      <c r="G183" s="590" t="str">
        <f>INDEX(PO_baseline_table,13, 10)</f>
        <v/>
      </c>
      <c r="H183" s="525"/>
      <c r="I183" s="658" t="str">
        <f t="shared" si="16"/>
        <v/>
      </c>
      <c r="J183" s="3105" t="str">
        <f>IFERROR(IF($E$327-$H$327&lt;0,"",($G183-$H183)*VLOOKUP($E183,PO_Enrgy_1_Table,MATCH($K$16,PO_Enrgy_1_Hdr,0),FALSE)/($E$327-$H$327)),"")</f>
        <v/>
      </c>
      <c r="K183" s="3103" t="str">
        <f>IFERROR(IF($G$327-$J$327&lt;0,"",($G183*VLOOKUP($E183,PO_Enrgy_8_Table,MATCH($E$232,PO_Enrgy_8_Hdr,0),FALSE)-($H183*VLOOKUP($E183,PO_Enrgy_8_Table,MATCH($H$232,PO_Enrgy_8_Hdr,0),FALSE)))/($G$327-$J$327)),"")</f>
        <v/>
      </c>
      <c r="L183" s="3103"/>
      <c r="M183" s="3104" t="str">
        <f>IFERROR(H183*VLOOKUP($E183,PO_Enrgy_1_Table,MATCH($K$16,PO_Enrgy_1_Hdr,0))/$H$227,"")</f>
        <v/>
      </c>
      <c r="Q183" s="627" t="str">
        <f t="shared" si="9"/>
        <v/>
      </c>
      <c r="R183" s="627" t="str">
        <f t="shared" si="10"/>
        <v/>
      </c>
      <c r="S183" s="627" t="str">
        <f t="shared" si="11"/>
        <v/>
      </c>
      <c r="T183" s="627" t="str">
        <f t="shared" si="12"/>
        <v/>
      </c>
      <c r="V183" s="636">
        <f t="shared" si="13"/>
        <v>0</v>
      </c>
      <c r="W183" s="627">
        <f t="shared" si="14"/>
        <v>0</v>
      </c>
      <c r="X183" s="627">
        <f t="shared" si="15"/>
        <v>0</v>
      </c>
      <c r="Y183" s="627" t="b">
        <f>IFERROR(IF(D183="x",IF(OR(G183/H183&gt;1.03,G183/H183&lt;0.97),TRUE,FALSE),FALSE),FALSE)</f>
        <v>0</v>
      </c>
      <c r="Z183" s="627">
        <f>IFERROR(J183*100,)</f>
        <v>0</v>
      </c>
      <c r="AA183" s="627"/>
      <c r="AB183" s="627">
        <f>RANK(Z183,$Z$171:$Z$218,0)</f>
        <v>1</v>
      </c>
      <c r="AC183" s="627">
        <f>AB183+COUNTIF($AB$171:$AB182,AB183)</f>
        <v>7</v>
      </c>
      <c r="AD183" s="627" t="str">
        <f>B183</f>
        <v>Fans - interior ventilation</v>
      </c>
      <c r="AE183" s="2"/>
      <c r="AF183" s="3222"/>
      <c r="AG183" s="3222"/>
      <c r="AH183" s="436"/>
      <c r="AI183" s="363"/>
      <c r="AJ183" s="363"/>
      <c r="AK183" s="562"/>
      <c r="AO183" s="252"/>
      <c r="BC183" s="804"/>
    </row>
    <row r="184" spans="1:55" ht="16.2" customHeight="1" x14ac:dyDescent="0.25">
      <c r="A184" s="433" t="s">
        <v>1038</v>
      </c>
      <c r="B184" s="3228"/>
      <c r="C184" s="3228"/>
      <c r="D184" s="3227"/>
      <c r="E184" s="3225"/>
      <c r="F184" s="499" t="str">
        <f>IFERROR(IF(ISBLANK(E183),"","Demand (" &amp; VLOOKUP($E183,PO_Enrgy_1_Table,MATCH($E$16,PO_Enrgy_1_Hdr,0),FALSE) &amp; ")"),"")</f>
        <v/>
      </c>
      <c r="G184" s="591" t="str">
        <f>INDEX(PO_baseline_table,14, 10)</f>
        <v/>
      </c>
      <c r="H184" s="526"/>
      <c r="I184" s="592" t="str">
        <f t="shared" si="16"/>
        <v/>
      </c>
      <c r="J184" s="3106"/>
      <c r="K184" s="3103"/>
      <c r="L184" s="3103"/>
      <c r="M184" s="3088"/>
      <c r="Q184" s="627" t="str">
        <f t="shared" si="9"/>
        <v/>
      </c>
      <c r="R184" s="627" t="str">
        <f t="shared" si="10"/>
        <v/>
      </c>
      <c r="S184" s="627" t="str">
        <f t="shared" si="11"/>
        <v/>
      </c>
      <c r="T184" s="627" t="str">
        <f t="shared" si="12"/>
        <v/>
      </c>
      <c r="V184" s="636">
        <f t="shared" si="13"/>
        <v>0</v>
      </c>
      <c r="W184" s="627">
        <f t="shared" si="14"/>
        <v>0</v>
      </c>
      <c r="X184" s="627">
        <f t="shared" si="15"/>
        <v>0</v>
      </c>
      <c r="Y184" s="627"/>
      <c r="Z184" s="627"/>
      <c r="AA184" s="627"/>
      <c r="AB184" s="627"/>
      <c r="AC184" s="627"/>
      <c r="AD184" s="627"/>
      <c r="AE184" s="2"/>
      <c r="AF184" s="3222"/>
      <c r="AG184" s="3222"/>
      <c r="AH184" s="436"/>
      <c r="AI184" s="363"/>
      <c r="AJ184" s="363"/>
      <c r="AK184" s="563"/>
      <c r="AO184" s="252"/>
      <c r="BC184" s="804"/>
    </row>
    <row r="185" spans="1:55" ht="16.2" customHeight="1" x14ac:dyDescent="0.25">
      <c r="A185" s="433" t="s">
        <v>1038</v>
      </c>
      <c r="B185" s="3228" t="s">
        <v>384</v>
      </c>
      <c r="C185" s="3228"/>
      <c r="D185" s="3227" t="str">
        <f>INDEX(PO_baseline_table,15, 3)</f>
        <v>x</v>
      </c>
      <c r="E185" s="3225" t="str">
        <f>INDEX(PO_baseline_table,15, 4)</f>
        <v>Electricity</v>
      </c>
      <c r="F185" s="499" t="str">
        <f>IFERROR(IF(ISBLANK(E185),"","Consumption (" &amp; VLOOKUP($E185,PO_Enrgy_1_Table,MATCH($C$16,PO_Enrgy_1_Hdr,0),FALSE) &amp; ")"),"")</f>
        <v/>
      </c>
      <c r="G185" s="590" t="str">
        <f>INDEX(PO_baseline_table,15, 10)</f>
        <v/>
      </c>
      <c r="H185" s="525"/>
      <c r="I185" s="658" t="str">
        <f t="shared" si="16"/>
        <v/>
      </c>
      <c r="J185" s="3105" t="str">
        <f>IFERROR(IF($E$327-$H$327&lt;0,"",($G185-$H185)*VLOOKUP($E185,PO_Enrgy_1_Table,MATCH($K$16,PO_Enrgy_1_Hdr,0),FALSE)/($E$327-$H$327)),"")</f>
        <v/>
      </c>
      <c r="K185" s="3103" t="str">
        <f>IFERROR(IF($G$327-$J$327&lt;0,"",($G185*VLOOKUP($E185,PO_Enrgy_8_Table,MATCH($E$232,PO_Enrgy_8_Hdr,0),FALSE)-($H185*VLOOKUP($E185,PO_Enrgy_8_Table,MATCH($H$232,PO_Enrgy_8_Hdr,0),FALSE)))/($G$327-$J$327)),"")</f>
        <v/>
      </c>
      <c r="L185" s="3103"/>
      <c r="M185" s="3104" t="str">
        <f>IFERROR(H185*VLOOKUP($E185,PO_Enrgy_1_Table,MATCH($K$16,PO_Enrgy_1_Hdr,0))/$H$227,"")</f>
        <v/>
      </c>
      <c r="Q185" s="627" t="str">
        <f t="shared" si="9"/>
        <v/>
      </c>
      <c r="R185" s="627" t="str">
        <f t="shared" si="10"/>
        <v/>
      </c>
      <c r="S185" s="627" t="str">
        <f t="shared" si="11"/>
        <v/>
      </c>
      <c r="T185" s="627" t="str">
        <f t="shared" si="12"/>
        <v/>
      </c>
      <c r="V185" s="636">
        <f t="shared" si="13"/>
        <v>0</v>
      </c>
      <c r="W185" s="627">
        <f t="shared" si="14"/>
        <v>0</v>
      </c>
      <c r="X185" s="627">
        <f t="shared" si="15"/>
        <v>0</v>
      </c>
      <c r="Y185" s="627" t="b">
        <f>IFERROR(IF(D185="x",IF(OR(G185/H185&gt;1.03,G185/H185&lt;0.97),TRUE,FALSE),FALSE),FALSE)</f>
        <v>0</v>
      </c>
      <c r="Z185" s="627">
        <f>IFERROR(J185*100,)</f>
        <v>0</v>
      </c>
      <c r="AA185" s="627"/>
      <c r="AB185" s="627">
        <f>RANK(Z185,$Z$171:$Z$218,0)</f>
        <v>1</v>
      </c>
      <c r="AC185" s="627">
        <f>AB185+COUNTIF($AB$171:$AB184,AB185)</f>
        <v>8</v>
      </c>
      <c r="AD185" s="627" t="str">
        <f>B185</f>
        <v>Fans - parking garage</v>
      </c>
      <c r="AE185" s="2"/>
      <c r="AF185" s="3222"/>
      <c r="AG185" s="3222"/>
      <c r="AH185" s="436"/>
      <c r="AI185" s="363"/>
      <c r="AJ185" s="363"/>
      <c r="AK185" s="562"/>
      <c r="AO185" s="252"/>
      <c r="BC185" s="804"/>
    </row>
    <row r="186" spans="1:55" ht="16.2" customHeight="1" x14ac:dyDescent="0.25">
      <c r="A186" s="433" t="s">
        <v>1038</v>
      </c>
      <c r="B186" s="3228"/>
      <c r="C186" s="3228"/>
      <c r="D186" s="3227"/>
      <c r="E186" s="3225"/>
      <c r="F186" s="499" t="str">
        <f>IFERROR(IF(ISBLANK(E185),"","Demand (" &amp; VLOOKUP($E185,PO_Enrgy_1_Table,MATCH($E$16,PO_Enrgy_1_Hdr,0),FALSE) &amp; ")"),"")</f>
        <v/>
      </c>
      <c r="G186" s="591" t="str">
        <f>INDEX(PO_baseline_table,16, 10)</f>
        <v/>
      </c>
      <c r="H186" s="526"/>
      <c r="I186" s="592" t="str">
        <f t="shared" si="16"/>
        <v/>
      </c>
      <c r="J186" s="3106"/>
      <c r="K186" s="3103"/>
      <c r="L186" s="3103"/>
      <c r="M186" s="3088"/>
      <c r="Q186" s="627" t="str">
        <f t="shared" si="9"/>
        <v/>
      </c>
      <c r="R186" s="627" t="str">
        <f t="shared" si="10"/>
        <v/>
      </c>
      <c r="S186" s="627" t="str">
        <f t="shared" si="11"/>
        <v/>
      </c>
      <c r="T186" s="627" t="str">
        <f t="shared" si="12"/>
        <v/>
      </c>
      <c r="V186" s="636">
        <f t="shared" si="13"/>
        <v>0</v>
      </c>
      <c r="W186" s="627">
        <f t="shared" si="14"/>
        <v>0</v>
      </c>
      <c r="X186" s="627">
        <f t="shared" si="15"/>
        <v>0</v>
      </c>
      <c r="Y186" s="627"/>
      <c r="Z186" s="627"/>
      <c r="AA186" s="627"/>
      <c r="AB186" s="627"/>
      <c r="AC186" s="627"/>
      <c r="AD186" s="627"/>
      <c r="AE186" s="2"/>
      <c r="AF186" s="3222"/>
      <c r="AG186" s="3222"/>
      <c r="AH186" s="436"/>
      <c r="AI186" s="363"/>
      <c r="AJ186" s="363"/>
      <c r="AK186" s="563"/>
      <c r="AO186" s="252"/>
      <c r="BC186" s="804"/>
    </row>
    <row r="187" spans="1:55" ht="16.2" customHeight="1" x14ac:dyDescent="0.25">
      <c r="A187" s="433" t="s">
        <v>1038</v>
      </c>
      <c r="B187" s="3228" t="s">
        <v>383</v>
      </c>
      <c r="C187" s="3228"/>
      <c r="D187" s="3227">
        <f>INDEX(PO_baseline_table,17, 3)</f>
        <v>0</v>
      </c>
      <c r="E187" s="3225" t="str">
        <f>INDEX(PO_baseline_table,17, 4)</f>
        <v>Natural Gas</v>
      </c>
      <c r="F187" s="499" t="str">
        <f>IFERROR(IF(ISBLANK(E187),"","Consumption (" &amp; VLOOKUP($E187,PO_Enrgy_1_Table,MATCH($C$16,PO_Enrgy_1_Hdr,0),FALSE) &amp; ")"),"")</f>
        <v/>
      </c>
      <c r="G187" s="590" t="str">
        <f>INDEX(PO_baseline_table,17, 10)</f>
        <v/>
      </c>
      <c r="H187" s="525"/>
      <c r="I187" s="658" t="str">
        <f t="shared" si="16"/>
        <v/>
      </c>
      <c r="J187" s="3105" t="str">
        <f>IFERROR(IF($E$327-$H$327&lt;0,"",($G187-$H187)*VLOOKUP($E187,PO_Enrgy_1_Table,MATCH($K$16,PO_Enrgy_1_Hdr,0),FALSE)/($E$327-$H$327)),"")</f>
        <v/>
      </c>
      <c r="K187" s="3103" t="str">
        <f>IFERROR(IF($G$327-$J$327&lt;0,"",($G187*VLOOKUP($E187,PO_Enrgy_8_Table,MATCH($E$232,PO_Enrgy_8_Hdr,0),FALSE)-($H187*VLOOKUP($E187,PO_Enrgy_8_Table,MATCH($H$232,PO_Enrgy_8_Hdr,0),FALSE)))/($G$327-$J$327)),"")</f>
        <v/>
      </c>
      <c r="L187" s="3103"/>
      <c r="M187" s="3104" t="str">
        <f>IFERROR(H187*VLOOKUP($E187,PO_Enrgy_1_Table,MATCH($K$16,PO_Enrgy_1_Hdr,0))/$H$227,"")</f>
        <v/>
      </c>
      <c r="Q187" s="627" t="str">
        <f t="shared" si="9"/>
        <v/>
      </c>
      <c r="R187" s="627" t="str">
        <f t="shared" si="10"/>
        <v/>
      </c>
      <c r="S187" s="627" t="str">
        <f t="shared" si="11"/>
        <v/>
      </c>
      <c r="T187" s="627" t="str">
        <f t="shared" si="12"/>
        <v/>
      </c>
      <c r="V187" s="636">
        <f t="shared" si="13"/>
        <v>0</v>
      </c>
      <c r="W187" s="627">
        <f t="shared" si="14"/>
        <v>0</v>
      </c>
      <c r="X187" s="627">
        <f t="shared" si="15"/>
        <v>0</v>
      </c>
      <c r="Y187" s="627" t="b">
        <f>IFERROR(IF(D187="x",IF(OR(G187/H187&gt;1.03,G187/H187&lt;0.97),TRUE,FALSE),FALSE),FALSE)</f>
        <v>0</v>
      </c>
      <c r="Z187" s="627">
        <f>IFERROR(J187*100,)</f>
        <v>0</v>
      </c>
      <c r="AA187" s="627"/>
      <c r="AB187" s="627">
        <f>RANK(Z187,$Z$171:$Z$218,0)</f>
        <v>1</v>
      </c>
      <c r="AC187" s="627">
        <f>AB187+COUNTIF($AB$171:$AB186,AB187)</f>
        <v>9</v>
      </c>
      <c r="AD187" s="627" t="str">
        <f>B187</f>
        <v>Service water heating</v>
      </c>
      <c r="AE187" s="2"/>
      <c r="AF187" s="3222"/>
      <c r="AG187" s="3222"/>
      <c r="AH187" s="436"/>
      <c r="AI187" s="363"/>
      <c r="AJ187" s="363"/>
      <c r="AK187" s="562"/>
      <c r="AO187" s="252"/>
      <c r="BC187" s="804"/>
    </row>
    <row r="188" spans="1:55" ht="16.2" customHeight="1" x14ac:dyDescent="0.25">
      <c r="A188" s="433" t="s">
        <v>1038</v>
      </c>
      <c r="B188" s="3228"/>
      <c r="C188" s="3228"/>
      <c r="D188" s="3227"/>
      <c r="E188" s="3225"/>
      <c r="F188" s="499" t="str">
        <f>IFERROR(IF(ISBLANK(E187),"","Demand (" &amp; VLOOKUP($E187,PO_Enrgy_1_Table,MATCH($E$16,PO_Enrgy_1_Hdr,0),FALSE) &amp; ")"),"")</f>
        <v/>
      </c>
      <c r="G188" s="591" t="str">
        <f>INDEX(PO_baseline_table,18, 10)</f>
        <v/>
      </c>
      <c r="H188" s="526"/>
      <c r="I188" s="592" t="str">
        <f t="shared" si="16"/>
        <v/>
      </c>
      <c r="J188" s="3106"/>
      <c r="K188" s="3103"/>
      <c r="L188" s="3103"/>
      <c r="M188" s="3088"/>
      <c r="Q188" s="627" t="str">
        <f t="shared" si="9"/>
        <v/>
      </c>
      <c r="R188" s="627" t="str">
        <f t="shared" si="10"/>
        <v/>
      </c>
      <c r="S188" s="627" t="str">
        <f t="shared" si="11"/>
        <v/>
      </c>
      <c r="T188" s="627" t="str">
        <f t="shared" si="12"/>
        <v/>
      </c>
      <c r="V188" s="636">
        <f t="shared" si="13"/>
        <v>0</v>
      </c>
      <c r="W188" s="627">
        <f t="shared" si="14"/>
        <v>0</v>
      </c>
      <c r="X188" s="627">
        <f t="shared" si="15"/>
        <v>0</v>
      </c>
      <c r="Y188" s="627"/>
      <c r="Z188" s="627"/>
      <c r="AA188" s="627"/>
      <c r="AB188" s="627"/>
      <c r="AC188" s="627"/>
      <c r="AD188" s="627"/>
      <c r="AE188" s="2"/>
      <c r="AF188" s="3222"/>
      <c r="AG188" s="3222"/>
      <c r="AH188" s="436"/>
      <c r="AI188" s="363"/>
      <c r="AJ188" s="363"/>
      <c r="AK188" s="563"/>
      <c r="AO188" s="252"/>
      <c r="BC188" s="804"/>
    </row>
    <row r="189" spans="1:55" ht="16.2" customHeight="1" x14ac:dyDescent="0.25">
      <c r="A189" s="433" t="s">
        <v>1038</v>
      </c>
      <c r="B189" s="3228" t="s">
        <v>382</v>
      </c>
      <c r="C189" s="3228"/>
      <c r="D189" s="3227" t="str">
        <f>INDEX(PO_baseline_table,19, 3)</f>
        <v>x</v>
      </c>
      <c r="E189" s="3225" t="str">
        <f>INDEX(PO_baseline_table,19, 4)</f>
        <v>Electricity</v>
      </c>
      <c r="F189" s="499" t="str">
        <f>IFERROR(IF(ISBLANK(E189),"","Consumption (" &amp; VLOOKUP($E189,PO_Enrgy_1_Table,MATCH($C$16,PO_Enrgy_1_Hdr,0),FALSE) &amp; ")"),"")</f>
        <v/>
      </c>
      <c r="G189" s="590" t="str">
        <f>INDEX(PO_baseline_table,19, 10)</f>
        <v/>
      </c>
      <c r="H189" s="525"/>
      <c r="I189" s="658" t="str">
        <f t="shared" si="16"/>
        <v/>
      </c>
      <c r="J189" s="3105" t="str">
        <f>IFERROR(IF($E$327-$H$327&lt;0,"",($G189-$H189)*VLOOKUP($E189,PO_Enrgy_1_Table,MATCH($K$16,PO_Enrgy_1_Hdr,0),FALSE)/($E$327-$H$327)),"")</f>
        <v/>
      </c>
      <c r="K189" s="3103" t="str">
        <f>IFERROR(IF($G$327-$J$327&lt;0,"",($G189*VLOOKUP($E189,PO_Enrgy_8_Table,MATCH($E$232,PO_Enrgy_8_Hdr,0),FALSE)-($H189*VLOOKUP($E189,PO_Enrgy_8_Table,MATCH($H$232,PO_Enrgy_8_Hdr,0),FALSE)))/($G$327-$J$327)),"")</f>
        <v/>
      </c>
      <c r="L189" s="3103"/>
      <c r="M189" s="3104" t="str">
        <f>IFERROR(H189*VLOOKUP($E189,PO_Enrgy_1_Table,MATCH($K$16,PO_Enrgy_1_Hdr,0))/$H$227,"")</f>
        <v/>
      </c>
      <c r="Q189" s="627" t="str">
        <f t="shared" si="9"/>
        <v/>
      </c>
      <c r="R189" s="627" t="str">
        <f t="shared" si="10"/>
        <v/>
      </c>
      <c r="S189" s="627" t="str">
        <f t="shared" si="11"/>
        <v/>
      </c>
      <c r="T189" s="627" t="str">
        <f t="shared" si="12"/>
        <v/>
      </c>
      <c r="V189" s="636">
        <f t="shared" si="13"/>
        <v>0</v>
      </c>
      <c r="W189" s="627">
        <f t="shared" si="14"/>
        <v>0</v>
      </c>
      <c r="X189" s="627">
        <f t="shared" si="15"/>
        <v>0</v>
      </c>
      <c r="Y189" s="627" t="b">
        <f>IFERROR(IF(D189="x",IF(OR(G189/H189&gt;1.03,G189/H189&lt;0.97),TRUE,FALSE),FALSE),FALSE)</f>
        <v>0</v>
      </c>
      <c r="Z189" s="627">
        <f>IFERROR(J189*100,)</f>
        <v>0</v>
      </c>
      <c r="AA189" s="627"/>
      <c r="AB189" s="627">
        <f>RANK(Z189,$Z$171:$Z$218,0)</f>
        <v>1</v>
      </c>
      <c r="AC189" s="627">
        <f>AB189+COUNTIF($AB$171:$AB188,AB189)</f>
        <v>10</v>
      </c>
      <c r="AD189" s="627" t="str">
        <f>B189</f>
        <v>Receptacle equipment</v>
      </c>
      <c r="AE189" s="2"/>
      <c r="AF189" s="3222"/>
      <c r="AG189" s="3222"/>
      <c r="AH189" s="436"/>
      <c r="AI189" s="363"/>
      <c r="AJ189" s="363"/>
      <c r="AK189" s="562"/>
      <c r="AO189" s="252"/>
      <c r="BC189" s="804"/>
    </row>
    <row r="190" spans="1:55" ht="16.2" customHeight="1" x14ac:dyDescent="0.25">
      <c r="A190" s="433" t="s">
        <v>1038</v>
      </c>
      <c r="B190" s="3228"/>
      <c r="C190" s="3228"/>
      <c r="D190" s="3227"/>
      <c r="E190" s="3225"/>
      <c r="F190" s="499" t="str">
        <f>IFERROR(IF(ISBLANK(E189),"","Demand (" &amp; VLOOKUP($E189,PO_Enrgy_1_Table,MATCH($E$16,PO_Enrgy_1_Hdr,0),FALSE) &amp; ")"),"")</f>
        <v/>
      </c>
      <c r="G190" s="591" t="str">
        <f>INDEX(PO_baseline_table,20, 10)</f>
        <v/>
      </c>
      <c r="H190" s="526"/>
      <c r="I190" s="592" t="str">
        <f t="shared" si="16"/>
        <v/>
      </c>
      <c r="J190" s="3106"/>
      <c r="K190" s="3103"/>
      <c r="L190" s="3103"/>
      <c r="M190" s="3088"/>
      <c r="Q190" s="627" t="str">
        <f t="shared" si="9"/>
        <v/>
      </c>
      <c r="R190" s="627" t="str">
        <f t="shared" si="10"/>
        <v/>
      </c>
      <c r="S190" s="627" t="str">
        <f t="shared" si="11"/>
        <v/>
      </c>
      <c r="T190" s="627" t="str">
        <f t="shared" si="12"/>
        <v/>
      </c>
      <c r="V190" s="636">
        <f t="shared" si="13"/>
        <v>0</v>
      </c>
      <c r="W190" s="627">
        <f t="shared" si="14"/>
        <v>0</v>
      </c>
      <c r="X190" s="627">
        <f t="shared" si="15"/>
        <v>0</v>
      </c>
      <c r="Y190" s="627"/>
      <c r="Z190" s="627"/>
      <c r="AA190" s="627"/>
      <c r="AB190" s="627"/>
      <c r="AC190" s="627"/>
      <c r="AD190" s="627"/>
      <c r="AE190" s="2"/>
      <c r="AF190" s="3222"/>
      <c r="AG190" s="3222"/>
      <c r="AH190" s="436"/>
      <c r="AI190" s="363"/>
      <c r="AJ190" s="363"/>
      <c r="AK190" s="563"/>
      <c r="AO190" s="252"/>
      <c r="BC190" s="804"/>
    </row>
    <row r="191" spans="1:55" ht="16.2" customHeight="1" x14ac:dyDescent="0.25">
      <c r="A191" s="433" t="s">
        <v>1038</v>
      </c>
      <c r="B191" s="3228" t="s">
        <v>381</v>
      </c>
      <c r="C191" s="3228"/>
      <c r="D191" s="3227" t="str">
        <f>INDEX(PO_baseline_table,21, 3)</f>
        <v>x</v>
      </c>
      <c r="E191" s="3225" t="str">
        <f>INDEX(PO_baseline_table,21, 4)</f>
        <v>Electricity</v>
      </c>
      <c r="F191" s="499" t="str">
        <f>IFERROR(IF(ISBLANK(E191),"","Consumption (" &amp; VLOOKUP($E191,PO_Enrgy_1_Table,MATCH($C$16,PO_Enrgy_1_Hdr,0),FALSE) &amp; ")"),"")</f>
        <v/>
      </c>
      <c r="G191" s="590" t="str">
        <f>INDEX(PO_baseline_table,21, 10)</f>
        <v/>
      </c>
      <c r="H191" s="525"/>
      <c r="I191" s="658" t="str">
        <f t="shared" si="16"/>
        <v/>
      </c>
      <c r="J191" s="3105" t="str">
        <f>IFERROR(IF($E$327-$H$327&lt;0,"",($G191-$H191)*VLOOKUP($E191,PO_Enrgy_1_Table,MATCH($K$16,PO_Enrgy_1_Hdr,0),FALSE)/($E$327-$H$327)),"")</f>
        <v/>
      </c>
      <c r="K191" s="3103" t="str">
        <f>IFERROR(IF($G$327-$J$327&lt;0,"",($G191*VLOOKUP($E191,PO_Enrgy_8_Table,MATCH($E$232,PO_Enrgy_8_Hdr,0),FALSE)-($H191*VLOOKUP($E191,PO_Enrgy_8_Table,MATCH($H$232,PO_Enrgy_8_Hdr,0),FALSE)))/($G$327-$J$327)),"")</f>
        <v/>
      </c>
      <c r="L191" s="3103"/>
      <c r="M191" s="3104" t="str">
        <f>IFERROR(H191*VLOOKUP($E191,PO_Enrgy_1_Table,MATCH($K$16,PO_Enrgy_1_Hdr,0))/$H$227,"")</f>
        <v/>
      </c>
      <c r="Q191" s="627" t="str">
        <f t="shared" si="9"/>
        <v/>
      </c>
      <c r="R191" s="627" t="str">
        <f t="shared" si="10"/>
        <v/>
      </c>
      <c r="S191" s="627" t="str">
        <f t="shared" si="11"/>
        <v/>
      </c>
      <c r="T191" s="627" t="str">
        <f t="shared" si="12"/>
        <v/>
      </c>
      <c r="V191" s="636">
        <f t="shared" si="13"/>
        <v>0</v>
      </c>
      <c r="W191" s="627">
        <f t="shared" si="14"/>
        <v>0</v>
      </c>
      <c r="X191" s="627">
        <f t="shared" si="15"/>
        <v>0</v>
      </c>
      <c r="Y191" s="627" t="b">
        <f>IFERROR(IF(D191="x",IF(OR(G191/H191&gt;1.03,G191/H191&lt;0.97),TRUE,FALSE),FALSE),FALSE)</f>
        <v>0</v>
      </c>
      <c r="Z191" s="627">
        <f>IFERROR(J191*100,)</f>
        <v>0</v>
      </c>
      <c r="AA191" s="627"/>
      <c r="AB191" s="627">
        <f>RANK(Z191,$Z$171:$Z$218,0)</f>
        <v>1</v>
      </c>
      <c r="AC191" s="627">
        <f>AB191+COUNTIF($AB$171:$AB190,AB191)</f>
        <v>11</v>
      </c>
      <c r="AD191" s="627" t="str">
        <f>B191</f>
        <v>IT equipment</v>
      </c>
      <c r="AE191" s="2"/>
      <c r="AF191" s="3222"/>
      <c r="AG191" s="3222"/>
      <c r="AH191" s="436"/>
      <c r="AI191" s="363"/>
      <c r="AJ191" s="363"/>
      <c r="AK191" s="562"/>
      <c r="AO191" s="252"/>
      <c r="BC191" s="804"/>
    </row>
    <row r="192" spans="1:55" ht="16.2" customHeight="1" x14ac:dyDescent="0.25">
      <c r="A192" s="433" t="s">
        <v>1038</v>
      </c>
      <c r="B192" s="3228"/>
      <c r="C192" s="3228"/>
      <c r="D192" s="3227"/>
      <c r="E192" s="3225"/>
      <c r="F192" s="499" t="str">
        <f>IFERROR(IF(ISBLANK(E191),"","Demand (" &amp; VLOOKUP($E191,PO_Enrgy_1_Table,MATCH($E$16,PO_Enrgy_1_Hdr,0),FALSE) &amp; ")"),"")</f>
        <v/>
      </c>
      <c r="G192" s="591" t="str">
        <f>INDEX(PO_baseline_table,22, 10)</f>
        <v/>
      </c>
      <c r="H192" s="526"/>
      <c r="I192" s="592" t="str">
        <f t="shared" si="16"/>
        <v/>
      </c>
      <c r="J192" s="3106"/>
      <c r="K192" s="3103"/>
      <c r="L192" s="3103"/>
      <c r="M192" s="3088"/>
      <c r="Q192" s="627" t="str">
        <f t="shared" si="9"/>
        <v/>
      </c>
      <c r="R192" s="627" t="str">
        <f t="shared" si="10"/>
        <v/>
      </c>
      <c r="S192" s="627" t="str">
        <f t="shared" si="11"/>
        <v/>
      </c>
      <c r="T192" s="627" t="str">
        <f t="shared" si="12"/>
        <v/>
      </c>
      <c r="V192" s="636">
        <f t="shared" si="13"/>
        <v>0</v>
      </c>
      <c r="W192" s="627">
        <f t="shared" si="14"/>
        <v>0</v>
      </c>
      <c r="X192" s="627">
        <f t="shared" si="15"/>
        <v>0</v>
      </c>
      <c r="Y192" s="627"/>
      <c r="Z192" s="627"/>
      <c r="AA192" s="627"/>
      <c r="AB192" s="627"/>
      <c r="AC192" s="627"/>
      <c r="AD192" s="627"/>
      <c r="AE192" s="2"/>
      <c r="AF192" s="3222"/>
      <c r="AG192" s="3222"/>
      <c r="AH192" s="436"/>
      <c r="AI192" s="363"/>
      <c r="AJ192" s="363"/>
      <c r="AK192" s="563"/>
      <c r="AO192" s="252"/>
      <c r="BC192" s="804"/>
    </row>
    <row r="193" spans="1:55" ht="16.2" customHeight="1" x14ac:dyDescent="0.25">
      <c r="A193" s="433" t="s">
        <v>1038</v>
      </c>
      <c r="B193" s="3228" t="s">
        <v>380</v>
      </c>
      <c r="C193" s="3228"/>
      <c r="D193" s="3227" t="str">
        <f>INDEX(PO_baseline_table,23, 3)</f>
        <v>x</v>
      </c>
      <c r="E193" s="3225" t="str">
        <f>INDEX(PO_baseline_table,23, 4)</f>
        <v>Electricity</v>
      </c>
      <c r="F193" s="499" t="str">
        <f>IFERROR(IF(ISBLANK(E193),"","Consumption (" &amp; VLOOKUP($E193,PO_Enrgy_1_Table,MATCH($C$16,PO_Enrgy_1_Hdr,0),FALSE) &amp; ")"),"")</f>
        <v/>
      </c>
      <c r="G193" s="590" t="str">
        <f>INDEX(PO_baseline_table,23, 10)</f>
        <v/>
      </c>
      <c r="H193" s="525"/>
      <c r="I193" s="658" t="str">
        <f t="shared" si="16"/>
        <v/>
      </c>
      <c r="J193" s="3105" t="str">
        <f>IFERROR(IF($E$327-$H$327&lt;0,"",($G193-$H193)*VLOOKUP($E193,PO_Enrgy_1_Table,MATCH($K$16,PO_Enrgy_1_Hdr,0),FALSE)/($E$327-$H$327)),"")</f>
        <v/>
      </c>
      <c r="K193" s="3103" t="str">
        <f>IFERROR(IF($G$327-$J$327&lt;0,"",($G193*VLOOKUP($E193,PO_Enrgy_8_Table,MATCH($E$232,PO_Enrgy_8_Hdr,0),FALSE)-($H193*VLOOKUP($E193,PO_Enrgy_8_Table,MATCH($H$232,PO_Enrgy_8_Hdr,0),FALSE)))/($G$327-$J$327)),"")</f>
        <v/>
      </c>
      <c r="L193" s="3103"/>
      <c r="M193" s="3104" t="str">
        <f>IFERROR(H193*VLOOKUP($E193,PO_Enrgy_1_Table,MATCH($K$16,PO_Enrgy_1_Hdr,0))/$H$227,"")</f>
        <v/>
      </c>
      <c r="Q193" s="627" t="str">
        <f t="shared" si="9"/>
        <v/>
      </c>
      <c r="R193" s="627" t="str">
        <f t="shared" si="10"/>
        <v/>
      </c>
      <c r="S193" s="627" t="str">
        <f t="shared" si="11"/>
        <v/>
      </c>
      <c r="T193" s="627" t="str">
        <f t="shared" si="12"/>
        <v/>
      </c>
      <c r="V193" s="636">
        <f t="shared" si="13"/>
        <v>0</v>
      </c>
      <c r="W193" s="627">
        <f t="shared" si="14"/>
        <v>0</v>
      </c>
      <c r="X193" s="627">
        <f t="shared" si="15"/>
        <v>0</v>
      </c>
      <c r="Y193" s="627" t="b">
        <f>IFERROR(IF(D193="x",IF(OR(G193/H193&gt;1.03,G193/H193&lt;0.97),TRUE,FALSE),FALSE),FALSE)</f>
        <v>0</v>
      </c>
      <c r="Z193" s="627">
        <f>IFERROR(J193*100,)</f>
        <v>0</v>
      </c>
      <c r="AA193" s="627"/>
      <c r="AB193" s="627">
        <f>RANK(Z193,$Z$171:$Z$218,0)</f>
        <v>1</v>
      </c>
      <c r="AC193" s="627">
        <f>AB193+COUNTIF($AB$171:$AB192,AB193)</f>
        <v>12</v>
      </c>
      <c r="AD193" s="627" t="str">
        <f>B193</f>
        <v>Interior lighting - process</v>
      </c>
      <c r="AE193" s="2"/>
      <c r="AF193" s="3222"/>
      <c r="AG193" s="3222"/>
      <c r="AH193" s="436"/>
      <c r="AI193" s="363"/>
      <c r="AJ193" s="363"/>
      <c r="AK193" s="562"/>
      <c r="AO193" s="252"/>
      <c r="BC193" s="804"/>
    </row>
    <row r="194" spans="1:55" ht="16.2" customHeight="1" x14ac:dyDescent="0.25">
      <c r="A194" s="433" t="s">
        <v>1038</v>
      </c>
      <c r="B194" s="3228"/>
      <c r="C194" s="3228"/>
      <c r="D194" s="3227"/>
      <c r="E194" s="3225"/>
      <c r="F194" s="499" t="str">
        <f>IFERROR(IF(ISBLANK(E193),"","Demand (" &amp; VLOOKUP($E193,PO_Enrgy_1_Table,MATCH($E$16,PO_Enrgy_1_Hdr,0),FALSE) &amp; ")"),"")</f>
        <v/>
      </c>
      <c r="G194" s="591" t="str">
        <f>INDEX(PO_baseline_table,24, 10)</f>
        <v/>
      </c>
      <c r="H194" s="526"/>
      <c r="I194" s="592" t="str">
        <f t="shared" si="16"/>
        <v/>
      </c>
      <c r="J194" s="3106"/>
      <c r="K194" s="3103"/>
      <c r="L194" s="3103"/>
      <c r="M194" s="3088"/>
      <c r="Q194" s="627" t="str">
        <f t="shared" si="9"/>
        <v/>
      </c>
      <c r="R194" s="627" t="str">
        <f t="shared" si="10"/>
        <v/>
      </c>
      <c r="S194" s="627" t="str">
        <f t="shared" si="11"/>
        <v/>
      </c>
      <c r="T194" s="627" t="str">
        <f t="shared" si="12"/>
        <v/>
      </c>
      <c r="V194" s="636">
        <f t="shared" si="13"/>
        <v>0</v>
      </c>
      <c r="W194" s="627">
        <f t="shared" si="14"/>
        <v>0</v>
      </c>
      <c r="X194" s="627">
        <f t="shared" si="15"/>
        <v>0</v>
      </c>
      <c r="Y194" s="627"/>
      <c r="Z194" s="627"/>
      <c r="AA194" s="627"/>
      <c r="AB194" s="627"/>
      <c r="AC194" s="627"/>
      <c r="AD194" s="627"/>
      <c r="AE194" s="2"/>
      <c r="AF194" s="3222"/>
      <c r="AG194" s="3222"/>
      <c r="AH194" s="436"/>
      <c r="AI194" s="363"/>
      <c r="AJ194" s="363"/>
      <c r="AK194" s="563"/>
      <c r="AO194" s="252"/>
      <c r="BC194" s="804"/>
    </row>
    <row r="195" spans="1:55" ht="16.2" customHeight="1" x14ac:dyDescent="0.25">
      <c r="A195" s="433" t="s">
        <v>1038</v>
      </c>
      <c r="B195" s="3228" t="s">
        <v>341</v>
      </c>
      <c r="C195" s="3228"/>
      <c r="D195" s="3227" t="str">
        <f>INDEX(PO_baseline_table,25, 3)</f>
        <v>x</v>
      </c>
      <c r="E195" s="3225" t="str">
        <f>INDEX(PO_baseline_table,25, 4)</f>
        <v>Electricity</v>
      </c>
      <c r="F195" s="499" t="str">
        <f>IFERROR(IF(ISBLANK(E195),"","Consumption (" &amp; VLOOKUP($E195,PO_Enrgy_1_Table,MATCH($C$16,PO_Enrgy_1_Hdr,0),FALSE) &amp; ")"),"")</f>
        <v/>
      </c>
      <c r="G195" s="590" t="str">
        <f>INDEX(PO_baseline_table,25, 10)</f>
        <v/>
      </c>
      <c r="H195" s="525"/>
      <c r="I195" s="658" t="str">
        <f t="shared" si="16"/>
        <v/>
      </c>
      <c r="J195" s="3105" t="str">
        <f>IFERROR(IF($E$327-$H$327&lt;0,"",($G195-$H195)*VLOOKUP($E195,PO_Enrgy_1_Table,MATCH($K$16,PO_Enrgy_1_Hdr,0),FALSE)/($E$327-$H$327)),"")</f>
        <v/>
      </c>
      <c r="K195" s="3103" t="str">
        <f>IFERROR(IF($G$327-$J$327&lt;0,"",($G195*VLOOKUP($E195,PO_Enrgy_8_Table,MATCH($E$232,PO_Enrgy_8_Hdr,0),FALSE)-($H195*VLOOKUP($E195,PO_Enrgy_8_Table,MATCH($H$232,PO_Enrgy_8_Hdr,0),FALSE)))/($G$327-$J$327)),"")</f>
        <v/>
      </c>
      <c r="L195" s="3103"/>
      <c r="M195" s="3104" t="str">
        <f>IFERROR(H195*VLOOKUP($E195,PO_Enrgy_1_Table,MATCH($K$16,PO_Enrgy_1_Hdr,0))/$H$227,"")</f>
        <v/>
      </c>
      <c r="Q195" s="627" t="str">
        <f t="shared" si="9"/>
        <v/>
      </c>
      <c r="R195" s="627" t="str">
        <f t="shared" si="10"/>
        <v/>
      </c>
      <c r="S195" s="627" t="str">
        <f t="shared" si="11"/>
        <v/>
      </c>
      <c r="T195" s="627" t="str">
        <f t="shared" si="12"/>
        <v/>
      </c>
      <c r="V195" s="636">
        <f t="shared" si="13"/>
        <v>0</v>
      </c>
      <c r="W195" s="627">
        <f t="shared" si="14"/>
        <v>0</v>
      </c>
      <c r="X195" s="627">
        <f t="shared" si="15"/>
        <v>0</v>
      </c>
      <c r="Y195" s="627" t="b">
        <f>IFERROR(IF(D195="x",IF(OR(G195/H195&gt;1.03,G195/H195&lt;0.97),TRUE,FALSE),FALSE),FALSE)</f>
        <v>0</v>
      </c>
      <c r="Z195" s="627">
        <f>IFERROR(J195*100,)</f>
        <v>0</v>
      </c>
      <c r="AA195" s="627"/>
      <c r="AB195" s="627">
        <f>RANK(Z195,$Z$171:$Z$218,0)</f>
        <v>1</v>
      </c>
      <c r="AC195" s="627">
        <f>AB195+COUNTIF($AB$171:$AB194,AB195)</f>
        <v>13</v>
      </c>
      <c r="AD195" s="627" t="str">
        <f>B195</f>
        <v>Refrigeration equipment</v>
      </c>
      <c r="AE195" s="2"/>
      <c r="AF195" s="3222"/>
      <c r="AG195" s="3222"/>
      <c r="AH195" s="436"/>
      <c r="AI195" s="363"/>
      <c r="AJ195" s="363"/>
      <c r="AK195" s="562"/>
      <c r="AO195" s="252"/>
      <c r="BC195" s="804"/>
    </row>
    <row r="196" spans="1:55" ht="16.2" customHeight="1" x14ac:dyDescent="0.25">
      <c r="A196" s="433" t="s">
        <v>1038</v>
      </c>
      <c r="B196" s="3228"/>
      <c r="C196" s="3228"/>
      <c r="D196" s="3227"/>
      <c r="E196" s="3225"/>
      <c r="F196" s="499" t="str">
        <f>IFERROR(IF(ISBLANK(E195),"","Demand (" &amp; VLOOKUP($E195,PO_Enrgy_1_Table,MATCH($E$16,PO_Enrgy_1_Hdr,0),FALSE) &amp; ")"),"")</f>
        <v/>
      </c>
      <c r="G196" s="591" t="str">
        <f>INDEX(PO_baseline_table,26, 10)</f>
        <v/>
      </c>
      <c r="H196" s="526"/>
      <c r="I196" s="592" t="str">
        <f t="shared" si="16"/>
        <v/>
      </c>
      <c r="J196" s="3106"/>
      <c r="K196" s="3103"/>
      <c r="L196" s="3103"/>
      <c r="M196" s="3088"/>
      <c r="Q196" s="627" t="str">
        <f t="shared" si="9"/>
        <v/>
      </c>
      <c r="R196" s="627" t="str">
        <f t="shared" si="10"/>
        <v/>
      </c>
      <c r="S196" s="627" t="str">
        <f t="shared" si="11"/>
        <v/>
      </c>
      <c r="T196" s="627" t="str">
        <f t="shared" si="12"/>
        <v/>
      </c>
      <c r="V196" s="636">
        <f t="shared" si="13"/>
        <v>0</v>
      </c>
      <c r="W196" s="627">
        <f t="shared" si="14"/>
        <v>0</v>
      </c>
      <c r="X196" s="627">
        <f t="shared" si="15"/>
        <v>0</v>
      </c>
      <c r="Y196" s="627"/>
      <c r="Z196" s="627"/>
      <c r="AA196" s="627"/>
      <c r="AB196" s="627"/>
      <c r="AC196" s="627"/>
      <c r="AD196" s="627"/>
      <c r="AE196" s="2"/>
      <c r="AF196" s="3222"/>
      <c r="AG196" s="3222"/>
      <c r="AH196" s="436"/>
      <c r="AI196" s="363"/>
      <c r="AJ196" s="363"/>
      <c r="AK196" s="563"/>
      <c r="AO196" s="252"/>
      <c r="BC196" s="804"/>
    </row>
    <row r="197" spans="1:55" ht="16.2" customHeight="1" x14ac:dyDescent="0.25">
      <c r="A197" s="433" t="s">
        <v>1038</v>
      </c>
      <c r="B197" s="3228" t="s">
        <v>379</v>
      </c>
      <c r="C197" s="3228"/>
      <c r="D197" s="3227" t="str">
        <f>INDEX(PO_baseline_table,27, 3)</f>
        <v>x</v>
      </c>
      <c r="E197" s="3225" t="str">
        <f>INDEX(PO_baseline_table,27, 4)</f>
        <v>Electricity</v>
      </c>
      <c r="F197" s="499" t="str">
        <f>IFERROR(IF(ISBLANK(E197),"","Consumption (" &amp; VLOOKUP($E197,PO_Enrgy_1_Table,MATCH($C$16,PO_Enrgy_1_Hdr,0),FALSE) &amp; ")"),"")</f>
        <v/>
      </c>
      <c r="G197" s="590" t="str">
        <f>INDEX(PO_baseline_table,27, 10)</f>
        <v/>
      </c>
      <c r="H197" s="525"/>
      <c r="I197" s="658" t="str">
        <f t="shared" si="16"/>
        <v/>
      </c>
      <c r="J197" s="3105" t="str">
        <f>IFERROR(IF($E$327-$H$327&lt;0,"",($G197-$H197)*VLOOKUP($E197,PO_Enrgy_1_Table,MATCH($K$16,PO_Enrgy_1_Hdr,0),FALSE)/($E$327-$H$327)),"")</f>
        <v/>
      </c>
      <c r="K197" s="3103" t="str">
        <f>IFERROR(IF($G$327-$J$327&lt;0,"",($G197*VLOOKUP($E197,PO_Enrgy_8_Table,MATCH($E$232,PO_Enrgy_8_Hdr,0),FALSE)-($H197*VLOOKUP($E197,PO_Enrgy_8_Table,MATCH($H$232,PO_Enrgy_8_Hdr,0),FALSE)))/($G$327-$J$327)),"")</f>
        <v/>
      </c>
      <c r="L197" s="3103"/>
      <c r="M197" s="3104" t="str">
        <f>IFERROR(H197*VLOOKUP($E197,PO_Enrgy_1_Table,MATCH($K$16,PO_Enrgy_1_Hdr,0))/$H$227,"")</f>
        <v/>
      </c>
      <c r="Q197" s="627" t="str">
        <f t="shared" si="9"/>
        <v/>
      </c>
      <c r="R197" s="627" t="str">
        <f t="shared" si="10"/>
        <v/>
      </c>
      <c r="S197" s="627" t="str">
        <f t="shared" si="11"/>
        <v/>
      </c>
      <c r="T197" s="627" t="str">
        <f t="shared" si="12"/>
        <v/>
      </c>
      <c r="V197" s="636">
        <f t="shared" si="13"/>
        <v>0</v>
      </c>
      <c r="W197" s="627">
        <f t="shared" si="14"/>
        <v>0</v>
      </c>
      <c r="X197" s="627">
        <f t="shared" si="15"/>
        <v>0</v>
      </c>
      <c r="Y197" s="627" t="b">
        <f>IFERROR(IF(D197="x",IF(OR(G197/H197&gt;1.03,G197/H197&lt;0.97),TRUE,FALSE),FALSE),FALSE)</f>
        <v>0</v>
      </c>
      <c r="Z197" s="627">
        <f>IFERROR(J197*100,)</f>
        <v>0</v>
      </c>
      <c r="AA197" s="627"/>
      <c r="AB197" s="627">
        <f>RANK(Z197,$Z$171:$Z$218,0)</f>
        <v>1</v>
      </c>
      <c r="AC197" s="627">
        <f>AB197+COUNTIF($AB$171:$AB196,AB197)</f>
        <v>14</v>
      </c>
      <c r="AD197" s="627" t="str">
        <f>B197</f>
        <v>Fans - Kitchen Ventilation</v>
      </c>
      <c r="AE197" s="2"/>
      <c r="AF197" s="3222"/>
      <c r="AG197" s="3222"/>
      <c r="AH197" s="436"/>
      <c r="AI197" s="363"/>
      <c r="AJ197" s="363"/>
      <c r="AK197" s="562"/>
      <c r="AO197" s="252"/>
      <c r="BC197" s="804"/>
    </row>
    <row r="198" spans="1:55" ht="16.2" customHeight="1" x14ac:dyDescent="0.25">
      <c r="A198" s="433" t="s">
        <v>1038</v>
      </c>
      <c r="B198" s="3228"/>
      <c r="C198" s="3228"/>
      <c r="D198" s="3227"/>
      <c r="E198" s="3225"/>
      <c r="F198" s="499" t="str">
        <f>IFERROR(IF(ISBLANK(E197),"","Demand (" &amp; VLOOKUP($E197,PO_Enrgy_1_Table,MATCH($E$16,PO_Enrgy_1_Hdr,0),FALSE) &amp; ")"),"")</f>
        <v/>
      </c>
      <c r="G198" s="591" t="str">
        <f>INDEX(PO_baseline_table,28, 10)</f>
        <v/>
      </c>
      <c r="H198" s="526"/>
      <c r="I198" s="592" t="str">
        <f t="shared" si="16"/>
        <v/>
      </c>
      <c r="J198" s="3106"/>
      <c r="K198" s="3103"/>
      <c r="L198" s="3103"/>
      <c r="M198" s="3088"/>
      <c r="Q198" s="627" t="str">
        <f t="shared" si="9"/>
        <v/>
      </c>
      <c r="R198" s="627" t="str">
        <f t="shared" si="10"/>
        <v/>
      </c>
      <c r="S198" s="627" t="str">
        <f t="shared" si="11"/>
        <v/>
      </c>
      <c r="T198" s="627" t="str">
        <f t="shared" si="12"/>
        <v/>
      </c>
      <c r="V198" s="636">
        <f t="shared" si="13"/>
        <v>0</v>
      </c>
      <c r="W198" s="627">
        <f t="shared" si="14"/>
        <v>0</v>
      </c>
      <c r="X198" s="627">
        <f t="shared" si="15"/>
        <v>0</v>
      </c>
      <c r="Y198" s="627"/>
      <c r="Z198" s="627"/>
      <c r="AA198" s="627"/>
      <c r="AB198" s="627"/>
      <c r="AC198" s="627"/>
      <c r="AD198" s="627"/>
      <c r="AE198" s="2"/>
      <c r="AF198" s="3222"/>
      <c r="AG198" s="3222"/>
      <c r="AH198" s="436"/>
      <c r="AI198" s="363"/>
      <c r="AJ198" s="363"/>
      <c r="AK198" s="563"/>
      <c r="AO198" s="252"/>
      <c r="BC198" s="804"/>
    </row>
    <row r="199" spans="1:55" ht="16.2" customHeight="1" x14ac:dyDescent="0.25">
      <c r="A199" s="433" t="s">
        <v>1038</v>
      </c>
      <c r="B199" s="3228" t="s">
        <v>378</v>
      </c>
      <c r="C199" s="3228"/>
      <c r="D199" s="3227" t="str">
        <f>INDEX(PO_baseline_table,29, 3)</f>
        <v>x</v>
      </c>
      <c r="E199" s="3225" t="str">
        <f>INDEX(PO_baseline_table,29, 4)</f>
        <v>Electricity</v>
      </c>
      <c r="F199" s="499" t="str">
        <f>IFERROR(IF(ISBLANK(E199),"","Consumption (" &amp; VLOOKUP($E199,PO_Enrgy_1_Table,MATCH($C$16,PO_Enrgy_1_Hdr,0),FALSE) &amp; ")"),"")</f>
        <v/>
      </c>
      <c r="G199" s="590" t="str">
        <f>INDEX(PO_baseline_table,29, 10)</f>
        <v/>
      </c>
      <c r="H199" s="525"/>
      <c r="I199" s="658" t="str">
        <f t="shared" si="16"/>
        <v/>
      </c>
      <c r="J199" s="3105" t="str">
        <f>IFERROR(IF($E$327-$H$327&lt;0,"",($G199-$H199)*VLOOKUP($E199,PO_Enrgy_1_Table,MATCH($K$16,PO_Enrgy_1_Hdr,0),FALSE)/($E$327-$H$327)),"")</f>
        <v/>
      </c>
      <c r="K199" s="3103" t="str">
        <f>IFERROR(IF($G$327-$J$327&lt;0,"",($G199*VLOOKUP($E199,PO_Enrgy_8_Table,MATCH($E$232,PO_Enrgy_8_Hdr,0),FALSE)-($H199*VLOOKUP($E199,PO_Enrgy_8_Table,MATCH($H$232,PO_Enrgy_8_Hdr,0),FALSE)))/($G$327-$J$327)),"")</f>
        <v/>
      </c>
      <c r="L199" s="3103"/>
      <c r="M199" s="3104" t="str">
        <f>IFERROR(H199*VLOOKUP($E199,PO_Enrgy_1_Table,MATCH($K$16,PO_Enrgy_1_Hdr,0))/$H$227,"")</f>
        <v/>
      </c>
      <c r="Q199" s="627" t="str">
        <f t="shared" si="9"/>
        <v/>
      </c>
      <c r="R199" s="627" t="str">
        <f t="shared" si="10"/>
        <v/>
      </c>
      <c r="S199" s="627" t="str">
        <f t="shared" si="11"/>
        <v/>
      </c>
      <c r="T199" s="627" t="str">
        <f t="shared" si="12"/>
        <v/>
      </c>
      <c r="V199" s="636">
        <f t="shared" si="13"/>
        <v>0</v>
      </c>
      <c r="W199" s="627">
        <f t="shared" si="14"/>
        <v>0</v>
      </c>
      <c r="X199" s="627">
        <f t="shared" si="15"/>
        <v>0</v>
      </c>
      <c r="Y199" s="627" t="b">
        <f>IFERROR(IF(D199="x",IF(OR(G199/H199&gt;1.03,G199/H199&lt;0.97),TRUE,FALSE),FALSE),FALSE)</f>
        <v>0</v>
      </c>
      <c r="Z199" s="627">
        <f>IFERROR(J199*100,)</f>
        <v>0</v>
      </c>
      <c r="AA199" s="627"/>
      <c r="AB199" s="627">
        <f>RANK(Z199,$Z$171:$Z$218,0)</f>
        <v>1</v>
      </c>
      <c r="AC199" s="627">
        <f>AB199+COUNTIF($AB$171:$AB198,AB199)</f>
        <v>15</v>
      </c>
      <c r="AD199" s="627" t="str">
        <f>B199</f>
        <v>Cooking</v>
      </c>
      <c r="AE199" s="2"/>
      <c r="AF199" s="3222"/>
      <c r="AG199" s="3222"/>
      <c r="AH199" s="436"/>
      <c r="AI199" s="363"/>
      <c r="AJ199" s="363"/>
      <c r="AK199" s="562"/>
      <c r="AO199" s="252"/>
      <c r="BC199" s="804"/>
    </row>
    <row r="200" spans="1:55" ht="16.2" customHeight="1" x14ac:dyDescent="0.25">
      <c r="A200" s="433" t="s">
        <v>1038</v>
      </c>
      <c r="B200" s="3228"/>
      <c r="C200" s="3228"/>
      <c r="D200" s="3227"/>
      <c r="E200" s="3225"/>
      <c r="F200" s="499" t="str">
        <f>IFERROR(IF(ISBLANK(E199),"","Demand (" &amp; VLOOKUP($E199,PO_Enrgy_1_Table,MATCH($E$16,PO_Enrgy_1_Hdr,0),FALSE) &amp; ")"),"")</f>
        <v/>
      </c>
      <c r="G200" s="591" t="str">
        <f>INDEX(PO_baseline_table,30, 10)</f>
        <v/>
      </c>
      <c r="H200" s="526"/>
      <c r="I200" s="592" t="str">
        <f t="shared" si="16"/>
        <v/>
      </c>
      <c r="J200" s="3106"/>
      <c r="K200" s="3103"/>
      <c r="L200" s="3103"/>
      <c r="M200" s="3088"/>
      <c r="Q200" s="627" t="str">
        <f t="shared" si="9"/>
        <v/>
      </c>
      <c r="R200" s="627" t="str">
        <f t="shared" si="10"/>
        <v/>
      </c>
      <c r="S200" s="627" t="str">
        <f t="shared" si="11"/>
        <v/>
      </c>
      <c r="T200" s="627" t="str">
        <f t="shared" si="12"/>
        <v/>
      </c>
      <c r="V200" s="636">
        <f t="shared" si="13"/>
        <v>0</v>
      </c>
      <c r="W200" s="627">
        <f t="shared" si="14"/>
        <v>0</v>
      </c>
      <c r="X200" s="627">
        <f t="shared" si="15"/>
        <v>0</v>
      </c>
      <c r="Y200" s="627"/>
      <c r="Z200" s="627"/>
      <c r="AA200" s="627"/>
      <c r="AB200" s="627"/>
      <c r="AC200" s="627"/>
      <c r="AD200" s="627"/>
      <c r="AE200" s="2"/>
      <c r="AF200" s="3222"/>
      <c r="AG200" s="3222"/>
      <c r="AH200" s="436"/>
      <c r="AI200" s="363"/>
      <c r="AJ200" s="363"/>
      <c r="AK200" s="563"/>
      <c r="AO200" s="252"/>
      <c r="BC200" s="804"/>
    </row>
    <row r="201" spans="1:55" ht="16.2" customHeight="1" x14ac:dyDescent="0.25">
      <c r="A201" s="433" t="s">
        <v>1038</v>
      </c>
      <c r="B201" s="3228" t="s">
        <v>377</v>
      </c>
      <c r="C201" s="3228"/>
      <c r="D201" s="3227" t="str">
        <f>INDEX(PO_baseline_table,31, 3)</f>
        <v>x</v>
      </c>
      <c r="E201" s="3225" t="str">
        <f>INDEX(PO_baseline_table,31, 4)</f>
        <v>Electricity</v>
      </c>
      <c r="F201" s="499" t="str">
        <f>IFERROR(IF(ISBLANK(E201),"","Consumption (" &amp; VLOOKUP($E201,PO_Enrgy_1_Table,MATCH($C$16,PO_Enrgy_1_Hdr,0),FALSE) &amp; ")"),"")</f>
        <v/>
      </c>
      <c r="G201" s="590" t="str">
        <f>INDEX(PO_baseline_table,31, 10)</f>
        <v/>
      </c>
      <c r="H201" s="525"/>
      <c r="I201" s="658" t="str">
        <f t="shared" si="16"/>
        <v/>
      </c>
      <c r="J201" s="3105" t="str">
        <f>IFERROR(IF($E$327-$H$327&lt;0,"",($G201-$H201)*VLOOKUP($E201,PO_Enrgy_1_Table,MATCH($K$16,PO_Enrgy_1_Hdr,0),FALSE)/($E$327-$H$327)),"")</f>
        <v/>
      </c>
      <c r="K201" s="3103" t="str">
        <f>IFERROR(IF($G$327-$J$327&lt;0,"",($G201*VLOOKUP($E201,PO_Enrgy_8_Table,MATCH($E$232,PO_Enrgy_8_Hdr,0),FALSE)-($H201*VLOOKUP($E201,PO_Enrgy_8_Table,MATCH($H$232,PO_Enrgy_8_Hdr,0),FALSE)))/($G$327-$J$327)),"")</f>
        <v/>
      </c>
      <c r="L201" s="3103"/>
      <c r="M201" s="3104" t="str">
        <f>IFERROR(H201*VLOOKUP($E201,PO_Enrgy_1_Table,MATCH($K$16,PO_Enrgy_1_Hdr,0))/$H$227,"")</f>
        <v/>
      </c>
      <c r="Q201" s="627" t="str">
        <f t="shared" si="9"/>
        <v/>
      </c>
      <c r="R201" s="627" t="str">
        <f t="shared" si="10"/>
        <v/>
      </c>
      <c r="S201" s="627" t="str">
        <f t="shared" si="11"/>
        <v/>
      </c>
      <c r="T201" s="627" t="str">
        <f t="shared" si="12"/>
        <v/>
      </c>
      <c r="V201" s="636">
        <f t="shared" si="13"/>
        <v>0</v>
      </c>
      <c r="W201" s="627">
        <f t="shared" si="14"/>
        <v>0</v>
      </c>
      <c r="X201" s="627">
        <f t="shared" si="15"/>
        <v>0</v>
      </c>
      <c r="Y201" s="627" t="b">
        <f>IFERROR(IF(D201="x",IF(OR(G201/H201&gt;1.03,G201/H201&lt;0.97),TRUE,FALSE),FALSE),FALSE)</f>
        <v>0</v>
      </c>
      <c r="Z201" s="627">
        <f>IFERROR(J201*100,)</f>
        <v>0</v>
      </c>
      <c r="AA201" s="627"/>
      <c r="AB201" s="627">
        <f>RANK(Z201,$Z$171:$Z$218,0)</f>
        <v>1</v>
      </c>
      <c r="AC201" s="627">
        <f>AB201+COUNTIF($AB$171:$AB200,AB201)</f>
        <v>16</v>
      </c>
      <c r="AD201" s="627" t="str">
        <f>B201</f>
        <v>Industrial Process</v>
      </c>
      <c r="AE201" s="2"/>
      <c r="AF201" s="3222"/>
      <c r="AG201" s="3222"/>
      <c r="AH201" s="436"/>
      <c r="AI201" s="363"/>
      <c r="AJ201" s="363"/>
      <c r="AK201" s="562"/>
      <c r="AO201" s="252"/>
      <c r="BC201" s="804"/>
    </row>
    <row r="202" spans="1:55" ht="16.2" customHeight="1" x14ac:dyDescent="0.25">
      <c r="A202" s="433" t="s">
        <v>1038</v>
      </c>
      <c r="B202" s="3228"/>
      <c r="C202" s="3228"/>
      <c r="D202" s="3227"/>
      <c r="E202" s="3225"/>
      <c r="F202" s="499" t="str">
        <f>IFERROR(IF(ISBLANK(E201),"","Demand (" &amp; VLOOKUP($E201,PO_Enrgy_1_Table,MATCH($E$16,PO_Enrgy_1_Hdr,0),FALSE) &amp; ")"),"")</f>
        <v/>
      </c>
      <c r="G202" s="591" t="str">
        <f>INDEX(PO_baseline_table,32, 10)</f>
        <v/>
      </c>
      <c r="H202" s="526"/>
      <c r="I202" s="592" t="str">
        <f t="shared" si="16"/>
        <v/>
      </c>
      <c r="J202" s="3106"/>
      <c r="K202" s="3103"/>
      <c r="L202" s="3103"/>
      <c r="M202" s="3088"/>
      <c r="Q202" s="627" t="str">
        <f t="shared" si="9"/>
        <v/>
      </c>
      <c r="R202" s="627" t="str">
        <f t="shared" si="10"/>
        <v/>
      </c>
      <c r="S202" s="627" t="str">
        <f t="shared" si="11"/>
        <v/>
      </c>
      <c r="T202" s="627" t="str">
        <f t="shared" si="12"/>
        <v/>
      </c>
      <c r="V202" s="636">
        <f t="shared" si="13"/>
        <v>0</v>
      </c>
      <c r="W202" s="627">
        <f t="shared" si="14"/>
        <v>0</v>
      </c>
      <c r="X202" s="627">
        <f t="shared" si="15"/>
        <v>0</v>
      </c>
      <c r="Y202" s="627"/>
      <c r="Z202" s="627"/>
      <c r="AA202" s="627"/>
      <c r="AB202" s="627"/>
      <c r="AC202" s="627"/>
      <c r="AD202" s="627"/>
      <c r="AE202" s="2"/>
      <c r="AF202" s="3222"/>
      <c r="AG202" s="3222"/>
      <c r="AH202" s="436"/>
      <c r="AI202" s="363"/>
      <c r="AJ202" s="363"/>
      <c r="AK202" s="563"/>
      <c r="AO202" s="252"/>
      <c r="BC202" s="804"/>
    </row>
    <row r="203" spans="1:55" ht="16.2" customHeight="1" x14ac:dyDescent="0.25">
      <c r="A203" s="433" t="s">
        <v>1038</v>
      </c>
      <c r="B203" s="3228" t="s">
        <v>376</v>
      </c>
      <c r="C203" s="3228"/>
      <c r="D203" s="3227" t="str">
        <f>INDEX(PO_baseline_table,33, 3)</f>
        <v>x</v>
      </c>
      <c r="E203" s="3225" t="str">
        <f>INDEX(PO_baseline_table,33, 4)</f>
        <v>Electricity</v>
      </c>
      <c r="F203" s="499" t="str">
        <f>IFERROR(IF(ISBLANK(E203),"","Consumption (" &amp; VLOOKUP($E203,PO_Enrgy_1_Table,MATCH($C$16,PO_Enrgy_1_Hdr,0),FALSE) &amp; ")"),"")</f>
        <v/>
      </c>
      <c r="G203" s="590" t="str">
        <f>INDEX(PO_baseline_table,33, 10)</f>
        <v/>
      </c>
      <c r="H203" s="525"/>
      <c r="I203" s="658" t="str">
        <f t="shared" si="16"/>
        <v/>
      </c>
      <c r="J203" s="3105" t="str">
        <f>IFERROR(IF($E$327-$H$327&lt;0,"",($G203-$H203)*VLOOKUP($E203,PO_Enrgy_1_Table,MATCH($K$16,PO_Enrgy_1_Hdr,0),FALSE)/($E$327-$H$327)),"")</f>
        <v/>
      </c>
      <c r="K203" s="3103" t="str">
        <f>IFERROR(IF($G$327-$J$327&lt;0,"",($G203*VLOOKUP($E203,PO_Enrgy_8_Table,MATCH($E$232,PO_Enrgy_8_Hdr,0),FALSE)-($H203*VLOOKUP($E203,PO_Enrgy_8_Table,MATCH($H$232,PO_Enrgy_8_Hdr,0),FALSE)))/($G$327-$J$327)),"")</f>
        <v/>
      </c>
      <c r="L203" s="3103"/>
      <c r="M203" s="3104" t="str">
        <f>IFERROR(H203*VLOOKUP($E203,PO_Enrgy_1_Table,MATCH($K$16,PO_Enrgy_1_Hdr,0))/$H$227,"")</f>
        <v/>
      </c>
      <c r="Q203" s="627" t="str">
        <f t="shared" si="9"/>
        <v/>
      </c>
      <c r="R203" s="627" t="str">
        <f t="shared" si="10"/>
        <v/>
      </c>
      <c r="S203" s="627" t="str">
        <f t="shared" si="11"/>
        <v/>
      </c>
      <c r="T203" s="627" t="str">
        <f t="shared" si="12"/>
        <v/>
      </c>
      <c r="V203" s="636">
        <f t="shared" si="13"/>
        <v>0</v>
      </c>
      <c r="W203" s="627">
        <f t="shared" si="14"/>
        <v>0</v>
      </c>
      <c r="X203" s="627">
        <f t="shared" si="15"/>
        <v>0</v>
      </c>
      <c r="Y203" s="627" t="b">
        <f>IFERROR(IF(D203="x",IF(OR(G203/H203&gt;1.03,G203/H203&lt;0.97),TRUE,FALSE),FALSE),FALSE)</f>
        <v>0</v>
      </c>
      <c r="Z203" s="627">
        <f>IFERROR(J203*100,)</f>
        <v>0</v>
      </c>
      <c r="AA203" s="627"/>
      <c r="AB203" s="627">
        <f>RANK(Z203,$Z$171:$Z$218,0)</f>
        <v>1</v>
      </c>
      <c r="AC203" s="627">
        <f>AB203+COUNTIF($AB$171:$AB202,AB203)</f>
        <v>17</v>
      </c>
      <c r="AD203" s="627" t="str">
        <f>B203</f>
        <v>Elevators and escalators</v>
      </c>
      <c r="AE203" s="2"/>
      <c r="AF203" s="3222"/>
      <c r="AG203" s="3222"/>
      <c r="AH203" s="436"/>
      <c r="AI203" s="363"/>
      <c r="AJ203" s="363"/>
      <c r="AK203" s="562"/>
      <c r="AO203" s="252"/>
      <c r="BC203" s="804"/>
    </row>
    <row r="204" spans="1:55" ht="16.2" customHeight="1" x14ac:dyDescent="0.25">
      <c r="A204" s="433" t="s">
        <v>1038</v>
      </c>
      <c r="B204" s="3228"/>
      <c r="C204" s="3228"/>
      <c r="D204" s="3227"/>
      <c r="E204" s="3225"/>
      <c r="F204" s="499" t="str">
        <f>IFERROR(IF(ISBLANK(E203),"","Demand (" &amp; VLOOKUP($E203,PO_Enrgy_1_Table,MATCH($E$16,PO_Enrgy_1_Hdr,0),FALSE) &amp; ")"),"")</f>
        <v/>
      </c>
      <c r="G204" s="591" t="str">
        <f>INDEX(PO_baseline_table,34, 10)</f>
        <v/>
      </c>
      <c r="H204" s="526"/>
      <c r="I204" s="592" t="str">
        <f t="shared" si="16"/>
        <v/>
      </c>
      <c r="J204" s="3106"/>
      <c r="K204" s="3103"/>
      <c r="L204" s="3103"/>
      <c r="M204" s="3088"/>
      <c r="Q204" s="627" t="str">
        <f t="shared" si="9"/>
        <v/>
      </c>
      <c r="R204" s="627" t="str">
        <f t="shared" si="10"/>
        <v/>
      </c>
      <c r="S204" s="627" t="str">
        <f t="shared" si="11"/>
        <v/>
      </c>
      <c r="T204" s="627" t="str">
        <f t="shared" si="12"/>
        <v/>
      </c>
      <c r="V204" s="636">
        <f t="shared" si="13"/>
        <v>0</v>
      </c>
      <c r="W204" s="627">
        <f t="shared" si="14"/>
        <v>0</v>
      </c>
      <c r="X204" s="627">
        <f t="shared" si="15"/>
        <v>0</v>
      </c>
      <c r="Y204" s="627"/>
      <c r="Z204" s="627"/>
      <c r="AA204" s="627"/>
      <c r="AB204" s="627"/>
      <c r="AC204" s="627"/>
      <c r="AD204" s="627"/>
      <c r="AE204" s="2"/>
      <c r="AF204" s="3222"/>
      <c r="AG204" s="3222"/>
      <c r="AH204" s="436"/>
      <c r="AI204" s="363"/>
      <c r="AJ204" s="363"/>
      <c r="AK204" s="563"/>
      <c r="AO204" s="252"/>
      <c r="BC204" s="804"/>
    </row>
    <row r="205" spans="1:55" ht="16.2" customHeight="1" x14ac:dyDescent="0.25">
      <c r="A205" s="433" t="s">
        <v>1038</v>
      </c>
      <c r="B205" s="3228" t="s">
        <v>879</v>
      </c>
      <c r="C205" s="3228"/>
      <c r="D205" s="3227">
        <f>INDEX(PO_baseline_table,35, 3)</f>
        <v>0</v>
      </c>
      <c r="E205" s="3225" t="str">
        <f>INDEX(PO_baseline_table,35, 4)</f>
        <v>Electricity</v>
      </c>
      <c r="F205" s="499" t="str">
        <f>IFERROR(IF(ISBLANK(E205),"","Consumption (" &amp; VLOOKUP($E205,PO_Enrgy_1_Table,MATCH($C$16,PO_Enrgy_1_Hdr,0),FALSE) &amp; ")"),"")</f>
        <v/>
      </c>
      <c r="G205" s="590" t="str">
        <f>INDEX(PO_baseline_table,35, 10)</f>
        <v/>
      </c>
      <c r="H205" s="525"/>
      <c r="I205" s="658" t="str">
        <f t="shared" si="16"/>
        <v/>
      </c>
      <c r="J205" s="3105" t="str">
        <f>IFERROR(IF($E$327-$H$327&lt;0,"",($G205-$H205)*VLOOKUP($E205,PO_Enrgy_1_Table,MATCH($K$16,PO_Enrgy_1_Hdr,0),FALSE)/($E$327-$H$327)),"")</f>
        <v/>
      </c>
      <c r="K205" s="3103" t="str">
        <f>IFERROR(IF($G$327-$J$327&lt;0,"",($G205*VLOOKUP($E205,PO_Enrgy_8_Table,MATCH($E$232,PO_Enrgy_8_Hdr,0),FALSE)-($H205*VLOOKUP($E205,PO_Enrgy_8_Table,MATCH($H$232,PO_Enrgy_8_Hdr,0),FALSE)))/($G$327-$J$327)),"")</f>
        <v/>
      </c>
      <c r="L205" s="3103"/>
      <c r="M205" s="3104" t="str">
        <f>IFERROR(H205*VLOOKUP($E205,PO_Enrgy_1_Table,MATCH($K$16,PO_Enrgy_1_Hdr,0))/$H$227,"")</f>
        <v/>
      </c>
      <c r="Q205" s="627" t="str">
        <f t="shared" si="9"/>
        <v/>
      </c>
      <c r="R205" s="627" t="str">
        <f t="shared" si="10"/>
        <v/>
      </c>
      <c r="S205" s="627" t="str">
        <f t="shared" si="11"/>
        <v/>
      </c>
      <c r="T205" s="627" t="str">
        <f t="shared" si="12"/>
        <v/>
      </c>
      <c r="V205" s="636">
        <f t="shared" si="13"/>
        <v>0</v>
      </c>
      <c r="W205" s="627">
        <f t="shared" si="14"/>
        <v>0</v>
      </c>
      <c r="X205" s="627">
        <f t="shared" si="15"/>
        <v>0</v>
      </c>
      <c r="Y205" s="627" t="b">
        <f>IFERROR(IF(D205="x",IF(OR(G205/H205&gt;1.03,G205/H205&lt;0.97),TRUE,FALSE),FALSE),FALSE)</f>
        <v>0</v>
      </c>
      <c r="Z205" s="627">
        <f>IFERROR(J205*100,)</f>
        <v>0</v>
      </c>
      <c r="AA205" s="627"/>
      <c r="AB205" s="627">
        <f>RANK(Z205,$Z$171:$Z$218,0)</f>
        <v>1</v>
      </c>
      <c r="AC205" s="627">
        <f>AB205+COUNTIF($AB$171:$AB204,AB205)</f>
        <v>18</v>
      </c>
      <c r="AD205" s="627" t="str">
        <f>B205</f>
        <v>Heat Pump Supplementary</v>
      </c>
      <c r="AE205" s="2"/>
      <c r="AF205" s="3222"/>
      <c r="AG205" s="3222"/>
      <c r="AH205" s="436"/>
      <c r="AI205" s="363"/>
      <c r="AJ205" s="363"/>
      <c r="AK205" s="562"/>
      <c r="AO205" s="252"/>
      <c r="BC205" s="804"/>
    </row>
    <row r="206" spans="1:55" ht="16.2" customHeight="1" x14ac:dyDescent="0.25">
      <c r="A206" s="433" t="s">
        <v>1038</v>
      </c>
      <c r="B206" s="3228"/>
      <c r="C206" s="3228"/>
      <c r="D206" s="3227"/>
      <c r="E206" s="3225"/>
      <c r="F206" s="499" t="str">
        <f>IFERROR(IF(ISBLANK(E205),"","Demand (" &amp; VLOOKUP($E205,PO_Enrgy_1_Table,MATCH($E$16,PO_Enrgy_1_Hdr,0),FALSE) &amp; ")"),"")</f>
        <v/>
      </c>
      <c r="G206" s="591" t="str">
        <f>INDEX(PO_baseline_table,36, 10)</f>
        <v/>
      </c>
      <c r="H206" s="526"/>
      <c r="I206" s="592" t="str">
        <f t="shared" si="16"/>
        <v/>
      </c>
      <c r="J206" s="3106"/>
      <c r="K206" s="3103"/>
      <c r="L206" s="3103"/>
      <c r="M206" s="3088"/>
      <c r="Q206" s="627" t="str">
        <f t="shared" si="9"/>
        <v/>
      </c>
      <c r="R206" s="627" t="str">
        <f t="shared" si="10"/>
        <v/>
      </c>
      <c r="S206" s="627" t="str">
        <f t="shared" si="11"/>
        <v/>
      </c>
      <c r="T206" s="627" t="str">
        <f t="shared" si="12"/>
        <v/>
      </c>
      <c r="V206" s="636">
        <f t="shared" si="13"/>
        <v>0</v>
      </c>
      <c r="W206" s="627">
        <f t="shared" si="14"/>
        <v>0</v>
      </c>
      <c r="X206" s="627">
        <f t="shared" si="15"/>
        <v>0</v>
      </c>
      <c r="Y206" s="627"/>
      <c r="Z206" s="627"/>
      <c r="AA206" s="627"/>
      <c r="AB206" s="627"/>
      <c r="AC206" s="627"/>
      <c r="AD206" s="627"/>
      <c r="AE206" s="2"/>
      <c r="AF206" s="3222"/>
      <c r="AG206" s="3222"/>
      <c r="AH206" s="436"/>
      <c r="AI206" s="363"/>
      <c r="AJ206" s="363"/>
      <c r="AK206" s="563"/>
      <c r="AO206" s="252"/>
      <c r="BC206" s="804"/>
    </row>
    <row r="207" spans="1:55" ht="16.2" customHeight="1" x14ac:dyDescent="0.25">
      <c r="A207" s="433" t="s">
        <v>1038</v>
      </c>
      <c r="B207" s="3225">
        <f>INDEX(PO_base_Add_EndUses,1, 1)</f>
        <v>0</v>
      </c>
      <c r="C207" s="3226"/>
      <c r="D207" s="3227">
        <f>INDEX(PO_baseline_table,37, 3)</f>
        <v>0</v>
      </c>
      <c r="E207" s="3225">
        <f>INDEX(PO_baseline_table,37, 4)</f>
        <v>0</v>
      </c>
      <c r="F207" s="499" t="str">
        <f>IFERROR(IF(ISBLANK(E207),"","Consumption (" &amp; VLOOKUP($E207,PO_Enrgy_1_Table,MATCH($C$16,PO_Enrgy_1_Hdr,0),FALSE) &amp; ")"),"")</f>
        <v/>
      </c>
      <c r="G207" s="590" t="str">
        <f>INDEX(PO_baseline_table,37, 10)</f>
        <v/>
      </c>
      <c r="H207" s="525"/>
      <c r="I207" s="658" t="str">
        <f t="shared" si="16"/>
        <v/>
      </c>
      <c r="J207" s="3105" t="str">
        <f>IFERROR(IF($E$327-$H$327&lt;0,"",($G207-$H207)*VLOOKUP($E207,PO_Enrgy_1_Table,MATCH($K$16,PO_Enrgy_1_Hdr,0),FALSE)/($E$327-$H$327)),"")</f>
        <v/>
      </c>
      <c r="K207" s="3103" t="str">
        <f>IFERROR(IF($G$327-$J$327&lt;0,"",($G207*VLOOKUP($E207,PO_Enrgy_8_Table,MATCH($E$232,PO_Enrgy_8_Hdr,0),FALSE)-($H207*VLOOKUP($E207,PO_Enrgy_8_Table,MATCH($H$232,PO_Enrgy_8_Hdr,0),FALSE)))/($G$327-$J$327)),"")</f>
        <v/>
      </c>
      <c r="L207" s="3103"/>
      <c r="M207" s="3104" t="str">
        <f>IFERROR(H207*VLOOKUP($E207,PO_Enrgy_1_Table,MATCH($K$16,PO_Enrgy_1_Hdr,0))/$H$227,"")</f>
        <v/>
      </c>
      <c r="Q207" s="627" t="str">
        <f t="shared" si="9"/>
        <v/>
      </c>
      <c r="R207" s="627" t="str">
        <f t="shared" si="10"/>
        <v/>
      </c>
      <c r="S207" s="627" t="str">
        <f t="shared" si="11"/>
        <v/>
      </c>
      <c r="T207" s="627" t="str">
        <f t="shared" si="12"/>
        <v/>
      </c>
      <c r="V207" s="636">
        <f t="shared" si="13"/>
        <v>0</v>
      </c>
      <c r="W207" s="627">
        <f t="shared" si="14"/>
        <v>0</v>
      </c>
      <c r="X207" s="627">
        <f t="shared" si="15"/>
        <v>0</v>
      </c>
      <c r="Y207" s="627" t="b">
        <f>IFERROR(IF(D207="x",IF(OR(G207/H207&gt;1.03,G207/H207&lt;0.97),TRUE,FALSE),FALSE),FALSE)</f>
        <v>0</v>
      </c>
      <c r="Z207" s="627">
        <f>IFERROR(J207*100,)</f>
        <v>0</v>
      </c>
      <c r="AA207" s="627"/>
      <c r="AB207" s="627">
        <f>RANK(Z207,$Z$171:$Z$218,0)</f>
        <v>1</v>
      </c>
      <c r="AC207" s="627">
        <f>AB207+COUNTIF($AB$171:$AB206,AB207)</f>
        <v>19</v>
      </c>
      <c r="AD207" s="627">
        <f>B207</f>
        <v>0</v>
      </c>
      <c r="AE207" s="2"/>
      <c r="AF207" s="3222"/>
      <c r="AG207" s="3222"/>
      <c r="AH207" s="436"/>
      <c r="AI207" s="363"/>
      <c r="AJ207" s="363"/>
      <c r="AK207" s="562"/>
      <c r="AO207" s="252"/>
      <c r="BC207" s="804"/>
    </row>
    <row r="208" spans="1:55" ht="16.2" customHeight="1" x14ac:dyDescent="0.25">
      <c r="A208" s="433" t="s">
        <v>1038</v>
      </c>
      <c r="B208" s="3225"/>
      <c r="C208" s="3226"/>
      <c r="D208" s="3227"/>
      <c r="E208" s="3225"/>
      <c r="F208" s="499" t="str">
        <f>IFERROR(IF(ISBLANK(E207),"","Demand (" &amp; VLOOKUP($E207,PO_Enrgy_1_Table,MATCH($E$16,PO_Enrgy_1_Hdr,0),FALSE) &amp; ")"),"")</f>
        <v/>
      </c>
      <c r="G208" s="591" t="str">
        <f>INDEX(PO_baseline_table,38, 10)</f>
        <v/>
      </c>
      <c r="H208" s="526"/>
      <c r="I208" s="592" t="str">
        <f t="shared" si="16"/>
        <v/>
      </c>
      <c r="J208" s="3106"/>
      <c r="K208" s="3103"/>
      <c r="L208" s="3103"/>
      <c r="M208" s="3088"/>
      <c r="Q208" s="627" t="str">
        <f t="shared" si="9"/>
        <v/>
      </c>
      <c r="R208" s="627" t="str">
        <f t="shared" si="10"/>
        <v/>
      </c>
      <c r="S208" s="627" t="str">
        <f t="shared" si="11"/>
        <v/>
      </c>
      <c r="T208" s="627" t="str">
        <f t="shared" si="12"/>
        <v/>
      </c>
      <c r="V208" s="636">
        <f t="shared" si="13"/>
        <v>0</v>
      </c>
      <c r="W208" s="627">
        <f t="shared" si="14"/>
        <v>0</v>
      </c>
      <c r="X208" s="627">
        <f t="shared" si="15"/>
        <v>0</v>
      </c>
      <c r="Y208" s="627"/>
      <c r="Z208" s="627"/>
      <c r="AA208" s="627"/>
      <c r="AB208" s="627"/>
      <c r="AC208" s="627"/>
      <c r="AD208" s="627"/>
      <c r="AE208" s="2"/>
      <c r="AF208" s="3222"/>
      <c r="AG208" s="3222"/>
      <c r="AH208" s="436"/>
      <c r="AI208" s="363"/>
      <c r="AJ208" s="363"/>
      <c r="AK208" s="563"/>
      <c r="AO208" s="252"/>
      <c r="BC208" s="804"/>
    </row>
    <row r="209" spans="1:55" ht="16.2" customHeight="1" x14ac:dyDescent="0.25">
      <c r="A209" s="433" t="s">
        <v>1038</v>
      </c>
      <c r="B209" s="3225">
        <f>INDEX(PO_base_Add_EndUses,3, 1)</f>
        <v>0</v>
      </c>
      <c r="C209" s="3226"/>
      <c r="D209" s="3227">
        <f>INDEX(PO_baseline_table,39, 3)</f>
        <v>0</v>
      </c>
      <c r="E209" s="3225">
        <f>INDEX(PO_baseline_table,39, 4)</f>
        <v>0</v>
      </c>
      <c r="F209" s="499" t="str">
        <f>IFERROR(IF(ISBLANK(E209),"","Consumption (" &amp; VLOOKUP($E209,PO_Enrgy_1_Table,MATCH($C$16,PO_Enrgy_1_Hdr,0),FALSE) &amp; ")"),"")</f>
        <v/>
      </c>
      <c r="G209" s="590" t="str">
        <f>INDEX(PO_baseline_table,39, 10)</f>
        <v/>
      </c>
      <c r="H209" s="525"/>
      <c r="I209" s="658" t="str">
        <f t="shared" si="16"/>
        <v/>
      </c>
      <c r="J209" s="3105" t="str">
        <f>IFERROR(IF($E$327-$H$327&lt;0,"",($G209-$H209)*VLOOKUP($E209,PO_Enrgy_1_Table,MATCH($K$16,PO_Enrgy_1_Hdr,0),FALSE)/($E$327-$H$327)),"")</f>
        <v/>
      </c>
      <c r="K209" s="3103" t="str">
        <f>IFERROR(IF($G$327-$J$327&lt;0,"",($G209*VLOOKUP($E209,PO_Enrgy_8_Table,MATCH($E$232,PO_Enrgy_8_Hdr,0),FALSE)-($H209*VLOOKUP($E209,PO_Enrgy_8_Table,MATCH($H$232,PO_Enrgy_8_Hdr,0),FALSE)))/($G$327-$J$327)),"")</f>
        <v/>
      </c>
      <c r="L209" s="3103"/>
      <c r="M209" s="3104" t="str">
        <f>IFERROR(H209*VLOOKUP($E209,PO_Enrgy_1_Table,MATCH($K$16,PO_Enrgy_1_Hdr,0))/$H$227,"")</f>
        <v/>
      </c>
      <c r="Q209" s="627" t="str">
        <f t="shared" si="9"/>
        <v/>
      </c>
      <c r="R209" s="627" t="str">
        <f t="shared" si="10"/>
        <v/>
      </c>
      <c r="S209" s="627" t="str">
        <f t="shared" si="11"/>
        <v/>
      </c>
      <c r="T209" s="627" t="str">
        <f t="shared" si="12"/>
        <v/>
      </c>
      <c r="V209" s="636">
        <f t="shared" si="13"/>
        <v>0</v>
      </c>
      <c r="W209" s="627">
        <f t="shared" si="14"/>
        <v>0</v>
      </c>
      <c r="X209" s="627">
        <f t="shared" si="15"/>
        <v>0</v>
      </c>
      <c r="Y209" s="627" t="b">
        <f>IFERROR(IF(D209="x",IF(OR(G209/H209&gt;1.03,G209/H209&lt;0.97),TRUE,FALSE),FALSE),FALSE)</f>
        <v>0</v>
      </c>
      <c r="Z209" s="627">
        <f>IFERROR(J209*100,)</f>
        <v>0</v>
      </c>
      <c r="AA209" s="627"/>
      <c r="AB209" s="627">
        <f>RANK(Z209,$Z$171:$Z$218,0)</f>
        <v>1</v>
      </c>
      <c r="AC209" s="627">
        <f>AB209+COUNTIF($AB$171:$AB208,AB209)</f>
        <v>20</v>
      </c>
      <c r="AD209" s="627">
        <f>B209</f>
        <v>0</v>
      </c>
      <c r="AE209" s="2"/>
      <c r="AF209" s="3222"/>
      <c r="AG209" s="3222"/>
      <c r="AH209" s="436"/>
      <c r="AI209" s="363"/>
      <c r="AJ209" s="363"/>
      <c r="AK209" s="562"/>
      <c r="AO209" s="252"/>
      <c r="BC209" s="804"/>
    </row>
    <row r="210" spans="1:55" ht="15.75" customHeight="1" x14ac:dyDescent="0.25">
      <c r="A210" s="433" t="s">
        <v>1038</v>
      </c>
      <c r="B210" s="3225"/>
      <c r="C210" s="3226"/>
      <c r="D210" s="3227"/>
      <c r="E210" s="3225"/>
      <c r="F210" s="499" t="str">
        <f>IFERROR(IF(ISBLANK(E209),"","Demand (" &amp; VLOOKUP($E209,PO_Enrgy_1_Table,MATCH($E$16,PO_Enrgy_1_Hdr,0),FALSE) &amp; ")"),"")</f>
        <v/>
      </c>
      <c r="G210" s="591" t="str">
        <f>INDEX(PO_baseline_table,40, 10)</f>
        <v/>
      </c>
      <c r="H210" s="526"/>
      <c r="I210" s="592" t="str">
        <f t="shared" si="16"/>
        <v/>
      </c>
      <c r="J210" s="3106"/>
      <c r="K210" s="3103"/>
      <c r="L210" s="3103"/>
      <c r="M210" s="3088"/>
      <c r="Q210" s="627" t="str">
        <f t="shared" si="9"/>
        <v/>
      </c>
      <c r="R210" s="627" t="str">
        <f t="shared" si="10"/>
        <v/>
      </c>
      <c r="S210" s="627" t="str">
        <f t="shared" si="11"/>
        <v/>
      </c>
      <c r="T210" s="627" t="str">
        <f t="shared" si="12"/>
        <v/>
      </c>
      <c r="V210" s="636">
        <f t="shared" si="13"/>
        <v>0</v>
      </c>
      <c r="W210" s="627">
        <f t="shared" si="14"/>
        <v>0</v>
      </c>
      <c r="X210" s="627">
        <f t="shared" si="15"/>
        <v>0</v>
      </c>
      <c r="Y210" s="627"/>
      <c r="Z210" s="627"/>
      <c r="AA210" s="627"/>
      <c r="AB210" s="627"/>
      <c r="AC210" s="627"/>
      <c r="AD210" s="627"/>
      <c r="AE210" s="2"/>
      <c r="AF210" s="3222"/>
      <c r="AG210" s="3222"/>
      <c r="AH210" s="436"/>
      <c r="AI210" s="363"/>
      <c r="AJ210" s="363"/>
      <c r="AK210" s="563"/>
      <c r="AO210" s="252"/>
      <c r="BC210" s="804"/>
    </row>
    <row r="211" spans="1:55" ht="16.2" customHeight="1" x14ac:dyDescent="0.25">
      <c r="A211" s="433" t="s">
        <v>1038</v>
      </c>
      <c r="B211" s="3225">
        <f>INDEX(PO_base_Add_EndUses,5, 1)</f>
        <v>0</v>
      </c>
      <c r="C211" s="3226"/>
      <c r="D211" s="3227">
        <f>INDEX(PO_baseline_table,41, 3)</f>
        <v>0</v>
      </c>
      <c r="E211" s="3225">
        <f>INDEX(PO_baseline_table,41, 4)</f>
        <v>0</v>
      </c>
      <c r="F211" s="499" t="str">
        <f>IFERROR(IF(ISBLANK(E211),"","Consumption (" &amp; VLOOKUP($E211,PO_Enrgy_1_Table,MATCH($C$16,PO_Enrgy_1_Hdr,0),FALSE) &amp; ")"),"")</f>
        <v/>
      </c>
      <c r="G211" s="590" t="str">
        <f>INDEX(PO_baseline_table,41, 10)</f>
        <v/>
      </c>
      <c r="H211" s="525"/>
      <c r="I211" s="658" t="str">
        <f t="shared" si="16"/>
        <v/>
      </c>
      <c r="J211" s="3105" t="str">
        <f>IFERROR(IF($E$327-$H$327&lt;0,"",($G211-$H211)*VLOOKUP($E211,PO_Enrgy_1_Table,MATCH($K$16,PO_Enrgy_1_Hdr,0),FALSE)/($E$327-$H$327)),"")</f>
        <v/>
      </c>
      <c r="K211" s="3103" t="str">
        <f>IFERROR(IF($G$327-$J$327&lt;0,"",($G211*VLOOKUP($E211,PO_Enrgy_8_Table,MATCH($E$232,PO_Enrgy_8_Hdr,0),FALSE)-($H211*VLOOKUP($E211,PO_Enrgy_8_Table,MATCH($H$232,PO_Enrgy_8_Hdr,0),FALSE)))/($G$327-$J$327)),"")</f>
        <v/>
      </c>
      <c r="L211" s="3103"/>
      <c r="M211" s="3104" t="str">
        <f>IFERROR(H211*VLOOKUP($E211,PO_Enrgy_1_Table,MATCH($K$16,PO_Enrgy_1_Hdr,0))/$H$227,"")</f>
        <v/>
      </c>
      <c r="Q211" s="627" t="str">
        <f t="shared" si="9"/>
        <v/>
      </c>
      <c r="R211" s="627" t="str">
        <f t="shared" si="10"/>
        <v/>
      </c>
      <c r="S211" s="627" t="str">
        <f t="shared" si="11"/>
        <v/>
      </c>
      <c r="T211" s="627" t="str">
        <f t="shared" si="12"/>
        <v/>
      </c>
      <c r="V211" s="636">
        <f t="shared" si="13"/>
        <v>0</v>
      </c>
      <c r="W211" s="627">
        <f t="shared" si="14"/>
        <v>0</v>
      </c>
      <c r="X211" s="627">
        <f t="shared" si="15"/>
        <v>0</v>
      </c>
      <c r="Y211" s="627" t="b">
        <f>IFERROR(IF(D211="x",IF(OR(G211/H211&gt;1.03,G211/H211&lt;0.97),TRUE,FALSE),FALSE),FALSE)</f>
        <v>0</v>
      </c>
      <c r="Z211" s="627">
        <f>IFERROR(J211*100,)</f>
        <v>0</v>
      </c>
      <c r="AA211" s="627"/>
      <c r="AB211" s="627">
        <f>RANK(Z211,$Z$171:$Z$218,0)</f>
        <v>1</v>
      </c>
      <c r="AC211" s="627">
        <f>AB211+COUNTIF($AB$171:$AB210,AB211)</f>
        <v>21</v>
      </c>
      <c r="AD211" s="627">
        <f>B211</f>
        <v>0</v>
      </c>
      <c r="AE211" s="2"/>
      <c r="AF211" s="3222"/>
      <c r="AG211" s="3222"/>
      <c r="AH211" s="436"/>
      <c r="AI211" s="363"/>
      <c r="AJ211" s="363"/>
      <c r="AK211" s="562"/>
      <c r="AO211" s="252"/>
      <c r="BC211" s="804"/>
    </row>
    <row r="212" spans="1:55" ht="16.5" customHeight="1" x14ac:dyDescent="0.25">
      <c r="A212" s="433" t="s">
        <v>1038</v>
      </c>
      <c r="B212" s="3225"/>
      <c r="C212" s="3226"/>
      <c r="D212" s="3227"/>
      <c r="E212" s="3225"/>
      <c r="F212" s="499" t="str">
        <f>IFERROR(IF(ISBLANK(E211),"","Demand (" &amp; VLOOKUP($E211,PO_Enrgy_1_Table,MATCH($E$16,PO_Enrgy_1_Hdr,0),FALSE) &amp; ")"),"")</f>
        <v/>
      </c>
      <c r="G212" s="591" t="str">
        <f>INDEX(PO_baseline_table,42, 10)</f>
        <v/>
      </c>
      <c r="H212" s="526"/>
      <c r="I212" s="592" t="str">
        <f t="shared" si="16"/>
        <v/>
      </c>
      <c r="J212" s="3106"/>
      <c r="K212" s="3103"/>
      <c r="L212" s="3103"/>
      <c r="M212" s="3088"/>
      <c r="Q212" s="627" t="str">
        <f t="shared" si="9"/>
        <v/>
      </c>
      <c r="R212" s="627" t="str">
        <f t="shared" si="10"/>
        <v/>
      </c>
      <c r="S212" s="627" t="str">
        <f t="shared" si="11"/>
        <v/>
      </c>
      <c r="T212" s="627" t="str">
        <f t="shared" si="12"/>
        <v/>
      </c>
      <c r="V212" s="636">
        <f t="shared" si="13"/>
        <v>0</v>
      </c>
      <c r="W212" s="627">
        <f t="shared" si="14"/>
        <v>0</v>
      </c>
      <c r="X212" s="627">
        <f t="shared" si="15"/>
        <v>0</v>
      </c>
      <c r="Y212" s="627"/>
      <c r="Z212" s="627"/>
      <c r="AA212" s="627"/>
      <c r="AB212" s="627"/>
      <c r="AC212" s="627"/>
      <c r="AD212" s="627"/>
      <c r="AE212" s="2"/>
      <c r="AF212" s="3222"/>
      <c r="AG212" s="3222"/>
      <c r="AH212" s="436"/>
      <c r="AI212" s="363"/>
      <c r="AJ212" s="363"/>
      <c r="AK212" s="563"/>
      <c r="AO212" s="252"/>
      <c r="BC212" s="804"/>
    </row>
    <row r="213" spans="1:55" ht="16.2" customHeight="1" x14ac:dyDescent="0.25">
      <c r="A213" s="433" t="s">
        <v>1038</v>
      </c>
      <c r="B213" s="3225">
        <f>INDEX(PO_base_Add_EndUses,7, 1)</f>
        <v>0</v>
      </c>
      <c r="C213" s="3226"/>
      <c r="D213" s="3227">
        <f>INDEX(PO_baseline_table,43, 3)</f>
        <v>0</v>
      </c>
      <c r="E213" s="3225">
        <f>INDEX(PO_baseline_table,43, 4)</f>
        <v>0</v>
      </c>
      <c r="F213" s="499" t="str">
        <f>IFERROR(IF(ISBLANK(E213),"","Consumption (" &amp; VLOOKUP($E213,PO_Enrgy_1_Table,MATCH($C$16,PO_Enrgy_1_Hdr,0),FALSE) &amp; ")"),"")</f>
        <v/>
      </c>
      <c r="G213" s="590" t="str">
        <f>INDEX(PO_baseline_table,43, 10)</f>
        <v/>
      </c>
      <c r="H213" s="525"/>
      <c r="I213" s="658" t="str">
        <f t="shared" si="16"/>
        <v/>
      </c>
      <c r="J213" s="3105" t="str">
        <f>IFERROR(IF($E$327-$H$327&lt;0,"",($G213-$H213)*VLOOKUP($E213,PO_Enrgy_1_Table,MATCH($K$16,PO_Enrgy_1_Hdr,0),FALSE)/($E$327-$H$327)),"")</f>
        <v/>
      </c>
      <c r="K213" s="3103" t="str">
        <f>IFERROR(IF($G$327-$J$327&lt;0,"",($G213*VLOOKUP($E213,PO_Enrgy_8_Table,MATCH($E$232,PO_Enrgy_8_Hdr,0),FALSE)-($H213*VLOOKUP($E213,PO_Enrgy_8_Table,MATCH($H$232,PO_Enrgy_8_Hdr,0),FALSE)))/($G$327-$J$327)),"")</f>
        <v/>
      </c>
      <c r="L213" s="3103"/>
      <c r="M213" s="3104" t="str">
        <f>IFERROR(H213*VLOOKUP($E213,PO_Enrgy_1_Table,MATCH($K$16,PO_Enrgy_1_Hdr,0))/$H$227,"")</f>
        <v/>
      </c>
      <c r="Q213" s="627" t="str">
        <f t="shared" si="9"/>
        <v/>
      </c>
      <c r="R213" s="627" t="str">
        <f t="shared" si="10"/>
        <v/>
      </c>
      <c r="S213" s="627" t="str">
        <f t="shared" si="11"/>
        <v/>
      </c>
      <c r="T213" s="627" t="str">
        <f t="shared" si="12"/>
        <v/>
      </c>
      <c r="V213" s="636">
        <f t="shared" si="13"/>
        <v>0</v>
      </c>
      <c r="W213" s="627">
        <f t="shared" si="14"/>
        <v>0</v>
      </c>
      <c r="X213" s="627">
        <f t="shared" si="15"/>
        <v>0</v>
      </c>
      <c r="Y213" s="627" t="b">
        <f>IFERROR(IF(D213="x",IF(OR(G213/H213&gt;1.03,G213/H213&lt;0.97),TRUE,FALSE),FALSE),FALSE)</f>
        <v>0</v>
      </c>
      <c r="Z213" s="627">
        <f>IFERROR(J213*100,)</f>
        <v>0</v>
      </c>
      <c r="AA213" s="627"/>
      <c r="AB213" s="627">
        <f>RANK(Z213,$Z$171:$Z$218,0)</f>
        <v>1</v>
      </c>
      <c r="AC213" s="627">
        <f>AB213+COUNTIF($AB$171:$AB212,AB213)</f>
        <v>22</v>
      </c>
      <c r="AD213" s="627">
        <f>B213</f>
        <v>0</v>
      </c>
      <c r="AE213" s="2"/>
      <c r="AF213" s="3222"/>
      <c r="AG213" s="3222"/>
      <c r="AH213" s="436"/>
      <c r="AI213" s="363"/>
      <c r="AJ213" s="363"/>
      <c r="AK213" s="562"/>
      <c r="AO213" s="252"/>
      <c r="BC213" s="804"/>
    </row>
    <row r="214" spans="1:55" ht="15.75" customHeight="1" x14ac:dyDescent="0.25">
      <c r="A214" s="433" t="s">
        <v>1038</v>
      </c>
      <c r="B214" s="3225"/>
      <c r="C214" s="3226"/>
      <c r="D214" s="3227"/>
      <c r="E214" s="3225"/>
      <c r="F214" s="499" t="str">
        <f>IFERROR(IF(ISBLANK(E213),"","Demand (" &amp; VLOOKUP($E213,PO_Enrgy_1_Table,MATCH($E$16,PO_Enrgy_1_Hdr,0),FALSE) &amp; ")"),"")</f>
        <v/>
      </c>
      <c r="G214" s="591" t="str">
        <f>INDEX(PO_baseline_table,44, 10)</f>
        <v/>
      </c>
      <c r="H214" s="526"/>
      <c r="I214" s="592" t="str">
        <f t="shared" si="16"/>
        <v/>
      </c>
      <c r="J214" s="3106"/>
      <c r="K214" s="3103"/>
      <c r="L214" s="3103"/>
      <c r="M214" s="3088"/>
      <c r="Q214" s="627" t="str">
        <f t="shared" si="9"/>
        <v/>
      </c>
      <c r="R214" s="627" t="str">
        <f t="shared" si="10"/>
        <v/>
      </c>
      <c r="S214" s="627" t="str">
        <f t="shared" si="11"/>
        <v/>
      </c>
      <c r="T214" s="627" t="str">
        <f t="shared" si="12"/>
        <v/>
      </c>
      <c r="V214" s="636">
        <f t="shared" si="13"/>
        <v>0</v>
      </c>
      <c r="W214" s="627">
        <f t="shared" si="14"/>
        <v>0</v>
      </c>
      <c r="X214" s="627">
        <f t="shared" si="15"/>
        <v>0</v>
      </c>
      <c r="Y214" s="627"/>
      <c r="Z214" s="627"/>
      <c r="AA214" s="627"/>
      <c r="AB214" s="627"/>
      <c r="AC214" s="627"/>
      <c r="AD214" s="627"/>
      <c r="AE214" s="2"/>
      <c r="AF214" s="3222"/>
      <c r="AG214" s="3222"/>
      <c r="AH214" s="436"/>
      <c r="AI214" s="363"/>
      <c r="AJ214" s="363"/>
      <c r="AK214" s="563"/>
      <c r="AO214" s="252"/>
      <c r="BC214" s="804"/>
    </row>
    <row r="215" spans="1:55" ht="16.2" customHeight="1" x14ac:dyDescent="0.25">
      <c r="A215" s="433" t="s">
        <v>1038</v>
      </c>
      <c r="B215" s="3225">
        <f>INDEX(PO_base_Add_EndUses,9, 1)</f>
        <v>0</v>
      </c>
      <c r="C215" s="3226"/>
      <c r="D215" s="3227">
        <f>INDEX(PO_baseline_table,45, 3)</f>
        <v>0</v>
      </c>
      <c r="E215" s="3225">
        <f>INDEX(PO_baseline_table,45, 4)</f>
        <v>0</v>
      </c>
      <c r="F215" s="499" t="str">
        <f>IFERROR(IF(ISBLANK(E215),"","Consumption (" &amp; VLOOKUP($E215,PO_Enrgy_1_Table,MATCH($C$16,PO_Enrgy_1_Hdr,0),FALSE) &amp; ")"),"")</f>
        <v/>
      </c>
      <c r="G215" s="590" t="str">
        <f>INDEX(PO_baseline_table,45, 10)</f>
        <v/>
      </c>
      <c r="H215" s="525"/>
      <c r="I215" s="658" t="str">
        <f t="shared" si="16"/>
        <v/>
      </c>
      <c r="J215" s="3105" t="str">
        <f>IFERROR(IF($E$327-$H$327&lt;0,"",($G215-$H215)*VLOOKUP($E215,PO_Enrgy_1_Table,MATCH($K$16,PO_Enrgy_1_Hdr,0),FALSE)/($E$327-$H$327)),"")</f>
        <v/>
      </c>
      <c r="K215" s="3103" t="str">
        <f>IFERROR(IF($G$327-$J$327&lt;0,"",($G215*VLOOKUP($E215,PO_Enrgy_8_Table,MATCH($E$232,PO_Enrgy_8_Hdr,0),FALSE)-($H215*VLOOKUP($E215,PO_Enrgy_8_Table,MATCH($H$232,PO_Enrgy_8_Hdr,0),FALSE)))/($G$327-$J$327)),"")</f>
        <v/>
      </c>
      <c r="L215" s="3103"/>
      <c r="M215" s="3104" t="str">
        <f>IFERROR(H215*VLOOKUP($E215,PO_Enrgy_1_Table,MATCH($K$16,PO_Enrgy_1_Hdr,0))/$H$227,"")</f>
        <v/>
      </c>
      <c r="Q215" s="627" t="str">
        <f t="shared" si="9"/>
        <v/>
      </c>
      <c r="R215" s="627" t="str">
        <f t="shared" si="10"/>
        <v/>
      </c>
      <c r="S215" s="627" t="str">
        <f t="shared" si="11"/>
        <v/>
      </c>
      <c r="T215" s="627" t="str">
        <f t="shared" si="12"/>
        <v/>
      </c>
      <c r="V215" s="636">
        <f t="shared" si="13"/>
        <v>0</v>
      </c>
      <c r="W215" s="627">
        <f t="shared" si="14"/>
        <v>0</v>
      </c>
      <c r="X215" s="627">
        <f t="shared" si="15"/>
        <v>0</v>
      </c>
      <c r="Y215" s="627" t="b">
        <f>IFERROR(IF(D215="x",IF(OR(G215/H215&gt;1.03,G215/H215&lt;0.97),TRUE,FALSE),FALSE),FALSE)</f>
        <v>0</v>
      </c>
      <c r="Z215" s="627">
        <f>IFERROR(J215*100,)</f>
        <v>0</v>
      </c>
      <c r="AA215" s="627"/>
      <c r="AB215" s="627">
        <f>RANK(Z215,$Z$171:$Z$218,0)</f>
        <v>1</v>
      </c>
      <c r="AC215" s="627">
        <f>AB215+COUNTIF($AB$171:$AB214,AB215)</f>
        <v>23</v>
      </c>
      <c r="AD215" s="627">
        <f>B215</f>
        <v>0</v>
      </c>
      <c r="AE215" s="2"/>
      <c r="AF215" s="3222"/>
      <c r="AG215" s="3222"/>
      <c r="AH215" s="436"/>
      <c r="AI215" s="363"/>
      <c r="AJ215" s="363"/>
      <c r="AK215" s="562"/>
      <c r="AO215" s="252"/>
      <c r="BC215" s="804"/>
    </row>
    <row r="216" spans="1:55" ht="16.5" customHeight="1" x14ac:dyDescent="0.25">
      <c r="A216" s="433" t="s">
        <v>1038</v>
      </c>
      <c r="B216" s="3225"/>
      <c r="C216" s="3226"/>
      <c r="D216" s="3227"/>
      <c r="E216" s="3225"/>
      <c r="F216" s="499" t="str">
        <f>IFERROR(IF(ISBLANK(E215),"","Demand (" &amp; VLOOKUP($E215,PO_Enrgy_1_Table,MATCH($E$16,PO_Enrgy_1_Hdr,0),FALSE) &amp; ")"),"")</f>
        <v/>
      </c>
      <c r="G216" s="591" t="str">
        <f>INDEX(PO_baseline_table,46, 10)</f>
        <v/>
      </c>
      <c r="H216" s="526"/>
      <c r="I216" s="592" t="str">
        <f t="shared" si="16"/>
        <v/>
      </c>
      <c r="J216" s="3106"/>
      <c r="K216" s="3103"/>
      <c r="L216" s="3103"/>
      <c r="M216" s="3088"/>
      <c r="Q216" s="627" t="str">
        <f t="shared" si="9"/>
        <v/>
      </c>
      <c r="R216" s="627" t="str">
        <f t="shared" si="10"/>
        <v/>
      </c>
      <c r="S216" s="627" t="str">
        <f t="shared" si="11"/>
        <v/>
      </c>
      <c r="T216" s="627" t="str">
        <f t="shared" si="12"/>
        <v/>
      </c>
      <c r="V216" s="636">
        <f t="shared" si="13"/>
        <v>0</v>
      </c>
      <c r="W216" s="627">
        <f t="shared" si="14"/>
        <v>0</v>
      </c>
      <c r="X216" s="627">
        <f t="shared" si="15"/>
        <v>0</v>
      </c>
      <c r="Y216" s="627"/>
      <c r="Z216" s="627"/>
      <c r="AA216" s="627"/>
      <c r="AB216" s="627"/>
      <c r="AC216" s="627"/>
      <c r="AD216" s="627"/>
      <c r="AE216" s="2"/>
      <c r="AF216" s="3222"/>
      <c r="AG216" s="3222"/>
      <c r="AH216" s="436"/>
      <c r="AI216" s="363"/>
      <c r="AJ216" s="363"/>
      <c r="AK216" s="563"/>
      <c r="AO216" s="252"/>
      <c r="BC216" s="804"/>
    </row>
    <row r="217" spans="1:55" ht="16.2" customHeight="1" x14ac:dyDescent="0.25">
      <c r="A217" s="433" t="s">
        <v>1038</v>
      </c>
      <c r="B217" s="3225">
        <f>INDEX(PO_base_Add_EndUses,11, 1)</f>
        <v>0</v>
      </c>
      <c r="C217" s="3226"/>
      <c r="D217" s="3227">
        <f>INDEX(PO_baseline_table,47, 3)</f>
        <v>0</v>
      </c>
      <c r="E217" s="3225">
        <f>INDEX(PO_baseline_table,47, 4)</f>
        <v>0</v>
      </c>
      <c r="F217" s="499" t="str">
        <f>IFERROR(IF(ISBLANK(E217),"","Consumption (" &amp; VLOOKUP($E217,PO_Enrgy_1_Table,MATCH($C$16,PO_Enrgy_1_Hdr,0),FALSE) &amp; ")"),"")</f>
        <v/>
      </c>
      <c r="G217" s="590" t="str">
        <f>INDEX(PO_baseline_table,47, 10)</f>
        <v/>
      </c>
      <c r="H217" s="525"/>
      <c r="I217" s="658" t="str">
        <f t="shared" si="16"/>
        <v/>
      </c>
      <c r="J217" s="3105" t="str">
        <f>IFERROR(IF($E$327-$H$327&lt;0,"",($G217-$H217)*VLOOKUP($E217,PO_Enrgy_1_Table,MATCH($K$16,PO_Enrgy_1_Hdr,0),FALSE)/($E$327-$H$327)),"")</f>
        <v/>
      </c>
      <c r="K217" s="3103" t="str">
        <f>IFERROR(IF($G$327-$J$327&lt;0,"",($G217*VLOOKUP($E217,PO_Enrgy_8_Table,MATCH($E$232,PO_Enrgy_8_Hdr,0),FALSE)-($H217*VLOOKUP($E217,PO_Enrgy_8_Table,MATCH($H$232,PO_Enrgy_8_Hdr,0),FALSE)))/($G$327-$J$327)),"")</f>
        <v/>
      </c>
      <c r="L217" s="3103"/>
      <c r="M217" s="3104" t="str">
        <f>IFERROR(H217*VLOOKUP($E217,PO_Enrgy_1_Table,MATCH($K$16,PO_Enrgy_1_Hdr,0))/$H$227,"")</f>
        <v/>
      </c>
      <c r="Q217" s="627" t="str">
        <f t="shared" si="9"/>
        <v/>
      </c>
      <c r="R217" s="627" t="str">
        <f t="shared" si="10"/>
        <v/>
      </c>
      <c r="S217" s="627" t="str">
        <f t="shared" si="11"/>
        <v/>
      </c>
      <c r="T217" s="627" t="str">
        <f t="shared" si="12"/>
        <v/>
      </c>
      <c r="V217" s="636">
        <f t="shared" si="13"/>
        <v>0</v>
      </c>
      <c r="W217" s="627">
        <f t="shared" si="14"/>
        <v>0</v>
      </c>
      <c r="X217" s="627">
        <f t="shared" si="15"/>
        <v>0</v>
      </c>
      <c r="Y217" s="627" t="b">
        <f>IFERROR(IF(D217="x",IF(OR(G217/H217&gt;1.03,G217/H217&lt;0.97),TRUE,FALSE),FALSE),FALSE)</f>
        <v>0</v>
      </c>
      <c r="Z217" s="627">
        <f>IFERROR(J217*100,)</f>
        <v>0</v>
      </c>
      <c r="AA217" s="627"/>
      <c r="AB217" s="627">
        <f>RANK(Z217,$Z$171:$Z$218,0)</f>
        <v>1</v>
      </c>
      <c r="AC217" s="627">
        <f>AB217+COUNTIF($AB$171:$AB216,AB217)</f>
        <v>24</v>
      </c>
      <c r="AD217" s="627">
        <f>B217</f>
        <v>0</v>
      </c>
      <c r="AE217" s="2"/>
      <c r="AF217" s="3222"/>
      <c r="AG217" s="3222"/>
      <c r="AH217" s="436"/>
      <c r="AI217" s="363"/>
      <c r="AJ217" s="363"/>
      <c r="AK217" s="562"/>
      <c r="AO217" s="252"/>
      <c r="BC217" s="804"/>
    </row>
    <row r="218" spans="1:55" ht="15.75" customHeight="1" x14ac:dyDescent="0.25">
      <c r="A218" s="433" t="s">
        <v>1038</v>
      </c>
      <c r="B218" s="3225"/>
      <c r="C218" s="3226"/>
      <c r="D218" s="3227"/>
      <c r="E218" s="3225"/>
      <c r="F218" s="499" t="str">
        <f>IFERROR(IF(ISBLANK(E217),"","Demand (" &amp; VLOOKUP($E217,PO_Enrgy_1_Table,MATCH($E$16,PO_Enrgy_1_Hdr,0),FALSE) &amp; ")"),"")</f>
        <v/>
      </c>
      <c r="G218" s="591" t="str">
        <f>INDEX(PO_baseline_table,48, 10)</f>
        <v/>
      </c>
      <c r="H218" s="526"/>
      <c r="I218" s="592" t="str">
        <f t="shared" si="16"/>
        <v/>
      </c>
      <c r="J218" s="3106"/>
      <c r="K218" s="3103"/>
      <c r="L218" s="3103"/>
      <c r="M218" s="3088"/>
      <c r="Q218" s="627" t="str">
        <f t="shared" si="9"/>
        <v/>
      </c>
      <c r="R218" s="627" t="str">
        <f t="shared" si="10"/>
        <v/>
      </c>
      <c r="S218" s="627" t="str">
        <f t="shared" si="11"/>
        <v/>
      </c>
      <c r="T218" s="627" t="str">
        <f t="shared" si="12"/>
        <v/>
      </c>
      <c r="V218" s="636">
        <f t="shared" si="13"/>
        <v>0</v>
      </c>
      <c r="W218" s="627">
        <f t="shared" si="14"/>
        <v>0</v>
      </c>
      <c r="X218" s="627">
        <f t="shared" si="15"/>
        <v>0</v>
      </c>
      <c r="Y218" s="627"/>
      <c r="Z218" s="627"/>
      <c r="AA218" s="627"/>
      <c r="AB218" s="627"/>
      <c r="AC218" s="627"/>
      <c r="AD218" s="627"/>
      <c r="AE218" s="2"/>
      <c r="AF218" s="3222"/>
      <c r="AG218" s="3222"/>
      <c r="AH218" s="436"/>
      <c r="AI218" s="363"/>
      <c r="AJ218" s="363"/>
      <c r="AK218" s="563"/>
      <c r="AO218" s="252"/>
      <c r="BC218" s="804"/>
    </row>
    <row r="219" spans="1:55" ht="21" customHeight="1" x14ac:dyDescent="0.25">
      <c r="A219" s="433" t="s">
        <v>1038</v>
      </c>
      <c r="B219" s="243"/>
      <c r="C219" s="243"/>
      <c r="D219" s="588"/>
      <c r="E219" s="265"/>
      <c r="F219" s="243"/>
      <c r="G219" s="277"/>
      <c r="H219" s="277"/>
      <c r="I219" s="278"/>
      <c r="J219" s="277"/>
      <c r="K219" s="277"/>
      <c r="L219" s="279"/>
      <c r="M219" s="279"/>
      <c r="S219" s="601"/>
    </row>
    <row r="220" spans="1:55" ht="24" customHeight="1" x14ac:dyDescent="0.25">
      <c r="A220" s="433" t="s">
        <v>1038</v>
      </c>
      <c r="B220" s="287" t="s">
        <v>1014</v>
      </c>
      <c r="C220" s="288"/>
      <c r="D220" s="288"/>
      <c r="E220" s="288"/>
      <c r="F220" s="288"/>
      <c r="G220" s="288"/>
      <c r="H220" s="288"/>
      <c r="I220" s="288"/>
      <c r="J220" s="288"/>
      <c r="K220" s="288"/>
      <c r="L220" s="288"/>
      <c r="M220" s="288"/>
      <c r="S220" s="2"/>
    </row>
    <row r="221" spans="1:55" ht="21.75" customHeight="1" x14ac:dyDescent="0.25">
      <c r="A221" s="433" t="s">
        <v>1038</v>
      </c>
      <c r="B221" s="3138" t="s">
        <v>354</v>
      </c>
      <c r="C221" s="3139" t="s">
        <v>1436</v>
      </c>
      <c r="D221" s="3102"/>
      <c r="E221" s="3140" t="s">
        <v>272</v>
      </c>
      <c r="F221" s="3138"/>
      <c r="G221" s="3138"/>
      <c r="H221" s="3140" t="s">
        <v>273</v>
      </c>
      <c r="I221" s="3138"/>
      <c r="J221" s="3138"/>
      <c r="K221" s="3140" t="s">
        <v>358</v>
      </c>
      <c r="L221" s="3138"/>
      <c r="M221" s="3223"/>
      <c r="N221" s="295"/>
      <c r="S221" s="2"/>
    </row>
    <row r="222" spans="1:55" ht="63.75" customHeight="1" x14ac:dyDescent="0.25">
      <c r="A222" s="433" t="s">
        <v>1038</v>
      </c>
      <c r="B222" s="3102"/>
      <c r="C222" s="3102"/>
      <c r="D222" s="3102"/>
      <c r="E222" s="580" t="s">
        <v>902</v>
      </c>
      <c r="F222" s="579" t="str">
        <f>"Source Energy Use 
("  &amp; PO_SourceUnits &amp; ")"</f>
        <v>Source Energy Use 
(Btu x 10^6)</v>
      </c>
      <c r="G222" s="580" t="s">
        <v>356</v>
      </c>
      <c r="H222" s="580" t="s">
        <v>902</v>
      </c>
      <c r="I222" s="579" t="str">
        <f>"Source Energy Use 
("  &amp; PO_SourceUnits &amp; ")"</f>
        <v>Source Energy Use 
(Btu x 10^6)</v>
      </c>
      <c r="J222" s="580" t="s">
        <v>356</v>
      </c>
      <c r="K222" s="3140" t="s">
        <v>357</v>
      </c>
      <c r="L222" s="3224"/>
      <c r="M222" s="580" t="s">
        <v>356</v>
      </c>
      <c r="AD222" s="2"/>
      <c r="AE222" s="2"/>
      <c r="AF222" s="2"/>
      <c r="AG222" s="2"/>
      <c r="AH222" s="2"/>
      <c r="AI222" s="2"/>
      <c r="AJ222" s="2"/>
      <c r="AK222" s="2"/>
      <c r="AL222" s="2"/>
      <c r="AM222" s="2"/>
      <c r="AN222" s="2"/>
      <c r="AO222" s="2"/>
    </row>
    <row r="223" spans="1:55" s="446" customFormat="1" ht="21.75" hidden="1" customHeight="1" x14ac:dyDescent="0.25">
      <c r="A223" s="433" t="s">
        <v>1038</v>
      </c>
      <c r="B223" s="461" t="s">
        <v>1396</v>
      </c>
      <c r="C223" s="461" t="s">
        <v>1424</v>
      </c>
      <c r="D223" s="461"/>
      <c r="E223" s="469" t="s">
        <v>1452</v>
      </c>
      <c r="F223" s="468" t="s">
        <v>1453</v>
      </c>
      <c r="G223" s="469" t="s">
        <v>1454</v>
      </c>
      <c r="H223" s="469" t="s">
        <v>1437</v>
      </c>
      <c r="I223" s="468" t="s">
        <v>1438</v>
      </c>
      <c r="J223" s="469" t="s">
        <v>1439</v>
      </c>
      <c r="K223" s="462" t="s">
        <v>1440</v>
      </c>
      <c r="L223" s="461"/>
      <c r="M223" s="462" t="s">
        <v>1441</v>
      </c>
      <c r="N223" s="445"/>
      <c r="Q223" s="415" t="s">
        <v>1407</v>
      </c>
      <c r="R223" s="415" t="s">
        <v>1408</v>
      </c>
      <c r="AD223" s="447"/>
      <c r="AE223" s="447"/>
      <c r="AF223" s="447"/>
      <c r="AG223" s="447"/>
      <c r="AH223" s="447"/>
      <c r="AI223" s="447"/>
      <c r="AJ223" s="447"/>
      <c r="AK223" s="447"/>
      <c r="AL223" s="447"/>
      <c r="AM223" s="447"/>
      <c r="AN223" s="447"/>
      <c r="AO223" s="447"/>
    </row>
    <row r="224" spans="1:55" ht="18" customHeight="1" x14ac:dyDescent="0.25">
      <c r="A224" s="433" t="s">
        <v>1038</v>
      </c>
      <c r="B224" s="577" t="str">
        <f>IFERROR(IF(ISBLANK(B17),"",B17),"")</f>
        <v/>
      </c>
      <c r="C224" s="3079" t="str">
        <f>IFERROR(IF(ISBLANK($B224),"",VLOOKUP($B224,PO_Enrgy_1_Table,MATCH($C$16,PO_Enrgy_1_Hdr,0),FALSE) ),"")</f>
        <v/>
      </c>
      <c r="D224" s="3080" t="str">
        <f>IF(C224="","",VLOOKUP(C224,ProjectEnergyTypeTable,3,FALSE))</f>
        <v/>
      </c>
      <c r="E224" s="555">
        <f>IFERROR(SUMIFS(G$171:G$218,$F$171:$F$218,"=Con*",$E$171:$E$218,$B224), 0)</f>
        <v>0</v>
      </c>
      <c r="F224" s="555">
        <f>IFERROR(SUMIFS(G$171:G$218,$F$171:$F$218,"=Con*",$E$171:$E$218,$B224)*VLOOKUP($B224,PO_Enrgy_1_Table,MATCH($M$16,PO_Enrgy_1_Hdr,0),FALSE), 0)</f>
        <v>0</v>
      </c>
      <c r="G224" s="593" t="str">
        <f>INDEX(PO_Enrgy_6_Table,1, 10)</f>
        <v/>
      </c>
      <c r="H224" s="555">
        <f>IFERROR(SUMIFS(H$171:H$218,$F$171:$F$218,"=Con*",$E$171:$E$218,$B224), 0)</f>
        <v>0</v>
      </c>
      <c r="I224" s="555">
        <f>IFERROR(SUMIFS(H$171:H$218,$F$171:$F$218,"=Con*",$E$171:$E$218,$B224)*VLOOKUP($B224,PO_Enrgy_1_Table,MATCH($M$16,PO_Enrgy_1_Hdr,0),FALSE), 0)</f>
        <v>0</v>
      </c>
      <c r="J224" s="528"/>
      <c r="K224" s="3084" t="str">
        <f>IFERROR(1-H224/E224,"")</f>
        <v/>
      </c>
      <c r="L224" s="3085"/>
      <c r="M224" s="659" t="str">
        <f>IFERROR(1-J224/G224,"")</f>
        <v/>
      </c>
      <c r="Q224" s="627" t="str">
        <f>IFERROR(IF(ISBLANK($B224),"",VLOOKUP($B224,PO_Enrgy_1_Table,MATCH($K$16,PO_Enrgy_1_Hdr,0),FALSE)),"")</f>
        <v/>
      </c>
      <c r="R224" s="627" t="str">
        <f>IFERROR(IF(ISBLANK($B224),"",VLOOKUP($B224,PO_Enrgy_1_Table,MATCH($M$16,PO_Enrgy_1_Hdr,0),FALSE)),"")</f>
        <v/>
      </c>
      <c r="AD224" s="449"/>
      <c r="AE224" s="449"/>
      <c r="AF224" s="253"/>
      <c r="AG224" s="253"/>
      <c r="AH224" s="450"/>
      <c r="AI224" s="451"/>
      <c r="AJ224" s="2"/>
      <c r="AK224" s="2"/>
      <c r="AL224" s="2"/>
      <c r="AM224" s="2"/>
      <c r="AN224" s="2"/>
      <c r="AO224" s="2"/>
      <c r="BC224" s="804"/>
    </row>
    <row r="225" spans="1:55" ht="18" customHeight="1" x14ac:dyDescent="0.25">
      <c r="A225" s="433" t="s">
        <v>1038</v>
      </c>
      <c r="B225" s="577" t="str">
        <f>IFERROR(IF(ISBLANK(B18),"",B18),"")</f>
        <v/>
      </c>
      <c r="C225" s="3079" t="str">
        <f>IFERROR(IF(ISBLANK($B225),"",VLOOKUP($B225,PO_Enrgy_1_Table,MATCH($C$16,PO_Enrgy_1_Hdr,0),FALSE) ),"")</f>
        <v/>
      </c>
      <c r="D225" s="3080" t="str">
        <f>IF(C225="","",VLOOKUP(C225,ProjectEnergyTypeTable,3,FALSE))</f>
        <v/>
      </c>
      <c r="E225" s="555">
        <f>IFERROR(SUMIFS(G$171:G$218,$F$171:$F$218,"=Con*",$E$171:$E$218,$B225), 0)</f>
        <v>0</v>
      </c>
      <c r="F225" s="555">
        <f>IFERROR(SUMIFS(G$171:G$218,$F$171:$F$218,"=Con*",$E$171:$E$218,$B225)*VLOOKUP($B225,PO_Enrgy_1_Table,MATCH($M$16,PO_Enrgy_1_Hdr,0),FALSE), 0)</f>
        <v>0</v>
      </c>
      <c r="G225" s="593" t="str">
        <f>INDEX(PO_Enrgy_6_Table,2, 10)</f>
        <v/>
      </c>
      <c r="H225" s="555">
        <f>IFERROR(SUMIFS(H$171:H$218,$F$171:$F$218,"=Con*",$E$171:$E$218,$B225), 0)</f>
        <v>0</v>
      </c>
      <c r="I225" s="555">
        <f>IFERROR(SUMIFS(H$171:H$218,$F$171:$F$218,"=Con*",$E$171:$E$218,$B225)*VLOOKUP($B225,PO_Enrgy_1_Table,MATCH($M$16,PO_Enrgy_1_Hdr,0),FALSE), 0)</f>
        <v>0</v>
      </c>
      <c r="J225" s="528"/>
      <c r="K225" s="3084" t="str">
        <f>IFERROR(1-H225/E225,"")</f>
        <v/>
      </c>
      <c r="L225" s="3085"/>
      <c r="M225" s="659" t="str">
        <f>IFERROR(1-J225/G225,"")</f>
        <v/>
      </c>
      <c r="Q225" s="627" t="str">
        <f>IFERROR(IF(ISBLANK($B225),"",VLOOKUP($B225,PO_Enrgy_1_Table,MATCH($K$16,PO_Enrgy_1_Hdr,0),FALSE)),"")</f>
        <v/>
      </c>
      <c r="R225" s="627" t="str">
        <f>IFERROR(IF(ISBLANK($B225),"",VLOOKUP($B225,PO_Enrgy_1_Table,MATCH($M$16,PO_Enrgy_1_Hdr,0),FALSE)),"")</f>
        <v/>
      </c>
      <c r="AD225" s="449"/>
      <c r="AE225" s="449"/>
      <c r="AF225" s="253"/>
      <c r="AG225" s="253"/>
      <c r="AH225" s="450"/>
      <c r="AI225" s="451"/>
      <c r="AJ225" s="2"/>
      <c r="AK225" s="2"/>
      <c r="AL225" s="2"/>
      <c r="AM225" s="2"/>
      <c r="AN225" s="2"/>
      <c r="AO225" s="2"/>
      <c r="BC225" s="804"/>
    </row>
    <row r="226" spans="1:55" ht="18" customHeight="1" x14ac:dyDescent="0.25">
      <c r="A226" s="433" t="s">
        <v>1038</v>
      </c>
      <c r="B226" s="577" t="str">
        <f>IFERROR(IF(ISBLANK(B19),"",B19),"")</f>
        <v/>
      </c>
      <c r="C226" s="3079" t="str">
        <f>IFERROR(IF(ISBLANK($B226),"",VLOOKUP($B226,PO_Enrgy_1_Table,MATCH($C$16,PO_Enrgy_1_Hdr,0),FALSE) ),"")</f>
        <v/>
      </c>
      <c r="D226" s="3080" t="str">
        <f>IF(C226="","",VLOOKUP(C226,ProjectEnergyTypeTable,3,FALSE))</f>
        <v/>
      </c>
      <c r="E226" s="555">
        <f>IFERROR(SUMIFS(G$171:G$218,$F$171:$F$218,"=Con*",$E$171:$E$218,$B226), 0)</f>
        <v>0</v>
      </c>
      <c r="F226" s="555">
        <f>IFERROR(SUMIFS(G$171:G$218,$F$171:$F$218,"=Con*",$E$171:$E$218,$B226)*VLOOKUP($B226,PO_Enrgy_1_Table,MATCH($M$16,PO_Enrgy_1_Hdr,0),FALSE), 0)</f>
        <v>0</v>
      </c>
      <c r="G226" s="593" t="str">
        <f>INDEX(PO_Enrgy_6_Table,2, 10)</f>
        <v/>
      </c>
      <c r="H226" s="555">
        <f>IFERROR(SUMIFS(H$171:H$218,$F$171:$F$218,"=Con*",$E$171:$E$218,$B226), 0)</f>
        <v>0</v>
      </c>
      <c r="I226" s="555">
        <f>IFERROR(SUMIFS(H$171:H$218,$F$171:$F$218,"=Con*",$E$171:$E$218,$B226)*VLOOKUP($B226,PO_Enrgy_1_Table,MATCH($M$16,PO_Enrgy_1_Hdr,0),FALSE), 0)</f>
        <v>0</v>
      </c>
      <c r="J226" s="528"/>
      <c r="K226" s="3084" t="str">
        <f>IFERROR(1-H226/E226,"")</f>
        <v/>
      </c>
      <c r="L226" s="3085"/>
      <c r="M226" s="659" t="str">
        <f>IFERROR(1-J226/G226,"")</f>
        <v/>
      </c>
      <c r="Q226" s="627" t="str">
        <f>IFERROR(IF(ISBLANK($B226),"",VLOOKUP($B226,PO_Enrgy_1_Table,MATCH($K$16,PO_Enrgy_1_Hdr,0),FALSE)),"")</f>
        <v/>
      </c>
      <c r="R226" s="627" t="str">
        <f>IFERROR(IF(ISBLANK($B226),"",VLOOKUP($B226,PO_Enrgy_1_Table,MATCH($M$16,PO_Enrgy_1_Hdr,0),FALSE)),"")</f>
        <v/>
      </c>
      <c r="AD226" s="449"/>
      <c r="AE226" s="449"/>
      <c r="AF226" s="253"/>
      <c r="AG226" s="253"/>
      <c r="AH226" s="450"/>
      <c r="AI226" s="451"/>
      <c r="AJ226" s="2"/>
      <c r="AK226" s="2"/>
      <c r="AL226" s="2"/>
      <c r="AM226" s="2"/>
      <c r="AN226" s="2"/>
      <c r="AO226" s="2"/>
      <c r="BC226" s="804"/>
    </row>
    <row r="227" spans="1:55" s="245" customFormat="1" ht="21" customHeight="1" x14ac:dyDescent="0.25">
      <c r="A227" s="433" t="s">
        <v>1038</v>
      </c>
      <c r="B227" s="3135" t="str">
        <f>"Energy model subtotal (" &amp; PO_SiteUnits &amp; ")"</f>
        <v>Energy model subtotal (Btu x 10^6)</v>
      </c>
      <c r="C227" s="3135"/>
      <c r="D227" s="3135"/>
      <c r="E227" s="527">
        <f>IFERROR(SUMPRODUCT(INDEX(PO_Enrgy_7_Table,0,MATCH(E$223,PO_Enrgy_7_Hdr,0)),INDEX(PO_Enrgy_7_Table,0,MATCH($Q$223,PO_Enrgy_7_Hdr,0))),"")</f>
        <v>0</v>
      </c>
      <c r="F227" s="527">
        <f>IFERROR(SUM(INDEX(PO_Enrgy_7_Table,0,MATCH(F$223,PO_Enrgy_7_Hdr,0))),"")</f>
        <v>0</v>
      </c>
      <c r="G227" s="529">
        <f>IFERROR(SUM(INDEX(PO_Enrgy_7_Table,0,MATCH(G$223,PO_Enrgy_7_Hdr,0))),"")</f>
        <v>0</v>
      </c>
      <c r="H227" s="527">
        <f>IFERROR(SUMPRODUCT(INDEX(PO_Enrgy_7_Table,0,MATCH(H$223,PO_Enrgy_7_Hdr,0)),INDEX(PO_Enrgy_7_Table,0,MATCH($Q$223,PO_Enrgy_7_Hdr,0))),"")</f>
        <v>0</v>
      </c>
      <c r="I227" s="527">
        <f>IFERROR(SUM(INDEX(PO_Enrgy_7_Table,0,MATCH(I$223,PO_Enrgy_7_Hdr,0))),"")</f>
        <v>0</v>
      </c>
      <c r="J227" s="529">
        <f>IFERROR(SUM(INDEX(PO_Enrgy_7_Table,0,MATCH(J$223,PO_Enrgy_7_Hdr,0))),"")</f>
        <v>0</v>
      </c>
      <c r="K227" s="3090" t="str">
        <f>IFERROR(1-H227/E227,"")</f>
        <v/>
      </c>
      <c r="L227" s="3085"/>
      <c r="M227" s="578" t="str">
        <f>IFERROR(1-J227/G227,"")</f>
        <v/>
      </c>
      <c r="N227" s="235"/>
      <c r="O227" s="235"/>
      <c r="P227" s="235"/>
      <c r="AD227" s="2"/>
      <c r="AE227" s="2"/>
      <c r="AF227" s="2"/>
      <c r="AG227" s="2"/>
      <c r="AH227" s="450"/>
      <c r="AI227" s="451"/>
      <c r="AJ227" s="2"/>
      <c r="AK227" s="2"/>
      <c r="AL227" s="2"/>
      <c r="AM227" s="2"/>
      <c r="AN227" s="2"/>
      <c r="AO227" s="2"/>
      <c r="BC227" s="804"/>
    </row>
    <row r="228" spans="1:55" s="245" customFormat="1" ht="5.25" customHeight="1" x14ac:dyDescent="0.25">
      <c r="A228" s="433" t="s">
        <v>1038</v>
      </c>
      <c r="B228" s="249"/>
      <c r="C228" s="249"/>
      <c r="D228" s="249"/>
      <c r="E228" s="250"/>
      <c r="F228" s="250"/>
      <c r="G228" s="294"/>
      <c r="H228" s="250"/>
      <c r="I228" s="250"/>
      <c r="J228" s="294"/>
      <c r="K228" s="332"/>
      <c r="L228" s="332"/>
      <c r="M228" s="332"/>
      <c r="N228" s="235"/>
      <c r="O228" s="235"/>
      <c r="P228" s="235"/>
      <c r="AD228" s="2"/>
      <c r="AE228" s="2"/>
      <c r="AF228" s="2"/>
      <c r="AG228" s="2"/>
      <c r="AH228" s="450"/>
      <c r="AI228" s="451"/>
      <c r="AJ228" s="2"/>
      <c r="AK228" s="2"/>
      <c r="AL228" s="2"/>
      <c r="AM228" s="2"/>
      <c r="AN228" s="2"/>
      <c r="AO228" s="2"/>
    </row>
    <row r="229" spans="1:55" s="245" customFormat="1" ht="33" customHeight="1" x14ac:dyDescent="0.25">
      <c r="A229" s="433" t="s">
        <v>1038</v>
      </c>
      <c r="B229" s="249"/>
      <c r="C229" s="249"/>
      <c r="D229" s="249"/>
      <c r="E229" s="250"/>
      <c r="F229" s="250"/>
      <c r="G229" s="294"/>
      <c r="H229" s="250"/>
      <c r="I229" s="250"/>
      <c r="J229" s="294"/>
      <c r="K229" s="332"/>
      <c r="L229" s="332"/>
      <c r="M229" s="332"/>
      <c r="N229" s="235"/>
      <c r="O229" s="235"/>
      <c r="P229" s="235"/>
      <c r="AD229" s="2"/>
      <c r="AE229" s="2"/>
      <c r="AF229" s="2"/>
      <c r="AG229" s="2"/>
      <c r="AH229" s="450"/>
      <c r="AI229" s="451"/>
      <c r="AJ229" s="2"/>
      <c r="AK229" s="2"/>
      <c r="AL229" s="2"/>
      <c r="AM229" s="2"/>
      <c r="AN229" s="2"/>
      <c r="AO229" s="2"/>
    </row>
    <row r="230" spans="1:55" s="245" customFormat="1" ht="21" customHeight="1" x14ac:dyDescent="0.25">
      <c r="A230" s="433" t="s">
        <v>1038</v>
      </c>
      <c r="B230" s="3219" t="s">
        <v>1015</v>
      </c>
      <c r="C230" s="3220"/>
      <c r="D230" s="3220"/>
      <c r="E230" s="3220"/>
      <c r="F230" s="3220"/>
      <c r="G230" s="3220"/>
      <c r="H230" s="3220"/>
      <c r="I230" s="3220"/>
      <c r="J230" s="3220"/>
      <c r="K230" s="3220"/>
      <c r="L230" s="3220"/>
      <c r="M230" s="332"/>
      <c r="Z230" s="267"/>
      <c r="AA230" s="268"/>
      <c r="AD230" s="2"/>
      <c r="AE230" s="2"/>
      <c r="AF230" s="2"/>
      <c r="AG230" s="2"/>
      <c r="AH230" s="2"/>
      <c r="AI230" s="2"/>
      <c r="AJ230" s="2"/>
      <c r="AK230" s="2"/>
      <c r="AL230" s="2"/>
      <c r="AM230" s="2"/>
      <c r="AN230" s="2"/>
      <c r="AO230" s="2"/>
    </row>
    <row r="231" spans="1:55" ht="33.75" customHeight="1" x14ac:dyDescent="0.25">
      <c r="A231" s="433" t="s">
        <v>1038</v>
      </c>
      <c r="B231" s="3138" t="s">
        <v>354</v>
      </c>
      <c r="C231" s="3221"/>
      <c r="D231" s="3221"/>
      <c r="E231" s="3140" t="s">
        <v>272</v>
      </c>
      <c r="F231" s="3138"/>
      <c r="G231" s="3138"/>
      <c r="H231" s="3140" t="s">
        <v>273</v>
      </c>
      <c r="I231" s="3138"/>
      <c r="J231" s="3138"/>
      <c r="K231" s="3140" t="s">
        <v>365</v>
      </c>
      <c r="L231" s="3138"/>
      <c r="M231" s="3221"/>
      <c r="AD231" s="2"/>
      <c r="AE231" s="2"/>
      <c r="AF231" s="2"/>
      <c r="AG231" s="2"/>
      <c r="AH231" s="2"/>
      <c r="AI231" s="2"/>
      <c r="AJ231" s="2"/>
      <c r="AK231" s="2"/>
      <c r="AL231" s="2"/>
      <c r="AM231" s="2"/>
      <c r="AN231" s="2"/>
      <c r="AO231" s="2"/>
    </row>
    <row r="232" spans="1:55" s="446" customFormat="1" ht="38.25" hidden="1" customHeight="1" x14ac:dyDescent="0.25">
      <c r="A232" s="433" t="s">
        <v>1038</v>
      </c>
      <c r="B232" s="461" t="s">
        <v>1396</v>
      </c>
      <c r="C232" s="530" t="s">
        <v>143</v>
      </c>
      <c r="D232" s="530"/>
      <c r="E232" s="462" t="s">
        <v>1442</v>
      </c>
      <c r="F232" s="461"/>
      <c r="G232" s="461"/>
      <c r="H232" s="462" t="s">
        <v>1443</v>
      </c>
      <c r="I232" s="461"/>
      <c r="J232" s="461"/>
      <c r="K232" s="462" t="s">
        <v>1444</v>
      </c>
      <c r="L232" s="461"/>
      <c r="M232" s="530"/>
      <c r="Q232" s="415" t="s">
        <v>1407</v>
      </c>
      <c r="R232" s="415" t="s">
        <v>1408</v>
      </c>
      <c r="T232" s="655" t="s">
        <v>1575</v>
      </c>
      <c r="U232" s="655" t="s">
        <v>1576</v>
      </c>
      <c r="AD232" s="447"/>
      <c r="AE232" s="447"/>
      <c r="AF232" s="447"/>
      <c r="AG232" s="447"/>
      <c r="AH232" s="447"/>
      <c r="AI232" s="447"/>
      <c r="AJ232" s="447"/>
      <c r="AK232" s="447"/>
      <c r="AL232" s="447"/>
      <c r="AM232" s="447"/>
      <c r="AN232" s="447"/>
      <c r="AO232" s="447"/>
    </row>
    <row r="233" spans="1:55" ht="18" customHeight="1" x14ac:dyDescent="0.25">
      <c r="A233" s="433" t="s">
        <v>1038</v>
      </c>
      <c r="B233" s="577" t="str">
        <f>IFERROR(IF(ISBLANK(B17),"",B17),"")</f>
        <v/>
      </c>
      <c r="C233" s="3079" t="str">
        <f>IFERROR(CONCATENATE("$ / ",VLOOKUP($B233,PO_Enrgy_1_Table,MATCH($C$16,PO_Enrgy_1_Hdr,0),FALSE)),"")</f>
        <v xml:space="preserve">$ / </v>
      </c>
      <c r="D233" s="3080" t="e">
        <f>IF(C233="","",VLOOKUP(C233,ProjectEnergyTypeTable,3,FALSE))</f>
        <v>#NAME?</v>
      </c>
      <c r="E233" s="3086" t="str">
        <f t="shared" ref="E233:G235" si="17">IFERROR(IF(AND(DESPath=3,OR($B233="District Cooling",$B233="District Steam",$B233="District Hot Water")),IF($B233="District Cooling",$V$251,$W$251),VLOOKUP($B233,PO_Enrgy_7_Table,MATCH($G$223,PO_Enrgy_7_Hdr,0),FALSE)/VLOOKUP($B233,PO_Enrgy_7_Table,MATCH($E$223,PO_Enrgy_7_Hdr,0),FALSE)),"")</f>
        <v/>
      </c>
      <c r="F233" s="3087" t="str">
        <f t="shared" si="17"/>
        <v/>
      </c>
      <c r="G233" s="3087" t="str">
        <f t="shared" si="17"/>
        <v/>
      </c>
      <c r="H233" s="3086" t="str">
        <f t="shared" ref="H233:J235" si="18">IFERROR(IF(AND(DESPath=3,OR($B233="District Cooling",$B233="District Steam",$B233="District Hot Water")),IF($B233="District Cooling",$V$255,$W$255),VLOOKUP($B233,PO_Enrgy_7_Table,MATCH($J$223,PO_Enrgy_7_Hdr,0),FALSE)/VLOOKUP($B233,PO_Enrgy_7_Table,MATCH($H$223,PO_Enrgy_7_Hdr,0),FALSE)),"")</f>
        <v/>
      </c>
      <c r="I233" s="3087" t="str">
        <f t="shared" si="18"/>
        <v/>
      </c>
      <c r="J233" s="3087" t="str">
        <f t="shared" si="18"/>
        <v/>
      </c>
      <c r="K233" s="3084" t="str">
        <f>IFERROR(ABS(1-H233/E233),"")</f>
        <v/>
      </c>
      <c r="L233" s="3088"/>
      <c r="M233" s="3089"/>
      <c r="Q233" s="627" t="str">
        <f>IFERROR(IF(ISBLANK($B233),"",VLOOKUP($B233,PO_Enrgy_1_Table,MATCH($K$16,PO_Enrgy_1_Hdr,0),FALSE)),"")</f>
        <v/>
      </c>
      <c r="R233" s="627" t="str">
        <f>IFERROR(IF(ISBLANK($B233),"",VLOOKUP($B233,PO_Enrgy_1_Table,MATCH($M$16,PO_Enrgy_1_Hdr,0),FALSE)),"")</f>
        <v/>
      </c>
      <c r="T233" s="627" t="str">
        <f>IFERROR(IF(AND(DESPath=3,OR($B233="District Cooling",$B233="District Steam",$B233="District Hot Water")),IF($B233="District Cooling",$V$251,$W$251),VLOOKUP($B233,PO_Enrgy_7_Table,MATCH($G$223,PO_Enrgy_7_Hdr,0),FALSE)/VLOOKUP($B233,PO_Enrgy_7_Table,MATCH($E$223,PO_Enrgy_7_Hdr,0),FALSE)),"")</f>
        <v/>
      </c>
      <c r="U233" s="627" t="str">
        <f>IFERROR(IF(AND(DESPath=3,OR($B233="District Cooling",$B233="District Steam",$B233="District Hot Water")),IF($B233="District Cooling",$V$255,$W$255),VLOOKUP($B233,PO_Enrgy_7_Table,MATCH($J$223,PO_Enrgy_7_Hdr,0),FALSE)/VLOOKUP($B233,PO_Enrgy_7_Table,MATCH($H$223,PO_Enrgy_7_Hdr,0),FALSE)),"")</f>
        <v/>
      </c>
      <c r="AD233" s="449"/>
      <c r="AE233" s="449"/>
      <c r="AF233" s="253"/>
      <c r="AG233" s="2"/>
      <c r="AH233" s="450"/>
      <c r="AI233" s="451"/>
      <c r="AJ233" s="452"/>
      <c r="AK233" s="2"/>
      <c r="AL233" s="2"/>
      <c r="AM233" s="2"/>
      <c r="AN233" s="2"/>
      <c r="AO233" s="2"/>
      <c r="BC233" s="804"/>
    </row>
    <row r="234" spans="1:55" ht="18" customHeight="1" x14ac:dyDescent="0.25">
      <c r="A234" s="433" t="s">
        <v>1038</v>
      </c>
      <c r="B234" s="577" t="str">
        <f>IFERROR(IF(ISBLANK(B18),"",B18),"")</f>
        <v/>
      </c>
      <c r="C234" s="3079" t="str">
        <f>IFERROR(CONCATENATE("$ / ",VLOOKUP($B234,PO_Enrgy_1_Table,MATCH($C$16,PO_Enrgy_1_Hdr,0),FALSE)),"")</f>
        <v xml:space="preserve">$ / </v>
      </c>
      <c r="D234" s="3080" t="e">
        <f>IF(C234="","",VLOOKUP(C234,ProjectEnergyTypeTable,3,FALSE))</f>
        <v>#NAME?</v>
      </c>
      <c r="E234" s="3086" t="str">
        <f t="shared" si="17"/>
        <v/>
      </c>
      <c r="F234" s="3087" t="str">
        <f t="shared" si="17"/>
        <v/>
      </c>
      <c r="G234" s="3087" t="str">
        <f t="shared" si="17"/>
        <v/>
      </c>
      <c r="H234" s="3086" t="str">
        <f t="shared" si="18"/>
        <v/>
      </c>
      <c r="I234" s="3087" t="str">
        <f t="shared" si="18"/>
        <v/>
      </c>
      <c r="J234" s="3087" t="str">
        <f t="shared" si="18"/>
        <v/>
      </c>
      <c r="K234" s="3084" t="str">
        <f>IFERROR(ABS(1-H234/E234),"")</f>
        <v/>
      </c>
      <c r="L234" s="3088"/>
      <c r="M234" s="3089"/>
      <c r="Q234" s="627" t="str">
        <f>IFERROR(IF(ISBLANK($B234),"",VLOOKUP($B234,PO_Enrgy_1_Table,MATCH($K$16,PO_Enrgy_1_Hdr,0),FALSE)),"")</f>
        <v/>
      </c>
      <c r="R234" s="627" t="str">
        <f>IFERROR(IF(ISBLANK($B234),"",VLOOKUP($B234,PO_Enrgy_1_Table,MATCH($M$16,PO_Enrgy_1_Hdr,0),FALSE)),"")</f>
        <v/>
      </c>
      <c r="T234" s="627" t="str">
        <f>IFERROR(IF(AND(DESPath=3,OR($B234="District Cooling",$B234="District Steam",$B234="District Hot Water")),IF($B234="District Cooling",$V$251,$W$251),VLOOKUP($B234,PO_Enrgy_7_Table,MATCH($G$223,PO_Enrgy_7_Hdr,0),FALSE)/VLOOKUP($B234,PO_Enrgy_7_Table,MATCH($E$223,PO_Enrgy_7_Hdr,0),FALSE)),"")</f>
        <v/>
      </c>
      <c r="U234" s="627" t="str">
        <f>IFERROR(IF(AND(DESPath=3,OR($B234="District Cooling",$B234="District Steam",$B234="District Hot Water")),IF($B234="District Cooling",$V$255,$W$255),VLOOKUP($B234,PO_Enrgy_7_Table,MATCH($J$223,PO_Enrgy_7_Hdr,0),FALSE)/VLOOKUP($B234,PO_Enrgy_7_Table,MATCH($H$223,PO_Enrgy_7_Hdr,0),FALSE)),"")</f>
        <v/>
      </c>
      <c r="AD234" s="449"/>
      <c r="AE234" s="449"/>
      <c r="AF234" s="253"/>
      <c r="AG234" s="2"/>
      <c r="AH234" s="450"/>
      <c r="AI234" s="451"/>
      <c r="AJ234" s="452"/>
      <c r="AK234" s="2"/>
      <c r="AL234" s="2"/>
      <c r="AM234" s="2"/>
      <c r="AN234" s="2"/>
      <c r="AO234" s="2"/>
      <c r="BC234" s="804"/>
    </row>
    <row r="235" spans="1:55" ht="18" customHeight="1" x14ac:dyDescent="0.25">
      <c r="A235" s="433" t="s">
        <v>1038</v>
      </c>
      <c r="B235" s="577" t="str">
        <f>IFERROR(IF(ISBLANK(B19),"",B19),"")</f>
        <v/>
      </c>
      <c r="C235" s="3079" t="str">
        <f>IFERROR(CONCATENATE("$ / ",VLOOKUP($B235,PO_Enrgy_1_Table,MATCH($C$16,PO_Enrgy_1_Hdr,0),FALSE)),"")</f>
        <v xml:space="preserve">$ / </v>
      </c>
      <c r="D235" s="3080" t="e">
        <f>IF(C235="","",VLOOKUP(C235,ProjectEnergyTypeTable,3,FALSE))</f>
        <v>#NAME?</v>
      </c>
      <c r="E235" s="3086" t="str">
        <f t="shared" si="17"/>
        <v/>
      </c>
      <c r="F235" s="3087" t="str">
        <f t="shared" si="17"/>
        <v/>
      </c>
      <c r="G235" s="3087" t="str">
        <f t="shared" si="17"/>
        <v/>
      </c>
      <c r="H235" s="3086" t="str">
        <f t="shared" si="18"/>
        <v/>
      </c>
      <c r="I235" s="3087" t="str">
        <f t="shared" si="18"/>
        <v/>
      </c>
      <c r="J235" s="3087" t="str">
        <f t="shared" si="18"/>
        <v/>
      </c>
      <c r="K235" s="3084" t="str">
        <f>IFERROR(ABS(1-H235/E235),"")</f>
        <v/>
      </c>
      <c r="L235" s="3088"/>
      <c r="M235" s="3089"/>
      <c r="Q235" s="627" t="str">
        <f>IFERROR(IF(ISBLANK($B235),"",VLOOKUP($B235,PO_Enrgy_1_Table,MATCH($K$16,PO_Enrgy_1_Hdr,0),FALSE)),"")</f>
        <v/>
      </c>
      <c r="R235" s="627" t="str">
        <f>IFERROR(IF(ISBLANK($B235),"",VLOOKUP($B235,PO_Enrgy_1_Table,MATCH($M$16,PO_Enrgy_1_Hdr,0),FALSE)),"")</f>
        <v/>
      </c>
      <c r="T235" s="627" t="str">
        <f>IFERROR(IF(AND(DESPath=3,OR($B235="District Cooling",$B235="District Steam",$B235="District Hot Water")),IF($B235="District Cooling",$V$251,$W$251),VLOOKUP($B235,PO_Enrgy_7_Table,MATCH($G$223,PO_Enrgy_7_Hdr,0),FALSE)/VLOOKUP($B235,PO_Enrgy_7_Table,MATCH($E$223,PO_Enrgy_7_Hdr,0),FALSE)),"")</f>
        <v/>
      </c>
      <c r="U235" s="627" t="str">
        <f>IFERROR(IF(AND(DESPath=3,OR($B235="District Cooling",$B235="District Steam",$B235="District Hot Water")),IF($B235="District Cooling",$V$255,$W$255),VLOOKUP($B235,PO_Enrgy_7_Table,MATCH($J$223,PO_Enrgy_7_Hdr,0),FALSE)/VLOOKUP($B235,PO_Enrgy_7_Table,MATCH($H$223,PO_Enrgy_7_Hdr,0),FALSE)),"")</f>
        <v/>
      </c>
      <c r="AD235" s="449"/>
      <c r="AE235" s="449"/>
      <c r="AF235" s="253"/>
      <c r="AG235" s="2"/>
      <c r="AH235" s="450"/>
      <c r="AI235" s="451"/>
      <c r="AJ235" s="452"/>
      <c r="AK235" s="2"/>
      <c r="AL235" s="2"/>
      <c r="AM235" s="2"/>
      <c r="AN235" s="2"/>
      <c r="AO235" s="2"/>
      <c r="BC235" s="804"/>
    </row>
    <row r="236" spans="1:55" s="245" customFormat="1" ht="31.5" customHeight="1" x14ac:dyDescent="0.25">
      <c r="A236" s="433" t="s">
        <v>1038</v>
      </c>
      <c r="B236" s="249"/>
      <c r="C236" s="249"/>
      <c r="D236" s="249"/>
      <c r="E236" s="250"/>
      <c r="F236" s="250"/>
      <c r="G236" s="294"/>
      <c r="H236" s="250"/>
      <c r="I236" s="250"/>
      <c r="J236" s="294"/>
      <c r="K236" s="335"/>
      <c r="L236" s="332"/>
      <c r="M236" s="332"/>
      <c r="N236" s="235"/>
      <c r="O236" s="235"/>
      <c r="P236" s="235"/>
      <c r="AD236" s="2"/>
      <c r="AE236" s="2"/>
      <c r="AF236" s="2"/>
      <c r="AG236" s="2"/>
      <c r="AH236" s="450"/>
      <c r="AI236" s="451"/>
      <c r="AJ236" s="2"/>
      <c r="AK236" s="2"/>
      <c r="AL236" s="2"/>
      <c r="AM236" s="2"/>
      <c r="AN236" s="2"/>
      <c r="AO236" s="2"/>
    </row>
    <row r="237" spans="1:55" ht="21" customHeight="1" x14ac:dyDescent="0.25">
      <c r="A237" s="433" t="s">
        <v>1038</v>
      </c>
      <c r="B237" s="3219" t="s">
        <v>1016</v>
      </c>
      <c r="C237" s="3220"/>
      <c r="D237" s="3220"/>
      <c r="E237" s="3220"/>
      <c r="F237" s="3220"/>
      <c r="G237" s="3220"/>
      <c r="H237" s="3220"/>
      <c r="I237" s="3220"/>
      <c r="J237" s="3220"/>
      <c r="K237" s="3220"/>
      <c r="L237" s="3220"/>
      <c r="Z237" s="267"/>
      <c r="AA237" s="268"/>
      <c r="AD237" s="2"/>
      <c r="AE237" s="2"/>
      <c r="AF237" s="2"/>
      <c r="AG237" s="2"/>
      <c r="AH237" s="2"/>
      <c r="AI237" s="2"/>
      <c r="AJ237" s="2"/>
      <c r="AK237" s="2"/>
      <c r="AL237" s="2"/>
      <c r="AM237" s="2"/>
      <c r="AN237" s="2"/>
      <c r="AO237" s="2"/>
    </row>
    <row r="238" spans="1:55" ht="41.25" customHeight="1" x14ac:dyDescent="0.25">
      <c r="A238" s="433" t="s">
        <v>1038</v>
      </c>
      <c r="B238" s="3138" t="s">
        <v>354</v>
      </c>
      <c r="C238" s="3139" t="s">
        <v>1436</v>
      </c>
      <c r="D238" s="3102"/>
      <c r="E238" s="3101" t="s">
        <v>1017</v>
      </c>
      <c r="F238" s="3101"/>
      <c r="G238" s="3101"/>
      <c r="H238" s="3100" t="s">
        <v>941</v>
      </c>
      <c r="I238" s="3100"/>
      <c r="J238" s="3100"/>
      <c r="K238" s="3215" t="s">
        <v>358</v>
      </c>
      <c r="L238" s="3145"/>
      <c r="M238" s="3216"/>
      <c r="N238" s="3190"/>
      <c r="O238" s="3190"/>
      <c r="P238" s="3190"/>
      <c r="AD238" s="2"/>
      <c r="AE238" s="2"/>
      <c r="AF238" s="2"/>
      <c r="AG238" s="2"/>
      <c r="AH238" s="450"/>
      <c r="AI238" s="451"/>
      <c r="AJ238" s="2"/>
      <c r="AK238" s="2"/>
      <c r="AL238" s="2"/>
      <c r="AM238" s="2"/>
      <c r="AN238" s="2"/>
      <c r="AO238" s="2"/>
    </row>
    <row r="239" spans="1:55" ht="63" customHeight="1" x14ac:dyDescent="0.25">
      <c r="A239" s="433" t="s">
        <v>1038</v>
      </c>
      <c r="B239" s="3102"/>
      <c r="C239" s="3102"/>
      <c r="D239" s="3102"/>
      <c r="E239" s="582" t="s">
        <v>902</v>
      </c>
      <c r="F239" s="584" t="str">
        <f>"Source Energy Use 
("  &amp; PO_SourceUnits &amp; ")"</f>
        <v>Source Energy Use 
(Btu x 10^6)</v>
      </c>
      <c r="G239" s="582" t="s">
        <v>356</v>
      </c>
      <c r="H239" s="582" t="s">
        <v>902</v>
      </c>
      <c r="I239" s="584" t="str">
        <f>"Source Energy Use 
("  &amp; PO_SourceUnits &amp; ")"</f>
        <v>Source Energy Use 
(Btu x 10^6)</v>
      </c>
      <c r="J239" s="582" t="s">
        <v>356</v>
      </c>
      <c r="K239" s="3215" t="s">
        <v>357</v>
      </c>
      <c r="L239" s="3216"/>
      <c r="M239" s="582" t="s">
        <v>356</v>
      </c>
      <c r="N239" s="334"/>
      <c r="O239" s="334"/>
      <c r="P239" s="334"/>
      <c r="AD239" s="2"/>
      <c r="AE239" s="2"/>
      <c r="AF239" s="2"/>
      <c r="AG239" s="2"/>
      <c r="AH239" s="2"/>
      <c r="AI239" s="2"/>
      <c r="AJ239" s="2"/>
      <c r="AK239" s="2"/>
      <c r="AL239" s="2"/>
      <c r="AM239" s="2"/>
      <c r="AN239" s="2"/>
      <c r="AO239" s="2"/>
    </row>
    <row r="240" spans="1:55" s="446" customFormat="1" ht="21.75" hidden="1" customHeight="1" x14ac:dyDescent="0.25">
      <c r="A240" s="433" t="s">
        <v>1038</v>
      </c>
      <c r="B240" s="461" t="s">
        <v>1396</v>
      </c>
      <c r="C240" s="461" t="s">
        <v>1424</v>
      </c>
      <c r="D240" s="461"/>
      <c r="E240" s="469" t="s">
        <v>1452</v>
      </c>
      <c r="F240" s="468" t="s">
        <v>1453</v>
      </c>
      <c r="G240" s="469" t="s">
        <v>1454</v>
      </c>
      <c r="H240" s="469" t="s">
        <v>1437</v>
      </c>
      <c r="I240" s="468" t="s">
        <v>1438</v>
      </c>
      <c r="J240" s="469" t="s">
        <v>1439</v>
      </c>
      <c r="K240" s="462" t="s">
        <v>1440</v>
      </c>
      <c r="L240" s="461"/>
      <c r="M240" s="462" t="s">
        <v>1441</v>
      </c>
      <c r="N240" s="445"/>
      <c r="Q240" s="415" t="s">
        <v>1407</v>
      </c>
      <c r="R240" s="415" t="s">
        <v>1408</v>
      </c>
      <c r="AD240" s="447"/>
      <c r="AE240" s="447"/>
      <c r="AF240" s="447"/>
      <c r="AG240" s="447"/>
      <c r="AH240" s="447"/>
      <c r="AI240" s="447"/>
      <c r="AJ240" s="447"/>
      <c r="AK240" s="447"/>
      <c r="AL240" s="447"/>
      <c r="AM240" s="447"/>
      <c r="AN240" s="447"/>
      <c r="AO240" s="447"/>
    </row>
    <row r="241" spans="1:55" ht="15" customHeight="1" x14ac:dyDescent="0.25">
      <c r="A241" s="433" t="s">
        <v>1038</v>
      </c>
      <c r="B241" s="577" t="str">
        <f>IFERROR(IF(ISBLANK(B17),"",B17),"")</f>
        <v/>
      </c>
      <c r="C241" s="3079" t="str">
        <f>IFERROR(IF(ISBLANK($B241),"",VLOOKUP($B241,PO_Enrgy_1_Table,MATCH($C$16,PO_Enrgy_1_Hdr,0),FALSE) ),"")</f>
        <v/>
      </c>
      <c r="D241" s="3080" t="str">
        <f>IF(C241="","",VLOOKUP(C241,ProjectEnergyTypeTable,3,FALSE))</f>
        <v/>
      </c>
      <c r="E241" s="527">
        <f>IFERROR(VLOOKUP($B241,PO_Enrgy_7_Table,MATCH($E$223,PO_Enrgy_7_Hdr,0),FALSE)+IF(PO_ShowExCalc=TRUE,VLOOKUP($B241,PO_Enrgy_3_Table,MATCH($G$62,PO_Enrgy_3_Hdr,0),FALSE),0),0)</f>
        <v>0</v>
      </c>
      <c r="F241" s="527">
        <f>IFERROR(VLOOKUP($B241,PO_Enrgy_7_Table,MATCH($F$223,PO_Enrgy_7_Hdr,0),FALSE)+IF(PO_ShowExCalc=TRUE,VLOOKUP($B241,PO_Enrgy_3_Table,MATCH($J$62,PO_Enrgy_3_Hdr,0),FALSE),0),0)</f>
        <v>0</v>
      </c>
      <c r="G241" s="529">
        <f>IFERROR(VLOOKUP($B241,PO_Enrgy_7_Table,MATCH($G$223,PO_Enrgy_7_Hdr,0),FALSE)+IF(PO_ShowExCalc=TRUE,VLOOKUP($B241,PO_Enrgy_3_Table,MATCH($L$62,PO_Enrgy_3_Hdr,0),FALSE),0),0)</f>
        <v>0</v>
      </c>
      <c r="H241" s="527">
        <f>IFERROR(VLOOKUP($B241,PO_Enrgy_7_Table,MATCH($H$223,PO_Enrgy_7_Hdr,0),FALSE)-IF(PO_ShowExCalc=TRUE,VLOOKUP($B241,PO_Enrgy_4_Table,MATCH($G$62,PO_Enrgy_3_Hdr,0),FALSE),0),0)</f>
        <v>0</v>
      </c>
      <c r="I241" s="527">
        <f>IFERROR(VLOOKUP($B241,PO_Enrgy_7_Table,MATCH($I$223,PO_Enrgy_7_Hdr,0),FALSE)-IF(PO_ShowExCalc=TRUE,VLOOKUP($B241,PO_Enrgy_4_Table,MATCH($J$62,PO_Enrgy_3_Hdr,0),FALSE),0),0)</f>
        <v>0</v>
      </c>
      <c r="J241" s="529">
        <f>IFERROR(VLOOKUP($B241,PO_Enrgy_7_Table,MATCH($J$223,PO_Enrgy_7_Hdr,0),FALSE)-IF(PO_ShowExCalc=TRUE,VLOOKUP($B241,PO_Enrgy_4_Table,MATCH($L$62,PO_Enrgy_3_Hdr,0),FALSE),0),0)</f>
        <v>0</v>
      </c>
      <c r="K241" s="3090" t="str">
        <f>IFERROR(1-H241/E241,"")</f>
        <v/>
      </c>
      <c r="L241" s="3085"/>
      <c r="M241" s="578" t="str">
        <f>IFERROR(1-J241/G241,"")</f>
        <v/>
      </c>
      <c r="Q241" s="627" t="str">
        <f>IFERROR(IF(ISBLANK($B241),"",VLOOKUP($B241,PO_Enrgy_1_Table,MATCH($K$16,PO_Enrgy_1_Hdr,0),FALSE)),"")</f>
        <v/>
      </c>
      <c r="R241" s="627" t="str">
        <f>IFERROR(IF(ISBLANK($B241),"",VLOOKUP($B241,PO_Enrgy_1_Table,MATCH($M$16,PO_Enrgy_1_Hdr,0),FALSE)),"")</f>
        <v/>
      </c>
      <c r="AD241" s="449"/>
      <c r="AE241" s="449"/>
      <c r="AF241" s="2"/>
      <c r="AG241" s="2"/>
      <c r="AH241" s="453"/>
      <c r="AI241" s="453"/>
      <c r="AJ241" s="454"/>
      <c r="AK241" s="454"/>
      <c r="AL241" s="2"/>
      <c r="AM241" s="455"/>
      <c r="AN241" s="2"/>
      <c r="AO241" s="2"/>
      <c r="AP241" s="296"/>
      <c r="AQ241" s="296"/>
      <c r="BC241" s="804"/>
    </row>
    <row r="242" spans="1:55" ht="15" customHeight="1" x14ac:dyDescent="0.25">
      <c r="A242" s="433" t="s">
        <v>1038</v>
      </c>
      <c r="B242" s="577" t="str">
        <f>IFERROR(IF(ISBLANK(B18),"",B18),"")</f>
        <v/>
      </c>
      <c r="C242" s="3079" t="str">
        <f>IFERROR(IF(ISBLANK($B242),"",VLOOKUP($B242,PO_Enrgy_1_Table,MATCH($C$16,PO_Enrgy_1_Hdr,0),FALSE) ),"")</f>
        <v/>
      </c>
      <c r="D242" s="3080" t="str">
        <f>IF(C242="","",VLOOKUP(C242,ProjectEnergyTypeTable,3,FALSE))</f>
        <v/>
      </c>
      <c r="E242" s="527">
        <f>IFERROR(VLOOKUP($B242,PO_Enrgy_7_Table,MATCH($E$223,PO_Enrgy_7_Hdr,0),FALSE)+IF(PO_ShowExCalc=TRUE,VLOOKUP($B242,PO_Enrgy_3_Table,MATCH($G$62,PO_Enrgy_3_Hdr,0),FALSE),0),0)</f>
        <v>0</v>
      </c>
      <c r="F242" s="527">
        <f>IFERROR(VLOOKUP($B242,PO_Enrgy_7_Table,MATCH($F$223,PO_Enrgy_7_Hdr,0),FALSE)+IF(PO_ShowExCalc=TRUE,VLOOKUP($B242,PO_Enrgy_3_Table,MATCH($J$62,PO_Enrgy_3_Hdr,0),FALSE),0),0)</f>
        <v>0</v>
      </c>
      <c r="G242" s="529">
        <f>IFERROR(VLOOKUP($B242,PO_Enrgy_7_Table,MATCH($G$223,PO_Enrgy_7_Hdr,0),FALSE)+IF(PO_ShowExCalc=TRUE,VLOOKUP($B242,PO_Enrgy_3_Table,MATCH($L$62,PO_Enrgy_3_Hdr,0),FALSE),0),0)</f>
        <v>0</v>
      </c>
      <c r="H242" s="527">
        <f>IFERROR(VLOOKUP($B242,PO_Enrgy_7_Table,MATCH($H$223,PO_Enrgy_7_Hdr,0),FALSE)-IF(PO_ShowExCalc=TRUE,VLOOKUP($B242,PO_Enrgy_4_Table,MATCH($G$62,PO_Enrgy_3_Hdr,0),FALSE),0),0)</f>
        <v>0</v>
      </c>
      <c r="I242" s="527">
        <f>IFERROR(VLOOKUP($B242,PO_Enrgy_7_Table,MATCH($I$223,PO_Enrgy_7_Hdr,0),FALSE)-IF(PO_ShowExCalc=TRUE,VLOOKUP($B242,PO_Enrgy_4_Table,MATCH($J$62,PO_Enrgy_3_Hdr,0),FALSE),0),0)</f>
        <v>0</v>
      </c>
      <c r="J242" s="529">
        <f>IFERROR(VLOOKUP($B242,PO_Enrgy_7_Table,MATCH($J$223,PO_Enrgy_7_Hdr,0),FALSE)+IF(PO_ShowExCalc=TRUE,VLOOKUP($B242,PO_Enrgy_4_Table,MATCH($L$62,PO_Enrgy_3_Hdr,0),FALSE),0),0)</f>
        <v>0</v>
      </c>
      <c r="K242" s="3090" t="str">
        <f>IFERROR(1-H242/E242,"")</f>
        <v/>
      </c>
      <c r="L242" s="3085"/>
      <c r="M242" s="578" t="str">
        <f>IFERROR(1-J242/G242,"")</f>
        <v/>
      </c>
      <c r="Q242" s="627" t="str">
        <f>IFERROR(IF(ISBLANK($B242),"",VLOOKUP($B242,PO_Enrgy_1_Table,MATCH($K$16,PO_Enrgy_1_Hdr,0),FALSE)),"")</f>
        <v/>
      </c>
      <c r="R242" s="627" t="str">
        <f>IFERROR(IF(ISBLANK($B242),"",VLOOKUP($B242,PO_Enrgy_1_Table,MATCH($M$16,PO_Enrgy_1_Hdr,0),FALSE)),"")</f>
        <v/>
      </c>
      <c r="AD242" s="449"/>
      <c r="AE242" s="449"/>
      <c r="AF242" s="2"/>
      <c r="AG242" s="2"/>
      <c r="AH242" s="453"/>
      <c r="AI242" s="453"/>
      <c r="AJ242" s="454"/>
      <c r="AK242" s="454"/>
      <c r="AL242" s="2"/>
      <c r="AM242" s="455"/>
      <c r="AN242" s="2"/>
      <c r="AO242" s="2"/>
      <c r="AP242" s="296"/>
      <c r="AQ242" s="296"/>
      <c r="BC242" s="804"/>
    </row>
    <row r="243" spans="1:55" ht="15" customHeight="1" x14ac:dyDescent="0.25">
      <c r="A243" s="433" t="s">
        <v>1038</v>
      </c>
      <c r="B243" s="577" t="str">
        <f>IFERROR(IF(ISBLANK(B19),"",B19),"")</f>
        <v/>
      </c>
      <c r="C243" s="3079" t="str">
        <f>IFERROR(IF(ISBLANK($B243),"",VLOOKUP($B243,PO_Enrgy_1_Table,MATCH($C$16,PO_Enrgy_1_Hdr,0),FALSE) ),"")</f>
        <v/>
      </c>
      <c r="D243" s="3080" t="str">
        <f>IF(C243="","",VLOOKUP(C243,ProjectEnergyTypeTable,3,FALSE))</f>
        <v/>
      </c>
      <c r="E243" s="527">
        <f>IFERROR(VLOOKUP($B243,PO_Enrgy_7_Table,MATCH($E$223,PO_Enrgy_7_Hdr,0),FALSE)+IF(PO_ShowExCalc=TRUE,VLOOKUP($B243,PO_Enrgy_3_Table,MATCH($G$62,PO_Enrgy_3_Hdr,0),FALSE),0),0)</f>
        <v>0</v>
      </c>
      <c r="F243" s="527">
        <f>IFERROR(VLOOKUP($B243,PO_Enrgy_7_Table,MATCH($F$223,PO_Enrgy_7_Hdr,0),FALSE)+IF(PO_ShowExCalc=TRUE,VLOOKUP($B243,PO_Enrgy_3_Table,MATCH($J$62,PO_Enrgy_3_Hdr,0),FALSE),0),0)</f>
        <v>0</v>
      </c>
      <c r="G243" s="529">
        <f>IFERROR(VLOOKUP($B243,PO_Enrgy_7_Table,MATCH($G$223,PO_Enrgy_7_Hdr,0),FALSE)+IF(PO_ShowExCalc=TRUE,VLOOKUP($B243,PO_Enrgy_3_Table,MATCH($L$62,PO_Enrgy_3_Hdr,0),FALSE),0),0)</f>
        <v>0</v>
      </c>
      <c r="H243" s="527">
        <f>IFERROR(VLOOKUP($B243,PO_Enrgy_7_Table,MATCH($H$223,PO_Enrgy_7_Hdr,0),FALSE)-IF(PO_ShowExCalc=TRUE,VLOOKUP($B243,PO_Enrgy_4_Table,MATCH($G$62,PO_Enrgy_3_Hdr,0),FALSE),0),0)</f>
        <v>0</v>
      </c>
      <c r="I243" s="527">
        <f>IFERROR(VLOOKUP($B243,PO_Enrgy_7_Table,MATCH($I$223,PO_Enrgy_7_Hdr,0),FALSE)-IF(PO_ShowExCalc=TRUE,VLOOKUP($B243,PO_Enrgy_4_Table,MATCH($J$62,PO_Enrgy_3_Hdr,0),FALSE),0),0)</f>
        <v>0</v>
      </c>
      <c r="J243" s="529">
        <f>IFERROR(VLOOKUP($B243,PO_Enrgy_7_Table,MATCH($J$223,PO_Enrgy_7_Hdr,0),FALSE)+IF(PO_ShowExCalc=TRUE,VLOOKUP($B243,PO_Enrgy_4_Table,MATCH($L$62,PO_Enrgy_3_Hdr,0),FALSE),0),0)</f>
        <v>0</v>
      </c>
      <c r="K243" s="3090" t="str">
        <f>IFERROR(1-H243/E243,"")</f>
        <v/>
      </c>
      <c r="L243" s="3085"/>
      <c r="M243" s="578" t="str">
        <f>IFERROR(1-J243/G243,"")</f>
        <v/>
      </c>
      <c r="Q243" s="627" t="str">
        <f>IFERROR(IF(ISBLANK($B243),"",VLOOKUP($B243,PO_Enrgy_1_Table,MATCH($K$16,PO_Enrgy_1_Hdr,0),FALSE)),"")</f>
        <v/>
      </c>
      <c r="R243" s="627" t="str">
        <f>IFERROR(IF(ISBLANK($B243),"",VLOOKUP($B243,PO_Enrgy_1_Table,MATCH($M$16,PO_Enrgy_1_Hdr,0),FALSE)),"")</f>
        <v/>
      </c>
      <c r="AD243" s="449"/>
      <c r="AE243" s="449"/>
      <c r="AF243" s="2"/>
      <c r="AG243" s="2"/>
      <c r="AH243" s="453"/>
      <c r="AI243" s="453"/>
      <c r="AJ243" s="454"/>
      <c r="AK243" s="454"/>
      <c r="AL243" s="2"/>
      <c r="AM243" s="455"/>
      <c r="AN243" s="2"/>
      <c r="AO243" s="2"/>
      <c r="AP243" s="296"/>
      <c r="AQ243" s="296"/>
      <c r="BC243" s="804"/>
    </row>
    <row r="244" spans="1:55" s="245" customFormat="1" ht="21" customHeight="1" x14ac:dyDescent="0.25">
      <c r="A244" s="433" t="s">
        <v>1038</v>
      </c>
      <c r="B244" s="3135" t="str">
        <f>"Energy model subtotal (" &amp; PO_SiteUnits &amp; ")"</f>
        <v>Energy model subtotal (Btu x 10^6)</v>
      </c>
      <c r="C244" s="3135"/>
      <c r="D244" s="3135"/>
      <c r="E244" s="527">
        <f>IFERROR(SUMPRODUCT(INDEX(PO_Enrgy_9_Table,0,MATCH(E$240,PO_Enrgy_9_Hdr,0)),INDEX(PO_Enrgy_9_Table,0,MATCH($Q$240,PO_Enrgy_9_Hdr,0))),"")</f>
        <v>0</v>
      </c>
      <c r="F244" s="527">
        <f>IFERROR(SUM(INDEX(PO_Enrgy_9_Table,0,MATCH(F$240,PO_Enrgy_9_Hdr,0))),"")</f>
        <v>0</v>
      </c>
      <c r="G244" s="529">
        <f>IFERROR(SUM(INDEX(PO_Enrgy_9_Table,0,MATCH(G$240,PO_Enrgy_9_Hdr,0))),"")</f>
        <v>0</v>
      </c>
      <c r="H244" s="527">
        <f>IFERROR(SUMPRODUCT(INDEX(PO_Enrgy_9_Table,0,MATCH(H$240,PO_Enrgy_9_Hdr,0)),INDEX(PO_Enrgy_9_Table,0,MATCH($Q$240,PO_Enrgy_9_Hdr,0))),"")</f>
        <v>0</v>
      </c>
      <c r="I244" s="527">
        <f>IFERROR(SUM(INDEX(PO_Enrgy_9_Table,0,MATCH(I$240,PO_Enrgy_9_Hdr,0))),"")</f>
        <v>0</v>
      </c>
      <c r="J244" s="529">
        <f>IFERROR(SUM(INDEX(PO_Enrgy_9_Table,0,MATCH(J$240,PO_Enrgy_9_Hdr,0))),"")</f>
        <v>0</v>
      </c>
      <c r="K244" s="3090" t="str">
        <f>IFERROR(1-H244/E244,"")</f>
        <v/>
      </c>
      <c r="L244" s="3085"/>
      <c r="M244" s="578" t="str">
        <f>IFERROR(1-J244/G244,"")</f>
        <v/>
      </c>
      <c r="N244" s="235"/>
      <c r="O244" s="235"/>
      <c r="P244" s="235"/>
      <c r="AD244" s="2"/>
      <c r="AE244" s="2"/>
      <c r="AF244" s="2"/>
      <c r="AG244" s="2"/>
      <c r="AH244" s="450"/>
      <c r="AI244" s="451"/>
      <c r="AJ244" s="2"/>
      <c r="AK244" s="2"/>
      <c r="AL244" s="2"/>
      <c r="AM244" s="2"/>
      <c r="AN244" s="2"/>
      <c r="AO244" s="2"/>
      <c r="BC244" s="804"/>
    </row>
    <row r="245" spans="1:55" s="245" customFormat="1" ht="33" customHeight="1" x14ac:dyDescent="0.25">
      <c r="A245" s="433" t="s">
        <v>1038</v>
      </c>
      <c r="B245" s="456"/>
      <c r="C245" s="456"/>
      <c r="D245" s="456"/>
      <c r="E245" s="457"/>
      <c r="F245" s="457"/>
      <c r="G245" s="458"/>
      <c r="H245" s="457"/>
      <c r="I245" s="457"/>
      <c r="J245" s="458"/>
      <c r="K245" s="459"/>
      <c r="L245" s="459"/>
      <c r="M245" s="459"/>
      <c r="N245" s="235"/>
      <c r="O245" s="235"/>
      <c r="P245" s="235"/>
      <c r="AH245" s="267"/>
      <c r="AI245" s="268"/>
    </row>
    <row r="246" spans="1:55" ht="21" hidden="1" customHeight="1" x14ac:dyDescent="0.25">
      <c r="A246" s="433" t="s">
        <v>1038</v>
      </c>
      <c r="B246" s="3219" t="s">
        <v>907</v>
      </c>
      <c r="C246" s="3220"/>
      <c r="D246" s="3220"/>
      <c r="E246" s="3220"/>
      <c r="F246" s="3220"/>
      <c r="G246" s="3220"/>
      <c r="H246" s="3220"/>
      <c r="I246" s="3220"/>
      <c r="J246" s="3220"/>
      <c r="K246" s="3220"/>
      <c r="L246" s="3220"/>
      <c r="X246" s="2"/>
      <c r="Z246" s="267"/>
      <c r="AA246" s="268"/>
    </row>
    <row r="247" spans="1:55" ht="116.25" hidden="1" customHeight="1" x14ac:dyDescent="0.25">
      <c r="A247" s="433" t="s">
        <v>1038</v>
      </c>
      <c r="B247" s="3267" t="s">
        <v>954</v>
      </c>
      <c r="C247" s="3267"/>
      <c r="D247" s="3267"/>
      <c r="E247" s="3267"/>
      <c r="F247" s="3267"/>
      <c r="G247" s="3267"/>
      <c r="H247" s="3267"/>
      <c r="I247" s="3267"/>
      <c r="J247" s="3267"/>
      <c r="K247" s="3201"/>
      <c r="L247" s="3201"/>
      <c r="M247" s="3201"/>
      <c r="X247" s="2"/>
      <c r="Z247" s="267"/>
      <c r="AA247" s="268"/>
    </row>
    <row r="248" spans="1:55" ht="21" hidden="1" customHeight="1" x14ac:dyDescent="0.25">
      <c r="A248" s="433" t="s">
        <v>1038</v>
      </c>
      <c r="B248" s="3138" t="s">
        <v>1445</v>
      </c>
      <c r="C248" s="3139" t="s">
        <v>1436</v>
      </c>
      <c r="D248" s="3102"/>
      <c r="E248" s="3140" t="s">
        <v>363</v>
      </c>
      <c r="F248" s="3138"/>
      <c r="G248" s="3138"/>
      <c r="H248" s="3140" t="s">
        <v>130</v>
      </c>
      <c r="I248" s="3138"/>
      <c r="J248" s="3138"/>
      <c r="K248" s="3218"/>
      <c r="L248" s="3214"/>
      <c r="M248" s="588"/>
      <c r="O248" s="296"/>
      <c r="AF248" s="2"/>
    </row>
    <row r="249" spans="1:55" ht="39.6" hidden="1" x14ac:dyDescent="0.25">
      <c r="A249" s="433" t="s">
        <v>1038</v>
      </c>
      <c r="B249" s="3102"/>
      <c r="C249" s="3102"/>
      <c r="D249" s="3102"/>
      <c r="E249" s="579" t="s">
        <v>1039</v>
      </c>
      <c r="F249" s="580" t="s">
        <v>1040</v>
      </c>
      <c r="G249" s="580" t="s">
        <v>356</v>
      </c>
      <c r="H249" s="579" t="s">
        <v>1039</v>
      </c>
      <c r="I249" s="580" t="s">
        <v>902</v>
      </c>
      <c r="J249" s="580" t="s">
        <v>356</v>
      </c>
      <c r="K249" s="334"/>
      <c r="L249" s="334"/>
      <c r="M249" s="588"/>
      <c r="AH249" s="2"/>
      <c r="AI249" s="2"/>
      <c r="AJ249" s="2"/>
      <c r="AK249" s="2"/>
    </row>
    <row r="250" spans="1:55" s="446" customFormat="1" ht="15" hidden="1" customHeight="1" x14ac:dyDescent="0.25">
      <c r="A250" s="433" t="s">
        <v>1038</v>
      </c>
      <c r="B250" s="460" t="s">
        <v>1396</v>
      </c>
      <c r="C250" s="460" t="s">
        <v>1424</v>
      </c>
      <c r="D250" s="460"/>
      <c r="E250" s="461" t="s">
        <v>1446</v>
      </c>
      <c r="F250" s="462" t="s">
        <v>1447</v>
      </c>
      <c r="G250" s="462" t="s">
        <v>1448</v>
      </c>
      <c r="H250" s="461" t="s">
        <v>1449</v>
      </c>
      <c r="I250" s="462" t="s">
        <v>1450</v>
      </c>
      <c r="J250" s="462" t="s">
        <v>1451</v>
      </c>
      <c r="K250" s="463"/>
      <c r="L250" s="463"/>
      <c r="U250" s="235" t="s">
        <v>959</v>
      </c>
      <c r="V250" s="464" t="s">
        <v>961</v>
      </c>
      <c r="W250" s="464" t="s">
        <v>962</v>
      </c>
      <c r="AJ250" s="447"/>
      <c r="AK250" s="447"/>
    </row>
    <row r="251" spans="1:55" ht="17.25" hidden="1" customHeight="1" x14ac:dyDescent="0.25">
      <c r="A251" s="433" t="s">
        <v>1038</v>
      </c>
      <c r="B251" s="3217" t="s">
        <v>272</v>
      </c>
      <c r="C251" s="3217"/>
      <c r="D251" s="3217"/>
      <c r="E251" s="534"/>
      <c r="F251" s="534"/>
      <c r="G251" s="535"/>
      <c r="H251" s="534"/>
      <c r="I251" s="534"/>
      <c r="J251" s="535"/>
      <c r="K251" s="332"/>
      <c r="L251" s="332"/>
      <c r="Q251" s="415" t="s">
        <v>1407</v>
      </c>
      <c r="R251" s="415" t="s">
        <v>1408</v>
      </c>
      <c r="V251" s="465" t="str">
        <f>IFERROR(V253+V252,"")</f>
        <v/>
      </c>
      <c r="W251" s="465" t="str">
        <f>IFERROR(W253+W252,"")</f>
        <v/>
      </c>
      <c r="AH251" s="2"/>
      <c r="AI251" s="2"/>
      <c r="AJ251" s="2"/>
      <c r="AK251" s="2"/>
      <c r="AL251" s="270"/>
      <c r="AM251" s="271"/>
    </row>
    <row r="252" spans="1:55" ht="18" hidden="1" customHeight="1" x14ac:dyDescent="0.25">
      <c r="A252" s="433" t="s">
        <v>1038</v>
      </c>
      <c r="B252" s="565" t="str">
        <f>IFERROR(IF(DESPath=3,"Electricity",""),"")</f>
        <v/>
      </c>
      <c r="C252" s="3079" t="str">
        <f>IFERROR(IF(ISBLANK($B252),"",VLOOKUP($B252,PO_Enrgy_1_Table,MATCH($C$16,PO_Enrgy_1_Hdr,0),FALSE) ),"")</f>
        <v/>
      </c>
      <c r="D252" s="3080" t="str">
        <f>IF(C252="","",VLOOKUP(C252,ProjectEnergyTypeTable,3,FALSE))</f>
        <v/>
      </c>
      <c r="E252" s="536" t="str">
        <f>IFERROR(IF(AND(DESPath=3,DistrictCooling,$B$252="Electricity"),DESPath3_Cooling_COP,""),"")</f>
        <v/>
      </c>
      <c r="F252" s="537" t="str">
        <f>IFERROR(IF(DESPath=3,VLOOKUP("District Cooling",PO_Enrgy_9_Table,MATCH($E$240,PO_Enrgy_9_Hdr,0),FALSE)/$E252*VLOOKUP(VLOOKUP("District Cooling",PO_Enrgy_9_Table,MATCH($C$240,PO_Enrgy_9_Hdr,0),FALSE),EnergyUnitsTable,3,FALSE)/VLOOKUP($C252,EnergyUnitsTable,3,FALSE),""),"")</f>
        <v/>
      </c>
      <c r="G252" s="529" t="str">
        <f>IFERROR(F252*VLOOKUP($B252,PO_Enrgy_8_Table,MATCH($E$232,PO_Enrgy_8_Hdr,0),FALSE),"")</f>
        <v/>
      </c>
      <c r="H252" s="537" t="str">
        <f>IFERROR(IF(AND(DESPath=3,DistrictHeating,$B$252="Electricity"),DESPath3_Heating_eCOP,""),"")</f>
        <v/>
      </c>
      <c r="I252" s="537">
        <f>IF(DESPath = 3,IFERROR(VLOOKUP("District Hot Water",PO_Enrgy_9_Table,MATCH($E$240,PO_Enrgy_9_Hdr,0),FALSE)/$H252*VLOOKUP(VLOOKUP("District Hot Water",PO_Enrgy_9_Table,MATCH($C$240,PO_Enrgy_9_Hdr,0),FALSE),EnergyUnitsTable,3,FALSE)/VLOOKUP($C252,EnergyUnitsTable,3,FALSE),0)+IFERROR(VLOOKUP("District Steam",PO_Enrgy_9_Table,MATCH($E$240,PO_Enrgy_9_Hdr,0),FALSE)/$H252*VLOOKUP(VLOOKUP("District Steam",PO_Enrgy_9_Table,MATCH($C$240,PO_Enrgy_9_Hdr,0),FALSE),EnergyUnitsTable,3,FALSE)/VLOOKUP($H252,EnergyUnitsTable,3,FALSE),0),0)</f>
        <v>0</v>
      </c>
      <c r="J252" s="529" t="str">
        <f>IFERROR(I252*VLOOKUP($B252,PO_Enrgy_8_Table,MATCH($E$232,PO_Enrgy_8_Hdr,0),FALSE),"")</f>
        <v/>
      </c>
      <c r="K252" s="332"/>
      <c r="L252" s="332"/>
      <c r="M252" s="332"/>
      <c r="Q252" s="416" t="str">
        <f>IFERROR(IF(ISBLANK($B252),"",VLOOKUP($B252,PO_Enrgy_1_Table,MATCH($K$16,PO_Enrgy_1_Hdr,0),FALSE)),"")</f>
        <v/>
      </c>
      <c r="R252" s="416" t="str">
        <f>IFERROR(IF(ISBLANK($B252),"",VLOOKUP($B252,PO_Enrgy_1_Table,MATCH($M$16,PO_Enrgy_1_Hdr,0),FALSE)),"")</f>
        <v/>
      </c>
      <c r="U252" s="235" t="s">
        <v>957</v>
      </c>
      <c r="V252" s="466" t="str">
        <f>IFERROR(VLOOKUP($B252,PO_Enrgy_8_Table,MATCH($E$232,PO_Enrgy_8_Hdr,0),FALSE)/$E$252*VLOOKUP(VLOOKUP("District Cooling",PO_Enrgy_9_Table,MATCH($C$240,PO_Enrgy_9_Hdr,0),FALSE),EnergyUnitsTable,3,FALSE)/VLOOKUP($C252,EnergyUnitsTable,3,FALSE),"")</f>
        <v/>
      </c>
      <c r="W252" s="466" t="str">
        <f>IFERROR(VLOOKUP($B252,PO_Enrgy_8_Table,MATCH($E$232,PO_Enrgy_8_Hdr,0),FALSE)/$H$252*(IFERROR(VLOOKUP(VLOOKUP("District Hot Water",PO_Enrgy_9_Table,MATCH($C$240,PO_Enrgy_9_Hdr,0),FALSE),EnergyUnitsTable,3,FALSE),1)+IFERROR(VLOOKUP(VLOOKUP("District Steam",PO_Enrgy_9_Table,MATCH($C$240,PO_Enrgy_9_Hdr,0),FALSE),EnergyUnitsTable,3,FALSE),1))/VLOOKUP($C252,EnergyUnitsTable,3,FALSE),"")</f>
        <v/>
      </c>
      <c r="AH252" s="449"/>
      <c r="AI252" s="449"/>
      <c r="AJ252" s="253"/>
      <c r="AK252" s="2"/>
      <c r="AL252" s="270"/>
      <c r="AM252" s="271"/>
      <c r="BC252" s="804"/>
    </row>
    <row r="253" spans="1:55" ht="18" hidden="1" customHeight="1" x14ac:dyDescent="0.25">
      <c r="A253" s="433" t="s">
        <v>1038</v>
      </c>
      <c r="B253" s="648" t="str">
        <f>IFERROR(IF(DESPath=3,IF(MATCH("Natural Gas",PO_Enrgy_1_Index,0)&gt;0,"Natural Gas",IF(MATCH("Fuel Oil / Diesel",PO_Enrgy_1_Table,0)&gt;1,"Fuel Oil / Diesel","")),""),"")</f>
        <v/>
      </c>
      <c r="C253" s="3079" t="str">
        <f>IFERROR(IF(ISBLANK($B253),"",VLOOKUP($B253,PO_Enrgy_1_Table,MATCH($C$16,PO_Enrgy_1_Hdr,0),FALSE) ),"")</f>
        <v/>
      </c>
      <c r="D253" s="3080" t="str">
        <f>IF(C253="","",VLOOKUP(C253,ProjectEnergyTypeTable,3,FALSE))</f>
        <v/>
      </c>
      <c r="E253" s="538"/>
      <c r="F253" s="538"/>
      <c r="G253" s="653"/>
      <c r="H253" s="537" t="str">
        <f>IFERROR(IF(AND(DESPath=3,DistrictHeating,$B$252="Electricity"),DESPath3_Heating_fCOP,""),"")</f>
        <v/>
      </c>
      <c r="I253" s="537">
        <f>IF(DESPath = 3,IFERROR(VLOOKUP("District Hot Water",PO_Enrgy_9_Table,MATCH($E$240,PO_Enrgy_9_Hdr,0),FALSE)/$H253*VLOOKUP(VLOOKUP("District Hot Water",PO_Enrgy_9_Table,MATCH($C$240,PO_Enrgy_9_Hdr,0),FALSE),EnergyUnitsTable,3,FALSE)/VLOOKUP($C253,EnergyUnitsTable,3,FALSE),0)+IFERROR(VLOOKUP("District Steam",PO_Enrgy_9_Table,MATCH($E$240,PO_Enrgy_9_Hdr,0),FALSE)/$H253*VLOOKUP(VLOOKUP("District Steam",PO_Enrgy_9_Table,MATCH($C$240,PO_Enrgy_9_Hdr,0),FALSE),EnergyUnitsTable,3,FALSE)/VLOOKUP($H253,EnergyUnitsTable,3,FALSE),0),0)</f>
        <v>0</v>
      </c>
      <c r="J253" s="529" t="str">
        <f>IFERROR(I253*VLOOKUP($B253,PO_Enrgy_8_Table,MATCH($E$232,PO_Enrgy_8_Hdr,0),FALSE),"")</f>
        <v/>
      </c>
      <c r="K253" s="332"/>
      <c r="L253" s="332"/>
      <c r="M253" s="332"/>
      <c r="Q253" s="416" t="str">
        <f>IFERROR(IF(ISBLANK($B253),"",VLOOKUP($B253,PO_Enrgy_1_Table,MATCH($K$16,PO_Enrgy_1_Hdr,0),FALSE)),"")</f>
        <v/>
      </c>
      <c r="R253" s="416" t="str">
        <f>IFERROR(IF(ISBLANK($B253),"",VLOOKUP($B253,PO_Enrgy_1_Table,MATCH($M$16,PO_Enrgy_1_Hdr,0),FALSE)),"")</f>
        <v/>
      </c>
      <c r="U253" s="235" t="s">
        <v>958</v>
      </c>
      <c r="V253" s="466" t="str">
        <f>IFERROR(VLOOKUP($B253,PO_Enrgy_8_Table,MATCH($E$232,PO_Enrgy_8_Hdr,0),FALSE)/$E$252*VLOOKUP(VLOOKUP("District Cooling",PO_Enrgy_9_Table,MATCH($C$240,PO_Enrgy_9_Hdr,0),FALSE),EnergyUnitsTable,3,FALSE)/VLOOKUP($C253,EnergyUnitsTable,3,FALSE),"")</f>
        <v/>
      </c>
      <c r="W253" s="466" t="str">
        <f>IFERROR(VLOOKUP($B253,PO_Enrgy_8_Table,MATCH($E$232,PO_Enrgy_8_Hdr,0),FALSE)/$H$252*(IFERROR(VLOOKUP(VLOOKUP("District Hot Water",PO_Enrgy_9_Table,MATCH($C$240,PO_Enrgy_9_Hdr,0),FALSE),EnergyUnitsTable,3,FALSE),1)+IFERROR(VLOOKUP(VLOOKUP("District Steam",PO_Enrgy_9_Table,MATCH($C$240,PO_Enrgy_9_Hdr,0),FALSE),EnergyUnitsTable,3,FALSE),1))/VLOOKUP($C253,EnergyUnitsTable,3,FALSE),"")</f>
        <v/>
      </c>
      <c r="AH253" s="449"/>
      <c r="AI253" s="449"/>
      <c r="AJ253" s="253"/>
      <c r="AK253" s="2"/>
      <c r="AL253" s="270"/>
      <c r="AM253" s="271"/>
      <c r="BC253" s="804"/>
    </row>
    <row r="254" spans="1:55" s="446" customFormat="1" ht="15" hidden="1" customHeight="1" x14ac:dyDescent="0.25">
      <c r="A254" s="433" t="s">
        <v>1038</v>
      </c>
      <c r="B254" s="460" t="s">
        <v>1396</v>
      </c>
      <c r="C254" s="460" t="s">
        <v>1424</v>
      </c>
      <c r="D254" s="460"/>
      <c r="E254" s="461" t="s">
        <v>1446</v>
      </c>
      <c r="F254" s="462" t="s">
        <v>1447</v>
      </c>
      <c r="G254" s="462" t="s">
        <v>1448</v>
      </c>
      <c r="H254" s="461" t="s">
        <v>1449</v>
      </c>
      <c r="I254" s="462" t="s">
        <v>1450</v>
      </c>
      <c r="J254" s="462" t="s">
        <v>1451</v>
      </c>
      <c r="K254" s="463"/>
      <c r="L254" s="463"/>
      <c r="Q254" s="415" t="s">
        <v>1407</v>
      </c>
      <c r="R254" s="415" t="s">
        <v>1408</v>
      </c>
      <c r="V254" s="464" t="s">
        <v>961</v>
      </c>
      <c r="W254" s="464" t="s">
        <v>962</v>
      </c>
      <c r="AH254" s="447"/>
      <c r="AI254" s="447"/>
      <c r="AJ254" s="447"/>
      <c r="AK254" s="447"/>
    </row>
    <row r="255" spans="1:55" ht="17.25" hidden="1" customHeight="1" x14ac:dyDescent="0.25">
      <c r="A255" s="433" t="s">
        <v>1038</v>
      </c>
      <c r="B255" s="3217" t="s">
        <v>273</v>
      </c>
      <c r="C255" s="3217"/>
      <c r="D255" s="3217"/>
      <c r="E255" s="539"/>
      <c r="F255" s="539"/>
      <c r="G255" s="540"/>
      <c r="H255" s="539"/>
      <c r="I255" s="539"/>
      <c r="J255" s="540"/>
      <c r="K255" s="332"/>
      <c r="L255" s="332"/>
      <c r="U255" s="235" t="s">
        <v>960</v>
      </c>
      <c r="V255" s="465" t="str">
        <f>IFERROR(V256+V257,"")</f>
        <v/>
      </c>
      <c r="W255" s="465" t="str">
        <f>IFERROR(W256+W257,"")</f>
        <v/>
      </c>
      <c r="AI255" s="2"/>
      <c r="AJ255" s="2"/>
      <c r="AK255" s="2"/>
      <c r="AL255" s="270"/>
      <c r="AM255" s="271"/>
    </row>
    <row r="256" spans="1:55" ht="18" hidden="1" customHeight="1" x14ac:dyDescent="0.25">
      <c r="A256" s="433" t="s">
        <v>1038</v>
      </c>
      <c r="B256" s="541" t="str">
        <f>IFERROR(IF(ISBLANK(B17),"",B17),"")</f>
        <v/>
      </c>
      <c r="C256" s="3079" t="str">
        <f>IFERROR(IF(ISBLANK($B256),"",VLOOKUP($B256,PO_Enrgy_1_Table,MATCH($C$16,PO_Enrgy_1_Hdr,0),FALSE) ),"")</f>
        <v/>
      </c>
      <c r="D256" s="3080" t="str">
        <f>IF(C256="","",VLOOKUP(C256,ProjectEnergyTypeTable,3,FALSE))</f>
        <v/>
      </c>
      <c r="E256" s="542"/>
      <c r="F256" s="537" t="str">
        <f>IFERROR(VLOOKUP($B256,PO_Enrgy_9_Table,MATCH($E$240,PO_Enrgy_9_Hdr,0),FALSE)/$E$256*VLOOKUP(VLOOKUP("District Cooling",PO_Enrgy_9_Table,MATCH($C$240,PO_Enrgy_9_Hdr,0),FALSE),EnergyUnitsTable,3,FALSE)/VLOOKUP($C256,EnergyUnitsTable,3,FALSE),"")</f>
        <v/>
      </c>
      <c r="G256" s="529" t="str">
        <f>IFERROR(F256*VLOOKUP($B256,PO_Enrgy_8_Table,MATCH($H$232,PO_Enrgy_8_Hdr,0),FALSE),"")</f>
        <v/>
      </c>
      <c r="H256" s="543"/>
      <c r="I256" s="537">
        <f>IF(DESPath = 3,IFERROR(VLOOKUP("District Hot Water",PO_Enrgy_9_Table,MATCH($H$240,PO_Enrgy_9_Hdr,0),FALSE)/$H256*VLOOKUP(VLOOKUP("District Hot Water",PO_Enrgy_9_Table,MATCH($C$240,PO_Enrgy_9_Hdr,0),FALSE),EnergyUnitsTable,3,FALSE)/VLOOKUP($C256,EnergyUnitsTable,3,FALSE),0)+IFERROR(VLOOKUP("District Steam",PO_Enrgy_9_Table,MATCH($H$240,PO_Enrgy_9_Hdr,0),FALSE)/$H256*VLOOKUP(VLOOKUP("District Steam",PO_Enrgy_9_Table,MATCH($C$240,PO_Enrgy_9_Hdr,0),FALSE),EnergyUnitsTable,3,FALSE)/VLOOKUP($H256,EnergyUnitsTable,3,FALSE),0),0)</f>
        <v>0</v>
      </c>
      <c r="J256" s="529" t="str">
        <f>IFERROR(I256*VLOOKUP($B256,PO_Enrgy_8_Table,MATCH($H$232,PO_Enrgy_8_Hdr,0),FALSE),"")</f>
        <v/>
      </c>
      <c r="K256" s="332"/>
      <c r="L256" s="332"/>
      <c r="M256" s="332"/>
      <c r="Q256" s="416" t="str">
        <f>IFERROR(IF(ISBLANK($B256),"",VLOOKUP($B256,PO_Enrgy_1_Table,MATCH($K$16,PO_Enrgy_1_Hdr,0),FALSE)),"")</f>
        <v/>
      </c>
      <c r="R256" s="416" t="str">
        <f>IFERROR(IF(ISBLANK($B256),"",VLOOKUP($B256,PO_Enrgy_1_Table,MATCH($M$16,PO_Enrgy_1_Hdr,0),FALSE)),"")</f>
        <v/>
      </c>
      <c r="U256" s="235" t="s">
        <v>957</v>
      </c>
      <c r="V256" s="466" t="str">
        <f>IFERROR(VLOOKUP($B256,PO_Enrgy_8_Table,MATCH($H$232,PO_Enrgy_8_Hdr,0),FALSE)/$E$256*VLOOKUP(VLOOKUP("District Cooling",PO_Enrgy_9_Table,MATCH($C$240,PO_Enrgy_9_Hdr,0),FALSE),EnergyUnitsTable,3,FALSE)/VLOOKUP($C256,EnergyUnitsTable,3,FALSE),"")</f>
        <v/>
      </c>
      <c r="W256" s="466" t="str">
        <f>IFERROR(VLOOKUP($B256,PO_Enrgy_8_Table,MATCH($H$232,PO_Enrgy_8_Hdr,0),FALSE)/$H$256*(IFERROR(VLOOKUP(VLOOKUP("District Hot Water",PO_Enrgy_9_Table,MATCH($C$240,PO_Enrgy_9_Hdr,0),FALSE),EnergyUnitsTable,3,FALSE),1)+IFERROR(VLOOKUP(VLOOKUP("District Steam",PO_Enrgy_9_Table,MATCH($C$240,PO_Enrgy_9_Hdr,0),FALSE),EnergyUnitsTable,3,FALSE),1))/VLOOKUP($C256,EnergyUnitsTable,3,FALSE),"")</f>
        <v/>
      </c>
      <c r="AH256" s="449"/>
      <c r="AI256" s="449"/>
      <c r="AJ256" s="253"/>
      <c r="AK256" s="2"/>
      <c r="AL256" s="270"/>
      <c r="AM256" s="271"/>
      <c r="BC256" s="804"/>
    </row>
    <row r="257" spans="1:55" ht="18" hidden="1" customHeight="1" x14ac:dyDescent="0.25">
      <c r="A257" s="433" t="s">
        <v>1038</v>
      </c>
      <c r="B257" s="541" t="str">
        <f>IFERROR(IF(ISBLANK($B$253),"",$B$253),"")</f>
        <v/>
      </c>
      <c r="C257" s="3079" t="str">
        <f>IFERROR(IF(ISBLANK($B257),"",VLOOKUP($B257,PO_Enrgy_1_Table,MATCH($C$16,PO_Enrgy_1_Hdr,0),FALSE) ),"")</f>
        <v/>
      </c>
      <c r="D257" s="3080" t="str">
        <f>IF(C257="","",VLOOKUP(C257,ProjectEnergyTypeTable,3,FALSE))</f>
        <v/>
      </c>
      <c r="E257" s="543"/>
      <c r="F257" s="537" t="str">
        <f>IFERROR(VLOOKUP($B257,PO_Enrgy_9_Table,MATCH($E$240,PO_Enrgy_9_Hdr,0),FALSE)/$E$256*VLOOKUP(VLOOKUP("District Cooling",PO_Enrgy_9_Table,MATCH($C$240,PO_Enrgy_9_Hdr,0),FALSE),EnergyUnitsTable,3,FALSE)/VLOOKUP($C257,EnergyUnitsTable,3,FALSE),"")</f>
        <v/>
      </c>
      <c r="G257" s="529" t="str">
        <f>IFERROR(F257*VLOOKUP($B257,PO_Enrgy_8_Table,MATCH($H$232,PO_Enrgy_8_Hdr,0),FALSE),"")</f>
        <v/>
      </c>
      <c r="H257" s="544"/>
      <c r="I257" s="537">
        <f>IF(DESPath = 3,IFERROR(VLOOKUP("District Hot Water",PO_Enrgy_9_Table,MATCH($H$240,PO_Enrgy_9_Hdr,0),FALSE)/$H257*VLOOKUP(VLOOKUP("District Hot Water",PO_Enrgy_9_Table,MATCH($C$240,PO_Enrgy_9_Hdr,0),FALSE),EnergyUnitsTable,3,FALSE)/VLOOKUP($C257,EnergyUnitsTable,3,FALSE),0)+IFERROR(VLOOKUP("District Steam",PO_Enrgy_9_Table,MATCH($H$240,PO_Enrgy_9_Hdr,0),FALSE)/$H257*VLOOKUP(VLOOKUP("District Steam",PO_Enrgy_9_Table,MATCH($C$240,PO_Enrgy_9_Hdr,0),FALSE),EnergyUnitsTable,3,FALSE)/VLOOKUP($H257,EnergyUnitsTable,3,FALSE),0),0)</f>
        <v>0</v>
      </c>
      <c r="J257" s="529" t="str">
        <f>IFERROR(I257*VLOOKUP($B257,PO_Enrgy_8_Table,MATCH($H$232,PO_Enrgy_8_Hdr,0),FALSE),"")</f>
        <v/>
      </c>
      <c r="K257" s="332"/>
      <c r="L257" s="332"/>
      <c r="M257" s="332"/>
      <c r="Q257" s="416" t="str">
        <f>IFERROR(IF(ISBLANK($B257),"",VLOOKUP($B257,PO_Enrgy_1_Table,MATCH($K$16,PO_Enrgy_1_Hdr,0),FALSE)),"")</f>
        <v/>
      </c>
      <c r="R257" s="416" t="str">
        <f>IFERROR(IF(ISBLANK($B257),"",VLOOKUP($B257,PO_Enrgy_1_Table,MATCH($M$16,PO_Enrgy_1_Hdr,0),FALSE)),"")</f>
        <v/>
      </c>
      <c r="U257" s="235" t="s">
        <v>958</v>
      </c>
      <c r="V257" s="466" t="str">
        <f>IFERROR(VLOOKUP($B257,PO_Enrgy_8_Table,MATCH($H$232,PO_Enrgy_8_Hdr,0),FALSE)/$E$256*VLOOKUP(VLOOKUP("District Cooling",PO_Enrgy_9_Table,MATCH($C$240,PO_Enrgy_9_Hdr,0),FALSE),EnergyUnitsTable,3,FALSE)/VLOOKUP($C257,EnergyUnitsTable,3,FALSE),"")</f>
        <v/>
      </c>
      <c r="W257" s="466" t="str">
        <f>IFERROR(VLOOKUP($B257,PO_Enrgy_8_Table,MATCH($H$232,PO_Enrgy_8_Hdr,0),FALSE)/$H$256*(IFERROR(VLOOKUP(VLOOKUP("District Hot Water",PO_Enrgy_9_Table,MATCH($C$240,PO_Enrgy_9_Hdr,0),FALSE),EnergyUnitsTable,3,FALSE),1)+IFERROR(VLOOKUP(VLOOKUP("District Steam",PO_Enrgy_9_Table,MATCH($C$240,PO_Enrgy_9_Hdr,0),FALSE),EnergyUnitsTable,3,FALSE),1))/VLOOKUP($C257,EnergyUnitsTable,3,FALSE),"")</f>
        <v/>
      </c>
      <c r="AH257" s="449"/>
      <c r="AI257" s="449"/>
      <c r="AJ257" s="253"/>
      <c r="AK257" s="2"/>
      <c r="AL257" s="270" t="str">
        <f>IFERROR(G257/E257,"")</f>
        <v/>
      </c>
      <c r="AM257" s="271" t="str">
        <f>IFERROR(J257/H257,"")</f>
        <v/>
      </c>
      <c r="BC257" s="804"/>
    </row>
    <row r="258" spans="1:55" s="245" customFormat="1" ht="1.95" hidden="1" customHeight="1" x14ac:dyDescent="0.25">
      <c r="A258" s="433" t="s">
        <v>1038</v>
      </c>
      <c r="B258" s="531"/>
      <c r="C258" s="532"/>
      <c r="D258" s="531"/>
      <c r="E258" s="531"/>
      <c r="F258" s="531"/>
      <c r="G258" s="533"/>
      <c r="H258" s="532"/>
      <c r="I258" s="532" t="s">
        <v>867</v>
      </c>
      <c r="J258" s="531"/>
      <c r="K258" s="249"/>
      <c r="L258" s="249"/>
      <c r="M258" s="588"/>
      <c r="N258" s="235"/>
      <c r="O258" s="235"/>
      <c r="P258" s="235"/>
      <c r="AE258" s="302"/>
      <c r="AF258" s="302"/>
      <c r="AH258" s="2"/>
      <c r="AI258" s="2"/>
      <c r="AJ258" s="2"/>
      <c r="AK258" s="2"/>
    </row>
    <row r="259" spans="1:55" s="245" customFormat="1" ht="19.5" hidden="1" customHeight="1" x14ac:dyDescent="0.25">
      <c r="A259" s="433" t="s">
        <v>1038</v>
      </c>
      <c r="B259" s="3214"/>
      <c r="C259" s="3214"/>
      <c r="D259" s="3214"/>
      <c r="E259" s="249"/>
      <c r="F259" s="249"/>
      <c r="G259" s="235"/>
      <c r="H259" s="334"/>
      <c r="I259" s="334"/>
      <c r="J259" s="294"/>
      <c r="K259" s="232"/>
      <c r="L259" s="232"/>
      <c r="M259" s="293"/>
      <c r="N259" s="235"/>
      <c r="O259" s="235"/>
      <c r="P259" s="235"/>
      <c r="AH259" s="2"/>
      <c r="AI259" s="2"/>
      <c r="AJ259" s="2"/>
      <c r="AK259" s="2"/>
      <c r="AL259" s="270"/>
      <c r="AM259" s="271"/>
    </row>
    <row r="260" spans="1:55" ht="60" hidden="1" customHeight="1" x14ac:dyDescent="0.25">
      <c r="A260" s="433" t="s">
        <v>1038</v>
      </c>
      <c r="B260" s="3138" t="s">
        <v>354</v>
      </c>
      <c r="C260" s="3139" t="s">
        <v>1436</v>
      </c>
      <c r="D260" s="3102"/>
      <c r="E260" s="3101" t="s">
        <v>1041</v>
      </c>
      <c r="F260" s="3101"/>
      <c r="G260" s="3101"/>
      <c r="H260" s="3101" t="s">
        <v>1042</v>
      </c>
      <c r="I260" s="3101"/>
      <c r="J260" s="3101"/>
      <c r="K260" s="3100" t="s">
        <v>358</v>
      </c>
      <c r="L260" s="3101"/>
      <c r="M260" s="3120"/>
      <c r="N260" s="3190"/>
      <c r="O260" s="3190"/>
      <c r="P260" s="3190"/>
      <c r="AJ260" s="2"/>
      <c r="AL260" s="270"/>
      <c r="AM260" s="271"/>
    </row>
    <row r="261" spans="1:55" ht="48" hidden="1" customHeight="1" x14ac:dyDescent="0.25">
      <c r="A261" s="433" t="s">
        <v>1038</v>
      </c>
      <c r="B261" s="3102"/>
      <c r="C261" s="3102"/>
      <c r="D261" s="3102"/>
      <c r="E261" s="582" t="s">
        <v>902</v>
      </c>
      <c r="F261" s="584" t="str">
        <f>"Source Energy Use ("  &amp; PO_SourceUnits &amp; ")"</f>
        <v>Source Energy Use (Btu x 10^6)</v>
      </c>
      <c r="G261" s="582" t="s">
        <v>356</v>
      </c>
      <c r="H261" s="582" t="s">
        <v>902</v>
      </c>
      <c r="I261" s="584" t="str">
        <f>"Source Energy Use ("  &amp; PO_SourceUnits &amp; ")"</f>
        <v>Source Energy Use (Btu x 10^6)</v>
      </c>
      <c r="J261" s="582" t="s">
        <v>356</v>
      </c>
      <c r="K261" s="3100" t="s">
        <v>357</v>
      </c>
      <c r="L261" s="3185"/>
      <c r="M261" s="582" t="s">
        <v>356</v>
      </c>
      <c r="N261" s="334"/>
      <c r="O261" s="334"/>
      <c r="P261" s="334"/>
      <c r="AJ261" s="2"/>
    </row>
    <row r="262" spans="1:55" s="446" customFormat="1" ht="15" hidden="1" customHeight="1" x14ac:dyDescent="0.25">
      <c r="A262" s="433" t="s">
        <v>1038</v>
      </c>
      <c r="B262" s="468" t="s">
        <v>1396</v>
      </c>
      <c r="C262" s="460" t="s">
        <v>1424</v>
      </c>
      <c r="D262" s="468"/>
      <c r="E262" s="469" t="s">
        <v>1452</v>
      </c>
      <c r="F262" s="468" t="s">
        <v>1453</v>
      </c>
      <c r="G262" s="469" t="s">
        <v>1454</v>
      </c>
      <c r="H262" s="469" t="s">
        <v>1437</v>
      </c>
      <c r="I262" s="468" t="s">
        <v>1438</v>
      </c>
      <c r="J262" s="469" t="s">
        <v>1439</v>
      </c>
      <c r="K262" s="469" t="s">
        <v>1455</v>
      </c>
      <c r="L262" s="460"/>
      <c r="M262" s="469" t="s">
        <v>1441</v>
      </c>
      <c r="N262" s="463"/>
      <c r="O262" s="463"/>
      <c r="P262" s="463"/>
      <c r="Q262" s="415" t="s">
        <v>1407</v>
      </c>
      <c r="R262" s="415" t="s">
        <v>1408</v>
      </c>
      <c r="AJ262" s="447"/>
    </row>
    <row r="263" spans="1:55" ht="15" hidden="1" customHeight="1" x14ac:dyDescent="0.25">
      <c r="A263" s="433" t="s">
        <v>1038</v>
      </c>
      <c r="B263" s="541" t="str">
        <f>IFERROR(IF(ISBLANK(B17),"",B17),"")</f>
        <v/>
      </c>
      <c r="C263" s="3079" t="str">
        <f>IFERROR(IF(ISBLANK($B263),"",VLOOKUP($B263,PO_Enrgy_1_Table,MATCH($C$16,PO_Enrgy_1_Hdr,0),FALSE) ),"")</f>
        <v/>
      </c>
      <c r="D263" s="3080" t="str">
        <f>IF(C263="","",VLOOKUP(C263,ProjectEnergyTypeTable,3,FALSE))</f>
        <v/>
      </c>
      <c r="E263" s="547">
        <f>IFERROR(IFERROR(IFERROR(VLOOKUP($B263,PO_DESbase_Enrgy_Table,MATCH($F$250,PO_DESbase_Enrgy_Hdr,0),FALSE),0)+IFERROR(VLOOKUP($B263,PO_DESbase_Enrgy_Table,MATCH($I$250,PO_DESbase_Enrgy_Hdr,0),FALSE),0),0)+IF(OR(DESPath&lt;&gt;3,AND(B263&lt;&gt;"District Cooling",B263&lt;&gt;"District Hot Water",B263&lt;&gt;"District Steam")),VLOOKUP($B263,PO_Enrgy_9_Table,MATCH($E$240,PO_Enrgy_9_Hdr,0),FALSE),0),"")</f>
        <v>0</v>
      </c>
      <c r="F263" s="547" t="str">
        <f>IFERROR(E263*$R263,"")</f>
        <v/>
      </c>
      <c r="G263" s="529">
        <f>IFERROR(IFERROR(IFERROR(VLOOKUP($B263,PO_DESbase_Enrgy_Table,MATCH($G$250,PO_DESbase_Enrgy_Hdr,0),FALSE),0)+IFERROR(VLOOKUP($B263,PO_DESbase_Enrgy_Table,MATCH($J$250,PO_DESbase_Enrgy_Hdr,0),FALSE),0),0)+IF(OR(DESPath&lt;&gt;3,AND(B263&lt;&gt;"District Cooling",B263&lt;&gt;"District Hot Water",B263&lt;&gt;"District Steam")),VLOOKUP($B263,PO_Enrgy_9_Table,MATCH($G$240,PO_Enrgy_9_Hdr,0),FALSE),0),"")</f>
        <v>0</v>
      </c>
      <c r="H263" s="547">
        <f>IFERROR(IFERROR(IFERROR(VLOOKUP($B263,PO_DESdesign_Enrgy_Table,MATCH($F$254,PO_DESdesign_Enrgy_Hdr,0),FALSE),0)+IFERROR(VLOOKUP($B263,PO_DESdesign_Enrgy_Table,MATCH($I$254,PO_DESdesign_Enrgy_Hdr,0),FALSE),0),0)+IF(OR(DESPath&lt;&gt;3,AND(B263&lt;&gt;"District Cooling",B263&lt;&gt;"District Hot Water",B263&lt;&gt;"District Steam")),VLOOKUP($B263,PO_Enrgy_9_Table,MATCH($H$240,PO_Enrgy_9_Hdr,0),FALSE),0),"")</f>
        <v>0</v>
      </c>
      <c r="I263" s="547" t="str">
        <f>IFERROR(H263*$R263,"")</f>
        <v/>
      </c>
      <c r="J263" s="529">
        <f>IFERROR(IFERROR(IFERROR(VLOOKUP($B263,PO_DESdesign_Enrgy_Table,MATCH($G$254,PO_DESdesign_Enrgy_Hdr,0),FALSE),0)+IFERROR(VLOOKUP($B263,PO_DESdesign_Enrgy_Table,MATCH($J$254,PO_DESdesign_Enrgy_Hdr,0),FALSE),0),0)+IF(OR(DESPath&lt;&gt;3,AND(B263&lt;&gt;"District Cooling",B263&lt;&gt;"District Hot Water",B263&lt;&gt;"District Steam")),VLOOKUP($B263,PO_Enrgy_9_Table,MATCH($J$240,PO_Enrgy_9_Hdr,0),FALSE),0),"")</f>
        <v>0</v>
      </c>
      <c r="K263" s="3084" t="str">
        <f>IFERROR(1-H263/E263,"")</f>
        <v/>
      </c>
      <c r="L263" s="3085"/>
      <c r="M263" s="659" t="str">
        <f>IFERROR(1-J263/G263,"")</f>
        <v/>
      </c>
      <c r="Q263" s="416" t="str">
        <f>IFERROR(IF(ISBLANK($B263),"",VLOOKUP($B263,PO_Enrgy_1_Table,MATCH($K$16,PO_Enrgy_1_Hdr,0),FALSE)),"")</f>
        <v/>
      </c>
      <c r="R263" s="416" t="str">
        <f>IFERROR(IF(ISBLANK($B263),"",VLOOKUP($B263,PO_Enrgy_1_Table,MATCH($M$16,PO_Enrgy_1_Hdr,0),FALSE)),"")</f>
        <v/>
      </c>
      <c r="AH263" s="263"/>
      <c r="AI263" s="263"/>
      <c r="AJ263" s="253"/>
      <c r="AL263" s="270"/>
      <c r="AM263" s="271"/>
      <c r="AR263" s="254"/>
      <c r="BC263" s="804"/>
    </row>
    <row r="264" spans="1:55" ht="15" hidden="1" customHeight="1" x14ac:dyDescent="0.25">
      <c r="A264" s="433" t="s">
        <v>1038</v>
      </c>
      <c r="B264" s="541" t="str">
        <f>IFERROR(IF(ISBLANK(B18),"",B18),"")</f>
        <v/>
      </c>
      <c r="C264" s="3079" t="str">
        <f>IFERROR(IF(ISBLANK($B264),"",VLOOKUP($B264,PO_Enrgy_1_Table,MATCH($C$16,PO_Enrgy_1_Hdr,0),FALSE) ),"")</f>
        <v/>
      </c>
      <c r="D264" s="3080" t="str">
        <f>IF(C264="","",VLOOKUP(C264,ProjectEnergyTypeTable,3,FALSE))</f>
        <v/>
      </c>
      <c r="E264" s="547">
        <f>IFERROR(IFERROR(IFERROR(VLOOKUP($B264,PO_DESbase_Enrgy_Table,MATCH($F$250,PO_DESbase_Enrgy_Hdr,0),FALSE),0)+IFERROR(VLOOKUP($B264,PO_DESbase_Enrgy_Table,MATCH($I$250,PO_DESbase_Enrgy_Hdr,0),FALSE),0),0)+IF(OR(DESPath&lt;&gt;3,AND(B264&lt;&gt;"District Cooling",B264&lt;&gt;"District Hot Water",B264&lt;&gt;"District Steam")),VLOOKUP($B264,PO_Enrgy_9_Table,MATCH($E$240,PO_Enrgy_9_Hdr,0),FALSE),0),"")</f>
        <v>0</v>
      </c>
      <c r="F264" s="547" t="str">
        <f>IFERROR(E264*$R264,"")</f>
        <v/>
      </c>
      <c r="G264" s="529">
        <f>IFERROR(IFERROR(IFERROR(VLOOKUP($B264,PO_DESbase_Enrgy_Table,MATCH($G$250,PO_DESbase_Enrgy_Hdr,0),FALSE),0)+IFERROR(VLOOKUP($B264,PO_DESbase_Enrgy_Table,MATCH($J$250,PO_DESbase_Enrgy_Hdr,0),FALSE),0),0)+IF(OR(DESPath&lt;&gt;3,AND(B264&lt;&gt;"District Cooling",B264&lt;&gt;"District Hot Water",B264&lt;&gt;"District Steam")),VLOOKUP($B264,PO_Enrgy_9_Table,MATCH($G$240,PO_Enrgy_9_Hdr,0),FALSE),0),"")</f>
        <v>0</v>
      </c>
      <c r="H264" s="547">
        <f>IFERROR(IFERROR(IFERROR(VLOOKUP($B264,PO_DESdesign_Enrgy_Table,MATCH($F$254,PO_DESdesign_Enrgy_Hdr,0),FALSE),0)+IFERROR(VLOOKUP($B264,PO_DESdesign_Enrgy_Table,MATCH($I$254,PO_DESdesign_Enrgy_Hdr,0),FALSE),0),0)+IF(OR(DESPath&lt;&gt;3,AND(B264&lt;&gt;"District Cooling",B264&lt;&gt;"District Hot Water",B264&lt;&gt;"District Steam")),VLOOKUP($B264,PO_Enrgy_9_Table,MATCH($H$240,PO_Enrgy_9_Hdr,0),FALSE),0),"")</f>
        <v>0</v>
      </c>
      <c r="I264" s="547" t="str">
        <f>IFERROR(H264*$R264,"")</f>
        <v/>
      </c>
      <c r="J264" s="529">
        <f>IFERROR(IFERROR(IFERROR(VLOOKUP($B264,PO_DESdesign_Enrgy_Table,MATCH($G$254,PO_DESdesign_Enrgy_Hdr,0),FALSE),0)+IFERROR(VLOOKUP($B264,PO_DESdesign_Enrgy_Table,MATCH($J$254,PO_DESdesign_Enrgy_Hdr,0),FALSE),0),0)+IF(OR(DESPath&lt;&gt;3,AND(B264&lt;&gt;"District Cooling",B264&lt;&gt;"District Hot Water",B264&lt;&gt;"District Steam")),VLOOKUP($B264,PO_Enrgy_9_Table,MATCH($J$240,PO_Enrgy_9_Hdr,0),FALSE),0),"")</f>
        <v>0</v>
      </c>
      <c r="K264" s="3084" t="str">
        <f>IFERROR(1-H264/E264,"")</f>
        <v/>
      </c>
      <c r="L264" s="3085"/>
      <c r="M264" s="659" t="str">
        <f>IFERROR(1-J264/G264,"")</f>
        <v/>
      </c>
      <c r="Q264" s="416" t="str">
        <f>IFERROR(IF(ISBLANK($B264),"",VLOOKUP($B264,PO_Enrgy_1_Table,MATCH($K$16,PO_Enrgy_1_Hdr,0),FALSE)),"")</f>
        <v/>
      </c>
      <c r="R264" s="416" t="str">
        <f>IFERROR(IF(ISBLANK($B264),"",VLOOKUP($B264,PO_Enrgy_1_Table,MATCH($M$16,PO_Enrgy_1_Hdr,0),FALSE)),"")</f>
        <v/>
      </c>
      <c r="AH264" s="263"/>
      <c r="AI264" s="263"/>
      <c r="AJ264" s="253"/>
      <c r="AL264" s="270"/>
      <c r="AM264" s="271"/>
      <c r="AR264" s="254"/>
      <c r="BC264" s="804"/>
    </row>
    <row r="265" spans="1:55" ht="15" hidden="1" customHeight="1" x14ac:dyDescent="0.25">
      <c r="A265" s="433" t="s">
        <v>1038</v>
      </c>
      <c r="B265" s="541" t="str">
        <f>IFERROR(IF(ISBLANK(B19),"",B19),"")</f>
        <v/>
      </c>
      <c r="C265" s="3079" t="str">
        <f>IFERROR(IF(ISBLANK($B265),"",VLOOKUP($B265,PO_Enrgy_1_Table,MATCH($C$16,PO_Enrgy_1_Hdr,0),FALSE) ),"")</f>
        <v/>
      </c>
      <c r="D265" s="3080" t="str">
        <f>IF(C265="","",VLOOKUP(C265,ProjectEnergyTypeTable,3,FALSE))</f>
        <v/>
      </c>
      <c r="E265" s="547">
        <f>IFERROR(IFERROR(IFERROR(VLOOKUP($B265,PO_DESbase_Enrgy_Table,MATCH($F$250,PO_DESbase_Enrgy_Hdr,0),FALSE),0)+IFERROR(VLOOKUP($B265,PO_DESbase_Enrgy_Table,MATCH($I$250,PO_DESbase_Enrgy_Hdr,0),FALSE),0),0)+IF(OR(DESPath&lt;&gt;3,AND(B265&lt;&gt;"District Cooling",B265&lt;&gt;"District Hot Water",B265&lt;&gt;"District Steam")),VLOOKUP($B265,PO_Enrgy_9_Table,MATCH($E$240,PO_Enrgy_9_Hdr,0),FALSE),0),"")</f>
        <v>0</v>
      </c>
      <c r="F265" s="547" t="str">
        <f>IFERROR(E265*$R265,"")</f>
        <v/>
      </c>
      <c r="G265" s="529">
        <f>IFERROR(IFERROR(IFERROR(VLOOKUP($B265,PO_DESbase_Enrgy_Table,MATCH($G$250,PO_DESbase_Enrgy_Hdr,0),FALSE),0)+IFERROR(VLOOKUP($B265,PO_DESbase_Enrgy_Table,MATCH($J$250,PO_DESbase_Enrgy_Hdr,0),FALSE),0),0)+IF(OR(DESPath&lt;&gt;3,AND(B265&lt;&gt;"District Cooling",B265&lt;&gt;"District Hot Water",B265&lt;&gt;"District Steam")),VLOOKUP($B265,PO_Enrgy_9_Table,MATCH($G$240,PO_Enrgy_9_Hdr,0),FALSE),0),"")</f>
        <v>0</v>
      </c>
      <c r="H265" s="547">
        <f>IFERROR(IFERROR(IFERROR(VLOOKUP($B265,PO_DESdesign_Enrgy_Table,MATCH($F$254,PO_DESdesign_Enrgy_Hdr,0),FALSE),0)+IFERROR(VLOOKUP($B265,PO_DESdesign_Enrgy_Table,MATCH($I$254,PO_DESdesign_Enrgy_Hdr,0),FALSE),0),0)+IF(OR(DESPath&lt;&gt;3,AND(B265&lt;&gt;"District Cooling",B265&lt;&gt;"District Hot Water",B265&lt;&gt;"District Steam")),VLOOKUP($B265,PO_Enrgy_9_Table,MATCH($H$240,PO_Enrgy_9_Hdr,0),FALSE),0),"")</f>
        <v>0</v>
      </c>
      <c r="I265" s="547" t="str">
        <f>IFERROR(H265*$R265,"")</f>
        <v/>
      </c>
      <c r="J265" s="529">
        <f>IFERROR(IFERROR(IFERROR(VLOOKUP($B265,PO_DESdesign_Enrgy_Table,MATCH($G$254,PO_DESdesign_Enrgy_Hdr,0),FALSE),0)+IFERROR(VLOOKUP($B265,PO_DESdesign_Enrgy_Table,MATCH($J$254,PO_DESdesign_Enrgy_Hdr,0),FALSE),0),0)+IF(OR(DESPath&lt;&gt;3,AND(B265&lt;&gt;"District Cooling",B265&lt;&gt;"District Hot Water",B265&lt;&gt;"District Steam")),VLOOKUP($B265,PO_Enrgy_9_Table,MATCH($J$240,PO_Enrgy_9_Hdr,0),FALSE),0),"")</f>
        <v>0</v>
      </c>
      <c r="K265" s="3084" t="str">
        <f>IFERROR(1-H265/E265,"")</f>
        <v/>
      </c>
      <c r="L265" s="3085"/>
      <c r="M265" s="659" t="str">
        <f>IFERROR(1-J265/G265,"")</f>
        <v/>
      </c>
      <c r="Q265" s="416" t="str">
        <f>IFERROR(IF(ISBLANK($B265),"",VLOOKUP($B265,PO_Enrgy_1_Table,MATCH($K$16,PO_Enrgy_1_Hdr,0),FALSE)),"")</f>
        <v/>
      </c>
      <c r="R265" s="416" t="str">
        <f>IFERROR(IF(ISBLANK($B265),"",VLOOKUP($B265,PO_Enrgy_1_Table,MATCH($M$16,PO_Enrgy_1_Hdr,0),FALSE)),"")</f>
        <v/>
      </c>
      <c r="AH265" s="263"/>
      <c r="AI265" s="263"/>
      <c r="AJ265" s="253"/>
      <c r="AL265" s="270"/>
      <c r="AM265" s="271"/>
      <c r="AR265" s="254"/>
      <c r="BC265" s="804"/>
    </row>
    <row r="266" spans="1:55" s="245" customFormat="1" ht="21" hidden="1" customHeight="1" x14ac:dyDescent="0.25">
      <c r="A266" s="433" t="s">
        <v>1038</v>
      </c>
      <c r="B266" s="3135" t="str">
        <f>"Energy Model Subtotal (" &amp; PO_SiteUnits &amp; ")"</f>
        <v>Energy Model Subtotal (Btu x 10^6)</v>
      </c>
      <c r="C266" s="3135"/>
      <c r="D266" s="3135"/>
      <c r="E266" s="527">
        <f>IFERROR(SUMPRODUCT(INDEX(PO_Enrgy_10_Table,0,MATCH(E$262,PO_Enrgy_10_Hdr,0)),INDEX(PO_Enrgy_10_Table,0,MATCH($Q$262,PO_Enrgy_10_Hdr,0))),"")</f>
        <v>0</v>
      </c>
      <c r="F266" s="527">
        <f>IFERROR(SUM(INDEX(PO_Enrgy_10_Table,0,MATCH(F$262,PO_Enrgy_10_Hdr,0))),"")</f>
        <v>0</v>
      </c>
      <c r="G266" s="529">
        <f>IFERROR(SUM(INDEX(PO_Enrgy_10_Table,0,MATCH(G$262,PO_Enrgy_10_Hdr,0))),"")</f>
        <v>0</v>
      </c>
      <c r="H266" s="527">
        <f>IFERROR(SUMPRODUCT(INDEX(PO_Enrgy_10_Table,0,MATCH(H$262,PO_Enrgy_10_Hdr,0)),INDEX(PO_Enrgy_10_Table,0,MATCH($Q$262,PO_Enrgy_10_Hdr,0))),"")</f>
        <v>0</v>
      </c>
      <c r="I266" s="527">
        <f>IFERROR(SUM(INDEX(PO_Enrgy_10_Table,0,MATCH(I$262,PO_Enrgy_10_Hdr,0))),"")</f>
        <v>0</v>
      </c>
      <c r="J266" s="529">
        <f>IFERROR(SUM(INDEX(PO_Enrgy_10_Table,0,MATCH(J$262,PO_Enrgy_10_Hdr,0))),"")</f>
        <v>0</v>
      </c>
      <c r="K266" s="3090" t="str">
        <f>IFERROR(1-H266/E266,"")</f>
        <v/>
      </c>
      <c r="L266" s="3085"/>
      <c r="M266" s="578" t="str">
        <f>IFERROR(1-J266/G266,"")</f>
        <v/>
      </c>
      <c r="N266" s="235"/>
      <c r="O266" s="235"/>
      <c r="P266" s="235"/>
      <c r="AJ266" s="2"/>
      <c r="AL266" s="270"/>
      <c r="AM266" s="271"/>
      <c r="BC266" s="804"/>
    </row>
    <row r="267" spans="1:55" s="245" customFormat="1" ht="33" hidden="1" customHeight="1" x14ac:dyDescent="0.25">
      <c r="A267" s="433" t="s">
        <v>1038</v>
      </c>
      <c r="B267" s="3214"/>
      <c r="C267" s="3214"/>
      <c r="D267" s="3214"/>
      <c r="E267" s="545"/>
      <c r="F267" s="546"/>
      <c r="G267" s="545"/>
      <c r="H267" s="545"/>
      <c r="I267" s="545"/>
      <c r="J267" s="235"/>
      <c r="K267" s="232"/>
      <c r="L267" s="232"/>
      <c r="M267" s="293"/>
      <c r="N267" s="235"/>
      <c r="O267" s="235"/>
      <c r="P267" s="235"/>
      <c r="AJ267" s="2"/>
      <c r="AL267" s="270"/>
      <c r="AM267" s="271"/>
    </row>
    <row r="268" spans="1:55" ht="21.75" hidden="1" customHeight="1" x14ac:dyDescent="0.25">
      <c r="A268" s="433" t="s">
        <v>1038</v>
      </c>
      <c r="B268" s="310" t="s">
        <v>908</v>
      </c>
      <c r="AL268" s="289"/>
      <c r="AM268" s="290"/>
    </row>
    <row r="269" spans="1:55" s="245" customFormat="1" ht="76.5" hidden="1" customHeight="1" x14ac:dyDescent="0.25">
      <c r="A269" s="433" t="s">
        <v>1038</v>
      </c>
      <c r="B269" s="3201" t="str">
        <f>CONCATENATE("Startup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 Also upload simulation outputs and performance rating method calculations with and without the exceptional calculation methods for both Startup IT Loads, and the full buildout IT loads.","
",IF(DESPath=3," Note: The calculations using DES Path 3 must be performed manually for the Startup IT Load method, and supplemental documentation uploaded for the project must show these calculations.",""))</f>
        <v xml:space="preserv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Also upload simulation outputs and performance rating method calculations with and without the exceptional calculation methods for both Startup IT Loads, and the full buildout IT loads.
</v>
      </c>
      <c r="C269" s="3201"/>
      <c r="D269" s="3201"/>
      <c r="E269" s="3201"/>
      <c r="F269" s="3201"/>
      <c r="G269" s="3201"/>
      <c r="H269" s="3201"/>
      <c r="I269" s="3201"/>
      <c r="J269" s="3201"/>
      <c r="K269" s="3201"/>
      <c r="L269" s="3201"/>
      <c r="M269" s="3201"/>
      <c r="N269" s="235"/>
      <c r="O269" s="235"/>
      <c r="P269" s="235"/>
      <c r="AL269" s="270"/>
      <c r="AM269" s="271"/>
    </row>
    <row r="270" spans="1:55" ht="21.75" hidden="1" customHeight="1" x14ac:dyDescent="0.25">
      <c r="A270" s="433" t="s">
        <v>1038</v>
      </c>
      <c r="B270" s="583" t="s">
        <v>1043</v>
      </c>
      <c r="AL270" s="289"/>
      <c r="AM270" s="290"/>
    </row>
    <row r="271" spans="1:55" ht="32.25" hidden="1" customHeight="1" x14ac:dyDescent="0.25">
      <c r="A271" s="433" t="s">
        <v>1038</v>
      </c>
      <c r="B271" s="3138" t="s">
        <v>354</v>
      </c>
      <c r="C271" s="3139" t="s">
        <v>1436</v>
      </c>
      <c r="D271" s="3102"/>
      <c r="E271" s="3138" t="s">
        <v>1017</v>
      </c>
      <c r="F271" s="3138"/>
      <c r="G271" s="3138"/>
      <c r="H271" s="3140" t="s">
        <v>941</v>
      </c>
      <c r="I271" s="3138"/>
      <c r="J271" s="3138"/>
      <c r="K271" s="3140" t="s">
        <v>358</v>
      </c>
      <c r="L271" s="3140"/>
      <c r="M271" s="3140"/>
      <c r="N271" s="3190"/>
      <c r="O271" s="3190"/>
      <c r="P271" s="3190"/>
      <c r="AJ271" s="2"/>
      <c r="AL271" s="267"/>
      <c r="AM271" s="268"/>
    </row>
    <row r="272" spans="1:55" ht="48" hidden="1" customHeight="1" x14ac:dyDescent="0.25">
      <c r="A272" s="433" t="s">
        <v>1038</v>
      </c>
      <c r="B272" s="3102"/>
      <c r="C272" s="3102"/>
      <c r="D272" s="3102"/>
      <c r="E272" s="580" t="s">
        <v>902</v>
      </c>
      <c r="F272" s="579" t="str">
        <f>"Source Energy Use ("  &amp; PO_SourceUnits &amp; ")"</f>
        <v>Source Energy Use (Btu x 10^6)</v>
      </c>
      <c r="G272" s="580" t="s">
        <v>356</v>
      </c>
      <c r="H272" s="580" t="s">
        <v>902</v>
      </c>
      <c r="I272" s="579" t="str">
        <f>"Source Energy Use ("  &amp; PO_SourceUnits &amp; ")"</f>
        <v>Source Energy Use (Btu x 10^6)</v>
      </c>
      <c r="J272" s="580" t="s">
        <v>356</v>
      </c>
      <c r="K272" s="3140" t="s">
        <v>357</v>
      </c>
      <c r="L272" s="3195"/>
      <c r="M272" s="580" t="s">
        <v>356</v>
      </c>
      <c r="N272" s="334"/>
      <c r="O272" s="334"/>
      <c r="P272" s="334"/>
      <c r="AJ272" s="2"/>
    </row>
    <row r="273" spans="1:40" s="446" customFormat="1" ht="15" hidden="1" customHeight="1" x14ac:dyDescent="0.25">
      <c r="A273" s="433" t="s">
        <v>1038</v>
      </c>
      <c r="B273" s="468" t="s">
        <v>1396</v>
      </c>
      <c r="C273" s="460" t="s">
        <v>1424</v>
      </c>
      <c r="D273" s="468"/>
      <c r="E273" s="469" t="s">
        <v>1452</v>
      </c>
      <c r="F273" s="468" t="s">
        <v>1453</v>
      </c>
      <c r="G273" s="469" t="s">
        <v>1454</v>
      </c>
      <c r="H273" s="469" t="s">
        <v>1437</v>
      </c>
      <c r="I273" s="468" t="s">
        <v>1438</v>
      </c>
      <c r="J273" s="469" t="s">
        <v>1439</v>
      </c>
      <c r="K273" s="469" t="s">
        <v>1455</v>
      </c>
      <c r="L273" s="460"/>
      <c r="M273" s="469" t="s">
        <v>1441</v>
      </c>
      <c r="N273" s="463"/>
      <c r="O273" s="463"/>
      <c r="P273" s="463"/>
      <c r="Q273" s="415" t="s">
        <v>1407</v>
      </c>
      <c r="R273" s="415" t="s">
        <v>1408</v>
      </c>
      <c r="AJ273" s="447"/>
    </row>
    <row r="274" spans="1:40" ht="15" hidden="1" customHeight="1" x14ac:dyDescent="0.25">
      <c r="A274" s="433" t="s">
        <v>1038</v>
      </c>
      <c r="B274" s="541" t="str">
        <f>IFERROR(IF(ISBLANK(B17),"",B17),"")</f>
        <v/>
      </c>
      <c r="C274" s="3079" t="str">
        <f>IFERROR(IF(ISBLANK($B274),"",VLOOKUP($B274,PO_Enrgy_1_Table,MATCH($C$16,PO_Enrgy_1_Hdr,0),FALSE) ),"")</f>
        <v/>
      </c>
      <c r="D274" s="3080" t="str">
        <f>IF(C274="","",VLOOKUP(C274,ProjectEnergyTypeTable,3,FALSE))</f>
        <v/>
      </c>
      <c r="E274" s="548"/>
      <c r="F274" s="566" t="str">
        <f>IFERROR(E274*$Q274,"")</f>
        <v/>
      </c>
      <c r="G274" s="448"/>
      <c r="H274" s="548"/>
      <c r="I274" s="566" t="str">
        <f>IFERROR(H274*$Q274,"")</f>
        <v/>
      </c>
      <c r="J274" s="448"/>
      <c r="K274" s="3084" t="str">
        <f>IFERROR(1-H274/E274,"")</f>
        <v/>
      </c>
      <c r="L274" s="3085"/>
      <c r="M274" s="659" t="str">
        <f>IFERROR(1-J274/G274,"")</f>
        <v/>
      </c>
      <c r="Q274" s="416" t="str">
        <f>IFERROR(IF(ISBLANK($B274),"",VLOOKUP($B274,PO_Enrgy_1_Table,MATCH($K$16,PO_Enrgy_1_Hdr,0),FALSE)),"")</f>
        <v/>
      </c>
      <c r="R274" s="416" t="str">
        <f>IFERROR(IF(ISBLANK($B274),"",VLOOKUP($B274,PO_Enrgy_1_Table,MATCH($M$16,PO_Enrgy_1_Hdr,0),FALSE)),"")</f>
        <v/>
      </c>
      <c r="AH274" s="263"/>
      <c r="AI274" s="263"/>
      <c r="AJ274" s="2"/>
      <c r="AL274" s="267"/>
      <c r="AM274" s="268"/>
      <c r="AN274" s="269"/>
    </row>
    <row r="275" spans="1:40" ht="15" hidden="1" customHeight="1" x14ac:dyDescent="0.25">
      <c r="A275" s="433" t="s">
        <v>1038</v>
      </c>
      <c r="B275" s="541" t="str">
        <f>IFERROR(IF(ISBLANK(B18),"",B18),"")</f>
        <v/>
      </c>
      <c r="C275" s="3079" t="str">
        <f>IFERROR(IF(ISBLANK($B275),"",VLOOKUP($B275,PO_Enrgy_1_Table,MATCH($C$16,PO_Enrgy_1_Hdr,0),FALSE) ),"")</f>
        <v/>
      </c>
      <c r="D275" s="3080" t="str">
        <f>IF(C275="","",VLOOKUP(C275,ProjectEnergyTypeTable,3,FALSE))</f>
        <v/>
      </c>
      <c r="E275" s="548"/>
      <c r="F275" s="566" t="str">
        <f>IFERROR(E275*$Q275,"")</f>
        <v/>
      </c>
      <c r="G275" s="448"/>
      <c r="H275" s="548"/>
      <c r="I275" s="566" t="str">
        <f>IFERROR(H275*$Q275,"")</f>
        <v/>
      </c>
      <c r="J275" s="448"/>
      <c r="K275" s="3084" t="str">
        <f>IFERROR(1-H275/E275,"")</f>
        <v/>
      </c>
      <c r="L275" s="3085"/>
      <c r="M275" s="659" t="str">
        <f>IFERROR(1-J275/G275,"")</f>
        <v/>
      </c>
      <c r="Q275" s="416" t="str">
        <f>IFERROR(IF(ISBLANK($B275),"",VLOOKUP($B275,PO_Enrgy_1_Table,MATCH($K$16,PO_Enrgy_1_Hdr,0),FALSE)),"")</f>
        <v/>
      </c>
      <c r="R275" s="416" t="str">
        <f>IFERROR(IF(ISBLANK($B275),"",VLOOKUP($B275,PO_Enrgy_1_Table,MATCH($M$16,PO_Enrgy_1_Hdr,0),FALSE)),"")</f>
        <v/>
      </c>
      <c r="AH275" s="263"/>
      <c r="AI275" s="263"/>
      <c r="AJ275" s="2"/>
      <c r="AL275" s="267"/>
      <c r="AM275" s="268"/>
      <c r="AN275" s="269"/>
    </row>
    <row r="276" spans="1:40" ht="15" hidden="1" customHeight="1" x14ac:dyDescent="0.25">
      <c r="A276" s="433" t="s">
        <v>1038</v>
      </c>
      <c r="B276" s="541" t="str">
        <f>IFERROR(IF(ISBLANK(B19),"",B19),"")</f>
        <v/>
      </c>
      <c r="C276" s="3079" t="str">
        <f>IFERROR(IF(ISBLANK($B276),"",VLOOKUP($B276,PO_Enrgy_1_Table,MATCH($C$16,PO_Enrgy_1_Hdr,0),FALSE) ),"")</f>
        <v/>
      </c>
      <c r="D276" s="3080" t="str">
        <f>IF(C276="","",VLOOKUP(C276,ProjectEnergyTypeTable,3,FALSE))</f>
        <v/>
      </c>
      <c r="E276" s="548"/>
      <c r="F276" s="566" t="str">
        <f>IFERROR(E276*$Q276,"")</f>
        <v/>
      </c>
      <c r="G276" s="448"/>
      <c r="H276" s="548"/>
      <c r="I276" s="566" t="str">
        <f>IFERROR(H276*$Q276,"")</f>
        <v/>
      </c>
      <c r="J276" s="448"/>
      <c r="K276" s="3084" t="str">
        <f>IFERROR(1-H276/E276,"")</f>
        <v/>
      </c>
      <c r="L276" s="3085"/>
      <c r="M276" s="659" t="str">
        <f>IFERROR(1-J276/G276,"")</f>
        <v/>
      </c>
      <c r="Q276" s="416" t="str">
        <f>IFERROR(IF(ISBLANK($B276),"",VLOOKUP($B276,PO_Enrgy_1_Table,MATCH($K$16,PO_Enrgy_1_Hdr,0),FALSE)),"")</f>
        <v/>
      </c>
      <c r="R276" s="416" t="str">
        <f>IFERROR(IF(ISBLANK($B276),"",VLOOKUP($B276,PO_Enrgy_1_Table,MATCH($M$16,PO_Enrgy_1_Hdr,0),FALSE)),"")</f>
        <v/>
      </c>
      <c r="AH276" s="263"/>
      <c r="AI276" s="263"/>
      <c r="AJ276" s="2"/>
      <c r="AL276" s="267"/>
      <c r="AM276" s="268"/>
      <c r="AN276" s="269"/>
    </row>
    <row r="277" spans="1:40" s="245" customFormat="1" ht="21" hidden="1" customHeight="1" x14ac:dyDescent="0.25">
      <c r="A277" s="433" t="s">
        <v>1038</v>
      </c>
      <c r="B277" s="3135" t="str">
        <f>"Energy model subtotal (" &amp; PO_SiteUnits &amp; ")"</f>
        <v>Energy model subtotal (Btu x 10^6)</v>
      </c>
      <c r="C277" s="3135"/>
      <c r="D277" s="3135"/>
      <c r="E277" s="547">
        <f>IFERROR(SUMPRODUCT(INDEX(PO_Enrgy_11_Table,0,MATCH(E$273,PO_Enrgy_11_Hdr,0)),INDEX(PO_Enrgy_11_Table,0,MATCH($Q$273,PO_Enrgy_11_Hdr,0))),"")</f>
        <v>0</v>
      </c>
      <c r="F277" s="537">
        <f>IFERROR(SUM(INDEX(PO_Enrgy_11_Table,0,MATCH(F$273,PO_Enrgy_11_Hdr,0))),"")</f>
        <v>0</v>
      </c>
      <c r="G277" s="529">
        <f>IFERROR(SUM(INDEX(PO_Enrgy_11_Table,0,MATCH(G$273,PO_Enrgy_11_Hdr,0))),"")</f>
        <v>0</v>
      </c>
      <c r="H277" s="547">
        <f>IFERROR(SUMPRODUCT(INDEX(PO_Enrgy_11_Table,0,MATCH(H$273,PO_Enrgy_11_Hdr,0)),INDEX(PO_Enrgy_11_Table,0,MATCH($Q$273,PO_Enrgy_11_Hdr,0))),"")</f>
        <v>0</v>
      </c>
      <c r="I277" s="537">
        <f>IFERROR(SUM(INDEX(PO_Enrgy_11_Table,0,MATCH(I$273,PO_Enrgy_11_Hdr,0))),"")</f>
        <v>0</v>
      </c>
      <c r="J277" s="529">
        <f>IFERROR(SUM(INDEX(PO_Enrgy_11_Table,0,MATCH(J$273,PO_Enrgy_11_Hdr,0))),"")</f>
        <v>0</v>
      </c>
      <c r="K277" s="3090" t="str">
        <f>IFERROR(1-H277/E277,"")</f>
        <v/>
      </c>
      <c r="L277" s="3085"/>
      <c r="M277" s="578" t="str">
        <f>IFERROR(1-J277/G277,"")</f>
        <v/>
      </c>
      <c r="N277" s="235"/>
      <c r="O277" s="235"/>
      <c r="P277" s="235"/>
      <c r="AJ277" s="2"/>
      <c r="AL277" s="267"/>
      <c r="AM277" s="268"/>
    </row>
    <row r="278" spans="1:40" s="245" customFormat="1" ht="21.75" hidden="1" customHeight="1" x14ac:dyDescent="0.25">
      <c r="A278" s="433" t="s">
        <v>1038</v>
      </c>
      <c r="B278" s="3203"/>
      <c r="C278" s="3204"/>
      <c r="D278" s="3204"/>
      <c r="E278" s="3204"/>
      <c r="F278" s="3204"/>
      <c r="G278" s="3204"/>
      <c r="H278" s="3204"/>
      <c r="I278" s="3204"/>
      <c r="J278" s="3204"/>
      <c r="K278" s="3204"/>
      <c r="L278" s="3204"/>
      <c r="M278" s="332"/>
      <c r="N278" s="235"/>
      <c r="O278" s="235"/>
      <c r="P278" s="235"/>
      <c r="AL278" s="270"/>
      <c r="AM278" s="271"/>
    </row>
    <row r="279" spans="1:40" ht="19.5" hidden="1" customHeight="1" x14ac:dyDescent="0.25">
      <c r="A279" s="433" t="s">
        <v>1038</v>
      </c>
      <c r="B279" s="583" t="s">
        <v>1044</v>
      </c>
      <c r="AL279" s="289"/>
      <c r="AM279" s="290"/>
    </row>
    <row r="280" spans="1:40" ht="32.25" hidden="1" customHeight="1" x14ac:dyDescent="0.25">
      <c r="A280" s="433" t="s">
        <v>1038</v>
      </c>
      <c r="B280" s="3138" t="s">
        <v>354</v>
      </c>
      <c r="C280" s="3139" t="s">
        <v>1436</v>
      </c>
      <c r="D280" s="3102"/>
      <c r="E280" s="3101" t="s">
        <v>1017</v>
      </c>
      <c r="F280" s="3101"/>
      <c r="G280" s="3101"/>
      <c r="H280" s="3100" t="s">
        <v>941</v>
      </c>
      <c r="I280" s="3101"/>
      <c r="J280" s="3101"/>
      <c r="K280" s="3100" t="s">
        <v>358</v>
      </c>
      <c r="L280" s="3100"/>
      <c r="M280" s="3100"/>
      <c r="N280" s="3190"/>
      <c r="O280" s="3190"/>
      <c r="P280" s="3190"/>
      <c r="AJ280" s="2"/>
      <c r="AL280" s="267"/>
      <c r="AM280" s="268"/>
    </row>
    <row r="281" spans="1:40" ht="48" hidden="1" customHeight="1" x14ac:dyDescent="0.25">
      <c r="A281" s="433" t="s">
        <v>1038</v>
      </c>
      <c r="B281" s="3102"/>
      <c r="C281" s="3102"/>
      <c r="D281" s="3102"/>
      <c r="E281" s="582" t="s">
        <v>902</v>
      </c>
      <c r="F281" s="584" t="str">
        <f>"Source Energy Use ("  &amp; PO_SourceUnits &amp; ")"</f>
        <v>Source Energy Use (Btu x 10^6)</v>
      </c>
      <c r="G281" s="582" t="s">
        <v>356</v>
      </c>
      <c r="H281" s="582" t="s">
        <v>902</v>
      </c>
      <c r="I281" s="584" t="str">
        <f>"Source Energy Use ("  &amp; PO_SourceUnits &amp; ")"</f>
        <v>Source Energy Use (Btu x 10^6)</v>
      </c>
      <c r="J281" s="582" t="s">
        <v>356</v>
      </c>
      <c r="K281" s="3100" t="s">
        <v>357</v>
      </c>
      <c r="L281" s="3185"/>
      <c r="M281" s="582" t="s">
        <v>356</v>
      </c>
      <c r="N281" s="334"/>
      <c r="O281" s="334"/>
      <c r="P281" s="334"/>
      <c r="AJ281" s="2"/>
    </row>
    <row r="282" spans="1:40" s="446" customFormat="1" ht="15" hidden="1" customHeight="1" x14ac:dyDescent="0.25">
      <c r="A282" s="433" t="s">
        <v>1038</v>
      </c>
      <c r="B282" s="468" t="s">
        <v>1396</v>
      </c>
      <c r="C282" s="460" t="s">
        <v>1424</v>
      </c>
      <c r="D282" s="468"/>
      <c r="E282" s="469" t="s">
        <v>1452</v>
      </c>
      <c r="F282" s="468" t="s">
        <v>1453</v>
      </c>
      <c r="G282" s="469" t="s">
        <v>1454</v>
      </c>
      <c r="H282" s="469" t="s">
        <v>1437</v>
      </c>
      <c r="I282" s="468" t="s">
        <v>1438</v>
      </c>
      <c r="J282" s="469" t="s">
        <v>1439</v>
      </c>
      <c r="K282" s="469" t="s">
        <v>1455</v>
      </c>
      <c r="L282" s="460"/>
      <c r="M282" s="469" t="s">
        <v>1441</v>
      </c>
      <c r="N282" s="463"/>
      <c r="O282" s="463"/>
      <c r="P282" s="463"/>
      <c r="Q282" s="415" t="s">
        <v>1407</v>
      </c>
      <c r="R282" s="415" t="s">
        <v>1408</v>
      </c>
      <c r="AJ282" s="447"/>
    </row>
    <row r="283" spans="1:40" ht="15" hidden="1" customHeight="1" x14ac:dyDescent="0.25">
      <c r="A283" s="433" t="s">
        <v>1038</v>
      </c>
      <c r="B283" s="541" t="str">
        <f>IFERROR(IF(ISBLANK(B17),"",B17),"")</f>
        <v/>
      </c>
      <c r="C283" s="3079" t="str">
        <f>IFERROR(IF(ISBLANK($B283),"",VLOOKUP($B283,PO_Enrgy_1_Table,MATCH($C$16,PO_Enrgy_1_Hdr,0),FALSE) ),"")</f>
        <v/>
      </c>
      <c r="D283" s="3080" t="str">
        <f>IF(C283="","",VLOOKUP(C283,ProjectEnergyTypeTable,3,FALSE))</f>
        <v/>
      </c>
      <c r="E283" s="555">
        <f>IFERROR(VLOOKUP($B283,PO_Enrgy_10_Table,MATCH($E$262,PO_Enrgy_10_Hdr,0),FALSE),"")</f>
        <v>0</v>
      </c>
      <c r="F283" s="555" t="str">
        <f>IFERROR(E283*$R283,"")</f>
        <v/>
      </c>
      <c r="G283" s="529">
        <f>IFERROR(VLOOKUP($B283,PO_Enrgy_10_Table,MATCH($G$262,PO_Enrgy_10_Hdr,0),FALSE),"")</f>
        <v>0</v>
      </c>
      <c r="H283" s="555">
        <f>IFERROR(VLOOKUP($B283,PO_Enrgy_10_Table,MATCH($H$262,PO_Enrgy_10_Hdr,0),FALSE),"")</f>
        <v>0</v>
      </c>
      <c r="I283" s="555" t="str">
        <f>IFERROR(H283*$R283,"")</f>
        <v/>
      </c>
      <c r="J283" s="529">
        <f>IFERROR(VLOOKUP($B283,PO_Enrgy_10_Table,MATCH($J$262,PO_Enrgy_10_Hdr,0),FALSE),"")</f>
        <v>0</v>
      </c>
      <c r="K283" s="3084" t="str">
        <f>IFERROR(1-H283/E283,"")</f>
        <v/>
      </c>
      <c r="L283" s="3085"/>
      <c r="M283" s="659" t="str">
        <f>IFERROR(1-J283/G283,"")</f>
        <v/>
      </c>
      <c r="Q283" s="416" t="str">
        <f>IFERROR(IF(ISBLANK($B283),"",VLOOKUP($B283,PO_Enrgy_1_Table,MATCH($K$16,PO_Enrgy_1_Hdr,0),FALSE)),"")</f>
        <v/>
      </c>
      <c r="R283" s="416" t="str">
        <f>IFERROR(IF(ISBLANK($B283),"",VLOOKUP($B283,PO_Enrgy_1_Table,MATCH($M$16,PO_Enrgy_1_Hdr,0),FALSE)),"")</f>
        <v/>
      </c>
      <c r="AH283" s="263"/>
      <c r="AI283" s="263"/>
      <c r="AJ283" s="2"/>
      <c r="AL283" s="267"/>
      <c r="AM283" s="268"/>
      <c r="AN283" s="269"/>
    </row>
    <row r="284" spans="1:40" ht="15" hidden="1" customHeight="1" x14ac:dyDescent="0.25">
      <c r="A284" s="433" t="s">
        <v>1038</v>
      </c>
      <c r="B284" s="541" t="str">
        <f>IFERROR(IF(ISBLANK(B18),"",B18),"")</f>
        <v/>
      </c>
      <c r="C284" s="3079" t="str">
        <f>IFERROR(IF(ISBLANK($B284),"",VLOOKUP($B284,PO_Enrgy_1_Table,MATCH($C$16,PO_Enrgy_1_Hdr,0),FALSE) ),"")</f>
        <v/>
      </c>
      <c r="D284" s="3080" t="str">
        <f>IF(C284="","",VLOOKUP(C284,ProjectEnergyTypeTable,3,FALSE))</f>
        <v/>
      </c>
      <c r="E284" s="555">
        <f>IFERROR(VLOOKUP($B284,PO_Enrgy_10_Table,MATCH($E$262,PO_Enrgy_10_Hdr,0),FALSE),"")</f>
        <v>0</v>
      </c>
      <c r="F284" s="555" t="str">
        <f>IFERROR(E284*$R284,"")</f>
        <v/>
      </c>
      <c r="G284" s="529">
        <f>IFERROR(VLOOKUP($B284,PO_Enrgy_10_Table,MATCH($G$262,PO_Enrgy_10_Hdr,0),FALSE),"")</f>
        <v>0</v>
      </c>
      <c r="H284" s="555">
        <f>IFERROR(VLOOKUP($B284,PO_Enrgy_10_Table,MATCH($H$262,PO_Enrgy_10_Hdr,0),FALSE),"")</f>
        <v>0</v>
      </c>
      <c r="I284" s="555" t="str">
        <f>IFERROR(H284*$R284,"")</f>
        <v/>
      </c>
      <c r="J284" s="529">
        <f>IFERROR(VLOOKUP($B284,PO_Enrgy_10_Table,MATCH($J$262,PO_Enrgy_10_Hdr,0),FALSE),"")</f>
        <v>0</v>
      </c>
      <c r="K284" s="3084" t="str">
        <f>IFERROR(1-H284/E284,"")</f>
        <v/>
      </c>
      <c r="L284" s="3085"/>
      <c r="M284" s="659" t="str">
        <f>IFERROR(1-J284/G284,"")</f>
        <v/>
      </c>
      <c r="Q284" s="416" t="str">
        <f>IFERROR(IF(ISBLANK($B284),"",VLOOKUP($B284,PO_Enrgy_1_Table,MATCH($K$16,PO_Enrgy_1_Hdr,0),FALSE)),"")</f>
        <v/>
      </c>
      <c r="R284" s="416" t="str">
        <f>IFERROR(IF(ISBLANK($B284),"",VLOOKUP($B284,PO_Enrgy_1_Table,MATCH($M$16,PO_Enrgy_1_Hdr,0),FALSE)),"")</f>
        <v/>
      </c>
      <c r="AH284" s="263"/>
      <c r="AI284" s="263"/>
      <c r="AJ284" s="2"/>
      <c r="AL284" s="267"/>
      <c r="AM284" s="268"/>
      <c r="AN284" s="269"/>
    </row>
    <row r="285" spans="1:40" ht="15" hidden="1" customHeight="1" x14ac:dyDescent="0.25">
      <c r="A285" s="433" t="s">
        <v>1038</v>
      </c>
      <c r="B285" s="541" t="str">
        <f>IFERROR(IF(ISBLANK(B19),"",B19),"")</f>
        <v/>
      </c>
      <c r="C285" s="3079" t="str">
        <f>IFERROR(IF(ISBLANK($B285),"",VLOOKUP($B285,PO_Enrgy_1_Table,MATCH($C$16,PO_Enrgy_1_Hdr,0),FALSE) ),"")</f>
        <v/>
      </c>
      <c r="D285" s="3080" t="str">
        <f>IF(C285="","",VLOOKUP(C285,ProjectEnergyTypeTable,3,FALSE))</f>
        <v/>
      </c>
      <c r="E285" s="555">
        <f>IFERROR(VLOOKUP($B285,PO_Enrgy_10_Table,MATCH($E$262,PO_Enrgy_10_Hdr,0),FALSE),"")</f>
        <v>0</v>
      </c>
      <c r="F285" s="555" t="str">
        <f>IFERROR(E285*$R285,"")</f>
        <v/>
      </c>
      <c r="G285" s="529">
        <f>IFERROR(VLOOKUP($B285,PO_Enrgy_10_Table,MATCH($G$262,PO_Enrgy_10_Hdr,0),FALSE),"")</f>
        <v>0</v>
      </c>
      <c r="H285" s="555">
        <f>IFERROR(VLOOKUP($B285,PO_Enrgy_10_Table,MATCH($H$262,PO_Enrgy_10_Hdr,0),FALSE),"")</f>
        <v>0</v>
      </c>
      <c r="I285" s="555" t="str">
        <f>IFERROR(H285*$R285,"")</f>
        <v/>
      </c>
      <c r="J285" s="529">
        <f>IFERROR(VLOOKUP($B285,PO_Enrgy_10_Table,MATCH($J$262,PO_Enrgy_10_Hdr,0),FALSE),"")</f>
        <v>0</v>
      </c>
      <c r="K285" s="3084" t="str">
        <f>IFERROR(1-H285/E285,"")</f>
        <v/>
      </c>
      <c r="L285" s="3085"/>
      <c r="M285" s="659" t="str">
        <f>IFERROR(1-J285/G285,"")</f>
        <v/>
      </c>
      <c r="Q285" s="416" t="str">
        <f>IFERROR(IF(ISBLANK($B285),"",VLOOKUP($B285,PO_Enrgy_1_Table,MATCH($K$16,PO_Enrgy_1_Hdr,0),FALSE)),"")</f>
        <v/>
      </c>
      <c r="R285" s="416" t="str">
        <f>IFERROR(IF(ISBLANK($B285),"",VLOOKUP($B285,PO_Enrgy_1_Table,MATCH($M$16,PO_Enrgy_1_Hdr,0),FALSE)),"")</f>
        <v/>
      </c>
      <c r="AH285" s="263"/>
      <c r="AI285" s="263"/>
      <c r="AJ285" s="2"/>
      <c r="AL285" s="267"/>
      <c r="AM285" s="268"/>
      <c r="AN285" s="269"/>
    </row>
    <row r="286" spans="1:40" s="245" customFormat="1" ht="21" hidden="1" customHeight="1" x14ac:dyDescent="0.25">
      <c r="A286" s="433" t="s">
        <v>1038</v>
      </c>
      <c r="B286" s="3135" t="str">
        <f>"Energy model subtotal (" &amp; PO_SiteUnits &amp; ")"</f>
        <v>Energy model subtotal (Btu x 10^6)</v>
      </c>
      <c r="C286" s="3135"/>
      <c r="D286" s="3135"/>
      <c r="E286" s="527">
        <f>IFERROR(SUMPRODUCT(INDEX(PO_Enrgy_12_Table,0,MATCH(E$282,PO_Enrgy_12_Hdr,0)),INDEX(PO_Enrgy_12_Table,0,MATCH($Q$282,PO_Enrgy_12_Hdr,0))),"")</f>
        <v>0</v>
      </c>
      <c r="F286" s="527">
        <f>IFERROR(SUM(INDEX(PO_Enrgy_12_Table,0,MATCH(F$282,PO_Enrgy_12_Hdr,0))),"")</f>
        <v>0</v>
      </c>
      <c r="G286" s="529">
        <f>IFERROR(SUM(INDEX(PO_Enrgy_12_Table,0,MATCH(G$282,PO_Enrgy_12_Hdr,0))),"")</f>
        <v>0</v>
      </c>
      <c r="H286" s="527">
        <f>IFERROR(SUMPRODUCT(INDEX(PO_Enrgy_12_Table,0,MATCH(H$282,PO_Enrgy_12_Hdr,0)),INDEX(PO_Enrgy_12_Table,0,MATCH($Q$282,PO_Enrgy_12_Hdr,0))),"")</f>
        <v>0</v>
      </c>
      <c r="I286" s="527">
        <f>IFERROR(SUM(INDEX(PO_Enrgy_12_Table,0,MATCH(I$282,PO_Enrgy_12_Hdr,0))),"")</f>
        <v>0</v>
      </c>
      <c r="J286" s="529">
        <f>IFERROR(SUM(INDEX(PO_Enrgy_12_Table,0,MATCH(J$282,PO_Enrgy_12_Hdr,0))),"")</f>
        <v>0</v>
      </c>
      <c r="K286" s="3090" t="str">
        <f>IFERROR(1-H286/E286,"")</f>
        <v/>
      </c>
      <c r="L286" s="3085"/>
      <c r="M286" s="578" t="str">
        <f>IFERROR(1-J286/G286,"")</f>
        <v/>
      </c>
      <c r="N286" s="235"/>
      <c r="O286" s="235"/>
      <c r="P286" s="235"/>
      <c r="AJ286" s="2"/>
      <c r="AL286" s="267"/>
      <c r="AM286" s="268"/>
    </row>
    <row r="287" spans="1:40" s="245" customFormat="1" ht="21.75" hidden="1" customHeight="1" x14ac:dyDescent="0.25">
      <c r="A287" s="433" t="s">
        <v>1038</v>
      </c>
      <c r="B287" s="3203"/>
      <c r="C287" s="3204"/>
      <c r="D287" s="3204"/>
      <c r="E287" s="3204"/>
      <c r="F287" s="3204"/>
      <c r="G287" s="3204"/>
      <c r="H287" s="3204"/>
      <c r="I287" s="3204"/>
      <c r="J287" s="3204"/>
      <c r="K287" s="3204"/>
      <c r="L287" s="3204"/>
      <c r="M287" s="332"/>
      <c r="N287" s="235"/>
      <c r="O287" s="235"/>
      <c r="P287" s="235"/>
      <c r="AL287" s="270"/>
      <c r="AM287" s="271"/>
    </row>
    <row r="288" spans="1:40" ht="21.75" hidden="1" customHeight="1" x14ac:dyDescent="0.25">
      <c r="A288" s="433" t="s">
        <v>1038</v>
      </c>
      <c r="B288" s="583" t="s">
        <v>1045</v>
      </c>
      <c r="AL288" s="289"/>
      <c r="AM288" s="290"/>
    </row>
    <row r="289" spans="1:55" ht="32.25" hidden="1" customHeight="1" x14ac:dyDescent="0.25">
      <c r="A289" s="433" t="s">
        <v>1038</v>
      </c>
      <c r="B289" s="3138" t="s">
        <v>354</v>
      </c>
      <c r="C289" s="3139" t="s">
        <v>1436</v>
      </c>
      <c r="D289" s="3102"/>
      <c r="E289" s="3207" t="s">
        <v>1046</v>
      </c>
      <c r="F289" s="3207"/>
      <c r="G289" s="3207"/>
      <c r="H289" s="3208" t="s">
        <v>364</v>
      </c>
      <c r="I289" s="3207"/>
      <c r="J289" s="3207"/>
      <c r="K289" s="3208" t="s">
        <v>358</v>
      </c>
      <c r="L289" s="3208"/>
      <c r="M289" s="3209"/>
      <c r="N289" s="3190"/>
      <c r="O289" s="3190"/>
      <c r="P289" s="3190"/>
      <c r="AJ289" s="2"/>
      <c r="AL289" s="267"/>
      <c r="AM289" s="268"/>
    </row>
    <row r="290" spans="1:55" ht="48" hidden="1" customHeight="1" x14ac:dyDescent="0.25">
      <c r="A290" s="433" t="s">
        <v>1038</v>
      </c>
      <c r="B290" s="3102"/>
      <c r="C290" s="3102"/>
      <c r="D290" s="3102"/>
      <c r="E290" s="582" t="s">
        <v>902</v>
      </c>
      <c r="F290" s="584" t="str">
        <f>"Source Energy Use ("  &amp; PO_SourceUnits &amp; ")"</f>
        <v>Source Energy Use (Btu x 10^6)</v>
      </c>
      <c r="G290" s="582" t="s">
        <v>356</v>
      </c>
      <c r="H290" s="582" t="s">
        <v>902</v>
      </c>
      <c r="I290" s="584" t="str">
        <f>"Source Energy Use ("  &amp; PO_SourceUnits &amp; ")"</f>
        <v>Source Energy Use (Btu x 10^6)</v>
      </c>
      <c r="J290" s="582" t="s">
        <v>356</v>
      </c>
      <c r="K290" s="3100" t="s">
        <v>357</v>
      </c>
      <c r="L290" s="3185"/>
      <c r="M290" s="549" t="s">
        <v>356</v>
      </c>
      <c r="N290" s="334"/>
      <c r="O290" s="334"/>
      <c r="P290" s="334"/>
      <c r="AJ290" s="2"/>
    </row>
    <row r="291" spans="1:55" s="446" customFormat="1" ht="15" hidden="1" customHeight="1" x14ac:dyDescent="0.25">
      <c r="A291" s="433" t="s">
        <v>1038</v>
      </c>
      <c r="B291" s="467" t="s">
        <v>1396</v>
      </c>
      <c r="C291" s="460" t="s">
        <v>1424</v>
      </c>
      <c r="D291" s="468"/>
      <c r="E291" s="469" t="s">
        <v>1452</v>
      </c>
      <c r="F291" s="468" t="s">
        <v>1453</v>
      </c>
      <c r="G291" s="469" t="s">
        <v>1454</v>
      </c>
      <c r="H291" s="469" t="s">
        <v>1437</v>
      </c>
      <c r="I291" s="468" t="s">
        <v>1438</v>
      </c>
      <c r="J291" s="469" t="s">
        <v>1439</v>
      </c>
      <c r="K291" s="469" t="s">
        <v>1455</v>
      </c>
      <c r="L291" s="460"/>
      <c r="M291" s="470" t="s">
        <v>1441</v>
      </c>
      <c r="N291" s="463"/>
      <c r="O291" s="463"/>
      <c r="P291" s="463"/>
      <c r="Q291" s="415" t="s">
        <v>1407</v>
      </c>
      <c r="R291" s="415" t="s">
        <v>1408</v>
      </c>
      <c r="AJ291" s="447"/>
    </row>
    <row r="292" spans="1:55" ht="15" hidden="1" customHeight="1" x14ac:dyDescent="0.25">
      <c r="A292" s="433" t="s">
        <v>1038</v>
      </c>
      <c r="B292" s="567" t="str">
        <f>IFERROR(IF(ISBLANK(B17),"",B17),"")</f>
        <v/>
      </c>
      <c r="C292" s="3079" t="str">
        <f>IFERROR(IF(ISBLANK($B292),"",VLOOKUP($B292,PO_Enrgy_1_Table,MATCH($C$16,PO_Enrgy_1_Hdr,0),FALSE) ),"")</f>
        <v/>
      </c>
      <c r="D292" s="3080" t="str">
        <f>IF(C292="","",VLOOKUP(C292,ProjectEnergyTypeTable,3,FALSE))</f>
        <v/>
      </c>
      <c r="E292" s="568">
        <f>IFERROR(IF(Datacenter_Avg=TRUE,AVERAGE(VLOOKUP($B292,PO_Enrgy_11_Table,MATCH($E$273,PO_Enrgy_11_Hdr,0),FALSE),VLOOKUP($B292,PO_Enrgy_12_Table,MATCH($E$282,PO_Enrgy_12_Hdr,0),FALSE)),VLOOKUP($B292,PO_Enrgy_12_Table,MATCH($E$282,PO_Enrgy_12_Hdr,0),FALSE)),"")</f>
        <v>0</v>
      </c>
      <c r="F292" s="568" t="str">
        <f>IFERROR(E292*$R292,"")</f>
        <v/>
      </c>
      <c r="G292" s="529">
        <f>IFERROR(IF(Datacenter_Avg=TRUE,AVERAGE(VLOOKUP($B292,PO_Enrgy_11_Table,MATCH($G$273,PO_Enrgy_11_Hdr,0),FALSE),VLOOKUP($B292,PO_Enrgy_12_Table,MATCH($G$282,PO_Enrgy_12_Hdr,0),FALSE)),VLOOKUP($B292,PO_Enrgy_12_Table,MATCH($G$282,PO_Enrgy_12_Hdr,0),FALSE)),"")</f>
        <v>0</v>
      </c>
      <c r="H292" s="568">
        <f>IFERROR(IF(Datacenter_Avg=TRUE,AVERAGE(VLOOKUP($B292,PO_Enrgy_11_Table,MATCH($H$273,PO_Enrgy_11_Hdr,0),FALSE),VLOOKUP($B292,PO_Enrgy_12_Table,MATCH($H$282,PO_Enrgy_12_Hdr,0),FALSE)),VLOOKUP($B292,PO_Enrgy_12_Table,MATCH($H$282,PO_Enrgy_12_Hdr,0),FALSE)),"")</f>
        <v>0</v>
      </c>
      <c r="I292" s="568" t="str">
        <f>IFERROR(H292*$R292,"")</f>
        <v/>
      </c>
      <c r="J292" s="529">
        <f>IFERROR(IF(Datacenter_Avg=TRUE,AVERAGE(VLOOKUP($B292,PO_Enrgy_11_Table,MATCH($J$273,PO_Enrgy_11_Hdr,0),FALSE),VLOOKUP($B292,PO_Enrgy_12_Table,MATCH($J$282,PO_Enrgy_12_Hdr,0),FALSE)),VLOOKUP($B292,PO_Enrgy_12_Table,MATCH($J$282,PO_Enrgy_12_Hdr,0),FALSE)),"")</f>
        <v>0</v>
      </c>
      <c r="K292" s="3084" t="str">
        <f>IFERROR(1-H292/E292,"")</f>
        <v/>
      </c>
      <c r="L292" s="3085"/>
      <c r="M292" s="569" t="str">
        <f>IFERROR(1-J292/G292,"")</f>
        <v/>
      </c>
      <c r="Q292" s="416" t="str">
        <f>IFERROR(IF(ISBLANK($B292),"",VLOOKUP($B292,PO_Enrgy_1_Table,MATCH($K$16,PO_Enrgy_1_Hdr,0),FALSE)),"")</f>
        <v/>
      </c>
      <c r="R292" s="416" t="str">
        <f>IFERROR(IF(ISBLANK($B292),"",VLOOKUP($B292,PO_Enrgy_1_Table,MATCH($M$16,PO_Enrgy_1_Hdr,0),FALSE)),"")</f>
        <v/>
      </c>
      <c r="AH292" s="263"/>
      <c r="AI292" s="263"/>
      <c r="AJ292" s="2"/>
      <c r="AL292" s="267"/>
      <c r="AM292" s="268"/>
      <c r="AN292" s="269"/>
    </row>
    <row r="293" spans="1:55" ht="15" hidden="1" customHeight="1" x14ac:dyDescent="0.25">
      <c r="A293" s="433" t="s">
        <v>1038</v>
      </c>
      <c r="B293" s="567" t="str">
        <f>IFERROR(IF(ISBLANK(B18),"",B18),"")</f>
        <v/>
      </c>
      <c r="C293" s="3079" t="str">
        <f>IFERROR(IF(ISBLANK($B293),"",VLOOKUP($B293,PO_Enrgy_1_Table,MATCH($C$16,PO_Enrgy_1_Hdr,0),FALSE) ),"")</f>
        <v/>
      </c>
      <c r="D293" s="3080" t="str">
        <f>IF(C293="","",VLOOKUP(C293,ProjectEnergyTypeTable,3,FALSE))</f>
        <v/>
      </c>
      <c r="E293" s="568">
        <f>IFERROR(IF(Datacenter_Avg=TRUE,AVERAGE(VLOOKUP($B293,PO_Enrgy_11_Table,MATCH($E$273,PO_Enrgy_11_Hdr,0),FALSE),VLOOKUP($B293,PO_Enrgy_12_Table,MATCH($E$282,PO_Enrgy_12_Hdr,0),FALSE)),VLOOKUP($B293,PO_Enrgy_12_Table,MATCH($E$282,PO_Enrgy_12_Hdr,0),FALSE)),"")</f>
        <v>0</v>
      </c>
      <c r="F293" s="568" t="str">
        <f>IFERROR(E293*$R293,"")</f>
        <v/>
      </c>
      <c r="G293" s="529">
        <f>IFERROR(IF(Datacenter_Avg=TRUE,AVERAGE(VLOOKUP($B293,PO_Enrgy_11_Table,MATCH($G$273,PO_Enrgy_11_Hdr,0),FALSE),VLOOKUP($B293,PO_Enrgy_12_Table,MATCH($G$282,PO_Enrgy_12_Hdr,0),FALSE)),VLOOKUP($B293,PO_Enrgy_12_Table,MATCH($G$282,PO_Enrgy_12_Hdr,0),FALSE)),"")</f>
        <v>0</v>
      </c>
      <c r="H293" s="568">
        <f>IFERROR(IF(Datacenter_Avg=TRUE,AVERAGE(VLOOKUP($B293,PO_Enrgy_11_Table,MATCH($H$273,PO_Enrgy_11_Hdr,0),FALSE),VLOOKUP($B293,PO_Enrgy_12_Table,MATCH($H$282,PO_Enrgy_12_Hdr,0),FALSE)),VLOOKUP($B293,PO_Enrgy_12_Table,MATCH($H$282,PO_Enrgy_12_Hdr,0),FALSE)),"")</f>
        <v>0</v>
      </c>
      <c r="I293" s="568" t="str">
        <f>IFERROR(H293*$R293,"")</f>
        <v/>
      </c>
      <c r="J293" s="529">
        <f>IFERROR(IF(Datacenter_Avg=TRUE,AVERAGE(VLOOKUP($B293,PO_Enrgy_11_Table,MATCH($J$273,PO_Enrgy_11_Hdr,0),FALSE),VLOOKUP($B293,PO_Enrgy_12_Table,MATCH($J$282,PO_Enrgy_12_Hdr,0),FALSE)),VLOOKUP($B293,PO_Enrgy_12_Table,MATCH($J$282,PO_Enrgy_12_Hdr,0),FALSE)),"")</f>
        <v>0</v>
      </c>
      <c r="K293" s="3084" t="str">
        <f>IFERROR(1-H293/E293,"")</f>
        <v/>
      </c>
      <c r="L293" s="3085"/>
      <c r="M293" s="569" t="str">
        <f>IFERROR(1-J293/G293,"")</f>
        <v/>
      </c>
      <c r="Q293" s="416" t="str">
        <f>IFERROR(IF(ISBLANK($B293),"",VLOOKUP($B293,PO_Enrgy_1_Table,MATCH($K$16,PO_Enrgy_1_Hdr,0),FALSE)),"")</f>
        <v/>
      </c>
      <c r="R293" s="416" t="str">
        <f>IFERROR(IF(ISBLANK($B293),"",VLOOKUP($B293,PO_Enrgy_1_Table,MATCH($M$16,PO_Enrgy_1_Hdr,0),FALSE)),"")</f>
        <v/>
      </c>
      <c r="AH293" s="263"/>
      <c r="AI293" s="263"/>
      <c r="AJ293" s="2"/>
      <c r="AL293" s="267"/>
      <c r="AM293" s="268"/>
      <c r="AN293" s="269"/>
    </row>
    <row r="294" spans="1:55" ht="15" hidden="1" customHeight="1" x14ac:dyDescent="0.25">
      <c r="A294" s="433" t="s">
        <v>1038</v>
      </c>
      <c r="B294" s="567" t="str">
        <f>IFERROR(IF(ISBLANK(B19),"",B19),"")</f>
        <v/>
      </c>
      <c r="C294" s="3079" t="str">
        <f>IFERROR(IF(ISBLANK($B294),"",VLOOKUP($B294,PO_Enrgy_1_Table,MATCH($C$16,PO_Enrgy_1_Hdr,0),FALSE) ),"")</f>
        <v/>
      </c>
      <c r="D294" s="3080" t="str">
        <f>IF(C294="","",VLOOKUP(C294,ProjectEnergyTypeTable,3,FALSE))</f>
        <v/>
      </c>
      <c r="E294" s="568">
        <f>IFERROR(IF(Datacenter_Avg=TRUE,AVERAGE(VLOOKUP($B294,PO_Enrgy_11_Table,MATCH($E$273,PO_Enrgy_11_Hdr,0),FALSE),VLOOKUP($B294,PO_Enrgy_12_Table,MATCH($E$282,PO_Enrgy_12_Hdr,0),FALSE)),VLOOKUP($B294,PO_Enrgy_12_Table,MATCH($E$282,PO_Enrgy_12_Hdr,0),FALSE)),"")</f>
        <v>0</v>
      </c>
      <c r="F294" s="568" t="str">
        <f>IFERROR(E294*$R294,"")</f>
        <v/>
      </c>
      <c r="G294" s="529">
        <f>IFERROR(IF(Datacenter_Avg=TRUE,AVERAGE(VLOOKUP($B294,PO_Enrgy_11_Table,MATCH($G$273,PO_Enrgy_11_Hdr,0),FALSE),VLOOKUP($B294,PO_Enrgy_12_Table,MATCH($G$282,PO_Enrgy_12_Hdr,0),FALSE)),VLOOKUP($B294,PO_Enrgy_12_Table,MATCH($G$282,PO_Enrgy_12_Hdr,0),FALSE)),"")</f>
        <v>0</v>
      </c>
      <c r="H294" s="568">
        <f>IFERROR(IF(Datacenter_Avg=TRUE,AVERAGE(VLOOKUP($B294,PO_Enrgy_11_Table,MATCH($H$273,PO_Enrgy_11_Hdr,0),FALSE),VLOOKUP($B294,PO_Enrgy_12_Table,MATCH($H$282,PO_Enrgy_12_Hdr,0),FALSE)),VLOOKUP($B294,PO_Enrgy_12_Table,MATCH($H$282,PO_Enrgy_12_Hdr,0),FALSE)),"")</f>
        <v>0</v>
      </c>
      <c r="I294" s="568" t="str">
        <f>IFERROR(H294*$R294,"")</f>
        <v/>
      </c>
      <c r="J294" s="529">
        <f>IFERROR(IF(Datacenter_Avg=TRUE,AVERAGE(VLOOKUP($B294,PO_Enrgy_11_Table,MATCH($J$273,PO_Enrgy_11_Hdr,0),FALSE),VLOOKUP($B294,PO_Enrgy_12_Table,MATCH($J$282,PO_Enrgy_12_Hdr,0),FALSE)),VLOOKUP($B294,PO_Enrgy_12_Table,MATCH($J$282,PO_Enrgy_12_Hdr,0),FALSE)),"")</f>
        <v>0</v>
      </c>
      <c r="K294" s="3084" t="str">
        <f>IFERROR(1-H294/E294,"")</f>
        <v/>
      </c>
      <c r="L294" s="3085"/>
      <c r="M294" s="569" t="str">
        <f>IFERROR(1-J294/G294,"")</f>
        <v/>
      </c>
      <c r="Q294" s="416" t="str">
        <f>IFERROR(IF(ISBLANK($B294),"",VLOOKUP($B294,PO_Enrgy_1_Table,MATCH($K$16,PO_Enrgy_1_Hdr,0),FALSE)),"")</f>
        <v/>
      </c>
      <c r="R294" s="416" t="str">
        <f>IFERROR(IF(ISBLANK($B294),"",VLOOKUP($B294,PO_Enrgy_1_Table,MATCH($M$16,PO_Enrgy_1_Hdr,0),FALSE)),"")</f>
        <v/>
      </c>
      <c r="AH294" s="263"/>
      <c r="AI294" s="263"/>
      <c r="AJ294" s="2"/>
      <c r="AL294" s="267"/>
      <c r="AM294" s="268"/>
      <c r="AN294" s="269"/>
    </row>
    <row r="295" spans="1:55" s="245" customFormat="1" ht="21" hidden="1" customHeight="1" x14ac:dyDescent="0.25">
      <c r="A295" s="433" t="s">
        <v>1038</v>
      </c>
      <c r="B295" s="3210" t="str">
        <f>"Energy Model Subtotal (" &amp; PO_SiteUnits &amp; ")"</f>
        <v>Energy Model Subtotal (Btu x 10^6)</v>
      </c>
      <c r="C295" s="3211"/>
      <c r="D295" s="3211"/>
      <c r="E295" s="550">
        <f>IFERROR(SUMPRODUCT(INDEX(PO_Enrgy_13_Table,0,MATCH(E$291,PO_Enrgy_13_Hdr,0)),INDEX(PO_Enrgy_13_Table,0,MATCH($Q$291,PO_Enrgy_13_Hdr,0))),"")</f>
        <v>0</v>
      </c>
      <c r="F295" s="551">
        <f>IFERROR(SUM(INDEX(PO_Enrgy_13_Table,0,MATCH(F$291,PO_Enrgy_12_Hdr,0))),"")</f>
        <v>0</v>
      </c>
      <c r="G295" s="552">
        <f>IFERROR(SUM(INDEX(PO_Enrgy_13_Table,0,MATCH(G$291,PO_Enrgy_12_Hdr,0))),"")</f>
        <v>0</v>
      </c>
      <c r="H295" s="550">
        <f>IFERROR(SUMPRODUCT(INDEX(PO_Enrgy_13_Table,0,MATCH(H$291,PO_Enrgy_13_Hdr,0)),INDEX(PO_Enrgy_13_Table,0,MATCH($Q$291,PO_Enrgy_13_Hdr,0))),"")</f>
        <v>0</v>
      </c>
      <c r="I295" s="551">
        <f>IFERROR(SUM(INDEX(PO_Enrgy_13_Table,0,MATCH(I$291,PO_Enrgy_12_Hdr,0))),"")</f>
        <v>0</v>
      </c>
      <c r="J295" s="552">
        <f>IFERROR(SUM(INDEX(PO_Enrgy_13_Table,0,MATCH(J$291,PO_Enrgy_12_Hdr,0))),"")</f>
        <v>0</v>
      </c>
      <c r="K295" s="3212" t="str">
        <f>IFERROR(1-H295/E295,"")</f>
        <v/>
      </c>
      <c r="L295" s="3213"/>
      <c r="M295" s="553" t="str">
        <f>IFERROR(1-J295/G295,"")</f>
        <v/>
      </c>
      <c r="N295" s="235"/>
      <c r="O295" s="235"/>
      <c r="P295" s="235"/>
      <c r="AJ295" s="2"/>
      <c r="AL295" s="267"/>
      <c r="AM295" s="268"/>
    </row>
    <row r="296" spans="1:55" s="245" customFormat="1" ht="30" hidden="1" customHeight="1" x14ac:dyDescent="0.25">
      <c r="A296" s="433" t="s">
        <v>1038</v>
      </c>
      <c r="B296" s="3203"/>
      <c r="C296" s="3204"/>
      <c r="D296" s="3204"/>
      <c r="E296" s="3204"/>
      <c r="F296" s="3204"/>
      <c r="G296" s="3204"/>
      <c r="H296" s="3204"/>
      <c r="I296" s="3204"/>
      <c r="J296" s="3204"/>
      <c r="K296" s="3204"/>
      <c r="L296" s="3204"/>
      <c r="M296" s="332"/>
      <c r="N296" s="235"/>
      <c r="O296" s="235"/>
      <c r="P296" s="235"/>
      <c r="AL296" s="270"/>
      <c r="AM296" s="271"/>
    </row>
    <row r="297" spans="1:55" ht="18" customHeight="1" x14ac:dyDescent="0.25">
      <c r="A297" s="433" t="s">
        <v>1038</v>
      </c>
      <c r="B297" s="3191" t="s">
        <v>1027</v>
      </c>
      <c r="C297" s="3142"/>
      <c r="D297" s="3142"/>
      <c r="E297" s="3142"/>
      <c r="F297" s="3142"/>
      <c r="G297" s="3183"/>
      <c r="H297" s="3183"/>
      <c r="I297" s="3183"/>
      <c r="J297" s="3183"/>
      <c r="K297" s="3205" t="str">
        <f>$M$295</f>
        <v/>
      </c>
      <c r="L297" s="3088"/>
      <c r="M297" s="3206"/>
      <c r="AJ297" s="2"/>
      <c r="BC297" s="804"/>
    </row>
    <row r="298" spans="1:55" s="245" customFormat="1" ht="33" customHeight="1" x14ac:dyDescent="0.25">
      <c r="A298" s="433" t="s">
        <v>1038</v>
      </c>
      <c r="B298" s="249"/>
      <c r="C298" s="249"/>
      <c r="D298" s="249"/>
      <c r="E298" s="250"/>
      <c r="F298" s="250"/>
      <c r="G298" s="294"/>
      <c r="H298" s="250"/>
      <c r="I298" s="250"/>
      <c r="J298" s="294"/>
      <c r="K298" s="332"/>
      <c r="L298" s="332"/>
      <c r="M298" s="332"/>
      <c r="N298" s="235"/>
      <c r="O298" s="235"/>
      <c r="P298" s="235"/>
      <c r="AL298" s="270"/>
      <c r="AM298" s="271"/>
    </row>
    <row r="299" spans="1:55" ht="21.75" customHeight="1" x14ac:dyDescent="0.25">
      <c r="A299" s="433" t="s">
        <v>1038</v>
      </c>
      <c r="B299" s="583" t="s">
        <v>1018</v>
      </c>
      <c r="AL299" s="289"/>
      <c r="AM299" s="290"/>
    </row>
    <row r="300" spans="1:55" ht="42" customHeight="1" x14ac:dyDescent="0.25">
      <c r="A300" s="433" t="s">
        <v>1038</v>
      </c>
      <c r="B300" s="3138" t="s">
        <v>354</v>
      </c>
      <c r="C300" s="3139" t="s">
        <v>1436</v>
      </c>
      <c r="D300" s="3102"/>
      <c r="E300" s="3194" t="s">
        <v>362</v>
      </c>
      <c r="F300" s="3194"/>
      <c r="G300" s="3194"/>
      <c r="H300" s="3140" t="s">
        <v>942</v>
      </c>
      <c r="I300" s="3138"/>
      <c r="J300" s="3138"/>
      <c r="K300" s="3138" t="s">
        <v>361</v>
      </c>
      <c r="L300" s="3138"/>
      <c r="M300" s="3102"/>
      <c r="N300" s="3190"/>
      <c r="O300" s="3190"/>
      <c r="P300" s="3190"/>
      <c r="AJ300" s="2"/>
      <c r="AL300" s="267"/>
      <c r="AM300" s="268"/>
      <c r="AR300" s="399"/>
      <c r="AS300" s="400"/>
      <c r="AT300" s="400"/>
      <c r="AU300" s="400"/>
      <c r="AV300" s="272"/>
    </row>
    <row r="301" spans="1:55" ht="56.25" customHeight="1" x14ac:dyDescent="0.25">
      <c r="A301" s="433" t="s">
        <v>1038</v>
      </c>
      <c r="B301" s="3102"/>
      <c r="C301" s="3102"/>
      <c r="D301" s="3102"/>
      <c r="E301" s="580" t="s">
        <v>360</v>
      </c>
      <c r="F301" s="579" t="str">
        <f>"Source Energy Use Savings 
("  &amp; PO_SourceUnits &amp; ")"</f>
        <v>Source Energy Use Savings 
(Btu x 10^6)</v>
      </c>
      <c r="G301" s="580" t="s">
        <v>359</v>
      </c>
      <c r="H301" s="580" t="s">
        <v>902</v>
      </c>
      <c r="I301" s="579" t="str">
        <f>"Source Energy Use 
("  &amp; PO_SourceUnits &amp; ")"</f>
        <v>Source Energy Use 
(Btu x 10^6)</v>
      </c>
      <c r="J301" s="580" t="s">
        <v>356</v>
      </c>
      <c r="K301" s="3140" t="s">
        <v>357</v>
      </c>
      <c r="L301" s="3102"/>
      <c r="M301" s="580" t="s">
        <v>356</v>
      </c>
      <c r="N301" s="588"/>
      <c r="O301" s="588"/>
      <c r="P301" s="588"/>
      <c r="AJ301" s="2"/>
      <c r="AL301" s="267"/>
      <c r="AM301" s="268"/>
      <c r="AR301" s="400"/>
      <c r="AS301" s="283"/>
      <c r="AT301" s="283"/>
      <c r="AU301" s="283"/>
    </row>
    <row r="302" spans="1:55" s="446" customFormat="1" ht="15" hidden="1" customHeight="1" x14ac:dyDescent="0.25">
      <c r="A302" s="433" t="s">
        <v>1038</v>
      </c>
      <c r="B302" s="468" t="s">
        <v>1396</v>
      </c>
      <c r="C302" s="460" t="s">
        <v>1424</v>
      </c>
      <c r="D302" s="468"/>
      <c r="E302" s="469" t="s">
        <v>1456</v>
      </c>
      <c r="F302" s="468" t="s">
        <v>1457</v>
      </c>
      <c r="G302" s="469" t="s">
        <v>1458</v>
      </c>
      <c r="H302" s="469" t="s">
        <v>1437</v>
      </c>
      <c r="I302" s="468" t="s">
        <v>1438</v>
      </c>
      <c r="J302" s="469" t="s">
        <v>1439</v>
      </c>
      <c r="K302" s="469" t="s">
        <v>1455</v>
      </c>
      <c r="L302" s="460"/>
      <c r="M302" s="469" t="s">
        <v>1441</v>
      </c>
      <c r="N302" s="463"/>
      <c r="O302" s="463"/>
      <c r="P302" s="463"/>
      <c r="Q302" s="415" t="s">
        <v>1407</v>
      </c>
      <c r="R302" s="415" t="s">
        <v>1408</v>
      </c>
      <c r="S302" s="415" t="s">
        <v>1506</v>
      </c>
      <c r="AJ302" s="447"/>
    </row>
    <row r="303" spans="1:55" ht="15" customHeight="1" x14ac:dyDescent="0.25">
      <c r="A303" s="433" t="s">
        <v>1038</v>
      </c>
      <c r="B303" s="541" t="str">
        <f>IFERROR(IF(ISBLANK(B17),"",B17),"")</f>
        <v/>
      </c>
      <c r="C303" s="3107" t="str">
        <f>IFERROR(IF(ISBLANK($B303),"",VLOOKUP($B303,PO_Enrgy_1_Table,MATCH($C$16,PO_Enrgy_1_Hdr,0),FALSE) ),"")</f>
        <v/>
      </c>
      <c r="D303" s="3108" t="str">
        <f>IF(C303="","",VLOOKUP(C303,ProjectEnergyTypeTable,3,FALSE))</f>
        <v/>
      </c>
      <c r="E303" s="555">
        <f>IFERROR(IF(PO_SiteRenewable=TRUE,VLOOKUP($B303,PO_Enrgy_2_Table,MATCH($E$38,PO_Enrgy_2_Hdr,0),FALSE),0),"")</f>
        <v>0</v>
      </c>
      <c r="F303" s="555" t="str">
        <f>IFERROR(E303*$R303,"")</f>
        <v/>
      </c>
      <c r="G303" s="529">
        <f>IFERROR(IF(PO_SiteRenewable=TRUE,VLOOKUP($B303,PO_Enrgy_2_Table,MATCH($J$38,PO_Enrgy_2_Hdr,0),FALSE),0),"")</f>
        <v>0</v>
      </c>
      <c r="H303" s="555">
        <f>IFERROR(VLOOKUP($B303,PO_Enrgy_13_Table,MATCH($H$291,PO_Enrgy_13_Hdr,0),FALSE)-IF(PO_SiteRenewable=TRUE,VLOOKUP($B303,PO_Enrgy_2_Table,MATCH($E$38,PO_Enrgy_2_Hdr,0),FALSE),0),0)</f>
        <v>0</v>
      </c>
      <c r="I303" s="555" t="str">
        <f>IFERROR(H303*$R303,"")</f>
        <v/>
      </c>
      <c r="J303" s="529">
        <f>IFERROR(VLOOKUP($B303,PO_Enrgy_13_Table,MATCH($J$291,PO_Enrgy_13_Hdr,0),FALSE)-IF(PO_SiteRenewable=TRUE,VLOOKUP($B303,PO_Enrgy_2_Table,MATCH($J$38,PO_Enrgy_2_Hdr,0),FALSE),0),0)</f>
        <v>0</v>
      </c>
      <c r="K303" s="3129" t="str">
        <f>IFERROR(1-$H303/VLOOKUP($B303,PO_Enrgy_13_Table,MATCH($E$291,PO_Enrgy_13_Hdr,0),FALSE),"")</f>
        <v/>
      </c>
      <c r="L303" s="3130"/>
      <c r="M303" s="570" t="str">
        <f>IFERROR(1-$J303/VLOOKUP($B303,PO_Enrgy_13_Table,MATCH($G$291,PO_Enrgy_13_Hdr,0),FALSE),"")</f>
        <v/>
      </c>
      <c r="Q303" s="627" t="str">
        <f>IFERROR(IF(ISBLANK($B303),"",VLOOKUP($B303,PO_Enrgy_1_Table,MATCH($K$16,PO_Enrgy_1_Hdr,0),FALSE)),"")</f>
        <v/>
      </c>
      <c r="R303" s="627" t="str">
        <f>IFERROR(IF(ISBLANK($B303),"",VLOOKUP($B303,PO_Enrgy_1_Table,MATCH($M$16,PO_Enrgy_1_Hdr,0),FALSE)),"")</f>
        <v/>
      </c>
      <c r="S303" s="627" t="str">
        <f>IFERROR(G303/E303,"")</f>
        <v/>
      </c>
      <c r="AH303" s="263"/>
      <c r="AI303" s="263"/>
      <c r="AJ303" s="256"/>
      <c r="AL303" s="267"/>
      <c r="AM303" s="267"/>
      <c r="AN303" s="300"/>
      <c r="AP303" s="273"/>
      <c r="AR303" s="274"/>
      <c r="AS303" s="257"/>
      <c r="AT303" s="257"/>
      <c r="AU303" s="284"/>
      <c r="BC303" s="804"/>
    </row>
    <row r="304" spans="1:55" ht="15" customHeight="1" x14ac:dyDescent="0.25">
      <c r="A304" s="433" t="s">
        <v>1038</v>
      </c>
      <c r="B304" s="541" t="str">
        <f>IFERROR(IF(ISBLANK(B18),"",B18),"")</f>
        <v/>
      </c>
      <c r="C304" s="3107" t="str">
        <f>IFERROR(IF(ISBLANK($B304),"",VLOOKUP($B304,PO_Enrgy_1_Table,MATCH($C$16,PO_Enrgy_1_Hdr,0),FALSE) ),"")</f>
        <v/>
      </c>
      <c r="D304" s="3108" t="str">
        <f>IF(C304="","",VLOOKUP(C304,ProjectEnergyTypeTable,3,FALSE))</f>
        <v/>
      </c>
      <c r="E304" s="555">
        <f>IFERROR(IF(PO_SiteRenewable=TRUE,VLOOKUP($B304,PO_Enrgy_2_Table,MATCH($E$38,PO_Enrgy_2_Hdr,0),FALSE),0),"")</f>
        <v>0</v>
      </c>
      <c r="F304" s="555" t="str">
        <f>IFERROR(E304*$R304,"")</f>
        <v/>
      </c>
      <c r="G304" s="529">
        <f>IFERROR(IF(PO_SiteRenewable=TRUE,VLOOKUP($B304,PO_Enrgy_2_Table,MATCH($J$38,PO_Enrgy_2_Hdr,0),FALSE),0),"")</f>
        <v>0</v>
      </c>
      <c r="H304" s="555">
        <f>IFERROR(VLOOKUP($B304,PO_Enrgy_13_Table,MATCH($H$291,PO_Enrgy_13_Hdr,0),FALSE)-IF(PO_SiteRenewable=TRUE,VLOOKUP($B304,PO_Enrgy_2_Table,MATCH($E$38,PO_Enrgy_2_Hdr,0),FALSE),0),0)</f>
        <v>0</v>
      </c>
      <c r="I304" s="555" t="str">
        <f>IFERROR(H304*$R304,"")</f>
        <v/>
      </c>
      <c r="J304" s="529">
        <f>IFERROR(VLOOKUP($B304,PO_Enrgy_13_Table,MATCH($J$291,PO_Enrgy_13_Hdr,0),FALSE)-IF(PO_SiteRenewable=TRUE,VLOOKUP($B304,PO_Enrgy_2_Table,MATCH($J$38,PO_Enrgy_2_Hdr,0),FALSE),0),0)</f>
        <v>0</v>
      </c>
      <c r="K304" s="3129" t="str">
        <f>IFERROR(1-$H304/VLOOKUP($B304,PO_Enrgy_13_Table,MATCH($E$291,PO_Enrgy_13_Hdr,0),FALSE),"")</f>
        <v/>
      </c>
      <c r="L304" s="3130"/>
      <c r="M304" s="570" t="str">
        <f>IFERROR(1-$J304/VLOOKUP($B304,PO_Enrgy_13_Table,MATCH($G$291,PO_Enrgy_13_Hdr,0),FALSE),"")</f>
        <v/>
      </c>
      <c r="Q304" s="627" t="str">
        <f>IFERROR(IF(ISBLANK($B304),"",VLOOKUP($B304,PO_Enrgy_1_Table,MATCH($K$16,PO_Enrgy_1_Hdr,0),FALSE)),"")</f>
        <v/>
      </c>
      <c r="R304" s="627" t="str">
        <f>IFERROR(IF(ISBLANK($B304),"",VLOOKUP($B304,PO_Enrgy_1_Table,MATCH($M$16,PO_Enrgy_1_Hdr,0),FALSE)),"")</f>
        <v/>
      </c>
      <c r="S304" s="627" t="str">
        <f>IFERROR(G304/E304,"")</f>
        <v/>
      </c>
      <c r="AH304" s="263"/>
      <c r="AI304" s="263"/>
      <c r="AJ304" s="256"/>
      <c r="AL304" s="267"/>
      <c r="AM304" s="267"/>
      <c r="AN304" s="300"/>
      <c r="AP304" s="273"/>
      <c r="AR304" s="274"/>
      <c r="AS304" s="257"/>
      <c r="AT304" s="257"/>
      <c r="AU304" s="284"/>
      <c r="BC304" s="804"/>
    </row>
    <row r="305" spans="1:55" ht="15" customHeight="1" x14ac:dyDescent="0.25">
      <c r="A305" s="433" t="s">
        <v>1038</v>
      </c>
      <c r="B305" s="541" t="str">
        <f>IFERROR(IF(ISBLANK(B19),"",B19),"")</f>
        <v/>
      </c>
      <c r="C305" s="3107" t="str">
        <f>IFERROR(IF(ISBLANK($B305),"",VLOOKUP($B305,PO_Enrgy_1_Table,MATCH($C$16,PO_Enrgy_1_Hdr,0),FALSE) ),"")</f>
        <v/>
      </c>
      <c r="D305" s="3108" t="str">
        <f>IF(C305="","",VLOOKUP(C305,ProjectEnergyTypeTable,3,FALSE))</f>
        <v/>
      </c>
      <c r="E305" s="555">
        <f>IFERROR(IF(PO_SiteRenewable=TRUE,VLOOKUP($B305,PO_Enrgy_2_Table,MATCH($E$38,PO_Enrgy_2_Hdr,0),FALSE),0),"")</f>
        <v>0</v>
      </c>
      <c r="F305" s="555" t="str">
        <f>IFERROR(E305*$R305,"")</f>
        <v/>
      </c>
      <c r="G305" s="529">
        <f>IFERROR(IF(PO_SiteRenewable=TRUE,VLOOKUP($B305,PO_Enrgy_2_Table,MATCH($J$38,PO_Enrgy_2_Hdr,0),FALSE),0),"")</f>
        <v>0</v>
      </c>
      <c r="H305" s="555">
        <f>IFERROR(VLOOKUP($B305,PO_Enrgy_13_Table,MATCH($H$291,PO_Enrgy_13_Hdr,0),FALSE)-IF(PO_SiteRenewable=TRUE,VLOOKUP($B305,PO_Enrgy_2_Table,MATCH($E$38,PO_Enrgy_2_Hdr,0),FALSE),0),0)</f>
        <v>0</v>
      </c>
      <c r="I305" s="555" t="str">
        <f>IFERROR(H305*$R305,"")</f>
        <v/>
      </c>
      <c r="J305" s="529">
        <f>IFERROR(VLOOKUP($B305,PO_Enrgy_13_Table,MATCH($J$291,PO_Enrgy_13_Hdr,0),FALSE)-IF(PO_SiteRenewable=TRUE,VLOOKUP($B305,PO_Enrgy_2_Table,MATCH($J$38,PO_Enrgy_2_Hdr,0),FALSE),0),0)</f>
        <v>0</v>
      </c>
      <c r="K305" s="3129" t="str">
        <f>IFERROR(1-$H305/VLOOKUP($B305,PO_Enrgy_13_Table,MATCH($E$291,PO_Enrgy_13_Hdr,0),FALSE),"")</f>
        <v/>
      </c>
      <c r="L305" s="3130"/>
      <c r="M305" s="570" t="str">
        <f>IFERROR(1-$J305/VLOOKUP($B305,PO_Enrgy_13_Table,MATCH($G$291,PO_Enrgy_13_Hdr,0),FALSE),"")</f>
        <v/>
      </c>
      <c r="Q305" s="627" t="str">
        <f>IFERROR(IF(ISBLANK($B305),"",VLOOKUP($B305,PO_Enrgy_1_Table,MATCH($K$16,PO_Enrgy_1_Hdr,0),FALSE)),"")</f>
        <v/>
      </c>
      <c r="R305" s="627" t="str">
        <f>IFERROR(IF(ISBLANK($B305),"",VLOOKUP($B305,PO_Enrgy_1_Table,MATCH($M$16,PO_Enrgy_1_Hdr,0),FALSE)),"")</f>
        <v/>
      </c>
      <c r="S305" s="627" t="str">
        <f>IFERROR(G305/E305,"")</f>
        <v/>
      </c>
      <c r="AH305" s="263"/>
      <c r="AI305" s="263"/>
      <c r="AJ305" s="256"/>
      <c r="AL305" s="267"/>
      <c r="AM305" s="267"/>
      <c r="AN305" s="300"/>
      <c r="AP305" s="273"/>
      <c r="AR305" s="274"/>
      <c r="AS305" s="257"/>
      <c r="AT305" s="257"/>
      <c r="AU305" s="284"/>
      <c r="BC305" s="804"/>
    </row>
    <row r="306" spans="1:55" s="245" customFormat="1" ht="21" customHeight="1" x14ac:dyDescent="0.25">
      <c r="A306" s="433" t="s">
        <v>1038</v>
      </c>
      <c r="B306" s="3135" t="str">
        <f>"Energy model subtotal (" &amp; PO_SiteUnits &amp; ")"</f>
        <v>Energy model subtotal (Btu x 10^6)</v>
      </c>
      <c r="C306" s="3135"/>
      <c r="D306" s="3135"/>
      <c r="E306" s="555">
        <f>IFERROR(SUMPRODUCT(INDEX(PO_Enrgy_14_Table,0,MATCH(E$302,PO_Enrgy_14_Hdr,0)),INDEX(PO_Enrgy_14_Table,0,MATCH($Q$302,PO_Enrgy_14_Hdr,0))),"")</f>
        <v>0</v>
      </c>
      <c r="F306" s="527">
        <f>IFERROR(SUM(INDEX(PO_Enrgy_14_Table,0,MATCH(F$302,PO_Enrgy_14_Hdr,0))),"")</f>
        <v>0</v>
      </c>
      <c r="G306" s="529">
        <f>IFERROR(SUM(INDEX(PO_Enrgy_14_Table,0,MATCH(G$302,PO_Enrgy_14_Hdr,0))),"")</f>
        <v>0</v>
      </c>
      <c r="H306" s="555">
        <f>IFERROR(SUMPRODUCT(INDEX(PO_Enrgy_14_Table,0,MATCH(H$302,PO_Enrgy_14_Hdr,0)),INDEX(PO_Enrgy_14_Table,0,MATCH($Q$302,PO_Enrgy_14_Hdr,0))),"")</f>
        <v>0</v>
      </c>
      <c r="I306" s="527">
        <f>IFERROR(SUM(INDEX(PO_Enrgy_14_Table,0,MATCH(I$302,PO_Enrgy_14_Hdr,0))),"")</f>
        <v>0</v>
      </c>
      <c r="J306" s="529">
        <f>IFERROR(SUM(INDEX(PO_Enrgy_14_Table,0,MATCH(J$302,PO_Enrgy_14_Hdr,0))),"")</f>
        <v>0</v>
      </c>
      <c r="K306" s="3200" t="str">
        <f>IFERROR(1-$H306/$E$295,"")</f>
        <v/>
      </c>
      <c r="L306" s="3200"/>
      <c r="M306" s="554" t="str">
        <f>IFERROR(1-$J306/$G$295,"")</f>
        <v/>
      </c>
      <c r="N306" s="235"/>
      <c r="O306" s="235"/>
      <c r="P306" s="235"/>
      <c r="AJ306" s="2"/>
      <c r="AL306" s="267"/>
      <c r="AM306" s="268"/>
      <c r="AR306" s="274"/>
      <c r="AS306" s="257"/>
      <c r="AT306" s="257"/>
      <c r="AU306" s="258"/>
      <c r="BC306" s="804"/>
    </row>
    <row r="307" spans="1:55" s="245" customFormat="1" ht="33" customHeight="1" x14ac:dyDescent="0.25">
      <c r="A307" s="433" t="s">
        <v>1038</v>
      </c>
      <c r="B307" s="249"/>
      <c r="C307" s="249"/>
      <c r="D307" s="249"/>
      <c r="E307" s="255"/>
      <c r="F307" s="255"/>
      <c r="G307" s="294"/>
      <c r="H307" s="255"/>
      <c r="I307" s="255"/>
      <c r="J307" s="294"/>
      <c r="K307" s="332"/>
      <c r="L307" s="235"/>
      <c r="M307" s="332"/>
      <c r="N307" s="235"/>
      <c r="O307" s="235"/>
      <c r="P307" s="235"/>
      <c r="AJ307" s="2"/>
      <c r="AL307" s="267"/>
      <c r="AM307" s="268"/>
      <c r="AR307" s="274"/>
      <c r="AS307" s="257"/>
      <c r="AT307" s="257"/>
      <c r="AU307" s="258"/>
    </row>
    <row r="308" spans="1:55" ht="21.75" hidden="1" customHeight="1" x14ac:dyDescent="0.25">
      <c r="A308" s="433" t="s">
        <v>1038</v>
      </c>
      <c r="B308" s="583" t="s">
        <v>1031</v>
      </c>
      <c r="C308" s="184"/>
      <c r="D308" s="184"/>
      <c r="E308" s="184"/>
      <c r="F308" s="184"/>
      <c r="G308" s="184"/>
      <c r="H308" s="184"/>
      <c r="I308" s="184"/>
      <c r="J308" s="184"/>
      <c r="AL308" s="289"/>
      <c r="AM308" s="290"/>
    </row>
    <row r="309" spans="1:55" ht="39.75" hidden="1" customHeight="1" x14ac:dyDescent="0.25">
      <c r="A309" s="433" t="s">
        <v>1038</v>
      </c>
      <c r="B309" s="3201" t="str">
        <f>"Enter the IT equipment energy consumption " &amp; IF(Datacenter_Avg=FALSE, " and total building consumption by end-use including renewable energy ","") &amp; "for the Startup IT loads.  The information for the full buildout loads is tabulated from the data above.  PUE3 is calculated based on source energy."</f>
        <v>Enter the IT equipment energy consumption  and total building consumption by end-use including renewable energy for the Startup IT loads.  The information for the full buildout loads is tabulated from the data above.  PUE3 is calculated based on source energy.</v>
      </c>
      <c r="C309" s="3202"/>
      <c r="D309" s="3202"/>
      <c r="E309" s="3202"/>
      <c r="F309" s="3202"/>
      <c r="G309" s="3202"/>
      <c r="H309" s="3202"/>
      <c r="I309" s="3202"/>
      <c r="J309" s="3202"/>
      <c r="K309" s="3202"/>
      <c r="L309" s="3202"/>
      <c r="M309" s="3202"/>
      <c r="AL309" s="289"/>
      <c r="AM309" s="290"/>
    </row>
    <row r="310" spans="1:55" ht="54" hidden="1" customHeight="1" x14ac:dyDescent="0.25">
      <c r="A310" s="433" t="s">
        <v>1038</v>
      </c>
      <c r="B310" s="3138" t="s">
        <v>354</v>
      </c>
      <c r="C310" s="3139" t="s">
        <v>1436</v>
      </c>
      <c r="D310" s="3102"/>
      <c r="E310" s="3138" t="s">
        <v>1035</v>
      </c>
      <c r="F310" s="3138"/>
      <c r="G310" s="3138"/>
      <c r="H310" s="3185"/>
      <c r="I310" s="3138" t="s">
        <v>1036</v>
      </c>
      <c r="J310" s="3196"/>
      <c r="K310" s="3196"/>
      <c r="L310" s="3196"/>
      <c r="M310" s="3196"/>
      <c r="N310" s="3190"/>
      <c r="O310" s="3190"/>
      <c r="P310" s="3190"/>
      <c r="AJ310" s="2"/>
      <c r="AL310" s="267"/>
      <c r="AM310" s="268"/>
    </row>
    <row r="311" spans="1:55" ht="48" hidden="1" customHeight="1" x14ac:dyDescent="0.25">
      <c r="A311" s="433" t="s">
        <v>1038</v>
      </c>
      <c r="B311" s="3102"/>
      <c r="C311" s="3102"/>
      <c r="D311" s="3102"/>
      <c r="E311" s="580" t="s">
        <v>902</v>
      </c>
      <c r="F311" s="579" t="str">
        <f>"Source Energy Use 
("  &amp; PO_SourceUnits &amp; ")"</f>
        <v>Source Energy Use 
(Btu x 10^6)</v>
      </c>
      <c r="G311" s="3140" t="s">
        <v>903</v>
      </c>
      <c r="H311" s="3195"/>
      <c r="I311" s="580" t="s">
        <v>902</v>
      </c>
      <c r="J311" s="579" t="str">
        <f>"Source Energy Use 
("  &amp; PO_SourceUnits &amp; ")"</f>
        <v>Source Energy Use 
(Btu x 10^6)</v>
      </c>
      <c r="K311" s="3140" t="s">
        <v>903</v>
      </c>
      <c r="L311" s="3196"/>
      <c r="M311" s="3196"/>
      <c r="N311" s="334"/>
      <c r="O311" s="334"/>
      <c r="P311" s="334"/>
      <c r="AJ311" s="2"/>
    </row>
    <row r="312" spans="1:55" s="446" customFormat="1" ht="15" hidden="1" customHeight="1" x14ac:dyDescent="0.25">
      <c r="A312" s="433" t="s">
        <v>1038</v>
      </c>
      <c r="B312" s="468" t="s">
        <v>1396</v>
      </c>
      <c r="C312" s="460" t="s">
        <v>1424</v>
      </c>
      <c r="D312" s="468"/>
      <c r="E312" s="469" t="s">
        <v>1459</v>
      </c>
      <c r="F312" s="468" t="s">
        <v>1460</v>
      </c>
      <c r="G312" s="469" t="s">
        <v>1461</v>
      </c>
      <c r="H312" s="469"/>
      <c r="I312" s="468" t="s">
        <v>1462</v>
      </c>
      <c r="J312" s="469" t="s">
        <v>1463</v>
      </c>
      <c r="K312" s="469" t="s">
        <v>1464</v>
      </c>
      <c r="L312" s="460"/>
      <c r="M312" s="469"/>
      <c r="N312" s="463"/>
      <c r="O312" s="463"/>
      <c r="P312" s="463"/>
      <c r="Q312" s="415" t="s">
        <v>1407</v>
      </c>
      <c r="R312" s="415" t="s">
        <v>1408</v>
      </c>
      <c r="AJ312" s="447"/>
    </row>
    <row r="313" spans="1:55" ht="15" hidden="1" customHeight="1" x14ac:dyDescent="0.25">
      <c r="A313" s="433" t="s">
        <v>1038</v>
      </c>
      <c r="B313" s="577" t="str">
        <f>B191</f>
        <v>IT equipment</v>
      </c>
      <c r="C313" s="3079" t="s">
        <v>398</v>
      </c>
      <c r="D313" s="3080" t="e">
        <f>IF(C313="","",VLOOKUP(C313,ProjectEnergyTypeTable,3,FALSE))</f>
        <v>#NAME?</v>
      </c>
      <c r="E313" s="556"/>
      <c r="F313" s="527" t="str">
        <f>IFERROR(E313*$R313,"")</f>
        <v/>
      </c>
      <c r="G313" s="3197"/>
      <c r="H313" s="3198"/>
      <c r="I313" s="557">
        <f>IFERROR(VLOOKUP(B313,PO_design_table,MATCH($H$170,PO_design_hdr,0),FALSE),"")</f>
        <v>0</v>
      </c>
      <c r="J313" s="527" t="str">
        <f>IFERROR(I313*$R313,"")</f>
        <v/>
      </c>
      <c r="K313" s="3199"/>
      <c r="L313" s="3199"/>
      <c r="M313" s="3199"/>
      <c r="Q313" s="416" t="str">
        <f>IFERROR(VLOOKUP("Electricity",PO_Enrgy_1_Table,MATCH($K$16,PO_Enrgy_1_Hdr,0),FALSE),"")</f>
        <v/>
      </c>
      <c r="R313" s="416" t="str">
        <f>IFERROR(VLOOKUP("electricity",PO_Enrgy_1_Table,MATCH($M$16,PO_Enrgy_1_Hdr,0),FALSE),"")</f>
        <v/>
      </c>
      <c r="AH313" s="263"/>
      <c r="AI313" s="263"/>
      <c r="AJ313" s="2"/>
      <c r="AL313" s="267"/>
      <c r="AM313" s="268"/>
      <c r="AN313" s="269"/>
    </row>
    <row r="314" spans="1:55" ht="21" hidden="1" customHeight="1" x14ac:dyDescent="0.25">
      <c r="A314" s="433" t="s">
        <v>1038</v>
      </c>
      <c r="B314" s="3170" t="s">
        <v>899</v>
      </c>
      <c r="C314" s="3186"/>
      <c r="D314" s="3187"/>
      <c r="E314" s="558"/>
      <c r="F314" s="558"/>
      <c r="G314" s="3188"/>
      <c r="H314" s="3188"/>
      <c r="I314" s="559"/>
      <c r="J314" s="559"/>
      <c r="K314" s="3189"/>
      <c r="L314" s="3189"/>
      <c r="M314" s="3189"/>
      <c r="Q314" s="415" t="s">
        <v>1407</v>
      </c>
      <c r="R314" s="415" t="s">
        <v>1408</v>
      </c>
      <c r="AH314" s="263"/>
      <c r="AI314" s="263"/>
      <c r="AJ314" s="2"/>
      <c r="AL314" s="267"/>
      <c r="AM314" s="268"/>
      <c r="AN314" s="269"/>
    </row>
    <row r="315" spans="1:55" ht="15" hidden="1" customHeight="1" x14ac:dyDescent="0.25">
      <c r="A315" s="433" t="s">
        <v>1038</v>
      </c>
      <c r="B315" s="577" t="str">
        <f>IFERROR(IF(ISBLANK(B17),"",B17),"")</f>
        <v/>
      </c>
      <c r="C315" s="3079" t="str">
        <f>IFERROR(IF(ISBLANK($B315),"",VLOOKUP($B315,PO_Enrgy_1_Table,MATCH($C$16,PO_Enrgy_1_Hdr,0),FALSE) ),"")</f>
        <v/>
      </c>
      <c r="D315" s="3080" t="str">
        <f>IF(C315="","",VLOOKUP(C315,ProjectEnergyTypeTable,3,FALSE))</f>
        <v/>
      </c>
      <c r="E315" s="571" t="str">
        <f>IFERROR(IF(Datacenter_Avg=TRUE,VLOOKUP($B315,PO_Enrgy_11_Table,MATCH($H$273,PO_Enrgy_11_Hdr,0),FALSE)-VLOOKUP($B315,PO_Enrgy_14_Table,MATCH($E302,PO_Enrgy_14_Hdr,0),FALSE),""),"")</f>
        <v/>
      </c>
      <c r="F315" s="555" t="str">
        <f>IFERROR(E315*$R315,"")</f>
        <v/>
      </c>
      <c r="G315" s="3081"/>
      <c r="H315" s="3082"/>
      <c r="I315" s="555">
        <f>IFERROR(VLOOKUP($B315,PO_Enrgy_12_Table,MATCH($H$282,PO_Enrgy_12_Hdr,0),FALSE)-VLOOKUP($B315,PO_Enrgy_14_Table,MATCH($E$302,PO_Enrgy_14_Hdr,0),FALSE),"")</f>
        <v>0</v>
      </c>
      <c r="J315" s="555" t="str">
        <f>IFERROR(I315*$R315,"")</f>
        <v/>
      </c>
      <c r="K315" s="3083"/>
      <c r="L315" s="3083"/>
      <c r="M315" s="3083"/>
      <c r="Q315" s="416" t="str">
        <f>IFERROR(IF(ISBLANK($B315),"",VLOOKUP($B315,PO_Enrgy_1_Table,MATCH($K$16,PO_Enrgy_1_Hdr,0),FALSE)),"")</f>
        <v/>
      </c>
      <c r="R315" s="416" t="str">
        <f>IFERROR(IF(ISBLANK($B315),"",VLOOKUP($B315,PO_Enrgy_1_Table,MATCH($M$16,PO_Enrgy_1_Hdr,0),FALSE)),"")</f>
        <v/>
      </c>
      <c r="AH315" s="263"/>
      <c r="AI315" s="263"/>
      <c r="AJ315" s="471"/>
      <c r="AK315" s="255"/>
      <c r="AL315" s="267"/>
      <c r="AM315" s="268"/>
      <c r="AN315" s="269"/>
    </row>
    <row r="316" spans="1:55" ht="15" hidden="1" customHeight="1" x14ac:dyDescent="0.25">
      <c r="A316" s="433" t="s">
        <v>1038</v>
      </c>
      <c r="B316" s="577" t="str">
        <f>IFERROR(IF(ISBLANK(B18),"",B18),"")</f>
        <v/>
      </c>
      <c r="C316" s="3079" t="str">
        <f>IFERROR(IF(ISBLANK($B316),"",VLOOKUP($B316,PO_Enrgy_1_Table,MATCH($C$16,PO_Enrgy_1_Hdr,0),FALSE) ),"")</f>
        <v/>
      </c>
      <c r="D316" s="3080" t="str">
        <f>IF(C316="","",VLOOKUP(C316,ProjectEnergyTypeTable,3,FALSE))</f>
        <v/>
      </c>
      <c r="E316" s="571" t="str">
        <f>IFERROR(IF(Datacenter_Avg=TRUE,VLOOKUP($B316,PO_Enrgy_11_Table,MATCH($H$273,PO_Enrgy_11_Hdr,0),FALSE)-VLOOKUP($B316,PO_Enrgy_14_Table,MATCH(#REF!,PO_Enrgy_14_Hdr,0),FALSE),""),"")</f>
        <v/>
      </c>
      <c r="F316" s="555" t="str">
        <f>IFERROR(E316*$R316,"")</f>
        <v/>
      </c>
      <c r="G316" s="3081"/>
      <c r="H316" s="3082"/>
      <c r="I316" s="555">
        <f>IFERROR(VLOOKUP($B316,PO_Enrgy_12_Table,MATCH($H$282,PO_Enrgy_12_Hdr,0),FALSE)-VLOOKUP($B316,PO_Enrgy_14_Table,MATCH($E$302,PO_Enrgy_14_Hdr,0),FALSE),"")</f>
        <v>0</v>
      </c>
      <c r="J316" s="555" t="str">
        <f>IFERROR(I316*$R316,"")</f>
        <v/>
      </c>
      <c r="K316" s="3083"/>
      <c r="L316" s="3083"/>
      <c r="M316" s="3083"/>
      <c r="Q316" s="416" t="str">
        <f>IFERROR(IF(ISBLANK($B316),"",VLOOKUP($B316,PO_Enrgy_1_Table,MATCH($K$16,PO_Enrgy_1_Hdr,0),FALSE)),"")</f>
        <v/>
      </c>
      <c r="R316" s="416" t="str">
        <f>IFERROR(IF(ISBLANK($B316),"",VLOOKUP($B316,PO_Enrgy_1_Table,MATCH($M$16,PO_Enrgy_1_Hdr,0),FALSE)),"")</f>
        <v/>
      </c>
      <c r="AH316" s="263"/>
      <c r="AI316" s="263"/>
      <c r="AJ316" s="471"/>
      <c r="AK316" s="255"/>
      <c r="AL316" s="267"/>
      <c r="AM316" s="268"/>
      <c r="AN316" s="269"/>
    </row>
    <row r="317" spans="1:55" ht="15" hidden="1" customHeight="1" x14ac:dyDescent="0.25">
      <c r="A317" s="433" t="s">
        <v>1038</v>
      </c>
      <c r="B317" s="577" t="str">
        <f>IFERROR(IF(ISBLANK(B19),"",B19),"")</f>
        <v/>
      </c>
      <c r="C317" s="3079" t="str">
        <f>IFERROR(IF(ISBLANK($B317),"",VLOOKUP($B317,PO_Enrgy_1_Table,MATCH($C$16,PO_Enrgy_1_Hdr,0),FALSE) ),"")</f>
        <v/>
      </c>
      <c r="D317" s="3080" t="str">
        <f>IF(C317="","",VLOOKUP(C317,ProjectEnergyTypeTable,3,FALSE))</f>
        <v/>
      </c>
      <c r="E317" s="571" t="str">
        <f>IFERROR(IF(Datacenter_Avg=TRUE,VLOOKUP($B317,PO_Enrgy_11_Table,MATCH($H$273,PO_Enrgy_11_Hdr,0),FALSE)-VLOOKUP($B317,PO_Enrgy_14_Table,MATCH(#REF!,PO_Enrgy_14_Hdr,0),FALSE),""),"")</f>
        <v/>
      </c>
      <c r="F317" s="555" t="str">
        <f>IFERROR(E317*$R317,"")</f>
        <v/>
      </c>
      <c r="G317" s="3081"/>
      <c r="H317" s="3082"/>
      <c r="I317" s="555">
        <f>IFERROR(VLOOKUP($B317,PO_Enrgy_12_Table,MATCH($H$282,PO_Enrgy_12_Hdr,0),FALSE)-VLOOKUP($B317,PO_Enrgy_14_Table,MATCH($E$302,PO_Enrgy_14_Hdr,0),FALSE),"")</f>
        <v>0</v>
      </c>
      <c r="J317" s="555" t="str">
        <f>IFERROR(I317*$R317,"")</f>
        <v/>
      </c>
      <c r="K317" s="3083"/>
      <c r="L317" s="3083"/>
      <c r="M317" s="3083"/>
      <c r="Q317" s="416" t="str">
        <f>IFERROR(IF(ISBLANK($B317),"",VLOOKUP($B317,PO_Enrgy_1_Table,MATCH($K$16,PO_Enrgy_1_Hdr,0),FALSE)),"")</f>
        <v/>
      </c>
      <c r="R317" s="416" t="str">
        <f>IFERROR(IF(ISBLANK($B317),"",VLOOKUP($B317,PO_Enrgy_1_Table,MATCH($M$16,PO_Enrgy_1_Hdr,0),FALSE)),"")</f>
        <v/>
      </c>
      <c r="AH317" s="263"/>
      <c r="AI317" s="263"/>
      <c r="AJ317" s="471"/>
      <c r="AK317" s="255"/>
      <c r="AL317" s="267"/>
      <c r="AM317" s="268"/>
      <c r="AN317" s="269"/>
    </row>
    <row r="318" spans="1:55" s="245" customFormat="1" ht="21" hidden="1" customHeight="1" x14ac:dyDescent="0.25">
      <c r="A318" s="433" t="s">
        <v>1038</v>
      </c>
      <c r="B318" s="3135" t="str">
        <f>"Energy model subtotal (" &amp; PO_SiteUnits &amp; ")"</f>
        <v>Energy model subtotal (Btu x 10^6)</v>
      </c>
      <c r="C318" s="3135"/>
      <c r="D318" s="3135"/>
      <c r="E318" s="555">
        <f>IFERROR(SUMPRODUCT(INDEX(PO_Enrgy_15_Table,0,MATCH(E$312,PO_Enrgy_15_Hdr,0)),INDEX(PO_Enrgy_15_Table,0,MATCH($Q$312,PO_Enrgy_15_Hdr,0))),"")</f>
        <v>0</v>
      </c>
      <c r="F318" s="527">
        <f>IFERROR(SUM(INDEX(PO_Enrgy_15_Table,0,MATCH(F$312,PO_Enrgy_15_Hdr,0))),"")</f>
        <v>0</v>
      </c>
      <c r="G318" s="3136" t="str">
        <f>IFERROR(F318/F313,"")</f>
        <v/>
      </c>
      <c r="H318" s="3137"/>
      <c r="I318" s="555">
        <f>IFERROR(SUMPRODUCT(INDEX(PO_Enrgy_15_Table,0,MATCH(I$312,PO_Enrgy_15_Hdr,0)),INDEX(PO_Enrgy_15_Table,0,MATCH($Q$312,PO_Enrgy_15_Hdr,0))),"")</f>
        <v>0</v>
      </c>
      <c r="J318" s="527">
        <f>IFERROR(SUM(INDEX(PO_Enrgy_15_Table,0,MATCH(J$312,PO_Enrgy_15_Hdr,0))),"")</f>
        <v>0</v>
      </c>
      <c r="K318" s="3136" t="str">
        <f>IFERROR(J318/J313,"")</f>
        <v/>
      </c>
      <c r="L318" s="3136"/>
      <c r="M318" s="3136"/>
      <c r="N318" s="235"/>
      <c r="O318" s="235"/>
      <c r="P318" s="235"/>
      <c r="AJ318" s="2"/>
      <c r="AL318" s="267"/>
      <c r="AM318" s="268"/>
    </row>
    <row r="319" spans="1:55" s="245" customFormat="1" ht="33.75" hidden="1" customHeight="1" x14ac:dyDescent="0.25">
      <c r="A319" s="433" t="s">
        <v>1038</v>
      </c>
      <c r="B319" s="249"/>
      <c r="C319" s="249"/>
      <c r="D319" s="249"/>
      <c r="E319" s="336"/>
      <c r="F319" s="255"/>
      <c r="G319" s="297"/>
      <c r="I319" s="255"/>
      <c r="J319" s="255"/>
      <c r="K319" s="332"/>
      <c r="L319" s="332"/>
      <c r="M319" s="332"/>
      <c r="N319" s="235"/>
      <c r="O319" s="235"/>
      <c r="P319" s="235"/>
      <c r="AJ319" s="2"/>
      <c r="AL319" s="267"/>
      <c r="AM319" s="268"/>
    </row>
    <row r="320" spans="1:55" ht="21" customHeight="1" x14ac:dyDescent="0.25">
      <c r="A320" s="433" t="s">
        <v>1038</v>
      </c>
      <c r="B320" s="583" t="s">
        <v>1019</v>
      </c>
      <c r="AL320" s="289"/>
      <c r="AM320" s="290"/>
    </row>
    <row r="321" spans="1:60" ht="25.5" customHeight="1" x14ac:dyDescent="0.25">
      <c r="A321" s="433" t="s">
        <v>1038</v>
      </c>
      <c r="B321" s="3138" t="s">
        <v>354</v>
      </c>
      <c r="C321" s="3139" t="s">
        <v>1436</v>
      </c>
      <c r="D321" s="3102"/>
      <c r="E321" s="3140" t="s">
        <v>272</v>
      </c>
      <c r="F321" s="3138"/>
      <c r="G321" s="3138"/>
      <c r="H321" s="3140" t="s">
        <v>273</v>
      </c>
      <c r="I321" s="3138"/>
      <c r="J321" s="3138"/>
      <c r="K321" s="3140" t="s">
        <v>358</v>
      </c>
      <c r="L321" s="3138"/>
      <c r="M321" s="3102"/>
      <c r="AJ321" s="2"/>
    </row>
    <row r="322" spans="1:60" ht="63.75" customHeight="1" x14ac:dyDescent="0.25">
      <c r="A322" s="433" t="s">
        <v>1038</v>
      </c>
      <c r="B322" s="3102"/>
      <c r="C322" s="3102"/>
      <c r="D322" s="3102"/>
      <c r="E322" s="580" t="s">
        <v>902</v>
      </c>
      <c r="F322" s="579" t="str">
        <f>"Source Energy Use 
("  &amp; PO_SourceUnits &amp; ")"</f>
        <v>Source Energy Use 
(Btu x 10^6)</v>
      </c>
      <c r="G322" s="580" t="s">
        <v>356</v>
      </c>
      <c r="H322" s="580" t="s">
        <v>902</v>
      </c>
      <c r="I322" s="579" t="str">
        <f>"Source Energy Use 
("  &amp; PO_SourceUnits &amp; ")"</f>
        <v>Source Energy Use 
(Btu x 10^6)</v>
      </c>
      <c r="J322" s="580" t="s">
        <v>356</v>
      </c>
      <c r="K322" s="3140" t="s">
        <v>357</v>
      </c>
      <c r="L322" s="3102"/>
      <c r="M322" s="580" t="s">
        <v>356</v>
      </c>
      <c r="AJ322" s="2"/>
    </row>
    <row r="323" spans="1:60" s="446" customFormat="1" ht="15" hidden="1" customHeight="1" x14ac:dyDescent="0.25">
      <c r="A323" s="433" t="s">
        <v>1038</v>
      </c>
      <c r="B323" s="468" t="s">
        <v>1396</v>
      </c>
      <c r="C323" s="460" t="s">
        <v>1424</v>
      </c>
      <c r="D323" s="468"/>
      <c r="E323" s="469" t="s">
        <v>1452</v>
      </c>
      <c r="F323" s="468" t="s">
        <v>1453</v>
      </c>
      <c r="G323" s="469" t="s">
        <v>1454</v>
      </c>
      <c r="H323" s="469" t="s">
        <v>1437</v>
      </c>
      <c r="I323" s="468" t="s">
        <v>1438</v>
      </c>
      <c r="J323" s="469" t="s">
        <v>1439</v>
      </c>
      <c r="K323" s="469" t="s">
        <v>1455</v>
      </c>
      <c r="L323" s="460"/>
      <c r="M323" s="469" t="s">
        <v>1441</v>
      </c>
      <c r="N323" s="463"/>
      <c r="O323" s="463"/>
      <c r="P323" s="463"/>
      <c r="Q323" s="415" t="s">
        <v>1407</v>
      </c>
      <c r="R323" s="415" t="s">
        <v>1408</v>
      </c>
      <c r="AJ323" s="447"/>
    </row>
    <row r="324" spans="1:60" ht="15" customHeight="1" x14ac:dyDescent="0.25">
      <c r="A324" s="433" t="s">
        <v>1038</v>
      </c>
      <c r="B324" s="577" t="str">
        <f>IFERROR(IF(ISBLANK(B17),"",B17),"")</f>
        <v/>
      </c>
      <c r="C324" s="3079" t="str">
        <f>IFERROR(IF(ISBLANK($B324),"",VLOOKUP($B324,PO_Enrgy_1_Table,MATCH($C$16,PO_Enrgy_1_Hdr,0),FALSE) ),"")</f>
        <v/>
      </c>
      <c r="D324" s="3080" t="str">
        <f>IF(C324="","",VLOOKUP(C324,ProjectEnergyTypeTable,3,FALSE))</f>
        <v/>
      </c>
      <c r="E324" s="555">
        <f>IFERROR(VLOOKUP($B324,PO_Enrgy_13_Table,MATCH($E$291,PO_Enrgy_13_Hdr,0),FALSE),"")</f>
        <v>0</v>
      </c>
      <c r="F324" s="555" t="str">
        <f>IFERROR(E324*$R324,"")</f>
        <v/>
      </c>
      <c r="G324" s="572">
        <f>IFERROR(VLOOKUP($B324,PO_Enrgy_13_Table,MATCH($G$291,PO_Enrgy_13_Hdr,0),FALSE),"")</f>
        <v>0</v>
      </c>
      <c r="H324" s="555">
        <f>IFERROR(VLOOKUP($B324,PO_Enrgy_14_Table,MATCH($H$291,PO_Enrgy_14_Hdr,0),FALSE),"")</f>
        <v>0</v>
      </c>
      <c r="I324" s="555" t="str">
        <f>IFERROR(H324*$R324,"")</f>
        <v/>
      </c>
      <c r="J324" s="555">
        <f>IFERROR(VLOOKUP($B324,PO_Enrgy_14_Table,MATCH($J$291,PO_Enrgy_14_Hdr,0),FALSE),"")</f>
        <v>0</v>
      </c>
      <c r="K324" s="3084" t="str">
        <f>IFERROR(1-H324/E324,"")</f>
        <v/>
      </c>
      <c r="L324" s="3085"/>
      <c r="M324" s="659" t="str">
        <f>IFERROR(1-J324/G324,"")</f>
        <v/>
      </c>
      <c r="Q324" s="627" t="str">
        <f>IFERROR(IF(ISBLANK($B324),"",VLOOKUP($B324,PO_Enrgy_1_Table,MATCH($K$16,PO_Enrgy_1_Hdr,0),FALSE)),"")</f>
        <v/>
      </c>
      <c r="R324" s="627" t="str">
        <f>IFERROR(IF(ISBLANK($B324),"",VLOOKUP($B324,PO_Enrgy_1_Table,MATCH($M$16,PO_Enrgy_1_Hdr,0),FALSE)),"")</f>
        <v/>
      </c>
      <c r="AH324" s="263"/>
      <c r="AI324" s="263"/>
      <c r="AJ324" s="2"/>
      <c r="AL324" s="267"/>
      <c r="AM324" s="268"/>
      <c r="BC324" s="804"/>
    </row>
    <row r="325" spans="1:60" ht="15" customHeight="1" x14ac:dyDescent="0.25">
      <c r="A325" s="433" t="s">
        <v>1038</v>
      </c>
      <c r="B325" s="577" t="str">
        <f>IFERROR(IF(ISBLANK(B18),"",B18),"")</f>
        <v/>
      </c>
      <c r="C325" s="3079" t="str">
        <f>IFERROR(IF(ISBLANK($B325),"",VLOOKUP($B325,PO_Enrgy_1_Table,MATCH($C$16,PO_Enrgy_1_Hdr,0),FALSE) ),"")</f>
        <v/>
      </c>
      <c r="D325" s="3080" t="str">
        <f>IF(C325="","",VLOOKUP(C325,ProjectEnergyTypeTable,3,FALSE))</f>
        <v/>
      </c>
      <c r="E325" s="555">
        <f>IFERROR(VLOOKUP($B325,PO_Enrgy_13_Table,MATCH($E$291,PO_Enrgy_13_Hdr,0),FALSE),"")</f>
        <v>0</v>
      </c>
      <c r="F325" s="555" t="str">
        <f>IFERROR(E325*$R325,"")</f>
        <v/>
      </c>
      <c r="G325" s="572">
        <f>IFERROR(VLOOKUP($B325,PO_Enrgy_13_Table,MATCH($G$291,PO_Enrgy_13_Hdr,0),FALSE),"")</f>
        <v>0</v>
      </c>
      <c r="H325" s="555">
        <f>IFERROR(VLOOKUP($B325,PO_Enrgy_14_Table,MATCH($H$291,PO_Enrgy_14_Hdr,0),FALSE),"")</f>
        <v>0</v>
      </c>
      <c r="I325" s="555" t="str">
        <f>IFERROR(H325*$R325,"")</f>
        <v/>
      </c>
      <c r="J325" s="555">
        <f>IFERROR(VLOOKUP($B325,PO_Enrgy_14_Table,MATCH($J$291,PO_Enrgy_14_Hdr,0),FALSE),"")</f>
        <v>0</v>
      </c>
      <c r="K325" s="3084" t="str">
        <f>IFERROR(1-H325/E325,"")</f>
        <v/>
      </c>
      <c r="L325" s="3085"/>
      <c r="M325" s="659" t="str">
        <f>IFERROR(1-J325/G325,"")</f>
        <v/>
      </c>
      <c r="Q325" s="627" t="str">
        <f>IFERROR(IF(ISBLANK($B325),"",VLOOKUP($B325,PO_Enrgy_1_Table,MATCH($K$16,PO_Enrgy_1_Hdr,0),FALSE)),"")</f>
        <v/>
      </c>
      <c r="R325" s="627" t="str">
        <f>IFERROR(IF(ISBLANK($B325),"",VLOOKUP($B325,PO_Enrgy_1_Table,MATCH($M$16,PO_Enrgy_1_Hdr,0),FALSE)),"")</f>
        <v/>
      </c>
      <c r="AH325" s="263"/>
      <c r="AI325" s="263"/>
      <c r="AJ325" s="2"/>
      <c r="AL325" s="267"/>
      <c r="AM325" s="268"/>
      <c r="BC325" s="804"/>
    </row>
    <row r="326" spans="1:60" ht="15" customHeight="1" x14ac:dyDescent="0.25">
      <c r="A326" s="433" t="s">
        <v>1038</v>
      </c>
      <c r="B326" s="577" t="str">
        <f>IFERROR(IF(ISBLANK(B19),"",B19),"")</f>
        <v/>
      </c>
      <c r="C326" s="3079" t="str">
        <f>IFERROR(IF(ISBLANK($B326),"",VLOOKUP($B326,PO_Enrgy_1_Table,MATCH($C$16,PO_Enrgy_1_Hdr,0),FALSE) ),"")</f>
        <v/>
      </c>
      <c r="D326" s="3080" t="str">
        <f>IF(C326="","",VLOOKUP(C326,ProjectEnergyTypeTable,3,FALSE))</f>
        <v/>
      </c>
      <c r="E326" s="555">
        <f>IFERROR(VLOOKUP($B326,PO_Enrgy_13_Table,MATCH($E$291,PO_Enrgy_13_Hdr,0),FALSE),"")</f>
        <v>0</v>
      </c>
      <c r="F326" s="555" t="str">
        <f>IFERROR(E326*$R326,"")</f>
        <v/>
      </c>
      <c r="G326" s="572">
        <f>IFERROR(VLOOKUP($B326,PO_Enrgy_13_Table,MATCH($G$291,PO_Enrgy_13_Hdr,0),FALSE),"")</f>
        <v>0</v>
      </c>
      <c r="H326" s="555">
        <f>IFERROR(VLOOKUP($B326,PO_Enrgy_14_Table,MATCH($H$291,PO_Enrgy_14_Hdr,0),FALSE),"")</f>
        <v>0</v>
      </c>
      <c r="I326" s="555" t="str">
        <f>IFERROR(H326*$R326,"")</f>
        <v/>
      </c>
      <c r="J326" s="555">
        <f>IFERROR(VLOOKUP($B326,PO_Enrgy_14_Table,MATCH($J$291,PO_Enrgy_14_Hdr,0),FALSE),"")</f>
        <v>0</v>
      </c>
      <c r="K326" s="3084" t="str">
        <f>IFERROR(1-H326/E326,"")</f>
        <v/>
      </c>
      <c r="L326" s="3085"/>
      <c r="M326" s="659" t="str">
        <f>IFERROR(1-J326/G326,"")</f>
        <v/>
      </c>
      <c r="Q326" s="627" t="str">
        <f>IFERROR(IF(ISBLANK($B326),"",VLOOKUP($B326,PO_Enrgy_1_Table,MATCH($K$16,PO_Enrgy_1_Hdr,0),FALSE)),"")</f>
        <v/>
      </c>
      <c r="R326" s="627" t="str">
        <f>IFERROR(IF(ISBLANK($B326),"",VLOOKUP($B326,PO_Enrgy_1_Table,MATCH($M$16,PO_Enrgy_1_Hdr,0),FALSE)),"")</f>
        <v/>
      </c>
      <c r="AH326" s="263"/>
      <c r="AI326" s="263"/>
      <c r="AJ326" s="2"/>
      <c r="AL326" s="267"/>
      <c r="AM326" s="268"/>
      <c r="BC326" s="804"/>
    </row>
    <row r="327" spans="1:60" ht="21" customHeight="1" x14ac:dyDescent="0.25">
      <c r="A327" s="433" t="s">
        <v>1038</v>
      </c>
      <c r="B327" s="3141" t="s">
        <v>122</v>
      </c>
      <c r="C327" s="3142"/>
      <c r="D327" s="3142"/>
      <c r="E327" s="547">
        <f>IFERROR(SUMPRODUCT(INDEX(PO_Enrgy_16_Table,0,MATCH(E$323,PO_Enrgy_16_Hdr,0)),INDEX(PO_Enrgy_16_Table,0,MATCH($Q$323,PO_Enrgy_16_Hdr,0))),"")</f>
        <v>0</v>
      </c>
      <c r="F327" s="527">
        <f>IFERROR(SUM(INDEX(PO_Enrgy_16_Table,0,MATCH(F$323,PO_Enrgy_16_Hdr,0))),"")</f>
        <v>0</v>
      </c>
      <c r="G327" s="529">
        <f>IFERROR(SUM(INDEX(PO_Enrgy_16_Table,0,MATCH(G$323,PO_Enrgy_16_Hdr,0))),"")</f>
        <v>0</v>
      </c>
      <c r="H327" s="547">
        <f>IFERROR(SUMPRODUCT(INDEX(PO_Enrgy_16_Table,0,MATCH(H$323,PO_Enrgy_16_Hdr,0)),INDEX(PO_Enrgy_16_Table,0,MATCH($Q$323,PO_Enrgy_16_Hdr,0))),"")</f>
        <v>0</v>
      </c>
      <c r="I327" s="527">
        <f>IFERROR(SUM(INDEX(PO_Enrgy_16_Table,0,MATCH(I$323,PO_Enrgy_16_Hdr,0))),"")</f>
        <v>0</v>
      </c>
      <c r="J327" s="529">
        <f>IFERROR(SUM(INDEX(PO_Enrgy_16_Table,0,MATCH(J$323,PO_Enrgy_16_Hdr,0))),"")</f>
        <v>0</v>
      </c>
      <c r="K327" s="3090" t="str">
        <f>IFERROR(1-H327/E327,"")</f>
        <v/>
      </c>
      <c r="L327" s="3085"/>
      <c r="M327" s="578" t="str">
        <f>IFERROR(1-J327/G327,"")</f>
        <v/>
      </c>
      <c r="AJ327" s="2"/>
      <c r="BC327" s="804"/>
    </row>
    <row r="328" spans="1:60" ht="21" customHeight="1" x14ac:dyDescent="0.25">
      <c r="A328" s="433" t="s">
        <v>1038</v>
      </c>
      <c r="B328" s="3182" t="s">
        <v>1028</v>
      </c>
      <c r="C328" s="3142"/>
      <c r="D328" s="3142"/>
      <c r="E328" s="3142"/>
      <c r="F328" s="3142"/>
      <c r="G328" s="3183"/>
      <c r="H328" s="3183"/>
      <c r="I328" s="3183"/>
      <c r="J328" s="3183"/>
      <c r="K328" s="3184"/>
      <c r="L328" s="3184"/>
      <c r="M328" s="560" t="str">
        <f>$M$327</f>
        <v/>
      </c>
      <c r="AJ328" s="2"/>
      <c r="BC328" s="804"/>
    </row>
    <row r="329" spans="1:60" ht="33" customHeight="1" x14ac:dyDescent="0.25">
      <c r="A329" s="433" t="s">
        <v>1038</v>
      </c>
      <c r="C329" s="329"/>
      <c r="D329" s="329"/>
      <c r="E329" s="338"/>
      <c r="F329" s="251"/>
      <c r="G329" s="250"/>
      <c r="H329" s="251"/>
      <c r="I329" s="250"/>
      <c r="J329" s="298"/>
      <c r="AJ329" s="2"/>
    </row>
    <row r="330" spans="1:60" s="347" customFormat="1" ht="21.75" customHeight="1" x14ac:dyDescent="0.25">
      <c r="A330" s="433" t="s">
        <v>1038</v>
      </c>
      <c r="B330" s="196" t="s">
        <v>906</v>
      </c>
      <c r="E330" s="9"/>
      <c r="H330" s="9"/>
      <c r="I330" s="9"/>
      <c r="J330" s="9"/>
      <c r="M330" s="9"/>
      <c r="N330" s="9"/>
      <c r="O330" s="9"/>
      <c r="T330" s="42"/>
      <c r="U330" s="42"/>
      <c r="V330" s="42"/>
      <c r="W330" s="42"/>
      <c r="X330" s="42"/>
      <c r="Y330" s="42"/>
      <c r="Z330" s="42"/>
      <c r="AA330" s="42"/>
      <c r="AD330" s="42"/>
      <c r="AE330" s="42"/>
      <c r="AF330" s="42"/>
      <c r="AG330" s="42"/>
      <c r="AH330" s="42"/>
      <c r="AI330" s="42"/>
      <c r="AJ330" s="42"/>
      <c r="AK330" s="42"/>
      <c r="AL330" s="42"/>
      <c r="AM330" s="42"/>
      <c r="AN330" s="42"/>
      <c r="AO330" s="42"/>
      <c r="AP330" s="42"/>
      <c r="AQ330" s="42"/>
      <c r="AR330" s="42"/>
      <c r="AS330" s="42"/>
      <c r="AT330" s="42"/>
      <c r="AU330" s="42"/>
      <c r="AV330" s="42"/>
      <c r="AW330" s="42"/>
      <c r="AX330" s="42"/>
      <c r="AY330" s="42"/>
      <c r="AZ330" s="42"/>
      <c r="BA330" s="42"/>
      <c r="BB330" s="42"/>
      <c r="BC330" s="42"/>
      <c r="BD330" s="42"/>
      <c r="BE330" s="42"/>
      <c r="BF330" s="42"/>
      <c r="BG330" s="42"/>
      <c r="BH330" s="42"/>
    </row>
    <row r="331" spans="1:60" s="347" customFormat="1" ht="21.75" customHeight="1" x14ac:dyDescent="0.25">
      <c r="A331" s="433"/>
      <c r="B331" s="333" t="s">
        <v>1466</v>
      </c>
      <c r="E331" s="9"/>
      <c r="H331" s="9"/>
      <c r="I331" s="9"/>
      <c r="J331" s="9"/>
      <c r="M331" s="9"/>
      <c r="N331" s="9"/>
      <c r="O331" s="9"/>
      <c r="T331" s="42"/>
      <c r="U331" s="42"/>
      <c r="V331" s="42"/>
      <c r="W331" s="42"/>
      <c r="X331" s="42"/>
      <c r="Y331" s="42"/>
      <c r="Z331" s="42"/>
      <c r="AA331" s="42"/>
      <c r="AD331" s="42"/>
      <c r="AE331" s="42"/>
      <c r="AF331" s="42"/>
      <c r="AG331" s="42"/>
      <c r="AH331" s="42"/>
      <c r="AI331" s="42"/>
      <c r="AJ331" s="42"/>
      <c r="AK331" s="42"/>
      <c r="AL331" s="42"/>
      <c r="AM331" s="42"/>
      <c r="AN331" s="42"/>
      <c r="AO331" s="42"/>
      <c r="AP331" s="42"/>
      <c r="AQ331" s="42"/>
      <c r="AR331" s="42"/>
      <c r="AS331" s="42"/>
      <c r="AT331" s="42"/>
      <c r="AU331" s="42"/>
      <c r="AV331" s="42"/>
      <c r="AW331" s="42"/>
      <c r="AX331" s="42"/>
      <c r="AY331" s="42"/>
      <c r="AZ331" s="42"/>
      <c r="BA331" s="42"/>
      <c r="BB331" s="42"/>
      <c r="BC331" s="42"/>
      <c r="BD331" s="42"/>
      <c r="BE331" s="42"/>
      <c r="BF331" s="42"/>
      <c r="BG331" s="42"/>
      <c r="BH331" s="42"/>
    </row>
    <row r="332" spans="1:60" ht="33" customHeight="1" x14ac:dyDescent="0.25">
      <c r="A332" s="433" t="s">
        <v>1038</v>
      </c>
      <c r="B332" s="3100" t="s">
        <v>906</v>
      </c>
      <c r="C332" s="3100"/>
      <c r="D332" s="3100"/>
      <c r="E332" s="3100"/>
      <c r="F332" s="3100" t="s">
        <v>272</v>
      </c>
      <c r="G332" s="3185"/>
      <c r="H332" s="3185"/>
      <c r="I332" s="3100" t="s">
        <v>273</v>
      </c>
      <c r="J332" s="3185"/>
      <c r="K332" s="3185"/>
      <c r="L332" s="3185"/>
      <c r="M332" s="3185"/>
    </row>
    <row r="333" spans="1:60" ht="15" customHeight="1" x14ac:dyDescent="0.25">
      <c r="A333" s="433" t="s">
        <v>1038</v>
      </c>
      <c r="B333" s="3174" t="s">
        <v>353</v>
      </c>
      <c r="C333" s="3175"/>
      <c r="D333" s="3175"/>
      <c r="E333" s="3175"/>
      <c r="F333" s="3111"/>
      <c r="G333" s="3176"/>
      <c r="H333" s="3176"/>
      <c r="I333" s="3177"/>
      <c r="J333" s="3176"/>
      <c r="K333" s="3176"/>
      <c r="L333" s="3176"/>
      <c r="M333" s="3176"/>
      <c r="BC333" s="804"/>
    </row>
    <row r="334" spans="1:60" ht="15" customHeight="1" x14ac:dyDescent="0.25">
      <c r="A334" s="433" t="s">
        <v>1038</v>
      </c>
      <c r="B334" s="3174" t="s">
        <v>352</v>
      </c>
      <c r="C334" s="3175"/>
      <c r="D334" s="3175"/>
      <c r="E334" s="3175"/>
      <c r="F334" s="3111"/>
      <c r="G334" s="3176"/>
      <c r="H334" s="3176"/>
      <c r="I334" s="3177"/>
      <c r="J334" s="3176"/>
      <c r="K334" s="3176"/>
      <c r="L334" s="3176"/>
      <c r="M334" s="3176"/>
      <c r="BC334" s="804"/>
    </row>
    <row r="335" spans="1:60" ht="18" customHeight="1" x14ac:dyDescent="0.25">
      <c r="A335" s="433" t="s">
        <v>1038</v>
      </c>
      <c r="B335" s="3170" t="s">
        <v>122</v>
      </c>
      <c r="C335" s="3171"/>
      <c r="D335" s="3171"/>
      <c r="E335" s="3171"/>
      <c r="F335" s="3169">
        <f>IF(ISERROR(F333+F334),0,F333+F334)</f>
        <v>0</v>
      </c>
      <c r="G335" s="3120"/>
      <c r="H335" s="3120"/>
      <c r="I335" s="3169">
        <f>IF(ISERROR(I333+I334),0,I333+I334)</f>
        <v>0</v>
      </c>
      <c r="J335" s="3120"/>
      <c r="K335" s="3120"/>
      <c r="L335" s="3120"/>
      <c r="M335" s="3120"/>
      <c r="BC335" s="804"/>
    </row>
    <row r="336" spans="1:60" ht="18" customHeight="1" x14ac:dyDescent="0.25">
      <c r="A336" s="433" t="s">
        <v>1038</v>
      </c>
      <c r="B336" s="3170" t="s">
        <v>351</v>
      </c>
      <c r="C336" s="3171"/>
      <c r="D336" s="3171"/>
      <c r="E336" s="3171"/>
      <c r="F336" s="3169" t="str">
        <f>IF(ISERROR(OR(F333+F334,I333+I334)),"Enter numbers only",
     IF(OR(F335&gt;300,I335&gt;300),"No","Yes"))</f>
        <v>Yes</v>
      </c>
      <c r="G336" s="3089"/>
      <c r="H336" s="3089"/>
      <c r="I336" s="3120"/>
      <c r="J336" s="3120"/>
      <c r="K336" s="3120"/>
      <c r="L336" s="3120"/>
      <c r="M336" s="3120"/>
      <c r="BC336" s="804"/>
    </row>
    <row r="337" spans="2:13" ht="33" customHeight="1" x14ac:dyDescent="0.25">
      <c r="C337" s="3172" t="str">
        <f>IF(ISERROR(F335+I335),"",IF(OR(I335&gt;300,F335&gt;300),"Revise the model so that the unmet load hours for both the baseline and proposed case are 300 hours or less",""))</f>
        <v/>
      </c>
      <c r="D337" s="3173"/>
      <c r="E337" s="3173"/>
      <c r="F337" s="3173"/>
      <c r="G337" s="3173"/>
      <c r="H337" s="275"/>
    </row>
    <row r="338" spans="2:13" ht="30" customHeight="1" x14ac:dyDescent="0.25">
      <c r="B338" s="285" t="s">
        <v>703</v>
      </c>
    </row>
    <row r="339" spans="2:13" ht="12.75" customHeight="1" x14ac:dyDescent="0.25">
      <c r="B339" s="3163" t="str">
        <f>IF(MultipleBuildingsExist="No","General information","Multiple Building Details")</f>
        <v>General information</v>
      </c>
      <c r="C339" s="772" t="str">
        <f>"Total Area "&amp;IF(SI_IP_Units="IP","(sq ft)","(sq m)")</f>
        <v>Total Area (sq ft)</v>
      </c>
      <c r="D339" s="740"/>
      <c r="E339" s="740"/>
      <c r="F339" s="740"/>
      <c r="G339" s="740"/>
      <c r="H339" s="740"/>
      <c r="I339" s="740"/>
      <c r="J339" s="740"/>
      <c r="K339" s="740"/>
      <c r="L339" s="740"/>
      <c r="M339" s="741"/>
    </row>
    <row r="340" spans="2:13" x14ac:dyDescent="0.25">
      <c r="B340" s="3165"/>
      <c r="C340" s="773">
        <f ca="1">IFERROR(IF(MultipleBuildingsExist="No",
GI_BldgArea,
SUMIF(MBD_BS_Index,$H$5,OFFSET(MBD_BS_Index,0,MATCH('1 - Multiple Buildings Details'!$G$22,MBD_BS_Hdr,0)-1,1,1))+SUMIF(MBD_BS_Index,$H$5,OFFSET(MBD_BS_Index,0,MATCH('1 - Multiple Buildings Details'!$H$22,MBD_BS_Hdr,0)-1,1,1))),"")</f>
        <v>0</v>
      </c>
      <c r="D340" s="743"/>
      <c r="E340" s="743"/>
      <c r="F340" s="743"/>
      <c r="G340" s="743"/>
      <c r="H340" s="743"/>
      <c r="I340" s="743"/>
      <c r="J340" s="743"/>
      <c r="K340" s="743"/>
      <c r="L340" s="743"/>
      <c r="M340" s="744"/>
    </row>
    <row r="341" spans="2:13" ht="38.25" customHeight="1" x14ac:dyDescent="0.25">
      <c r="B341" s="3163" t="s">
        <v>241</v>
      </c>
      <c r="C341" s="771" t="str">
        <f>"Total Area "&amp;IF(SI_IP_Units="IP","(sq ft)","(sq m)")</f>
        <v>Total Area (sq ft)</v>
      </c>
      <c r="D341" s="737" t="s">
        <v>1486</v>
      </c>
      <c r="E341" s="737"/>
      <c r="F341" s="736" t="s">
        <v>1485</v>
      </c>
      <c r="G341" s="736" t="s">
        <v>1592</v>
      </c>
      <c r="H341" s="736" t="s">
        <v>1593</v>
      </c>
      <c r="I341" s="736" t="s">
        <v>1594</v>
      </c>
      <c r="J341" s="736" t="s">
        <v>1595</v>
      </c>
      <c r="K341" s="739"/>
      <c r="L341" s="745"/>
      <c r="M341" s="741"/>
    </row>
    <row r="342" spans="2:13" x14ac:dyDescent="0.25">
      <c r="B342" s="3165"/>
      <c r="C342" s="761" t="str">
        <f ca="1">IFERROR(IF(L_LPDmethod=1,SUMIF(L_BAMInput_Index,$H$5,OFFSET(L_BAMInput_Index,0,MATCH('6b - General Lighting'!$D$32,Lighting_Residential_Hdr,0)-1)),SUMIF(L_SxSInput_Index,$H$5,OFFSET(L_SxSInput_Index,0,MATCH('6b - General Lighting'!$E$61,Lighting_SxS_Residential_Hdr,0)-1))),"")</f>
        <v/>
      </c>
      <c r="D342" s="774" t="str">
        <f ca="1">IFERROR(OFFSET(L_IL_SumTable,MATCH($H$5,L_IL_SumIndex,0)-1,MATCH('6b - General Lighting'!$L$107,L_IL_SumHdr,0)-1,1,1),"")</f>
        <v>Base_Power</v>
      </c>
      <c r="E342" s="761"/>
      <c r="F342" s="768" t="str">
        <f ca="1">IFERROR(OFFSET(L_IL_SumTable,MATCH($H$5,L_IL_SumIndex,0)-1,MATCH('6b - General Lighting'!$O$107,L_IL_SumHdr,0)-1,1,1),"")</f>
        <v>Design_Power</v>
      </c>
      <c r="G342" s="769">
        <f ca="1">IFERROR(OFFSET(L_ExtSum_Table,1,MATCH('6b - General Lighting'!$J$172,L_ExtSum_Hdr,0)-1,1,1),"")</f>
        <v>0</v>
      </c>
      <c r="H342" s="724">
        <f ca="1">IFERROR(OFFSET(L_ExtSum_Table,1,MATCH('6b - General Lighting'!$M$172,L_ExtSum_Hdr,0)-1,1,1),"")</f>
        <v>0</v>
      </c>
      <c r="I342" s="724" t="str">
        <f ca="1">IFERROR(OFFSET(L_LtgZone_Table,1,MATCH('6b - General Lighting'!$M$134,L_LtgZone_Hdr,0)-1,1,1)+OFFSET(L_NTSurface_Table,MATCH('6b - General Lighting'!$B$166,L_NTSurface_Index,0)-1,MATCH('6b - General Lighting'!$J$159,L_NTSurface_Hdr,0)-1,1,1),"")</f>
        <v/>
      </c>
      <c r="J342" s="770">
        <f ca="1">IFERROR(OFFSET(L_NTSurface_Table,MATCH('6b - General Lighting'!$B$166,L_NTSurface_Index,0)-1,MATCH('6b - General Lighting'!$M$159,L_NTSurface_Hdr,0)-1,1,1),"")</f>
        <v>0</v>
      </c>
      <c r="K342" s="742"/>
      <c r="L342" s="743"/>
      <c r="M342" s="744"/>
    </row>
    <row r="343" spans="2:13" ht="12.75" customHeight="1" x14ac:dyDescent="0.25">
      <c r="B343" s="3163" t="s">
        <v>843</v>
      </c>
      <c r="C343" s="762" t="s">
        <v>1479</v>
      </c>
      <c r="D343" s="714" t="s">
        <v>1480</v>
      </c>
      <c r="E343" s="714"/>
      <c r="F343" s="746" t="s">
        <v>1581</v>
      </c>
      <c r="G343" s="739"/>
      <c r="H343" s="740"/>
      <c r="I343" s="740"/>
      <c r="J343" s="740"/>
      <c r="K343" s="740"/>
      <c r="L343" s="740"/>
      <c r="M343" s="741"/>
    </row>
    <row r="344" spans="2:13" x14ac:dyDescent="0.25">
      <c r="B344" s="3165"/>
      <c r="C344" s="763">
        <f ca="1">IFERROR(SUMIF('4 - Shading and Fenestration'!S:S,$H$5,'4 - Shading and Fenestration'!T:T),"")</f>
        <v>0</v>
      </c>
      <c r="D344" s="722" t="b">
        <f ca="1">IF(IFERROR(COUNTIFS('4 - Shading and Fenestration'!S:S,$H$5,'4 - Shading and Fenestration'!U:U,TRUE),"")&gt;0,TRUE,FALSE)</f>
        <v>0</v>
      </c>
      <c r="E344" s="730"/>
      <c r="F344" s="721" t="str">
        <f ca="1">IFERROR(OFFSET('4 - Shading and Fenestration'!S:U,MATCH(CONCATENATE($H$5, " zones"),'4 - Shading and Fenestration'!S:S,0)-1,1,1,1),"")</f>
        <v/>
      </c>
      <c r="G344" s="742"/>
      <c r="H344" s="743"/>
      <c r="I344" s="743"/>
      <c r="J344" s="743"/>
      <c r="K344" s="743"/>
      <c r="L344" s="743"/>
      <c r="M344" s="744"/>
    </row>
    <row r="345" spans="2:13" ht="41.25" customHeight="1" x14ac:dyDescent="0.25">
      <c r="B345" s="3163" t="s">
        <v>1591</v>
      </c>
      <c r="C345" s="764" t="s">
        <v>1481</v>
      </c>
      <c r="D345" s="737" t="s">
        <v>1482</v>
      </c>
      <c r="E345" s="737"/>
      <c r="F345" s="736" t="s">
        <v>1486</v>
      </c>
      <c r="G345" s="736" t="s">
        <v>1485</v>
      </c>
      <c r="H345" s="736" t="s">
        <v>1596</v>
      </c>
      <c r="I345" s="736" t="s">
        <v>1597</v>
      </c>
      <c r="J345" s="736" t="s">
        <v>1598</v>
      </c>
      <c r="K345" s="737" t="s">
        <v>1487</v>
      </c>
      <c r="L345" s="737"/>
      <c r="M345" s="747"/>
    </row>
    <row r="346" spans="2:13" x14ac:dyDescent="0.25">
      <c r="B346" s="3164"/>
      <c r="C346" s="765">
        <f ca="1">IFERROR(MAX(OFFSET(PO_design_table,MATCH($B$171,PO_design_index,0)-2,MATCH($S$170,PO_design_hdr,0)-1,1,1)),"")</f>
        <v>0</v>
      </c>
      <c r="D346" s="717">
        <f ca="1">IFERROR(MAX(OFFSET(PO_design_table,MATCH($B$171,PO_design_index,0)-2,MATCH($T$170,PO_design_hdr,0)-1,1,1)),"")</f>
        <v>0</v>
      </c>
      <c r="E346" s="716"/>
      <c r="F346" s="713">
        <f ca="1">IFERROR(MAX(OFFSET(PO_design_table,MATCH($B$171,PO_design_index,0)-1,MATCH($G$170,PO_design_hdr,0)-1,1,1)),"")</f>
        <v>0</v>
      </c>
      <c r="G346" s="713">
        <f ca="1">IFERROR(MAX(OFFSET(PO_design_table,MATCH($B$171,PO_design_index,0)-1,MATCH($H$170,PO_design_hdr,0)-1,1,1)),"")</f>
        <v>0</v>
      </c>
      <c r="H346" s="713">
        <f ca="1">IFERROR(MAX(OFFSET(PO_design_table,MATCH($B$173,PO_design_index,0)-2,MATCH($G$170,PO_design_hdr,0)-1,1,1)),"")</f>
        <v>0</v>
      </c>
      <c r="I346" s="713">
        <f ca="1">IFERROR(MAX(OFFSET(PO_design_table,MATCH($B$173,PO_design_index,0)-2,MATCH($H$170,PO_design_hdr,0)-1,1,1)),"")</f>
        <v>0</v>
      </c>
      <c r="J346" s="713">
        <f ca="1">IFERROR(MAX(OFFSET(PO_design_table,MATCH($B$173,PO_design_index,0)-2,MATCH($S$170,PO_design_hdr,0)-1,1,1)),"")</f>
        <v>0</v>
      </c>
      <c r="K346" s="716">
        <f ca="1">IFERROR(MAX(OFFSET(PO_design_table,MATCH($B$173,PO_design_index,0)-2,MATCH($T$170,PO_design_hdr,0)-1,1,1)),"")</f>
        <v>0</v>
      </c>
      <c r="L346" s="722"/>
      <c r="M346" s="748"/>
    </row>
    <row r="347" spans="2:13" ht="38.25" customHeight="1" x14ac:dyDescent="0.25">
      <c r="B347" s="3164"/>
      <c r="C347" s="760" t="s">
        <v>1592</v>
      </c>
      <c r="D347" s="737" t="s">
        <v>1593</v>
      </c>
      <c r="E347" s="737"/>
      <c r="F347" s="736" t="s">
        <v>1599</v>
      </c>
      <c r="G347" s="736" t="s">
        <v>1600</v>
      </c>
      <c r="H347" s="736" t="s">
        <v>1601</v>
      </c>
      <c r="I347" s="736" t="s">
        <v>1602</v>
      </c>
      <c r="J347" s="736" t="s">
        <v>1603</v>
      </c>
      <c r="K347" s="737" t="s">
        <v>1604</v>
      </c>
      <c r="L347" s="737"/>
      <c r="M347" s="736" t="s">
        <v>1499</v>
      </c>
    </row>
    <row r="348" spans="2:13" x14ac:dyDescent="0.25">
      <c r="B348" s="3164"/>
      <c r="C348" s="761">
        <f ca="1">IFERROR(MAX(OFFSET(PO_design_table,MATCH($B$173,PO_design_index,0)-1,MATCH($G$170,PO_design_hdr,0)-1,1,1)),"")</f>
        <v>0</v>
      </c>
      <c r="D348" s="716">
        <f ca="1">IFERROR(MAX(OFFSET(PO_design_table,MATCH($B$173,PO_design_index,0)-1,MATCH($H$170,PO_design_hdr,0)-1,1,1)),"")</f>
        <v>0</v>
      </c>
      <c r="E348" s="716"/>
      <c r="F348" s="713" t="str">
        <f ca="1">IFERROR((OFFSET(PO_design_table,MATCH($B$189,PO_design_index,0)-2,MATCH($G$170,PO_design_hdr,0)-1,1,1)*OFFSET(PO_design_table,MATCH($B$189,PO_design_index,0)-2,MATCH($Q$170,PO_design_hdr,0)-1,1,1))/OFFSET(PO_ModelSubtotal,0,4,1,1),"")</f>
        <v/>
      </c>
      <c r="G348" s="713" t="str">
        <f ca="1">IFERROR((OFFSET(PO_design_table,MATCH($B$189,PO_design_index,0)-2,MATCH($H$170,PO_design_hdr,0)-1,1,1)*OFFSET(PO_design_table,MATCH($B$189,PO_design_index,0)-2,MATCH($Q$170,PO_design_hdr,0)-1,1,1))/OFFSET(PO_ModelSubtotal,0,7,1,1),"")</f>
        <v/>
      </c>
      <c r="H348" s="713"/>
      <c r="I348" s="713" t="str">
        <f ca="1">IFERROR((OFFSET(PO_design_table,MATCH($B$187,PO_design_index,0)-2,MATCH($G$170,PO_design_hdr,0)-1,1,1)*OFFSET(PO_design_table,MATCH($B$187,PO_design_index,0)-2,MATCH($Q$170,PO_design_hdr,0)-1,1,1))/OFFSET(PO_ModelSubtotal,0,4,1,1),"")</f>
        <v/>
      </c>
      <c r="J348" s="713" t="str">
        <f ca="1">IFERROR((OFFSET(PO_design_table,MATCH($B$187,PO_design_index,0)-2,MATCH($H$170,PO_design_hdr,0)-1,1,1)*OFFSET(PO_design_table,MATCH($B$187,PO_design_index,0)-2,MATCH($Q$170,PO_design_hdr,0)-1,1,1))/OFFSET(PO_ModelSubtotal,0,7,1,1),"")</f>
        <v/>
      </c>
      <c r="K348" s="716">
        <f ca="1">IFERROR(MAX(OFFSET(PO_design_table,MATCH($B$179,PO_design_index,0)-2,MATCH($G$170,PO_design_hdr,0)-1,1,1)),"")</f>
        <v>0</v>
      </c>
      <c r="L348" s="716"/>
      <c r="M348" s="718">
        <f ca="1">IFERROR(MAX(OFFSET(PO_design_table,MATCH($B$183,PO_design_index,0)-2,MATCH($S$170,PO_design_hdr,0)-1,1,1)),"")</f>
        <v>0</v>
      </c>
    </row>
    <row r="349" spans="2:13" ht="38.25" customHeight="1" x14ac:dyDescent="0.25">
      <c r="B349" s="3164"/>
      <c r="C349" s="760" t="s">
        <v>1500</v>
      </c>
      <c r="D349" s="737" t="s">
        <v>1501</v>
      </c>
      <c r="E349" s="737"/>
      <c r="F349" s="736" t="s">
        <v>1502</v>
      </c>
      <c r="G349" s="736" t="s">
        <v>1505</v>
      </c>
      <c r="H349" s="736" t="s">
        <v>1605</v>
      </c>
      <c r="I349" s="736" t="s">
        <v>1606</v>
      </c>
      <c r="J349" s="736" t="s">
        <v>1607</v>
      </c>
      <c r="K349" s="737" t="s">
        <v>1608</v>
      </c>
      <c r="L349" s="737"/>
      <c r="M349" s="736" t="s">
        <v>1609</v>
      </c>
    </row>
    <row r="350" spans="2:13" x14ac:dyDescent="0.25">
      <c r="B350" s="3165"/>
      <c r="C350" s="761">
        <f ca="1">IFERROR(IFERROR(MAX(OFFSET(PO_design_table,MATCH($B$183,PO_design_index,0)-2,MATCH($T$170,PO_design_hdr,0)-1,1,1)),""),"")</f>
        <v>0</v>
      </c>
      <c r="D350" s="716">
        <f ca="1">IFERROR(IFERROR(MAX(OFFSET(PO_design_table,MATCH($B$183,PO_design_index,0)-1,MATCH($G$170,PO_design_hdr,0)-1,1,1)),""),"")</f>
        <v>0</v>
      </c>
      <c r="E350" s="716"/>
      <c r="F350" s="724">
        <f ca="1">IFERROR(IFERROR(MAX(OFFSET(PO_design_table,MATCH($B$183,PO_design_index,0)-1,MATCH($H$170,PO_design_hdr,0)-1,1,1)),""),"")</f>
        <v>0</v>
      </c>
      <c r="G350" s="724" t="str">
        <f ca="1">IFERROR(MAX(IFERROR(OFFSET(PO_renewable_table,MATCH("Photovoltaic system",PO_renewable_Index,0)-2,MATCH($S$32,PO_renewable_hdr,0)-1,1,1),0),
IFERROR(OFFSET(PO_renewable_table,MATCH("Solar thermal system",PO_renewable_Index,0)-2,MATCH($S$32,PO_renewable_hdr,0)-1,1,1),0)),"")</f>
        <v/>
      </c>
      <c r="H350" s="724"/>
      <c r="I350" s="724" t="str">
        <f ca="1">IFERROR(OFFSET(PO_Enrgy_8_Table,MATCH("Electricity",PO_Enrgy_8_Index,0)-2,MATCH($H$232,PO_Enrgy_8_Hdr,0)-1,1,1),"")</f>
        <v/>
      </c>
      <c r="J350" s="724" t="str">
        <f ca="1">IFERROR(OFFSET(PO_Enrgy_8_Table,MATCH("Natural Gas",PO_Enrgy_8_Index,0)-2,MATCH($H$232,PO_Enrgy_8_Hdr,0)-1,1,1),"")</f>
        <v/>
      </c>
      <c r="K350" s="725" t="str">
        <f>IFERROR(GetPerformanceOutputRangeSums("PO_QA_BaseExtLtgDem"),"")</f>
        <v>Error</v>
      </c>
      <c r="L350" s="725"/>
      <c r="M350" s="726" t="str">
        <f>IFERROR(GetPerformanceOutputRangeSums("PO_QA_DesignExtLtgDem"),"")</f>
        <v>Error</v>
      </c>
    </row>
    <row r="351" spans="2:13" x14ac:dyDescent="0.25">
      <c r="B351" s="3163" t="s">
        <v>239</v>
      </c>
      <c r="C351" s="766" t="s">
        <v>1492</v>
      </c>
      <c r="D351" s="719" t="s">
        <v>1493</v>
      </c>
      <c r="E351" s="759"/>
      <c r="F351" s="749"/>
      <c r="G351" s="750"/>
      <c r="H351" s="750"/>
      <c r="I351" s="750"/>
      <c r="J351" s="750"/>
      <c r="K351" s="750"/>
      <c r="L351" s="750"/>
      <c r="M351" s="751"/>
    </row>
    <row r="352" spans="2:13" x14ac:dyDescent="0.25">
      <c r="B352" s="3165"/>
      <c r="C352" s="765">
        <f ca="1">COUNTIFS(OFFSET(GHVAC_BHVACST_Index,0,MATCH('9 - General HVAC'!$D$29,GHVAC_BSysType_Hdr,0)-1),"System 2 - PTHP",
OFFSET(GHVAC_BHVACST_Index,0,MATCH('9 - General HVAC'!$B$29,GHVAC_BSysType_Hdr,0)-1),$H$5)+
COUNTIFS(OFFSET(GHVAC_BHVACST_Index,0,MATCH('9 - General HVAC'!$D$29,GHVAC_BSysType_Hdr,0)-1),"System 3 - PSZ-AC",
OFFSET(GHVAC_BHVACST_Index,0,MATCH('9 - General HVAC'!$B$29,GHVAC_BSysType_Hdr,0)-1),$H$5)+
COUNTIFS(OFFSET(GHVAC_BHVACST_Index,0,MATCH('9 - General HVAC'!$D$29,GHVAC_BSysType_Hdr,0)-1),"System 4 - PSZ-HP",
OFFSET(GHVAC_BHVACST_Index,0,MATCH('9 - General HVAC'!$B$29,GHVAC_BSysType_Hdr,0)-1),$H$5)+
COUNTIFS(OFFSET(GHVAC_BHVACST_Index,0,MATCH('9 - General HVAC'!$D$29,GHVAC_BSysType_Hdr,0)-1),"System 6 - Packaged VAV with PFP Boxes",
OFFSET(GHVAC_BHVACST_Index,0,MATCH('9 - General HVAC'!$B$29,GHVAC_BSysType_Hdr,0)-1),$H$5)+
COUNTIFS(OFFSET(GHVAC_BHVACST_Index,0,MATCH('9 - General HVAC'!$D$29,GHVAC_BSysType_Hdr,0)-1),"System 8 - VAV with PFP Boxes",
OFFSET(GHVAC_BHVACST_Index,0,MATCH('9 - General HVAC'!$B$29,GHVAC_BSysType_Hdr,0)-1),$H$5)+
COUNTIFS(OFFSET(GHVAC_BHVACST_Index,0,MATCH('9 - General HVAC'!$D$29,GHVAC_BSysType_Hdr,0)-1),"System 9 - Heating and Ventilation",
OFFSET(GHVAC_BHVACST_Index,0,MATCH('9 - General HVAC'!$B$29,GHVAC_BSysType_Hdr,0)-1),$H$5)+
COUNTIFS(OFFSET(GHVAC_BHVACST_Index,0,MATCH('9 - General HVAC'!$D$29,GHVAC_BSysType_Hdr,0)-1),"System 10 - Heating and Ventilation",
OFFSET(GHVAC_BHVACST_Index,0,MATCH('9 - General HVAC'!$B$29,GHVAC_BSysType_Hdr,0)-1),$H$5)</f>
        <v>0</v>
      </c>
      <c r="D352" s="717">
        <f ca="1">COUNTIFS(OFFSET(GHVAC_BHVACST_Index,0,MATCH('9 - General HVAC'!$D$29,GHVAC_BSysType_Hdr,0)-1),"System 1 - PTAC",
OFFSET(GHVAC_BHVACST_Index,0,MATCH('9 - General HVAC'!$B$29,GHVAC_BSysType_Hdr,0)-1),$H$5)+
COUNTIFS(OFFSET(GHVAC_BHVACST_Index,0,MATCH('9 - General HVAC'!$D$29,GHVAC_BSysType_Hdr,0)-1),"System 5 - Packaged VAV with Reheat",
OFFSET(GHVAC_BHVACST_Index,0,MATCH('9 - General HVAC'!$B$29,GHVAC_BSysType_Hdr,0)-1),$H$5)+
COUNTIFS(OFFSET(GHVAC_BHVACST_Index,0,MATCH('9 - General HVAC'!$D$29,GHVAC_BSysType_Hdr,0)-1),"System 7 - VAV with Reheat",
OFFSET(GHVAC_BHVACST_Index,0,MATCH('9 - General HVAC'!$B$29,GHVAC_BSysType_Hdr,0)-1),$H$5)</f>
        <v>0</v>
      </c>
      <c r="E352" s="722"/>
      <c r="F352" s="752"/>
      <c r="G352" s="753"/>
      <c r="H352" s="753"/>
      <c r="I352" s="753"/>
      <c r="J352" s="753"/>
      <c r="K352" s="753"/>
      <c r="L352" s="753"/>
      <c r="M352" s="754"/>
    </row>
    <row r="353" spans="2:18" ht="25.5" customHeight="1" x14ac:dyDescent="0.25">
      <c r="B353" s="3163" t="s">
        <v>851</v>
      </c>
      <c r="C353" s="760" t="s">
        <v>1497</v>
      </c>
      <c r="D353" s="737" t="s">
        <v>1498</v>
      </c>
      <c r="E353" s="737"/>
      <c r="F353" s="738" t="s">
        <v>1495</v>
      </c>
      <c r="G353" s="738" t="s">
        <v>1496</v>
      </c>
      <c r="H353" s="736" t="s">
        <v>1610</v>
      </c>
      <c r="I353" s="736" t="s">
        <v>1611</v>
      </c>
      <c r="J353" s="736" t="s">
        <v>1612</v>
      </c>
      <c r="K353" s="737" t="s">
        <v>1613</v>
      </c>
      <c r="L353" s="737"/>
      <c r="M353" s="747"/>
    </row>
    <row r="354" spans="2:18" x14ac:dyDescent="0.25">
      <c r="B354" s="3164"/>
      <c r="C354" s="761">
        <f>IFERROR(SUMIFS(AHVAC_Base_FanFlow,AHVAC_Base_ID,$H$5),"")</f>
        <v>0</v>
      </c>
      <c r="D354" s="716">
        <f>IFERROR(SUMIFS(AHVAC_Design_FanFlow,AHVAC_Design_ID,$H$5),"")</f>
        <v>0</v>
      </c>
      <c r="E354" s="716"/>
      <c r="F354" s="727">
        <f>IFERROR(SUMIFS(AHVAC_Base_FanPower,AHVAC_Base_ID,$H$5),"")</f>
        <v>0</v>
      </c>
      <c r="G354" s="727">
        <f>IFERROR(SUMIFS(AHVAC_Design_FanPower,AHVAC_Design_ID,$H$5),"")</f>
        <v>0</v>
      </c>
      <c r="H354" s="724">
        <f>IFERROR(SUMIFS(AHVAC_Base_CoolingCap,AHVAC_Base_ID,$H$5),"")</f>
        <v>0</v>
      </c>
      <c r="I354" s="724">
        <f>IFERROR(SUMIFS(AHVAC_Design_CoolingCap,AHVAC_Design_ID,$H$5),"")</f>
        <v>0</v>
      </c>
      <c r="J354" s="724">
        <f>IFERROR(SUMIFS(AHVAC_Base_HeatingCap,AHVAC_Base_ID,$H$5),"")</f>
        <v>0</v>
      </c>
      <c r="K354" s="725">
        <f>IFERROR(SUMIFS(AHVAC_Design_HeatingCap,AHVAC_Design_ID,$H$5),"")</f>
        <v>0</v>
      </c>
      <c r="L354" s="728"/>
      <c r="M354" s="748"/>
    </row>
    <row r="355" spans="2:18" x14ac:dyDescent="0.25">
      <c r="B355" s="3164"/>
      <c r="C355" s="762" t="s">
        <v>1503</v>
      </c>
      <c r="D355" s="715" t="s">
        <v>1504</v>
      </c>
      <c r="E355" s="759"/>
      <c r="F355" s="755"/>
      <c r="G355" s="756"/>
      <c r="H355" s="750"/>
      <c r="I355" s="750"/>
      <c r="J355" s="750"/>
      <c r="K355" s="750"/>
      <c r="L355" s="750"/>
      <c r="M355" s="751"/>
    </row>
    <row r="356" spans="2:18" x14ac:dyDescent="0.25">
      <c r="B356" s="3165"/>
      <c r="C356" s="767">
        <f>IFERROR(SUMIFS(AHVAC_Base_OAFlow,AHVAC_Base_ID,$H$5),"")</f>
        <v>0</v>
      </c>
      <c r="D356" s="720">
        <f>IFERROR(SUMIFS(AHVAC_Design_OAFlow,AHVAC_Design_ID,$H$5),"")</f>
        <v>0</v>
      </c>
      <c r="E356" s="723"/>
      <c r="F356" s="757"/>
      <c r="G356" s="758"/>
      <c r="H356" s="753"/>
      <c r="I356" s="753"/>
      <c r="J356" s="753"/>
      <c r="K356" s="753"/>
      <c r="L356" s="753"/>
      <c r="M356" s="754"/>
    </row>
    <row r="357" spans="2:18" ht="30" customHeight="1" x14ac:dyDescent="0.25">
      <c r="C357" s="602"/>
      <c r="D357" s="603"/>
      <c r="E357" s="603"/>
    </row>
    <row r="358" spans="2:18" ht="17.399999999999999" x14ac:dyDescent="0.25">
      <c r="B358" s="731" t="s">
        <v>349</v>
      </c>
      <c r="C358" s="732"/>
      <c r="D358" s="732"/>
      <c r="E358" s="732"/>
      <c r="F358" s="733"/>
      <c r="G358" s="733"/>
      <c r="H358" s="733"/>
      <c r="I358" s="734" t="s">
        <v>1507</v>
      </c>
      <c r="J358" s="734"/>
      <c r="K358" s="734"/>
      <c r="L358" s="734"/>
      <c r="M358" s="735"/>
      <c r="Q358" s="627" t="s">
        <v>852</v>
      </c>
      <c r="R358" s="627" t="s">
        <v>1478</v>
      </c>
    </row>
    <row r="359" spans="2:18" ht="25.5" customHeight="1" x14ac:dyDescent="0.25">
      <c r="B359" s="4213" t="str">
        <f>"The total building area reported in the "&amp;IF(MultipleBuildingsExist="No","General Information", "Multiple Building Details")&amp; " tab differs from the total building area reported in the Lighting tab (Interior Lighting section) by more than 10%. Please check for consistency and verify that the building areas reported are accurate."</f>
        <v>The total building area reported in the General Information tab differs from the total building area reported in the Lighting tab (Interior Lighting section) by more than 10%. Please check for consistency and verify that the building areas reported are accurate.</v>
      </c>
      <c r="C359" s="4214"/>
      <c r="D359" s="4214"/>
      <c r="E359" s="4214"/>
      <c r="F359" s="4214"/>
      <c r="G359" s="4214"/>
      <c r="H359" s="4215"/>
      <c r="I359" s="4211"/>
      <c r="J359" s="4211"/>
      <c r="K359" s="4211"/>
      <c r="L359" s="4211"/>
      <c r="M359" s="4212"/>
      <c r="R359" s="627" t="b">
        <f ca="1">IFERROR(IF(ABS(C340-C342)/MIN(C340,C342)&gt;0.1,TRUE,FALSE),TRUE)</f>
        <v>1</v>
      </c>
    </row>
    <row r="360" spans="2:18" ht="25.5" customHeight="1" x14ac:dyDescent="0.25">
      <c r="B360" s="4186" t="s">
        <v>1469</v>
      </c>
      <c r="C360" s="4187"/>
      <c r="D360" s="4187"/>
      <c r="E360" s="4187"/>
      <c r="F360" s="4187"/>
      <c r="G360" s="4187"/>
      <c r="H360" s="4188"/>
      <c r="I360" s="3154"/>
      <c r="J360" s="3154"/>
      <c r="K360" s="3154"/>
      <c r="L360" s="3154"/>
      <c r="M360" s="3155"/>
      <c r="R360" s="627" t="b">
        <f ca="1">IFERROR(IF(C344&gt;0.01,TRUE,FALSE),TRUE)</f>
        <v>0</v>
      </c>
    </row>
    <row r="361" spans="2:18" ht="25.5" customHeight="1" x14ac:dyDescent="0.25">
      <c r="B361" s="4186" t="s">
        <v>1051</v>
      </c>
      <c r="C361" s="4187"/>
      <c r="D361" s="4187"/>
      <c r="E361" s="4187"/>
      <c r="F361" s="4187"/>
      <c r="G361" s="4187"/>
      <c r="H361" s="4188"/>
      <c r="I361" s="3154"/>
      <c r="J361" s="3154"/>
      <c r="K361" s="3154"/>
      <c r="L361" s="3154"/>
      <c r="M361" s="3155"/>
      <c r="R361" s="627" t="b">
        <f ca="1">IFERROR(IF(D344=TRUE,TRUE,FALSE),TRUE)</f>
        <v>0</v>
      </c>
    </row>
    <row r="362" spans="2:18" ht="40.5" customHeight="1" x14ac:dyDescent="0.25">
      <c r="B362" s="4186" t="s">
        <v>1052</v>
      </c>
      <c r="C362" s="4187"/>
      <c r="D362" s="4187"/>
      <c r="E362" s="4187"/>
      <c r="F362" s="4187"/>
      <c r="G362" s="4187"/>
      <c r="H362" s="4188"/>
      <c r="I362" s="3154"/>
      <c r="J362" s="3154"/>
      <c r="K362" s="3154"/>
      <c r="L362" s="3154"/>
      <c r="M362" s="3155"/>
      <c r="R362" s="627" t="b">
        <f ca="1">IFERROR(IF(OR(C346&gt;4000,D346&gt;4000),TRUE,FALSE),TRUE)</f>
        <v>0</v>
      </c>
    </row>
    <row r="363" spans="2:18" ht="25.5" customHeight="1" x14ac:dyDescent="0.25">
      <c r="B363" s="4186" t="s">
        <v>1053</v>
      </c>
      <c r="C363" s="4187"/>
      <c r="D363" s="4187"/>
      <c r="E363" s="4187"/>
      <c r="F363" s="4187"/>
      <c r="G363" s="4187"/>
      <c r="H363" s="4188"/>
      <c r="I363" s="3156"/>
      <c r="J363" s="3156"/>
      <c r="K363" s="3156"/>
      <c r="L363" s="3156"/>
      <c r="M363" s="3157"/>
      <c r="R363" s="627" t="b">
        <f ca="1">IFERROR(IF(OR(ABS(C346-D346)/MIN(C346,D346)&gt;0.1,MIN(C346,D346)=0),TRUE,FALSE),TRUE)</f>
        <v>1</v>
      </c>
    </row>
    <row r="364" spans="2:18" ht="38.25" customHeight="1" x14ac:dyDescent="0.25">
      <c r="B364" s="4186" t="s">
        <v>1054</v>
      </c>
      <c r="C364" s="4187"/>
      <c r="D364" s="4187"/>
      <c r="E364" s="4187"/>
      <c r="F364" s="4187"/>
      <c r="G364" s="4187"/>
      <c r="H364" s="4188"/>
      <c r="I364" s="3156"/>
      <c r="J364" s="3156"/>
      <c r="K364" s="3156"/>
      <c r="L364" s="3156"/>
      <c r="M364" s="3157"/>
      <c r="R364" s="627" t="b">
        <f ca="1">IFERROR(IF(OR(((F346-D342)/MIN(F346,D342))&gt;0.05,((G346-F342)/MIN(G346,F342))&gt;0.05),TRUE,FALSE),TRUE)</f>
        <v>1</v>
      </c>
    </row>
    <row r="365" spans="2:18" ht="76.5" customHeight="1" x14ac:dyDescent="0.25">
      <c r="B365" s="4186" t="s">
        <v>1055</v>
      </c>
      <c r="C365" s="4187"/>
      <c r="D365" s="4187"/>
      <c r="E365" s="4187"/>
      <c r="F365" s="4187"/>
      <c r="G365" s="4187"/>
      <c r="H365" s="4188"/>
      <c r="I365" s="3156"/>
      <c r="J365" s="3156"/>
      <c r="K365" s="3156"/>
      <c r="L365" s="3156"/>
      <c r="M365" s="3157"/>
      <c r="R365" s="627" t="b">
        <f ca="1">IFERROR(IF(OR(H346=0,I346=0),TRUE,FALSE),TRUE)</f>
        <v>1</v>
      </c>
    </row>
    <row r="366" spans="2:18" ht="38.25" customHeight="1" x14ac:dyDescent="0.25">
      <c r="B366" s="4186" t="s">
        <v>1056</v>
      </c>
      <c r="C366" s="4187"/>
      <c r="D366" s="4187"/>
      <c r="E366" s="4187"/>
      <c r="F366" s="4187"/>
      <c r="G366" s="4187"/>
      <c r="H366" s="4188"/>
      <c r="I366" s="3154"/>
      <c r="J366" s="3154"/>
      <c r="K366" s="3154"/>
      <c r="L366" s="3154"/>
      <c r="M366" s="3155"/>
      <c r="R366" s="627" t="b">
        <f ca="1">IFERROR(IF(OR(J346&gt;5110,K346&gt;5110),TRUE,FALSE),TRUE)</f>
        <v>0</v>
      </c>
    </row>
    <row r="367" spans="2:18" ht="38.25" customHeight="1" x14ac:dyDescent="0.25">
      <c r="B367" s="4186" t="s">
        <v>1057</v>
      </c>
      <c r="C367" s="4187"/>
      <c r="D367" s="4187"/>
      <c r="E367" s="4187"/>
      <c r="F367" s="4187"/>
      <c r="G367" s="4187"/>
      <c r="H367" s="4188"/>
      <c r="I367" s="3156"/>
      <c r="J367" s="3156"/>
      <c r="K367" s="3156"/>
      <c r="L367" s="3156"/>
      <c r="M367" s="3157"/>
      <c r="R367" s="627" t="b">
        <f ca="1">IFERROR(IF(ABS(J346-K346)/MIN(J346,K346)&gt;0.05,TRUE,FALSE),TRUE)</f>
        <v>1</v>
      </c>
    </row>
    <row r="368" spans="2:18" ht="63.75" customHeight="1" x14ac:dyDescent="0.25">
      <c r="B368" s="4186" t="s">
        <v>1058</v>
      </c>
      <c r="C368" s="4187"/>
      <c r="D368" s="4187"/>
      <c r="E368" s="4187"/>
      <c r="F368" s="4187"/>
      <c r="G368" s="4187"/>
      <c r="H368" s="4188"/>
      <c r="I368" s="3156"/>
      <c r="J368" s="3156"/>
      <c r="K368" s="3156"/>
      <c r="L368" s="3156"/>
      <c r="M368" s="3157"/>
      <c r="R368" s="627" t="b">
        <f ca="1">IFERROR(IF(ABS(H346-I346)/MIN(H346,I346)&lt;0.01,TRUE,FALSE),TRUE)</f>
        <v>1</v>
      </c>
    </row>
    <row r="369" spans="2:18" ht="51" customHeight="1" x14ac:dyDescent="0.25">
      <c r="B369" s="4186" t="s">
        <v>1060</v>
      </c>
      <c r="C369" s="4187"/>
      <c r="D369" s="4187"/>
      <c r="E369" s="4187"/>
      <c r="F369" s="4187"/>
      <c r="G369" s="4187"/>
      <c r="H369" s="4188"/>
      <c r="I369" s="3156"/>
      <c r="J369" s="3156"/>
      <c r="K369" s="3156"/>
      <c r="L369" s="3156"/>
      <c r="M369" s="3157"/>
      <c r="R369" s="627" t="b">
        <f ca="1">IFERROR(IF(OR(F348&gt;0.4,G348&gt;0.4,F348&lt;0.1,G348&lt;0.1),TRUE,FALSE),TRUE)</f>
        <v>1</v>
      </c>
    </row>
    <row r="370" spans="2:18" ht="25.5" customHeight="1" x14ac:dyDescent="0.25">
      <c r="B370" s="4186" t="s">
        <v>1061</v>
      </c>
      <c r="C370" s="4187"/>
      <c r="D370" s="4187"/>
      <c r="E370" s="4187"/>
      <c r="F370" s="4187"/>
      <c r="G370" s="4187"/>
      <c r="H370" s="4188"/>
      <c r="I370" s="3156"/>
      <c r="J370" s="3156"/>
      <c r="K370" s="3156"/>
      <c r="L370" s="3156"/>
      <c r="M370" s="3157"/>
      <c r="R370" s="627" t="b">
        <f>IFERROR(IF(COUNTIFS(INDEX(PO_design_table,,MATCH($D$170,PO_design_hdr,0)),"x",INDEX(PO_design_table,,MATCH($I$170,PO_design_hdr,0)),"&gt;0.03")+COUNTIFS(INDEX(PO_design_table,,MATCH($D$170,PO_design_hdr,0)),"x",INDEX(PO_design_table,,MATCH($I$170,PO_design_hdr,0)),"&lt;-0.03")&gt;0,TRUE,FALSE),TRUE)</f>
        <v>0</v>
      </c>
    </row>
    <row r="371" spans="2:18" ht="63.75" customHeight="1" x14ac:dyDescent="0.25">
      <c r="B371" s="4186" t="s">
        <v>1062</v>
      </c>
      <c r="C371" s="4187"/>
      <c r="D371" s="4187"/>
      <c r="E371" s="4187"/>
      <c r="F371" s="4187"/>
      <c r="G371" s="4187"/>
      <c r="H371" s="4188"/>
      <c r="I371" s="3156"/>
      <c r="J371" s="3156"/>
      <c r="K371" s="3156"/>
      <c r="L371" s="3156"/>
      <c r="M371" s="3157"/>
      <c r="R371" s="627" t="b">
        <f ca="1">IFERROR(IF(OR(I348&gt;0.15,J348&gt;0.15),TRUE,FALSE),TRUE)</f>
        <v>1</v>
      </c>
    </row>
    <row r="372" spans="2:18" ht="25.5" customHeight="1" x14ac:dyDescent="0.25">
      <c r="B372" s="4186" t="s">
        <v>1494</v>
      </c>
      <c r="C372" s="4187"/>
      <c r="D372" s="4187"/>
      <c r="E372" s="4187"/>
      <c r="F372" s="4187"/>
      <c r="G372" s="4187"/>
      <c r="H372" s="4188"/>
      <c r="I372" s="3154"/>
      <c r="J372" s="3154"/>
      <c r="K372" s="3154"/>
      <c r="L372" s="3154"/>
      <c r="M372" s="3155"/>
      <c r="R372" s="627" t="b">
        <f ca="1">IFERROR(IF(AND(C352&gt;0,D352&lt;1),TRUE,FALSE),TRUE)</f>
        <v>0</v>
      </c>
    </row>
    <row r="373" spans="2:18" ht="51" customHeight="1" x14ac:dyDescent="0.25">
      <c r="B373" s="4186" t="s">
        <v>1048</v>
      </c>
      <c r="C373" s="4187"/>
      <c r="D373" s="4187"/>
      <c r="E373" s="4187"/>
      <c r="F373" s="4187"/>
      <c r="G373" s="4187"/>
      <c r="H373" s="4188"/>
      <c r="I373" s="3156"/>
      <c r="J373" s="3156"/>
      <c r="K373" s="3156"/>
      <c r="L373" s="3156"/>
      <c r="M373" s="3157"/>
      <c r="R373" s="627" t="b">
        <f>IFERROR(IF(ABS(C354-D354)/MIN(C354,D354),TRUE,FALSE),TRUE)</f>
        <v>1</v>
      </c>
    </row>
    <row r="374" spans="2:18" ht="38.25" customHeight="1" x14ac:dyDescent="0.25">
      <c r="B374" s="4186" t="s">
        <v>1063</v>
      </c>
      <c r="C374" s="4187"/>
      <c r="D374" s="4187"/>
      <c r="E374" s="4187"/>
      <c r="F374" s="4187"/>
      <c r="G374" s="4187"/>
      <c r="H374" s="4188"/>
      <c r="I374" s="3154"/>
      <c r="J374" s="3154"/>
      <c r="K374" s="3154"/>
      <c r="L374" s="3154"/>
      <c r="M374" s="3155"/>
      <c r="R374" s="627" t="b">
        <f ca="1">IFERROR(IF(OR(M348&gt;4000,C350&gt;4000),TRUE,FALSE),TRUE)</f>
        <v>0</v>
      </c>
    </row>
    <row r="375" spans="2:18" ht="38.25" customHeight="1" x14ac:dyDescent="0.25">
      <c r="B375" s="4186" t="s">
        <v>1064</v>
      </c>
      <c r="C375" s="4187"/>
      <c r="D375" s="4187"/>
      <c r="E375" s="4187"/>
      <c r="F375" s="4187"/>
      <c r="G375" s="4187"/>
      <c r="H375" s="4188"/>
      <c r="I375" s="3156"/>
      <c r="J375" s="3156"/>
      <c r="K375" s="3156"/>
      <c r="L375" s="3156"/>
      <c r="M375" s="3157"/>
      <c r="R375" s="627" t="b">
        <f ca="1">IFERROR(IF(ABS(M348-C350)/MIN(M348,C350)&gt;0.25,TRUE,FALSE),TRUE)</f>
        <v>1</v>
      </c>
    </row>
    <row r="376" spans="2:18" ht="38.25" customHeight="1" x14ac:dyDescent="0.25">
      <c r="B376" s="4186" t="s">
        <v>1065</v>
      </c>
      <c r="C376" s="4187"/>
      <c r="D376" s="4187"/>
      <c r="E376" s="4187"/>
      <c r="F376" s="4187"/>
      <c r="G376" s="4187"/>
      <c r="H376" s="4188"/>
      <c r="I376" s="3156"/>
      <c r="J376" s="3156"/>
      <c r="K376" s="3156"/>
      <c r="L376" s="3156"/>
      <c r="M376" s="3157"/>
      <c r="R376" s="627" t="b">
        <f ca="1">IFERROR(IF(OR(((D350-F354)/MIN(D350,F354))&gt;0.05,((F350-G354)/MIN(F350,G354))&gt;0.05),TRUE,FALSE),TRUE)</f>
        <v>1</v>
      </c>
    </row>
    <row r="377" spans="2:18" ht="38.25" customHeight="1" x14ac:dyDescent="0.25">
      <c r="B377" s="4186" t="s">
        <v>1066</v>
      </c>
      <c r="C377" s="4187"/>
      <c r="D377" s="4187"/>
      <c r="E377" s="4187"/>
      <c r="F377" s="4187"/>
      <c r="G377" s="4187"/>
      <c r="H377" s="4188"/>
      <c r="I377" s="3156"/>
      <c r="J377" s="3156"/>
      <c r="K377" s="3156"/>
      <c r="L377" s="3156"/>
      <c r="M377" s="3157"/>
      <c r="R377" s="627" t="b">
        <f ca="1">IFERROR(IF(OR(1-(D350/F354)&gt;0.6,1-(F350/G354)&gt;0.6),TRUE,FALSE),TRUE)</f>
        <v>1</v>
      </c>
    </row>
    <row r="378" spans="2:18" ht="76.5" customHeight="1" x14ac:dyDescent="0.25">
      <c r="B378" s="4186" t="s">
        <v>1049</v>
      </c>
      <c r="C378" s="4187"/>
      <c r="D378" s="4187"/>
      <c r="E378" s="4187"/>
      <c r="F378" s="4187"/>
      <c r="G378" s="4187"/>
      <c r="H378" s="4188"/>
      <c r="I378" s="3156"/>
      <c r="J378" s="3156"/>
      <c r="K378" s="3156"/>
      <c r="L378" s="3156"/>
      <c r="M378" s="3157"/>
      <c r="N378" s="246"/>
      <c r="R378" s="627" t="b">
        <f>IFERROR(IF(OR(ABS(H354-I354)/MIN(H354,I354)&gt;0.35,ABS(J354-K354)/MIN(J354,K354)&gt;0.35),TRUE,FALSE),TRUE)</f>
        <v>1</v>
      </c>
    </row>
    <row r="379" spans="2:18" ht="76.5" customHeight="1" x14ac:dyDescent="0.25">
      <c r="B379" s="4186" t="s">
        <v>1050</v>
      </c>
      <c r="C379" s="4187"/>
      <c r="D379" s="4187"/>
      <c r="E379" s="4187"/>
      <c r="F379" s="4187"/>
      <c r="G379" s="4187"/>
      <c r="H379" s="4188"/>
      <c r="I379" s="3154"/>
      <c r="J379" s="3154"/>
      <c r="K379" s="3154"/>
      <c r="L379" s="3154"/>
      <c r="M379" s="3155"/>
      <c r="R379" s="627" t="b">
        <f>IFERROR(IF(C356&gt;D356,TRUE,FALSE),TRUE)</f>
        <v>0</v>
      </c>
    </row>
    <row r="380" spans="2:18" ht="51" customHeight="1" x14ac:dyDescent="0.25">
      <c r="B380" s="4186" t="s">
        <v>1067</v>
      </c>
      <c r="C380" s="4187"/>
      <c r="D380" s="4187"/>
      <c r="E380" s="4187"/>
      <c r="F380" s="4187"/>
      <c r="G380" s="4187"/>
      <c r="H380" s="4188"/>
      <c r="I380" s="3156"/>
      <c r="J380" s="3156"/>
      <c r="K380" s="3156"/>
      <c r="L380" s="3156"/>
      <c r="M380" s="3157"/>
      <c r="R380" s="627" t="b">
        <f ca="1">IFERROR(IF(G350&gt;1500,TRUE,FALSE),TRUE)</f>
        <v>1</v>
      </c>
    </row>
    <row r="381" spans="2:18" ht="51" customHeight="1" x14ac:dyDescent="0.25">
      <c r="B381" s="4186" t="s">
        <v>1068</v>
      </c>
      <c r="C381" s="4187"/>
      <c r="D381" s="4187"/>
      <c r="E381" s="4187"/>
      <c r="F381" s="4187"/>
      <c r="G381" s="4187"/>
      <c r="H381" s="4188"/>
      <c r="I381" s="3156"/>
      <c r="J381" s="3156"/>
      <c r="K381" s="3156"/>
      <c r="L381" s="3156"/>
      <c r="M381" s="3157"/>
      <c r="R381" s="627" t="b">
        <f>IFERROR(IF(COUNTIF(INDEX(PO_Enrgy_8_Table,,MATCH($K$232,PO_Enrgy_8_Hdr,0)),"&gt;0.1")+COUNTIF(INDEX(PO_Enrgy_8_Table,,MATCH($K$232,PO_Enrgy_8_Hdr,0)),"&lt;-0.1")&gt;0,TRUE,FALSE),TRUE)</f>
        <v>0</v>
      </c>
    </row>
    <row r="382" spans="2:18" ht="25.5" customHeight="1" x14ac:dyDescent="0.25">
      <c r="B382" s="4186" t="s">
        <v>1069</v>
      </c>
      <c r="C382" s="4187"/>
      <c r="D382" s="4187"/>
      <c r="E382" s="4187"/>
      <c r="F382" s="4187"/>
      <c r="G382" s="4187"/>
      <c r="H382" s="4188"/>
      <c r="I382" s="3154"/>
      <c r="J382" s="3154"/>
      <c r="K382" s="3154"/>
      <c r="L382" s="3154"/>
      <c r="M382" s="3155"/>
      <c r="R382" s="627" t="b">
        <f>IFERROR(IF(PO_SiteRenewable=TRUE,IF(COUNTIF(INDEX(PO_renewable_table,,MATCH($U$32,PO_renewable_hdr,0)),"&gt;0.05")+COUNTIF(INDEX(PO_renewable_table,,MATCH($U$32,PO_renewable_hdr,0)),"&lt;-0.05")&gt;0,TRUE,FALSE),FALSE),TRUE)</f>
        <v>0</v>
      </c>
    </row>
    <row r="383" spans="2:18" ht="25.5" customHeight="1" x14ac:dyDescent="0.25">
      <c r="B383" s="4186" t="s">
        <v>1557</v>
      </c>
      <c r="C383" s="4187"/>
      <c r="D383" s="4187"/>
      <c r="E383" s="4187"/>
      <c r="F383" s="4187"/>
      <c r="G383" s="4187"/>
      <c r="H383" s="4188"/>
      <c r="I383" s="3154"/>
      <c r="J383" s="3154"/>
      <c r="K383" s="3154"/>
      <c r="L383" s="3154"/>
      <c r="M383" s="3155"/>
      <c r="N383" s="2"/>
      <c r="O383" s="2"/>
      <c r="P383" s="2"/>
      <c r="Q383" s="2"/>
      <c r="R383" s="627" t="b">
        <f>IFERROR(IF(PO_ShowExCalc=TRUE,IF(COUNTIF(INDEX(PO_ExCalc_Table,,MATCH($U$56,PO_ExCalc_Hdr,0)),"&gt;0.05")+COUNTIF(INDEX(PO_ExCalc_Table,,MATCH($U$56,PO_ExCalc_Hdr,0)),"&lt;-0.05")&gt;0,TRUE,FALSE),FALSE),TRUE)</f>
        <v>0</v>
      </c>
    </row>
    <row r="384" spans="2:18" ht="25.5" customHeight="1" x14ac:dyDescent="0.25">
      <c r="B384" s="4186" t="s">
        <v>1070</v>
      </c>
      <c r="C384" s="4187"/>
      <c r="D384" s="4187"/>
      <c r="E384" s="4187"/>
      <c r="F384" s="4187"/>
      <c r="G384" s="4187"/>
      <c r="H384" s="4188"/>
      <c r="I384" s="3156"/>
      <c r="J384" s="3156"/>
      <c r="K384" s="3156"/>
      <c r="L384" s="3156"/>
      <c r="M384" s="3157"/>
      <c r="R384" s="627" t="b">
        <f ca="1">IFERROR(IF(OR(I350&lt;0.06,I350&gt;0.25),TRUE,FALSE),TRUE)</f>
        <v>1</v>
      </c>
    </row>
    <row r="385" spans="2:18" ht="38.25" customHeight="1" x14ac:dyDescent="0.25">
      <c r="B385" s="4186" t="s">
        <v>1558</v>
      </c>
      <c r="C385" s="4187"/>
      <c r="D385" s="4187"/>
      <c r="E385" s="4187"/>
      <c r="F385" s="4187"/>
      <c r="G385" s="4187"/>
      <c r="H385" s="4188"/>
      <c r="I385" s="3156"/>
      <c r="J385" s="3156"/>
      <c r="K385" s="3156"/>
      <c r="L385" s="3156"/>
      <c r="M385" s="3157"/>
      <c r="R385" s="627" t="b">
        <f ca="1">IFERROR(IF(OR(J350&lt;0.5,J350&gt;2),TRUE,FALSE),TRUE)</f>
        <v>1</v>
      </c>
    </row>
    <row r="386" spans="2:18" ht="43.5" customHeight="1" x14ac:dyDescent="0.25">
      <c r="B386" s="4186" t="s">
        <v>1071</v>
      </c>
      <c r="C386" s="4187"/>
      <c r="D386" s="4187"/>
      <c r="E386" s="4187"/>
      <c r="F386" s="4187"/>
      <c r="G386" s="4187"/>
      <c r="H386" s="4188"/>
      <c r="I386" s="3156"/>
      <c r="J386" s="3156"/>
      <c r="K386" s="3156"/>
      <c r="L386" s="3156"/>
      <c r="M386" s="3157"/>
      <c r="R386" s="627" t="b">
        <f>IFERROR(IF(PO_EnergyReportingMethod&gt;2,TRUE,FALSE),FALSE)</f>
        <v>1</v>
      </c>
    </row>
    <row r="387" spans="2:18" ht="57.75" customHeight="1" x14ac:dyDescent="0.25">
      <c r="B387" s="4186" t="s">
        <v>1072</v>
      </c>
      <c r="C387" s="4187"/>
      <c r="D387" s="4187"/>
      <c r="E387" s="4187"/>
      <c r="F387" s="4187"/>
      <c r="G387" s="4187"/>
      <c r="H387" s="4188"/>
      <c r="I387" s="3154"/>
      <c r="J387" s="3154"/>
      <c r="K387" s="3154"/>
      <c r="L387" s="3154"/>
      <c r="M387" s="3155"/>
      <c r="R387" s="627" t="b">
        <f>IFERROR(IF(AND(COUNTIFS(INDEX(PO_design_table,,MATCH($E$170,PO_design_hdr,0)),"Electricity",INDEX(PO_design_table,,MATCH($B$170,PO_design_hdr,0)),"Space Heating",INDEX(PO_design_table,,MATCH($G$170,PO_design_hdr,0)),"&gt;0")&gt;0,COUNTIFS(INDEX(PO_design_table,,MATCH($E$170,PO_design_hdr,0)),"&lt;&gt;Electricity",INDEX(PO_design_table,,MATCH($B$170,PO_design_hdr,0)),"Space Heating",INDEX(PO_design_table,,MATCH($G$170,PO_design_hdr,0)),"&gt;0")&gt;0),TRUE,FALSE),TRUE)</f>
        <v>0</v>
      </c>
    </row>
    <row r="388" spans="2:18" ht="29.25" customHeight="1" x14ac:dyDescent="0.25">
      <c r="B388" s="4186" t="s">
        <v>1073</v>
      </c>
      <c r="C388" s="4187"/>
      <c r="D388" s="4187"/>
      <c r="E388" s="4187"/>
      <c r="F388" s="4187"/>
      <c r="G388" s="4187"/>
      <c r="H388" s="4188"/>
      <c r="I388" s="3154"/>
      <c r="J388" s="3154"/>
      <c r="K388" s="3154"/>
      <c r="L388" s="3154"/>
      <c r="M388" s="3155"/>
      <c r="R388" s="627" t="b">
        <f>IFERROR(IF(MAX(F335:M335)&gt;300,TRUE,FALSE),TRUE)</f>
        <v>0</v>
      </c>
    </row>
    <row r="389" spans="2:18" ht="52.5" customHeight="1" x14ac:dyDescent="0.25">
      <c r="B389" s="4186" t="str">
        <f>"The three largest end use contributors to the cost savings are "&amp;CONCATENATE(VLOOKUP(1,QCEnSaveRank,2,FALSE),", ", VLOOKUP(2,QCEnSaveRank,2,FALSE), ", ",VLOOKUP(3,QCEnSaveRank,2,FALSE))&amp;" (as reported in the Performance Outputs tab). Please provide a narrative to justify the savings of these end uses, such as the energy conservation measures which contribute to the savings claimed."</f>
        <v>The three largest end use contributors to the cost savings are Interior lighting, Exterior lighting, Space heating (as reported in the Performance Outputs tab). Please provide a narrative to justify the savings of these end uses, such as the energy conservation measures which contribute to the savings claimed.</v>
      </c>
      <c r="C389" s="4187"/>
      <c r="D389" s="4187"/>
      <c r="E389" s="4187"/>
      <c r="F389" s="4187"/>
      <c r="G389" s="4187"/>
      <c r="H389" s="4188"/>
      <c r="I389" s="3156"/>
      <c r="J389" s="3156"/>
      <c r="K389" s="3156"/>
      <c r="L389" s="3156"/>
      <c r="M389" s="3157"/>
      <c r="R389" s="627" t="b">
        <f>TRUE</f>
        <v>1</v>
      </c>
    </row>
    <row r="390" spans="2:18" ht="36" customHeight="1" x14ac:dyDescent="0.25">
      <c r="B390" s="4186" t="s">
        <v>1580</v>
      </c>
      <c r="C390" s="4187"/>
      <c r="D390" s="4187"/>
      <c r="E390" s="4187"/>
      <c r="F390" s="4187"/>
      <c r="G390" s="4187"/>
      <c r="H390" s="4188"/>
      <c r="I390" s="3154"/>
      <c r="J390" s="3154"/>
      <c r="K390" s="3154"/>
      <c r="L390" s="3154"/>
      <c r="M390" s="3155"/>
      <c r="R390" s="627" t="b">
        <f>IF(RatingSystemSelection="LEED v4 BD+C: Data Centers",TRUE,FALSE)</f>
        <v>0</v>
      </c>
    </row>
    <row r="391" spans="2:18" ht="33" customHeight="1" x14ac:dyDescent="0.25">
      <c r="B391" s="4189" t="s">
        <v>1582</v>
      </c>
      <c r="C391" s="4190"/>
      <c r="D391" s="4190"/>
      <c r="E391" s="4190"/>
      <c r="F391" s="4190"/>
      <c r="G391" s="4190"/>
      <c r="H391" s="4191"/>
      <c r="I391" s="3150"/>
      <c r="J391" s="3150"/>
      <c r="K391" s="3150"/>
      <c r="L391" s="3150"/>
      <c r="M391" s="3151"/>
      <c r="R391" s="627" t="b">
        <f ca="1">IFERROR(IF(F344&lt;10,TRUE,FALSE),TRUE)</f>
        <v>0</v>
      </c>
    </row>
    <row r="392" spans="2:18" ht="36" customHeight="1" x14ac:dyDescent="0.25">
      <c r="B392" s="4078" t="s">
        <v>1059</v>
      </c>
      <c r="C392" s="4079"/>
      <c r="D392" s="4079"/>
      <c r="E392" s="4079"/>
      <c r="F392" s="4079"/>
      <c r="G392" s="4079"/>
      <c r="H392" s="4192"/>
      <c r="I392" s="4216"/>
      <c r="J392" s="4216"/>
      <c r="K392" s="4216"/>
      <c r="L392" s="4216"/>
      <c r="M392" s="4217"/>
      <c r="O392" s="2"/>
      <c r="Q392" s="380"/>
      <c r="R392" s="235" t="b">
        <f ca="1">IFERROR(IF(OR((K350-G342)/MIN(K350,G342)&gt;0.05,(M350-G342)/MIN(M350,G342)&gt;0.05),TRUE,FALSE),TRUE)</f>
        <v>1</v>
      </c>
    </row>
    <row r="393" spans="2:18" ht="24" customHeight="1" x14ac:dyDescent="0.25">
      <c r="B393" s="4189" t="s">
        <v>1047</v>
      </c>
      <c r="C393" s="4190"/>
      <c r="D393" s="4190"/>
      <c r="E393" s="4190"/>
      <c r="F393" s="4190"/>
      <c r="G393" s="4190"/>
      <c r="H393" s="4191"/>
      <c r="I393" s="3150"/>
      <c r="J393" s="3150"/>
      <c r="K393" s="3150"/>
      <c r="L393" s="3150"/>
      <c r="M393" s="3151"/>
      <c r="O393" s="2"/>
      <c r="Q393" s="380"/>
      <c r="R393" s="235" t="b">
        <f ca="1">IFERROR(IF(H342&gt;G342,TRUE,FALSE),TRUE)</f>
        <v>0</v>
      </c>
    </row>
    <row r="394" spans="2:18" ht="60" customHeight="1" x14ac:dyDescent="0.25">
      <c r="B394" s="4189" t="s">
        <v>1074</v>
      </c>
      <c r="C394" s="4190"/>
      <c r="D394" s="4190"/>
      <c r="E394" s="4190"/>
      <c r="F394" s="4190"/>
      <c r="G394" s="4190"/>
      <c r="H394" s="4191"/>
      <c r="I394" s="3150"/>
      <c r="J394" s="3150"/>
      <c r="K394" s="3150"/>
      <c r="L394" s="3150"/>
      <c r="M394" s="3151"/>
      <c r="O394" s="2"/>
      <c r="Q394" s="380"/>
      <c r="R394" s="235" t="b">
        <f ca="1">IFERROR(IF(J342&gt;I342,TRUE,FALSE),TRUE)</f>
        <v>0</v>
      </c>
    </row>
  </sheetData>
  <sheetProtection algorithmName="SHA-512" hashValue="cpO5KhukOLoFAm8rDMpxS14WeA2mA8/IoAVmMOdWavYT3sF9r3Z93F5jx6deFWDZVgqL4DyCvoYsEwZoyXF55Q==" saltValue="7sG2ybEcaTUgqAq0SOZiCQ==" spinCount="100000" sheet="1" objects="1" scenarios="1"/>
  <mergeCells count="717">
    <mergeCell ref="C243:D243"/>
    <mergeCell ref="K243:L243"/>
    <mergeCell ref="C265:D265"/>
    <mergeCell ref="K265:L265"/>
    <mergeCell ref="C276:D276"/>
    <mergeCell ref="K276:L276"/>
    <mergeCell ref="C285:D285"/>
    <mergeCell ref="K285:L285"/>
    <mergeCell ref="C294:D294"/>
    <mergeCell ref="K294:L294"/>
    <mergeCell ref="B251:D251"/>
    <mergeCell ref="C252:D252"/>
    <mergeCell ref="C253:D253"/>
    <mergeCell ref="B255:D255"/>
    <mergeCell ref="C256:D256"/>
    <mergeCell ref="C257:D257"/>
    <mergeCell ref="B244:D244"/>
    <mergeCell ref="K244:L244"/>
    <mergeCell ref="B246:L246"/>
    <mergeCell ref="B247:M247"/>
    <mergeCell ref="B248:B249"/>
    <mergeCell ref="C248:D249"/>
    <mergeCell ref="E248:G248"/>
    <mergeCell ref="H248:J248"/>
    <mergeCell ref="I390:M390"/>
    <mergeCell ref="I389:M389"/>
    <mergeCell ref="I392:M392"/>
    <mergeCell ref="I393:M393"/>
    <mergeCell ref="I394:M394"/>
    <mergeCell ref="I388:M388"/>
    <mergeCell ref="I373:M373"/>
    <mergeCell ref="I374:M374"/>
    <mergeCell ref="I375:M375"/>
    <mergeCell ref="I376:M376"/>
    <mergeCell ref="I377:M377"/>
    <mergeCell ref="I378:M378"/>
    <mergeCell ref="I379:M379"/>
    <mergeCell ref="I380:M380"/>
    <mergeCell ref="I383:M383"/>
    <mergeCell ref="I391:M391"/>
    <mergeCell ref="I366:M366"/>
    <mergeCell ref="I367:M367"/>
    <mergeCell ref="I368:M368"/>
    <mergeCell ref="I369:M369"/>
    <mergeCell ref="I371:M371"/>
    <mergeCell ref="I372:M372"/>
    <mergeCell ref="I384:M384"/>
    <mergeCell ref="I385:M385"/>
    <mergeCell ref="I387:M387"/>
    <mergeCell ref="I370:M370"/>
    <mergeCell ref="I381:M381"/>
    <mergeCell ref="I382:M382"/>
    <mergeCell ref="I386:M386"/>
    <mergeCell ref="B351:B352"/>
    <mergeCell ref="B353:B356"/>
    <mergeCell ref="I359:M359"/>
    <mergeCell ref="I360:M360"/>
    <mergeCell ref="I361:M361"/>
    <mergeCell ref="I362:M362"/>
    <mergeCell ref="I363:M363"/>
    <mergeCell ref="I364:M364"/>
    <mergeCell ref="I365:M365"/>
    <mergeCell ref="B359:H359"/>
    <mergeCell ref="B360:H360"/>
    <mergeCell ref="B361:H361"/>
    <mergeCell ref="B362:H362"/>
    <mergeCell ref="B363:H363"/>
    <mergeCell ref="B364:H364"/>
    <mergeCell ref="B365:H365"/>
    <mergeCell ref="H5:M5"/>
    <mergeCell ref="B7:M7"/>
    <mergeCell ref="B8:M8"/>
    <mergeCell ref="B9:M9"/>
    <mergeCell ref="B10:M10"/>
    <mergeCell ref="B11:M11"/>
    <mergeCell ref="B12:M12"/>
    <mergeCell ref="B13:M13"/>
    <mergeCell ref="B14:B15"/>
    <mergeCell ref="C14:D15"/>
    <mergeCell ref="E14:E15"/>
    <mergeCell ref="F14:G15"/>
    <mergeCell ref="H14:J15"/>
    <mergeCell ref="K14:M14"/>
    <mergeCell ref="K15:L15"/>
    <mergeCell ref="B20:K20"/>
    <mergeCell ref="L20:M20"/>
    <mergeCell ref="B21:K21"/>
    <mergeCell ref="L21:M21"/>
    <mergeCell ref="B28:M28"/>
    <mergeCell ref="B29:M29"/>
    <mergeCell ref="C16:D16"/>
    <mergeCell ref="C17:D17"/>
    <mergeCell ref="F17:G17"/>
    <mergeCell ref="H17:J17"/>
    <mergeCell ref="K17:L17"/>
    <mergeCell ref="C18:D18"/>
    <mergeCell ref="F18:G18"/>
    <mergeCell ref="H18:J18"/>
    <mergeCell ref="K18:L18"/>
    <mergeCell ref="C19:D19"/>
    <mergeCell ref="F19:G19"/>
    <mergeCell ref="H19:J19"/>
    <mergeCell ref="K19:L19"/>
    <mergeCell ref="B34:D34"/>
    <mergeCell ref="J34:M34"/>
    <mergeCell ref="B35:M35"/>
    <mergeCell ref="B36:D37"/>
    <mergeCell ref="E36:G36"/>
    <mergeCell ref="H36:I37"/>
    <mergeCell ref="J36:M37"/>
    <mergeCell ref="E37:F37"/>
    <mergeCell ref="B31:D31"/>
    <mergeCell ref="F31:G31"/>
    <mergeCell ref="H31:I31"/>
    <mergeCell ref="J31:M31"/>
    <mergeCell ref="B33:D33"/>
    <mergeCell ref="J33:M33"/>
    <mergeCell ref="B42:F42"/>
    <mergeCell ref="H42:I42"/>
    <mergeCell ref="J42:M42"/>
    <mergeCell ref="B43:I43"/>
    <mergeCell ref="J43:M43"/>
    <mergeCell ref="B44:L44"/>
    <mergeCell ref="B39:D39"/>
    <mergeCell ref="H39:I39"/>
    <mergeCell ref="J39:M39"/>
    <mergeCell ref="B40:D40"/>
    <mergeCell ref="H40:I40"/>
    <mergeCell ref="J40:M40"/>
    <mergeCell ref="B41:D41"/>
    <mergeCell ref="H41:I41"/>
    <mergeCell ref="J41:M41"/>
    <mergeCell ref="D56:E56"/>
    <mergeCell ref="D57:E57"/>
    <mergeCell ref="J57:K57"/>
    <mergeCell ref="L57:M57"/>
    <mergeCell ref="D59:E59"/>
    <mergeCell ref="J59:K59"/>
    <mergeCell ref="L59:M59"/>
    <mergeCell ref="B49:M49"/>
    <mergeCell ref="B52:M52"/>
    <mergeCell ref="B54:B55"/>
    <mergeCell ref="C54:C55"/>
    <mergeCell ref="D54:E55"/>
    <mergeCell ref="G54:K54"/>
    <mergeCell ref="L54:M55"/>
    <mergeCell ref="G55:H55"/>
    <mergeCell ref="J55:K55"/>
    <mergeCell ref="F54:F55"/>
    <mergeCell ref="D58:E58"/>
    <mergeCell ref="J58:K58"/>
    <mergeCell ref="L58:M58"/>
    <mergeCell ref="B64:F64"/>
    <mergeCell ref="J64:K64"/>
    <mergeCell ref="L64:M64"/>
    <mergeCell ref="B66:E66"/>
    <mergeCell ref="B68:F68"/>
    <mergeCell ref="J68:K68"/>
    <mergeCell ref="L68:M68"/>
    <mergeCell ref="D60:E60"/>
    <mergeCell ref="J60:K60"/>
    <mergeCell ref="L60:M60"/>
    <mergeCell ref="B61:E61"/>
    <mergeCell ref="B63:F63"/>
    <mergeCell ref="J63:K63"/>
    <mergeCell ref="L63:M63"/>
    <mergeCell ref="B65:F65"/>
    <mergeCell ref="J65:K65"/>
    <mergeCell ref="L65:M65"/>
    <mergeCell ref="B73:M73"/>
    <mergeCell ref="B76:M76"/>
    <mergeCell ref="B77:M77"/>
    <mergeCell ref="B79:M79"/>
    <mergeCell ref="B81:M81"/>
    <mergeCell ref="B83:M83"/>
    <mergeCell ref="B69:F69"/>
    <mergeCell ref="J69:K69"/>
    <mergeCell ref="L69:M69"/>
    <mergeCell ref="B71:F71"/>
    <mergeCell ref="J71:K71"/>
    <mergeCell ref="L71:M71"/>
    <mergeCell ref="B70:F70"/>
    <mergeCell ref="J70:K70"/>
    <mergeCell ref="L70:M70"/>
    <mergeCell ref="B93:M93"/>
    <mergeCell ref="B95:C95"/>
    <mergeCell ref="K95:M95"/>
    <mergeCell ref="B97:C98"/>
    <mergeCell ref="D97:D98"/>
    <mergeCell ref="E97:E98"/>
    <mergeCell ref="K97:M97"/>
    <mergeCell ref="K98:M98"/>
    <mergeCell ref="B84:M84"/>
    <mergeCell ref="B88:M88"/>
    <mergeCell ref="B89:M89"/>
    <mergeCell ref="B90:M90"/>
    <mergeCell ref="B91:M91"/>
    <mergeCell ref="B92:M92"/>
    <mergeCell ref="B99:C100"/>
    <mergeCell ref="D99:D100"/>
    <mergeCell ref="E99:E100"/>
    <mergeCell ref="K99:M99"/>
    <mergeCell ref="K100:M100"/>
    <mergeCell ref="B101:C102"/>
    <mergeCell ref="D101:D102"/>
    <mergeCell ref="E101:E102"/>
    <mergeCell ref="K101:M101"/>
    <mergeCell ref="K102:M102"/>
    <mergeCell ref="B103:C104"/>
    <mergeCell ref="D103:D104"/>
    <mergeCell ref="E103:E104"/>
    <mergeCell ref="K103:M103"/>
    <mergeCell ref="K104:M104"/>
    <mergeCell ref="B105:C106"/>
    <mergeCell ref="D105:D106"/>
    <mergeCell ref="E105:E106"/>
    <mergeCell ref="K105:M105"/>
    <mergeCell ref="K106:M106"/>
    <mergeCell ref="B107:C108"/>
    <mergeCell ref="D107:D108"/>
    <mergeCell ref="E107:E108"/>
    <mergeCell ref="K107:M107"/>
    <mergeCell ref="K108:M108"/>
    <mergeCell ref="B109:C110"/>
    <mergeCell ref="D109:D110"/>
    <mergeCell ref="E109:E110"/>
    <mergeCell ref="K109:M109"/>
    <mergeCell ref="K110:M110"/>
    <mergeCell ref="B111:C112"/>
    <mergeCell ref="D111:D112"/>
    <mergeCell ref="E111:E112"/>
    <mergeCell ref="K111:M111"/>
    <mergeCell ref="K112:M112"/>
    <mergeCell ref="B113:C114"/>
    <mergeCell ref="D113:D114"/>
    <mergeCell ref="E113:E114"/>
    <mergeCell ref="K113:M113"/>
    <mergeCell ref="K114:M114"/>
    <mergeCell ref="B115:C116"/>
    <mergeCell ref="D115:D116"/>
    <mergeCell ref="E115:E116"/>
    <mergeCell ref="K115:M115"/>
    <mergeCell ref="K116:M116"/>
    <mergeCell ref="B117:C118"/>
    <mergeCell ref="D117:D118"/>
    <mergeCell ref="E117:E118"/>
    <mergeCell ref="K117:M117"/>
    <mergeCell ref="K118:M118"/>
    <mergeCell ref="B119:C120"/>
    <mergeCell ref="D119:D120"/>
    <mergeCell ref="E119:E120"/>
    <mergeCell ref="K119:M119"/>
    <mergeCell ref="K120:M120"/>
    <mergeCell ref="B121:C122"/>
    <mergeCell ref="D121:D122"/>
    <mergeCell ref="E121:E122"/>
    <mergeCell ref="K121:M121"/>
    <mergeCell ref="K122:M122"/>
    <mergeCell ref="B123:C124"/>
    <mergeCell ref="D123:D124"/>
    <mergeCell ref="E123:E124"/>
    <mergeCell ref="K123:M123"/>
    <mergeCell ref="K124:M124"/>
    <mergeCell ref="B125:C126"/>
    <mergeCell ref="D125:D126"/>
    <mergeCell ref="E125:E126"/>
    <mergeCell ref="K125:M125"/>
    <mergeCell ref="K126:M126"/>
    <mergeCell ref="B127:C128"/>
    <mergeCell ref="D127:D128"/>
    <mergeCell ref="E127:E128"/>
    <mergeCell ref="K127:M127"/>
    <mergeCell ref="K128:M128"/>
    <mergeCell ref="B129:C130"/>
    <mergeCell ref="D129:D130"/>
    <mergeCell ref="E129:E130"/>
    <mergeCell ref="K129:M129"/>
    <mergeCell ref="K130:M130"/>
    <mergeCell ref="B131:C132"/>
    <mergeCell ref="D131:D132"/>
    <mergeCell ref="E131:E132"/>
    <mergeCell ref="K131:M131"/>
    <mergeCell ref="K132:M132"/>
    <mergeCell ref="B133:C134"/>
    <mergeCell ref="D133:D134"/>
    <mergeCell ref="E133:E134"/>
    <mergeCell ref="K133:M133"/>
    <mergeCell ref="K134:M134"/>
    <mergeCell ref="B135:C136"/>
    <mergeCell ref="D135:D136"/>
    <mergeCell ref="E135:E136"/>
    <mergeCell ref="K135:M135"/>
    <mergeCell ref="K136:M136"/>
    <mergeCell ref="B137:C138"/>
    <mergeCell ref="D137:D138"/>
    <mergeCell ref="E137:E138"/>
    <mergeCell ref="K137:M137"/>
    <mergeCell ref="K138:M138"/>
    <mergeCell ref="B139:C140"/>
    <mergeCell ref="D139:D140"/>
    <mergeCell ref="E139:E140"/>
    <mergeCell ref="K139:M139"/>
    <mergeCell ref="K140:M140"/>
    <mergeCell ref="B141:C142"/>
    <mergeCell ref="D141:D142"/>
    <mergeCell ref="E141:E142"/>
    <mergeCell ref="K141:M141"/>
    <mergeCell ref="K142:M142"/>
    <mergeCell ref="B147:D147"/>
    <mergeCell ref="K147:M147"/>
    <mergeCell ref="B149:F149"/>
    <mergeCell ref="K149:M149"/>
    <mergeCell ref="B150:F150"/>
    <mergeCell ref="K150:M150"/>
    <mergeCell ref="B143:C144"/>
    <mergeCell ref="D143:D144"/>
    <mergeCell ref="E143:E144"/>
    <mergeCell ref="K143:M143"/>
    <mergeCell ref="K144:M144"/>
    <mergeCell ref="B146:D146"/>
    <mergeCell ref="K146:M146"/>
    <mergeCell ref="B148:D148"/>
    <mergeCell ref="K148:M148"/>
    <mergeCell ref="B158:F158"/>
    <mergeCell ref="K158:M158"/>
    <mergeCell ref="B162:M162"/>
    <mergeCell ref="B163:M163"/>
    <mergeCell ref="B164:M164"/>
    <mergeCell ref="B165:M165"/>
    <mergeCell ref="B153:F153"/>
    <mergeCell ref="K153:M153"/>
    <mergeCell ref="B155:E155"/>
    <mergeCell ref="K155:M155"/>
    <mergeCell ref="B156:E156"/>
    <mergeCell ref="K156:M156"/>
    <mergeCell ref="B157:E157"/>
    <mergeCell ref="K157:M157"/>
    <mergeCell ref="AF171:AG172"/>
    <mergeCell ref="B173:C174"/>
    <mergeCell ref="D173:D174"/>
    <mergeCell ref="E173:E174"/>
    <mergeCell ref="J173:J174"/>
    <mergeCell ref="K173:L174"/>
    <mergeCell ref="M173:M174"/>
    <mergeCell ref="AF173:AG174"/>
    <mergeCell ref="B166:M166"/>
    <mergeCell ref="B167:M167"/>
    <mergeCell ref="B169:C169"/>
    <mergeCell ref="K169:L169"/>
    <mergeCell ref="B171:C172"/>
    <mergeCell ref="D171:D172"/>
    <mergeCell ref="E171:E172"/>
    <mergeCell ref="J171:J172"/>
    <mergeCell ref="K171:L172"/>
    <mergeCell ref="M171:M172"/>
    <mergeCell ref="AF175:AG176"/>
    <mergeCell ref="B177:C178"/>
    <mergeCell ref="D177:D178"/>
    <mergeCell ref="E177:E178"/>
    <mergeCell ref="J177:J178"/>
    <mergeCell ref="K177:L178"/>
    <mergeCell ref="M177:M178"/>
    <mergeCell ref="AF177:AG178"/>
    <mergeCell ref="B175:C176"/>
    <mergeCell ref="D175:D176"/>
    <mergeCell ref="E175:E176"/>
    <mergeCell ref="J175:J176"/>
    <mergeCell ref="K175:L176"/>
    <mergeCell ref="M175:M176"/>
    <mergeCell ref="AF179:AG180"/>
    <mergeCell ref="B181:C182"/>
    <mergeCell ref="D181:D182"/>
    <mergeCell ref="E181:E182"/>
    <mergeCell ref="J181:J182"/>
    <mergeCell ref="K181:L182"/>
    <mergeCell ref="M181:M182"/>
    <mergeCell ref="AF181:AG182"/>
    <mergeCell ref="B179:C180"/>
    <mergeCell ref="D179:D180"/>
    <mergeCell ref="E179:E180"/>
    <mergeCell ref="J179:J180"/>
    <mergeCell ref="K179:L180"/>
    <mergeCell ref="M179:M180"/>
    <mergeCell ref="AF183:AG184"/>
    <mergeCell ref="B185:C186"/>
    <mergeCell ref="D185:D186"/>
    <mergeCell ref="E185:E186"/>
    <mergeCell ref="J185:J186"/>
    <mergeCell ref="K185:L186"/>
    <mergeCell ref="M185:M186"/>
    <mergeCell ref="AF185:AG186"/>
    <mergeCell ref="B183:C184"/>
    <mergeCell ref="D183:D184"/>
    <mergeCell ref="E183:E184"/>
    <mergeCell ref="J183:J184"/>
    <mergeCell ref="K183:L184"/>
    <mergeCell ref="M183:M184"/>
    <mergeCell ref="AF187:AG188"/>
    <mergeCell ref="B189:C190"/>
    <mergeCell ref="D189:D190"/>
    <mergeCell ref="E189:E190"/>
    <mergeCell ref="J189:J190"/>
    <mergeCell ref="K189:L190"/>
    <mergeCell ref="M189:M190"/>
    <mergeCell ref="AF189:AG190"/>
    <mergeCell ref="B187:C188"/>
    <mergeCell ref="D187:D188"/>
    <mergeCell ref="E187:E188"/>
    <mergeCell ref="J187:J188"/>
    <mergeCell ref="K187:L188"/>
    <mergeCell ref="M187:M188"/>
    <mergeCell ref="AF191:AG192"/>
    <mergeCell ref="B193:C194"/>
    <mergeCell ref="D193:D194"/>
    <mergeCell ref="E193:E194"/>
    <mergeCell ref="J193:J194"/>
    <mergeCell ref="K193:L194"/>
    <mergeCell ref="M193:M194"/>
    <mergeCell ref="AF193:AG194"/>
    <mergeCell ref="B191:C192"/>
    <mergeCell ref="D191:D192"/>
    <mergeCell ref="E191:E192"/>
    <mergeCell ref="J191:J192"/>
    <mergeCell ref="K191:L192"/>
    <mergeCell ref="M191:M192"/>
    <mergeCell ref="AF195:AG196"/>
    <mergeCell ref="B197:C198"/>
    <mergeCell ref="D197:D198"/>
    <mergeCell ref="E197:E198"/>
    <mergeCell ref="J197:J198"/>
    <mergeCell ref="K197:L198"/>
    <mergeCell ref="M197:M198"/>
    <mergeCell ref="AF197:AG198"/>
    <mergeCell ref="B195:C196"/>
    <mergeCell ref="D195:D196"/>
    <mergeCell ref="E195:E196"/>
    <mergeCell ref="J195:J196"/>
    <mergeCell ref="K195:L196"/>
    <mergeCell ref="M195:M196"/>
    <mergeCell ref="AF199:AG200"/>
    <mergeCell ref="B201:C202"/>
    <mergeCell ref="D201:D202"/>
    <mergeCell ref="E201:E202"/>
    <mergeCell ref="J201:J202"/>
    <mergeCell ref="K201:L202"/>
    <mergeCell ref="M201:M202"/>
    <mergeCell ref="AF201:AG202"/>
    <mergeCell ref="B199:C200"/>
    <mergeCell ref="D199:D200"/>
    <mergeCell ref="E199:E200"/>
    <mergeCell ref="J199:J200"/>
    <mergeCell ref="K199:L200"/>
    <mergeCell ref="M199:M200"/>
    <mergeCell ref="AF203:AG204"/>
    <mergeCell ref="B205:C206"/>
    <mergeCell ref="D205:D206"/>
    <mergeCell ref="E205:E206"/>
    <mergeCell ref="J205:J206"/>
    <mergeCell ref="K205:L206"/>
    <mergeCell ref="M205:M206"/>
    <mergeCell ref="AF205:AG206"/>
    <mergeCell ref="B203:C204"/>
    <mergeCell ref="D203:D204"/>
    <mergeCell ref="E203:E204"/>
    <mergeCell ref="J203:J204"/>
    <mergeCell ref="K203:L204"/>
    <mergeCell ref="M203:M204"/>
    <mergeCell ref="AF207:AG208"/>
    <mergeCell ref="B209:C210"/>
    <mergeCell ref="D209:D210"/>
    <mergeCell ref="E209:E210"/>
    <mergeCell ref="J209:J210"/>
    <mergeCell ref="K209:L210"/>
    <mergeCell ref="M209:M210"/>
    <mergeCell ref="AF209:AG210"/>
    <mergeCell ref="B207:C208"/>
    <mergeCell ref="D207:D208"/>
    <mergeCell ref="E207:E208"/>
    <mergeCell ref="J207:J208"/>
    <mergeCell ref="K207:L208"/>
    <mergeCell ref="M207:M208"/>
    <mergeCell ref="AF211:AG212"/>
    <mergeCell ref="B213:C214"/>
    <mergeCell ref="D213:D214"/>
    <mergeCell ref="E213:E214"/>
    <mergeCell ref="J213:J214"/>
    <mergeCell ref="K213:L214"/>
    <mergeCell ref="M213:M214"/>
    <mergeCell ref="AF213:AG214"/>
    <mergeCell ref="B211:C212"/>
    <mergeCell ref="D211:D212"/>
    <mergeCell ref="E211:E212"/>
    <mergeCell ref="J211:J212"/>
    <mergeCell ref="K211:L212"/>
    <mergeCell ref="M211:M212"/>
    <mergeCell ref="AF215:AG216"/>
    <mergeCell ref="B217:C218"/>
    <mergeCell ref="D217:D218"/>
    <mergeCell ref="E217:E218"/>
    <mergeCell ref="J217:J218"/>
    <mergeCell ref="K217:L218"/>
    <mergeCell ref="M217:M218"/>
    <mergeCell ref="AF217:AG218"/>
    <mergeCell ref="B215:C216"/>
    <mergeCell ref="D215:D216"/>
    <mergeCell ref="E215:E216"/>
    <mergeCell ref="J215:J216"/>
    <mergeCell ref="K215:L216"/>
    <mergeCell ref="M215:M216"/>
    <mergeCell ref="C224:D224"/>
    <mergeCell ref="K224:L224"/>
    <mergeCell ref="C225:D225"/>
    <mergeCell ref="K225:L225"/>
    <mergeCell ref="B227:D227"/>
    <mergeCell ref="K227:L227"/>
    <mergeCell ref="B221:B222"/>
    <mergeCell ref="C221:D222"/>
    <mergeCell ref="E221:G221"/>
    <mergeCell ref="H221:J221"/>
    <mergeCell ref="K221:M221"/>
    <mergeCell ref="K222:L222"/>
    <mergeCell ref="C226:D226"/>
    <mergeCell ref="K226:L226"/>
    <mergeCell ref="B230:L230"/>
    <mergeCell ref="B231:D231"/>
    <mergeCell ref="E231:G231"/>
    <mergeCell ref="H231:J231"/>
    <mergeCell ref="K231:M231"/>
    <mergeCell ref="C233:D233"/>
    <mergeCell ref="E233:G233"/>
    <mergeCell ref="H233:J233"/>
    <mergeCell ref="K233:M233"/>
    <mergeCell ref="N238:P238"/>
    <mergeCell ref="K239:L239"/>
    <mergeCell ref="C241:D241"/>
    <mergeCell ref="K241:L241"/>
    <mergeCell ref="C242:D242"/>
    <mergeCell ref="K242:L242"/>
    <mergeCell ref="C234:D234"/>
    <mergeCell ref="E234:G234"/>
    <mergeCell ref="H234:J234"/>
    <mergeCell ref="K234:M234"/>
    <mergeCell ref="B237:L237"/>
    <mergeCell ref="B238:B239"/>
    <mergeCell ref="C238:D239"/>
    <mergeCell ref="E238:G238"/>
    <mergeCell ref="H238:J238"/>
    <mergeCell ref="K238:M238"/>
    <mergeCell ref="C235:D235"/>
    <mergeCell ref="E235:G235"/>
    <mergeCell ref="H235:J235"/>
    <mergeCell ref="K235:M235"/>
    <mergeCell ref="N260:P260"/>
    <mergeCell ref="K261:L261"/>
    <mergeCell ref="C263:D263"/>
    <mergeCell ref="K263:L263"/>
    <mergeCell ref="C264:D264"/>
    <mergeCell ref="K264:L264"/>
    <mergeCell ref="B259:D259"/>
    <mergeCell ref="B260:B261"/>
    <mergeCell ref="C260:D261"/>
    <mergeCell ref="E260:G260"/>
    <mergeCell ref="H260:J260"/>
    <mergeCell ref="K260:M260"/>
    <mergeCell ref="N271:P271"/>
    <mergeCell ref="K272:L272"/>
    <mergeCell ref="C274:D274"/>
    <mergeCell ref="K274:L274"/>
    <mergeCell ref="C275:D275"/>
    <mergeCell ref="K275:L275"/>
    <mergeCell ref="B266:D266"/>
    <mergeCell ref="K266:L266"/>
    <mergeCell ref="B267:D267"/>
    <mergeCell ref="B269:M269"/>
    <mergeCell ref="B271:B272"/>
    <mergeCell ref="C271:D272"/>
    <mergeCell ref="E271:G271"/>
    <mergeCell ref="H271:J271"/>
    <mergeCell ref="K271:M271"/>
    <mergeCell ref="N280:P280"/>
    <mergeCell ref="K281:L281"/>
    <mergeCell ref="C283:D283"/>
    <mergeCell ref="K283:L283"/>
    <mergeCell ref="C284:D284"/>
    <mergeCell ref="K284:L284"/>
    <mergeCell ref="B277:D277"/>
    <mergeCell ref="K277:L277"/>
    <mergeCell ref="B278:L278"/>
    <mergeCell ref="B280:B281"/>
    <mergeCell ref="C280:D281"/>
    <mergeCell ref="E280:G280"/>
    <mergeCell ref="H280:J280"/>
    <mergeCell ref="K280:M280"/>
    <mergeCell ref="N289:P289"/>
    <mergeCell ref="K290:L290"/>
    <mergeCell ref="C292:D292"/>
    <mergeCell ref="K292:L292"/>
    <mergeCell ref="C293:D293"/>
    <mergeCell ref="K293:L293"/>
    <mergeCell ref="B286:D286"/>
    <mergeCell ref="K286:L286"/>
    <mergeCell ref="B287:L287"/>
    <mergeCell ref="B289:B290"/>
    <mergeCell ref="C289:D290"/>
    <mergeCell ref="E289:G289"/>
    <mergeCell ref="H289:J289"/>
    <mergeCell ref="K289:M289"/>
    <mergeCell ref="B295:D295"/>
    <mergeCell ref="K295:L295"/>
    <mergeCell ref="B296:L296"/>
    <mergeCell ref="B297:J297"/>
    <mergeCell ref="K297:M297"/>
    <mergeCell ref="B300:B301"/>
    <mergeCell ref="C300:D301"/>
    <mergeCell ref="E300:G300"/>
    <mergeCell ref="H300:J300"/>
    <mergeCell ref="K300:M300"/>
    <mergeCell ref="B306:D306"/>
    <mergeCell ref="K306:L306"/>
    <mergeCell ref="B309:M309"/>
    <mergeCell ref="B310:B311"/>
    <mergeCell ref="C310:D311"/>
    <mergeCell ref="E310:H310"/>
    <mergeCell ref="I310:M310"/>
    <mergeCell ref="N300:P300"/>
    <mergeCell ref="K301:L301"/>
    <mergeCell ref="C303:D303"/>
    <mergeCell ref="K303:L303"/>
    <mergeCell ref="C304:D304"/>
    <mergeCell ref="K304:L304"/>
    <mergeCell ref="C305:D305"/>
    <mergeCell ref="K305:L305"/>
    <mergeCell ref="B314:D314"/>
    <mergeCell ref="G314:H314"/>
    <mergeCell ref="K314:M314"/>
    <mergeCell ref="C315:D315"/>
    <mergeCell ref="G315:H315"/>
    <mergeCell ref="K315:M315"/>
    <mergeCell ref="N310:P310"/>
    <mergeCell ref="G311:H311"/>
    <mergeCell ref="K311:M311"/>
    <mergeCell ref="C313:D313"/>
    <mergeCell ref="G313:H313"/>
    <mergeCell ref="K313:M313"/>
    <mergeCell ref="B321:B322"/>
    <mergeCell ref="C321:D322"/>
    <mergeCell ref="E321:G321"/>
    <mergeCell ref="H321:J321"/>
    <mergeCell ref="K321:M321"/>
    <mergeCell ref="K322:L322"/>
    <mergeCell ref="C316:D316"/>
    <mergeCell ref="G316:H316"/>
    <mergeCell ref="K316:M316"/>
    <mergeCell ref="B318:D318"/>
    <mergeCell ref="G318:H318"/>
    <mergeCell ref="K318:M318"/>
    <mergeCell ref="C317:D317"/>
    <mergeCell ref="G317:H317"/>
    <mergeCell ref="K317:M317"/>
    <mergeCell ref="F332:H332"/>
    <mergeCell ref="I332:M332"/>
    <mergeCell ref="B333:E333"/>
    <mergeCell ref="F333:H333"/>
    <mergeCell ref="I333:M333"/>
    <mergeCell ref="C324:D324"/>
    <mergeCell ref="K324:L324"/>
    <mergeCell ref="C325:D325"/>
    <mergeCell ref="K325:L325"/>
    <mergeCell ref="B327:D327"/>
    <mergeCell ref="K327:L327"/>
    <mergeCell ref="C326:D326"/>
    <mergeCell ref="K326:L326"/>
    <mergeCell ref="K248:L248"/>
    <mergeCell ref="B366:H366"/>
    <mergeCell ref="B367:H367"/>
    <mergeCell ref="B368:H368"/>
    <mergeCell ref="B369:H369"/>
    <mergeCell ref="B370:H370"/>
    <mergeCell ref="B371:H371"/>
    <mergeCell ref="B372:H372"/>
    <mergeCell ref="B373:H373"/>
    <mergeCell ref="B339:B340"/>
    <mergeCell ref="B341:B342"/>
    <mergeCell ref="B343:B344"/>
    <mergeCell ref="B345:B350"/>
    <mergeCell ref="B336:E336"/>
    <mergeCell ref="F336:M336"/>
    <mergeCell ref="C337:G337"/>
    <mergeCell ref="B334:E334"/>
    <mergeCell ref="F334:H334"/>
    <mergeCell ref="I334:M334"/>
    <mergeCell ref="B335:E335"/>
    <mergeCell ref="F335:H335"/>
    <mergeCell ref="I335:M335"/>
    <mergeCell ref="B328:L328"/>
    <mergeCell ref="B332:E332"/>
    <mergeCell ref="B374:H374"/>
    <mergeCell ref="B375:H375"/>
    <mergeCell ref="B376:H376"/>
    <mergeCell ref="B377:H377"/>
    <mergeCell ref="B378:H378"/>
    <mergeCell ref="B379:H379"/>
    <mergeCell ref="B380:H380"/>
    <mergeCell ref="B381:H381"/>
    <mergeCell ref="B382:H382"/>
    <mergeCell ref="B383:H383"/>
    <mergeCell ref="B393:H393"/>
    <mergeCell ref="B394:H394"/>
    <mergeCell ref="B384:H384"/>
    <mergeCell ref="B385:H385"/>
    <mergeCell ref="B386:H386"/>
    <mergeCell ref="B387:H387"/>
    <mergeCell ref="B388:H388"/>
    <mergeCell ref="B389:H389"/>
    <mergeCell ref="B390:H390"/>
    <mergeCell ref="B391:H391"/>
    <mergeCell ref="B392:H392"/>
  </mergeCells>
  <conditionalFormatting sqref="F336 K297:L297">
    <cfRule type="cellIs" dxfId="72" priority="105" operator="equal">
      <formula>"No"</formula>
    </cfRule>
  </conditionalFormatting>
  <conditionalFormatting sqref="K233:K234">
    <cfRule type="expression" dxfId="71" priority="104">
      <formula>IFERROR(AND(K233&gt;0.1,K233&lt;&gt;""),FALSE)</formula>
    </cfRule>
  </conditionalFormatting>
  <conditionalFormatting sqref="B324:M325 B315:M316 B274:M275 B283:M284 B263:M264 B303:M304 B292:M293">
    <cfRule type="expression" dxfId="70" priority="103">
      <formula>AND(DESPath=3,OR($B263="District Cooling",$B263="District Hot Water",$B263="District Steam"))</formula>
    </cfRule>
  </conditionalFormatting>
  <conditionalFormatting sqref="B359:H394">
    <cfRule type="expression" dxfId="69" priority="102">
      <formula>IF($R359=TRUE,TRUE,FALSE)</formula>
    </cfRule>
  </conditionalFormatting>
  <conditionalFormatting sqref="I359:M394">
    <cfRule type="expression" dxfId="68" priority="101">
      <formula>IF($R359=TRUE,TRUE,FALSE)</formula>
    </cfRule>
  </conditionalFormatting>
  <conditionalFormatting sqref="E233:J234">
    <cfRule type="expression" dxfId="67" priority="1311">
      <formula>AND(DESPath=3,$B$253=$B233,ISERROR(1/VLOOKUP($B233,PO_Enrgy_7_Table,MATCH($G$223,PO_Enrgy_7_Hdr,0),FALSE)))</formula>
    </cfRule>
  </conditionalFormatting>
  <conditionalFormatting sqref="K235">
    <cfRule type="expression" dxfId="66" priority="8">
      <formula>IFERROR(AND(K235&gt;0.1,K235&lt;&gt;""),FALSE)</formula>
    </cfRule>
  </conditionalFormatting>
  <conditionalFormatting sqref="E235:J235">
    <cfRule type="expression" dxfId="65" priority="9">
      <formula>AND(DESPath=3,$B$253=$B235,ISERROR(1/VLOOKUP($B235,PO_Enrgy_7_Table,MATCH($G$223,PO_Enrgy_7_Hdr,0),FALSE)))</formula>
    </cfRule>
  </conditionalFormatting>
  <conditionalFormatting sqref="B265:M265">
    <cfRule type="expression" dxfId="64" priority="7">
      <formula>AND(DESPath=3,OR($B265="District Cooling",$B265="District Hot Water",$B265="District Steam"))</formula>
    </cfRule>
  </conditionalFormatting>
  <conditionalFormatting sqref="B276:M276">
    <cfRule type="expression" dxfId="63" priority="6">
      <formula>AND(DESPath=3,OR($B276="District Cooling",$B276="District Hot Water",$B276="District Steam"))</formula>
    </cfRule>
  </conditionalFormatting>
  <conditionalFormatting sqref="B285:M285">
    <cfRule type="expression" dxfId="62" priority="5">
      <formula>AND(DESPath=3,OR($B285="District Cooling",$B285="District Hot Water",$B285="District Steam"))</formula>
    </cfRule>
  </conditionalFormatting>
  <conditionalFormatting sqref="B294:M294">
    <cfRule type="expression" dxfId="61" priority="4">
      <formula>AND(DESPath=3,OR($B294="District Cooling",$B294="District Hot Water",$B294="District Steam"))</formula>
    </cfRule>
  </conditionalFormatting>
  <conditionalFormatting sqref="B305:M305">
    <cfRule type="expression" dxfId="60" priority="3">
      <formula>AND(DESPath=3,OR($B305="District Cooling",$B305="District Hot Water",$B305="District Steam"))</formula>
    </cfRule>
  </conditionalFormatting>
  <conditionalFormatting sqref="B317:M317">
    <cfRule type="expression" dxfId="59" priority="2">
      <formula>AND(DESPath=3,OR($B317="District Cooling",$B317="District Hot Water",$B317="District Steam"))</formula>
    </cfRule>
  </conditionalFormatting>
  <conditionalFormatting sqref="B326:M326">
    <cfRule type="expression" dxfId="58" priority="1">
      <formula>AND(DESPath=3,OR($B326="District Cooling",$B326="District Hot Water",$B326="District Steam"))</formula>
    </cfRule>
  </conditionalFormatting>
  <dataValidations count="21">
    <dataValidation type="list" errorStyle="warning" allowBlank="1" showInputMessage="1" showErrorMessage="1" errorTitle="Required Input" error="The units must be selected from the provided list." promptTitle="Select the demand units:" sqref="E17:E19" xr:uid="{00000000-0002-0000-2B00-000000000000}">
      <formula1>DemandUnits</formula1>
    </dataValidation>
    <dataValidation type="list" allowBlank="1" showInputMessage="1" showErrorMessage="1" errorTitle="Invalid Entry" error="Please select from the list of values shown." promptTitle="Project Energy Types" sqref="B17:B19" xr:uid="{00000000-0002-0000-2B00-000001000000}">
      <formula1>FuelTypes</formula1>
    </dataValidation>
    <dataValidation allowBlank="1" showInputMessage="1" showErrorMessage="1" promptTitle="Utility Rate Name" sqref="N17:O19 F17:F19" xr:uid="{00000000-0002-0000-2B00-000002000000}"/>
    <dataValidation type="list" allowBlank="1" showInputMessage="1" showErrorMessage="1" errorTitle="Required Input" error="The units must be selected from the provided list." promptTitle="Energy Consumption Units:" sqref="C17:C19" xr:uid="{00000000-0002-0000-2B00-000003000000}">
      <formula1>ConsumptionUnits</formula1>
    </dataValidation>
    <dataValidation type="list" allowBlank="1" showInputMessage="1" promptTitle="Utility Rate Structure" sqref="H17:H19" xr:uid="{00000000-0002-0000-2B00-000004000000}">
      <formula1>UtilityRateStructure</formula1>
    </dataValidation>
    <dataValidation allowBlank="1" showErrorMessage="1" sqref="B320 B308:B309 B288 B270 B237 B299 B246 B251 B279 B255" xr:uid="{00000000-0002-0000-2B00-000005000000}"/>
    <dataValidation type="list" allowBlank="1" promptTitle="Fossil Fuel" prompt="Select the fossil fuel used within the District Plant for generating District Cooling (if applicable)." sqref="B253" xr:uid="{00000000-0002-0000-2B00-000006000000}">
      <formula1>INDEX(PO_Enrgy_1_Table,,1)</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219" xr:uid="{00000000-0002-0000-2B00-000007000000}">
      <formula1>PO_EnergyType</formula1>
    </dataValidation>
    <dataValidation type="list" showInputMessage="1" sqref="D171:D218 D97:D144" xr:uid="{00000000-0002-0000-2B00-000008000000}">
      <formula1>" x"</formula1>
    </dataValidation>
    <dataValidation allowBlank="1" showInputMessage="1" sqref="H33:H34" xr:uid="{00000000-0002-0000-2B00-000009000000}"/>
    <dataValidation allowBlank="1" showErrorMessage="1" promptTitle="Calculated Automatically" prompt="This value is calculated automatically based on the virtual energy rates" sqref="T33:T34 J33:J34" xr:uid="{00000000-0002-0000-2B00-00000A000000}"/>
    <dataValidation type="list" allowBlank="1" showInputMessage="1" promptTitle="Renewable Source" sqref="B33:D34" xr:uid="{00000000-0002-0000-2B00-00000B000000}">
      <formula1>RenewableSource</formula1>
    </dataValidation>
    <dataValidation type="list" allowBlank="1" showInputMessage="1" showErrorMessage="1" promptTitle="Energy Type" sqref="E33:E34" xr:uid="{00000000-0002-0000-2B00-00000C000000}">
      <formula1>INDEX(PO_Enrgy_1_Table,,1)</formula1>
    </dataValidation>
    <dataValidation allowBlank="1" promptTitle="Energy End Use" prompt="Select the energy end use or enter the end use if not listed." sqref="B171:C218 B97:C144" xr:uid="{00000000-0002-0000-2B00-00000D000000}"/>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20:L21" xr:uid="{00000000-0002-0000-2B00-00000E000000}">
      <formula1>ConsumptionUnits</formula1>
    </dataValidation>
    <dataValidation type="whole" allowBlank="1" showErrorMessage="1" errorTitle="Input Error" error="Please enter a whole number between 0 and 8,760 hours." sqref="F333:F334" xr:uid="{00000000-0002-0000-2B00-00000F000000}">
      <formula1>0</formula1>
      <formula2>8760</formula2>
    </dataValidation>
    <dataValidation allowBlank="1" showInputMessage="1" showErrorMessage="1" prompt="Enter energy savings as a positive number. If the exceptional calculation method leads to energy penalties for this energy type (i.e. increased proposed case energy usage or decreased baseline case usage), enter the penalty as a negative number." sqref="AW57:AY60 AS57:AU60" xr:uid="{00000000-0002-0000-2B00-000010000000}"/>
    <dataValidation type="list" allowBlank="1" showInputMessage="1" showErrorMessage="1" prompt="Select &quot;Add to Baseline&quot; if the exceptional calculation adjusts the Baseline building energy consumption and cost up, or &quot;Subtract from Proposed&quot; if the exceptional calculation adjusts the Proposed building energy consumption and cost down." sqref="AR57:AR60" xr:uid="{00000000-0002-0000-2B00-000011000000}">
      <formula1>"Apply to Baseline, Subtract from Proposed"</formula1>
    </dataValidation>
    <dataValidation allowBlank="1" showInputMessage="1" showErrorMessage="1" errorTitle="Not a valid energy type" error="This energy type has not yet been listed in the energy sources table above. Please fill out the energy sources table above; then select from the list of energy types." sqref="B57:C60" xr:uid="{00000000-0002-0000-2B00-000012000000}"/>
    <dataValidation type="list" allowBlank="1" showInputMessage="1" showErrorMessage="1" sqref="F57:F60" xr:uid="{00000000-0002-0000-2B00-000013000000}">
      <formula1>"Add to Baseline, Subtract from Proposed"</formula1>
    </dataValidation>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97:E144 E171:E218 C61:D61 D57:D60" xr:uid="{00000000-0002-0000-2B00-000014000000}">
      <formula1>INDEX(PO_Enrgy_1_Table,,1)</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0771" r:id="rId4" name="btnAddRenewable">
              <controlPr defaultSize="0" print="0" autoFill="0" autoPict="0" macro="[0]!addA">
                <anchor moveWithCells="1">
                  <from>
                    <xdr:col>1</xdr:col>
                    <xdr:colOff>60960</xdr:colOff>
                    <xdr:row>43</xdr:row>
                    <xdr:rowOff>99060</xdr:rowOff>
                  </from>
                  <to>
                    <xdr:col>1</xdr:col>
                    <xdr:colOff>1424940</xdr:colOff>
                    <xdr:row>43</xdr:row>
                    <xdr:rowOff>365760</xdr:rowOff>
                  </to>
                </anchor>
              </controlPr>
            </control>
          </mc:Choice>
        </mc:AlternateContent>
        <mc:AlternateContent xmlns:mc="http://schemas.openxmlformats.org/markup-compatibility/2006">
          <mc:Choice Requires="x14">
            <control shapeId="160772" r:id="rId5" name="btbDeleteRenewable">
              <controlPr defaultSize="0" print="0" autoFill="0" autoPict="0" macro="[0]!DeleteSome">
                <anchor moveWithCells="1">
                  <from>
                    <xdr:col>2</xdr:col>
                    <xdr:colOff>22860</xdr:colOff>
                    <xdr:row>43</xdr:row>
                    <xdr:rowOff>99060</xdr:rowOff>
                  </from>
                  <to>
                    <xdr:col>2</xdr:col>
                    <xdr:colOff>1394460</xdr:colOff>
                    <xdr:row>43</xdr:row>
                    <xdr:rowOff>365760</xdr:rowOff>
                  </to>
                </anchor>
              </controlPr>
            </control>
          </mc:Choice>
        </mc:AlternateContent>
        <mc:AlternateContent xmlns:mc="http://schemas.openxmlformats.org/markup-compatibility/2006">
          <mc:Choice Requires="x14">
            <control shapeId="160773" r:id="rId6" name="rbOutputReporting1">
              <controlPr defaultSize="0" autoFill="0" autoLine="0" autoPict="0" macro="[0]!ShowBaselineTable">
                <anchor moveWithCells="1">
                  <from>
                    <xdr:col>1</xdr:col>
                    <xdr:colOff>99060</xdr:colOff>
                    <xdr:row>76</xdr:row>
                    <xdr:rowOff>60960</xdr:rowOff>
                  </from>
                  <to>
                    <xdr:col>1</xdr:col>
                    <xdr:colOff>441960</xdr:colOff>
                    <xdr:row>76</xdr:row>
                    <xdr:rowOff>266700</xdr:rowOff>
                  </to>
                </anchor>
              </controlPr>
            </control>
          </mc:Choice>
        </mc:AlternateContent>
        <mc:AlternateContent xmlns:mc="http://schemas.openxmlformats.org/markup-compatibility/2006">
          <mc:Choice Requires="x14">
            <control shapeId="160774" r:id="rId7" name="rbOutputReporting2">
              <controlPr defaultSize="0" autoFill="0" autoLine="0" autoPict="0" macro="[0]!HideBaselineTable">
                <anchor moveWithCells="1">
                  <from>
                    <xdr:col>1</xdr:col>
                    <xdr:colOff>99060</xdr:colOff>
                    <xdr:row>77</xdr:row>
                    <xdr:rowOff>60960</xdr:rowOff>
                  </from>
                  <to>
                    <xdr:col>1</xdr:col>
                    <xdr:colOff>419100</xdr:colOff>
                    <xdr:row>78</xdr:row>
                    <xdr:rowOff>190500</xdr:rowOff>
                  </to>
                </anchor>
              </controlPr>
            </control>
          </mc:Choice>
        </mc:AlternateContent>
        <mc:AlternateContent xmlns:mc="http://schemas.openxmlformats.org/markup-compatibility/2006">
          <mc:Choice Requires="x14">
            <control shapeId="160775" r:id="rId8" name="rbOutputReporting4">
              <controlPr defaultSize="0" autoFill="0" autoLine="0" autoPict="0" macro="[0]!HideBaselineTable">
                <anchor moveWithCells="1">
                  <from>
                    <xdr:col>1</xdr:col>
                    <xdr:colOff>99060</xdr:colOff>
                    <xdr:row>81</xdr:row>
                    <xdr:rowOff>60960</xdr:rowOff>
                  </from>
                  <to>
                    <xdr:col>1</xdr:col>
                    <xdr:colOff>441960</xdr:colOff>
                    <xdr:row>82</xdr:row>
                    <xdr:rowOff>213360</xdr:rowOff>
                  </to>
                </anchor>
              </controlPr>
            </control>
          </mc:Choice>
        </mc:AlternateContent>
        <mc:AlternateContent xmlns:mc="http://schemas.openxmlformats.org/markup-compatibility/2006">
          <mc:Choice Requires="x14">
            <control shapeId="160776" r:id="rId9" name="rbgOutputReporting">
              <controlPr defaultSize="0" print="0" autoFill="0" autoPict="0">
                <anchor moveWithCells="1">
                  <from>
                    <xdr:col>0</xdr:col>
                    <xdr:colOff>137160</xdr:colOff>
                    <xdr:row>74</xdr:row>
                    <xdr:rowOff>365760</xdr:rowOff>
                  </from>
                  <to>
                    <xdr:col>11</xdr:col>
                    <xdr:colOff>129540</xdr:colOff>
                    <xdr:row>84</xdr:row>
                    <xdr:rowOff>0</xdr:rowOff>
                  </to>
                </anchor>
              </controlPr>
            </control>
          </mc:Choice>
        </mc:AlternateContent>
        <mc:AlternateContent xmlns:mc="http://schemas.openxmlformats.org/markup-compatibility/2006">
          <mc:Choice Requires="x14">
            <control shapeId="160777" r:id="rId10" name="SiteRenewable Checkbox">
              <controlPr defaultSize="0" autoFill="0" autoLine="0" autoPict="0" macro="[0]!SiteRenewable_Change">
                <anchor moveWithCells="1">
                  <from>
                    <xdr:col>1</xdr:col>
                    <xdr:colOff>60960</xdr:colOff>
                    <xdr:row>24</xdr:row>
                    <xdr:rowOff>99060</xdr:rowOff>
                  </from>
                  <to>
                    <xdr:col>1</xdr:col>
                    <xdr:colOff>403860</xdr:colOff>
                    <xdr:row>25</xdr:row>
                    <xdr:rowOff>213360</xdr:rowOff>
                  </to>
                </anchor>
              </controlPr>
            </control>
          </mc:Choice>
        </mc:AlternateContent>
        <mc:AlternateContent xmlns:mc="http://schemas.openxmlformats.org/markup-compatibility/2006">
          <mc:Choice Requires="x14">
            <control shapeId="160778" r:id="rId11" name="ExcCalcCheckbox">
              <controlPr locked="0" defaultSize="0" autoFill="0" autoLine="0" autoPict="0" macro="[0]!ExCalc_Change">
                <anchor moveWithCells="1">
                  <from>
                    <xdr:col>1</xdr:col>
                    <xdr:colOff>22860</xdr:colOff>
                    <xdr:row>46</xdr:row>
                    <xdr:rowOff>76200</xdr:rowOff>
                  </from>
                  <to>
                    <xdr:col>1</xdr:col>
                    <xdr:colOff>403860</xdr:colOff>
                    <xdr:row>47</xdr:row>
                    <xdr:rowOff>251460</xdr:rowOff>
                  </to>
                </anchor>
              </controlPr>
            </control>
          </mc:Choice>
        </mc:AlternateContent>
        <mc:AlternateContent xmlns:mc="http://schemas.openxmlformats.org/markup-compatibility/2006">
          <mc:Choice Requires="x14">
            <control shapeId="160779" r:id="rId12" name="rbOutputReporting3">
              <controlPr defaultSize="0" autoFill="0" autoLine="0" autoPict="0" macro="[0]!HideBaselineTable">
                <anchor moveWithCells="1">
                  <from>
                    <xdr:col>1</xdr:col>
                    <xdr:colOff>99060</xdr:colOff>
                    <xdr:row>79</xdr:row>
                    <xdr:rowOff>60960</xdr:rowOff>
                  </from>
                  <to>
                    <xdr:col>1</xdr:col>
                    <xdr:colOff>419100</xdr:colOff>
                    <xdr:row>80</xdr:row>
                    <xdr:rowOff>213360</xdr:rowOff>
                  </to>
                </anchor>
              </controlPr>
            </control>
          </mc:Choice>
        </mc:AlternateContent>
        <mc:AlternateContent xmlns:mc="http://schemas.openxmlformats.org/markup-compatibility/2006">
          <mc:Choice Requires="x14">
            <control shapeId="160780" r:id="rId13" name="btnRestoreRenewCost">
              <controlPr defaultSize="0" print="0" autoFill="0" autoPict="0" macro="[0]!Copy_Default_Renewable_Cost">
                <anchor moveWithCells="1">
                  <from>
                    <xdr:col>10</xdr:col>
                    <xdr:colOff>434340</xdr:colOff>
                    <xdr:row>43</xdr:row>
                    <xdr:rowOff>152400</xdr:rowOff>
                  </from>
                  <to>
                    <xdr:col>12</xdr:col>
                    <xdr:colOff>937260</xdr:colOff>
                    <xdr:row>43</xdr:row>
                    <xdr:rowOff>403860</xdr:rowOff>
                  </to>
                </anchor>
              </controlPr>
            </control>
          </mc:Choice>
        </mc:AlternateContent>
        <mc:AlternateContent xmlns:mc="http://schemas.openxmlformats.org/markup-compatibility/2006">
          <mc:Choice Requires="x14">
            <control shapeId="160781" r:id="rId14" name="btnAddExCalc">
              <controlPr defaultSize="0" print="0" autoFill="0" autoPict="0" macro="[0]!addB">
                <anchor moveWithCells="1">
                  <from>
                    <xdr:col>1</xdr:col>
                    <xdr:colOff>60960</xdr:colOff>
                    <xdr:row>71</xdr:row>
                    <xdr:rowOff>175260</xdr:rowOff>
                  </from>
                  <to>
                    <xdr:col>1</xdr:col>
                    <xdr:colOff>1424940</xdr:colOff>
                    <xdr:row>71</xdr:row>
                    <xdr:rowOff>441960</xdr:rowOff>
                  </to>
                </anchor>
              </controlPr>
            </control>
          </mc:Choice>
        </mc:AlternateContent>
        <mc:AlternateContent xmlns:mc="http://schemas.openxmlformats.org/markup-compatibility/2006">
          <mc:Choice Requires="x14">
            <control shapeId="160782" r:id="rId15" name="btnDeleteExCalc">
              <controlPr defaultSize="0" print="0" autoFill="0" autoPict="0" macro="[0]!DeleteSome">
                <anchor moveWithCells="1">
                  <from>
                    <xdr:col>2</xdr:col>
                    <xdr:colOff>60960</xdr:colOff>
                    <xdr:row>71</xdr:row>
                    <xdr:rowOff>167640</xdr:rowOff>
                  </from>
                  <to>
                    <xdr:col>2</xdr:col>
                    <xdr:colOff>1432560</xdr:colOff>
                    <xdr:row>71</xdr:row>
                    <xdr:rowOff>441960</xdr:rowOff>
                  </to>
                </anchor>
              </controlPr>
            </control>
          </mc:Choice>
        </mc:AlternateContent>
        <mc:AlternateContent xmlns:mc="http://schemas.openxmlformats.org/markup-compatibility/2006">
          <mc:Choice Requires="x14">
            <control shapeId="160783" r:id="rId16" name="btnRestoreExCalCost">
              <controlPr defaultSize="0" print="0" autoFill="0" autoPict="0" macro="[0]!Copy_Default_ExCalc_Cost">
                <anchor moveWithCells="1">
                  <from>
                    <xdr:col>10</xdr:col>
                    <xdr:colOff>434340</xdr:colOff>
                    <xdr:row>71</xdr:row>
                    <xdr:rowOff>137160</xdr:rowOff>
                  </from>
                  <to>
                    <xdr:col>12</xdr:col>
                    <xdr:colOff>937260</xdr:colOff>
                    <xdr:row>71</xdr:row>
                    <xdr:rowOff>403860</xdr:rowOff>
                  </to>
                </anchor>
              </controlPr>
            </control>
          </mc:Choice>
        </mc:AlternateContent>
        <mc:AlternateContent xmlns:mc="http://schemas.openxmlformats.org/markup-compatibility/2006">
          <mc:Choice Requires="x14">
            <control shapeId="160790" r:id="rId17" name="Button 22">
              <controlPr defaultSize="0" print="0" autoFill="0" autoPict="0" macro="[0]!Copy_Default_PO_VR_Table">
                <anchor moveWithCells="1">
                  <from>
                    <xdr:col>10</xdr:col>
                    <xdr:colOff>518160</xdr:colOff>
                    <xdr:row>235</xdr:row>
                    <xdr:rowOff>137160</xdr:rowOff>
                  </from>
                  <to>
                    <xdr:col>12</xdr:col>
                    <xdr:colOff>1028700</xdr:colOff>
                    <xdr:row>236</xdr:row>
                    <xdr:rowOff>0</xdr:rowOff>
                  </to>
                </anchor>
              </controlPr>
            </control>
          </mc:Choice>
        </mc:AlternateContent>
        <mc:AlternateContent xmlns:mc="http://schemas.openxmlformats.org/markup-compatibility/2006">
          <mc:Choice Requires="x14">
            <control shapeId="160793" r:id="rId18" name="Button 25">
              <controlPr defaultSize="0" print="0" autoFill="0" autoPict="0" macro="[0]!addA">
                <anchor moveWithCells="1">
                  <from>
                    <xdr:col>1</xdr:col>
                    <xdr:colOff>60960</xdr:colOff>
                    <xdr:row>43</xdr:row>
                    <xdr:rowOff>99060</xdr:rowOff>
                  </from>
                  <to>
                    <xdr:col>1</xdr:col>
                    <xdr:colOff>1424940</xdr:colOff>
                    <xdr:row>43</xdr:row>
                    <xdr:rowOff>365760</xdr:rowOff>
                  </to>
                </anchor>
              </controlPr>
            </control>
          </mc:Choice>
        </mc:AlternateContent>
        <mc:AlternateContent xmlns:mc="http://schemas.openxmlformats.org/markup-compatibility/2006">
          <mc:Choice Requires="x14">
            <control shapeId="160794" r:id="rId19" name="Button 26">
              <controlPr defaultSize="0" print="0" autoFill="0" autoPict="0" macro="[0]!DeleteSome">
                <anchor moveWithCells="1">
                  <from>
                    <xdr:col>2</xdr:col>
                    <xdr:colOff>22860</xdr:colOff>
                    <xdr:row>43</xdr:row>
                    <xdr:rowOff>99060</xdr:rowOff>
                  </from>
                  <to>
                    <xdr:col>2</xdr:col>
                    <xdr:colOff>1394460</xdr:colOff>
                    <xdr:row>43</xdr:row>
                    <xdr:rowOff>365760</xdr:rowOff>
                  </to>
                </anchor>
              </controlPr>
            </control>
          </mc:Choice>
        </mc:AlternateContent>
        <mc:AlternateContent xmlns:mc="http://schemas.openxmlformats.org/markup-compatibility/2006">
          <mc:Choice Requires="x14">
            <control shapeId="160795" r:id="rId20" name="Option Button 27">
              <controlPr defaultSize="0" autoFill="0" autoLine="0" autoPict="0" macro="[0]!ShowBaselineTable">
                <anchor moveWithCells="1">
                  <from>
                    <xdr:col>1</xdr:col>
                    <xdr:colOff>129540</xdr:colOff>
                    <xdr:row>76</xdr:row>
                    <xdr:rowOff>60960</xdr:rowOff>
                  </from>
                  <to>
                    <xdr:col>1</xdr:col>
                    <xdr:colOff>472440</xdr:colOff>
                    <xdr:row>76</xdr:row>
                    <xdr:rowOff>266700</xdr:rowOff>
                  </to>
                </anchor>
              </controlPr>
            </control>
          </mc:Choice>
        </mc:AlternateContent>
        <mc:AlternateContent xmlns:mc="http://schemas.openxmlformats.org/markup-compatibility/2006">
          <mc:Choice Requires="x14">
            <control shapeId="160796" r:id="rId21" name="Option Button 28">
              <controlPr defaultSize="0" autoFill="0" autoLine="0" autoPict="0" macro="[0]!HideBaselineTable">
                <anchor moveWithCells="1">
                  <from>
                    <xdr:col>1</xdr:col>
                    <xdr:colOff>99060</xdr:colOff>
                    <xdr:row>77</xdr:row>
                    <xdr:rowOff>60960</xdr:rowOff>
                  </from>
                  <to>
                    <xdr:col>1</xdr:col>
                    <xdr:colOff>419100</xdr:colOff>
                    <xdr:row>78</xdr:row>
                    <xdr:rowOff>190500</xdr:rowOff>
                  </to>
                </anchor>
              </controlPr>
            </control>
          </mc:Choice>
        </mc:AlternateContent>
        <mc:AlternateContent xmlns:mc="http://schemas.openxmlformats.org/markup-compatibility/2006">
          <mc:Choice Requires="x14">
            <control shapeId="160797" r:id="rId22" name="Option Button 29">
              <controlPr defaultSize="0" autoFill="0" autoLine="0" autoPict="0" macro="[0]!HideBaselineTable">
                <anchor moveWithCells="1">
                  <from>
                    <xdr:col>1</xdr:col>
                    <xdr:colOff>99060</xdr:colOff>
                    <xdr:row>81</xdr:row>
                    <xdr:rowOff>60960</xdr:rowOff>
                  </from>
                  <to>
                    <xdr:col>1</xdr:col>
                    <xdr:colOff>441960</xdr:colOff>
                    <xdr:row>82</xdr:row>
                    <xdr:rowOff>213360</xdr:rowOff>
                  </to>
                </anchor>
              </controlPr>
            </control>
          </mc:Choice>
        </mc:AlternateContent>
        <mc:AlternateContent xmlns:mc="http://schemas.openxmlformats.org/markup-compatibility/2006">
          <mc:Choice Requires="x14">
            <control shapeId="160798" r:id="rId23" name="Group Box 30">
              <controlPr defaultSize="0" print="0" autoFill="0" autoPict="0">
                <anchor moveWithCells="1">
                  <from>
                    <xdr:col>0</xdr:col>
                    <xdr:colOff>137160</xdr:colOff>
                    <xdr:row>74</xdr:row>
                    <xdr:rowOff>365760</xdr:rowOff>
                  </from>
                  <to>
                    <xdr:col>11</xdr:col>
                    <xdr:colOff>129540</xdr:colOff>
                    <xdr:row>84</xdr:row>
                    <xdr:rowOff>0</xdr:rowOff>
                  </to>
                </anchor>
              </controlPr>
            </control>
          </mc:Choice>
        </mc:AlternateContent>
        <mc:AlternateContent xmlns:mc="http://schemas.openxmlformats.org/markup-compatibility/2006">
          <mc:Choice Requires="x14">
            <control shapeId="160799" r:id="rId24" name="Check Box 31">
              <controlPr defaultSize="0" autoFill="0" autoLine="0" autoPict="0" macro="[0]!SiteRenewable_Change">
                <anchor moveWithCells="1">
                  <from>
                    <xdr:col>1</xdr:col>
                    <xdr:colOff>60960</xdr:colOff>
                    <xdr:row>24</xdr:row>
                    <xdr:rowOff>99060</xdr:rowOff>
                  </from>
                  <to>
                    <xdr:col>1</xdr:col>
                    <xdr:colOff>403860</xdr:colOff>
                    <xdr:row>25</xdr:row>
                    <xdr:rowOff>213360</xdr:rowOff>
                  </to>
                </anchor>
              </controlPr>
            </control>
          </mc:Choice>
        </mc:AlternateContent>
        <mc:AlternateContent xmlns:mc="http://schemas.openxmlformats.org/markup-compatibility/2006">
          <mc:Choice Requires="x14">
            <control shapeId="160800" r:id="rId25" name="Check Box 32">
              <controlPr locked="0" defaultSize="0" autoFill="0" autoLine="0" autoPict="0" macro="[0]!ExCalc_Change">
                <anchor moveWithCells="1">
                  <from>
                    <xdr:col>1</xdr:col>
                    <xdr:colOff>22860</xdr:colOff>
                    <xdr:row>46</xdr:row>
                    <xdr:rowOff>76200</xdr:rowOff>
                  </from>
                  <to>
                    <xdr:col>1</xdr:col>
                    <xdr:colOff>403860</xdr:colOff>
                    <xdr:row>47</xdr:row>
                    <xdr:rowOff>251460</xdr:rowOff>
                  </to>
                </anchor>
              </controlPr>
            </control>
          </mc:Choice>
        </mc:AlternateContent>
        <mc:AlternateContent xmlns:mc="http://schemas.openxmlformats.org/markup-compatibility/2006">
          <mc:Choice Requires="x14">
            <control shapeId="160801" r:id="rId26" name="Option Button 33">
              <controlPr defaultSize="0" autoFill="0" autoLine="0" autoPict="0" macro="[0]!HideBaselineTable">
                <anchor moveWithCells="1">
                  <from>
                    <xdr:col>1</xdr:col>
                    <xdr:colOff>99060</xdr:colOff>
                    <xdr:row>79</xdr:row>
                    <xdr:rowOff>60960</xdr:rowOff>
                  </from>
                  <to>
                    <xdr:col>1</xdr:col>
                    <xdr:colOff>419100</xdr:colOff>
                    <xdr:row>80</xdr:row>
                    <xdr:rowOff>213360</xdr:rowOff>
                  </to>
                </anchor>
              </controlPr>
            </control>
          </mc:Choice>
        </mc:AlternateContent>
        <mc:AlternateContent xmlns:mc="http://schemas.openxmlformats.org/markup-compatibility/2006">
          <mc:Choice Requires="x14">
            <control shapeId="160802" r:id="rId27" name="Button 34">
              <controlPr defaultSize="0" print="0" autoFill="0" autoPict="0" macro="[0]!Copy_Default_Renewable_Cost">
                <anchor moveWithCells="1">
                  <from>
                    <xdr:col>10</xdr:col>
                    <xdr:colOff>434340</xdr:colOff>
                    <xdr:row>43</xdr:row>
                    <xdr:rowOff>152400</xdr:rowOff>
                  </from>
                  <to>
                    <xdr:col>12</xdr:col>
                    <xdr:colOff>937260</xdr:colOff>
                    <xdr:row>43</xdr:row>
                    <xdr:rowOff>403860</xdr:rowOff>
                  </to>
                </anchor>
              </controlPr>
            </control>
          </mc:Choice>
        </mc:AlternateContent>
        <mc:AlternateContent xmlns:mc="http://schemas.openxmlformats.org/markup-compatibility/2006">
          <mc:Choice Requires="x14">
            <control shapeId="160803" r:id="rId28" name="Button 35">
              <controlPr defaultSize="0" print="0" autoFill="0" autoPict="0" macro="[0]!addB">
                <anchor moveWithCells="1">
                  <from>
                    <xdr:col>1</xdr:col>
                    <xdr:colOff>60960</xdr:colOff>
                    <xdr:row>71</xdr:row>
                    <xdr:rowOff>175260</xdr:rowOff>
                  </from>
                  <to>
                    <xdr:col>1</xdr:col>
                    <xdr:colOff>1424940</xdr:colOff>
                    <xdr:row>71</xdr:row>
                    <xdr:rowOff>441960</xdr:rowOff>
                  </to>
                </anchor>
              </controlPr>
            </control>
          </mc:Choice>
        </mc:AlternateContent>
        <mc:AlternateContent xmlns:mc="http://schemas.openxmlformats.org/markup-compatibility/2006">
          <mc:Choice Requires="x14">
            <control shapeId="160804" r:id="rId29" name="Button 36">
              <controlPr defaultSize="0" print="0" autoFill="0" autoPict="0" macro="[0]!DeleteSome">
                <anchor moveWithCells="1">
                  <from>
                    <xdr:col>2</xdr:col>
                    <xdr:colOff>60960</xdr:colOff>
                    <xdr:row>71</xdr:row>
                    <xdr:rowOff>167640</xdr:rowOff>
                  </from>
                  <to>
                    <xdr:col>2</xdr:col>
                    <xdr:colOff>1432560</xdr:colOff>
                    <xdr:row>71</xdr:row>
                    <xdr:rowOff>441960</xdr:rowOff>
                  </to>
                </anchor>
              </controlPr>
            </control>
          </mc:Choice>
        </mc:AlternateContent>
        <mc:AlternateContent xmlns:mc="http://schemas.openxmlformats.org/markup-compatibility/2006">
          <mc:Choice Requires="x14">
            <control shapeId="160805" r:id="rId30" name="Button 37">
              <controlPr defaultSize="0" print="0" autoFill="0" autoPict="0" macro="[0]!Copy_Default_ExCalc_Cost">
                <anchor moveWithCells="1">
                  <from>
                    <xdr:col>10</xdr:col>
                    <xdr:colOff>434340</xdr:colOff>
                    <xdr:row>71</xdr:row>
                    <xdr:rowOff>137160</xdr:rowOff>
                  </from>
                  <to>
                    <xdr:col>12</xdr:col>
                    <xdr:colOff>937260</xdr:colOff>
                    <xdr:row>71</xdr:row>
                    <xdr:rowOff>403860</xdr:rowOff>
                  </to>
                </anchor>
              </controlPr>
            </control>
          </mc:Choice>
        </mc:AlternateContent>
        <mc:AlternateContent xmlns:mc="http://schemas.openxmlformats.org/markup-compatibility/2006">
          <mc:Choice Requires="x14">
            <control shapeId="160806" r:id="rId31" name="Button 38">
              <controlPr defaultSize="0" print="0" autoFill="0" autoPict="0" macro="[0]!Copy_Default_PO_VR_Table">
                <anchor moveWithCells="1">
                  <from>
                    <xdr:col>10</xdr:col>
                    <xdr:colOff>518160</xdr:colOff>
                    <xdr:row>235</xdr:row>
                    <xdr:rowOff>137160</xdr:rowOff>
                  </from>
                  <to>
                    <xdr:col>12</xdr:col>
                    <xdr:colOff>1013460</xdr:colOff>
                    <xdr:row>236</xdr:row>
                    <xdr:rowOff>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3">
    <tabColor theme="5" tint="0.39997558519241921"/>
    <pageSetUpPr fitToPage="1"/>
  </sheetPr>
  <dimension ref="A1:BC237"/>
  <sheetViews>
    <sheetView workbookViewId="0"/>
  </sheetViews>
  <sheetFormatPr defaultColWidth="8.69921875" defaultRowHeight="13.2" outlineLevelCol="1" x14ac:dyDescent="0.25"/>
  <cols>
    <col min="1" max="1" width="3.69921875" style="235" customWidth="1"/>
    <col min="2" max="2" width="21.296875" style="235" customWidth="1"/>
    <col min="3" max="3" width="24.296875" style="235" customWidth="1"/>
    <col min="4" max="4" width="3.69921875" style="235" customWidth="1"/>
    <col min="5" max="5" width="17.296875" style="235" customWidth="1"/>
    <col min="6" max="6" width="21" style="235" customWidth="1"/>
    <col min="7" max="10" width="19.19921875" style="235" customWidth="1"/>
    <col min="11" max="12" width="8.69921875" style="235" customWidth="1"/>
    <col min="13" max="13" width="17.5" style="235" customWidth="1"/>
    <col min="14" max="16" width="2.69921875" style="235" customWidth="1"/>
    <col min="17" max="17" width="19.296875" style="235" hidden="1" customWidth="1" outlineLevel="1"/>
    <col min="18" max="18" width="13.296875" style="235" hidden="1" customWidth="1" outlineLevel="1"/>
    <col min="19" max="28" width="9" style="235" hidden="1" customWidth="1" outlineLevel="1"/>
    <col min="29" max="31" width="11" style="235" hidden="1" customWidth="1" outlineLevel="1"/>
    <col min="32" max="32" width="9.69921875" style="235" hidden="1" customWidth="1" outlineLevel="1"/>
    <col min="33" max="33" width="9" style="235" hidden="1" customWidth="1" outlineLevel="1"/>
    <col min="34" max="34" width="12.296875" style="235" hidden="1" customWidth="1" outlineLevel="1"/>
    <col min="35" max="35" width="9" style="235" hidden="1" customWidth="1" outlineLevel="1"/>
    <col min="36" max="36" width="15.69921875" style="235" hidden="1" customWidth="1" outlineLevel="1"/>
    <col min="37" max="37" width="9" style="235" hidden="1" customWidth="1" outlineLevel="1"/>
    <col min="38" max="38" width="10.19921875" style="235" hidden="1" customWidth="1" outlineLevel="1"/>
    <col min="39" max="39" width="10.296875" style="235" hidden="1" customWidth="1" outlineLevel="1"/>
    <col min="40" max="40" width="9" style="235" hidden="1" customWidth="1" outlineLevel="1"/>
    <col min="41" max="43" width="14.69921875" style="235" hidden="1" customWidth="1" outlineLevel="1"/>
    <col min="44" max="45" width="9" style="235" hidden="1" customWidth="1" outlineLevel="1"/>
    <col min="46" max="47" width="10.19921875" style="235" hidden="1" customWidth="1" outlineLevel="1"/>
    <col min="48" max="48" width="9" style="235" hidden="1" customWidth="1" outlineLevel="1"/>
    <col min="49" max="50" width="10.796875" style="235" hidden="1" customWidth="1" outlineLevel="1"/>
    <col min="51" max="52" width="9" style="235" hidden="1" customWidth="1" outlineLevel="1"/>
    <col min="53" max="53" width="2.69921875" style="235" customWidth="1" collapsed="1"/>
    <col min="54" max="54" width="2.69921875" style="235" customWidth="1"/>
    <col min="55" max="55" width="50.69921875" style="235" customWidth="1"/>
    <col min="56" max="56" width="9" style="235" customWidth="1"/>
    <col min="57" max="102" width="8" style="235" customWidth="1"/>
    <col min="103" max="16384" width="8.69921875" style="235"/>
  </cols>
  <sheetData>
    <row r="1" spans="1:39" s="42" customFormat="1" x14ac:dyDescent="0.25">
      <c r="A1" s="331" t="s">
        <v>1038</v>
      </c>
      <c r="B1" s="276"/>
      <c r="C1" s="276"/>
      <c r="D1" s="276"/>
      <c r="E1" s="276"/>
      <c r="F1" s="276"/>
      <c r="G1" s="276"/>
      <c r="H1" s="276"/>
      <c r="I1" s="276"/>
      <c r="J1" s="276"/>
      <c r="K1" s="276"/>
      <c r="L1" s="276"/>
      <c r="M1" s="276"/>
      <c r="Q1" s="32"/>
      <c r="R1" s="32"/>
      <c r="V1" s="32"/>
      <c r="W1" s="32"/>
      <c r="X1" s="32"/>
      <c r="Y1" s="32"/>
      <c r="Z1" s="32"/>
      <c r="AA1" s="32"/>
      <c r="AB1" s="32"/>
      <c r="AC1" s="32"/>
      <c r="AD1" s="32"/>
      <c r="AE1" s="32"/>
      <c r="AF1" s="32"/>
      <c r="AG1" s="32"/>
      <c r="AH1" s="32"/>
      <c r="AI1" s="32"/>
      <c r="AJ1" s="32"/>
      <c r="AK1" s="32"/>
      <c r="AL1" s="32"/>
      <c r="AM1" s="32"/>
    </row>
    <row r="2" spans="1:39" s="42" customFormat="1" ht="24.75" customHeight="1" x14ac:dyDescent="0.25">
      <c r="A2" s="331" t="s">
        <v>1038</v>
      </c>
      <c r="B2" s="30" t="s">
        <v>1037</v>
      </c>
      <c r="C2" s="276"/>
      <c r="D2" s="280"/>
      <c r="E2" s="280"/>
      <c r="F2" s="280"/>
      <c r="G2" s="280"/>
      <c r="H2" s="280"/>
      <c r="I2" s="280"/>
      <c r="J2" s="280"/>
      <c r="K2" s="280"/>
      <c r="L2" s="280"/>
      <c r="M2" s="280"/>
      <c r="Q2" s="32"/>
      <c r="R2" s="32"/>
      <c r="V2" s="32"/>
      <c r="W2" s="32"/>
      <c r="X2" s="32"/>
      <c r="Y2" s="32"/>
      <c r="Z2" s="32"/>
      <c r="AA2" s="32"/>
      <c r="AB2" s="32"/>
      <c r="AC2" s="32"/>
      <c r="AD2" s="32"/>
      <c r="AE2" s="32"/>
      <c r="AF2" s="32"/>
      <c r="AG2" s="32"/>
      <c r="AH2" s="32"/>
      <c r="AI2" s="32"/>
      <c r="AJ2" s="32"/>
      <c r="AK2" s="32"/>
      <c r="AL2" s="32"/>
      <c r="AM2" s="32"/>
    </row>
    <row r="3" spans="1:39" s="42" customFormat="1" ht="15" customHeight="1" x14ac:dyDescent="0.25">
      <c r="A3" s="331" t="s">
        <v>1038</v>
      </c>
      <c r="B3" s="276"/>
      <c r="C3" s="276"/>
      <c r="D3" s="276"/>
      <c r="E3" s="276"/>
      <c r="F3" s="276"/>
      <c r="G3" s="276"/>
      <c r="H3" s="276"/>
      <c r="I3" s="276"/>
      <c r="J3" s="276"/>
      <c r="K3" s="276"/>
      <c r="L3" s="276"/>
      <c r="M3" s="276"/>
      <c r="Q3" s="32"/>
      <c r="R3" s="32"/>
      <c r="V3" s="32"/>
      <c r="W3" s="32"/>
      <c r="X3" s="32"/>
      <c r="Y3" s="32"/>
      <c r="Z3" s="32"/>
      <c r="AA3" s="32"/>
      <c r="AB3" s="32"/>
      <c r="AC3" s="32"/>
      <c r="AD3" s="32"/>
      <c r="AE3" s="32"/>
      <c r="AF3" s="32"/>
      <c r="AG3" s="32"/>
      <c r="AH3" s="32"/>
      <c r="AI3" s="32"/>
      <c r="AJ3" s="32"/>
      <c r="AK3" s="32"/>
      <c r="AL3" s="32"/>
      <c r="AM3" s="32"/>
    </row>
    <row r="4" spans="1:39" ht="21.75" customHeight="1" x14ac:dyDescent="0.25">
      <c r="A4" s="409" t="s">
        <v>1038</v>
      </c>
      <c r="B4" s="299"/>
      <c r="C4" s="581"/>
      <c r="D4" s="581"/>
      <c r="E4" s="589"/>
      <c r="F4" s="589"/>
      <c r="G4" s="589"/>
      <c r="H4" s="589"/>
      <c r="I4" s="589"/>
      <c r="J4" s="589"/>
      <c r="K4" s="589"/>
      <c r="L4" s="589"/>
      <c r="M4" s="589"/>
    </row>
    <row r="5" spans="1:39" ht="22.5" hidden="1" customHeight="1" x14ac:dyDescent="0.25">
      <c r="A5" s="409" t="s">
        <v>1038</v>
      </c>
      <c r="B5" s="3261" t="s">
        <v>911</v>
      </c>
      <c r="C5" s="3261"/>
      <c r="D5" s="3261"/>
      <c r="E5" s="3261"/>
      <c r="F5" s="3261"/>
      <c r="G5" s="3261"/>
      <c r="H5" s="3261"/>
      <c r="I5" s="3261"/>
      <c r="J5" s="3261"/>
      <c r="K5" s="3261"/>
      <c r="L5" s="3261"/>
      <c r="M5" s="3261"/>
    </row>
    <row r="6" spans="1:39" ht="15.75" hidden="1" customHeight="1" x14ac:dyDescent="0.25">
      <c r="A6" s="409" t="s">
        <v>1038</v>
      </c>
      <c r="B6" s="3262"/>
      <c r="C6" s="3203"/>
      <c r="D6" s="3203"/>
      <c r="E6" s="3203"/>
      <c r="F6" s="3203"/>
      <c r="G6" s="3203"/>
      <c r="H6" s="3203"/>
      <c r="I6" s="3203"/>
      <c r="J6" s="3203"/>
      <c r="K6" s="3203"/>
      <c r="L6" s="3203"/>
      <c r="M6" s="3203"/>
    </row>
    <row r="7" spans="1:39" ht="13.8" hidden="1" x14ac:dyDescent="0.25">
      <c r="A7" s="409" t="s">
        <v>1038</v>
      </c>
      <c r="B7" s="3100" t="s">
        <v>354</v>
      </c>
      <c r="C7" s="3100" t="s">
        <v>404</v>
      </c>
      <c r="D7" s="3102"/>
      <c r="E7" s="3100" t="s">
        <v>403</v>
      </c>
      <c r="F7" s="3100" t="s">
        <v>402</v>
      </c>
      <c r="G7" s="3102"/>
      <c r="H7" s="3100" t="s">
        <v>401</v>
      </c>
      <c r="I7" s="3102"/>
      <c r="J7" s="3102"/>
      <c r="K7" s="3138" t="s">
        <v>1395</v>
      </c>
      <c r="L7" s="3266"/>
      <c r="M7" s="3266"/>
      <c r="N7" s="2"/>
      <c r="O7" s="2"/>
      <c r="P7" s="2"/>
      <c r="AC7" s="411"/>
    </row>
    <row r="8" spans="1:39" ht="62.25" hidden="1" customHeight="1" x14ac:dyDescent="0.25">
      <c r="A8" s="409" t="s">
        <v>1038</v>
      </c>
      <c r="B8" s="3102"/>
      <c r="C8" s="3102"/>
      <c r="D8" s="3102"/>
      <c r="E8" s="3102"/>
      <c r="F8" s="3102"/>
      <c r="G8" s="3102"/>
      <c r="H8" s="3102"/>
      <c r="I8" s="3102"/>
      <c r="J8" s="3102"/>
      <c r="K8" s="3138" t="str">
        <f>CONCATENATE("Energy Type Consumption Units to Site Energy Consumption (",PO_SiteUnits,")")</f>
        <v>Energy Type Consumption Units to Site Energy Consumption (kWh)</v>
      </c>
      <c r="L8" s="3266"/>
      <c r="M8" s="579" t="str">
        <f>CONCATENATE("Energy Type Consumption Units to Source Energy Consumption (",PO_SourceUnits,")")</f>
        <v>Energy Type Consumption Units to Source Energy Consumption (kWh)</v>
      </c>
      <c r="N8" s="2"/>
      <c r="O8" s="2"/>
      <c r="P8" s="2"/>
      <c r="AC8" s="412"/>
    </row>
    <row r="9" spans="1:39" ht="13.8" hidden="1" x14ac:dyDescent="0.25">
      <c r="A9" s="409" t="s">
        <v>1038</v>
      </c>
      <c r="B9" s="484" t="s">
        <v>1396</v>
      </c>
      <c r="C9" s="3268" t="s">
        <v>1397</v>
      </c>
      <c r="D9" s="3102"/>
      <c r="E9" s="484" t="s">
        <v>1398</v>
      </c>
      <c r="F9" s="484" t="s">
        <v>1399</v>
      </c>
      <c r="G9" s="485"/>
      <c r="H9" s="484" t="s">
        <v>1400</v>
      </c>
      <c r="I9" s="486"/>
      <c r="J9" s="487"/>
      <c r="K9" s="484" t="s">
        <v>1401</v>
      </c>
      <c r="L9" s="487"/>
      <c r="M9" s="485" t="s">
        <v>1402</v>
      </c>
      <c r="N9" s="483"/>
      <c r="O9" s="412"/>
      <c r="P9" s="2"/>
    </row>
    <row r="10" spans="1:39" ht="15" hidden="1" customHeight="1" x14ac:dyDescent="0.25">
      <c r="A10" s="409" t="s">
        <v>1038</v>
      </c>
      <c r="B10" s="573" t="str">
        <f>IFERROR(IF('12 - Performance_Outputs_1'!B17&lt;&gt;"",'12 - Performance_Outputs_1'!B17,""),"")</f>
        <v/>
      </c>
      <c r="C10" s="4224" t="str">
        <f>IFERROR(IF('12 - Performance_Outputs_1'!C17&lt;&gt;"",'12 - Performance_Outputs_1'!C17,""),"")</f>
        <v/>
      </c>
      <c r="D10" s="4208" t="str">
        <f>IFERROR(IF('12 - Performance_Outputs_1'!D17&lt;&gt;"",'12 - Performance_Outputs_1'!D17,""),"")</f>
        <v/>
      </c>
      <c r="E10" s="574" t="str">
        <f>IFERROR(IF('12 - Performance_Outputs_1'!E17&lt;&gt;"",'12 - Performance_Outputs_1'!E17,""),"")</f>
        <v/>
      </c>
      <c r="F10" s="4224" t="str">
        <f>IFERROR(IF('12 - Performance_Outputs_1'!H17&lt;&gt;"",'12 - Performance_Outputs_1'!H17,""),"")</f>
        <v/>
      </c>
      <c r="G10" s="4208" t="str">
        <f>IFERROR(IF('12 - Performance_Outputs_1'!I17&lt;&gt;"",'12 - Performance_Outputs_1'!I17,""),"")</f>
        <v/>
      </c>
      <c r="H10" s="4221" t="str">
        <f>IFERROR(IF('12 - Performance_Outputs_1'!F17&lt;&gt;"",'12 - Performance_Outputs_1'!F17,""),"")</f>
        <v/>
      </c>
      <c r="I10" s="4210" t="str">
        <f>IFERROR(IF('12 - Performance_Outputs_1'!G17&lt;&gt;"",'12 - Performance_Outputs_1'!G17,""),"")</f>
        <v/>
      </c>
      <c r="J10" s="4210" t="str">
        <f>IFERROR(IF('12 - Performance_Outputs_1'!J17&lt;&gt;"",'12 - Performance_Outputs_1'!J17,""),"")</f>
        <v/>
      </c>
      <c r="K10" s="4222" t="str">
        <f t="shared" ref="K10:K24" si="0">IFERROR(VLOOKUP("kBtu",EnergyUnitsTable,3,FALSE)/VLOOKUP(PO_SiteUnits,EnergyUnitsTable,3,FALSE)*VLOOKUP($C10,EnergyUnitsTable,3,FALSE),"")</f>
        <v/>
      </c>
      <c r="L10" s="4223"/>
      <c r="M10" s="561" t="str">
        <f t="shared" ref="M10:M24" si="1">IFERROR(VLOOKUP("kBtu",EnergyUnitsTable,3,FALSE)/VLOOKUP(PO_SourceUnits,EnergyUnitsTable,3,FALSE)*VLOOKUP($C10,EnergyUnitsTable,3,FALSE)*VLOOKUP($B10,FuelTypesTable,2,FALSE),"")</f>
        <v/>
      </c>
      <c r="N10" s="413"/>
      <c r="O10" s="413"/>
      <c r="P10" s="2"/>
    </row>
    <row r="11" spans="1:39" ht="15" hidden="1" customHeight="1" x14ac:dyDescent="0.25">
      <c r="A11" s="409" t="s">
        <v>1038</v>
      </c>
      <c r="B11" s="573" t="str">
        <f>IFERROR(IF('12 - Performance_Outputs_1'!B18&lt;&gt;"",'12 - Performance_Outputs_1'!B18,""),"")</f>
        <v/>
      </c>
      <c r="C11" s="4224" t="str">
        <f>IFERROR(IF('12 - Performance_Outputs_1'!C18&lt;&gt;"",'12 - Performance_Outputs_1'!C18,""),"")</f>
        <v/>
      </c>
      <c r="D11" s="4208" t="str">
        <f>IFERROR(IF('12 - Performance_Outputs_1'!D18&lt;&gt;"",'12 - Performance_Outputs_1'!D18,""),"")</f>
        <v/>
      </c>
      <c r="E11" s="574" t="str">
        <f>IFERROR(IF('12 - Performance_Outputs_1'!E18&lt;&gt;"",'12 - Performance_Outputs_1'!E18,""),"")</f>
        <v/>
      </c>
      <c r="F11" s="4224" t="str">
        <f>IFERROR(IF('12 - Performance_Outputs_1'!H18&lt;&gt;"",'12 - Performance_Outputs_1'!H18,""),"")</f>
        <v/>
      </c>
      <c r="G11" s="4208" t="str">
        <f>IFERROR(IF('12 - Performance_Outputs_1'!I18&lt;&gt;"",'12 - Performance_Outputs_1'!I18,""),"")</f>
        <v/>
      </c>
      <c r="H11" s="4221" t="str">
        <f>IFERROR(IF('12 - Performance_Outputs_1'!F18&lt;&gt;"",'12 - Performance_Outputs_1'!F18,""),"")</f>
        <v/>
      </c>
      <c r="I11" s="4210" t="str">
        <f>IFERROR(IF('12 - Performance_Outputs_1'!G18&lt;&gt;"",'12 - Performance_Outputs_1'!G18,""),"")</f>
        <v/>
      </c>
      <c r="J11" s="4210" t="str">
        <f>IFERROR(IF('12 - Performance_Outputs_1'!J18&lt;&gt;"",'12 - Performance_Outputs_1'!J18,""),"")</f>
        <v/>
      </c>
      <c r="K11" s="4222" t="str">
        <f t="shared" si="0"/>
        <v/>
      </c>
      <c r="L11" s="4223"/>
      <c r="M11" s="561" t="str">
        <f t="shared" si="1"/>
        <v/>
      </c>
      <c r="N11" s="413"/>
      <c r="O11" s="413"/>
      <c r="P11" s="2"/>
    </row>
    <row r="12" spans="1:39" ht="15" hidden="1" customHeight="1" x14ac:dyDescent="0.25">
      <c r="A12" s="409" t="s">
        <v>1038</v>
      </c>
      <c r="B12" s="573" t="str">
        <f>IFERROR(IF('12 - Performance_Outputs_1'!B19&lt;&gt;"",'12 - Performance_Outputs_1'!B19,""),"")</f>
        <v/>
      </c>
      <c r="C12" s="4224" t="str">
        <f>IFERROR(IF('12 - Performance_Outputs_1'!C19&lt;&gt;"",'12 - Performance_Outputs_1'!C19,""),"")</f>
        <v/>
      </c>
      <c r="D12" s="4208" t="str">
        <f>IFERROR(IF('12 - Performance_Outputs_1'!D19&lt;&gt;"",'12 - Performance_Outputs_1'!D19,""),"")</f>
        <v/>
      </c>
      <c r="E12" s="574" t="str">
        <f>IFERROR(IF('12 - Performance_Outputs_1'!E19&lt;&gt;"",'12 - Performance_Outputs_1'!E19,""),"")</f>
        <v/>
      </c>
      <c r="F12" s="4224" t="str">
        <f>IFERROR(IF('12 - Performance_Outputs_1'!H19&lt;&gt;"",'12 - Performance_Outputs_1'!H19,""),"")</f>
        <v/>
      </c>
      <c r="G12" s="4208" t="str">
        <f>IFERROR(IF('12 - Performance_Outputs_1'!I19&lt;&gt;"",'12 - Performance_Outputs_1'!I19,""),"")</f>
        <v/>
      </c>
      <c r="H12" s="4221" t="str">
        <f>IFERROR(IF('12 - Performance_Outputs_1'!F19&lt;&gt;"",'12 - Performance_Outputs_1'!F19,""),"")</f>
        <v/>
      </c>
      <c r="I12" s="4210" t="str">
        <f>IFERROR(IF('12 - Performance_Outputs_1'!G19&lt;&gt;"",'12 - Performance_Outputs_1'!G19,""),"")</f>
        <v/>
      </c>
      <c r="J12" s="4210" t="str">
        <f>IFERROR(IF('12 - Performance_Outputs_1'!J19&lt;&gt;"",'12 - Performance_Outputs_1'!J19,""),"")</f>
        <v/>
      </c>
      <c r="K12" s="4222" t="str">
        <f t="shared" si="0"/>
        <v/>
      </c>
      <c r="L12" s="4223"/>
      <c r="M12" s="561" t="str">
        <f t="shared" si="1"/>
        <v/>
      </c>
      <c r="N12" s="413"/>
      <c r="O12" s="413"/>
      <c r="P12" s="2"/>
    </row>
    <row r="13" spans="1:39" ht="15" hidden="1" customHeight="1" x14ac:dyDescent="0.25">
      <c r="A13" s="409" t="s">
        <v>1038</v>
      </c>
      <c r="B13" s="573" t="str">
        <f>IFERROR(IF('12 - Performance_Outputs_1'!B23&lt;&gt;"",'12 - Performance_Outputs_1'!B23,""),"")</f>
        <v>Site energy consumption units used to report energy consumption totals (sum of energy types)</v>
      </c>
      <c r="C13" s="4224" t="str">
        <f>IFERROR(IF('12 - Performance_Outputs_1'!C23&lt;&gt;"",'12 - Performance_Outputs_1'!C23,""),"")</f>
        <v/>
      </c>
      <c r="D13" s="4208" t="str">
        <f>IFERROR(IF('12 - Performance_Outputs_1'!D23&lt;&gt;"",'12 - Performance_Outputs_1'!D23,""),"")</f>
        <v/>
      </c>
      <c r="E13" s="574" t="str">
        <f>IFERROR(IF('12 - Performance_Outputs_1'!E23&lt;&gt;"",'12 - Performance_Outputs_1'!E23,""),"")</f>
        <v/>
      </c>
      <c r="F13" s="4224" t="str">
        <f>IFERROR(IF('12 - Performance_Outputs_1'!F23&lt;&gt;"",'12 - Performance_Outputs_1'!F23,""),"")</f>
        <v/>
      </c>
      <c r="G13" s="4208" t="str">
        <f>IFERROR(IF('12 - Performance_Outputs_1'!G23&lt;&gt;"",'12 - Performance_Outputs_1'!G23,""),"")</f>
        <v/>
      </c>
      <c r="H13" s="4221" t="str">
        <f>IFERROR(IF('12 - Performance_Outputs_1'!H23&lt;&gt;"",'12 - Performance_Outputs_1'!H23,""),"")</f>
        <v/>
      </c>
      <c r="I13" s="4210" t="str">
        <f>IFERROR(IF('12 - Performance_Outputs_1'!I23&lt;&gt;"",'12 - Performance_Outputs_1'!I23,""),"")</f>
        <v/>
      </c>
      <c r="J13" s="4210" t="str">
        <f>IFERROR(IF('12 - Performance_Outputs_1'!J23&lt;&gt;"",'12 - Performance_Outputs_1'!J23,""),"")</f>
        <v/>
      </c>
      <c r="K13" s="4222" t="str">
        <f t="shared" si="0"/>
        <v/>
      </c>
      <c r="L13" s="4223"/>
      <c r="M13" s="561" t="str">
        <f t="shared" si="1"/>
        <v/>
      </c>
      <c r="N13" s="413"/>
      <c r="O13" s="413"/>
      <c r="P13" s="2"/>
    </row>
    <row r="14" spans="1:39" ht="15" hidden="1" customHeight="1" x14ac:dyDescent="0.25">
      <c r="A14" s="409" t="s">
        <v>1038</v>
      </c>
      <c r="B14" s="573" t="str">
        <f>IFERROR(IF('12 - Performance_Outputs_1'!B24&lt;&gt;"",'12 - Performance_Outputs_1'!B24,""),"")</f>
        <v>Source energy consumption units used to report energy consumption totals (sum of energy types)</v>
      </c>
      <c r="C14" s="4224" t="str">
        <f>IFERROR(IF('12 - Performance_Outputs_1'!C24&lt;&gt;"",'12 - Performance_Outputs_1'!C24,""),"")</f>
        <v/>
      </c>
      <c r="D14" s="4208" t="str">
        <f>IFERROR(IF('12 - Performance_Outputs_1'!D24&lt;&gt;"",'12 - Performance_Outputs_1'!D24,""),"")</f>
        <v/>
      </c>
      <c r="E14" s="574" t="str">
        <f>IFERROR(IF('12 - Performance_Outputs_1'!E24&lt;&gt;"",'12 - Performance_Outputs_1'!E24,""),"")</f>
        <v/>
      </c>
      <c r="F14" s="4224" t="str">
        <f>IFERROR(IF('12 - Performance_Outputs_1'!F24&lt;&gt;"",'12 - Performance_Outputs_1'!F24,""),"")</f>
        <v/>
      </c>
      <c r="G14" s="4208" t="str">
        <f>IFERROR(IF('12 - Performance_Outputs_1'!G24&lt;&gt;"",'12 - Performance_Outputs_1'!G24,""),"")</f>
        <v/>
      </c>
      <c r="H14" s="4221" t="str">
        <f>IFERROR(IF('12 - Performance_Outputs_1'!H24&lt;&gt;"",'12 - Performance_Outputs_1'!H24,""),"")</f>
        <v/>
      </c>
      <c r="I14" s="4210" t="str">
        <f>IFERROR(IF('12 - Performance_Outputs_1'!I24&lt;&gt;"",'12 - Performance_Outputs_1'!I24,""),"")</f>
        <v/>
      </c>
      <c r="J14" s="4210" t="str">
        <f>IFERROR(IF('12 - Performance_Outputs_1'!J24&lt;&gt;"",'12 - Performance_Outputs_1'!J24,""),"")</f>
        <v/>
      </c>
      <c r="K14" s="4222" t="str">
        <f t="shared" si="0"/>
        <v/>
      </c>
      <c r="L14" s="4223"/>
      <c r="M14" s="561" t="str">
        <f t="shared" si="1"/>
        <v/>
      </c>
      <c r="N14" s="413"/>
      <c r="O14" s="413"/>
      <c r="P14" s="2"/>
    </row>
    <row r="15" spans="1:39" ht="15" hidden="1" customHeight="1" x14ac:dyDescent="0.25">
      <c r="A15" s="409" t="s">
        <v>1038</v>
      </c>
      <c r="B15" s="573" t="str">
        <f>IFERROR(IF('12 - Performance_Outputs_1'!B25&lt;&gt;"",'12 - Performance_Outputs_1'!B25,""),"")</f>
        <v/>
      </c>
      <c r="C15" s="4224" t="str">
        <f>IFERROR(IF('12 - Performance_Outputs_1'!C25&lt;&gt;"",'12 - Performance_Outputs_1'!C25,""),"")</f>
        <v/>
      </c>
      <c r="D15" s="4208" t="str">
        <f>IFERROR(IF('12 - Performance_Outputs_1'!D25&lt;&gt;"",'12 - Performance_Outputs_1'!D25,""),"")</f>
        <v/>
      </c>
      <c r="E15" s="574" t="str">
        <f>IFERROR(IF('12 - Performance_Outputs_1'!E25&lt;&gt;"",'12 - Performance_Outputs_1'!E25,""),"")</f>
        <v/>
      </c>
      <c r="F15" s="4224" t="str">
        <f>IFERROR(IF('12 - Performance_Outputs_1'!F25&lt;&gt;"",'12 - Performance_Outputs_1'!F25,""),"")</f>
        <v/>
      </c>
      <c r="G15" s="4208" t="str">
        <f>IFERROR(IF('12 - Performance_Outputs_1'!G25&lt;&gt;"",'12 - Performance_Outputs_1'!G25,""),"")</f>
        <v/>
      </c>
      <c r="H15" s="4221" t="str">
        <f>IFERROR(IF('12 - Performance_Outputs_1'!H25&lt;&gt;"",'12 - Performance_Outputs_1'!H25,""),"")</f>
        <v/>
      </c>
      <c r="I15" s="4210" t="str">
        <f>IFERROR(IF('12 - Performance_Outputs_1'!I25&lt;&gt;"",'12 - Performance_Outputs_1'!I25,""),"")</f>
        <v/>
      </c>
      <c r="J15" s="4210" t="str">
        <f>IFERROR(IF('12 - Performance_Outputs_1'!J25&lt;&gt;"",'12 - Performance_Outputs_1'!J25,""),"")</f>
        <v/>
      </c>
      <c r="K15" s="4222" t="str">
        <f t="shared" si="0"/>
        <v/>
      </c>
      <c r="L15" s="4223"/>
      <c r="M15" s="561" t="str">
        <f t="shared" si="1"/>
        <v/>
      </c>
      <c r="N15" s="413"/>
      <c r="O15" s="413"/>
      <c r="P15" s="2"/>
    </row>
    <row r="16" spans="1:39" ht="15" hidden="1" customHeight="1" x14ac:dyDescent="0.25">
      <c r="A16" s="409" t="s">
        <v>1038</v>
      </c>
      <c r="B16" s="573" t="str">
        <f>IFERROR(IF('12 - Performance_Outputs_1'!B26&lt;&gt;"",'12 - Performance_Outputs_1'!B26,""),"")</f>
        <v/>
      </c>
      <c r="C16" s="4224" t="str">
        <f>IFERROR(IF('12 - Performance_Outputs_1'!C26&lt;&gt;"",'12 - Performance_Outputs_1'!C26,""),"")</f>
        <v/>
      </c>
      <c r="D16" s="4208" t="str">
        <f>IFERROR(IF('12 - Performance_Outputs_1'!D26&lt;&gt;"",'12 - Performance_Outputs_1'!D26,""),"")</f>
        <v/>
      </c>
      <c r="E16" s="574" t="str">
        <f>IFERROR(IF('12 - Performance_Outputs_1'!E26&lt;&gt;"",'12 - Performance_Outputs_1'!E26,""),"")</f>
        <v/>
      </c>
      <c r="F16" s="4224" t="str">
        <f>IFERROR(IF('12 - Performance_Outputs_1'!F26&lt;&gt;"",'12 - Performance_Outputs_1'!F26,""),"")</f>
        <v/>
      </c>
      <c r="G16" s="4208" t="str">
        <f>IFERROR(IF('12 - Performance_Outputs_1'!G26&lt;&gt;"",'12 - Performance_Outputs_1'!G26,""),"")</f>
        <v/>
      </c>
      <c r="H16" s="4221" t="str">
        <f>IFERROR(IF('12 - Performance_Outputs_1'!H26&lt;&gt;"",'12 - Performance_Outputs_1'!H26,""),"")</f>
        <v/>
      </c>
      <c r="I16" s="4210" t="str">
        <f>IFERROR(IF('12 - Performance_Outputs_1'!I26&lt;&gt;"",'12 - Performance_Outputs_1'!I26,""),"")</f>
        <v/>
      </c>
      <c r="J16" s="4210" t="str">
        <f>IFERROR(IF('12 - Performance_Outputs_1'!J26&lt;&gt;"",'12 - Performance_Outputs_1'!J26,""),"")</f>
        <v/>
      </c>
      <c r="K16" s="4222" t="str">
        <f t="shared" si="0"/>
        <v/>
      </c>
      <c r="L16" s="4223"/>
      <c r="M16" s="561" t="str">
        <f t="shared" si="1"/>
        <v/>
      </c>
      <c r="N16" s="413"/>
      <c r="O16" s="413"/>
      <c r="P16" s="2"/>
    </row>
    <row r="17" spans="1:41" ht="15" hidden="1" customHeight="1" x14ac:dyDescent="0.25">
      <c r="A17" s="409" t="s">
        <v>1038</v>
      </c>
      <c r="B17" s="573" t="str">
        <f>IFERROR(IF('12 - Performance_Outputs_1'!B54&lt;&gt;"",'12 - Performance_Outputs_1'!B54,""),"")</f>
        <v>Table 12.3: On-Site Renewable Energy Production</v>
      </c>
      <c r="C17" s="4224" t="str">
        <f>IFERROR(IF('12 - Performance_Outputs_1'!C54&lt;&gt;"",'12 - Performance_Outputs_1'!C54,""),"")</f>
        <v/>
      </c>
      <c r="D17" s="4208" t="str">
        <f>IFERROR(IF('12 - Performance_Outputs_1'!D54&lt;&gt;"",'12 - Performance_Outputs_1'!D54,""),"")</f>
        <v/>
      </c>
      <c r="E17" s="574" t="str">
        <f>IFERROR(IF('12 - Performance_Outputs_1'!E54&lt;&gt;"",'12 - Performance_Outputs_1'!E54,""),"")</f>
        <v/>
      </c>
      <c r="F17" s="4224" t="str">
        <f>IFERROR(IF('12 - Performance_Outputs_1'!F54&lt;&gt;"",'12 - Performance_Outputs_1'!F54,""),"")</f>
        <v/>
      </c>
      <c r="G17" s="4208" t="str">
        <f>IFERROR(IF('12 - Performance_Outputs_1'!G54&lt;&gt;"",'12 - Performance_Outputs_1'!G54,""),"")</f>
        <v/>
      </c>
      <c r="H17" s="4221" t="str">
        <f>IFERROR(IF('12 - Performance_Outputs_1'!H54&lt;&gt;"",'12 - Performance_Outputs_1'!H54,""),"")</f>
        <v/>
      </c>
      <c r="I17" s="4210" t="str">
        <f>IFERROR(IF('12 - Performance_Outputs_1'!I54&lt;&gt;"",'12 - Performance_Outputs_1'!I54,""),"")</f>
        <v/>
      </c>
      <c r="J17" s="4210" t="str">
        <f>IFERROR(IF('12 - Performance_Outputs_1'!J54&lt;&gt;"",'12 - Performance_Outputs_1'!J54,""),"")</f>
        <v/>
      </c>
      <c r="K17" s="4222" t="str">
        <f t="shared" si="0"/>
        <v/>
      </c>
      <c r="L17" s="4223"/>
      <c r="M17" s="561" t="str">
        <f t="shared" si="1"/>
        <v/>
      </c>
      <c r="N17" s="413"/>
      <c r="O17" s="413"/>
      <c r="P17" s="2"/>
    </row>
    <row r="18" spans="1:41" ht="15" hidden="1" customHeight="1" x14ac:dyDescent="0.25">
      <c r="A18" s="409" t="s">
        <v>1038</v>
      </c>
      <c r="B18" s="573" t="str">
        <f>IFERROR(IF('12 - Performance_Outputs_1'!B55&lt;&gt;"",'12 - Performance_Outputs_1'!B55,""),"")</f>
        <v/>
      </c>
      <c r="C18" s="4224" t="str">
        <f>IFERROR(IF('12 - Performance_Outputs_1'!C55&lt;&gt;"",'12 - Performance_Outputs_1'!C55,""),"")</f>
        <v/>
      </c>
      <c r="D18" s="4208" t="str">
        <f>IFERROR(IF('12 - Performance_Outputs_1'!D55&lt;&gt;"",'12 - Performance_Outputs_1'!D55,""),"")</f>
        <v/>
      </c>
      <c r="E18" s="574" t="str">
        <f>IFERROR(IF('12 - Performance_Outputs_1'!E55&lt;&gt;"",'12 - Performance_Outputs_1'!E55,""),"")</f>
        <v/>
      </c>
      <c r="F18" s="4224" t="str">
        <f>IFERROR(IF('12 - Performance_Outputs_1'!F55&lt;&gt;"",'12 - Performance_Outputs_1'!F55,""),"")</f>
        <v/>
      </c>
      <c r="G18" s="4208" t="str">
        <f>IFERROR(IF('12 - Performance_Outputs_1'!G55&lt;&gt;"",'12 - Performance_Outputs_1'!G55,""),"")</f>
        <v/>
      </c>
      <c r="H18" s="4221" t="str">
        <f>IFERROR(IF('12 - Performance_Outputs_1'!H55&lt;&gt;"",'12 - Performance_Outputs_1'!H55,""),"")</f>
        <v/>
      </c>
      <c r="I18" s="4210" t="str">
        <f>IFERROR(IF('12 - Performance_Outputs_1'!I55&lt;&gt;"",'12 - Performance_Outputs_1'!I55,""),"")</f>
        <v/>
      </c>
      <c r="J18" s="4210" t="str">
        <f>IFERROR(IF('12 - Performance_Outputs_1'!J55&lt;&gt;"",'12 - Performance_Outputs_1'!J55,""),"")</f>
        <v/>
      </c>
      <c r="K18" s="4222" t="str">
        <f t="shared" si="0"/>
        <v/>
      </c>
      <c r="L18" s="4223"/>
      <c r="M18" s="561" t="str">
        <f t="shared" si="1"/>
        <v/>
      </c>
      <c r="N18" s="413"/>
      <c r="O18" s="413"/>
      <c r="P18" s="2"/>
    </row>
    <row r="19" spans="1:41" ht="15" hidden="1" customHeight="1" x14ac:dyDescent="0.25">
      <c r="A19" s="409" t="s">
        <v>1038</v>
      </c>
      <c r="B19" s="573" t="str">
        <f>IFERROR(IF('12 - Performance_Outputs_1'!B56&lt;&gt;"",'12 - Performance_Outputs_1'!B56,""),"")</f>
        <v>The project building uses on-site renewable energy systems. (Optional)</v>
      </c>
      <c r="C19" s="4224" t="str">
        <f>IFERROR(IF('12 - Performance_Outputs_1'!C56&lt;&gt;"",'12 - Performance_Outputs_1'!C56,""),"")</f>
        <v/>
      </c>
      <c r="D19" s="4208" t="str">
        <f>IFERROR(IF('12 - Performance_Outputs_1'!D56&lt;&gt;"",'12 - Performance_Outputs_1'!D56,""),"")</f>
        <v/>
      </c>
      <c r="E19" s="574" t="str">
        <f>IFERROR(IF('12 - Performance_Outputs_1'!E56&lt;&gt;"",'12 - Performance_Outputs_1'!E56,""),"")</f>
        <v/>
      </c>
      <c r="F19" s="4224" t="str">
        <f>IFERROR(IF('12 - Performance_Outputs_1'!F56&lt;&gt;"",'12 - Performance_Outputs_1'!F56,""),"")</f>
        <v/>
      </c>
      <c r="G19" s="4208" t="str">
        <f>IFERROR(IF('12 - Performance_Outputs_1'!G56&lt;&gt;"",'12 - Performance_Outputs_1'!G56,""),"")</f>
        <v/>
      </c>
      <c r="H19" s="4221" t="str">
        <f>IFERROR(IF('12 - Performance_Outputs_1'!H56&lt;&gt;"",'12 - Performance_Outputs_1'!H56,""),"")</f>
        <v/>
      </c>
      <c r="I19" s="4210" t="str">
        <f>IFERROR(IF('12 - Performance_Outputs_1'!I56&lt;&gt;"",'12 - Performance_Outputs_1'!I56,""),"")</f>
        <v/>
      </c>
      <c r="J19" s="4210" t="str">
        <f>IFERROR(IF('12 - Performance_Outputs_1'!J56&lt;&gt;"",'12 - Performance_Outputs_1'!J56,""),"")</f>
        <v/>
      </c>
      <c r="K19" s="4222" t="str">
        <f t="shared" si="0"/>
        <v/>
      </c>
      <c r="L19" s="4223"/>
      <c r="M19" s="561" t="str">
        <f t="shared" si="1"/>
        <v/>
      </c>
      <c r="N19" s="413"/>
      <c r="O19" s="413"/>
      <c r="P19" s="2"/>
    </row>
    <row r="20" spans="1:41" ht="15" hidden="1" customHeight="1" x14ac:dyDescent="0.25">
      <c r="A20" s="409" t="s">
        <v>1038</v>
      </c>
      <c r="B20" s="573" t="str">
        <f>IFERROR(IF('12 - Performance_Outputs_1'!B57&lt;&gt;"",'12 - Performance_Outputs_1'!B57,""),"")</f>
        <v/>
      </c>
      <c r="C20" s="4224" t="str">
        <f>IFERROR(IF('12 - Performance_Outputs_1'!C57&lt;&gt;"",'12 - Performance_Outputs_1'!C57,""),"")</f>
        <v/>
      </c>
      <c r="D20" s="4208" t="str">
        <f>IFERROR(IF('12 - Performance_Outputs_1'!D57&lt;&gt;"",'12 - Performance_Outputs_1'!D57,""),"")</f>
        <v/>
      </c>
      <c r="E20" s="574" t="str">
        <f>IFERROR(IF('12 - Performance_Outputs_1'!E57&lt;&gt;"",'12 - Performance_Outputs_1'!E57,""),"")</f>
        <v/>
      </c>
      <c r="F20" s="4224" t="str">
        <f>IFERROR(IF('12 - Performance_Outputs_1'!F57&lt;&gt;"",'12 - Performance_Outputs_1'!F57,""),"")</f>
        <v/>
      </c>
      <c r="G20" s="4208" t="str">
        <f>IFERROR(IF('12 - Performance_Outputs_1'!G57&lt;&gt;"",'12 - Performance_Outputs_1'!G57,""),"")</f>
        <v/>
      </c>
      <c r="H20" s="4221" t="str">
        <f>IFERROR(IF('12 - Performance_Outputs_1'!H57&lt;&gt;"",'12 - Performance_Outputs_1'!H57,""),"")</f>
        <v/>
      </c>
      <c r="I20" s="4210" t="str">
        <f>IFERROR(IF('12 - Performance_Outputs_1'!I57&lt;&gt;"",'12 - Performance_Outputs_1'!I57,""),"")</f>
        <v/>
      </c>
      <c r="J20" s="4210" t="str">
        <f>IFERROR(IF('12 - Performance_Outputs_1'!J57&lt;&gt;"",'12 - Performance_Outputs_1'!J57,""),"")</f>
        <v/>
      </c>
      <c r="K20" s="4222" t="str">
        <f t="shared" si="0"/>
        <v/>
      </c>
      <c r="L20" s="4223"/>
      <c r="M20" s="561" t="str">
        <f t="shared" si="1"/>
        <v/>
      </c>
      <c r="N20" s="413"/>
      <c r="O20" s="413"/>
      <c r="P20" s="2"/>
    </row>
    <row r="21" spans="1:41" ht="15" hidden="1" customHeight="1" x14ac:dyDescent="0.25">
      <c r="A21" s="409" t="s">
        <v>1038</v>
      </c>
      <c r="B21" s="573" t="str">
        <f>IFERROR(IF('12 - Performance_Outputs_1'!B58&lt;&gt;"",'12 - Performance_Outputs_1'!B58,""),"")</f>
        <v>Table: On-Site Renewable energy source summary</v>
      </c>
      <c r="C21" s="4224" t="str">
        <f>IFERROR(IF('12 - Performance_Outputs_1'!C58&lt;&gt;"",'12 - Performance_Outputs_1'!C58,""),"")</f>
        <v/>
      </c>
      <c r="D21" s="4208" t="str">
        <f>IFERROR(IF('12 - Performance_Outputs_1'!D58&lt;&gt;"",'12 - Performance_Outputs_1'!D58,""),"")</f>
        <v/>
      </c>
      <c r="E21" s="574" t="str">
        <f>IFERROR(IF('12 - Performance_Outputs_1'!E58&lt;&gt;"",'12 - Performance_Outputs_1'!E58,""),"")</f>
        <v/>
      </c>
      <c r="F21" s="4224" t="str">
        <f>IFERROR(IF('12 - Performance_Outputs_1'!F58&lt;&gt;"",'12 - Performance_Outputs_1'!F58,""),"")</f>
        <v/>
      </c>
      <c r="G21" s="4208" t="str">
        <f>IFERROR(IF('12 - Performance_Outputs_1'!G58&lt;&gt;"",'12 - Performance_Outputs_1'!G58,""),"")</f>
        <v/>
      </c>
      <c r="H21" s="4221" t="str">
        <f>IFERROR(IF('12 - Performance_Outputs_1'!H58&lt;&gt;"",'12 - Performance_Outputs_1'!H58,""),"")</f>
        <v/>
      </c>
      <c r="I21" s="4210" t="str">
        <f>IFERROR(IF('12 - Performance_Outputs_1'!I58&lt;&gt;"",'12 - Performance_Outputs_1'!I58,""),"")</f>
        <v/>
      </c>
      <c r="J21" s="4210" t="str">
        <f>IFERROR(IF('12 - Performance_Outputs_1'!J58&lt;&gt;"",'12 - Performance_Outputs_1'!J58,""),"")</f>
        <v/>
      </c>
      <c r="K21" s="4222" t="str">
        <f t="shared" si="0"/>
        <v/>
      </c>
      <c r="L21" s="4223"/>
      <c r="M21" s="561" t="str">
        <f t="shared" si="1"/>
        <v/>
      </c>
      <c r="N21" s="413"/>
      <c r="O21" s="413"/>
      <c r="P21" s="2"/>
    </row>
    <row r="22" spans="1:41" ht="15" hidden="1" customHeight="1" x14ac:dyDescent="0.25">
      <c r="A22" s="409" t="s">
        <v>1038</v>
      </c>
      <c r="B22" s="573" t="str">
        <f>IFERROR(IF('12 - Performance_Outputs_1'!B59&lt;&gt;"",'12 - Performance_Outputs_1'!B59,""),"")</f>
        <v>Renewable energy production should be reported in the table below. Note: This calculator will automatically reduce the proposed energy consumption and cost to accurately reflect the revised results. Therefore, any site-generated renewable energy production should NOT be included in the Performance Rating Method tables below.
Select the site-generated renewable energy source. Enter the rated capacity of the site-generated renewable source including the units (e.g. for photovoltaics 10 kW). Include all relevant capacities (i.e for solar thermal, both the storage tank capacity and the solar thermal panel capacity).
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v>
      </c>
      <c r="C22" s="4224" t="str">
        <f>IFERROR(IF('12 - Performance_Outputs_1'!C59&lt;&gt;"",'12 - Performance_Outputs_1'!C59,""),"")</f>
        <v/>
      </c>
      <c r="D22" s="4208" t="str">
        <f>IFERROR(IF('12 - Performance_Outputs_1'!D59&lt;&gt;"",'12 - Performance_Outputs_1'!D59,""),"")</f>
        <v/>
      </c>
      <c r="E22" s="574" t="str">
        <f>IFERROR(IF('12 - Performance_Outputs_1'!E59&lt;&gt;"",'12 - Performance_Outputs_1'!E59,""),"")</f>
        <v/>
      </c>
      <c r="F22" s="4224" t="str">
        <f>IFERROR(IF('12 - Performance_Outputs_1'!F59&lt;&gt;"",'12 - Performance_Outputs_1'!F59,""),"")</f>
        <v/>
      </c>
      <c r="G22" s="4208" t="str">
        <f>IFERROR(IF('12 - Performance_Outputs_1'!G59&lt;&gt;"",'12 - Performance_Outputs_1'!G59,""),"")</f>
        <v/>
      </c>
      <c r="H22" s="4221" t="str">
        <f>IFERROR(IF('12 - Performance_Outputs_1'!H59&lt;&gt;"",'12 - Performance_Outputs_1'!H59,""),"")</f>
        <v/>
      </c>
      <c r="I22" s="4210" t="str">
        <f>IFERROR(IF('12 - Performance_Outputs_1'!I59&lt;&gt;"",'12 - Performance_Outputs_1'!I59,""),"")</f>
        <v/>
      </c>
      <c r="J22" s="4210" t="str">
        <f>IFERROR(IF('12 - Performance_Outputs_1'!J59&lt;&gt;"",'12 - Performance_Outputs_1'!J59,""),"")</f>
        <v/>
      </c>
      <c r="K22" s="4222" t="str">
        <f t="shared" si="0"/>
        <v/>
      </c>
      <c r="L22" s="4223"/>
      <c r="M22" s="561" t="str">
        <f t="shared" si="1"/>
        <v/>
      </c>
      <c r="N22" s="413"/>
      <c r="O22" s="413"/>
      <c r="P22" s="2"/>
    </row>
    <row r="23" spans="1:41" ht="15" hidden="1" customHeight="1" x14ac:dyDescent="0.25">
      <c r="A23" s="409" t="s">
        <v>1038</v>
      </c>
      <c r="B23" s="573" t="str">
        <f>IFERROR(IF('12 - Performance_Outputs_1'!B60&lt;&gt;"",'12 - Performance_Outputs_1'!B60,""),"")</f>
        <v/>
      </c>
      <c r="C23" s="4224" t="str">
        <f>IFERROR(IF('12 - Performance_Outputs_1'!C60&lt;&gt;"",'12 - Performance_Outputs_1'!C60,""),"")</f>
        <v/>
      </c>
      <c r="D23" s="4208" t="str">
        <f>IFERROR(IF('12 - Performance_Outputs_1'!D60&lt;&gt;"",'12 - Performance_Outputs_1'!D60,""),"")</f>
        <v/>
      </c>
      <c r="E23" s="574" t="str">
        <f>IFERROR(IF('12 - Performance_Outputs_1'!E60&lt;&gt;"",'12 - Performance_Outputs_1'!E60,""),"")</f>
        <v/>
      </c>
      <c r="F23" s="4224" t="str">
        <f>IFERROR(IF('12 - Performance_Outputs_1'!F60&lt;&gt;"",'12 - Performance_Outputs_1'!F60,""),"")</f>
        <v/>
      </c>
      <c r="G23" s="4208" t="str">
        <f>IFERROR(IF('12 - Performance_Outputs_1'!G60&lt;&gt;"",'12 - Performance_Outputs_1'!G60,""),"")</f>
        <v/>
      </c>
      <c r="H23" s="4221" t="str">
        <f>IFERROR(IF('12 - Performance_Outputs_1'!H60&lt;&gt;"",'12 - Performance_Outputs_1'!H60,""),"")</f>
        <v/>
      </c>
      <c r="I23" s="4210" t="str">
        <f>IFERROR(IF('12 - Performance_Outputs_1'!I60&lt;&gt;"",'12 - Performance_Outputs_1'!I60,""),"")</f>
        <v/>
      </c>
      <c r="J23" s="4210" t="str">
        <f>IFERROR(IF('12 - Performance_Outputs_1'!J60&lt;&gt;"",'12 - Performance_Outputs_1'!J60,""),"")</f>
        <v/>
      </c>
      <c r="K23" s="4222" t="str">
        <f t="shared" si="0"/>
        <v/>
      </c>
      <c r="L23" s="4223"/>
      <c r="M23" s="561" t="str">
        <f t="shared" si="1"/>
        <v/>
      </c>
      <c r="N23" s="413"/>
      <c r="O23" s="413"/>
      <c r="P23" s="2"/>
    </row>
    <row r="24" spans="1:41" ht="15" hidden="1" customHeight="1" x14ac:dyDescent="0.25">
      <c r="A24" s="409" t="s">
        <v>1038</v>
      </c>
      <c r="B24" s="573" t="str">
        <f>IFERROR(IF('12 - Performance_Outputs_1'!B61&lt;&gt;"",'12 - Performance_Outputs_1'!B61,""),"")</f>
        <v>On-Site Renewable Source</v>
      </c>
      <c r="C24" s="4224" t="str">
        <f>IFERROR(IF('12 - Performance_Outputs_1'!C61&lt;&gt;"",'12 - Performance_Outputs_1'!C61,""),"")</f>
        <v/>
      </c>
      <c r="D24" s="4208" t="str">
        <f>IFERROR(IF('12 - Performance_Outputs_1'!D61&lt;&gt;"",'12 - Performance_Outputs_1'!D61,""),"")</f>
        <v/>
      </c>
      <c r="E24" s="574" t="str">
        <f>IFERROR(IF('12 - Performance_Outputs_1'!E61&lt;&gt;"",'12 - Performance_Outputs_1'!E61,""),"")</f>
        <v>Offset 
Energy Type</v>
      </c>
      <c r="F24" s="4224" t="str">
        <f>IFERROR(IF('12 - Performance_Outputs_1'!F61&lt;&gt;"",'12 - Performance_Outputs_1'!F61,""),"")</f>
        <v xml:space="preserve">Rated Capacity </v>
      </c>
      <c r="G24" s="4208" t="str">
        <f>IFERROR(IF('12 - Performance_Outputs_1'!G61&lt;&gt;"",'12 - Performance_Outputs_1'!G61,""),"")</f>
        <v/>
      </c>
      <c r="H24" s="4221" t="str">
        <f>IFERROR(IF('12 - Performance_Outputs_1'!H61&lt;&gt;"",'12 - Performance_Outputs_1'!H61,""),"")</f>
        <v>Annual Site Energy Generated</v>
      </c>
      <c r="I24" s="4210" t="str">
        <f>IFERROR(IF('12 - Performance_Outputs_1'!I61&lt;&gt;"",'12 - Performance_Outputs_1'!I61,""),"")</f>
        <v/>
      </c>
      <c r="J24" s="4210" t="str">
        <f>IFERROR(IF('12 - Performance_Outputs_1'!K61&lt;&gt;"",'12 - Performance_Outputs_1'!K61,""),"")</f>
        <v>Annual Energy Cost Offset with 
Site-Generated Renewables 
($/year)</v>
      </c>
      <c r="K24" s="4222" t="str">
        <f t="shared" si="0"/>
        <v/>
      </c>
      <c r="L24" s="4223"/>
      <c r="M24" s="561" t="str">
        <f t="shared" si="1"/>
        <v/>
      </c>
      <c r="N24" s="413"/>
      <c r="O24" s="413"/>
      <c r="P24" s="2"/>
    </row>
    <row r="25" spans="1:41" ht="21" hidden="1" customHeight="1" x14ac:dyDescent="0.25">
      <c r="A25" s="409" t="s">
        <v>1038</v>
      </c>
      <c r="B25" s="3270" t="s">
        <v>900</v>
      </c>
      <c r="C25" s="3118"/>
      <c r="D25" s="3118"/>
      <c r="E25" s="3118"/>
      <c r="F25" s="3118"/>
      <c r="G25" s="3118"/>
      <c r="H25" s="3118"/>
      <c r="I25" s="3118"/>
      <c r="J25" s="3118"/>
      <c r="K25" s="3118"/>
      <c r="L25" s="4221" t="str">
        <f>IFERROR(IF('12 - Performance_Outputs_1'!L23&lt;&gt;"",'12 - Performance_Outputs_1'!L23,""),"")</f>
        <v>kWh</v>
      </c>
      <c r="M25" s="4210" t="str">
        <f>IFERROR(IF('12 - Performance_Outputs_1'!O23&lt;&gt;"",'12 - Performance_Outputs_1'!O23,""),"")</f>
        <v/>
      </c>
      <c r="N25" s="2"/>
      <c r="O25" s="2"/>
      <c r="P25" s="2"/>
    </row>
    <row r="26" spans="1:41" ht="21" hidden="1" customHeight="1" x14ac:dyDescent="0.25">
      <c r="A26" s="409" t="s">
        <v>1038</v>
      </c>
      <c r="B26" s="3269" t="s">
        <v>901</v>
      </c>
      <c r="C26" s="3118"/>
      <c r="D26" s="3118"/>
      <c r="E26" s="3118"/>
      <c r="F26" s="3118"/>
      <c r="G26" s="3118"/>
      <c r="H26" s="3118"/>
      <c r="I26" s="3118"/>
      <c r="J26" s="3118"/>
      <c r="K26" s="3118"/>
      <c r="L26" s="4221" t="str">
        <f>IFERROR(IF('12 - Performance_Outputs_1'!L24&lt;&gt;"",'12 - Performance_Outputs_1'!L24,""),"")</f>
        <v>kWh</v>
      </c>
      <c r="M26" s="4210" t="str">
        <f>IFERROR(IF('12 - Performance_Outputs_1'!O24&lt;&gt;"",'12 - Performance_Outputs_1'!O24,""),"")</f>
        <v/>
      </c>
    </row>
    <row r="27" spans="1:41" ht="33.75" hidden="1" customHeight="1" x14ac:dyDescent="0.25">
      <c r="A27" s="409" t="s">
        <v>1038</v>
      </c>
      <c r="B27" s="281"/>
      <c r="C27" s="261"/>
      <c r="D27" s="243"/>
      <c r="E27" s="243"/>
      <c r="F27" s="243"/>
      <c r="G27" s="243"/>
      <c r="H27" s="243"/>
      <c r="I27" s="243"/>
      <c r="J27" s="243"/>
      <c r="K27" s="243"/>
      <c r="L27" s="244"/>
      <c r="M27" s="244"/>
    </row>
    <row r="28" spans="1:41" ht="21.75" hidden="1" customHeight="1" x14ac:dyDescent="0.25">
      <c r="A28" s="433" t="s">
        <v>1038</v>
      </c>
      <c r="B28" s="287" t="s">
        <v>1009</v>
      </c>
      <c r="C28" s="288"/>
      <c r="D28" s="288"/>
      <c r="E28" s="288"/>
      <c r="F28" s="288"/>
      <c r="G28" s="288"/>
      <c r="H28" s="288"/>
      <c r="I28" s="288"/>
      <c r="J28" s="288"/>
      <c r="K28" s="288"/>
      <c r="L28" s="288"/>
      <c r="M28" s="288"/>
    </row>
    <row r="29" spans="1:41" ht="15" hidden="1" customHeight="1" x14ac:dyDescent="0.25">
      <c r="A29" s="433" t="s">
        <v>1038</v>
      </c>
      <c r="B29" s="243"/>
    </row>
    <row r="30" spans="1:41" ht="98.25" hidden="1" customHeight="1" x14ac:dyDescent="0.25">
      <c r="A30" s="433" t="s">
        <v>1038</v>
      </c>
      <c r="B30" s="3140" t="s">
        <v>367</v>
      </c>
      <c r="C30" s="3102"/>
      <c r="D30" s="513" t="s">
        <v>366</v>
      </c>
      <c r="E30" s="580" t="s">
        <v>354</v>
      </c>
      <c r="F30" s="580" t="s">
        <v>1010</v>
      </c>
      <c r="G30" s="580" t="s">
        <v>272</v>
      </c>
      <c r="H30" s="580" t="s">
        <v>273</v>
      </c>
      <c r="I30" s="580" t="s">
        <v>1011</v>
      </c>
      <c r="J30" s="580" t="s">
        <v>1012</v>
      </c>
      <c r="K30" s="3140" t="s">
        <v>1022</v>
      </c>
      <c r="L30" s="3140"/>
      <c r="M30" s="580" t="s">
        <v>1013</v>
      </c>
      <c r="W30" s="235" t="s">
        <v>880</v>
      </c>
      <c r="Y30" s="235" t="s">
        <v>881</v>
      </c>
      <c r="Z30" s="235" t="s">
        <v>882</v>
      </c>
      <c r="AG30" s="235" t="s">
        <v>1470</v>
      </c>
    </row>
    <row r="31" spans="1:41" s="243" customFormat="1" ht="13.8" hidden="1" x14ac:dyDescent="0.25">
      <c r="A31" s="433" t="s">
        <v>1038</v>
      </c>
      <c r="B31" s="462" t="s">
        <v>1422</v>
      </c>
      <c r="C31" s="460"/>
      <c r="D31" s="462" t="s">
        <v>1423</v>
      </c>
      <c r="E31" s="462" t="s">
        <v>1396</v>
      </c>
      <c r="F31" s="462" t="s">
        <v>1424</v>
      </c>
      <c r="G31" s="462" t="s">
        <v>1429</v>
      </c>
      <c r="H31" s="462" t="s">
        <v>1431</v>
      </c>
      <c r="I31" s="462" t="s">
        <v>1432</v>
      </c>
      <c r="J31" s="462" t="s">
        <v>1433</v>
      </c>
      <c r="K31" s="462" t="s">
        <v>1434</v>
      </c>
      <c r="L31" s="462"/>
      <c r="M31" s="462" t="s">
        <v>1435</v>
      </c>
      <c r="Q31" s="415" t="s">
        <v>1407</v>
      </c>
      <c r="R31" s="415" t="s">
        <v>1408</v>
      </c>
      <c r="W31" s="243" t="s">
        <v>880</v>
      </c>
      <c r="Y31" s="243" t="s">
        <v>881</v>
      </c>
      <c r="Z31" s="243" t="s">
        <v>882</v>
      </c>
    </row>
    <row r="32" spans="1:41" ht="15.75" hidden="1" customHeight="1" x14ac:dyDescent="0.25">
      <c r="A32" s="433" t="s">
        <v>1038</v>
      </c>
      <c r="B32" s="3228" t="s">
        <v>392</v>
      </c>
      <c r="C32" s="3230"/>
      <c r="D32" s="4233">
        <v>0</v>
      </c>
      <c r="E32" s="4234" t="s">
        <v>374</v>
      </c>
      <c r="F32" s="594" t="str">
        <f>IFERROR(IF(ISBLANK(E32),"","Consumption (" &amp; VLOOKUP($E32,PO_Enrgy_1_Table,MATCH($C$9,PO_Enrgy_1_Hdr,0),FALSE) &amp; ")"),"")</f>
        <v/>
      </c>
      <c r="G32" s="595">
        <v>0</v>
      </c>
      <c r="H32" s="595">
        <v>0</v>
      </c>
      <c r="I32" s="587" t="str">
        <f>IFERROR(1-H32/G32,"")</f>
        <v/>
      </c>
      <c r="J32" s="4235" t="str">
        <f>IFERROR(IF($E$206-$H$206&lt;0,"",($G32-$H32)*VLOOKUP($E32,PO_Enrgy_1_Table,MATCH($K$9,PO_Enrgy_1_Hdr,0),FALSE)/($E$206-$H$206)),"")</f>
        <v/>
      </c>
      <c r="K32" s="4235" t="str">
        <f>IFERROR(IF($G$206-$J$206&lt;0,"",($G32*VLOOKUP($E32,PO_Enrgy_8_Table,MATCH($E$105,PO_Enrgy_8_Hdr,0),FALSE)-($H32*VLOOKUP($E32,PO_Enrgy_8_Table,MATCH($H$105,PO_Enrgy_8_Hdr,0),FALSE)))/($G$206-$J$206)),"")</f>
        <v/>
      </c>
      <c r="L32" s="4235"/>
      <c r="M32" s="4219" t="str">
        <f>IFERROR(H32*VLOOKUP($E32,PO_Enrgy_1_Table,MATCH($K$9,PO_Enrgy_1_Hdr,0))/$H$100,"")</f>
        <v/>
      </c>
      <c r="Q32" s="416" t="str">
        <f t="shared" ref="Q32:Q79" si="2">IFERROR(IF(ISBLANK($E32),"",VLOOKUP($E32,PO_Enrgy_1_Table,MATCH($K$9,PO_Enrgy_1_Hdr,0),FALSE)),"")</f>
        <v/>
      </c>
      <c r="R32" s="416" t="str">
        <f t="shared" ref="R32:R79" si="3">IFERROR(IF(ISBLANK($E32),"",VLOOKUP($E32,PO_Enrgy_1_Table,MATCH($M$9,PO_Enrgy_1_Hdr,0),FALSE)),"")</f>
        <v/>
      </c>
      <c r="V32" s="252">
        <f t="shared" ref="V32:V79" si="4">IFERROR($AN32*H32,0)</f>
        <v>0</v>
      </c>
      <c r="W32" s="235">
        <f t="shared" ref="W32:W79" si="5">IFERROR(G32*VLOOKUP($AE32,PO_Enrgy_8_Table,4,FALSE),0)</f>
        <v>0</v>
      </c>
      <c r="X32" s="235">
        <f t="shared" ref="X32:X79" si="6">IFERROR(H32*VLOOKUP($AE32,PO_Enrgy_8_Table,7,FALSE),0)</f>
        <v>0</v>
      </c>
      <c r="Y32" s="235" t="b">
        <f>IFERROR(IF(D32="x",IF(OR(G32/H32&gt;1.03,G32/H32&lt;0.97),TRUE,FALSE),FALSE),FALSE)</f>
        <v>0</v>
      </c>
      <c r="Z32" s="235">
        <f>IFERROR(J32*100,)</f>
        <v>0</v>
      </c>
      <c r="AB32" s="235">
        <f>RANK(Z32,$Z$32:$Z$79,0)</f>
        <v>1</v>
      </c>
      <c r="AC32" s="235">
        <f>AB32</f>
        <v>1</v>
      </c>
      <c r="AD32" s="235" t="str">
        <f>B32</f>
        <v>Interior lighting</v>
      </c>
      <c r="AE32" s="2"/>
      <c r="AF32" s="3222" t="str">
        <f>IFERROR(G32/'6b - General Lighting'!#REF!,"")</f>
        <v/>
      </c>
      <c r="AG32" s="3222"/>
      <c r="AH32" s="436"/>
      <c r="AI32" s="363"/>
      <c r="AJ32" s="363"/>
      <c r="AK32" s="562"/>
      <c r="AO32" s="252"/>
    </row>
    <row r="33" spans="1:41" ht="16.2" hidden="1" customHeight="1" x14ac:dyDescent="0.25">
      <c r="A33" s="433" t="s">
        <v>1038</v>
      </c>
      <c r="B33" s="3230"/>
      <c r="C33" s="3230"/>
      <c r="D33" s="4233"/>
      <c r="E33" s="4234"/>
      <c r="F33" s="594" t="str">
        <f>IFERROR(IF(ISBLANK(E32),"","Demand (" &amp; VLOOKUP($E32,PO_Enrgy_1_Table,MATCH($E$9,PO_Enrgy_1_Hdr,0),FALSE) &amp; ")"),"")</f>
        <v/>
      </c>
      <c r="G33" s="596">
        <v>0</v>
      </c>
      <c r="H33" s="596">
        <v>0</v>
      </c>
      <c r="I33" s="597" t="str">
        <f t="shared" ref="I33:I79" si="7">IFERROR(1-H33/G33,"")</f>
        <v/>
      </c>
      <c r="J33" s="4236"/>
      <c r="K33" s="4235"/>
      <c r="L33" s="4235"/>
      <c r="M33" s="4237"/>
      <c r="Q33" s="416" t="str">
        <f t="shared" si="2"/>
        <v/>
      </c>
      <c r="R33" s="416" t="str">
        <f t="shared" si="3"/>
        <v/>
      </c>
      <c r="V33" s="252">
        <f t="shared" si="4"/>
        <v>0</v>
      </c>
      <c r="W33" s="235">
        <f t="shared" si="5"/>
        <v>0</v>
      </c>
      <c r="X33" s="235">
        <f t="shared" si="6"/>
        <v>0</v>
      </c>
      <c r="AE33" s="2"/>
      <c r="AF33" s="3222"/>
      <c r="AG33" s="3222"/>
      <c r="AH33" s="436"/>
      <c r="AI33" s="363"/>
      <c r="AJ33" s="363"/>
      <c r="AK33" s="563"/>
      <c r="AO33" s="252"/>
    </row>
    <row r="34" spans="1:41" ht="16.2" hidden="1" customHeight="1" x14ac:dyDescent="0.25">
      <c r="A34" s="433" t="s">
        <v>1038</v>
      </c>
      <c r="B34" s="3228" t="s">
        <v>2363</v>
      </c>
      <c r="C34" s="3228"/>
      <c r="D34" s="4233">
        <v>0</v>
      </c>
      <c r="E34" s="4234" t="s">
        <v>374</v>
      </c>
      <c r="F34" s="594" t="str">
        <f>IFERROR(IF(ISBLANK(E34),"","Consumption (" &amp; VLOOKUP($E34,PO_Enrgy_1_Table,MATCH($C$9,PO_Enrgy_1_Hdr,0),FALSE) &amp; ")"),"")</f>
        <v/>
      </c>
      <c r="G34" s="595">
        <v>0</v>
      </c>
      <c r="H34" s="595">
        <v>0</v>
      </c>
      <c r="I34" s="587" t="str">
        <f t="shared" si="7"/>
        <v/>
      </c>
      <c r="J34" s="4235" t="str">
        <f>IFERROR(IF($E$206-$H$206&lt;0,"",($G34-$H34)*VLOOKUP($E34,PO_Enrgy_1_Table,MATCH($K$9,PO_Enrgy_1_Hdr,0),FALSE)/($E$206-$H$206)),"")</f>
        <v/>
      </c>
      <c r="K34" s="4235" t="str">
        <f>IFERROR(IF($G$206-$J$206&lt;0,"",($G34*VLOOKUP($E34,PO_Enrgy_8_Table,MATCH($E$105,PO_Enrgy_8_Hdr,0),FALSE)-($H34*VLOOKUP($E34,PO_Enrgy_8_Table,MATCH($H$105,PO_Enrgy_8_Hdr,0),FALSE)))/($G$206-$J$206)),"")</f>
        <v/>
      </c>
      <c r="L34" s="4235"/>
      <c r="M34" s="4219" t="str">
        <f>IFERROR(H34*VLOOKUP($E34,PO_Enrgy_1_Table,MATCH($K$9,PO_Enrgy_1_Hdr,0))/$H$100,"")</f>
        <v/>
      </c>
      <c r="Q34" s="416" t="str">
        <f t="shared" si="2"/>
        <v/>
      </c>
      <c r="R34" s="416" t="str">
        <f t="shared" si="3"/>
        <v/>
      </c>
      <c r="V34" s="252">
        <f t="shared" si="4"/>
        <v>0</v>
      </c>
      <c r="W34" s="235">
        <f t="shared" si="5"/>
        <v>0</v>
      </c>
      <c r="X34" s="235">
        <f t="shared" si="6"/>
        <v>0</v>
      </c>
      <c r="Y34" s="235" t="b">
        <f>IFERROR(IF(D34="x",IF(OR(G34/H34&gt;1.03,G34/H34&lt;0.97),TRUE,FALSE),FALSE),FALSE)</f>
        <v>0</v>
      </c>
      <c r="Z34" s="235">
        <f>IFERROR(J34*100,)</f>
        <v>0</v>
      </c>
      <c r="AB34" s="235">
        <f>RANK(Z34,$Z$32:$Z$79,0)</f>
        <v>1</v>
      </c>
      <c r="AC34" s="235">
        <f>AB34+COUNTIF($AB$32:$AB33,AB34)</f>
        <v>2</v>
      </c>
      <c r="AD34" s="235" t="str">
        <f>B34</f>
        <v>Lighting in Apartments</v>
      </c>
      <c r="AE34" s="2"/>
      <c r="AF34" s="3222"/>
      <c r="AG34" s="3222"/>
      <c r="AH34" s="436"/>
      <c r="AI34" s="363"/>
      <c r="AJ34" s="363"/>
      <c r="AK34" s="562"/>
      <c r="AO34" s="252"/>
    </row>
    <row r="35" spans="1:41" ht="16.2" hidden="1" customHeight="1" x14ac:dyDescent="0.25">
      <c r="A35" s="433" t="s">
        <v>1038</v>
      </c>
      <c r="B35" s="3228"/>
      <c r="C35" s="3228"/>
      <c r="D35" s="4233"/>
      <c r="E35" s="4234"/>
      <c r="F35" s="594" t="str">
        <f>IFERROR(IF(ISBLANK(E34),"","Demand (" &amp; VLOOKUP($E34,PO_Enrgy_1_Table,MATCH($E$9,PO_Enrgy_1_Hdr,0),FALSE) &amp; ")"),"")</f>
        <v/>
      </c>
      <c r="G35" s="596">
        <v>0</v>
      </c>
      <c r="H35" s="596">
        <v>0</v>
      </c>
      <c r="I35" s="597" t="str">
        <f t="shared" si="7"/>
        <v/>
      </c>
      <c r="J35" s="4236"/>
      <c r="K35" s="4235"/>
      <c r="L35" s="4235"/>
      <c r="M35" s="4237"/>
      <c r="Q35" s="416" t="str">
        <f t="shared" si="2"/>
        <v/>
      </c>
      <c r="R35" s="416" t="str">
        <f t="shared" si="3"/>
        <v/>
      </c>
      <c r="V35" s="252">
        <f t="shared" si="4"/>
        <v>0</v>
      </c>
      <c r="W35" s="235">
        <f t="shared" si="5"/>
        <v>0</v>
      </c>
      <c r="X35" s="235">
        <f t="shared" si="6"/>
        <v>0</v>
      </c>
      <c r="AE35" s="2"/>
      <c r="AF35" s="3222"/>
      <c r="AG35" s="3222"/>
      <c r="AH35" s="436"/>
      <c r="AI35" s="363"/>
      <c r="AJ35" s="363"/>
      <c r="AK35" s="563"/>
      <c r="AO35" s="252"/>
    </row>
    <row r="36" spans="1:41" ht="16.2" hidden="1" customHeight="1" x14ac:dyDescent="0.25">
      <c r="A36" s="433" t="s">
        <v>1038</v>
      </c>
      <c r="B36" s="3228" t="s">
        <v>391</v>
      </c>
      <c r="C36" s="3228"/>
      <c r="D36" s="4233">
        <v>0</v>
      </c>
      <c r="E36" s="4234" t="s">
        <v>374</v>
      </c>
      <c r="F36" s="594" t="str">
        <f>IFERROR(IF(ISBLANK(E36),"","Consumption (" &amp; VLOOKUP($E36,PO_Enrgy_1_Table,MATCH($C$9,PO_Enrgy_1_Hdr,0),FALSE) &amp; ")"),"")</f>
        <v/>
      </c>
      <c r="G36" s="595">
        <v>0</v>
      </c>
      <c r="H36" s="595">
        <v>0</v>
      </c>
      <c r="I36" s="587" t="str">
        <f t="shared" si="7"/>
        <v/>
      </c>
      <c r="J36" s="4235" t="str">
        <f>IFERROR(IF($E$206-$H$206&lt;0,"",($G36-$H36)*VLOOKUP($E36,PO_Enrgy_1_Table,MATCH($K$9,PO_Enrgy_1_Hdr,0),FALSE)/($E$206-$H$206)),"")</f>
        <v/>
      </c>
      <c r="K36" s="4235" t="str">
        <f>IFERROR(IF($G$206-$J$206&lt;0,"",($G36*VLOOKUP($E36,PO_Enrgy_8_Table,MATCH($E$105,PO_Enrgy_8_Hdr,0),FALSE)-($H36*VLOOKUP($E36,PO_Enrgy_8_Table,MATCH($H$105,PO_Enrgy_8_Hdr,0),FALSE)))/($G$206-$J$206)),"")</f>
        <v/>
      </c>
      <c r="L36" s="4235"/>
      <c r="M36" s="4219" t="str">
        <f>IFERROR(H36*VLOOKUP($E36,PO_Enrgy_1_Table,MATCH($K$9,PO_Enrgy_1_Hdr,0))/$H$100,"")</f>
        <v/>
      </c>
      <c r="Q36" s="416" t="str">
        <f t="shared" si="2"/>
        <v/>
      </c>
      <c r="R36" s="416" t="str">
        <f t="shared" si="3"/>
        <v/>
      </c>
      <c r="V36" s="252">
        <f t="shared" si="4"/>
        <v>0</v>
      </c>
      <c r="W36" s="235">
        <f t="shared" si="5"/>
        <v>0</v>
      </c>
      <c r="X36" s="235">
        <f t="shared" si="6"/>
        <v>0</v>
      </c>
      <c r="Y36" s="235" t="b">
        <f>IFERROR(IF(D36="x",IF(OR(G36/H36&gt;1.03,G36/H36&lt;0.97),TRUE,FALSE),FALSE),FALSE)</f>
        <v>0</v>
      </c>
      <c r="Z36" s="235">
        <f>IFERROR(J36*100,)</f>
        <v>0</v>
      </c>
      <c r="AB36" s="235">
        <f>RANK(Z36,$Z$32:$Z$79,0)</f>
        <v>1</v>
      </c>
      <c r="AC36" s="235">
        <f>AB36+COUNTIF($AB$32:$AB35,AB36)</f>
        <v>3</v>
      </c>
      <c r="AD36" s="235" t="str">
        <f>B36</f>
        <v>Exterior lighting</v>
      </c>
      <c r="AE36" s="2"/>
      <c r="AF36" s="3222"/>
      <c r="AG36" s="3222"/>
      <c r="AH36" s="436"/>
      <c r="AI36" s="363"/>
      <c r="AJ36" s="363"/>
      <c r="AK36" s="562"/>
      <c r="AO36" s="252"/>
    </row>
    <row r="37" spans="1:41" ht="16.2" hidden="1" customHeight="1" x14ac:dyDescent="0.25">
      <c r="A37" s="433" t="s">
        <v>1038</v>
      </c>
      <c r="B37" s="3228"/>
      <c r="C37" s="3228"/>
      <c r="D37" s="4233"/>
      <c r="E37" s="4234"/>
      <c r="F37" s="594" t="str">
        <f>IFERROR(IF(ISBLANK(E36),"","Demand (" &amp; VLOOKUP($E36,PO_Enrgy_1_Table,MATCH($E$9,PO_Enrgy_1_Hdr,0),FALSE) &amp; ")"),"")</f>
        <v/>
      </c>
      <c r="G37" s="596">
        <v>0</v>
      </c>
      <c r="H37" s="596">
        <v>0</v>
      </c>
      <c r="I37" s="597" t="str">
        <f t="shared" si="7"/>
        <v/>
      </c>
      <c r="J37" s="4236"/>
      <c r="K37" s="4235"/>
      <c r="L37" s="4235"/>
      <c r="M37" s="4237"/>
      <c r="Q37" s="416" t="str">
        <f t="shared" si="2"/>
        <v/>
      </c>
      <c r="R37" s="416" t="str">
        <f t="shared" si="3"/>
        <v/>
      </c>
      <c r="V37" s="252">
        <f t="shared" si="4"/>
        <v>0</v>
      </c>
      <c r="W37" s="235">
        <f t="shared" si="5"/>
        <v>0</v>
      </c>
      <c r="X37" s="235">
        <f t="shared" si="6"/>
        <v>0</v>
      </c>
      <c r="AE37" s="2"/>
      <c r="AF37" s="3222"/>
      <c r="AG37" s="3222"/>
      <c r="AH37" s="436"/>
      <c r="AI37" s="363"/>
      <c r="AJ37" s="363"/>
      <c r="AK37" s="563"/>
      <c r="AO37" s="252"/>
    </row>
    <row r="38" spans="1:41" ht="16.2" hidden="1" customHeight="1" x14ac:dyDescent="0.25">
      <c r="A38" s="433" t="s">
        <v>1038</v>
      </c>
      <c r="B38" s="3228" t="s">
        <v>390</v>
      </c>
      <c r="C38" s="3228"/>
      <c r="D38" s="4233">
        <v>0</v>
      </c>
      <c r="E38" s="4234" t="s">
        <v>388</v>
      </c>
      <c r="F38" s="594" t="str">
        <f>IFERROR(IF(ISBLANK(E38),"","Consumption (" &amp; VLOOKUP($E38,PO_Enrgy_1_Table,MATCH($C$9,PO_Enrgy_1_Hdr,0),FALSE) &amp; ")"),"")</f>
        <v/>
      </c>
      <c r="G38" s="595">
        <v>0</v>
      </c>
      <c r="H38" s="595">
        <v>0</v>
      </c>
      <c r="I38" s="587" t="str">
        <f t="shared" si="7"/>
        <v/>
      </c>
      <c r="J38" s="4235" t="str">
        <f>IFERROR(IF($E$206-$H$206&lt;0,"",($G38-$H38)*VLOOKUP($E38,PO_Enrgy_1_Table,MATCH($K$9,PO_Enrgy_1_Hdr,0),FALSE)/($E$206-$H$206)),"")</f>
        <v/>
      </c>
      <c r="K38" s="4235" t="str">
        <f>IFERROR(IF($G$206-$J$206&lt;0,"",($G38*VLOOKUP($E38,PO_Enrgy_8_Table,MATCH($E$105,PO_Enrgy_8_Hdr,0),FALSE)-($H38*VLOOKUP($E38,PO_Enrgy_8_Table,MATCH($H$105,PO_Enrgy_8_Hdr,0),FALSE)))/($G$206-$J$206)),"")</f>
        <v/>
      </c>
      <c r="L38" s="4235"/>
      <c r="M38" s="4219" t="str">
        <f>IFERROR(H38*VLOOKUP($E38,PO_Enrgy_1_Table,MATCH($K$9,PO_Enrgy_1_Hdr,0))/$H$100,"")</f>
        <v/>
      </c>
      <c r="Q38" s="416" t="str">
        <f t="shared" si="2"/>
        <v/>
      </c>
      <c r="R38" s="416" t="str">
        <f t="shared" si="3"/>
        <v/>
      </c>
      <c r="V38" s="252">
        <f t="shared" si="4"/>
        <v>0</v>
      </c>
      <c r="W38" s="235">
        <f t="shared" si="5"/>
        <v>0</v>
      </c>
      <c r="X38" s="235">
        <f t="shared" si="6"/>
        <v>0</v>
      </c>
      <c r="Y38" s="235" t="b">
        <f>IFERROR(IF(D38="x",IF(OR(G38/H38&gt;1.03,G38/H38&lt;0.97),TRUE,FALSE),FALSE),FALSE)</f>
        <v>0</v>
      </c>
      <c r="Z38" s="235">
        <f>IFERROR(J38*100,)</f>
        <v>0</v>
      </c>
      <c r="AB38" s="235">
        <f>RANK(Z38,$Z$32:$Z$79,0)</f>
        <v>1</v>
      </c>
      <c r="AC38" s="235">
        <f>AB38+COUNTIF($AB$32:$AB37,AB38)</f>
        <v>4</v>
      </c>
      <c r="AD38" s="235" t="str">
        <f>B38</f>
        <v>Space heating</v>
      </c>
      <c r="AE38" s="2"/>
      <c r="AF38" s="3222"/>
      <c r="AG38" s="3222"/>
      <c r="AH38" s="436"/>
      <c r="AI38" s="363"/>
      <c r="AJ38" s="363"/>
      <c r="AK38" s="562"/>
      <c r="AO38" s="252"/>
    </row>
    <row r="39" spans="1:41" ht="16.2" hidden="1" customHeight="1" x14ac:dyDescent="0.25">
      <c r="A39" s="433" t="s">
        <v>1038</v>
      </c>
      <c r="B39" s="3228"/>
      <c r="C39" s="3228"/>
      <c r="D39" s="4233"/>
      <c r="E39" s="4234"/>
      <c r="F39" s="594" t="str">
        <f>IFERROR(IF(ISBLANK(E38),"","Demand (" &amp; VLOOKUP($E38,PO_Enrgy_1_Table,MATCH($E$9,PO_Enrgy_1_Hdr,0),FALSE) &amp; ")"),"")</f>
        <v/>
      </c>
      <c r="G39" s="596">
        <v>0</v>
      </c>
      <c r="H39" s="596">
        <v>0</v>
      </c>
      <c r="I39" s="597" t="str">
        <f t="shared" si="7"/>
        <v/>
      </c>
      <c r="J39" s="4236"/>
      <c r="K39" s="4235"/>
      <c r="L39" s="4235"/>
      <c r="M39" s="4237"/>
      <c r="Q39" s="416" t="str">
        <f t="shared" si="2"/>
        <v/>
      </c>
      <c r="R39" s="416" t="str">
        <f t="shared" si="3"/>
        <v/>
      </c>
      <c r="V39" s="252">
        <f t="shared" si="4"/>
        <v>0</v>
      </c>
      <c r="W39" s="235">
        <f t="shared" si="5"/>
        <v>0</v>
      </c>
      <c r="X39" s="235">
        <f t="shared" si="6"/>
        <v>0</v>
      </c>
      <c r="AE39" s="2"/>
      <c r="AF39" s="3222"/>
      <c r="AG39" s="3222"/>
      <c r="AH39" s="436"/>
      <c r="AI39" s="363"/>
      <c r="AJ39" s="363"/>
      <c r="AK39" s="563"/>
      <c r="AO39" s="252"/>
    </row>
    <row r="40" spans="1:41" ht="16.2" hidden="1" customHeight="1" x14ac:dyDescent="0.25">
      <c r="A40" s="433" t="s">
        <v>1038</v>
      </c>
      <c r="B40" s="3228" t="s">
        <v>389</v>
      </c>
      <c r="C40" s="3228"/>
      <c r="D40" s="4233">
        <v>0</v>
      </c>
      <c r="E40" s="4234" t="s">
        <v>374</v>
      </c>
      <c r="F40" s="594" t="str">
        <f>IFERROR(IF(ISBLANK(E40),"","Consumption (" &amp; VLOOKUP($E40,PO_Enrgy_1_Table,MATCH($C$9,PO_Enrgy_1_Hdr,0),FALSE) &amp; ")"),"")</f>
        <v/>
      </c>
      <c r="G40" s="595">
        <v>0</v>
      </c>
      <c r="H40" s="595">
        <v>0</v>
      </c>
      <c r="I40" s="587" t="str">
        <f t="shared" si="7"/>
        <v/>
      </c>
      <c r="J40" s="4235" t="str">
        <f>IFERROR(IF($E$206-$H$206&lt;0,"",($G40-$H40)*VLOOKUP($E40,PO_Enrgy_1_Table,MATCH($K$9,PO_Enrgy_1_Hdr,0),FALSE)/($E$206-$H$206)),"")</f>
        <v/>
      </c>
      <c r="K40" s="4235" t="str">
        <f>IFERROR(IF($G$206-$J$206&lt;0,"",($G40*VLOOKUP($E40,PO_Enrgy_8_Table,MATCH($E$105,PO_Enrgy_8_Hdr,0),FALSE)-($H40*VLOOKUP($E40,PO_Enrgy_8_Table,MATCH($H$105,PO_Enrgy_8_Hdr,0),FALSE)))/($G$206-$J$206)),"")</f>
        <v/>
      </c>
      <c r="L40" s="4235"/>
      <c r="M40" s="4219" t="str">
        <f>IFERROR(H40*VLOOKUP($E40,PO_Enrgy_1_Table,MATCH($K$9,PO_Enrgy_1_Hdr,0))/$H$100,"")</f>
        <v/>
      </c>
      <c r="Q40" s="416" t="str">
        <f t="shared" si="2"/>
        <v/>
      </c>
      <c r="R40" s="416" t="str">
        <f t="shared" si="3"/>
        <v/>
      </c>
      <c r="V40" s="252">
        <f t="shared" si="4"/>
        <v>0</v>
      </c>
      <c r="W40" s="235">
        <f t="shared" si="5"/>
        <v>0</v>
      </c>
      <c r="X40" s="235">
        <f t="shared" si="6"/>
        <v>0</v>
      </c>
      <c r="Y40" s="235" t="b">
        <f>IFERROR(IF(D40="x",IF(OR(G40/H40&gt;1.03,G40/H40&lt;0.97),TRUE,FALSE),FALSE),FALSE)</f>
        <v>0</v>
      </c>
      <c r="Z40" s="235">
        <f>IFERROR(J40*100,)</f>
        <v>0</v>
      </c>
      <c r="AB40" s="235">
        <f>RANK(Z40,$Z$32:$Z$79,0)</f>
        <v>1</v>
      </c>
      <c r="AC40" s="235">
        <f>AB40+COUNTIF($AB$32:$AB39,AB40)</f>
        <v>5</v>
      </c>
      <c r="AD40" s="235" t="str">
        <f>B40</f>
        <v>Space cooling</v>
      </c>
      <c r="AE40" s="2"/>
      <c r="AF40" s="3222"/>
      <c r="AG40" s="3222"/>
      <c r="AH40" s="436"/>
      <c r="AI40" s="363"/>
      <c r="AJ40" s="363"/>
      <c r="AK40" s="562"/>
      <c r="AO40" s="252"/>
    </row>
    <row r="41" spans="1:41" ht="16.2" hidden="1" customHeight="1" x14ac:dyDescent="0.25">
      <c r="A41" s="433" t="s">
        <v>1038</v>
      </c>
      <c r="B41" s="3228"/>
      <c r="C41" s="3228"/>
      <c r="D41" s="4233"/>
      <c r="E41" s="4234"/>
      <c r="F41" s="594" t="str">
        <f>IFERROR(IF(ISBLANK(E40),"","Demand (" &amp; VLOOKUP($E40,PO_Enrgy_1_Table,MATCH($E$9,PO_Enrgy_1_Hdr,0),FALSE) &amp; ")"),"")</f>
        <v/>
      </c>
      <c r="G41" s="596">
        <v>0</v>
      </c>
      <c r="H41" s="596">
        <v>0</v>
      </c>
      <c r="I41" s="597" t="str">
        <f t="shared" si="7"/>
        <v/>
      </c>
      <c r="J41" s="4236"/>
      <c r="K41" s="4235"/>
      <c r="L41" s="4235"/>
      <c r="M41" s="4237"/>
      <c r="Q41" s="416" t="str">
        <f t="shared" si="2"/>
        <v/>
      </c>
      <c r="R41" s="416" t="str">
        <f t="shared" si="3"/>
        <v/>
      </c>
      <c r="V41" s="252">
        <f t="shared" si="4"/>
        <v>0</v>
      </c>
      <c r="W41" s="235">
        <f t="shared" si="5"/>
        <v>0</v>
      </c>
      <c r="X41" s="235">
        <f t="shared" si="6"/>
        <v>0</v>
      </c>
      <c r="AE41" s="2"/>
      <c r="AF41" s="3222"/>
      <c r="AG41" s="3222"/>
      <c r="AH41" s="436"/>
      <c r="AI41" s="363"/>
      <c r="AJ41" s="363"/>
      <c r="AK41" s="563"/>
      <c r="AO41" s="252"/>
    </row>
    <row r="42" spans="1:41" ht="16.2" hidden="1" customHeight="1" x14ac:dyDescent="0.25">
      <c r="A42" s="433" t="s">
        <v>1038</v>
      </c>
      <c r="B42" s="3228" t="s">
        <v>387</v>
      </c>
      <c r="C42" s="3228"/>
      <c r="D42" s="4233">
        <v>0</v>
      </c>
      <c r="E42" s="4234" t="s">
        <v>374</v>
      </c>
      <c r="F42" s="594" t="str">
        <f>IFERROR(IF(ISBLANK(E42),"","Consumption (" &amp; VLOOKUP($E42,PO_Enrgy_1_Table,MATCH($C$9,PO_Enrgy_1_Hdr,0),FALSE) &amp; ")"),"")</f>
        <v/>
      </c>
      <c r="G42" s="595">
        <v>0</v>
      </c>
      <c r="H42" s="595">
        <v>0</v>
      </c>
      <c r="I42" s="587" t="str">
        <f t="shared" si="7"/>
        <v/>
      </c>
      <c r="J42" s="4235" t="str">
        <f>IFERROR(IF($E$206-$H$206&lt;0,"",($G42-$H42)*VLOOKUP($E42,PO_Enrgy_1_Table,MATCH($K$9,PO_Enrgy_1_Hdr,0),FALSE)/($E$206-$H$206)),"")</f>
        <v/>
      </c>
      <c r="K42" s="4235" t="str">
        <f>IFERROR(IF($G$206-$J$206&lt;0,"",($G42*VLOOKUP($E42,PO_Enrgy_8_Table,MATCH($E$105,PO_Enrgy_8_Hdr,0),FALSE)-($H42*VLOOKUP($E42,PO_Enrgy_8_Table,MATCH($H$105,PO_Enrgy_8_Hdr,0),FALSE)))/($G$206-$J$206)),"")</f>
        <v/>
      </c>
      <c r="L42" s="4235"/>
      <c r="M42" s="4219" t="str">
        <f>IFERROR(H42*VLOOKUP($E42,PO_Enrgy_1_Table,MATCH($K$9,PO_Enrgy_1_Hdr,0))/$H$100,"")</f>
        <v/>
      </c>
      <c r="Q42" s="416" t="str">
        <f t="shared" si="2"/>
        <v/>
      </c>
      <c r="R42" s="416" t="str">
        <f t="shared" si="3"/>
        <v/>
      </c>
      <c r="V42" s="252">
        <f t="shared" si="4"/>
        <v>0</v>
      </c>
      <c r="W42" s="235">
        <f t="shared" si="5"/>
        <v>0</v>
      </c>
      <c r="X42" s="235">
        <f t="shared" si="6"/>
        <v>0</v>
      </c>
      <c r="Y42" s="235" t="b">
        <f>IFERROR(IF(D42="x",IF(OR(G42/H42&gt;1.03,G42/H42&lt;0.97),TRUE,FALSE),FALSE),FALSE)</f>
        <v>0</v>
      </c>
      <c r="Z42" s="235">
        <f>IFERROR(J42*100,)</f>
        <v>0</v>
      </c>
      <c r="AB42" s="235">
        <f>RANK(Z42,$Z$32:$Z$79,0)</f>
        <v>1</v>
      </c>
      <c r="AC42" s="235">
        <f>AB42+COUNTIF($AB$32:$AB41,AB42)</f>
        <v>6</v>
      </c>
      <c r="AD42" s="235" t="str">
        <f>B42</f>
        <v>Pumps</v>
      </c>
      <c r="AE42" s="2"/>
      <c r="AF42" s="3222"/>
      <c r="AG42" s="3222"/>
      <c r="AH42" s="436"/>
      <c r="AI42" s="363"/>
      <c r="AJ42" s="363"/>
      <c r="AK42" s="562"/>
      <c r="AO42" s="252"/>
    </row>
    <row r="43" spans="1:41" ht="16.2" hidden="1" customHeight="1" x14ac:dyDescent="0.25">
      <c r="A43" s="433" t="s">
        <v>1038</v>
      </c>
      <c r="B43" s="3228"/>
      <c r="C43" s="3228"/>
      <c r="D43" s="4233"/>
      <c r="E43" s="4234"/>
      <c r="F43" s="594" t="str">
        <f>IFERROR(IF(ISBLANK(E42),"","Demand (" &amp; VLOOKUP($E42,PO_Enrgy_1_Table,MATCH($E$9,PO_Enrgy_1_Hdr,0),FALSE) &amp; ")"),"")</f>
        <v/>
      </c>
      <c r="G43" s="596">
        <v>0</v>
      </c>
      <c r="H43" s="596">
        <v>0</v>
      </c>
      <c r="I43" s="597" t="str">
        <f t="shared" si="7"/>
        <v/>
      </c>
      <c r="J43" s="4236"/>
      <c r="K43" s="4235"/>
      <c r="L43" s="4235"/>
      <c r="M43" s="4237"/>
      <c r="Q43" s="416" t="str">
        <f t="shared" si="2"/>
        <v/>
      </c>
      <c r="R43" s="416" t="str">
        <f t="shared" si="3"/>
        <v/>
      </c>
      <c r="V43" s="252">
        <f t="shared" si="4"/>
        <v>0</v>
      </c>
      <c r="W43" s="235">
        <f t="shared" si="5"/>
        <v>0</v>
      </c>
      <c r="X43" s="235">
        <f t="shared" si="6"/>
        <v>0</v>
      </c>
      <c r="AE43" s="2"/>
      <c r="AF43" s="3222"/>
      <c r="AG43" s="3222"/>
      <c r="AH43" s="436"/>
      <c r="AI43" s="363"/>
      <c r="AJ43" s="363"/>
      <c r="AK43" s="563"/>
      <c r="AO43" s="252"/>
    </row>
    <row r="44" spans="1:41" ht="16.2" hidden="1" customHeight="1" x14ac:dyDescent="0.25">
      <c r="A44" s="433" t="s">
        <v>1038</v>
      </c>
      <c r="B44" s="3228" t="s">
        <v>386</v>
      </c>
      <c r="C44" s="3228"/>
      <c r="D44" s="4233">
        <v>0</v>
      </c>
      <c r="E44" s="4234" t="s">
        <v>374</v>
      </c>
      <c r="F44" s="594" t="str">
        <f>IFERROR(IF(ISBLANK(E44),"","Consumption (" &amp; VLOOKUP($E44,PO_Enrgy_1_Table,MATCH($C$9,PO_Enrgy_1_Hdr,0),FALSE) &amp; ")"),"")</f>
        <v/>
      </c>
      <c r="G44" s="595">
        <v>0</v>
      </c>
      <c r="H44" s="595">
        <v>0</v>
      </c>
      <c r="I44" s="587" t="str">
        <f t="shared" si="7"/>
        <v/>
      </c>
      <c r="J44" s="4235" t="str">
        <f>IFERROR(IF($E$206-$H$206&lt;0,"",($G44-$H44)*VLOOKUP($E44,PO_Enrgy_1_Table,MATCH($K$9,PO_Enrgy_1_Hdr,0),FALSE)/($E$206-$H$206)),"")</f>
        <v/>
      </c>
      <c r="K44" s="4235" t="str">
        <f>IFERROR(IF($G$206-$J$206&lt;0,"",($G44*VLOOKUP($E44,PO_Enrgy_8_Table,MATCH($E$105,PO_Enrgy_8_Hdr,0),FALSE)-($H44*VLOOKUP($E44,PO_Enrgy_8_Table,MATCH($H$105,PO_Enrgy_8_Hdr,0),FALSE)))/($G$206-$J$206)),"")</f>
        <v/>
      </c>
      <c r="L44" s="4235"/>
      <c r="M44" s="4219" t="str">
        <f>IFERROR(H44*VLOOKUP($E44,PO_Enrgy_1_Table,MATCH($K$9,PO_Enrgy_1_Hdr,0))/$H$100,"")</f>
        <v/>
      </c>
      <c r="Q44" s="416" t="str">
        <f t="shared" si="2"/>
        <v/>
      </c>
      <c r="R44" s="416" t="str">
        <f t="shared" si="3"/>
        <v/>
      </c>
      <c r="V44" s="252">
        <f t="shared" si="4"/>
        <v>0</v>
      </c>
      <c r="W44" s="235">
        <f t="shared" si="5"/>
        <v>0</v>
      </c>
      <c r="X44" s="235">
        <f t="shared" si="6"/>
        <v>0</v>
      </c>
      <c r="Y44" s="235" t="b">
        <f>IFERROR(IF(D44="x",IF(OR(G44/H44&gt;1.03,G44/H44&lt;0.97),TRUE,FALSE),FALSE),FALSE)</f>
        <v>0</v>
      </c>
      <c r="Z44" s="235">
        <f>IFERROR(J44*100,)</f>
        <v>0</v>
      </c>
      <c r="AB44" s="235">
        <f>RANK(Z44,$Z$32:$Z$79,0)</f>
        <v>1</v>
      </c>
      <c r="AC44" s="235">
        <f>AB44+COUNTIF($AB$32:$AB43,AB44)</f>
        <v>7</v>
      </c>
      <c r="AD44" s="235" t="str">
        <f>B44</f>
        <v>Heat rejection</v>
      </c>
      <c r="AE44" s="2"/>
      <c r="AF44" s="3222"/>
      <c r="AG44" s="3222"/>
      <c r="AH44" s="436"/>
      <c r="AI44" s="363"/>
      <c r="AJ44" s="363"/>
      <c r="AK44" s="562"/>
      <c r="AO44" s="252"/>
    </row>
    <row r="45" spans="1:41" ht="16.2" hidden="1" customHeight="1" x14ac:dyDescent="0.25">
      <c r="A45" s="433" t="s">
        <v>1038</v>
      </c>
      <c r="B45" s="3228"/>
      <c r="C45" s="3228"/>
      <c r="D45" s="4233"/>
      <c r="E45" s="4234"/>
      <c r="F45" s="594" t="str">
        <f>IFERROR(IF(ISBLANK(E44),"","Demand (" &amp; VLOOKUP($E44,PO_Enrgy_1_Table,MATCH($E$9,PO_Enrgy_1_Hdr,0),FALSE) &amp; ")"),"")</f>
        <v/>
      </c>
      <c r="G45" s="596">
        <v>0</v>
      </c>
      <c r="H45" s="596">
        <v>0</v>
      </c>
      <c r="I45" s="597" t="str">
        <f t="shared" si="7"/>
        <v/>
      </c>
      <c r="J45" s="4236"/>
      <c r="K45" s="4235"/>
      <c r="L45" s="4235"/>
      <c r="M45" s="4237"/>
      <c r="Q45" s="416" t="str">
        <f t="shared" si="2"/>
        <v/>
      </c>
      <c r="R45" s="416" t="str">
        <f t="shared" si="3"/>
        <v/>
      </c>
      <c r="V45" s="252">
        <f t="shared" si="4"/>
        <v>0</v>
      </c>
      <c r="W45" s="235">
        <f t="shared" si="5"/>
        <v>0</v>
      </c>
      <c r="X45" s="235">
        <f t="shared" si="6"/>
        <v>0</v>
      </c>
      <c r="AE45" s="2"/>
      <c r="AF45" s="3222"/>
      <c r="AG45" s="3222"/>
      <c r="AH45" s="436"/>
      <c r="AI45" s="363"/>
      <c r="AJ45" s="363"/>
      <c r="AK45" s="563"/>
      <c r="AO45" s="252"/>
    </row>
    <row r="46" spans="1:41" ht="16.2" hidden="1" customHeight="1" x14ac:dyDescent="0.25">
      <c r="A46" s="433" t="s">
        <v>1038</v>
      </c>
      <c r="B46" s="3228" t="s">
        <v>385</v>
      </c>
      <c r="C46" s="3228"/>
      <c r="D46" s="4233">
        <v>0</v>
      </c>
      <c r="E46" s="4234" t="s">
        <v>374</v>
      </c>
      <c r="F46" s="594" t="str">
        <f>IFERROR(IF(ISBLANK(E46),"","Consumption (" &amp; VLOOKUP($E46,PO_Enrgy_1_Table,MATCH($C$9,PO_Enrgy_1_Hdr,0),FALSE) &amp; ")"),"")</f>
        <v/>
      </c>
      <c r="G46" s="595">
        <v>0</v>
      </c>
      <c r="H46" s="595">
        <v>0</v>
      </c>
      <c r="I46" s="587" t="str">
        <f t="shared" si="7"/>
        <v/>
      </c>
      <c r="J46" s="4235" t="str">
        <f>IFERROR(IF($E$206-$H$206&lt;0,"",($G46-$H46)*VLOOKUP($E46,PO_Enrgy_1_Table,MATCH($K$9,PO_Enrgy_1_Hdr,0),FALSE)/($E$206-$H$206)),"")</f>
        <v/>
      </c>
      <c r="K46" s="4235" t="str">
        <f>IFERROR(IF($G$206-$J$206&lt;0,"",($G46*VLOOKUP($E46,PO_Enrgy_8_Table,MATCH($E$105,PO_Enrgy_8_Hdr,0),FALSE)-($H46*VLOOKUP($E46,PO_Enrgy_8_Table,MATCH($H$105,PO_Enrgy_8_Hdr,0),FALSE)))/($G$206-$J$206)),"")</f>
        <v/>
      </c>
      <c r="L46" s="4235"/>
      <c r="M46" s="4219" t="str">
        <f>IFERROR(H46*VLOOKUP($E46,PO_Enrgy_1_Table,MATCH($K$9,PO_Enrgy_1_Hdr,0))/$H$100,"")</f>
        <v/>
      </c>
      <c r="Q46" s="416" t="str">
        <f t="shared" si="2"/>
        <v/>
      </c>
      <c r="R46" s="416" t="str">
        <f t="shared" si="3"/>
        <v/>
      </c>
      <c r="V46" s="252">
        <f t="shared" si="4"/>
        <v>0</v>
      </c>
      <c r="W46" s="235">
        <f t="shared" si="5"/>
        <v>0</v>
      </c>
      <c r="X46" s="235">
        <f t="shared" si="6"/>
        <v>0</v>
      </c>
      <c r="Y46" s="235" t="b">
        <f>IFERROR(IF(D46="x",IF(OR(G46/H46&gt;1.03,G46/H46&lt;0.97),TRUE,FALSE),FALSE),FALSE)</f>
        <v>0</v>
      </c>
      <c r="Z46" s="235">
        <f>IFERROR(J46*100,)</f>
        <v>0</v>
      </c>
      <c r="AB46" s="235">
        <f>RANK(Z46,$Z$32:$Z$79,0)</f>
        <v>1</v>
      </c>
      <c r="AC46" s="235">
        <f>AB46+COUNTIF($AB$32:$AB45,AB46)</f>
        <v>8</v>
      </c>
      <c r="AD46" s="235" t="str">
        <f>B46</f>
        <v>Fans - interior ventilation</v>
      </c>
      <c r="AE46" s="2"/>
      <c r="AF46" s="3222"/>
      <c r="AG46" s="3222"/>
      <c r="AH46" s="436"/>
      <c r="AI46" s="363"/>
      <c r="AJ46" s="363"/>
      <c r="AK46" s="562"/>
      <c r="AO46" s="252"/>
    </row>
    <row r="47" spans="1:41" ht="16.2" hidden="1" customHeight="1" x14ac:dyDescent="0.25">
      <c r="A47" s="433" t="s">
        <v>1038</v>
      </c>
      <c r="B47" s="3228"/>
      <c r="C47" s="3228"/>
      <c r="D47" s="4233"/>
      <c r="E47" s="4234"/>
      <c r="F47" s="594" t="str">
        <f>IFERROR(IF(ISBLANK(E46),"","Demand (" &amp; VLOOKUP($E46,PO_Enrgy_1_Table,MATCH($E$9,PO_Enrgy_1_Hdr,0),FALSE) &amp; ")"),"")</f>
        <v/>
      </c>
      <c r="G47" s="596">
        <v>0</v>
      </c>
      <c r="H47" s="596">
        <v>0</v>
      </c>
      <c r="I47" s="597" t="str">
        <f t="shared" si="7"/>
        <v/>
      </c>
      <c r="J47" s="4236"/>
      <c r="K47" s="4235"/>
      <c r="L47" s="4235"/>
      <c r="M47" s="4237"/>
      <c r="Q47" s="416" t="str">
        <f t="shared" si="2"/>
        <v/>
      </c>
      <c r="R47" s="416" t="str">
        <f t="shared" si="3"/>
        <v/>
      </c>
      <c r="V47" s="252">
        <f t="shared" si="4"/>
        <v>0</v>
      </c>
      <c r="W47" s="235">
        <f t="shared" si="5"/>
        <v>0</v>
      </c>
      <c r="X47" s="235">
        <f t="shared" si="6"/>
        <v>0</v>
      </c>
      <c r="AE47" s="2"/>
      <c r="AF47" s="3222"/>
      <c r="AG47" s="3222"/>
      <c r="AH47" s="436"/>
      <c r="AI47" s="363"/>
      <c r="AJ47" s="363"/>
      <c r="AK47" s="563"/>
      <c r="AO47" s="252"/>
    </row>
    <row r="48" spans="1:41" ht="16.2" hidden="1" customHeight="1" x14ac:dyDescent="0.25">
      <c r="A48" s="433" t="s">
        <v>1038</v>
      </c>
      <c r="B48" s="3228" t="s">
        <v>384</v>
      </c>
      <c r="C48" s="3228"/>
      <c r="D48" s="4233">
        <v>0</v>
      </c>
      <c r="E48" s="4234" t="s">
        <v>374</v>
      </c>
      <c r="F48" s="594" t="str">
        <f>IFERROR(IF(ISBLANK(E48),"","Consumption (" &amp; VLOOKUP($E48,PO_Enrgy_1_Table,MATCH($C$9,PO_Enrgy_1_Hdr,0),FALSE) &amp; ")"),"")</f>
        <v/>
      </c>
      <c r="G48" s="595">
        <v>0</v>
      </c>
      <c r="H48" s="595">
        <v>0</v>
      </c>
      <c r="I48" s="587" t="str">
        <f t="shared" si="7"/>
        <v/>
      </c>
      <c r="J48" s="4235" t="str">
        <f>IFERROR(IF($E$206-$H$206&lt;0,"",($G48-$H48)*VLOOKUP($E48,PO_Enrgy_1_Table,MATCH($K$9,PO_Enrgy_1_Hdr,0),FALSE)/($E$206-$H$206)),"")</f>
        <v/>
      </c>
      <c r="K48" s="4235" t="str">
        <f>IFERROR(IF($G$206-$J$206&lt;0,"",($G48*VLOOKUP($E48,PO_Enrgy_8_Table,MATCH($E$105,PO_Enrgy_8_Hdr,0),FALSE)-($H48*VLOOKUP($E48,PO_Enrgy_8_Table,MATCH($H$105,PO_Enrgy_8_Hdr,0),FALSE)))/($G$206-$J$206)),"")</f>
        <v/>
      </c>
      <c r="L48" s="4235"/>
      <c r="M48" s="4219" t="str">
        <f>IFERROR(H48*VLOOKUP($E48,PO_Enrgy_1_Table,MATCH($K$9,PO_Enrgy_1_Hdr,0))/$H$100,"")</f>
        <v/>
      </c>
      <c r="Q48" s="416" t="str">
        <f t="shared" si="2"/>
        <v/>
      </c>
      <c r="R48" s="416" t="str">
        <f t="shared" si="3"/>
        <v/>
      </c>
      <c r="V48" s="252">
        <f t="shared" si="4"/>
        <v>0</v>
      </c>
      <c r="W48" s="235">
        <f t="shared" si="5"/>
        <v>0</v>
      </c>
      <c r="X48" s="235">
        <f t="shared" si="6"/>
        <v>0</v>
      </c>
      <c r="Y48" s="235" t="b">
        <f>IFERROR(IF(D48="x",IF(OR(G48/H48&gt;1.03,G48/H48&lt;0.97),TRUE,FALSE),FALSE),FALSE)</f>
        <v>0</v>
      </c>
      <c r="Z48" s="235">
        <f>IFERROR(J48*100,)</f>
        <v>0</v>
      </c>
      <c r="AB48" s="235">
        <f>RANK(Z48,$Z$32:$Z$79,0)</f>
        <v>1</v>
      </c>
      <c r="AC48" s="235">
        <f>AB48+COUNTIF($AB$32:$AB47,AB48)</f>
        <v>9</v>
      </c>
      <c r="AD48" s="235" t="str">
        <f>B48</f>
        <v>Fans - parking garage</v>
      </c>
      <c r="AE48" s="2"/>
      <c r="AF48" s="3222"/>
      <c r="AG48" s="3222"/>
      <c r="AH48" s="436"/>
      <c r="AI48" s="363"/>
      <c r="AJ48" s="363"/>
      <c r="AK48" s="562"/>
      <c r="AO48" s="252"/>
    </row>
    <row r="49" spans="1:41" ht="16.2" hidden="1" customHeight="1" x14ac:dyDescent="0.25">
      <c r="A49" s="433" t="s">
        <v>1038</v>
      </c>
      <c r="B49" s="3228"/>
      <c r="C49" s="3228"/>
      <c r="D49" s="4233"/>
      <c r="E49" s="4234"/>
      <c r="F49" s="594" t="str">
        <f>IFERROR(IF(ISBLANK(E48),"","Demand (" &amp; VLOOKUP($E48,PO_Enrgy_1_Table,MATCH($E$9,PO_Enrgy_1_Hdr,0),FALSE) &amp; ")"),"")</f>
        <v/>
      </c>
      <c r="G49" s="596">
        <v>0</v>
      </c>
      <c r="H49" s="596">
        <v>0</v>
      </c>
      <c r="I49" s="597" t="str">
        <f t="shared" si="7"/>
        <v/>
      </c>
      <c r="J49" s="4236"/>
      <c r="K49" s="4235"/>
      <c r="L49" s="4235"/>
      <c r="M49" s="4237"/>
      <c r="Q49" s="416" t="str">
        <f t="shared" si="2"/>
        <v/>
      </c>
      <c r="R49" s="416" t="str">
        <f t="shared" si="3"/>
        <v/>
      </c>
      <c r="V49" s="252">
        <f t="shared" si="4"/>
        <v>0</v>
      </c>
      <c r="W49" s="235">
        <f t="shared" si="5"/>
        <v>0</v>
      </c>
      <c r="X49" s="235">
        <f t="shared" si="6"/>
        <v>0</v>
      </c>
      <c r="AE49" s="2"/>
      <c r="AF49" s="3222"/>
      <c r="AG49" s="3222"/>
      <c r="AH49" s="436"/>
      <c r="AI49" s="363"/>
      <c r="AJ49" s="363"/>
      <c r="AK49" s="563"/>
      <c r="AO49" s="252"/>
    </row>
    <row r="50" spans="1:41" ht="16.2" hidden="1" customHeight="1" x14ac:dyDescent="0.25">
      <c r="A50" s="433" t="s">
        <v>1038</v>
      </c>
      <c r="B50" s="3228" t="s">
        <v>383</v>
      </c>
      <c r="C50" s="3228"/>
      <c r="D50" s="4233">
        <v>0</v>
      </c>
      <c r="E50" s="4234" t="s">
        <v>388</v>
      </c>
      <c r="F50" s="594" t="str">
        <f>IFERROR(IF(ISBLANK(E50),"","Consumption (" &amp; VLOOKUP($E50,PO_Enrgy_1_Table,MATCH($C$9,PO_Enrgy_1_Hdr,0),FALSE) &amp; ")"),"")</f>
        <v/>
      </c>
      <c r="G50" s="595">
        <v>0</v>
      </c>
      <c r="H50" s="595">
        <v>0</v>
      </c>
      <c r="I50" s="587" t="str">
        <f t="shared" si="7"/>
        <v/>
      </c>
      <c r="J50" s="4235" t="str">
        <f>IFERROR(IF($E$206-$H$206&lt;0,"",($G50-$H50)*VLOOKUP($E50,PO_Enrgy_1_Table,MATCH($K$9,PO_Enrgy_1_Hdr,0),FALSE)/($E$206-$H$206)),"")</f>
        <v/>
      </c>
      <c r="K50" s="4235" t="str">
        <f>IFERROR(IF($G$206-$J$206&lt;0,"",($G50*VLOOKUP($E50,PO_Enrgy_8_Table,MATCH($E$105,PO_Enrgy_8_Hdr,0),FALSE)-($H50*VLOOKUP($E50,PO_Enrgy_8_Table,MATCH($H$105,PO_Enrgy_8_Hdr,0),FALSE)))/($G$206-$J$206)),"")</f>
        <v/>
      </c>
      <c r="L50" s="4235"/>
      <c r="M50" s="4219" t="str">
        <f>IFERROR(H50*VLOOKUP($E50,PO_Enrgy_1_Table,MATCH($K$9,PO_Enrgy_1_Hdr,0))/$H$100,"")</f>
        <v/>
      </c>
      <c r="Q50" s="416" t="str">
        <f t="shared" si="2"/>
        <v/>
      </c>
      <c r="R50" s="416" t="str">
        <f t="shared" si="3"/>
        <v/>
      </c>
      <c r="V50" s="252">
        <f t="shared" si="4"/>
        <v>0</v>
      </c>
      <c r="W50" s="235">
        <f t="shared" si="5"/>
        <v>0</v>
      </c>
      <c r="X50" s="235">
        <f t="shared" si="6"/>
        <v>0</v>
      </c>
      <c r="Y50" s="235" t="b">
        <f>IFERROR(IF(D50="x",IF(OR(G50/H50&gt;1.03,G50/H50&lt;0.97),TRUE,FALSE),FALSE),FALSE)</f>
        <v>0</v>
      </c>
      <c r="Z50" s="235">
        <f>IFERROR(J50*100,)</f>
        <v>0</v>
      </c>
      <c r="AB50" s="235">
        <f>RANK(Z50,$Z$32:$Z$79,0)</f>
        <v>1</v>
      </c>
      <c r="AC50" s="235">
        <f>AB50+COUNTIF($AB$32:$AB49,AB50)</f>
        <v>10</v>
      </c>
      <c r="AD50" s="235" t="str">
        <f>B50</f>
        <v>Service water heating</v>
      </c>
      <c r="AE50" s="2"/>
      <c r="AF50" s="3222"/>
      <c r="AG50" s="3222"/>
      <c r="AH50" s="436"/>
      <c r="AI50" s="363"/>
      <c r="AJ50" s="363"/>
      <c r="AK50" s="562"/>
      <c r="AO50" s="252"/>
    </row>
    <row r="51" spans="1:41" ht="16.2" hidden="1" customHeight="1" x14ac:dyDescent="0.25">
      <c r="A51" s="433" t="s">
        <v>1038</v>
      </c>
      <c r="B51" s="3228"/>
      <c r="C51" s="3228"/>
      <c r="D51" s="4233"/>
      <c r="E51" s="4234"/>
      <c r="F51" s="594" t="str">
        <f>IFERROR(IF(ISBLANK(E50),"","Demand (" &amp; VLOOKUP($E50,PO_Enrgy_1_Table,MATCH($E$9,PO_Enrgy_1_Hdr,0),FALSE) &amp; ")"),"")</f>
        <v/>
      </c>
      <c r="G51" s="596">
        <v>0</v>
      </c>
      <c r="H51" s="596">
        <v>0</v>
      </c>
      <c r="I51" s="597" t="str">
        <f t="shared" si="7"/>
        <v/>
      </c>
      <c r="J51" s="4236"/>
      <c r="K51" s="4235"/>
      <c r="L51" s="4235"/>
      <c r="M51" s="4237"/>
      <c r="Q51" s="416" t="str">
        <f t="shared" si="2"/>
        <v/>
      </c>
      <c r="R51" s="416" t="str">
        <f t="shared" si="3"/>
        <v/>
      </c>
      <c r="V51" s="252">
        <f t="shared" si="4"/>
        <v>0</v>
      </c>
      <c r="W51" s="235">
        <f t="shared" si="5"/>
        <v>0</v>
      </c>
      <c r="X51" s="235">
        <f t="shared" si="6"/>
        <v>0</v>
      </c>
      <c r="AE51" s="2"/>
      <c r="AF51" s="3222"/>
      <c r="AG51" s="3222"/>
      <c r="AH51" s="436"/>
      <c r="AI51" s="363"/>
      <c r="AJ51" s="363"/>
      <c r="AK51" s="563"/>
      <c r="AO51" s="252"/>
    </row>
    <row r="52" spans="1:41" ht="16.2" hidden="1" customHeight="1" x14ac:dyDescent="0.25">
      <c r="A52" s="433" t="s">
        <v>1038</v>
      </c>
      <c r="B52" s="3228" t="s">
        <v>382</v>
      </c>
      <c r="C52" s="3228"/>
      <c r="D52" s="4233" t="s">
        <v>375</v>
      </c>
      <c r="E52" s="4234" t="s">
        <v>374</v>
      </c>
      <c r="F52" s="594" t="str">
        <f>IFERROR(IF(ISBLANK(E52),"","Consumption (" &amp; VLOOKUP($E52,PO_Enrgy_1_Table,MATCH($C$9,PO_Enrgy_1_Hdr,0),FALSE) &amp; ")"),"")</f>
        <v/>
      </c>
      <c r="G52" s="595">
        <v>0</v>
      </c>
      <c r="H52" s="595">
        <v>0</v>
      </c>
      <c r="I52" s="587" t="str">
        <f t="shared" si="7"/>
        <v/>
      </c>
      <c r="J52" s="4235" t="str">
        <f>IFERROR(IF($E$206-$H$206&lt;0,"",($G52-$H52)*VLOOKUP($E52,PO_Enrgy_1_Table,MATCH($K$9,PO_Enrgy_1_Hdr,0),FALSE)/($E$206-$H$206)),"")</f>
        <v/>
      </c>
      <c r="K52" s="4235" t="str">
        <f>IFERROR(IF($G$206-$J$206&lt;0,"",($G52*VLOOKUP($E52,PO_Enrgy_8_Table,MATCH($E$105,PO_Enrgy_8_Hdr,0),FALSE)-($H52*VLOOKUP($E52,PO_Enrgy_8_Table,MATCH($H$105,PO_Enrgy_8_Hdr,0),FALSE)))/($G$206-$J$206)),"")</f>
        <v/>
      </c>
      <c r="L52" s="4235"/>
      <c r="M52" s="4219" t="str">
        <f>IFERROR(H52*VLOOKUP($E52,PO_Enrgy_1_Table,MATCH($K$9,PO_Enrgy_1_Hdr,0))/$H$100,"")</f>
        <v/>
      </c>
      <c r="Q52" s="416" t="str">
        <f t="shared" si="2"/>
        <v/>
      </c>
      <c r="R52" s="416" t="str">
        <f t="shared" si="3"/>
        <v/>
      </c>
      <c r="V52" s="252">
        <f t="shared" si="4"/>
        <v>0</v>
      </c>
      <c r="W52" s="235">
        <f t="shared" si="5"/>
        <v>0</v>
      </c>
      <c r="X52" s="235">
        <f t="shared" si="6"/>
        <v>0</v>
      </c>
      <c r="Y52" s="235" t="b">
        <f>IFERROR(IF(D52="x",IF(OR(G52/H52&gt;1.03,G52/H52&lt;0.97),TRUE,FALSE),FALSE),FALSE)</f>
        <v>0</v>
      </c>
      <c r="Z52" s="235">
        <f>IFERROR(J52*100,)</f>
        <v>0</v>
      </c>
      <c r="AB52" s="235">
        <f>RANK(Z52,$Z$32:$Z$79,0)</f>
        <v>1</v>
      </c>
      <c r="AC52" s="235">
        <f>AB52+COUNTIF($AB$32:$AB51,AB52)</f>
        <v>11</v>
      </c>
      <c r="AD52" s="235" t="str">
        <f>B52</f>
        <v>Receptacle equipment</v>
      </c>
      <c r="AE52" s="2"/>
      <c r="AF52" s="3222"/>
      <c r="AG52" s="3222"/>
      <c r="AH52" s="436"/>
      <c r="AI52" s="363"/>
      <c r="AJ52" s="363"/>
      <c r="AK52" s="562"/>
      <c r="AO52" s="252"/>
    </row>
    <row r="53" spans="1:41" ht="16.2" hidden="1" customHeight="1" x14ac:dyDescent="0.25">
      <c r="A53" s="433" t="s">
        <v>1038</v>
      </c>
      <c r="B53" s="3228"/>
      <c r="C53" s="3228"/>
      <c r="D53" s="4233"/>
      <c r="E53" s="4234"/>
      <c r="F53" s="594" t="str">
        <f>IFERROR(IF(ISBLANK(E52),"","Demand (" &amp; VLOOKUP($E52,PO_Enrgy_1_Table,MATCH($E$9,PO_Enrgy_1_Hdr,0),FALSE) &amp; ")"),"")</f>
        <v/>
      </c>
      <c r="G53" s="596">
        <v>0</v>
      </c>
      <c r="H53" s="596">
        <v>0</v>
      </c>
      <c r="I53" s="597" t="str">
        <f t="shared" si="7"/>
        <v/>
      </c>
      <c r="J53" s="4236"/>
      <c r="K53" s="4235"/>
      <c r="L53" s="4235"/>
      <c r="M53" s="4237"/>
      <c r="Q53" s="416" t="str">
        <f t="shared" si="2"/>
        <v/>
      </c>
      <c r="R53" s="416" t="str">
        <f t="shared" si="3"/>
        <v/>
      </c>
      <c r="V53" s="252">
        <f t="shared" si="4"/>
        <v>0</v>
      </c>
      <c r="W53" s="235">
        <f t="shared" si="5"/>
        <v>0</v>
      </c>
      <c r="X53" s="235">
        <f t="shared" si="6"/>
        <v>0</v>
      </c>
      <c r="AE53" s="2"/>
      <c r="AF53" s="3222"/>
      <c r="AG53" s="3222"/>
      <c r="AH53" s="436"/>
      <c r="AI53" s="363"/>
      <c r="AJ53" s="363"/>
      <c r="AK53" s="563"/>
      <c r="AO53" s="252"/>
    </row>
    <row r="54" spans="1:41" ht="16.2" hidden="1" customHeight="1" x14ac:dyDescent="0.25">
      <c r="A54" s="433" t="s">
        <v>1038</v>
      </c>
      <c r="B54" s="3228" t="s">
        <v>381</v>
      </c>
      <c r="C54" s="3228"/>
      <c r="D54" s="4233" t="s">
        <v>375</v>
      </c>
      <c r="E54" s="4234" t="s">
        <v>374</v>
      </c>
      <c r="F54" s="594" t="str">
        <f>IFERROR(IF(ISBLANK(E54),"","Consumption (" &amp; VLOOKUP($E54,PO_Enrgy_1_Table,MATCH($C$9,PO_Enrgy_1_Hdr,0),FALSE) &amp; ")"),"")</f>
        <v/>
      </c>
      <c r="G54" s="595">
        <v>0</v>
      </c>
      <c r="H54" s="595">
        <v>0</v>
      </c>
      <c r="I54" s="587" t="str">
        <f t="shared" si="7"/>
        <v/>
      </c>
      <c r="J54" s="4235" t="str">
        <f>IFERROR(IF($E$206-$H$206&lt;0,"",($G54-$H54)*VLOOKUP($E54,PO_Enrgy_1_Table,MATCH($K$9,PO_Enrgy_1_Hdr,0),FALSE)/($E$206-$H$206)),"")</f>
        <v/>
      </c>
      <c r="K54" s="4235" t="str">
        <f>IFERROR(IF($G$206-$J$206&lt;0,"",($G54*VLOOKUP($E54,PO_Enrgy_8_Table,MATCH($E$105,PO_Enrgy_8_Hdr,0),FALSE)-($H54*VLOOKUP($E54,PO_Enrgy_8_Table,MATCH($H$105,PO_Enrgy_8_Hdr,0),FALSE)))/($G$206-$J$206)),"")</f>
        <v/>
      </c>
      <c r="L54" s="4235"/>
      <c r="M54" s="4219" t="str">
        <f>IFERROR(H54*VLOOKUP($E54,PO_Enrgy_1_Table,MATCH($K$9,PO_Enrgy_1_Hdr,0))/$H$100,"")</f>
        <v/>
      </c>
      <c r="Q54" s="416" t="str">
        <f t="shared" si="2"/>
        <v/>
      </c>
      <c r="R54" s="416" t="str">
        <f t="shared" si="3"/>
        <v/>
      </c>
      <c r="V54" s="252">
        <f t="shared" si="4"/>
        <v>0</v>
      </c>
      <c r="W54" s="235">
        <f t="shared" si="5"/>
        <v>0</v>
      </c>
      <c r="X54" s="235">
        <f t="shared" si="6"/>
        <v>0</v>
      </c>
      <c r="Y54" s="235" t="b">
        <f>IFERROR(IF(D54="x",IF(OR(G54/H54&gt;1.03,G54/H54&lt;0.97),TRUE,FALSE),FALSE),FALSE)</f>
        <v>0</v>
      </c>
      <c r="Z54" s="235">
        <f>IFERROR(J54*100,)</f>
        <v>0</v>
      </c>
      <c r="AB54" s="235">
        <f>RANK(Z54,$Z$32:$Z$79,0)</f>
        <v>1</v>
      </c>
      <c r="AC54" s="235">
        <f>AB54+COUNTIF($AB$32:$AB53,AB54)</f>
        <v>12</v>
      </c>
      <c r="AD54" s="235" t="str">
        <f>B54</f>
        <v>IT equipment</v>
      </c>
      <c r="AE54" s="2"/>
      <c r="AF54" s="3222"/>
      <c r="AG54" s="3222"/>
      <c r="AH54" s="436"/>
      <c r="AI54" s="363"/>
      <c r="AJ54" s="363"/>
      <c r="AK54" s="562"/>
      <c r="AO54" s="252"/>
    </row>
    <row r="55" spans="1:41" ht="16.2" hidden="1" customHeight="1" x14ac:dyDescent="0.25">
      <c r="A55" s="433" t="s">
        <v>1038</v>
      </c>
      <c r="B55" s="3228"/>
      <c r="C55" s="3228"/>
      <c r="D55" s="4233"/>
      <c r="E55" s="4234"/>
      <c r="F55" s="594" t="str">
        <f>IFERROR(IF(ISBLANK(E54),"","Demand (" &amp; VLOOKUP($E54,PO_Enrgy_1_Table,MATCH($E$9,PO_Enrgy_1_Hdr,0),FALSE) &amp; ")"),"")</f>
        <v/>
      </c>
      <c r="G55" s="596">
        <v>0</v>
      </c>
      <c r="H55" s="596">
        <v>0</v>
      </c>
      <c r="I55" s="597" t="str">
        <f t="shared" si="7"/>
        <v/>
      </c>
      <c r="J55" s="4236"/>
      <c r="K55" s="4235"/>
      <c r="L55" s="4235"/>
      <c r="M55" s="4237"/>
      <c r="Q55" s="416" t="str">
        <f t="shared" si="2"/>
        <v/>
      </c>
      <c r="R55" s="416" t="str">
        <f t="shared" si="3"/>
        <v/>
      </c>
      <c r="V55" s="252">
        <f t="shared" si="4"/>
        <v>0</v>
      </c>
      <c r="W55" s="235">
        <f t="shared" si="5"/>
        <v>0</v>
      </c>
      <c r="X55" s="235">
        <f t="shared" si="6"/>
        <v>0</v>
      </c>
      <c r="AE55" s="2"/>
      <c r="AF55" s="3222"/>
      <c r="AG55" s="3222"/>
      <c r="AH55" s="436"/>
      <c r="AI55" s="363"/>
      <c r="AJ55" s="363"/>
      <c r="AK55" s="563"/>
      <c r="AO55" s="252"/>
    </row>
    <row r="56" spans="1:41" ht="16.2" hidden="1" customHeight="1" x14ac:dyDescent="0.25">
      <c r="A56" s="433" t="s">
        <v>1038</v>
      </c>
      <c r="B56" s="3228" t="s">
        <v>380</v>
      </c>
      <c r="C56" s="3228"/>
      <c r="D56" s="4233" t="s">
        <v>375</v>
      </c>
      <c r="E56" s="4234" t="s">
        <v>374</v>
      </c>
      <c r="F56" s="594" t="str">
        <f>IFERROR(IF(ISBLANK(E56),"","Consumption (" &amp; VLOOKUP($E56,PO_Enrgy_1_Table,MATCH($C$9,PO_Enrgy_1_Hdr,0),FALSE) &amp; ")"),"")</f>
        <v/>
      </c>
      <c r="G56" s="595">
        <v>0</v>
      </c>
      <c r="H56" s="595">
        <v>0</v>
      </c>
      <c r="I56" s="587" t="str">
        <f t="shared" si="7"/>
        <v/>
      </c>
      <c r="J56" s="4235" t="str">
        <f>IFERROR(IF($E$206-$H$206&lt;0,"",($G56-$H56)*VLOOKUP($E56,PO_Enrgy_1_Table,MATCH($K$9,PO_Enrgy_1_Hdr,0),FALSE)/($E$206-$H$206)),"")</f>
        <v/>
      </c>
      <c r="K56" s="4235" t="str">
        <f>IFERROR(IF($G$206-$J$206&lt;0,"",($G56*VLOOKUP($E56,PO_Enrgy_8_Table,MATCH($E$105,PO_Enrgy_8_Hdr,0),FALSE)-($H56*VLOOKUP($E56,PO_Enrgy_8_Table,MATCH($H$105,PO_Enrgy_8_Hdr,0),FALSE)))/($G$206-$J$206)),"")</f>
        <v/>
      </c>
      <c r="L56" s="4235"/>
      <c r="M56" s="4219" t="str">
        <f>IFERROR(H56*VLOOKUP($E56,PO_Enrgy_1_Table,MATCH($K$9,PO_Enrgy_1_Hdr,0))/$H$100,"")</f>
        <v/>
      </c>
      <c r="Q56" s="416" t="str">
        <f t="shared" si="2"/>
        <v/>
      </c>
      <c r="R56" s="416" t="str">
        <f t="shared" si="3"/>
        <v/>
      </c>
      <c r="V56" s="252">
        <f t="shared" si="4"/>
        <v>0</v>
      </c>
      <c r="W56" s="235">
        <f t="shared" si="5"/>
        <v>0</v>
      </c>
      <c r="X56" s="235">
        <f t="shared" si="6"/>
        <v>0</v>
      </c>
      <c r="Y56" s="235" t="b">
        <f>IFERROR(IF(D56="x",IF(OR(G56/H56&gt;1.03,G56/H56&lt;0.97),TRUE,FALSE),FALSE),FALSE)</f>
        <v>0</v>
      </c>
      <c r="Z56" s="235">
        <f>IFERROR(J56*100,)</f>
        <v>0</v>
      </c>
      <c r="AB56" s="235">
        <f>RANK(Z56,$Z$32:$Z$79,0)</f>
        <v>1</v>
      </c>
      <c r="AC56" s="235">
        <f>AB56+COUNTIF($AB$32:$AB55,AB56)</f>
        <v>13</v>
      </c>
      <c r="AD56" s="235" t="str">
        <f>B56</f>
        <v>Interior lighting - process</v>
      </c>
      <c r="AE56" s="2"/>
      <c r="AF56" s="3222"/>
      <c r="AG56" s="3222"/>
      <c r="AH56" s="436"/>
      <c r="AI56" s="363"/>
      <c r="AJ56" s="363"/>
      <c r="AK56" s="562"/>
      <c r="AO56" s="252"/>
    </row>
    <row r="57" spans="1:41" ht="16.2" hidden="1" customHeight="1" x14ac:dyDescent="0.25">
      <c r="A57" s="433" t="s">
        <v>1038</v>
      </c>
      <c r="B57" s="3228"/>
      <c r="C57" s="3228"/>
      <c r="D57" s="4233"/>
      <c r="E57" s="4234"/>
      <c r="F57" s="594" t="str">
        <f>IFERROR(IF(ISBLANK(E56),"","Demand (" &amp; VLOOKUP($E56,PO_Enrgy_1_Table,MATCH($E$9,PO_Enrgy_1_Hdr,0),FALSE) &amp; ")"),"")</f>
        <v/>
      </c>
      <c r="G57" s="596">
        <v>0</v>
      </c>
      <c r="H57" s="596">
        <v>0</v>
      </c>
      <c r="I57" s="597" t="str">
        <f t="shared" si="7"/>
        <v/>
      </c>
      <c r="J57" s="4236"/>
      <c r="K57" s="4235"/>
      <c r="L57" s="4235"/>
      <c r="M57" s="4237"/>
      <c r="Q57" s="416" t="str">
        <f t="shared" si="2"/>
        <v/>
      </c>
      <c r="R57" s="416" t="str">
        <f t="shared" si="3"/>
        <v/>
      </c>
      <c r="V57" s="252">
        <f t="shared" si="4"/>
        <v>0</v>
      </c>
      <c r="W57" s="235">
        <f t="shared" si="5"/>
        <v>0</v>
      </c>
      <c r="X57" s="235">
        <f t="shared" si="6"/>
        <v>0</v>
      </c>
      <c r="AE57" s="2"/>
      <c r="AF57" s="3222"/>
      <c r="AG57" s="3222"/>
      <c r="AH57" s="436"/>
      <c r="AI57" s="363"/>
      <c r="AJ57" s="363"/>
      <c r="AK57" s="563"/>
      <c r="AO57" s="252"/>
    </row>
    <row r="58" spans="1:41" ht="16.2" hidden="1" customHeight="1" x14ac:dyDescent="0.25">
      <c r="A58" s="433" t="s">
        <v>1038</v>
      </c>
      <c r="B58" s="3228" t="s">
        <v>341</v>
      </c>
      <c r="C58" s="3228"/>
      <c r="D58" s="4233" t="s">
        <v>375</v>
      </c>
      <c r="E58" s="4234" t="s">
        <v>374</v>
      </c>
      <c r="F58" s="594" t="str">
        <f>IFERROR(IF(ISBLANK(E58),"","Consumption (" &amp; VLOOKUP($E58,PO_Enrgy_1_Table,MATCH($C$9,PO_Enrgy_1_Hdr,0),FALSE) &amp; ")"),"")</f>
        <v/>
      </c>
      <c r="G58" s="595">
        <v>0</v>
      </c>
      <c r="H58" s="595">
        <v>0</v>
      </c>
      <c r="I58" s="587" t="str">
        <f t="shared" si="7"/>
        <v/>
      </c>
      <c r="J58" s="4235" t="str">
        <f>IFERROR(IF($E$206-$H$206&lt;0,"",($G58-$H58)*VLOOKUP($E58,PO_Enrgy_1_Table,MATCH($K$9,PO_Enrgy_1_Hdr,0),FALSE)/($E$206-$H$206)),"")</f>
        <v/>
      </c>
      <c r="K58" s="4235" t="str">
        <f>IFERROR(IF($G$206-$J$206&lt;0,"",($G58*VLOOKUP($E58,PO_Enrgy_8_Table,MATCH($E$105,PO_Enrgy_8_Hdr,0),FALSE)-($H58*VLOOKUP($E58,PO_Enrgy_8_Table,MATCH($H$105,PO_Enrgy_8_Hdr,0),FALSE)))/($G$206-$J$206)),"")</f>
        <v/>
      </c>
      <c r="L58" s="4235"/>
      <c r="M58" s="4219" t="str">
        <f>IFERROR(H58*VLOOKUP($E58,PO_Enrgy_1_Table,MATCH($K$9,PO_Enrgy_1_Hdr,0))/$H$100,"")</f>
        <v/>
      </c>
      <c r="Q58" s="416" t="str">
        <f t="shared" si="2"/>
        <v/>
      </c>
      <c r="R58" s="416" t="str">
        <f t="shared" si="3"/>
        <v/>
      </c>
      <c r="V58" s="252">
        <f t="shared" si="4"/>
        <v>0</v>
      </c>
      <c r="W58" s="235">
        <f t="shared" si="5"/>
        <v>0</v>
      </c>
      <c r="X58" s="235">
        <f t="shared" si="6"/>
        <v>0</v>
      </c>
      <c r="Y58" s="235" t="b">
        <f>IFERROR(IF(D58="x",IF(OR(G58/H58&gt;1.03,G58/H58&lt;0.97),TRUE,FALSE),FALSE),FALSE)</f>
        <v>0</v>
      </c>
      <c r="Z58" s="235">
        <f>IFERROR(J58*100,)</f>
        <v>0</v>
      </c>
      <c r="AB58" s="235">
        <f>RANK(Z58,$Z$32:$Z$79,0)</f>
        <v>1</v>
      </c>
      <c r="AC58" s="235">
        <f>AB58+COUNTIF($AB$32:$AB57,AB58)</f>
        <v>14</v>
      </c>
      <c r="AD58" s="235" t="str">
        <f>B58</f>
        <v>Refrigeration equipment</v>
      </c>
      <c r="AE58" s="2"/>
      <c r="AF58" s="3222"/>
      <c r="AG58" s="3222"/>
      <c r="AH58" s="436"/>
      <c r="AI58" s="363"/>
      <c r="AJ58" s="363"/>
      <c r="AK58" s="562"/>
      <c r="AO58" s="252"/>
    </row>
    <row r="59" spans="1:41" ht="16.2" hidden="1" customHeight="1" x14ac:dyDescent="0.25">
      <c r="A59" s="433" t="s">
        <v>1038</v>
      </c>
      <c r="B59" s="3228"/>
      <c r="C59" s="3228"/>
      <c r="D59" s="4233"/>
      <c r="E59" s="4234"/>
      <c r="F59" s="594" t="str">
        <f>IFERROR(IF(ISBLANK(E58),"","Demand (" &amp; VLOOKUP($E58,PO_Enrgy_1_Table,MATCH($E$9,PO_Enrgy_1_Hdr,0),FALSE) &amp; ")"),"")</f>
        <v/>
      </c>
      <c r="G59" s="596">
        <v>0</v>
      </c>
      <c r="H59" s="596">
        <v>0</v>
      </c>
      <c r="I59" s="597" t="str">
        <f t="shared" si="7"/>
        <v/>
      </c>
      <c r="J59" s="4236"/>
      <c r="K59" s="4235"/>
      <c r="L59" s="4235"/>
      <c r="M59" s="4237"/>
      <c r="Q59" s="416" t="str">
        <f t="shared" si="2"/>
        <v/>
      </c>
      <c r="R59" s="416" t="str">
        <f t="shared" si="3"/>
        <v/>
      </c>
      <c r="V59" s="252">
        <f t="shared" si="4"/>
        <v>0</v>
      </c>
      <c r="W59" s="235">
        <f t="shared" si="5"/>
        <v>0</v>
      </c>
      <c r="X59" s="235">
        <f t="shared" si="6"/>
        <v>0</v>
      </c>
      <c r="AE59" s="2"/>
      <c r="AF59" s="3222"/>
      <c r="AG59" s="3222"/>
      <c r="AH59" s="436"/>
      <c r="AI59" s="363"/>
      <c r="AJ59" s="363"/>
      <c r="AK59" s="563"/>
      <c r="AO59" s="252"/>
    </row>
    <row r="60" spans="1:41" ht="16.2" hidden="1" customHeight="1" x14ac:dyDescent="0.25">
      <c r="A60" s="433" t="s">
        <v>1038</v>
      </c>
      <c r="B60" s="3228" t="s">
        <v>379</v>
      </c>
      <c r="C60" s="3228"/>
      <c r="D60" s="4233">
        <v>0</v>
      </c>
      <c r="E60" s="4234" t="s">
        <v>374</v>
      </c>
      <c r="F60" s="594" t="str">
        <f>IFERROR(IF(ISBLANK(E60),"","Consumption (" &amp; VLOOKUP($E60,PO_Enrgy_1_Table,MATCH($C$9,PO_Enrgy_1_Hdr,0),FALSE) &amp; ")"),"")</f>
        <v/>
      </c>
      <c r="G60" s="595">
        <v>0</v>
      </c>
      <c r="H60" s="595">
        <v>0</v>
      </c>
      <c r="I60" s="587" t="str">
        <f t="shared" si="7"/>
        <v/>
      </c>
      <c r="J60" s="4235" t="str">
        <f>IFERROR(IF($E$206-$H$206&lt;0,"",($G60-$H60)*VLOOKUP($E60,PO_Enrgy_1_Table,MATCH($K$9,PO_Enrgy_1_Hdr,0),FALSE)/($E$206-$H$206)),"")</f>
        <v/>
      </c>
      <c r="K60" s="4235" t="str">
        <f>IFERROR(IF($G$206-$J$206&lt;0,"",($G60*VLOOKUP($E60,PO_Enrgy_8_Table,MATCH($E$105,PO_Enrgy_8_Hdr,0),FALSE)-($H60*VLOOKUP($E60,PO_Enrgy_8_Table,MATCH($H$105,PO_Enrgy_8_Hdr,0),FALSE)))/($G$206-$J$206)),"")</f>
        <v/>
      </c>
      <c r="L60" s="4235"/>
      <c r="M60" s="4219" t="str">
        <f>IFERROR(H60*VLOOKUP($E60,PO_Enrgy_1_Table,MATCH($K$9,PO_Enrgy_1_Hdr,0))/$H$100,"")</f>
        <v/>
      </c>
      <c r="Q60" s="416" t="str">
        <f t="shared" si="2"/>
        <v/>
      </c>
      <c r="R60" s="416" t="str">
        <f t="shared" si="3"/>
        <v/>
      </c>
      <c r="V60" s="252">
        <f t="shared" si="4"/>
        <v>0</v>
      </c>
      <c r="W60" s="235">
        <f t="shared" si="5"/>
        <v>0</v>
      </c>
      <c r="X60" s="235">
        <f t="shared" si="6"/>
        <v>0</v>
      </c>
      <c r="Y60" s="235" t="b">
        <f>IFERROR(IF(D60="x",IF(OR(G60/H60&gt;1.03,G60/H60&lt;0.97),TRUE,FALSE),FALSE),FALSE)</f>
        <v>0</v>
      </c>
      <c r="Z60" s="235">
        <f>IFERROR(J60*100,)</f>
        <v>0</v>
      </c>
      <c r="AB60" s="235">
        <f>RANK(Z60,$Z$32:$Z$79,0)</f>
        <v>1</v>
      </c>
      <c r="AC60" s="235">
        <f>AB60+COUNTIF($AB$32:$AB59,AB60)</f>
        <v>15</v>
      </c>
      <c r="AD60" s="235" t="str">
        <f>B60</f>
        <v>Fans - Kitchen Ventilation</v>
      </c>
      <c r="AE60" s="2"/>
      <c r="AF60" s="3222"/>
      <c r="AG60" s="3222"/>
      <c r="AH60" s="436"/>
      <c r="AI60" s="363"/>
      <c r="AJ60" s="363"/>
      <c r="AK60" s="562"/>
      <c r="AO60" s="252"/>
    </row>
    <row r="61" spans="1:41" ht="16.2" hidden="1" customHeight="1" x14ac:dyDescent="0.25">
      <c r="A61" s="433" t="s">
        <v>1038</v>
      </c>
      <c r="B61" s="3228"/>
      <c r="C61" s="3228"/>
      <c r="D61" s="4233"/>
      <c r="E61" s="4234"/>
      <c r="F61" s="594" t="str">
        <f>IFERROR(IF(ISBLANK(E60),"","Demand (" &amp; VLOOKUP($E60,PO_Enrgy_1_Table,MATCH($E$9,PO_Enrgy_1_Hdr,0),FALSE) &amp; ")"),"")</f>
        <v/>
      </c>
      <c r="G61" s="596">
        <v>0</v>
      </c>
      <c r="H61" s="596">
        <v>0</v>
      </c>
      <c r="I61" s="597" t="str">
        <f t="shared" si="7"/>
        <v/>
      </c>
      <c r="J61" s="4236"/>
      <c r="K61" s="4235"/>
      <c r="L61" s="4235"/>
      <c r="M61" s="4237"/>
      <c r="Q61" s="416" t="str">
        <f t="shared" si="2"/>
        <v/>
      </c>
      <c r="R61" s="416" t="str">
        <f t="shared" si="3"/>
        <v/>
      </c>
      <c r="V61" s="252">
        <f t="shared" si="4"/>
        <v>0</v>
      </c>
      <c r="W61" s="235">
        <f t="shared" si="5"/>
        <v>0</v>
      </c>
      <c r="X61" s="235">
        <f t="shared" si="6"/>
        <v>0</v>
      </c>
      <c r="AE61" s="2"/>
      <c r="AF61" s="3222"/>
      <c r="AG61" s="3222"/>
      <c r="AH61" s="436"/>
      <c r="AI61" s="363"/>
      <c r="AJ61" s="363"/>
      <c r="AK61" s="563"/>
      <c r="AO61" s="252"/>
    </row>
    <row r="62" spans="1:41" ht="16.2" hidden="1" customHeight="1" x14ac:dyDescent="0.25">
      <c r="A62" s="433" t="s">
        <v>1038</v>
      </c>
      <c r="B62" s="3228" t="s">
        <v>378</v>
      </c>
      <c r="C62" s="3228"/>
      <c r="D62" s="4233" t="s">
        <v>375</v>
      </c>
      <c r="E62" s="4234" t="s">
        <v>374</v>
      </c>
      <c r="F62" s="594" t="str">
        <f>IFERROR(IF(ISBLANK(E62),"","Consumption (" &amp; VLOOKUP($E62,PO_Enrgy_1_Table,MATCH($C$9,PO_Enrgy_1_Hdr,0),FALSE) &amp; ")"),"")</f>
        <v/>
      </c>
      <c r="G62" s="595">
        <v>0</v>
      </c>
      <c r="H62" s="595">
        <v>0</v>
      </c>
      <c r="I62" s="587" t="str">
        <f t="shared" si="7"/>
        <v/>
      </c>
      <c r="J62" s="4235" t="str">
        <f>IFERROR(IF($E$206-$H$206&lt;0,"",($G62-$H62)*VLOOKUP($E62,PO_Enrgy_1_Table,MATCH($K$9,PO_Enrgy_1_Hdr,0),FALSE)/($E$206-$H$206)),"")</f>
        <v/>
      </c>
      <c r="K62" s="4235" t="str">
        <f>IFERROR(IF($G$206-$J$206&lt;0,"",($G62*VLOOKUP($E62,PO_Enrgy_8_Table,MATCH($E$105,PO_Enrgy_8_Hdr,0),FALSE)-($H62*VLOOKUP($E62,PO_Enrgy_8_Table,MATCH($H$105,PO_Enrgy_8_Hdr,0),FALSE)))/($G$206-$J$206)),"")</f>
        <v/>
      </c>
      <c r="L62" s="4235"/>
      <c r="M62" s="4219" t="str">
        <f>IFERROR(H62*VLOOKUP($E62,PO_Enrgy_1_Table,MATCH($K$9,PO_Enrgy_1_Hdr,0))/$H$100,"")</f>
        <v/>
      </c>
      <c r="Q62" s="416" t="str">
        <f t="shared" si="2"/>
        <v/>
      </c>
      <c r="R62" s="416" t="str">
        <f t="shared" si="3"/>
        <v/>
      </c>
      <c r="V62" s="252">
        <f t="shared" si="4"/>
        <v>0</v>
      </c>
      <c r="W62" s="235">
        <f t="shared" si="5"/>
        <v>0</v>
      </c>
      <c r="X62" s="235">
        <f t="shared" si="6"/>
        <v>0</v>
      </c>
      <c r="Y62" s="235" t="b">
        <f>IFERROR(IF(D62="x",IF(OR(G62/H62&gt;1.03,G62/H62&lt;0.97),TRUE,FALSE),FALSE),FALSE)</f>
        <v>0</v>
      </c>
      <c r="Z62" s="235">
        <f>IFERROR(J62*100,)</f>
        <v>0</v>
      </c>
      <c r="AB62" s="235">
        <f>RANK(Z62,$Z$32:$Z$79,0)</f>
        <v>1</v>
      </c>
      <c r="AC62" s="235">
        <f>AB62+COUNTIF($AB$32:$AB61,AB62)</f>
        <v>16</v>
      </c>
      <c r="AD62" s="235" t="str">
        <f>B62</f>
        <v>Cooking</v>
      </c>
      <c r="AE62" s="2"/>
      <c r="AF62" s="3222"/>
      <c r="AG62" s="3222"/>
      <c r="AH62" s="436"/>
      <c r="AI62" s="363"/>
      <c r="AJ62" s="363"/>
      <c r="AK62" s="562"/>
      <c r="AO62" s="252"/>
    </row>
    <row r="63" spans="1:41" ht="16.2" hidden="1" customHeight="1" x14ac:dyDescent="0.25">
      <c r="A63" s="433" t="s">
        <v>1038</v>
      </c>
      <c r="B63" s="3228"/>
      <c r="C63" s="3228"/>
      <c r="D63" s="4233"/>
      <c r="E63" s="4234"/>
      <c r="F63" s="594" t="str">
        <f>IFERROR(IF(ISBLANK(E62),"","Demand (" &amp; VLOOKUP($E62,PO_Enrgy_1_Table,MATCH($E$9,PO_Enrgy_1_Hdr,0),FALSE) &amp; ")"),"")</f>
        <v/>
      </c>
      <c r="G63" s="596">
        <v>0</v>
      </c>
      <c r="H63" s="596">
        <v>0</v>
      </c>
      <c r="I63" s="597" t="str">
        <f t="shared" si="7"/>
        <v/>
      </c>
      <c r="J63" s="4236"/>
      <c r="K63" s="4235"/>
      <c r="L63" s="4235"/>
      <c r="M63" s="4237"/>
      <c r="Q63" s="416" t="str">
        <f t="shared" si="2"/>
        <v/>
      </c>
      <c r="R63" s="416" t="str">
        <f t="shared" si="3"/>
        <v/>
      </c>
      <c r="V63" s="252">
        <f t="shared" si="4"/>
        <v>0</v>
      </c>
      <c r="W63" s="235">
        <f t="shared" si="5"/>
        <v>0</v>
      </c>
      <c r="X63" s="235">
        <f t="shared" si="6"/>
        <v>0</v>
      </c>
      <c r="AE63" s="2"/>
      <c r="AF63" s="3222"/>
      <c r="AG63" s="3222"/>
      <c r="AH63" s="436"/>
      <c r="AI63" s="363"/>
      <c r="AJ63" s="363"/>
      <c r="AK63" s="563"/>
      <c r="AO63" s="252"/>
    </row>
    <row r="64" spans="1:41" ht="16.2" hidden="1" customHeight="1" x14ac:dyDescent="0.25">
      <c r="A64" s="433" t="s">
        <v>1038</v>
      </c>
      <c r="B64" s="3228" t="s">
        <v>377</v>
      </c>
      <c r="C64" s="3228"/>
      <c r="D64" s="4233" t="s">
        <v>375</v>
      </c>
      <c r="E64" s="4234" t="s">
        <v>374</v>
      </c>
      <c r="F64" s="594" t="str">
        <f>IFERROR(IF(ISBLANK(E64),"","Consumption (" &amp; VLOOKUP($E64,PO_Enrgy_1_Table,MATCH($C$9,PO_Enrgy_1_Hdr,0),FALSE) &amp; ")"),"")</f>
        <v/>
      </c>
      <c r="G64" s="595">
        <v>0</v>
      </c>
      <c r="H64" s="595">
        <v>0</v>
      </c>
      <c r="I64" s="587" t="str">
        <f t="shared" si="7"/>
        <v/>
      </c>
      <c r="J64" s="4235" t="str">
        <f>IFERROR(IF($E$206-$H$206&lt;0,"",($G64-$H64)*VLOOKUP($E64,PO_Enrgy_1_Table,MATCH($K$9,PO_Enrgy_1_Hdr,0),FALSE)/($E$206-$H$206)),"")</f>
        <v/>
      </c>
      <c r="K64" s="4235" t="str">
        <f>IFERROR(IF($G$206-$J$206&lt;0,"",($G64*VLOOKUP($E64,PO_Enrgy_8_Table,MATCH($E$105,PO_Enrgy_8_Hdr,0),FALSE)-($H64*VLOOKUP($E64,PO_Enrgy_8_Table,MATCH($H$105,PO_Enrgy_8_Hdr,0),FALSE)))/($G$206-$J$206)),"")</f>
        <v/>
      </c>
      <c r="L64" s="4235"/>
      <c r="M64" s="4219" t="str">
        <f>IFERROR(H64*VLOOKUP($E64,PO_Enrgy_1_Table,MATCH($K$9,PO_Enrgy_1_Hdr,0))/$H$100,"")</f>
        <v/>
      </c>
      <c r="Q64" s="416" t="str">
        <f t="shared" si="2"/>
        <v/>
      </c>
      <c r="R64" s="416" t="str">
        <f t="shared" si="3"/>
        <v/>
      </c>
      <c r="V64" s="252">
        <f t="shared" si="4"/>
        <v>0</v>
      </c>
      <c r="W64" s="235">
        <f t="shared" si="5"/>
        <v>0</v>
      </c>
      <c r="X64" s="235">
        <f t="shared" si="6"/>
        <v>0</v>
      </c>
      <c r="Y64" s="235" t="b">
        <f>IFERROR(IF(D64="x",IF(OR(G64/H64&gt;1.03,G64/H64&lt;0.97),TRUE,FALSE),FALSE),FALSE)</f>
        <v>0</v>
      </c>
      <c r="Z64" s="235">
        <f>IFERROR(J64*100,)</f>
        <v>0</v>
      </c>
      <c r="AB64" s="235">
        <f>RANK(Z64,$Z$32:$Z$79,0)</f>
        <v>1</v>
      </c>
      <c r="AC64" s="235">
        <f>AB64+COUNTIF($AB$32:$AB63,AB64)</f>
        <v>17</v>
      </c>
      <c r="AD64" s="235" t="str">
        <f>B64</f>
        <v>Industrial Process</v>
      </c>
      <c r="AE64" s="2"/>
      <c r="AF64" s="3222"/>
      <c r="AG64" s="3222"/>
      <c r="AH64" s="436"/>
      <c r="AI64" s="363"/>
      <c r="AJ64" s="363"/>
      <c r="AK64" s="562"/>
      <c r="AO64" s="252"/>
    </row>
    <row r="65" spans="1:41" ht="16.2" hidden="1" customHeight="1" x14ac:dyDescent="0.25">
      <c r="A65" s="433" t="s">
        <v>1038</v>
      </c>
      <c r="B65" s="3228"/>
      <c r="C65" s="3228"/>
      <c r="D65" s="4233"/>
      <c r="E65" s="4234"/>
      <c r="F65" s="594" t="str">
        <f>IFERROR(IF(ISBLANK(E64),"","Demand (" &amp; VLOOKUP($E64,PO_Enrgy_1_Table,MATCH($E$9,PO_Enrgy_1_Hdr,0),FALSE) &amp; ")"),"")</f>
        <v/>
      </c>
      <c r="G65" s="596">
        <v>0</v>
      </c>
      <c r="H65" s="596">
        <v>0</v>
      </c>
      <c r="I65" s="597" t="str">
        <f t="shared" si="7"/>
        <v/>
      </c>
      <c r="J65" s="4236"/>
      <c r="K65" s="4235"/>
      <c r="L65" s="4235"/>
      <c r="M65" s="4237"/>
      <c r="Q65" s="416" t="str">
        <f t="shared" si="2"/>
        <v/>
      </c>
      <c r="R65" s="416" t="str">
        <f t="shared" si="3"/>
        <v/>
      </c>
      <c r="V65" s="252">
        <f t="shared" si="4"/>
        <v>0</v>
      </c>
      <c r="W65" s="235">
        <f t="shared" si="5"/>
        <v>0</v>
      </c>
      <c r="X65" s="235">
        <f t="shared" si="6"/>
        <v>0</v>
      </c>
      <c r="AE65" s="2"/>
      <c r="AF65" s="3222"/>
      <c r="AG65" s="3222"/>
      <c r="AH65" s="436"/>
      <c r="AI65" s="363"/>
      <c r="AJ65" s="363"/>
      <c r="AK65" s="563"/>
      <c r="AO65" s="252"/>
    </row>
    <row r="66" spans="1:41" ht="16.2" hidden="1" customHeight="1" x14ac:dyDescent="0.25">
      <c r="A66" s="433" t="s">
        <v>1038</v>
      </c>
      <c r="B66" s="3228" t="s">
        <v>376</v>
      </c>
      <c r="C66" s="3228"/>
      <c r="D66" s="4233">
        <v>0</v>
      </c>
      <c r="E66" s="4234" t="s">
        <v>374</v>
      </c>
      <c r="F66" s="594" t="str">
        <f>IFERROR(IF(ISBLANK(E66),"","Consumption (" &amp; VLOOKUP($E66,PO_Enrgy_1_Table,MATCH($C$9,PO_Enrgy_1_Hdr,0),FALSE) &amp; ")"),"")</f>
        <v/>
      </c>
      <c r="G66" s="595">
        <v>0</v>
      </c>
      <c r="H66" s="595">
        <v>0</v>
      </c>
      <c r="I66" s="587" t="str">
        <f t="shared" si="7"/>
        <v/>
      </c>
      <c r="J66" s="4235" t="str">
        <f>IFERROR(IF($E$206-$H$206&lt;0,"",($G66-$H66)*VLOOKUP($E66,PO_Enrgy_1_Table,MATCH($K$9,PO_Enrgy_1_Hdr,0),FALSE)/($E$206-$H$206)),"")</f>
        <v/>
      </c>
      <c r="K66" s="4235" t="str">
        <f>IFERROR(IF($G$206-$J$206&lt;0,"",($G66*VLOOKUP($E66,PO_Enrgy_8_Table,MATCH($E$105,PO_Enrgy_8_Hdr,0),FALSE)-($H66*VLOOKUP($E66,PO_Enrgy_8_Table,MATCH($H$105,PO_Enrgy_8_Hdr,0),FALSE)))/($G$206-$J$206)),"")</f>
        <v/>
      </c>
      <c r="L66" s="4235"/>
      <c r="M66" s="4219" t="str">
        <f>IFERROR(H66*VLOOKUP($E66,PO_Enrgy_1_Table,MATCH($K$9,PO_Enrgy_1_Hdr,0))/$H$100,"")</f>
        <v/>
      </c>
      <c r="Q66" s="416" t="str">
        <f t="shared" si="2"/>
        <v/>
      </c>
      <c r="R66" s="416" t="str">
        <f t="shared" si="3"/>
        <v/>
      </c>
      <c r="V66" s="252">
        <f t="shared" si="4"/>
        <v>0</v>
      </c>
      <c r="W66" s="235">
        <f t="shared" si="5"/>
        <v>0</v>
      </c>
      <c r="X66" s="235">
        <f t="shared" si="6"/>
        <v>0</v>
      </c>
      <c r="Y66" s="235" t="b">
        <f>IFERROR(IF(D66="x",IF(OR(G66/H66&gt;1.03,G66/H66&lt;0.97),TRUE,FALSE),FALSE),FALSE)</f>
        <v>0</v>
      </c>
      <c r="Z66" s="235">
        <f>IFERROR(J66*100,)</f>
        <v>0</v>
      </c>
      <c r="AB66" s="235">
        <f>RANK(Z66,$Z$32:$Z$79,0)</f>
        <v>1</v>
      </c>
      <c r="AC66" s="235">
        <f>AB66+COUNTIF($AB$32:$AB65,AB66)</f>
        <v>18</v>
      </c>
      <c r="AD66" s="235" t="str">
        <f>B66</f>
        <v>Elevators and escalators</v>
      </c>
      <c r="AE66" s="2"/>
      <c r="AF66" s="3222"/>
      <c r="AG66" s="3222"/>
      <c r="AH66" s="436"/>
      <c r="AI66" s="363"/>
      <c r="AJ66" s="363"/>
      <c r="AK66" s="562"/>
      <c r="AO66" s="252"/>
    </row>
    <row r="67" spans="1:41" ht="16.2" hidden="1" customHeight="1" x14ac:dyDescent="0.25">
      <c r="A67" s="433" t="s">
        <v>1038</v>
      </c>
      <c r="B67" s="3228"/>
      <c r="C67" s="3228"/>
      <c r="D67" s="4233"/>
      <c r="E67" s="4234"/>
      <c r="F67" s="594" t="str">
        <f>IFERROR(IF(ISBLANK(E66),"","Demand (" &amp; VLOOKUP($E66,PO_Enrgy_1_Table,MATCH($E$9,PO_Enrgy_1_Hdr,0),FALSE) &amp; ")"),"")</f>
        <v/>
      </c>
      <c r="G67" s="596">
        <v>0</v>
      </c>
      <c r="H67" s="596">
        <v>0</v>
      </c>
      <c r="I67" s="597" t="str">
        <f t="shared" si="7"/>
        <v/>
      </c>
      <c r="J67" s="4236"/>
      <c r="K67" s="4235"/>
      <c r="L67" s="4235"/>
      <c r="M67" s="4237"/>
      <c r="Q67" s="416" t="str">
        <f t="shared" si="2"/>
        <v/>
      </c>
      <c r="R67" s="416" t="str">
        <f t="shared" si="3"/>
        <v/>
      </c>
      <c r="V67" s="252">
        <f t="shared" si="4"/>
        <v>0</v>
      </c>
      <c r="W67" s="235">
        <f t="shared" si="5"/>
        <v>0</v>
      </c>
      <c r="X67" s="235">
        <f t="shared" si="6"/>
        <v>0</v>
      </c>
      <c r="AE67" s="2"/>
      <c r="AF67" s="3222"/>
      <c r="AG67" s="3222"/>
      <c r="AH67" s="436"/>
      <c r="AI67" s="363"/>
      <c r="AJ67" s="363"/>
      <c r="AK67" s="563"/>
      <c r="AO67" s="252"/>
    </row>
    <row r="68" spans="1:41" ht="16.2" hidden="1" customHeight="1" x14ac:dyDescent="0.25">
      <c r="A68" s="433" t="s">
        <v>1038</v>
      </c>
      <c r="B68" s="4234" t="s">
        <v>879</v>
      </c>
      <c r="C68" s="4234"/>
      <c r="D68" s="4233">
        <v>0</v>
      </c>
      <c r="E68" s="4234" t="s">
        <v>374</v>
      </c>
      <c r="F68" s="594" t="str">
        <f>IFERROR(IF(ISBLANK(E68),"","Consumption (" &amp; VLOOKUP($E68,PO_Enrgy_1_Table,MATCH($C$9,PO_Enrgy_1_Hdr,0),FALSE) &amp; ")"),"")</f>
        <v/>
      </c>
      <c r="G68" s="595">
        <v>0</v>
      </c>
      <c r="H68" s="595">
        <v>0</v>
      </c>
      <c r="I68" s="587" t="str">
        <f t="shared" si="7"/>
        <v/>
      </c>
      <c r="J68" s="4235" t="str">
        <f>IFERROR(IF($E$206-$H$206&lt;0,"",($G68-$H68)*VLOOKUP($E68,PO_Enrgy_1_Table,MATCH($K$9,PO_Enrgy_1_Hdr,0),FALSE)/($E$206-$H$206)),"")</f>
        <v/>
      </c>
      <c r="K68" s="4235" t="str">
        <f>IFERROR(IF($G$206-$J$206&lt;0,"",($G68*VLOOKUP($E68,PO_Enrgy_8_Table,MATCH($E$105,PO_Enrgy_8_Hdr,0),FALSE)-($H68*VLOOKUP($E68,PO_Enrgy_8_Table,MATCH($H$105,PO_Enrgy_8_Hdr,0),FALSE)))/($G$206-$J$206)),"")</f>
        <v/>
      </c>
      <c r="L68" s="4235"/>
      <c r="M68" s="4219" t="str">
        <f>IFERROR(H68*VLOOKUP($E68,PO_Enrgy_1_Table,MATCH($K$9,PO_Enrgy_1_Hdr,0))/$H$100,"")</f>
        <v/>
      </c>
      <c r="Q68" s="416" t="str">
        <f t="shared" si="2"/>
        <v/>
      </c>
      <c r="R68" s="416" t="str">
        <f t="shared" si="3"/>
        <v/>
      </c>
      <c r="V68" s="252">
        <f t="shared" si="4"/>
        <v>0</v>
      </c>
      <c r="W68" s="235">
        <f t="shared" si="5"/>
        <v>0</v>
      </c>
      <c r="X68" s="235">
        <f t="shared" si="6"/>
        <v>0</v>
      </c>
      <c r="Y68" s="235" t="b">
        <f>IFERROR(IF(D68="x",IF(OR(G68/H68&gt;1.03,G68/H68&lt;0.97),TRUE,FALSE),FALSE),FALSE)</f>
        <v>0</v>
      </c>
      <c r="Z68" s="235">
        <f>IFERROR(J68*100,)</f>
        <v>0</v>
      </c>
      <c r="AB68" s="235">
        <f>RANK(Z68,$Z$32:$Z$79,0)</f>
        <v>1</v>
      </c>
      <c r="AC68" s="235">
        <f>AB68+COUNTIF($AB$32:$AB67,AB68)</f>
        <v>19</v>
      </c>
      <c r="AD68" s="235" t="str">
        <f>B68</f>
        <v>Heat Pump Supplementary</v>
      </c>
      <c r="AE68" s="2"/>
      <c r="AF68" s="3222"/>
      <c r="AG68" s="3222"/>
      <c r="AH68" s="436"/>
      <c r="AI68" s="363"/>
      <c r="AJ68" s="363"/>
      <c r="AK68" s="562"/>
      <c r="AO68" s="252"/>
    </row>
    <row r="69" spans="1:41" ht="16.2" hidden="1" customHeight="1" x14ac:dyDescent="0.25">
      <c r="A69" s="433" t="s">
        <v>1038</v>
      </c>
      <c r="B69" s="4234"/>
      <c r="C69" s="4234"/>
      <c r="D69" s="4233"/>
      <c r="E69" s="4234"/>
      <c r="F69" s="594" t="str">
        <f>IFERROR(IF(ISBLANK(E68),"","Demand (" &amp; VLOOKUP($E68,PO_Enrgy_1_Table,MATCH($E$9,PO_Enrgy_1_Hdr,0),FALSE) &amp; ")"),"")</f>
        <v/>
      </c>
      <c r="G69" s="596">
        <v>0</v>
      </c>
      <c r="H69" s="596">
        <v>0</v>
      </c>
      <c r="I69" s="597" t="str">
        <f t="shared" si="7"/>
        <v/>
      </c>
      <c r="J69" s="4236"/>
      <c r="K69" s="4235"/>
      <c r="L69" s="4235"/>
      <c r="M69" s="4237"/>
      <c r="Q69" s="416" t="str">
        <f t="shared" si="2"/>
        <v/>
      </c>
      <c r="R69" s="416" t="str">
        <f t="shared" si="3"/>
        <v/>
      </c>
      <c r="V69" s="252">
        <f t="shared" si="4"/>
        <v>0</v>
      </c>
      <c r="W69" s="235">
        <f t="shared" si="5"/>
        <v>0</v>
      </c>
      <c r="X69" s="235">
        <f t="shared" si="6"/>
        <v>0</v>
      </c>
      <c r="AE69" s="2"/>
      <c r="AF69" s="3222"/>
      <c r="AG69" s="3222"/>
      <c r="AH69" s="436"/>
      <c r="AI69" s="363"/>
      <c r="AJ69" s="363"/>
      <c r="AK69" s="563"/>
      <c r="AO69" s="252"/>
    </row>
    <row r="70" spans="1:41" ht="16.2" hidden="1" customHeight="1" x14ac:dyDescent="0.25">
      <c r="A70" s="433" t="s">
        <v>1038</v>
      </c>
      <c r="B70" s="4234" t="s">
        <v>1975</v>
      </c>
      <c r="C70" s="4234"/>
      <c r="D70" s="4233">
        <v>0</v>
      </c>
      <c r="E70" s="4234" t="s">
        <v>374</v>
      </c>
      <c r="F70" s="594" t="str">
        <f>IFERROR(IF(ISBLANK(E70),"","Consumption (" &amp; VLOOKUP($E70,PO_Enrgy_1_Table,MATCH($C$9,PO_Enrgy_1_Hdr,0),FALSE) &amp; ")"),"")</f>
        <v/>
      </c>
      <c r="G70" s="595">
        <v>0</v>
      </c>
      <c r="H70" s="595">
        <v>0</v>
      </c>
      <c r="I70" s="587" t="str">
        <f t="shared" si="7"/>
        <v/>
      </c>
      <c r="J70" s="4235" t="str">
        <f>IFERROR(IF($E$206-$H$206&lt;0,"",($G70-$H70)*VLOOKUP($E70,PO_Enrgy_1_Table,MATCH($K$9,PO_Enrgy_1_Hdr,0),FALSE)/($E$206-$H$206)),"")</f>
        <v/>
      </c>
      <c r="K70" s="4235" t="str">
        <f>IFERROR(IF($G$206-$J$206&lt;0,"",($G70*VLOOKUP($E70,PO_Enrgy_8_Table,MATCH($E$105,PO_Enrgy_8_Hdr,0),FALSE)-($H70*VLOOKUP($E70,PO_Enrgy_8_Table,MATCH($H$105,PO_Enrgy_8_Hdr,0),FALSE)))/($G$206-$J$206)),"")</f>
        <v/>
      </c>
      <c r="L70" s="4235"/>
      <c r="M70" s="4219" t="str">
        <f>IFERROR(H70*VLOOKUP($E70,PO_Enrgy_1_Table,MATCH($K$9,PO_Enrgy_1_Hdr,0))/$H$100,"")</f>
        <v/>
      </c>
      <c r="Q70" s="416" t="str">
        <f t="shared" si="2"/>
        <v/>
      </c>
      <c r="R70" s="416" t="str">
        <f t="shared" si="3"/>
        <v/>
      </c>
      <c r="V70" s="252">
        <f t="shared" si="4"/>
        <v>0</v>
      </c>
      <c r="W70" s="235">
        <f t="shared" si="5"/>
        <v>0</v>
      </c>
      <c r="X70" s="235">
        <f t="shared" si="6"/>
        <v>0</v>
      </c>
      <c r="Y70" s="235" t="b">
        <f>IFERROR(IF(D70="x",IF(OR(G70/H70&gt;1.03,G70/H70&lt;0.97),TRUE,FALSE),FALSE),FALSE)</f>
        <v>0</v>
      </c>
      <c r="Z70" s="235">
        <f>IFERROR(J70*100,)</f>
        <v>0</v>
      </c>
      <c r="AB70" s="235">
        <f>RANK(Z70,$Z$32:$Z$79,0)</f>
        <v>1</v>
      </c>
      <c r="AC70" s="235">
        <f>AB70+COUNTIF($AB$32:$AB69,AB70)</f>
        <v>20</v>
      </c>
      <c r="AD70" s="235" t="str">
        <f>B70</f>
        <v>Space Heating</v>
      </c>
      <c r="AE70" s="2"/>
      <c r="AF70" s="3222"/>
      <c r="AG70" s="3222"/>
      <c r="AH70" s="436"/>
      <c r="AI70" s="363"/>
      <c r="AJ70" s="363"/>
      <c r="AK70" s="562"/>
      <c r="AO70" s="252"/>
    </row>
    <row r="71" spans="1:41" ht="15.75" hidden="1" customHeight="1" x14ac:dyDescent="0.25">
      <c r="A71" s="433" t="s">
        <v>1038</v>
      </c>
      <c r="B71" s="4234"/>
      <c r="C71" s="4234"/>
      <c r="D71" s="4233"/>
      <c r="E71" s="4234"/>
      <c r="F71" s="594" t="str">
        <f>IFERROR(IF(ISBLANK(E70),"","Demand (" &amp; VLOOKUP($E70,PO_Enrgy_1_Table,MATCH($E$9,PO_Enrgy_1_Hdr,0),FALSE) &amp; ")"),"")</f>
        <v/>
      </c>
      <c r="G71" s="596">
        <v>0</v>
      </c>
      <c r="H71" s="596">
        <v>0</v>
      </c>
      <c r="I71" s="597" t="str">
        <f t="shared" si="7"/>
        <v/>
      </c>
      <c r="J71" s="4236"/>
      <c r="K71" s="4235"/>
      <c r="L71" s="4235"/>
      <c r="M71" s="4237"/>
      <c r="Q71" s="416" t="str">
        <f t="shared" si="2"/>
        <v/>
      </c>
      <c r="R71" s="416" t="str">
        <f t="shared" si="3"/>
        <v/>
      </c>
      <c r="V71" s="252">
        <f t="shared" si="4"/>
        <v>0</v>
      </c>
      <c r="W71" s="235">
        <f t="shared" si="5"/>
        <v>0</v>
      </c>
      <c r="X71" s="235">
        <f t="shared" si="6"/>
        <v>0</v>
      </c>
      <c r="AE71" s="2"/>
      <c r="AF71" s="3222"/>
      <c r="AG71" s="3222"/>
      <c r="AH71" s="436"/>
      <c r="AI71" s="363"/>
      <c r="AJ71" s="363"/>
      <c r="AK71" s="563"/>
      <c r="AO71" s="252"/>
    </row>
    <row r="72" spans="1:41" ht="16.2" hidden="1" customHeight="1" x14ac:dyDescent="0.25">
      <c r="A72" s="433" t="s">
        <v>1038</v>
      </c>
      <c r="B72" s="4234" t="s">
        <v>2089</v>
      </c>
      <c r="C72" s="4234"/>
      <c r="D72" s="4233">
        <v>0</v>
      </c>
      <c r="E72" s="4234" t="s">
        <v>388</v>
      </c>
      <c r="F72" s="594" t="str">
        <f>IFERROR(IF(ISBLANK(E72),"","Consumption (" &amp; VLOOKUP($E72,PO_Enrgy_1_Table,MATCH($C$9,PO_Enrgy_1_Hdr,0),FALSE) &amp; ")"),"")</f>
        <v/>
      </c>
      <c r="G72" s="595">
        <v>0</v>
      </c>
      <c r="H72" s="595">
        <v>0</v>
      </c>
      <c r="I72" s="587" t="str">
        <f t="shared" si="7"/>
        <v/>
      </c>
      <c r="J72" s="4235" t="str">
        <f>IFERROR(IF($E$206-$H$206&lt;0,"",($G72-$H72)*VLOOKUP($E72,PO_Enrgy_1_Table,MATCH($K$9,PO_Enrgy_1_Hdr,0),FALSE)/($E$206-$H$206)),"")</f>
        <v/>
      </c>
      <c r="K72" s="4235" t="str">
        <f>IFERROR(IF($G$206-$J$206&lt;0,"",($G72*VLOOKUP($E72,PO_Enrgy_8_Table,MATCH($E$105,PO_Enrgy_8_Hdr,0),FALSE)-($H72*VLOOKUP($E72,PO_Enrgy_8_Table,MATCH($H$105,PO_Enrgy_8_Hdr,0),FALSE)))/($G$206-$J$206)),"")</f>
        <v/>
      </c>
      <c r="L72" s="4235"/>
      <c r="M72" s="4219" t="str">
        <f>IFERROR(H72*VLOOKUP($E72,PO_Enrgy_1_Table,MATCH($K$9,PO_Enrgy_1_Hdr,0))/$H$100,"")</f>
        <v/>
      </c>
      <c r="Q72" s="416" t="str">
        <f t="shared" si="2"/>
        <v/>
      </c>
      <c r="R72" s="416" t="str">
        <f t="shared" si="3"/>
        <v/>
      </c>
      <c r="V72" s="252">
        <f t="shared" si="4"/>
        <v>0</v>
      </c>
      <c r="W72" s="235">
        <f t="shared" si="5"/>
        <v>0</v>
      </c>
      <c r="X72" s="235">
        <f t="shared" si="6"/>
        <v>0</v>
      </c>
      <c r="Y72" s="235" t="b">
        <f>IFERROR(IF(D72="x",IF(OR(G72/H72&gt;1.03,G72/H72&lt;0.97),TRUE,FALSE),FALSE),FALSE)</f>
        <v>0</v>
      </c>
      <c r="Z72" s="235">
        <f>IFERROR(J72*100,)</f>
        <v>0</v>
      </c>
      <c r="AB72" s="235">
        <f>RANK(Z72,$Z$32:$Z$79,0)</f>
        <v>1</v>
      </c>
      <c r="AC72" s="235">
        <f>AB72+COUNTIF($AB$32:$AB71,AB72)</f>
        <v>21</v>
      </c>
      <c r="AD72" s="235" t="str">
        <f>B72</f>
        <v>Misc Equipment (Gas)</v>
      </c>
      <c r="AE72" s="2"/>
      <c r="AF72" s="3222"/>
      <c r="AG72" s="3222"/>
      <c r="AH72" s="436"/>
      <c r="AI72" s="363"/>
      <c r="AJ72" s="363"/>
      <c r="AK72" s="562"/>
      <c r="AO72" s="252"/>
    </row>
    <row r="73" spans="1:41" ht="16.5" hidden="1" customHeight="1" x14ac:dyDescent="0.25">
      <c r="A73" s="433" t="s">
        <v>1038</v>
      </c>
      <c r="B73" s="4234"/>
      <c r="C73" s="4234"/>
      <c r="D73" s="4233"/>
      <c r="E73" s="4234"/>
      <c r="F73" s="594" t="str">
        <f>IFERROR(IF(ISBLANK(E72),"","Demand (" &amp; VLOOKUP($E72,PO_Enrgy_1_Table,MATCH($E$9,PO_Enrgy_1_Hdr,0),FALSE) &amp; ")"),"")</f>
        <v/>
      </c>
      <c r="G73" s="596">
        <v>0</v>
      </c>
      <c r="H73" s="596">
        <v>0</v>
      </c>
      <c r="I73" s="597" t="str">
        <f t="shared" si="7"/>
        <v/>
      </c>
      <c r="J73" s="4236"/>
      <c r="K73" s="4235"/>
      <c r="L73" s="4235"/>
      <c r="M73" s="4237"/>
      <c r="Q73" s="416" t="str">
        <f t="shared" si="2"/>
        <v/>
      </c>
      <c r="R73" s="416" t="str">
        <f t="shared" si="3"/>
        <v/>
      </c>
      <c r="V73" s="252">
        <f t="shared" si="4"/>
        <v>0</v>
      </c>
      <c r="W73" s="235">
        <f t="shared" si="5"/>
        <v>0</v>
      </c>
      <c r="X73" s="235">
        <f t="shared" si="6"/>
        <v>0</v>
      </c>
      <c r="AE73" s="2"/>
      <c r="AF73" s="3222"/>
      <c r="AG73" s="3222"/>
      <c r="AH73" s="436"/>
      <c r="AI73" s="363"/>
      <c r="AJ73" s="363"/>
      <c r="AK73" s="563"/>
      <c r="AO73" s="252"/>
    </row>
    <row r="74" spans="1:41" ht="16.2" hidden="1" customHeight="1" x14ac:dyDescent="0.25">
      <c r="A74" s="433" t="s">
        <v>1038</v>
      </c>
      <c r="B74" s="4234" t="s">
        <v>2235</v>
      </c>
      <c r="C74" s="4234"/>
      <c r="D74" s="4233">
        <v>0</v>
      </c>
      <c r="E74" s="4234" t="s">
        <v>388</v>
      </c>
      <c r="F74" s="594" t="str">
        <f>IFERROR(IF(ISBLANK(E74),"","Consumption (" &amp; VLOOKUP($E74,PO_Enrgy_1_Table,MATCH($C$9,PO_Enrgy_1_Hdr,0),FALSE) &amp; ")"),"")</f>
        <v/>
      </c>
      <c r="G74" s="595">
        <v>0</v>
      </c>
      <c r="H74" s="595">
        <v>0</v>
      </c>
      <c r="I74" s="587" t="str">
        <f t="shared" si="7"/>
        <v/>
      </c>
      <c r="J74" s="4235" t="str">
        <f>IFERROR(IF($E$206-$H$206&lt;0,"",($G74-$H74)*VLOOKUP($E74,PO_Enrgy_1_Table,MATCH($K$9,PO_Enrgy_1_Hdr,0),FALSE)/($E$206-$H$206)),"")</f>
        <v/>
      </c>
      <c r="K74" s="4235" t="str">
        <f>IFERROR(IF($G$206-$J$206&lt;0,"",($G74*VLOOKUP($E74,PO_Enrgy_8_Table,MATCH($E$105,PO_Enrgy_8_Hdr,0),FALSE)-($H74*VLOOKUP($E74,PO_Enrgy_8_Table,MATCH($H$105,PO_Enrgy_8_Hdr,0),FALSE)))/($G$206-$J$206)),"")</f>
        <v/>
      </c>
      <c r="L74" s="4235"/>
      <c r="M74" s="4219" t="str">
        <f>IFERROR(H74*VLOOKUP($E74,PO_Enrgy_1_Table,MATCH($K$9,PO_Enrgy_1_Hdr,0))/$H$100,"")</f>
        <v/>
      </c>
      <c r="Q74" s="416" t="str">
        <f t="shared" si="2"/>
        <v/>
      </c>
      <c r="R74" s="416" t="str">
        <f t="shared" si="3"/>
        <v/>
      </c>
      <c r="V74" s="252">
        <f t="shared" si="4"/>
        <v>0</v>
      </c>
      <c r="W74" s="235">
        <f t="shared" si="5"/>
        <v>0</v>
      </c>
      <c r="X74" s="235">
        <f t="shared" si="6"/>
        <v>0</v>
      </c>
      <c r="Y74" s="235" t="b">
        <f>IFERROR(IF(D74="x",IF(OR(G74/H74&gt;1.03,G74/H74&lt;0.97),TRUE,FALSE),FALSE),FALSE)</f>
        <v>0</v>
      </c>
      <c r="Z74" s="235">
        <f>IFERROR(J74*100,)</f>
        <v>0</v>
      </c>
      <c r="AB74" s="235">
        <f>RANK(Z74,$Z$32:$Z$79,0)</f>
        <v>1</v>
      </c>
      <c r="AC74" s="235">
        <f>AB74+COUNTIF($AB$32:$AB73,AB74)</f>
        <v>22</v>
      </c>
      <c r="AD74" s="235" t="str">
        <f>B74</f>
        <v>Auxiliary (Gas)</v>
      </c>
      <c r="AE74" s="2"/>
      <c r="AF74" s="3222"/>
      <c r="AG74" s="3222"/>
      <c r="AH74" s="436"/>
      <c r="AI74" s="363"/>
      <c r="AJ74" s="363"/>
      <c r="AK74" s="562"/>
      <c r="AO74" s="252"/>
    </row>
    <row r="75" spans="1:41" ht="15.75" hidden="1" customHeight="1" x14ac:dyDescent="0.25">
      <c r="A75" s="433" t="s">
        <v>1038</v>
      </c>
      <c r="B75" s="4234"/>
      <c r="C75" s="4234"/>
      <c r="D75" s="4233"/>
      <c r="E75" s="4234"/>
      <c r="F75" s="594" t="str">
        <f>IFERROR(IF(ISBLANK(E74),"","Demand (" &amp; VLOOKUP($E74,PO_Enrgy_1_Table,MATCH($E$9,PO_Enrgy_1_Hdr,0),FALSE) &amp; ")"),"")</f>
        <v/>
      </c>
      <c r="G75" s="596">
        <v>0</v>
      </c>
      <c r="H75" s="596">
        <v>0</v>
      </c>
      <c r="I75" s="597" t="str">
        <f t="shared" si="7"/>
        <v/>
      </c>
      <c r="J75" s="4236"/>
      <c r="K75" s="4235"/>
      <c r="L75" s="4235"/>
      <c r="M75" s="4237"/>
      <c r="Q75" s="416" t="str">
        <f t="shared" si="2"/>
        <v/>
      </c>
      <c r="R75" s="416" t="str">
        <f t="shared" si="3"/>
        <v/>
      </c>
      <c r="V75" s="252">
        <f t="shared" si="4"/>
        <v>0</v>
      </c>
      <c r="W75" s="235">
        <f t="shared" si="5"/>
        <v>0</v>
      </c>
      <c r="X75" s="235">
        <f t="shared" si="6"/>
        <v>0</v>
      </c>
      <c r="AE75" s="2"/>
      <c r="AF75" s="3222"/>
      <c r="AG75" s="3222"/>
      <c r="AH75" s="436"/>
      <c r="AI75" s="363"/>
      <c r="AJ75" s="363"/>
      <c r="AK75" s="563"/>
      <c r="AO75" s="252"/>
    </row>
    <row r="76" spans="1:41" ht="16.2" hidden="1" customHeight="1" x14ac:dyDescent="0.25">
      <c r="A76" s="433" t="s">
        <v>1038</v>
      </c>
      <c r="B76" s="4234" t="s">
        <v>2092</v>
      </c>
      <c r="C76" s="4234"/>
      <c r="D76" s="4233">
        <v>0</v>
      </c>
      <c r="E76" s="4234" t="s">
        <v>388</v>
      </c>
      <c r="F76" s="594" t="str">
        <f>IFERROR(IF(ISBLANK(E76),"","Consumption (" &amp; VLOOKUP($E76,PO_Enrgy_1_Table,MATCH($C$9,PO_Enrgy_1_Hdr,0),FALSE) &amp; ")"),"")</f>
        <v/>
      </c>
      <c r="G76" s="595">
        <v>0</v>
      </c>
      <c r="H76" s="595">
        <v>0</v>
      </c>
      <c r="I76" s="587" t="str">
        <f t="shared" si="7"/>
        <v/>
      </c>
      <c r="J76" s="4235" t="str">
        <f>IFERROR(IF($E$206-$H$206&lt;0,"",($G76-$H76)*VLOOKUP($E76,PO_Enrgy_1_Table,MATCH($K$9,PO_Enrgy_1_Hdr,0),FALSE)/($E$206-$H$206)),"")</f>
        <v/>
      </c>
      <c r="K76" s="4235" t="str">
        <f>IFERROR(IF($G$206-$J$206&lt;0,"",($G76*VLOOKUP($E76,PO_Enrgy_8_Table,MATCH($E$105,PO_Enrgy_8_Hdr,0),FALSE)-($H76*VLOOKUP($E76,PO_Enrgy_8_Table,MATCH($H$105,PO_Enrgy_8_Hdr,0),FALSE)))/($G$206-$J$206)),"")</f>
        <v/>
      </c>
      <c r="L76" s="4235"/>
      <c r="M76" s="4219" t="str">
        <f>IFERROR(H76*VLOOKUP($E76,PO_Enrgy_1_Table,MATCH($K$9,PO_Enrgy_1_Hdr,0))/$H$100,"")</f>
        <v/>
      </c>
      <c r="Q76" s="416" t="str">
        <f t="shared" si="2"/>
        <v/>
      </c>
      <c r="R76" s="416" t="str">
        <f t="shared" si="3"/>
        <v/>
      </c>
      <c r="V76" s="252">
        <f t="shared" si="4"/>
        <v>0</v>
      </c>
      <c r="W76" s="235">
        <f t="shared" si="5"/>
        <v>0</v>
      </c>
      <c r="X76" s="235">
        <f t="shared" si="6"/>
        <v>0</v>
      </c>
      <c r="Y76" s="235" t="b">
        <f>IFERROR(IF(D76="x",IF(OR(G76/H76&gt;1.03,G76/H76&lt;0.97),TRUE,FALSE),FALSE),FALSE)</f>
        <v>0</v>
      </c>
      <c r="Z76" s="235">
        <f>IFERROR(J76*100,)</f>
        <v>0</v>
      </c>
      <c r="AB76" s="235">
        <f>RANK(Z76,$Z$32:$Z$79,0)</f>
        <v>1</v>
      </c>
      <c r="AC76" s="235">
        <f>AB76+COUNTIF($AB$32:$AB75,AB76)</f>
        <v>23</v>
      </c>
      <c r="AD76" s="235" t="str">
        <f>B76</f>
        <v>Cooling (Gas)</v>
      </c>
      <c r="AE76" s="2"/>
      <c r="AF76" s="3222"/>
      <c r="AG76" s="3222"/>
      <c r="AH76" s="436"/>
      <c r="AI76" s="363"/>
      <c r="AJ76" s="363"/>
      <c r="AK76" s="562"/>
      <c r="AO76" s="252"/>
    </row>
    <row r="77" spans="1:41" ht="16.5" hidden="1" customHeight="1" x14ac:dyDescent="0.25">
      <c r="A77" s="433" t="s">
        <v>1038</v>
      </c>
      <c r="B77" s="4234"/>
      <c r="C77" s="4234"/>
      <c r="D77" s="4233"/>
      <c r="E77" s="4234"/>
      <c r="F77" s="594" t="str">
        <f>IFERROR(IF(ISBLANK(E76),"","Demand (" &amp; VLOOKUP($E76,PO_Enrgy_1_Table,MATCH($E$9,PO_Enrgy_1_Hdr,0),FALSE) &amp; ")"),"")</f>
        <v/>
      </c>
      <c r="G77" s="596">
        <v>0</v>
      </c>
      <c r="H77" s="596">
        <v>0</v>
      </c>
      <c r="I77" s="597" t="str">
        <f t="shared" si="7"/>
        <v/>
      </c>
      <c r="J77" s="4236"/>
      <c r="K77" s="4235"/>
      <c r="L77" s="4235"/>
      <c r="M77" s="4237"/>
      <c r="Q77" s="416" t="str">
        <f t="shared" si="2"/>
        <v/>
      </c>
      <c r="R77" s="416" t="str">
        <f t="shared" si="3"/>
        <v/>
      </c>
      <c r="V77" s="252">
        <f t="shared" si="4"/>
        <v>0</v>
      </c>
      <c r="W77" s="235">
        <f t="shared" si="5"/>
        <v>0</v>
      </c>
      <c r="X77" s="235">
        <f t="shared" si="6"/>
        <v>0</v>
      </c>
      <c r="AE77" s="2"/>
      <c r="AF77" s="3222"/>
      <c r="AG77" s="3222"/>
      <c r="AH77" s="436"/>
      <c r="AI77" s="363"/>
      <c r="AJ77" s="363"/>
      <c r="AK77" s="563"/>
      <c r="AO77" s="252"/>
    </row>
    <row r="78" spans="1:41" ht="16.2" hidden="1" customHeight="1" x14ac:dyDescent="0.25">
      <c r="A78" s="433" t="s">
        <v>1038</v>
      </c>
      <c r="B78" s="4234" t="s">
        <v>2425</v>
      </c>
      <c r="C78" s="4234"/>
      <c r="D78" s="4233">
        <v>0</v>
      </c>
      <c r="E78" s="4234" t="s">
        <v>374</v>
      </c>
      <c r="F78" s="594" t="str">
        <f>IFERROR(IF(ISBLANK(E78),"","Consumption (" &amp; VLOOKUP($E78,PO_Enrgy_1_Table,MATCH($C$9,PO_Enrgy_1_Hdr,0),FALSE) &amp; ")"),"")</f>
        <v/>
      </c>
      <c r="G78" s="595">
        <v>0</v>
      </c>
      <c r="H78" s="595">
        <v>0</v>
      </c>
      <c r="I78" s="587" t="str">
        <f t="shared" si="7"/>
        <v/>
      </c>
      <c r="J78" s="4235" t="str">
        <f>IFERROR(IF($E$206-$H$206&lt;0,"",($G78-$H78)*VLOOKUP($E78,PO_Enrgy_1_Table,MATCH($K$9,PO_Enrgy_1_Hdr,0),FALSE)/($E$206-$H$206)),"")</f>
        <v/>
      </c>
      <c r="K78" s="4235" t="str">
        <f>IFERROR(IF($G$206-$J$206&lt;0,"",($G78*VLOOKUP($E78,PO_Enrgy_8_Table,MATCH($E$105,PO_Enrgy_8_Hdr,0),FALSE)-($H78*VLOOKUP($E78,PO_Enrgy_8_Table,MATCH($H$105,PO_Enrgy_8_Hdr,0),FALSE)))/($G$206-$J$206)),"")</f>
        <v/>
      </c>
      <c r="L78" s="4235"/>
      <c r="M78" s="4219" t="str">
        <f>IFERROR(H78*VLOOKUP($E78,PO_Enrgy_1_Table,MATCH($K$9,PO_Enrgy_1_Hdr,0))/$H$100,"")</f>
        <v/>
      </c>
      <c r="Q78" s="416" t="str">
        <f t="shared" si="2"/>
        <v/>
      </c>
      <c r="R78" s="416" t="str">
        <f t="shared" si="3"/>
        <v/>
      </c>
      <c r="V78" s="252">
        <f t="shared" si="4"/>
        <v>0</v>
      </c>
      <c r="W78" s="235">
        <f t="shared" si="5"/>
        <v>0</v>
      </c>
      <c r="X78" s="235">
        <f t="shared" si="6"/>
        <v>0</v>
      </c>
      <c r="Y78" s="235" t="b">
        <f>IFERROR(IF(D78="x",IF(OR(G78/H78&gt;1.03,G78/H78&lt;0.97),TRUE,FALSE),FALSE),FALSE)</f>
        <v>0</v>
      </c>
      <c r="Z78" s="235">
        <f>IFERROR(J78*100,)</f>
        <v>0</v>
      </c>
      <c r="AB78" s="235">
        <f>RANK(Z78,$Z$32:$Z$79,0)</f>
        <v>1</v>
      </c>
      <c r="AC78" s="235">
        <f>AB78+COUNTIF($AB$32:$AB77,AB78)</f>
        <v>24</v>
      </c>
      <c r="AD78" s="235" t="str">
        <f>B78</f>
        <v>Refrigeration Equipment (Regulated)</v>
      </c>
      <c r="AE78" s="2"/>
      <c r="AF78" s="3222"/>
      <c r="AG78" s="3222"/>
      <c r="AH78" s="436"/>
      <c r="AI78" s="363"/>
      <c r="AJ78" s="363"/>
      <c r="AK78" s="562"/>
      <c r="AO78" s="252"/>
    </row>
    <row r="79" spans="1:41" ht="15.75" hidden="1" customHeight="1" x14ac:dyDescent="0.25">
      <c r="A79" s="433" t="s">
        <v>1038</v>
      </c>
      <c r="B79" s="4234"/>
      <c r="C79" s="4234"/>
      <c r="D79" s="4233"/>
      <c r="E79" s="4234"/>
      <c r="F79" s="594" t="str">
        <f>IFERROR(IF(ISBLANK(E78),"","Demand (" &amp; VLOOKUP($E78,PO_Enrgy_1_Table,MATCH($E$9,PO_Enrgy_1_Hdr,0),FALSE) &amp; ")"),"")</f>
        <v/>
      </c>
      <c r="G79" s="596">
        <v>0</v>
      </c>
      <c r="H79" s="596">
        <v>0</v>
      </c>
      <c r="I79" s="597" t="str">
        <f t="shared" si="7"/>
        <v/>
      </c>
      <c r="J79" s="4236"/>
      <c r="K79" s="4235"/>
      <c r="L79" s="4235"/>
      <c r="M79" s="4237"/>
      <c r="Q79" s="416" t="str">
        <f t="shared" si="2"/>
        <v/>
      </c>
      <c r="R79" s="416" t="str">
        <f t="shared" si="3"/>
        <v/>
      </c>
      <c r="V79" s="252">
        <f t="shared" si="4"/>
        <v>0</v>
      </c>
      <c r="W79" s="235">
        <f t="shared" si="5"/>
        <v>0</v>
      </c>
      <c r="X79" s="235">
        <f t="shared" si="6"/>
        <v>0</v>
      </c>
      <c r="AE79" s="2"/>
      <c r="AF79" s="3222"/>
      <c r="AG79" s="3222"/>
      <c r="AH79" s="436"/>
      <c r="AI79" s="363"/>
      <c r="AJ79" s="363"/>
      <c r="AK79" s="563"/>
      <c r="AO79" s="252"/>
    </row>
    <row r="80" spans="1:41" ht="21" customHeight="1" x14ac:dyDescent="0.25">
      <c r="A80" s="433" t="s">
        <v>1038</v>
      </c>
      <c r="B80" s="243"/>
      <c r="C80" s="243"/>
      <c r="D80" s="588"/>
      <c r="E80" s="265"/>
      <c r="F80" s="243"/>
      <c r="G80" s="277"/>
      <c r="H80" s="277"/>
      <c r="I80" s="278"/>
      <c r="J80" s="277"/>
      <c r="K80" s="277"/>
      <c r="L80" s="279"/>
      <c r="M80" s="279"/>
    </row>
    <row r="81" spans="1:55" ht="24" customHeight="1" x14ac:dyDescent="0.25">
      <c r="A81" s="433" t="s">
        <v>1038</v>
      </c>
      <c r="B81" s="287" t="s">
        <v>1014</v>
      </c>
      <c r="C81" s="288"/>
      <c r="D81" s="288"/>
      <c r="E81" s="288"/>
      <c r="F81" s="288"/>
      <c r="G81" s="288"/>
      <c r="H81" s="288"/>
      <c r="I81" s="288"/>
      <c r="J81" s="288"/>
      <c r="K81" s="288"/>
      <c r="L81" s="288"/>
      <c r="M81" s="288"/>
      <c r="BC81" s="235" t="s">
        <v>1635</v>
      </c>
    </row>
    <row r="82" spans="1:55" ht="21.75" customHeight="1" x14ac:dyDescent="0.25">
      <c r="A82" s="433" t="s">
        <v>1038</v>
      </c>
      <c r="B82" s="3138" t="s">
        <v>354</v>
      </c>
      <c r="C82" s="3139" t="s">
        <v>1436</v>
      </c>
      <c r="D82" s="3102"/>
      <c r="E82" s="3140" t="s">
        <v>272</v>
      </c>
      <c r="F82" s="3138"/>
      <c r="G82" s="3138"/>
      <c r="H82" s="3140" t="s">
        <v>273</v>
      </c>
      <c r="I82" s="3138"/>
      <c r="J82" s="3138"/>
      <c r="K82" s="3140" t="s">
        <v>358</v>
      </c>
      <c r="L82" s="3138"/>
      <c r="M82" s="3223"/>
      <c r="N82" s="295"/>
    </row>
    <row r="83" spans="1:55" ht="63.75" customHeight="1" x14ac:dyDescent="0.25">
      <c r="A83" s="433" t="s">
        <v>1038</v>
      </c>
      <c r="B83" s="3102"/>
      <c r="C83" s="3102"/>
      <c r="D83" s="3102"/>
      <c r="E83" s="580" t="s">
        <v>902</v>
      </c>
      <c r="F83" s="579" t="str">
        <f>"Source Energy Use 
("  &amp; PO_SourceUnits &amp; ")"</f>
        <v>Source Energy Use 
(kWh)</v>
      </c>
      <c r="G83" s="580" t="s">
        <v>356</v>
      </c>
      <c r="H83" s="580" t="s">
        <v>902</v>
      </c>
      <c r="I83" s="579" t="str">
        <f>"Source Energy Use 
("  &amp; PO_SourceUnits &amp; ")"</f>
        <v>Source Energy Use 
(kWh)</v>
      </c>
      <c r="J83" s="580" t="s">
        <v>356</v>
      </c>
      <c r="K83" s="3140" t="s">
        <v>357</v>
      </c>
      <c r="L83" s="3224"/>
      <c r="M83" s="580" t="s">
        <v>356</v>
      </c>
      <c r="AD83" s="2"/>
      <c r="AE83" s="2"/>
      <c r="AF83" s="2"/>
      <c r="AG83" s="2"/>
      <c r="AH83" s="2"/>
      <c r="AI83" s="2"/>
      <c r="AJ83" s="2"/>
      <c r="AK83" s="2"/>
      <c r="AL83" s="2"/>
      <c r="AM83" s="2"/>
      <c r="AN83" s="2"/>
      <c r="AO83" s="2"/>
    </row>
    <row r="84" spans="1:55" s="446" customFormat="1" ht="21.75" hidden="1" customHeight="1" x14ac:dyDescent="0.25">
      <c r="A84" s="433" t="s">
        <v>1038</v>
      </c>
      <c r="B84" s="461" t="s">
        <v>1396</v>
      </c>
      <c r="C84" s="461" t="s">
        <v>1424</v>
      </c>
      <c r="D84" s="461"/>
      <c r="E84" s="462" t="s">
        <v>1452</v>
      </c>
      <c r="F84" s="461" t="s">
        <v>1453</v>
      </c>
      <c r="G84" s="461" t="s">
        <v>1454</v>
      </c>
      <c r="H84" s="462" t="s">
        <v>1437</v>
      </c>
      <c r="I84" s="461" t="s">
        <v>1438</v>
      </c>
      <c r="J84" s="461" t="s">
        <v>1439</v>
      </c>
      <c r="K84" s="462" t="s">
        <v>1440</v>
      </c>
      <c r="L84" s="461"/>
      <c r="M84" s="462" t="s">
        <v>1441</v>
      </c>
      <c r="N84" s="445"/>
      <c r="Q84" s="628" t="s">
        <v>1407</v>
      </c>
      <c r="R84" s="628" t="s">
        <v>1408</v>
      </c>
      <c r="AD84" s="447"/>
      <c r="AE84" s="447"/>
      <c r="AF84" s="447"/>
      <c r="AG84" s="447"/>
      <c r="AH84" s="447"/>
      <c r="AI84" s="447"/>
      <c r="AJ84" s="447"/>
      <c r="AK84" s="447"/>
      <c r="AL84" s="447"/>
      <c r="AM84" s="447"/>
      <c r="AN84" s="447"/>
      <c r="AO84" s="447"/>
    </row>
    <row r="85" spans="1:55" ht="18" customHeight="1" x14ac:dyDescent="0.25">
      <c r="A85" s="433" t="s">
        <v>1038</v>
      </c>
      <c r="B85" s="585" t="str">
        <f t="shared" ref="B85:B96" si="8">IFERROR(IF(ISBLANK(B10),"",B10),"")</f>
        <v/>
      </c>
      <c r="C85" s="3174" t="str">
        <f t="shared" ref="C85:C99" si="9">IFERROR(IF(ISBLANK($B85),"",VLOOKUP($B85,PO_Enrgy_1_Table,MATCH($C$9,PO_Enrgy_1_Hdr,0),FALSE) ),"")</f>
        <v/>
      </c>
      <c r="D85" s="4218" t="str">
        <f>IF(C85="","",VLOOKUP(C85,ProjectEnergyTypeTable,3,FALSE))</f>
        <v/>
      </c>
      <c r="E85" s="586">
        <v>0</v>
      </c>
      <c r="F85" s="586">
        <v>0</v>
      </c>
      <c r="G85" s="598">
        <v>0</v>
      </c>
      <c r="H85" s="586">
        <v>0</v>
      </c>
      <c r="I85" s="586">
        <v>0</v>
      </c>
      <c r="J85" s="599">
        <v>0</v>
      </c>
      <c r="K85" s="4219" t="str">
        <f t="shared" ref="K85:K100" si="10">IFERROR(1-H85/E85,"")</f>
        <v/>
      </c>
      <c r="L85" s="4220"/>
      <c r="M85" s="554" t="str">
        <f t="shared" ref="M85:M100" si="11">IFERROR(1-J85/G85,"")</f>
        <v/>
      </c>
      <c r="Q85" s="627" t="str">
        <f t="shared" ref="Q85:Q99" si="12">IFERROR(IF(ISBLANK($B85),"",VLOOKUP($B85,PO_Enrgy_1_Table,MATCH($K$9,PO_Enrgy_1_Hdr,0),FALSE)),"")</f>
        <v/>
      </c>
      <c r="R85" s="627" t="str">
        <f t="shared" ref="R85:R99" si="13">IFERROR(IF(ISBLANK($B85),"",VLOOKUP($B85,PO_Enrgy_1_Table,MATCH($M$9,PO_Enrgy_1_Hdr,0),FALSE)),"")</f>
        <v/>
      </c>
      <c r="AD85" s="449"/>
      <c r="AE85" s="449"/>
      <c r="AF85" s="253"/>
      <c r="AG85" s="253"/>
      <c r="AH85" s="450"/>
      <c r="AI85" s="451"/>
      <c r="AJ85" s="2"/>
      <c r="AK85" s="2"/>
      <c r="AL85" s="2"/>
      <c r="AM85" s="2"/>
      <c r="AN85" s="2"/>
      <c r="AO85" s="2"/>
      <c r="BC85" s="804"/>
    </row>
    <row r="86" spans="1:55" ht="18" customHeight="1" x14ac:dyDescent="0.25">
      <c r="A86" s="433" t="s">
        <v>1038</v>
      </c>
      <c r="B86" s="585" t="str">
        <f t="shared" si="8"/>
        <v/>
      </c>
      <c r="C86" s="3174" t="str">
        <f t="shared" si="9"/>
        <v/>
      </c>
      <c r="D86" s="4218" t="str">
        <f>IF(C86="","",VLOOKUP(C86,ProjectEnergyTypeTable,3,FALSE))</f>
        <v/>
      </c>
      <c r="E86" s="586">
        <v>0</v>
      </c>
      <c r="F86" s="586">
        <v>0</v>
      </c>
      <c r="G86" s="598">
        <v>0</v>
      </c>
      <c r="H86" s="586">
        <v>0</v>
      </c>
      <c r="I86" s="586">
        <v>0</v>
      </c>
      <c r="J86" s="599">
        <v>0</v>
      </c>
      <c r="K86" s="4219" t="str">
        <f t="shared" si="10"/>
        <v/>
      </c>
      <c r="L86" s="4220"/>
      <c r="M86" s="554" t="str">
        <f t="shared" si="11"/>
        <v/>
      </c>
      <c r="Q86" s="627" t="str">
        <f t="shared" si="12"/>
        <v/>
      </c>
      <c r="R86" s="627" t="str">
        <f t="shared" si="13"/>
        <v/>
      </c>
      <c r="AD86" s="449"/>
      <c r="AE86" s="449"/>
      <c r="AF86" s="253"/>
      <c r="AG86" s="253"/>
      <c r="AH86" s="450"/>
      <c r="AI86" s="451"/>
      <c r="AJ86" s="2"/>
      <c r="AK86" s="2"/>
      <c r="AL86" s="2"/>
      <c r="AM86" s="2"/>
      <c r="AN86" s="2"/>
      <c r="AO86" s="2"/>
      <c r="BC86" s="804"/>
    </row>
    <row r="87" spans="1:55" ht="18" customHeight="1" x14ac:dyDescent="0.25">
      <c r="A87" s="433" t="s">
        <v>1038</v>
      </c>
      <c r="B87" s="585" t="str">
        <f t="shared" si="8"/>
        <v/>
      </c>
      <c r="C87" s="3174" t="str">
        <f t="shared" si="9"/>
        <v/>
      </c>
      <c r="D87" s="4218" t="str">
        <f>IF(C87="","",VLOOKUP(C87,ProjectEnergyTypeTable,3,FALSE))</f>
        <v/>
      </c>
      <c r="E87" s="586">
        <v>0</v>
      </c>
      <c r="F87" s="586">
        <v>0</v>
      </c>
      <c r="G87" s="598">
        <v>0</v>
      </c>
      <c r="H87" s="586">
        <v>0</v>
      </c>
      <c r="I87" s="586">
        <v>0</v>
      </c>
      <c r="J87" s="599">
        <v>0</v>
      </c>
      <c r="K87" s="4219" t="str">
        <f t="shared" si="10"/>
        <v/>
      </c>
      <c r="L87" s="4220"/>
      <c r="M87" s="554" t="str">
        <f t="shared" si="11"/>
        <v/>
      </c>
      <c r="Q87" s="627" t="str">
        <f t="shared" si="12"/>
        <v/>
      </c>
      <c r="R87" s="627" t="str">
        <f t="shared" si="13"/>
        <v/>
      </c>
      <c r="AD87" s="449"/>
      <c r="AE87" s="449"/>
      <c r="AF87" s="253"/>
      <c r="AG87" s="253"/>
      <c r="AH87" s="450"/>
      <c r="AI87" s="451"/>
      <c r="AJ87" s="2"/>
      <c r="AK87" s="2"/>
      <c r="AL87" s="2"/>
      <c r="AM87" s="2"/>
      <c r="AN87" s="2"/>
      <c r="AO87" s="2"/>
      <c r="BC87" s="804"/>
    </row>
    <row r="88" spans="1:55" ht="18" customHeight="1" x14ac:dyDescent="0.25">
      <c r="A88" s="433" t="s">
        <v>1038</v>
      </c>
      <c r="B88" s="585" t="str">
        <f t="shared" si="8"/>
        <v>Site energy consumption units used to report energy consumption totals (sum of energy types)</v>
      </c>
      <c r="C88" s="3174" t="str">
        <f t="shared" si="9"/>
        <v/>
      </c>
      <c r="D88" s="4218" t="str">
        <f>IF(C88="","",VLOOKUP(C88,ProjectEnergyTypeTable,3,FALSE))</f>
        <v/>
      </c>
      <c r="E88" s="586">
        <v>0</v>
      </c>
      <c r="F88" s="586">
        <v>0</v>
      </c>
      <c r="G88" s="598">
        <v>0</v>
      </c>
      <c r="H88" s="586">
        <v>0</v>
      </c>
      <c r="I88" s="586">
        <v>0</v>
      </c>
      <c r="J88" s="599">
        <v>0</v>
      </c>
      <c r="K88" s="4219" t="str">
        <f t="shared" si="10"/>
        <v/>
      </c>
      <c r="L88" s="4220"/>
      <c r="M88" s="554" t="str">
        <f t="shared" si="11"/>
        <v/>
      </c>
      <c r="Q88" s="627" t="str">
        <f t="shared" si="12"/>
        <v/>
      </c>
      <c r="R88" s="627" t="str">
        <f t="shared" si="13"/>
        <v/>
      </c>
      <c r="AD88" s="449"/>
      <c r="AE88" s="449"/>
      <c r="AF88" s="253"/>
      <c r="AG88" s="253"/>
      <c r="AH88" s="450"/>
      <c r="AI88" s="451"/>
      <c r="AJ88" s="2"/>
      <c r="AK88" s="2"/>
      <c r="AL88" s="2"/>
      <c r="AM88" s="2"/>
      <c r="AN88" s="2"/>
      <c r="AO88" s="2"/>
      <c r="BC88" s="804"/>
    </row>
    <row r="89" spans="1:55" ht="18" customHeight="1" x14ac:dyDescent="0.25">
      <c r="A89" s="433" t="s">
        <v>1038</v>
      </c>
      <c r="B89" s="585" t="str">
        <f t="shared" si="8"/>
        <v>Source energy consumption units used to report energy consumption totals (sum of energy types)</v>
      </c>
      <c r="C89" s="3174" t="str">
        <f t="shared" si="9"/>
        <v/>
      </c>
      <c r="D89" s="4218" t="str">
        <f>IF(C89="","",VLOOKUP(C89,ProjectEnergyTypeTable,3,FALSE))</f>
        <v/>
      </c>
      <c r="E89" s="586">
        <v>0</v>
      </c>
      <c r="F89" s="586">
        <v>0</v>
      </c>
      <c r="G89" s="598">
        <v>0</v>
      </c>
      <c r="H89" s="586">
        <v>0</v>
      </c>
      <c r="I89" s="586">
        <v>0</v>
      </c>
      <c r="J89" s="599">
        <v>0</v>
      </c>
      <c r="K89" s="4219" t="str">
        <f t="shared" si="10"/>
        <v/>
      </c>
      <c r="L89" s="4220"/>
      <c r="M89" s="554" t="str">
        <f t="shared" si="11"/>
        <v/>
      </c>
      <c r="Q89" s="627" t="str">
        <f t="shared" si="12"/>
        <v/>
      </c>
      <c r="R89" s="627" t="str">
        <f t="shared" si="13"/>
        <v/>
      </c>
      <c r="AD89" s="449"/>
      <c r="AE89" s="449"/>
      <c r="AF89" s="253"/>
      <c r="AG89" s="253"/>
      <c r="AH89" s="450"/>
      <c r="AI89" s="451"/>
      <c r="AJ89" s="2"/>
      <c r="AK89" s="2"/>
      <c r="AL89" s="2"/>
      <c r="AM89" s="2"/>
      <c r="AN89" s="2"/>
      <c r="AO89" s="2"/>
      <c r="BC89" s="804"/>
    </row>
    <row r="90" spans="1:55" ht="18" customHeight="1" x14ac:dyDescent="0.25">
      <c r="A90" s="433" t="s">
        <v>1038</v>
      </c>
      <c r="B90" s="585" t="str">
        <f t="shared" si="8"/>
        <v/>
      </c>
      <c r="C90" s="3174" t="str">
        <f t="shared" si="9"/>
        <v/>
      </c>
      <c r="D90" s="4218" t="str">
        <f>IF(C90="","",VLOOKUP(C90,ProjectEnergyTypeTable,3,FALSE))</f>
        <v/>
      </c>
      <c r="E90" s="586">
        <v>0</v>
      </c>
      <c r="F90" s="586">
        <v>0</v>
      </c>
      <c r="G90" s="598">
        <v>0</v>
      </c>
      <c r="H90" s="586">
        <v>0</v>
      </c>
      <c r="I90" s="586">
        <v>0</v>
      </c>
      <c r="J90" s="599">
        <v>0</v>
      </c>
      <c r="K90" s="4219" t="str">
        <f t="shared" ref="K90" si="14">IFERROR(1-H90/E90,"")</f>
        <v/>
      </c>
      <c r="L90" s="4220"/>
      <c r="M90" s="554" t="str">
        <f t="shared" ref="M90" si="15">IFERROR(1-J90/G90,"")</f>
        <v/>
      </c>
      <c r="Q90" s="627" t="str">
        <f t="shared" si="12"/>
        <v/>
      </c>
      <c r="R90" s="627" t="str">
        <f t="shared" si="13"/>
        <v/>
      </c>
      <c r="AD90" s="449"/>
      <c r="AE90" s="449"/>
      <c r="AF90" s="253"/>
      <c r="AG90" s="253"/>
      <c r="AH90" s="450"/>
      <c r="AI90" s="451"/>
      <c r="AJ90" s="2"/>
      <c r="AK90" s="2"/>
      <c r="AL90" s="2"/>
      <c r="AM90" s="2"/>
      <c r="AN90" s="2"/>
      <c r="AO90" s="2"/>
      <c r="BC90" s="804"/>
    </row>
    <row r="91" spans="1:55" ht="18" customHeight="1" x14ac:dyDescent="0.25">
      <c r="A91" s="433" t="s">
        <v>1038</v>
      </c>
      <c r="B91" s="585" t="str">
        <f t="shared" si="8"/>
        <v/>
      </c>
      <c r="C91" s="3174" t="str">
        <f t="shared" si="9"/>
        <v/>
      </c>
      <c r="D91" s="4218" t="str">
        <f>IF(C91="","",VLOOKUP(C91,ProjectEnergyTypeTable,3,FALSE))</f>
        <v/>
      </c>
      <c r="E91" s="586">
        <v>0</v>
      </c>
      <c r="F91" s="586">
        <v>0</v>
      </c>
      <c r="G91" s="598">
        <v>0</v>
      </c>
      <c r="H91" s="586">
        <v>0</v>
      </c>
      <c r="I91" s="586">
        <v>0</v>
      </c>
      <c r="J91" s="599">
        <v>0</v>
      </c>
      <c r="K91" s="4219" t="str">
        <f t="shared" ref="K91:K92" si="16">IFERROR(1-H91/E91,"")</f>
        <v/>
      </c>
      <c r="L91" s="4220"/>
      <c r="M91" s="554" t="str">
        <f t="shared" ref="M91:M92" si="17">IFERROR(1-J91/G91,"")</f>
        <v/>
      </c>
      <c r="Q91" s="627" t="str">
        <f t="shared" si="12"/>
        <v/>
      </c>
      <c r="R91" s="627" t="str">
        <f t="shared" si="13"/>
        <v/>
      </c>
      <c r="AD91" s="449"/>
      <c r="AE91" s="449"/>
      <c r="AF91" s="253"/>
      <c r="AG91" s="253"/>
      <c r="AH91" s="450"/>
      <c r="AI91" s="451"/>
      <c r="AJ91" s="2"/>
      <c r="AK91" s="2"/>
      <c r="AL91" s="2"/>
      <c r="AM91" s="2"/>
      <c r="AN91" s="2"/>
      <c r="AO91" s="2"/>
      <c r="BC91" s="804"/>
    </row>
    <row r="92" spans="1:55" ht="18" customHeight="1" x14ac:dyDescent="0.25">
      <c r="A92" s="433" t="s">
        <v>1038</v>
      </c>
      <c r="B92" s="585" t="str">
        <f t="shared" si="8"/>
        <v>Table 12.3: On-Site Renewable Energy Production</v>
      </c>
      <c r="C92" s="3174" t="str">
        <f t="shared" si="9"/>
        <v/>
      </c>
      <c r="D92" s="4218" t="str">
        <f>IF(C92="","",VLOOKUP(C92,ProjectEnergyTypeTable,3,FALSE))</f>
        <v/>
      </c>
      <c r="E92" s="586">
        <v>0</v>
      </c>
      <c r="F92" s="586">
        <v>0</v>
      </c>
      <c r="G92" s="598">
        <v>0</v>
      </c>
      <c r="H92" s="586">
        <v>0</v>
      </c>
      <c r="I92" s="586">
        <v>0</v>
      </c>
      <c r="J92" s="599">
        <v>0</v>
      </c>
      <c r="K92" s="4219" t="str">
        <f t="shared" si="16"/>
        <v/>
      </c>
      <c r="L92" s="4220"/>
      <c r="M92" s="554" t="str">
        <f t="shared" si="17"/>
        <v/>
      </c>
      <c r="Q92" s="627" t="str">
        <f t="shared" si="12"/>
        <v/>
      </c>
      <c r="R92" s="627" t="str">
        <f t="shared" si="13"/>
        <v/>
      </c>
      <c r="AD92" s="449"/>
      <c r="AE92" s="449"/>
      <c r="AF92" s="253"/>
      <c r="AG92" s="253"/>
      <c r="AH92" s="450"/>
      <c r="AI92" s="451"/>
      <c r="AJ92" s="2"/>
      <c r="AK92" s="2"/>
      <c r="AL92" s="2"/>
      <c r="AM92" s="2"/>
      <c r="AN92" s="2"/>
      <c r="AO92" s="2"/>
      <c r="BC92" s="804"/>
    </row>
    <row r="93" spans="1:55" ht="18" customHeight="1" x14ac:dyDescent="0.25">
      <c r="A93" s="433" t="s">
        <v>1038</v>
      </c>
      <c r="B93" s="585" t="str">
        <f t="shared" si="8"/>
        <v/>
      </c>
      <c r="C93" s="3174" t="str">
        <f t="shared" si="9"/>
        <v/>
      </c>
      <c r="D93" s="4218" t="str">
        <f>IF(C93="","",VLOOKUP(C93,ProjectEnergyTypeTable,3,FALSE))</f>
        <v/>
      </c>
      <c r="E93" s="586">
        <v>0</v>
      </c>
      <c r="F93" s="586">
        <v>0</v>
      </c>
      <c r="G93" s="598">
        <v>0</v>
      </c>
      <c r="H93" s="586">
        <v>0</v>
      </c>
      <c r="I93" s="586">
        <v>0</v>
      </c>
      <c r="J93" s="599">
        <v>0</v>
      </c>
      <c r="K93" s="4219" t="str">
        <f t="shared" ref="K93" si="18">IFERROR(1-H93/E93,"")</f>
        <v/>
      </c>
      <c r="L93" s="4220"/>
      <c r="M93" s="554" t="str">
        <f t="shared" ref="M93" si="19">IFERROR(1-J93/G93,"")</f>
        <v/>
      </c>
      <c r="Q93" s="627" t="str">
        <f t="shared" si="12"/>
        <v/>
      </c>
      <c r="R93" s="627" t="str">
        <f t="shared" si="13"/>
        <v/>
      </c>
      <c r="AD93" s="449"/>
      <c r="AE93" s="449"/>
      <c r="AF93" s="253"/>
      <c r="AG93" s="253"/>
      <c r="AH93" s="450"/>
      <c r="AI93" s="451"/>
      <c r="AJ93" s="2"/>
      <c r="AK93" s="2"/>
      <c r="AL93" s="2"/>
      <c r="AM93" s="2"/>
      <c r="AN93" s="2"/>
      <c r="AO93" s="2"/>
      <c r="BC93" s="804"/>
    </row>
    <row r="94" spans="1:55" ht="18" customHeight="1" x14ac:dyDescent="0.25">
      <c r="A94" s="433" t="s">
        <v>1038</v>
      </c>
      <c r="B94" s="585" t="str">
        <f t="shared" si="8"/>
        <v>The project building uses on-site renewable energy systems. (Optional)</v>
      </c>
      <c r="C94" s="3174" t="str">
        <f t="shared" si="9"/>
        <v/>
      </c>
      <c r="D94" s="4218" t="str">
        <f>IF(C94="","",VLOOKUP(C94,ProjectEnergyTypeTable,3,FALSE))</f>
        <v/>
      </c>
      <c r="E94" s="586">
        <v>0</v>
      </c>
      <c r="F94" s="586">
        <v>0</v>
      </c>
      <c r="G94" s="598">
        <v>0</v>
      </c>
      <c r="H94" s="586">
        <v>0</v>
      </c>
      <c r="I94" s="586">
        <v>0</v>
      </c>
      <c r="J94" s="599">
        <v>0</v>
      </c>
      <c r="K94" s="4219" t="str">
        <f t="shared" ref="K94" si="20">IFERROR(1-H94/E94,"")</f>
        <v/>
      </c>
      <c r="L94" s="4220"/>
      <c r="M94" s="554" t="str">
        <f t="shared" ref="M94" si="21">IFERROR(1-J94/G94,"")</f>
        <v/>
      </c>
      <c r="Q94" s="627" t="str">
        <f t="shared" si="12"/>
        <v/>
      </c>
      <c r="R94" s="627" t="str">
        <f t="shared" si="13"/>
        <v/>
      </c>
      <c r="AD94" s="449"/>
      <c r="AE94" s="449"/>
      <c r="AF94" s="253"/>
      <c r="AG94" s="253"/>
      <c r="AH94" s="450"/>
      <c r="AI94" s="451"/>
      <c r="AJ94" s="2"/>
      <c r="AK94" s="2"/>
      <c r="AL94" s="2"/>
      <c r="AM94" s="2"/>
      <c r="AN94" s="2"/>
      <c r="AO94" s="2"/>
      <c r="BC94" s="804"/>
    </row>
    <row r="95" spans="1:55" ht="18" customHeight="1" x14ac:dyDescent="0.25">
      <c r="A95" s="433" t="s">
        <v>1038</v>
      </c>
      <c r="B95" s="585" t="str">
        <f t="shared" si="8"/>
        <v/>
      </c>
      <c r="C95" s="3174" t="str">
        <f t="shared" si="9"/>
        <v/>
      </c>
      <c r="D95" s="4218" t="str">
        <f>IF(C95="","",VLOOKUP(C95,ProjectEnergyTypeTable,3,FALSE))</f>
        <v/>
      </c>
      <c r="E95" s="586">
        <v>0</v>
      </c>
      <c r="F95" s="586">
        <v>0</v>
      </c>
      <c r="G95" s="598">
        <v>0</v>
      </c>
      <c r="H95" s="586">
        <v>0</v>
      </c>
      <c r="I95" s="586">
        <v>0</v>
      </c>
      <c r="J95" s="599">
        <v>0</v>
      </c>
      <c r="K95" s="4219" t="str">
        <f t="shared" ref="K95" si="22">IFERROR(1-H95/E95,"")</f>
        <v/>
      </c>
      <c r="L95" s="4220"/>
      <c r="M95" s="554" t="str">
        <f t="shared" ref="M95" si="23">IFERROR(1-J95/G95,"")</f>
        <v/>
      </c>
      <c r="Q95" s="627" t="str">
        <f t="shared" si="12"/>
        <v/>
      </c>
      <c r="R95" s="627" t="str">
        <f t="shared" si="13"/>
        <v/>
      </c>
      <c r="AD95" s="449"/>
      <c r="AE95" s="449"/>
      <c r="AF95" s="253"/>
      <c r="AG95" s="253"/>
      <c r="AH95" s="450"/>
      <c r="AI95" s="451"/>
      <c r="AJ95" s="2"/>
      <c r="AK95" s="2"/>
      <c r="AL95" s="2"/>
      <c r="AM95" s="2"/>
      <c r="AN95" s="2"/>
      <c r="AO95" s="2"/>
      <c r="BC95" s="804"/>
    </row>
    <row r="96" spans="1:55" ht="18" customHeight="1" x14ac:dyDescent="0.25">
      <c r="A96" s="433" t="s">
        <v>1038</v>
      </c>
      <c r="B96" s="585" t="str">
        <f t="shared" si="8"/>
        <v>Table: On-Site Renewable energy source summary</v>
      </c>
      <c r="C96" s="3174" t="str">
        <f t="shared" si="9"/>
        <v/>
      </c>
      <c r="D96" s="4218" t="str">
        <f>IF(C96="","",VLOOKUP(C96,ProjectEnergyTypeTable,3,FALSE))</f>
        <v/>
      </c>
      <c r="E96" s="586">
        <v>0</v>
      </c>
      <c r="F96" s="586">
        <v>0</v>
      </c>
      <c r="G96" s="598">
        <v>0</v>
      </c>
      <c r="H96" s="586">
        <v>0</v>
      </c>
      <c r="I96" s="586">
        <v>0</v>
      </c>
      <c r="J96" s="599">
        <v>0</v>
      </c>
      <c r="K96" s="4219" t="str">
        <f t="shared" ref="K96" si="24">IFERROR(1-H96/E96,"")</f>
        <v/>
      </c>
      <c r="L96" s="4220"/>
      <c r="M96" s="554" t="str">
        <f t="shared" ref="M96" si="25">IFERROR(1-J96/G96,"")</f>
        <v/>
      </c>
      <c r="Q96" s="627" t="str">
        <f t="shared" si="12"/>
        <v/>
      </c>
      <c r="R96" s="627" t="str">
        <f t="shared" si="13"/>
        <v/>
      </c>
      <c r="AD96" s="449"/>
      <c r="AE96" s="449"/>
      <c r="AF96" s="253"/>
      <c r="AG96" s="253"/>
      <c r="AH96" s="450"/>
      <c r="AI96" s="451"/>
      <c r="AJ96" s="2"/>
      <c r="AK96" s="2"/>
      <c r="AL96" s="2"/>
      <c r="AM96" s="2"/>
      <c r="AN96" s="2"/>
      <c r="AO96" s="2"/>
      <c r="BC96" s="804"/>
    </row>
    <row r="97" spans="1:55" ht="18" customHeight="1" x14ac:dyDescent="0.25">
      <c r="A97" s="433" t="s">
        <v>1038</v>
      </c>
      <c r="B97" s="585" t="str">
        <f t="shared" ref="B97:B99" si="26">IFERROR(IF(ISBLANK(B22),"",B22),"")</f>
        <v>Renewable energy production should be reported in the table below. Note: This calculator will automatically reduce the proposed energy consumption and cost to accurately reflect the revised results. Therefore, any site-generated renewable energy production should NOT be included in the Performance Rating Method tables below.
Select the site-generated renewable energy source. Enter the rated capacity of the site-generated renewable source including the units (e.g. for photovoltaics 10 kW). Include all relevant capacities (i.e for solar thermal, both the storage tank capacity and the solar thermal panel capacity).
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v>
      </c>
      <c r="C97" s="3174" t="str">
        <f t="shared" si="9"/>
        <v/>
      </c>
      <c r="D97" s="4218" t="str">
        <f>IF(C97="","",VLOOKUP(C97,ProjectEnergyTypeTable,3,FALSE))</f>
        <v/>
      </c>
      <c r="E97" s="586">
        <v>0</v>
      </c>
      <c r="F97" s="586">
        <v>0</v>
      </c>
      <c r="G97" s="598">
        <v>0</v>
      </c>
      <c r="H97" s="586">
        <v>0</v>
      </c>
      <c r="I97" s="586">
        <v>0</v>
      </c>
      <c r="J97" s="599">
        <v>0</v>
      </c>
      <c r="K97" s="4219" t="str">
        <f t="shared" ref="K97:K99" si="27">IFERROR(1-H97/E97,"")</f>
        <v/>
      </c>
      <c r="L97" s="4220"/>
      <c r="M97" s="554" t="str">
        <f t="shared" ref="M97:M99" si="28">IFERROR(1-J97/G97,"")</f>
        <v/>
      </c>
      <c r="Q97" s="627" t="str">
        <f t="shared" si="12"/>
        <v/>
      </c>
      <c r="R97" s="627" t="str">
        <f t="shared" si="13"/>
        <v/>
      </c>
      <c r="AD97" s="449"/>
      <c r="AE97" s="449"/>
      <c r="AF97" s="253"/>
      <c r="AG97" s="253"/>
      <c r="AH97" s="450"/>
      <c r="AI97" s="451"/>
      <c r="AJ97" s="2"/>
      <c r="AK97" s="2"/>
      <c r="AL97" s="2"/>
      <c r="AM97" s="2"/>
      <c r="AN97" s="2"/>
      <c r="AO97" s="2"/>
      <c r="BC97" s="804"/>
    </row>
    <row r="98" spans="1:55" ht="18" customHeight="1" x14ac:dyDescent="0.25">
      <c r="A98" s="433" t="s">
        <v>1038</v>
      </c>
      <c r="B98" s="585" t="str">
        <f t="shared" si="26"/>
        <v/>
      </c>
      <c r="C98" s="3174" t="str">
        <f t="shared" si="9"/>
        <v/>
      </c>
      <c r="D98" s="4218" t="str">
        <f>IF(C98="","",VLOOKUP(C98,ProjectEnergyTypeTable,3,FALSE))</f>
        <v/>
      </c>
      <c r="E98" s="586">
        <v>0</v>
      </c>
      <c r="F98" s="586">
        <v>0</v>
      </c>
      <c r="G98" s="598">
        <v>0</v>
      </c>
      <c r="H98" s="586">
        <v>0</v>
      </c>
      <c r="I98" s="586">
        <v>0</v>
      </c>
      <c r="J98" s="599">
        <v>0</v>
      </c>
      <c r="K98" s="4219" t="str">
        <f t="shared" si="27"/>
        <v/>
      </c>
      <c r="L98" s="4220"/>
      <c r="M98" s="554" t="str">
        <f t="shared" si="28"/>
        <v/>
      </c>
      <c r="Q98" s="627" t="str">
        <f t="shared" si="12"/>
        <v/>
      </c>
      <c r="R98" s="627" t="str">
        <f t="shared" si="13"/>
        <v/>
      </c>
      <c r="AD98" s="449"/>
      <c r="AE98" s="449"/>
      <c r="AF98" s="253"/>
      <c r="AG98" s="253"/>
      <c r="AH98" s="450"/>
      <c r="AI98" s="451"/>
      <c r="AJ98" s="2"/>
      <c r="AK98" s="2"/>
      <c r="AL98" s="2"/>
      <c r="AM98" s="2"/>
      <c r="AN98" s="2"/>
      <c r="AO98" s="2"/>
      <c r="BC98" s="804"/>
    </row>
    <row r="99" spans="1:55" ht="18" customHeight="1" x14ac:dyDescent="0.25">
      <c r="A99" s="433" t="s">
        <v>1038</v>
      </c>
      <c r="B99" s="585" t="str">
        <f t="shared" si="26"/>
        <v>On-Site Renewable Source</v>
      </c>
      <c r="C99" s="3174" t="str">
        <f t="shared" si="9"/>
        <v/>
      </c>
      <c r="D99" s="4218" t="str">
        <f>IF(C99="","",VLOOKUP(C99,ProjectEnergyTypeTable,3,FALSE))</f>
        <v/>
      </c>
      <c r="E99" s="586">
        <v>0</v>
      </c>
      <c r="F99" s="586">
        <v>0</v>
      </c>
      <c r="G99" s="598">
        <v>0</v>
      </c>
      <c r="H99" s="586">
        <v>0</v>
      </c>
      <c r="I99" s="586">
        <v>0</v>
      </c>
      <c r="J99" s="599">
        <v>0</v>
      </c>
      <c r="K99" s="4219" t="str">
        <f t="shared" si="27"/>
        <v/>
      </c>
      <c r="L99" s="4220"/>
      <c r="M99" s="554" t="str">
        <f t="shared" si="28"/>
        <v/>
      </c>
      <c r="Q99" s="627" t="str">
        <f t="shared" si="12"/>
        <v/>
      </c>
      <c r="R99" s="627" t="str">
        <f t="shared" si="13"/>
        <v/>
      </c>
      <c r="AD99" s="449"/>
      <c r="AE99" s="449"/>
      <c r="AF99" s="253"/>
      <c r="AG99" s="253"/>
      <c r="AH99" s="450"/>
      <c r="AI99" s="451"/>
      <c r="AJ99" s="2"/>
      <c r="AK99" s="2"/>
      <c r="AL99" s="2"/>
      <c r="AM99" s="2"/>
      <c r="AN99" s="2"/>
      <c r="AO99" s="2"/>
      <c r="BC99" s="804"/>
    </row>
    <row r="100" spans="1:55" s="245" customFormat="1" ht="21" customHeight="1" x14ac:dyDescent="0.25">
      <c r="A100" s="433" t="s">
        <v>1038</v>
      </c>
      <c r="B100" s="3135" t="str">
        <f>"Energy model subtotal (" &amp; PO_SiteUnits &amp; ")"</f>
        <v>Energy model subtotal (kWh)</v>
      </c>
      <c r="C100" s="3135"/>
      <c r="D100" s="3135"/>
      <c r="E100" s="527">
        <f>IFERROR(SUMPRODUCT(INDEX(PO_Enrgy_7_Table,0,MATCH(E$84,PO_Enrgy_7_Hdr,0)),INDEX(PO_Enrgy_7_Table,0,MATCH($Q$84,PO_Enrgy_7_Hdr,0))),"")</f>
        <v>0</v>
      </c>
      <c r="F100" s="527">
        <f>IFERROR(SUM(INDEX(PO_Enrgy_7_Table,0,MATCH(F$84,PO_Enrgy_7_Hdr,0))),"")</f>
        <v>0</v>
      </c>
      <c r="G100" s="529">
        <f>IFERROR(SUM(INDEX(PO_Enrgy_7_Table,0,MATCH(G$84,PO_Enrgy_7_Hdr,0))),"")</f>
        <v>0</v>
      </c>
      <c r="H100" s="527">
        <f>IFERROR(SUMPRODUCT(INDEX(PO_Enrgy_7_Table,0,MATCH(H$84,PO_Enrgy_7_Hdr,0)),INDEX(PO_Enrgy_7_Table,0,MATCH($Q$84,PO_Enrgy_7_Hdr,0))),"")</f>
        <v>0</v>
      </c>
      <c r="I100" s="527">
        <f>IFERROR(SUM(INDEX(PO_Enrgy_7_Table,0,MATCH(I$84,PO_Enrgy_7_Hdr,0))),"")</f>
        <v>0</v>
      </c>
      <c r="J100" s="529">
        <f>IFERROR(SUM(INDEX(PO_Enrgy_7_Table,0,MATCH(J$84,PO_Enrgy_7_Hdr,0))),"")</f>
        <v>0</v>
      </c>
      <c r="K100" s="3090" t="str">
        <f t="shared" si="10"/>
        <v/>
      </c>
      <c r="L100" s="3085"/>
      <c r="M100" s="578" t="str">
        <f t="shared" si="11"/>
        <v/>
      </c>
      <c r="N100" s="235"/>
      <c r="O100" s="235"/>
      <c r="P100" s="235"/>
      <c r="AD100" s="2"/>
      <c r="AE100" s="2"/>
      <c r="AF100" s="2"/>
      <c r="AG100" s="2"/>
      <c r="AH100" s="450"/>
      <c r="AI100" s="451"/>
      <c r="AJ100" s="2"/>
      <c r="AK100" s="2"/>
      <c r="AL100" s="2"/>
      <c r="AM100" s="2"/>
      <c r="AN100" s="2"/>
      <c r="AO100" s="2"/>
      <c r="BC100" s="804"/>
    </row>
    <row r="101" spans="1:55" s="245" customFormat="1" ht="5.25" customHeight="1" x14ac:dyDescent="0.25">
      <c r="A101" s="433" t="s">
        <v>1038</v>
      </c>
      <c r="B101" s="249"/>
      <c r="C101" s="249"/>
      <c r="D101" s="249"/>
      <c r="E101" s="250"/>
      <c r="F101" s="250"/>
      <c r="G101" s="294"/>
      <c r="H101" s="250"/>
      <c r="I101" s="250"/>
      <c r="J101" s="294"/>
      <c r="K101" s="332"/>
      <c r="L101" s="332"/>
      <c r="M101" s="332"/>
      <c r="N101" s="235"/>
      <c r="O101" s="235"/>
      <c r="P101" s="235"/>
      <c r="AD101" s="2"/>
      <c r="AE101" s="2"/>
      <c r="AF101" s="2"/>
      <c r="AG101" s="2"/>
      <c r="AH101" s="450"/>
      <c r="AI101" s="451"/>
      <c r="AJ101" s="2"/>
      <c r="AK101" s="2"/>
      <c r="AL101" s="2"/>
      <c r="AM101" s="2"/>
      <c r="AN101" s="2"/>
      <c r="AO101" s="2"/>
    </row>
    <row r="102" spans="1:55" s="245" customFormat="1" ht="33" customHeight="1" x14ac:dyDescent="0.25">
      <c r="A102" s="433" t="s">
        <v>1038</v>
      </c>
      <c r="B102" s="249"/>
      <c r="C102" s="249"/>
      <c r="D102" s="249"/>
      <c r="E102" s="250"/>
      <c r="F102" s="250"/>
      <c r="G102" s="294"/>
      <c r="H102" s="250"/>
      <c r="I102" s="250"/>
      <c r="J102" s="294"/>
      <c r="K102" s="332"/>
      <c r="L102" s="332"/>
      <c r="M102" s="332"/>
      <c r="N102" s="235"/>
      <c r="O102" s="235"/>
      <c r="P102" s="235"/>
      <c r="AD102" s="2"/>
      <c r="AE102" s="2"/>
      <c r="AF102" s="2"/>
      <c r="AG102" s="2"/>
      <c r="AH102" s="450"/>
      <c r="AI102" s="451"/>
      <c r="AJ102" s="2"/>
      <c r="AK102" s="2"/>
      <c r="AL102" s="2"/>
      <c r="AM102" s="2"/>
      <c r="AN102" s="2"/>
      <c r="AO102" s="2"/>
    </row>
    <row r="103" spans="1:55" s="245" customFormat="1" ht="21" customHeight="1" x14ac:dyDescent="0.25">
      <c r="A103" s="433" t="s">
        <v>1038</v>
      </c>
      <c r="B103" s="3219" t="s">
        <v>1015</v>
      </c>
      <c r="C103" s="3220"/>
      <c r="D103" s="3220"/>
      <c r="E103" s="3220"/>
      <c r="F103" s="3220"/>
      <c r="G103" s="3220"/>
      <c r="H103" s="3220"/>
      <c r="I103" s="3220"/>
      <c r="J103" s="3220"/>
      <c r="K103" s="3220"/>
      <c r="L103" s="3220"/>
      <c r="M103" s="332"/>
      <c r="Z103" s="267"/>
      <c r="AA103" s="268"/>
      <c r="AD103" s="2"/>
      <c r="AE103" s="2"/>
      <c r="AF103" s="2"/>
      <c r="AG103" s="2"/>
      <c r="AH103" s="2"/>
      <c r="AI103" s="2"/>
      <c r="AJ103" s="2"/>
      <c r="AK103" s="2"/>
      <c r="AL103" s="2"/>
      <c r="AM103" s="2"/>
      <c r="AN103" s="2"/>
      <c r="AO103" s="2"/>
    </row>
    <row r="104" spans="1:55" ht="33.75" customHeight="1" x14ac:dyDescent="0.25">
      <c r="A104" s="433" t="s">
        <v>1038</v>
      </c>
      <c r="B104" s="3138" t="s">
        <v>354</v>
      </c>
      <c r="C104" s="3221"/>
      <c r="D104" s="3221"/>
      <c r="E104" s="3140" t="s">
        <v>272</v>
      </c>
      <c r="F104" s="3138"/>
      <c r="G104" s="3138"/>
      <c r="H104" s="3140" t="s">
        <v>273</v>
      </c>
      <c r="I104" s="3138"/>
      <c r="J104" s="3138"/>
      <c r="K104" s="3140" t="s">
        <v>365</v>
      </c>
      <c r="L104" s="3138"/>
      <c r="M104" s="3221"/>
      <c r="AD104" s="2"/>
      <c r="AE104" s="2"/>
      <c r="AF104" s="2"/>
      <c r="AG104" s="2"/>
      <c r="AH104" s="2"/>
      <c r="AI104" s="2"/>
      <c r="AJ104" s="2"/>
      <c r="AK104" s="2"/>
      <c r="AL104" s="2"/>
      <c r="AM104" s="2"/>
      <c r="AN104" s="2"/>
      <c r="AO104" s="2"/>
    </row>
    <row r="105" spans="1:55" s="446" customFormat="1" ht="13.8" hidden="1" x14ac:dyDescent="0.25">
      <c r="A105" s="433" t="s">
        <v>1038</v>
      </c>
      <c r="B105" s="461" t="s">
        <v>1396</v>
      </c>
      <c r="C105" s="530" t="s">
        <v>143</v>
      </c>
      <c r="D105" s="530"/>
      <c r="E105" s="462" t="s">
        <v>1442</v>
      </c>
      <c r="F105" s="461"/>
      <c r="G105" s="461"/>
      <c r="H105" s="462" t="s">
        <v>1443</v>
      </c>
      <c r="I105" s="461"/>
      <c r="J105" s="461"/>
      <c r="K105" s="462" t="s">
        <v>1444</v>
      </c>
      <c r="L105" s="461"/>
      <c r="M105" s="530"/>
      <c r="Q105" s="628" t="s">
        <v>1407</v>
      </c>
      <c r="R105" s="628" t="s">
        <v>1408</v>
      </c>
      <c r="AD105" s="447"/>
      <c r="AE105" s="447"/>
      <c r="AF105" s="447"/>
      <c r="AG105" s="447"/>
      <c r="AH105" s="447"/>
      <c r="AI105" s="447"/>
      <c r="AJ105" s="447"/>
      <c r="AK105" s="447"/>
      <c r="AL105" s="447"/>
      <c r="AM105" s="447"/>
      <c r="AN105" s="447"/>
      <c r="AO105" s="447"/>
    </row>
    <row r="106" spans="1:55" ht="18" customHeight="1" x14ac:dyDescent="0.25">
      <c r="A106" s="433" t="s">
        <v>1038</v>
      </c>
      <c r="B106" s="577" t="str">
        <f t="shared" ref="B106:B117" si="29">IFERROR(IF(ISBLANK(B10),"",B10),"")</f>
        <v/>
      </c>
      <c r="C106" s="3079" t="str">
        <f t="shared" ref="C106:C120" si="30">IFERROR(CONCATENATE("$ / ",VLOOKUP($B106,PO_Enrgy_1_Table,MATCH($C$9,PO_Enrgy_1_Hdr,0),FALSE)),"")</f>
        <v xml:space="preserve">$ / </v>
      </c>
      <c r="D106" s="3080" t="e">
        <f>IF(C106="","",VLOOKUP(C106,ProjectEnergyTypeTable,3,FALSE))</f>
        <v>#NAME?</v>
      </c>
      <c r="E106" s="3086" t="str">
        <f>IFERROR(IF(AND(DESPath=3,OR($B106="District Cooling",$B106="District Steam",$B106="District Hot Water")),IF($B106="District Cooling",#REF!,#REF!),VLOOKUP($B106,PO_Enrgy_7_Table,MATCH($G$84,PO_Enrgy_7_Hdr,0),FALSE)/VLOOKUP($B106,PO_Enrgy_7_Table,MATCH($E$84,PO_Enrgy_7_Hdr,0),FALSE)),"")</f>
        <v/>
      </c>
      <c r="F106" s="3087"/>
      <c r="G106" s="3087"/>
      <c r="H106" s="3086" t="str">
        <f>IFERROR(IF(AND(DESPath=3,OR($B106="District Cooling",$B106="District Steam",$B106="District Hot Water")),IF($B106="District Cooling",#REF!,#REF!),VLOOKUP($B106,PO_Enrgy_7_Table,MATCH($J$84,PO_Enrgy_7_Hdr,0),FALSE)/VLOOKUP($B106,PO_Enrgy_7_Table,MATCH($H$84,PO_Enrgy_7_Hdr,0),FALSE)),"")</f>
        <v/>
      </c>
      <c r="I106" s="3087"/>
      <c r="J106" s="3087"/>
      <c r="K106" s="3084" t="str">
        <f t="shared" ref="K106:K111" si="31">IFERROR(ABS(1-H106/E106),"")</f>
        <v/>
      </c>
      <c r="L106" s="3088"/>
      <c r="M106" s="3089"/>
      <c r="Q106" s="627" t="str">
        <f t="shared" ref="Q106:Q120" si="32">IFERROR(IF(ISBLANK($B106),"",VLOOKUP($B106,PO_Enrgy_1_Table,MATCH($K$9,PO_Enrgy_1_Hdr,0),FALSE)),"")</f>
        <v/>
      </c>
      <c r="R106" s="627" t="str">
        <f t="shared" ref="R106:R120" si="33">IFERROR(IF(ISBLANK($B106),"",VLOOKUP($B106,PO_Enrgy_1_Table,MATCH($M$9,PO_Enrgy_1_Hdr,0),FALSE)),"")</f>
        <v/>
      </c>
      <c r="AD106" s="449"/>
      <c r="AE106" s="449"/>
      <c r="AF106" s="253"/>
      <c r="AG106" s="2"/>
      <c r="AH106" s="450"/>
      <c r="AI106" s="451"/>
      <c r="AJ106" s="452"/>
      <c r="AK106" s="2"/>
      <c r="AL106" s="2"/>
      <c r="AM106" s="2"/>
      <c r="AN106" s="2"/>
      <c r="AO106" s="2"/>
      <c r="BC106" s="804"/>
    </row>
    <row r="107" spans="1:55" ht="18" customHeight="1" x14ac:dyDescent="0.25">
      <c r="A107" s="433" t="s">
        <v>1038</v>
      </c>
      <c r="B107" s="577" t="str">
        <f t="shared" si="29"/>
        <v/>
      </c>
      <c r="C107" s="3079" t="str">
        <f t="shared" si="30"/>
        <v xml:space="preserve">$ / </v>
      </c>
      <c r="D107" s="3080" t="e">
        <f>IF(C107="","",VLOOKUP(C107,ProjectEnergyTypeTable,3,FALSE))</f>
        <v>#NAME?</v>
      </c>
      <c r="E107" s="3086" t="str">
        <f>IFERROR(IF(AND(DESPath=3,OR($B107="District Cooling",$B107="District Steam",$B107="District Hot Water")),IF($B107="District Cooling",#REF!,#REF!),VLOOKUP($B107,PO_Enrgy_7_Table,MATCH($G$84,PO_Enrgy_7_Hdr,0),FALSE)/VLOOKUP($B107,PO_Enrgy_7_Table,MATCH($E$84,PO_Enrgy_7_Hdr,0),FALSE)),"")</f>
        <v/>
      </c>
      <c r="F107" s="3087"/>
      <c r="G107" s="3087"/>
      <c r="H107" s="3086" t="str">
        <f>IFERROR(IF(AND(DESPath=3,OR($B107="District Cooling",$B107="District Steam",$B107="District Hot Water")),IF($B107="District Cooling",#REF!,#REF!),VLOOKUP($B107,PO_Enrgy_7_Table,MATCH($J$84,PO_Enrgy_7_Hdr,0),FALSE)/VLOOKUP($B107,PO_Enrgy_7_Table,MATCH($H$84,PO_Enrgy_7_Hdr,0),FALSE)),"")</f>
        <v/>
      </c>
      <c r="I107" s="3087"/>
      <c r="J107" s="3087"/>
      <c r="K107" s="3084" t="str">
        <f t="shared" si="31"/>
        <v/>
      </c>
      <c r="L107" s="3088"/>
      <c r="M107" s="3089"/>
      <c r="Q107" s="627" t="str">
        <f t="shared" si="32"/>
        <v/>
      </c>
      <c r="R107" s="627" t="str">
        <f t="shared" si="33"/>
        <v/>
      </c>
      <c r="AD107" s="449"/>
      <c r="AE107" s="449"/>
      <c r="AF107" s="253"/>
      <c r="AG107" s="2"/>
      <c r="AH107" s="450"/>
      <c r="AI107" s="451"/>
      <c r="AJ107" s="452"/>
      <c r="AK107" s="2"/>
      <c r="AL107" s="2"/>
      <c r="AM107" s="2"/>
      <c r="AN107" s="2"/>
      <c r="AO107" s="2"/>
      <c r="BC107" s="804"/>
    </row>
    <row r="108" spans="1:55" ht="18" customHeight="1" x14ac:dyDescent="0.25">
      <c r="A108" s="433" t="s">
        <v>1038</v>
      </c>
      <c r="B108" s="577" t="str">
        <f t="shared" si="29"/>
        <v/>
      </c>
      <c r="C108" s="3079" t="str">
        <f t="shared" si="30"/>
        <v xml:space="preserve">$ / </v>
      </c>
      <c r="D108" s="3080" t="e">
        <f>IF(C108="","",VLOOKUP(C108,ProjectEnergyTypeTable,3,FALSE))</f>
        <v>#NAME?</v>
      </c>
      <c r="E108" s="3086" t="str">
        <f>IFERROR(IF(AND(DESPath=3,OR($B108="District Cooling",$B108="District Steam",$B108="District Hot Water")),IF($B108="District Cooling",#REF!,#REF!),VLOOKUP($B108,PO_Enrgy_7_Table,MATCH($G$84,PO_Enrgy_7_Hdr,0),FALSE)/VLOOKUP($B108,PO_Enrgy_7_Table,MATCH($E$84,PO_Enrgy_7_Hdr,0),FALSE)),"")</f>
        <v/>
      </c>
      <c r="F108" s="3087"/>
      <c r="G108" s="3087"/>
      <c r="H108" s="3086" t="str">
        <f>IFERROR(IF(AND(DESPath=3,OR($B108="District Cooling",$B108="District Steam",$B108="District Hot Water")),IF($B108="District Cooling",#REF!,#REF!),VLOOKUP($B108,PO_Enrgy_7_Table,MATCH($J$84,PO_Enrgy_7_Hdr,0),FALSE)/VLOOKUP($B108,PO_Enrgy_7_Table,MATCH($H$84,PO_Enrgy_7_Hdr,0),FALSE)),"")</f>
        <v/>
      </c>
      <c r="I108" s="3087"/>
      <c r="J108" s="3087"/>
      <c r="K108" s="3084" t="str">
        <f t="shared" si="31"/>
        <v/>
      </c>
      <c r="L108" s="3088"/>
      <c r="M108" s="3089"/>
      <c r="Q108" s="627" t="str">
        <f t="shared" si="32"/>
        <v/>
      </c>
      <c r="R108" s="627" t="str">
        <f t="shared" si="33"/>
        <v/>
      </c>
      <c r="AD108" s="449"/>
      <c r="AE108" s="449"/>
      <c r="AF108" s="253"/>
      <c r="AG108" s="2"/>
      <c r="AH108" s="450"/>
      <c r="AI108" s="451"/>
      <c r="AJ108" s="452"/>
      <c r="AK108" s="2"/>
      <c r="AL108" s="2"/>
      <c r="AM108" s="2"/>
      <c r="AN108" s="2"/>
      <c r="AO108" s="2"/>
      <c r="BC108" s="804"/>
    </row>
    <row r="109" spans="1:55" ht="18" customHeight="1" x14ac:dyDescent="0.25">
      <c r="A109" s="433" t="s">
        <v>1038</v>
      </c>
      <c r="B109" s="577" t="str">
        <f t="shared" si="29"/>
        <v>Site energy consumption units used to report energy consumption totals (sum of energy types)</v>
      </c>
      <c r="C109" s="3079" t="str">
        <f t="shared" si="30"/>
        <v xml:space="preserve">$ / </v>
      </c>
      <c r="D109" s="3080" t="e">
        <f>IF(C109="","",VLOOKUP(C109,ProjectEnergyTypeTable,3,FALSE))</f>
        <v>#NAME?</v>
      </c>
      <c r="E109" s="3086" t="str">
        <f>IFERROR(IF(AND(DESPath=3,OR($B109="District Cooling",$B109="District Steam",$B109="District Hot Water")),IF($B109="District Cooling",#REF!,#REF!),VLOOKUP($B109,PO_Enrgy_7_Table,MATCH($G$84,PO_Enrgy_7_Hdr,0),FALSE)/VLOOKUP($B109,PO_Enrgy_7_Table,MATCH($E$84,PO_Enrgy_7_Hdr,0),FALSE)),"")</f>
        <v/>
      </c>
      <c r="F109" s="3087"/>
      <c r="G109" s="3087"/>
      <c r="H109" s="3086" t="str">
        <f>IFERROR(IF(AND(DESPath=3,OR($B109="District Cooling",$B109="District Steam",$B109="District Hot Water")),IF($B109="District Cooling",#REF!,#REF!),VLOOKUP($B109,PO_Enrgy_7_Table,MATCH($J$84,PO_Enrgy_7_Hdr,0),FALSE)/VLOOKUP($B109,PO_Enrgy_7_Table,MATCH($H$84,PO_Enrgy_7_Hdr,0),FALSE)),"")</f>
        <v/>
      </c>
      <c r="I109" s="3087"/>
      <c r="J109" s="3087"/>
      <c r="K109" s="3084" t="str">
        <f t="shared" si="31"/>
        <v/>
      </c>
      <c r="L109" s="3088"/>
      <c r="M109" s="3089"/>
      <c r="Q109" s="627" t="str">
        <f t="shared" si="32"/>
        <v/>
      </c>
      <c r="R109" s="627" t="str">
        <f t="shared" si="33"/>
        <v/>
      </c>
      <c r="AD109" s="449"/>
      <c r="AE109" s="449"/>
      <c r="AF109" s="253"/>
      <c r="AG109" s="2"/>
      <c r="AH109" s="450"/>
      <c r="AI109" s="451"/>
      <c r="AJ109" s="452"/>
      <c r="AK109" s="2"/>
      <c r="AL109" s="2"/>
      <c r="AM109" s="2"/>
      <c r="AN109" s="2"/>
      <c r="AO109" s="2"/>
      <c r="BC109" s="804"/>
    </row>
    <row r="110" spans="1:55" ht="18" customHeight="1" x14ac:dyDescent="0.25">
      <c r="A110" s="433" t="s">
        <v>1038</v>
      </c>
      <c r="B110" s="577" t="str">
        <f t="shared" si="29"/>
        <v>Source energy consumption units used to report energy consumption totals (sum of energy types)</v>
      </c>
      <c r="C110" s="3079" t="str">
        <f t="shared" si="30"/>
        <v xml:space="preserve">$ / </v>
      </c>
      <c r="D110" s="3080" t="e">
        <f>IF(C110="","",VLOOKUP(C110,ProjectEnergyTypeTable,3,FALSE))</f>
        <v>#NAME?</v>
      </c>
      <c r="E110" s="3086" t="str">
        <f>IFERROR(IF(AND(DESPath=3,OR($B110="District Cooling",$B110="District Steam",$B110="District Hot Water")),IF($B110="District Cooling",#REF!,#REF!),VLOOKUP($B110,PO_Enrgy_7_Table,MATCH($G$84,PO_Enrgy_7_Hdr,0),FALSE)/VLOOKUP($B110,PO_Enrgy_7_Table,MATCH($E$84,PO_Enrgy_7_Hdr,0),FALSE)),"")</f>
        <v/>
      </c>
      <c r="F110" s="3087"/>
      <c r="G110" s="3087"/>
      <c r="H110" s="3086" t="str">
        <f>IFERROR(IF(AND(DESPath=3,OR($B110="District Cooling",$B110="District Steam",$B110="District Hot Water")),IF($B110="District Cooling",#REF!,#REF!),VLOOKUP($B110,PO_Enrgy_7_Table,MATCH($J$84,PO_Enrgy_7_Hdr,0),FALSE)/VLOOKUP($B110,PO_Enrgy_7_Table,MATCH($H$84,PO_Enrgy_7_Hdr,0),FALSE)),"")</f>
        <v/>
      </c>
      <c r="I110" s="3087"/>
      <c r="J110" s="3087"/>
      <c r="K110" s="3084" t="str">
        <f t="shared" si="31"/>
        <v/>
      </c>
      <c r="L110" s="3088"/>
      <c r="M110" s="3089"/>
      <c r="Q110" s="627" t="str">
        <f t="shared" si="32"/>
        <v/>
      </c>
      <c r="R110" s="627" t="str">
        <f t="shared" si="33"/>
        <v/>
      </c>
      <c r="AD110" s="449"/>
      <c r="AE110" s="449"/>
      <c r="AF110" s="253"/>
      <c r="AG110" s="2"/>
      <c r="AH110" s="450"/>
      <c r="AI110" s="451"/>
      <c r="AJ110" s="452"/>
      <c r="AK110" s="2"/>
      <c r="AL110" s="2"/>
      <c r="AM110" s="2"/>
      <c r="AN110" s="2"/>
      <c r="AO110" s="2"/>
      <c r="BC110" s="804"/>
    </row>
    <row r="111" spans="1:55" ht="18" customHeight="1" x14ac:dyDescent="0.25">
      <c r="A111" s="433" t="s">
        <v>1038</v>
      </c>
      <c r="B111" s="577" t="str">
        <f t="shared" si="29"/>
        <v/>
      </c>
      <c r="C111" s="3079" t="str">
        <f t="shared" si="30"/>
        <v xml:space="preserve">$ / </v>
      </c>
      <c r="D111" s="3080" t="e">
        <f>IF(C111="","",VLOOKUP(C111,ProjectEnergyTypeTable,3,FALSE))</f>
        <v>#NAME?</v>
      </c>
      <c r="E111" s="3086" t="str">
        <f>IFERROR(IF(AND(DESPath=3,OR($B111="District Cooling",$B111="District Steam",$B111="District Hot Water")),IF($B111="District Cooling",#REF!,#REF!),VLOOKUP($B111,PO_Enrgy_7_Table,MATCH($G$84,PO_Enrgy_7_Hdr,0),FALSE)/VLOOKUP($B111,PO_Enrgy_7_Table,MATCH($E$84,PO_Enrgy_7_Hdr,0),FALSE)),"")</f>
        <v/>
      </c>
      <c r="F111" s="3087"/>
      <c r="G111" s="3087"/>
      <c r="H111" s="3086" t="str">
        <f>IFERROR(IF(AND(DESPath=3,OR($B111="District Cooling",$B111="District Steam",$B111="District Hot Water")),IF($B111="District Cooling",#REF!,#REF!),VLOOKUP($B111,PO_Enrgy_7_Table,MATCH($J$84,PO_Enrgy_7_Hdr,0),FALSE)/VLOOKUP($B111,PO_Enrgy_7_Table,MATCH($H$84,PO_Enrgy_7_Hdr,0),FALSE)),"")</f>
        <v/>
      </c>
      <c r="I111" s="3087"/>
      <c r="J111" s="3087"/>
      <c r="K111" s="3084" t="str">
        <f t="shared" si="31"/>
        <v/>
      </c>
      <c r="L111" s="3088"/>
      <c r="M111" s="3089"/>
      <c r="Q111" s="627" t="str">
        <f t="shared" si="32"/>
        <v/>
      </c>
      <c r="R111" s="627" t="str">
        <f t="shared" si="33"/>
        <v/>
      </c>
      <c r="AD111" s="449"/>
      <c r="AE111" s="449"/>
      <c r="AF111" s="253"/>
      <c r="AG111" s="2"/>
      <c r="AH111" s="450"/>
      <c r="AI111" s="451"/>
      <c r="AJ111" s="452"/>
      <c r="AK111" s="2"/>
      <c r="AL111" s="2"/>
      <c r="AM111" s="2"/>
      <c r="AN111" s="2"/>
      <c r="AO111" s="2"/>
      <c r="BC111" s="804"/>
    </row>
    <row r="112" spans="1:55" ht="18" customHeight="1" x14ac:dyDescent="0.25">
      <c r="A112" s="433" t="s">
        <v>1038</v>
      </c>
      <c r="B112" s="577" t="str">
        <f t="shared" si="29"/>
        <v/>
      </c>
      <c r="C112" s="3079" t="str">
        <f t="shared" si="30"/>
        <v xml:space="preserve">$ / </v>
      </c>
      <c r="D112" s="3080" t="e">
        <f>IF(C112="","",VLOOKUP(C112,ProjectEnergyTypeTable,3,FALSE))</f>
        <v>#NAME?</v>
      </c>
      <c r="E112" s="3086" t="str">
        <f>IFERROR(IF(AND(DESPath=3,OR($B112="District Cooling",$B112="District Steam",$B112="District Hot Water")),IF($B112="District Cooling",#REF!,#REF!),VLOOKUP($B112,PO_Enrgy_7_Table,MATCH($G$84,PO_Enrgy_7_Hdr,0),FALSE)/VLOOKUP($B112,PO_Enrgy_7_Table,MATCH($E$84,PO_Enrgy_7_Hdr,0),FALSE)),"")</f>
        <v/>
      </c>
      <c r="F112" s="3087"/>
      <c r="G112" s="3087"/>
      <c r="H112" s="3086" t="str">
        <f>IFERROR(IF(AND(DESPath=3,OR($B112="District Cooling",$B112="District Steam",$B112="District Hot Water")),IF($B112="District Cooling",#REF!,#REF!),VLOOKUP($B112,PO_Enrgy_7_Table,MATCH($J$84,PO_Enrgy_7_Hdr,0),FALSE)/VLOOKUP($B112,PO_Enrgy_7_Table,MATCH($H$84,PO_Enrgy_7_Hdr,0),FALSE)),"")</f>
        <v/>
      </c>
      <c r="I112" s="3087"/>
      <c r="J112" s="3087"/>
      <c r="K112" s="3084" t="str">
        <f t="shared" ref="K112:K113" si="34">IFERROR(ABS(1-H112/E112),"")</f>
        <v/>
      </c>
      <c r="L112" s="3088"/>
      <c r="M112" s="3089"/>
      <c r="Q112" s="627" t="str">
        <f t="shared" si="32"/>
        <v/>
      </c>
      <c r="R112" s="627" t="str">
        <f t="shared" si="33"/>
        <v/>
      </c>
      <c r="AD112" s="449"/>
      <c r="AE112" s="449"/>
      <c r="AF112" s="253"/>
      <c r="AG112" s="2"/>
      <c r="AH112" s="450"/>
      <c r="AI112" s="451"/>
      <c r="AJ112" s="452"/>
      <c r="AK112" s="2"/>
      <c r="AL112" s="2"/>
      <c r="AM112" s="2"/>
      <c r="AN112" s="2"/>
      <c r="AO112" s="2"/>
      <c r="BC112" s="804"/>
    </row>
    <row r="113" spans="1:55" ht="18" customHeight="1" x14ac:dyDescent="0.25">
      <c r="A113" s="433" t="s">
        <v>1038</v>
      </c>
      <c r="B113" s="577" t="str">
        <f t="shared" si="29"/>
        <v>Table 12.3: On-Site Renewable Energy Production</v>
      </c>
      <c r="C113" s="3079" t="str">
        <f t="shared" si="30"/>
        <v xml:space="preserve">$ / </v>
      </c>
      <c r="D113" s="3080" t="e">
        <f>IF(C113="","",VLOOKUP(C113,ProjectEnergyTypeTable,3,FALSE))</f>
        <v>#NAME?</v>
      </c>
      <c r="E113" s="3086" t="str">
        <f>IFERROR(IF(AND(DESPath=3,OR($B113="District Cooling",$B113="District Steam",$B113="District Hot Water")),IF($B113="District Cooling",#REF!,#REF!),VLOOKUP($B113,PO_Enrgy_7_Table,MATCH($G$84,PO_Enrgy_7_Hdr,0),FALSE)/VLOOKUP($B113,PO_Enrgy_7_Table,MATCH($E$84,PO_Enrgy_7_Hdr,0),FALSE)),"")</f>
        <v/>
      </c>
      <c r="F113" s="3087"/>
      <c r="G113" s="3087"/>
      <c r="H113" s="3086" t="str">
        <f>IFERROR(IF(AND(DESPath=3,OR($B113="District Cooling",$B113="District Steam",$B113="District Hot Water")),IF($B113="District Cooling",#REF!,#REF!),VLOOKUP($B113,PO_Enrgy_7_Table,MATCH($J$84,PO_Enrgy_7_Hdr,0),FALSE)/VLOOKUP($B113,PO_Enrgy_7_Table,MATCH($H$84,PO_Enrgy_7_Hdr,0),FALSE)),"")</f>
        <v/>
      </c>
      <c r="I113" s="3087"/>
      <c r="J113" s="3087"/>
      <c r="K113" s="3084" t="str">
        <f t="shared" si="34"/>
        <v/>
      </c>
      <c r="L113" s="3088"/>
      <c r="M113" s="3089"/>
      <c r="Q113" s="627" t="str">
        <f t="shared" si="32"/>
        <v/>
      </c>
      <c r="R113" s="627" t="str">
        <f t="shared" si="33"/>
        <v/>
      </c>
      <c r="AD113" s="449"/>
      <c r="AE113" s="449"/>
      <c r="AF113" s="253"/>
      <c r="AG113" s="2"/>
      <c r="AH113" s="450"/>
      <c r="AI113" s="451"/>
      <c r="AJ113" s="452"/>
      <c r="AK113" s="2"/>
      <c r="AL113" s="2"/>
      <c r="AM113" s="2"/>
      <c r="AN113" s="2"/>
      <c r="AO113" s="2"/>
      <c r="BC113" s="804"/>
    </row>
    <row r="114" spans="1:55" ht="18" customHeight="1" x14ac:dyDescent="0.25">
      <c r="A114" s="433" t="s">
        <v>1038</v>
      </c>
      <c r="B114" s="577" t="str">
        <f t="shared" si="29"/>
        <v/>
      </c>
      <c r="C114" s="3079" t="str">
        <f t="shared" si="30"/>
        <v xml:space="preserve">$ / </v>
      </c>
      <c r="D114" s="3080" t="e">
        <f>IF(C114="","",VLOOKUP(C114,ProjectEnergyTypeTable,3,FALSE))</f>
        <v>#NAME?</v>
      </c>
      <c r="E114" s="3086" t="str">
        <f>IFERROR(IF(AND(DESPath=3,OR($B114="District Cooling",$B114="District Steam",$B114="District Hot Water")),IF($B114="District Cooling",#REF!,#REF!),VLOOKUP($B114,PO_Enrgy_7_Table,MATCH($G$84,PO_Enrgy_7_Hdr,0),FALSE)/VLOOKUP($B114,PO_Enrgy_7_Table,MATCH($E$84,PO_Enrgy_7_Hdr,0),FALSE)),"")</f>
        <v/>
      </c>
      <c r="F114" s="3087"/>
      <c r="G114" s="3087"/>
      <c r="H114" s="3086" t="str">
        <f>IFERROR(IF(AND(DESPath=3,OR($B114="District Cooling",$B114="District Steam",$B114="District Hot Water")),IF($B114="District Cooling",#REF!,#REF!),VLOOKUP($B114,PO_Enrgy_7_Table,MATCH($J$84,PO_Enrgy_7_Hdr,0),FALSE)/VLOOKUP($B114,PO_Enrgy_7_Table,MATCH($H$84,PO_Enrgy_7_Hdr,0),FALSE)),"")</f>
        <v/>
      </c>
      <c r="I114" s="3087"/>
      <c r="J114" s="3087"/>
      <c r="K114" s="3084" t="str">
        <f t="shared" ref="K114" si="35">IFERROR(ABS(1-H114/E114),"")</f>
        <v/>
      </c>
      <c r="L114" s="3088"/>
      <c r="M114" s="3089"/>
      <c r="Q114" s="627" t="str">
        <f t="shared" si="32"/>
        <v/>
      </c>
      <c r="R114" s="627" t="str">
        <f t="shared" si="33"/>
        <v/>
      </c>
      <c r="AD114" s="449"/>
      <c r="AE114" s="449"/>
      <c r="AF114" s="253"/>
      <c r="AG114" s="2"/>
      <c r="AH114" s="450"/>
      <c r="AI114" s="451"/>
      <c r="AJ114" s="452"/>
      <c r="AK114" s="2"/>
      <c r="AL114" s="2"/>
      <c r="AM114" s="2"/>
      <c r="AN114" s="2"/>
      <c r="AO114" s="2"/>
      <c r="BC114" s="804"/>
    </row>
    <row r="115" spans="1:55" ht="18" customHeight="1" x14ac:dyDescent="0.25">
      <c r="A115" s="433" t="s">
        <v>1038</v>
      </c>
      <c r="B115" s="577" t="str">
        <f t="shared" si="29"/>
        <v>The project building uses on-site renewable energy systems. (Optional)</v>
      </c>
      <c r="C115" s="3079" t="str">
        <f t="shared" si="30"/>
        <v xml:space="preserve">$ / </v>
      </c>
      <c r="D115" s="3080" t="e">
        <f>IF(C115="","",VLOOKUP(C115,ProjectEnergyTypeTable,3,FALSE))</f>
        <v>#NAME?</v>
      </c>
      <c r="E115" s="3086" t="str">
        <f>IFERROR(IF(AND(DESPath=3,OR($B115="District Cooling",$B115="District Steam",$B115="District Hot Water")),IF($B115="District Cooling",#REF!,#REF!),VLOOKUP($B115,PO_Enrgy_7_Table,MATCH($G$84,PO_Enrgy_7_Hdr,0),FALSE)/VLOOKUP($B115,PO_Enrgy_7_Table,MATCH($E$84,PO_Enrgy_7_Hdr,0),FALSE)),"")</f>
        <v/>
      </c>
      <c r="F115" s="3087"/>
      <c r="G115" s="3087"/>
      <c r="H115" s="3086" t="str">
        <f>IFERROR(IF(AND(DESPath=3,OR($B115="District Cooling",$B115="District Steam",$B115="District Hot Water")),IF($B115="District Cooling",#REF!,#REF!),VLOOKUP($B115,PO_Enrgy_7_Table,MATCH($J$84,PO_Enrgy_7_Hdr,0),FALSE)/VLOOKUP($B115,PO_Enrgy_7_Table,MATCH($H$84,PO_Enrgy_7_Hdr,0),FALSE)),"")</f>
        <v/>
      </c>
      <c r="I115" s="3087"/>
      <c r="J115" s="3087"/>
      <c r="K115" s="3084" t="str">
        <f t="shared" ref="K115" si="36">IFERROR(ABS(1-H115/E115),"")</f>
        <v/>
      </c>
      <c r="L115" s="3088"/>
      <c r="M115" s="3089"/>
      <c r="Q115" s="627" t="str">
        <f t="shared" si="32"/>
        <v/>
      </c>
      <c r="R115" s="627" t="str">
        <f t="shared" si="33"/>
        <v/>
      </c>
      <c r="AD115" s="449"/>
      <c r="AE115" s="449"/>
      <c r="AF115" s="253"/>
      <c r="AG115" s="2"/>
      <c r="AH115" s="450"/>
      <c r="AI115" s="451"/>
      <c r="AJ115" s="452"/>
      <c r="AK115" s="2"/>
      <c r="AL115" s="2"/>
      <c r="AM115" s="2"/>
      <c r="AN115" s="2"/>
      <c r="AO115" s="2"/>
      <c r="BC115" s="804"/>
    </row>
    <row r="116" spans="1:55" ht="18" customHeight="1" x14ac:dyDescent="0.25">
      <c r="A116" s="433" t="s">
        <v>1038</v>
      </c>
      <c r="B116" s="577" t="str">
        <f t="shared" si="29"/>
        <v/>
      </c>
      <c r="C116" s="3079" t="str">
        <f t="shared" si="30"/>
        <v xml:space="preserve">$ / </v>
      </c>
      <c r="D116" s="3080" t="e">
        <f>IF(C116="","",VLOOKUP(C116,ProjectEnergyTypeTable,3,FALSE))</f>
        <v>#NAME?</v>
      </c>
      <c r="E116" s="3086" t="str">
        <f>IFERROR(IF(AND(DESPath=3,OR($B116="District Cooling",$B116="District Steam",$B116="District Hot Water")),IF($B116="District Cooling",#REF!,#REF!),VLOOKUP($B116,PO_Enrgy_7_Table,MATCH($G$84,PO_Enrgy_7_Hdr,0),FALSE)/VLOOKUP($B116,PO_Enrgy_7_Table,MATCH($E$84,PO_Enrgy_7_Hdr,0),FALSE)),"")</f>
        <v/>
      </c>
      <c r="F116" s="3087"/>
      <c r="G116" s="3087"/>
      <c r="H116" s="3086" t="str">
        <f>IFERROR(IF(AND(DESPath=3,OR($B116="District Cooling",$B116="District Steam",$B116="District Hot Water")),IF($B116="District Cooling",#REF!,#REF!),VLOOKUP($B116,PO_Enrgy_7_Table,MATCH($J$84,PO_Enrgy_7_Hdr,0),FALSE)/VLOOKUP($B116,PO_Enrgy_7_Table,MATCH($H$84,PO_Enrgy_7_Hdr,0),FALSE)),"")</f>
        <v/>
      </c>
      <c r="I116" s="3087"/>
      <c r="J116" s="3087"/>
      <c r="K116" s="3084" t="str">
        <f t="shared" ref="K116" si="37">IFERROR(ABS(1-H116/E116),"")</f>
        <v/>
      </c>
      <c r="L116" s="3088"/>
      <c r="M116" s="3089"/>
      <c r="Q116" s="627" t="str">
        <f t="shared" si="32"/>
        <v/>
      </c>
      <c r="R116" s="627" t="str">
        <f t="shared" si="33"/>
        <v/>
      </c>
      <c r="AD116" s="449"/>
      <c r="AE116" s="449"/>
      <c r="AF116" s="253"/>
      <c r="AG116" s="2"/>
      <c r="AH116" s="450"/>
      <c r="AI116" s="451"/>
      <c r="AJ116" s="452"/>
      <c r="AK116" s="2"/>
      <c r="AL116" s="2"/>
      <c r="AM116" s="2"/>
      <c r="AN116" s="2"/>
      <c r="AO116" s="2"/>
      <c r="BC116" s="804"/>
    </row>
    <row r="117" spans="1:55" ht="18" customHeight="1" x14ac:dyDescent="0.25">
      <c r="A117" s="433" t="s">
        <v>1038</v>
      </c>
      <c r="B117" s="577" t="str">
        <f t="shared" si="29"/>
        <v>Table: On-Site Renewable energy source summary</v>
      </c>
      <c r="C117" s="3079" t="str">
        <f t="shared" si="30"/>
        <v xml:space="preserve">$ / </v>
      </c>
      <c r="D117" s="3080" t="e">
        <f>IF(C117="","",VLOOKUP(C117,ProjectEnergyTypeTable,3,FALSE))</f>
        <v>#NAME?</v>
      </c>
      <c r="E117" s="3086" t="str">
        <f>IFERROR(IF(AND(DESPath=3,OR($B117="District Cooling",$B117="District Steam",$B117="District Hot Water")),IF($B117="District Cooling",#REF!,#REF!),VLOOKUP($B117,PO_Enrgy_7_Table,MATCH($G$84,PO_Enrgy_7_Hdr,0),FALSE)/VLOOKUP($B117,PO_Enrgy_7_Table,MATCH($E$84,PO_Enrgy_7_Hdr,0),FALSE)),"")</f>
        <v/>
      </c>
      <c r="F117" s="3087"/>
      <c r="G117" s="3087"/>
      <c r="H117" s="3086" t="str">
        <f>IFERROR(IF(AND(DESPath=3,OR($B117="District Cooling",$B117="District Steam",$B117="District Hot Water")),IF($B117="District Cooling",#REF!,#REF!),VLOOKUP($B117,PO_Enrgy_7_Table,MATCH($J$84,PO_Enrgy_7_Hdr,0),FALSE)/VLOOKUP($B117,PO_Enrgy_7_Table,MATCH($H$84,PO_Enrgy_7_Hdr,0),FALSE)),"")</f>
        <v/>
      </c>
      <c r="I117" s="3087"/>
      <c r="J117" s="3087"/>
      <c r="K117" s="3084" t="str">
        <f t="shared" ref="K117" si="38">IFERROR(ABS(1-H117/E117),"")</f>
        <v/>
      </c>
      <c r="L117" s="3088"/>
      <c r="M117" s="3089"/>
      <c r="Q117" s="627" t="str">
        <f t="shared" si="32"/>
        <v/>
      </c>
      <c r="R117" s="627" t="str">
        <f t="shared" si="33"/>
        <v/>
      </c>
      <c r="AD117" s="449"/>
      <c r="AE117" s="449"/>
      <c r="AF117" s="253"/>
      <c r="AG117" s="2"/>
      <c r="AH117" s="450"/>
      <c r="AI117" s="451"/>
      <c r="AJ117" s="452"/>
      <c r="AK117" s="2"/>
      <c r="AL117" s="2"/>
      <c r="AM117" s="2"/>
      <c r="AN117" s="2"/>
      <c r="AO117" s="2"/>
      <c r="BC117" s="804"/>
    </row>
    <row r="118" spans="1:55" ht="18" customHeight="1" x14ac:dyDescent="0.25">
      <c r="A118" s="433" t="s">
        <v>1038</v>
      </c>
      <c r="B118" s="577" t="str">
        <f t="shared" ref="B118:B120" si="39">IFERROR(IF(ISBLANK(B22),"",B22),"")</f>
        <v>Renewable energy production should be reported in the table below. Note: This calculator will automatically reduce the proposed energy consumption and cost to accurately reflect the revised results. Therefore, any site-generated renewable energy production should NOT be included in the Performance Rating Method tables below.
Select the site-generated renewable energy source. Enter the rated capacity of the site-generated renewable source including the units (e.g. for photovoltaics 10 kW). Include all relevant capacities (i.e for solar thermal, both the storage tank capacity and the solar thermal panel capacity).
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v>
      </c>
      <c r="C118" s="3079" t="str">
        <f t="shared" si="30"/>
        <v/>
      </c>
      <c r="D118" s="3080" t="str">
        <f>IF(C118="","",VLOOKUP(C118,ProjectEnergyTypeTable,3,FALSE))</f>
        <v/>
      </c>
      <c r="E118" s="3086" t="str">
        <f>IFERROR(IF(AND(DESPath=3,OR($B118="District Cooling",$B118="District Steam",$B118="District Hot Water")),IF($B118="District Cooling",#REF!,#REF!),VLOOKUP($B118,PO_Enrgy_7_Table,MATCH($G$84,PO_Enrgy_7_Hdr,0),FALSE)/VLOOKUP($B118,PO_Enrgy_7_Table,MATCH($E$84,PO_Enrgy_7_Hdr,0),FALSE)),"")</f>
        <v/>
      </c>
      <c r="F118" s="3087"/>
      <c r="G118" s="3087"/>
      <c r="H118" s="3086" t="str">
        <f>IFERROR(IF(AND(DESPath=3,OR($B118="District Cooling",$B118="District Steam",$B118="District Hot Water")),IF($B118="District Cooling",#REF!,#REF!),VLOOKUP($B118,PO_Enrgy_7_Table,MATCH($J$84,PO_Enrgy_7_Hdr,0),FALSE)/VLOOKUP($B118,PO_Enrgy_7_Table,MATCH($H$84,PO_Enrgy_7_Hdr,0),FALSE)),"")</f>
        <v/>
      </c>
      <c r="I118" s="3087"/>
      <c r="J118" s="3087"/>
      <c r="K118" s="3084" t="str">
        <f t="shared" ref="K118:K120" si="40">IFERROR(ABS(1-H118/E118),"")</f>
        <v/>
      </c>
      <c r="L118" s="3088"/>
      <c r="M118" s="3089"/>
      <c r="Q118" s="627" t="str">
        <f t="shared" si="32"/>
        <v/>
      </c>
      <c r="R118" s="627" t="str">
        <f t="shared" si="33"/>
        <v/>
      </c>
      <c r="AD118" s="449"/>
      <c r="AE118" s="449"/>
      <c r="AF118" s="253"/>
      <c r="AG118" s="2"/>
      <c r="AH118" s="450"/>
      <c r="AI118" s="451"/>
      <c r="AJ118" s="452"/>
      <c r="AK118" s="2"/>
      <c r="AL118" s="2"/>
      <c r="AM118" s="2"/>
      <c r="AN118" s="2"/>
      <c r="AO118" s="2"/>
      <c r="BC118" s="804"/>
    </row>
    <row r="119" spans="1:55" ht="18" customHeight="1" x14ac:dyDescent="0.25">
      <c r="A119" s="433" t="s">
        <v>1038</v>
      </c>
      <c r="B119" s="577" t="str">
        <f t="shared" si="39"/>
        <v/>
      </c>
      <c r="C119" s="3079" t="str">
        <f t="shared" si="30"/>
        <v xml:space="preserve">$ / </v>
      </c>
      <c r="D119" s="3080" t="e">
        <f>IF(C119="","",VLOOKUP(C119,ProjectEnergyTypeTable,3,FALSE))</f>
        <v>#NAME?</v>
      </c>
      <c r="E119" s="3086" t="str">
        <f>IFERROR(IF(AND(DESPath=3,OR($B119="District Cooling",$B119="District Steam",$B119="District Hot Water")),IF($B119="District Cooling",#REF!,#REF!),VLOOKUP($B119,PO_Enrgy_7_Table,MATCH($G$84,PO_Enrgy_7_Hdr,0),FALSE)/VLOOKUP($B119,PO_Enrgy_7_Table,MATCH($E$84,PO_Enrgy_7_Hdr,0),FALSE)),"")</f>
        <v/>
      </c>
      <c r="F119" s="3087"/>
      <c r="G119" s="3087"/>
      <c r="H119" s="3086" t="str">
        <f>IFERROR(IF(AND(DESPath=3,OR($B119="District Cooling",$B119="District Steam",$B119="District Hot Water")),IF($B119="District Cooling",#REF!,#REF!),VLOOKUP($B119,PO_Enrgy_7_Table,MATCH($J$84,PO_Enrgy_7_Hdr,0),FALSE)/VLOOKUP($B119,PO_Enrgy_7_Table,MATCH($H$84,PO_Enrgy_7_Hdr,0),FALSE)),"")</f>
        <v/>
      </c>
      <c r="I119" s="3087"/>
      <c r="J119" s="3087"/>
      <c r="K119" s="3084" t="str">
        <f t="shared" si="40"/>
        <v/>
      </c>
      <c r="L119" s="3088"/>
      <c r="M119" s="3089"/>
      <c r="Q119" s="627" t="str">
        <f t="shared" si="32"/>
        <v/>
      </c>
      <c r="R119" s="627" t="str">
        <f t="shared" si="33"/>
        <v/>
      </c>
      <c r="AD119" s="449"/>
      <c r="AE119" s="449"/>
      <c r="AF119" s="253"/>
      <c r="AG119" s="2"/>
      <c r="AH119" s="450"/>
      <c r="AI119" s="451"/>
      <c r="AJ119" s="452"/>
      <c r="AK119" s="2"/>
      <c r="AL119" s="2"/>
      <c r="AM119" s="2"/>
      <c r="AN119" s="2"/>
      <c r="AO119" s="2"/>
      <c r="BC119" s="804"/>
    </row>
    <row r="120" spans="1:55" ht="18" customHeight="1" x14ac:dyDescent="0.25">
      <c r="A120" s="433" t="s">
        <v>1038</v>
      </c>
      <c r="B120" s="577" t="str">
        <f t="shared" si="39"/>
        <v>On-Site Renewable Source</v>
      </c>
      <c r="C120" s="3079" t="str">
        <f t="shared" si="30"/>
        <v xml:space="preserve">$ / </v>
      </c>
      <c r="D120" s="3080" t="e">
        <f>IF(C120="","",VLOOKUP(C120,ProjectEnergyTypeTable,3,FALSE))</f>
        <v>#NAME?</v>
      </c>
      <c r="E120" s="3086" t="str">
        <f>IFERROR(IF(AND(DESPath=3,OR($B120="District Cooling",$B120="District Steam",$B120="District Hot Water")),IF($B120="District Cooling",#REF!,#REF!),VLOOKUP($B120,PO_Enrgy_7_Table,MATCH($G$84,PO_Enrgy_7_Hdr,0),FALSE)/VLOOKUP($B120,PO_Enrgy_7_Table,MATCH($E$84,PO_Enrgy_7_Hdr,0),FALSE)),"")</f>
        <v/>
      </c>
      <c r="F120" s="3087"/>
      <c r="G120" s="3087"/>
      <c r="H120" s="3086" t="str">
        <f>IFERROR(IF(AND(DESPath=3,OR($B120="District Cooling",$B120="District Steam",$B120="District Hot Water")),IF($B120="District Cooling",#REF!,#REF!),VLOOKUP($B120,PO_Enrgy_7_Table,MATCH($J$84,PO_Enrgy_7_Hdr,0),FALSE)/VLOOKUP($B120,PO_Enrgy_7_Table,MATCH($H$84,PO_Enrgy_7_Hdr,0),FALSE)),"")</f>
        <v/>
      </c>
      <c r="I120" s="3087"/>
      <c r="J120" s="3087"/>
      <c r="K120" s="3084" t="str">
        <f t="shared" si="40"/>
        <v/>
      </c>
      <c r="L120" s="3088"/>
      <c r="M120" s="3089"/>
      <c r="Q120" s="627" t="str">
        <f t="shared" si="32"/>
        <v/>
      </c>
      <c r="R120" s="627" t="str">
        <f t="shared" si="33"/>
        <v/>
      </c>
      <c r="AD120" s="449"/>
      <c r="AE120" s="449"/>
      <c r="AF120" s="253"/>
      <c r="AG120" s="2"/>
      <c r="AH120" s="450"/>
      <c r="AI120" s="451"/>
      <c r="AJ120" s="452"/>
      <c r="AK120" s="2"/>
      <c r="AL120" s="2"/>
      <c r="AM120" s="2"/>
      <c r="AN120" s="2"/>
      <c r="AO120" s="2"/>
      <c r="BC120" s="804"/>
    </row>
    <row r="121" spans="1:55" s="245" customFormat="1" ht="31.5" customHeight="1" x14ac:dyDescent="0.25">
      <c r="A121" s="433" t="s">
        <v>1038</v>
      </c>
      <c r="B121" s="249"/>
      <c r="C121" s="249"/>
      <c r="D121" s="249"/>
      <c r="E121" s="250"/>
      <c r="F121" s="250"/>
      <c r="G121" s="294"/>
      <c r="H121" s="250"/>
      <c r="I121" s="250"/>
      <c r="J121" s="294"/>
      <c r="K121" s="335"/>
      <c r="L121" s="332"/>
      <c r="M121" s="332"/>
      <c r="N121" s="235"/>
      <c r="O121" s="235"/>
      <c r="P121" s="235"/>
      <c r="AD121" s="2"/>
      <c r="AE121" s="2"/>
      <c r="AF121" s="2"/>
      <c r="AG121" s="2"/>
      <c r="AH121" s="450"/>
      <c r="AI121" s="451"/>
      <c r="AJ121" s="2"/>
      <c r="AK121" s="2"/>
      <c r="AL121" s="2"/>
      <c r="AM121" s="2"/>
      <c r="AN121" s="2"/>
      <c r="AO121" s="2"/>
    </row>
    <row r="122" spans="1:55" ht="21" hidden="1" customHeight="1" x14ac:dyDescent="0.25">
      <c r="A122" s="433" t="s">
        <v>1038</v>
      </c>
      <c r="B122" s="3219" t="s">
        <v>1016</v>
      </c>
      <c r="C122" s="3220"/>
      <c r="D122" s="3220"/>
      <c r="E122" s="3220"/>
      <c r="F122" s="3220"/>
      <c r="G122" s="3220"/>
      <c r="H122" s="3220"/>
      <c r="I122" s="3220"/>
      <c r="J122" s="3220"/>
      <c r="K122" s="3220"/>
      <c r="L122" s="3220"/>
      <c r="Z122" s="267"/>
      <c r="AA122" s="268"/>
      <c r="AD122" s="2"/>
      <c r="AE122" s="2"/>
      <c r="AF122" s="2"/>
      <c r="AG122" s="2"/>
      <c r="AH122" s="2"/>
      <c r="AI122" s="2"/>
      <c r="AJ122" s="2"/>
      <c r="AK122" s="2"/>
      <c r="AL122" s="2"/>
      <c r="AM122" s="2"/>
      <c r="AN122" s="2"/>
      <c r="AO122" s="2"/>
    </row>
    <row r="123" spans="1:55" ht="41.25" hidden="1" customHeight="1" x14ac:dyDescent="0.25">
      <c r="A123" s="433" t="s">
        <v>1038</v>
      </c>
      <c r="B123" s="3138" t="s">
        <v>354</v>
      </c>
      <c r="C123" s="3139" t="s">
        <v>1436</v>
      </c>
      <c r="D123" s="3102"/>
      <c r="E123" s="3101" t="s">
        <v>1017</v>
      </c>
      <c r="F123" s="3101"/>
      <c r="G123" s="3101"/>
      <c r="H123" s="3100" t="s">
        <v>941</v>
      </c>
      <c r="I123" s="3100"/>
      <c r="J123" s="3100"/>
      <c r="K123" s="3215" t="s">
        <v>358</v>
      </c>
      <c r="L123" s="3145"/>
      <c r="M123" s="3216"/>
      <c r="N123" s="3190"/>
      <c r="O123" s="3190"/>
      <c r="P123" s="3190"/>
      <c r="AD123" s="2"/>
      <c r="AE123" s="2"/>
      <c r="AF123" s="2"/>
      <c r="AG123" s="2"/>
      <c r="AH123" s="450"/>
      <c r="AI123" s="451"/>
      <c r="AJ123" s="2"/>
      <c r="AK123" s="2"/>
      <c r="AL123" s="2"/>
      <c r="AM123" s="2"/>
      <c r="AN123" s="2"/>
      <c r="AO123" s="2"/>
    </row>
    <row r="124" spans="1:55" ht="63" hidden="1" customHeight="1" x14ac:dyDescent="0.25">
      <c r="A124" s="433" t="s">
        <v>1038</v>
      </c>
      <c r="B124" s="3102"/>
      <c r="C124" s="3102"/>
      <c r="D124" s="3102"/>
      <c r="E124" s="582" t="s">
        <v>902</v>
      </c>
      <c r="F124" s="584" t="str">
        <f>"Source Energy Use 
("  &amp; PO_SourceUnits &amp; ")"</f>
        <v>Source Energy Use 
(kWh)</v>
      </c>
      <c r="G124" s="582" t="s">
        <v>356</v>
      </c>
      <c r="H124" s="582" t="s">
        <v>902</v>
      </c>
      <c r="I124" s="584" t="str">
        <f>"Source Energy Use 
("  &amp; PO_SourceUnits &amp; ")"</f>
        <v>Source Energy Use 
(kWh)</v>
      </c>
      <c r="J124" s="582" t="s">
        <v>356</v>
      </c>
      <c r="K124" s="3215" t="s">
        <v>357</v>
      </c>
      <c r="L124" s="3216"/>
      <c r="M124" s="582" t="s">
        <v>356</v>
      </c>
      <c r="N124" s="334"/>
      <c r="O124" s="334"/>
      <c r="P124" s="334"/>
      <c r="AD124" s="2"/>
      <c r="AE124" s="2"/>
      <c r="AF124" s="2"/>
      <c r="AG124" s="2"/>
      <c r="AH124" s="2"/>
      <c r="AI124" s="2"/>
      <c r="AJ124" s="2"/>
      <c r="AK124" s="2"/>
      <c r="AL124" s="2"/>
      <c r="AM124" s="2"/>
      <c r="AN124" s="2"/>
      <c r="AO124" s="2"/>
    </row>
    <row r="125" spans="1:55" s="446" customFormat="1" ht="21.75" hidden="1" customHeight="1" x14ac:dyDescent="0.25">
      <c r="A125" s="433" t="s">
        <v>1038</v>
      </c>
      <c r="B125" s="461" t="s">
        <v>1396</v>
      </c>
      <c r="C125" s="461" t="s">
        <v>1424</v>
      </c>
      <c r="D125" s="461"/>
      <c r="E125" s="462" t="s">
        <v>1452</v>
      </c>
      <c r="F125" s="461" t="s">
        <v>1453</v>
      </c>
      <c r="G125" s="461" t="s">
        <v>1454</v>
      </c>
      <c r="H125" s="462" t="s">
        <v>1437</v>
      </c>
      <c r="I125" s="461" t="s">
        <v>1438</v>
      </c>
      <c r="J125" s="461" t="s">
        <v>1439</v>
      </c>
      <c r="K125" s="462" t="s">
        <v>1440</v>
      </c>
      <c r="L125" s="461"/>
      <c r="M125" s="462" t="s">
        <v>1441</v>
      </c>
      <c r="N125" s="445"/>
      <c r="Q125" s="628" t="s">
        <v>1407</v>
      </c>
      <c r="R125" s="628" t="s">
        <v>1408</v>
      </c>
      <c r="AD125" s="447"/>
      <c r="AE125" s="447"/>
      <c r="AF125" s="447"/>
      <c r="AG125" s="447"/>
      <c r="AH125" s="447"/>
      <c r="AI125" s="447"/>
      <c r="AJ125" s="447"/>
      <c r="AK125" s="447"/>
      <c r="AL125" s="447"/>
      <c r="AM125" s="447"/>
      <c r="AN125" s="447"/>
      <c r="AO125" s="447"/>
    </row>
    <row r="126" spans="1:55" ht="15" hidden="1" customHeight="1" x14ac:dyDescent="0.25">
      <c r="A126" s="433" t="s">
        <v>1038</v>
      </c>
      <c r="B126" s="577" t="str">
        <f t="shared" ref="B126:B137" si="41">IFERROR(IF(ISBLANK(B10),"",B10),"")</f>
        <v/>
      </c>
      <c r="C126" s="3079" t="str">
        <f t="shared" ref="C126:C140" si="42">IFERROR(IF(ISBLANK($B126),"",VLOOKUP($B126,PO_Enrgy_1_Table,MATCH($C$9,PO_Enrgy_1_Hdr,0),FALSE) ),"")</f>
        <v/>
      </c>
      <c r="D126" s="3080" t="str">
        <f>IF(C126="","",VLOOKUP(C126,ProjectEnergyTypeTable,3,FALSE))</f>
        <v/>
      </c>
      <c r="E126" s="527">
        <v>0</v>
      </c>
      <c r="F126" s="527">
        <v>0</v>
      </c>
      <c r="G126" s="529">
        <v>0</v>
      </c>
      <c r="H126" s="527">
        <v>0</v>
      </c>
      <c r="I126" s="527">
        <v>0</v>
      </c>
      <c r="J126" s="529">
        <v>0</v>
      </c>
      <c r="K126" s="3090" t="str">
        <f t="shared" ref="K126:K141" si="43">IFERROR(1-H126/E126,"")</f>
        <v/>
      </c>
      <c r="L126" s="3085"/>
      <c r="M126" s="578" t="str">
        <f t="shared" ref="M126:M141" si="44">IFERROR(1-J126/G126,"")</f>
        <v/>
      </c>
      <c r="Q126" s="627" t="str">
        <f t="shared" ref="Q126:Q140" si="45">IFERROR(IF(ISBLANK($B126),"",VLOOKUP($B126,PO_Enrgy_1_Table,MATCH($K$9,PO_Enrgy_1_Hdr,0),FALSE)),"")</f>
        <v/>
      </c>
      <c r="R126" s="627" t="str">
        <f t="shared" ref="R126:R140" si="46">IFERROR(IF(ISBLANK($B126),"",VLOOKUP($B126,PO_Enrgy_1_Table,MATCH($M$9,PO_Enrgy_1_Hdr,0),FALSE)),"")</f>
        <v/>
      </c>
      <c r="AD126" s="449"/>
      <c r="AE126" s="449"/>
      <c r="AF126" s="2"/>
      <c r="AG126" s="2"/>
      <c r="AH126" s="453"/>
      <c r="AI126" s="453"/>
      <c r="AJ126" s="454"/>
      <c r="AK126" s="454"/>
      <c r="AL126" s="2"/>
      <c r="AM126" s="455"/>
      <c r="AN126" s="2"/>
      <c r="AO126" s="2"/>
      <c r="AP126" s="296"/>
      <c r="AQ126" s="296"/>
      <c r="BC126" s="804"/>
    </row>
    <row r="127" spans="1:55" ht="15" hidden="1" customHeight="1" x14ac:dyDescent="0.25">
      <c r="A127" s="433" t="s">
        <v>1038</v>
      </c>
      <c r="B127" s="577" t="str">
        <f t="shared" si="41"/>
        <v/>
      </c>
      <c r="C127" s="3079" t="str">
        <f t="shared" si="42"/>
        <v/>
      </c>
      <c r="D127" s="3080" t="str">
        <f>IF(C127="","",VLOOKUP(C127,ProjectEnergyTypeTable,3,FALSE))</f>
        <v/>
      </c>
      <c r="E127" s="527">
        <v>0</v>
      </c>
      <c r="F127" s="527">
        <v>0</v>
      </c>
      <c r="G127" s="529">
        <v>0</v>
      </c>
      <c r="H127" s="527">
        <v>0</v>
      </c>
      <c r="I127" s="527">
        <v>0</v>
      </c>
      <c r="J127" s="529">
        <v>0</v>
      </c>
      <c r="K127" s="3090" t="str">
        <f t="shared" si="43"/>
        <v/>
      </c>
      <c r="L127" s="3085"/>
      <c r="M127" s="578" t="str">
        <f t="shared" si="44"/>
        <v/>
      </c>
      <c r="Q127" s="627" t="str">
        <f t="shared" si="45"/>
        <v/>
      </c>
      <c r="R127" s="627" t="str">
        <f t="shared" si="46"/>
        <v/>
      </c>
      <c r="AD127" s="449"/>
      <c r="AE127" s="449"/>
      <c r="AF127" s="2"/>
      <c r="AG127" s="2"/>
      <c r="AH127" s="453"/>
      <c r="AI127" s="453"/>
      <c r="AJ127" s="454"/>
      <c r="AK127" s="454"/>
      <c r="AL127" s="2"/>
      <c r="AM127" s="455"/>
      <c r="AN127" s="2"/>
      <c r="AO127" s="2"/>
      <c r="AP127" s="296"/>
      <c r="AQ127" s="296"/>
      <c r="BC127" s="804"/>
    </row>
    <row r="128" spans="1:55" ht="15" hidden="1" customHeight="1" x14ac:dyDescent="0.25">
      <c r="A128" s="433" t="s">
        <v>1038</v>
      </c>
      <c r="B128" s="577" t="str">
        <f t="shared" si="41"/>
        <v/>
      </c>
      <c r="C128" s="3079" t="str">
        <f t="shared" si="42"/>
        <v/>
      </c>
      <c r="D128" s="3080" t="str">
        <f>IF(C128="","",VLOOKUP(C128,ProjectEnergyTypeTable,3,FALSE))</f>
        <v/>
      </c>
      <c r="E128" s="527">
        <v>0</v>
      </c>
      <c r="F128" s="527">
        <v>0</v>
      </c>
      <c r="G128" s="529">
        <v>0</v>
      </c>
      <c r="H128" s="527">
        <v>0</v>
      </c>
      <c r="I128" s="527">
        <v>0</v>
      </c>
      <c r="J128" s="529">
        <v>0</v>
      </c>
      <c r="K128" s="3090" t="str">
        <f t="shared" si="43"/>
        <v/>
      </c>
      <c r="L128" s="3085"/>
      <c r="M128" s="578" t="str">
        <f t="shared" si="44"/>
        <v/>
      </c>
      <c r="Q128" s="627" t="str">
        <f t="shared" si="45"/>
        <v/>
      </c>
      <c r="R128" s="627" t="str">
        <f t="shared" si="46"/>
        <v/>
      </c>
      <c r="AD128" s="449"/>
      <c r="AE128" s="449"/>
      <c r="AF128" s="2"/>
      <c r="AG128" s="2"/>
      <c r="AH128" s="453"/>
      <c r="AI128" s="453"/>
      <c r="AJ128" s="454"/>
      <c r="AK128" s="454"/>
      <c r="AL128" s="2"/>
      <c r="AM128" s="455"/>
      <c r="AN128" s="2"/>
      <c r="AO128" s="2"/>
      <c r="AP128" s="296"/>
      <c r="AQ128" s="296"/>
      <c r="BC128" s="804"/>
    </row>
    <row r="129" spans="1:55" ht="15" hidden="1" customHeight="1" x14ac:dyDescent="0.25">
      <c r="A129" s="433" t="s">
        <v>1038</v>
      </c>
      <c r="B129" s="577" t="str">
        <f t="shared" si="41"/>
        <v>Site energy consumption units used to report energy consumption totals (sum of energy types)</v>
      </c>
      <c r="C129" s="3079" t="str">
        <f t="shared" si="42"/>
        <v/>
      </c>
      <c r="D129" s="3080" t="str">
        <f>IF(C129="","",VLOOKUP(C129,ProjectEnergyTypeTable,3,FALSE))</f>
        <v/>
      </c>
      <c r="E129" s="527">
        <v>0</v>
      </c>
      <c r="F129" s="527">
        <v>0</v>
      </c>
      <c r="G129" s="529">
        <v>0</v>
      </c>
      <c r="H129" s="527">
        <v>0</v>
      </c>
      <c r="I129" s="527">
        <v>0</v>
      </c>
      <c r="J129" s="529">
        <v>0</v>
      </c>
      <c r="K129" s="3090" t="str">
        <f t="shared" si="43"/>
        <v/>
      </c>
      <c r="L129" s="3085"/>
      <c r="M129" s="578" t="str">
        <f t="shared" si="44"/>
        <v/>
      </c>
      <c r="Q129" s="627" t="str">
        <f t="shared" si="45"/>
        <v/>
      </c>
      <c r="R129" s="627" t="str">
        <f t="shared" si="46"/>
        <v/>
      </c>
      <c r="AD129" s="449"/>
      <c r="AE129" s="449"/>
      <c r="AF129" s="2"/>
      <c r="AG129" s="2"/>
      <c r="AH129" s="453"/>
      <c r="AI129" s="453"/>
      <c r="AJ129" s="454"/>
      <c r="AK129" s="454"/>
      <c r="AL129" s="2"/>
      <c r="AM129" s="455"/>
      <c r="AN129" s="2"/>
      <c r="AO129" s="2"/>
      <c r="AP129" s="296"/>
      <c r="AQ129" s="296"/>
      <c r="BC129" s="804"/>
    </row>
    <row r="130" spans="1:55" ht="15" hidden="1" customHeight="1" x14ac:dyDescent="0.25">
      <c r="A130" s="433" t="s">
        <v>1038</v>
      </c>
      <c r="B130" s="577" t="str">
        <f t="shared" si="41"/>
        <v>Source energy consumption units used to report energy consumption totals (sum of energy types)</v>
      </c>
      <c r="C130" s="3079" t="str">
        <f t="shared" si="42"/>
        <v/>
      </c>
      <c r="D130" s="3080" t="str">
        <f>IF(C130="","",VLOOKUP(C130,ProjectEnergyTypeTable,3,FALSE))</f>
        <v/>
      </c>
      <c r="E130" s="527">
        <v>0</v>
      </c>
      <c r="F130" s="527">
        <v>0</v>
      </c>
      <c r="G130" s="529">
        <v>0</v>
      </c>
      <c r="H130" s="527">
        <v>0</v>
      </c>
      <c r="I130" s="527">
        <v>0</v>
      </c>
      <c r="J130" s="529">
        <v>0</v>
      </c>
      <c r="K130" s="3090" t="str">
        <f t="shared" si="43"/>
        <v/>
      </c>
      <c r="L130" s="3085"/>
      <c r="M130" s="578" t="str">
        <f t="shared" si="44"/>
        <v/>
      </c>
      <c r="Q130" s="627" t="str">
        <f t="shared" si="45"/>
        <v/>
      </c>
      <c r="R130" s="627" t="str">
        <f t="shared" si="46"/>
        <v/>
      </c>
      <c r="AD130" s="449"/>
      <c r="AE130" s="449"/>
      <c r="AF130" s="2"/>
      <c r="AG130" s="2"/>
      <c r="AH130" s="453"/>
      <c r="AI130" s="453"/>
      <c r="AJ130" s="454"/>
      <c r="AK130" s="454"/>
      <c r="AL130" s="2"/>
      <c r="AM130" s="455"/>
      <c r="AN130" s="2"/>
      <c r="AO130" s="2"/>
      <c r="AP130" s="296"/>
      <c r="AQ130" s="296"/>
      <c r="BC130" s="804"/>
    </row>
    <row r="131" spans="1:55" ht="15" hidden="1" customHeight="1" x14ac:dyDescent="0.25">
      <c r="A131" s="433" t="s">
        <v>1038</v>
      </c>
      <c r="B131" s="577" t="str">
        <f t="shared" si="41"/>
        <v/>
      </c>
      <c r="C131" s="3079" t="str">
        <f t="shared" si="42"/>
        <v/>
      </c>
      <c r="D131" s="3080" t="str">
        <f>IF(C131="","",VLOOKUP(C131,ProjectEnergyTypeTable,3,FALSE))</f>
        <v/>
      </c>
      <c r="E131" s="527">
        <v>0</v>
      </c>
      <c r="F131" s="527">
        <v>0</v>
      </c>
      <c r="G131" s="529">
        <v>0</v>
      </c>
      <c r="H131" s="527">
        <v>0</v>
      </c>
      <c r="I131" s="527">
        <v>0</v>
      </c>
      <c r="J131" s="529">
        <v>0</v>
      </c>
      <c r="K131" s="3090" t="str">
        <f t="shared" ref="K131" si="47">IFERROR(1-H131/E131,"")</f>
        <v/>
      </c>
      <c r="L131" s="3085"/>
      <c r="M131" s="578" t="str">
        <f t="shared" ref="M131" si="48">IFERROR(1-J131/G131,"")</f>
        <v/>
      </c>
      <c r="Q131" s="627" t="str">
        <f t="shared" si="45"/>
        <v/>
      </c>
      <c r="R131" s="627" t="str">
        <f t="shared" si="46"/>
        <v/>
      </c>
      <c r="AD131" s="449"/>
      <c r="AE131" s="449"/>
      <c r="AF131" s="2"/>
      <c r="AG131" s="2"/>
      <c r="AH131" s="453"/>
      <c r="AI131" s="453"/>
      <c r="AJ131" s="454"/>
      <c r="AK131" s="454"/>
      <c r="AL131" s="2"/>
      <c r="AM131" s="455"/>
      <c r="AN131" s="2"/>
      <c r="AO131" s="2"/>
      <c r="AP131" s="296"/>
      <c r="AQ131" s="296"/>
      <c r="BC131" s="804"/>
    </row>
    <row r="132" spans="1:55" ht="15" hidden="1" customHeight="1" x14ac:dyDescent="0.25">
      <c r="A132" s="433" t="s">
        <v>1038</v>
      </c>
      <c r="B132" s="577" t="str">
        <f t="shared" si="41"/>
        <v/>
      </c>
      <c r="C132" s="3079" t="str">
        <f t="shared" si="42"/>
        <v/>
      </c>
      <c r="D132" s="3080" t="str">
        <f>IF(C132="","",VLOOKUP(C132,ProjectEnergyTypeTable,3,FALSE))</f>
        <v/>
      </c>
      <c r="E132" s="527">
        <v>0</v>
      </c>
      <c r="F132" s="527">
        <v>0</v>
      </c>
      <c r="G132" s="529">
        <v>0</v>
      </c>
      <c r="H132" s="527">
        <v>0</v>
      </c>
      <c r="I132" s="527">
        <v>0</v>
      </c>
      <c r="J132" s="529">
        <v>0</v>
      </c>
      <c r="K132" s="3090" t="str">
        <f t="shared" ref="K132:K133" si="49">IFERROR(1-H132/E132,"")</f>
        <v/>
      </c>
      <c r="L132" s="3085"/>
      <c r="M132" s="578" t="str">
        <f t="shared" ref="M132:M133" si="50">IFERROR(1-J132/G132,"")</f>
        <v/>
      </c>
      <c r="Q132" s="627" t="str">
        <f t="shared" si="45"/>
        <v/>
      </c>
      <c r="R132" s="627" t="str">
        <f t="shared" si="46"/>
        <v/>
      </c>
      <c r="AD132" s="449"/>
      <c r="AE132" s="449"/>
      <c r="AF132" s="2"/>
      <c r="AG132" s="2"/>
      <c r="AH132" s="453"/>
      <c r="AI132" s="453"/>
      <c r="AJ132" s="454"/>
      <c r="AK132" s="454"/>
      <c r="AL132" s="2"/>
      <c r="AM132" s="455"/>
      <c r="AN132" s="2"/>
      <c r="AO132" s="2"/>
      <c r="AP132" s="296"/>
      <c r="AQ132" s="296"/>
      <c r="BC132" s="804"/>
    </row>
    <row r="133" spans="1:55" ht="15" hidden="1" customHeight="1" x14ac:dyDescent="0.25">
      <c r="A133" s="433" t="s">
        <v>1038</v>
      </c>
      <c r="B133" s="577" t="str">
        <f t="shared" si="41"/>
        <v>Table 12.3: On-Site Renewable Energy Production</v>
      </c>
      <c r="C133" s="3079" t="str">
        <f t="shared" si="42"/>
        <v/>
      </c>
      <c r="D133" s="3080" t="str">
        <f>IF(C133="","",VLOOKUP(C133,ProjectEnergyTypeTable,3,FALSE))</f>
        <v/>
      </c>
      <c r="E133" s="527">
        <v>0</v>
      </c>
      <c r="F133" s="527">
        <v>0</v>
      </c>
      <c r="G133" s="529">
        <v>0</v>
      </c>
      <c r="H133" s="527">
        <v>0</v>
      </c>
      <c r="I133" s="527">
        <v>0</v>
      </c>
      <c r="J133" s="529">
        <v>0</v>
      </c>
      <c r="K133" s="3090" t="str">
        <f t="shared" si="49"/>
        <v/>
      </c>
      <c r="L133" s="3085"/>
      <c r="M133" s="578" t="str">
        <f t="shared" si="50"/>
        <v/>
      </c>
      <c r="Q133" s="627" t="str">
        <f t="shared" si="45"/>
        <v/>
      </c>
      <c r="R133" s="627" t="str">
        <f t="shared" si="46"/>
        <v/>
      </c>
      <c r="AD133" s="449"/>
      <c r="AE133" s="449"/>
      <c r="AF133" s="2"/>
      <c r="AG133" s="2"/>
      <c r="AH133" s="453"/>
      <c r="AI133" s="453"/>
      <c r="AJ133" s="454"/>
      <c r="AK133" s="454"/>
      <c r="AL133" s="2"/>
      <c r="AM133" s="455"/>
      <c r="AN133" s="2"/>
      <c r="AO133" s="2"/>
      <c r="AP133" s="296"/>
      <c r="AQ133" s="296"/>
      <c r="BC133" s="804"/>
    </row>
    <row r="134" spans="1:55" ht="15" hidden="1" customHeight="1" x14ac:dyDescent="0.25">
      <c r="A134" s="433" t="s">
        <v>1038</v>
      </c>
      <c r="B134" s="577" t="str">
        <f t="shared" si="41"/>
        <v/>
      </c>
      <c r="C134" s="3079" t="str">
        <f t="shared" si="42"/>
        <v/>
      </c>
      <c r="D134" s="3080" t="str">
        <f>IF(C134="","",VLOOKUP(C134,ProjectEnergyTypeTable,3,FALSE))</f>
        <v/>
      </c>
      <c r="E134" s="527">
        <v>0</v>
      </c>
      <c r="F134" s="527">
        <v>0</v>
      </c>
      <c r="G134" s="529">
        <v>0</v>
      </c>
      <c r="H134" s="527">
        <v>0</v>
      </c>
      <c r="I134" s="527">
        <v>0</v>
      </c>
      <c r="J134" s="529">
        <v>0</v>
      </c>
      <c r="K134" s="3090" t="str">
        <f t="shared" ref="K134" si="51">IFERROR(1-H134/E134,"")</f>
        <v/>
      </c>
      <c r="L134" s="3085"/>
      <c r="M134" s="578" t="str">
        <f t="shared" ref="M134" si="52">IFERROR(1-J134/G134,"")</f>
        <v/>
      </c>
      <c r="Q134" s="627" t="str">
        <f t="shared" si="45"/>
        <v/>
      </c>
      <c r="R134" s="627" t="str">
        <f t="shared" si="46"/>
        <v/>
      </c>
      <c r="AD134" s="449"/>
      <c r="AE134" s="449"/>
      <c r="AF134" s="2"/>
      <c r="AG134" s="2"/>
      <c r="AH134" s="453"/>
      <c r="AI134" s="453"/>
      <c r="AJ134" s="454"/>
      <c r="AK134" s="454"/>
      <c r="AL134" s="2"/>
      <c r="AM134" s="455"/>
      <c r="AN134" s="2"/>
      <c r="AO134" s="2"/>
      <c r="AP134" s="296"/>
      <c r="AQ134" s="296"/>
      <c r="BC134" s="804"/>
    </row>
    <row r="135" spans="1:55" ht="15" hidden="1" customHeight="1" x14ac:dyDescent="0.25">
      <c r="A135" s="433" t="s">
        <v>1038</v>
      </c>
      <c r="B135" s="577" t="str">
        <f t="shared" si="41"/>
        <v>The project building uses on-site renewable energy systems. (Optional)</v>
      </c>
      <c r="C135" s="3079" t="str">
        <f t="shared" si="42"/>
        <v/>
      </c>
      <c r="D135" s="3080" t="str">
        <f>IF(C135="","",VLOOKUP(C135,ProjectEnergyTypeTable,3,FALSE))</f>
        <v/>
      </c>
      <c r="E135" s="527">
        <v>0</v>
      </c>
      <c r="F135" s="527">
        <v>0</v>
      </c>
      <c r="G135" s="529">
        <v>0</v>
      </c>
      <c r="H135" s="527">
        <v>0</v>
      </c>
      <c r="I135" s="527">
        <v>0</v>
      </c>
      <c r="J135" s="529">
        <v>0</v>
      </c>
      <c r="K135" s="3090" t="str">
        <f t="shared" ref="K135" si="53">IFERROR(1-H135/E135,"")</f>
        <v/>
      </c>
      <c r="L135" s="3085"/>
      <c r="M135" s="578" t="str">
        <f t="shared" ref="M135" si="54">IFERROR(1-J135/G135,"")</f>
        <v/>
      </c>
      <c r="Q135" s="627" t="str">
        <f t="shared" si="45"/>
        <v/>
      </c>
      <c r="R135" s="627" t="str">
        <f t="shared" si="46"/>
        <v/>
      </c>
      <c r="AD135" s="449"/>
      <c r="AE135" s="449"/>
      <c r="AF135" s="2"/>
      <c r="AG135" s="2"/>
      <c r="AH135" s="453"/>
      <c r="AI135" s="453"/>
      <c r="AJ135" s="454"/>
      <c r="AK135" s="454"/>
      <c r="AL135" s="2"/>
      <c r="AM135" s="455"/>
      <c r="AN135" s="2"/>
      <c r="AO135" s="2"/>
      <c r="AP135" s="296"/>
      <c r="AQ135" s="296"/>
      <c r="BC135" s="804"/>
    </row>
    <row r="136" spans="1:55" ht="15" hidden="1" customHeight="1" x14ac:dyDescent="0.25">
      <c r="A136" s="433" t="s">
        <v>1038</v>
      </c>
      <c r="B136" s="577" t="str">
        <f t="shared" si="41"/>
        <v/>
      </c>
      <c r="C136" s="3079" t="str">
        <f t="shared" si="42"/>
        <v/>
      </c>
      <c r="D136" s="3080" t="str">
        <f>IF(C136="","",VLOOKUP(C136,ProjectEnergyTypeTable,3,FALSE))</f>
        <v/>
      </c>
      <c r="E136" s="527">
        <v>0</v>
      </c>
      <c r="F136" s="527">
        <v>0</v>
      </c>
      <c r="G136" s="529">
        <v>0</v>
      </c>
      <c r="H136" s="527">
        <v>0</v>
      </c>
      <c r="I136" s="527">
        <v>0</v>
      </c>
      <c r="J136" s="529">
        <v>0</v>
      </c>
      <c r="K136" s="3090" t="str">
        <f t="shared" ref="K136" si="55">IFERROR(1-H136/E136,"")</f>
        <v/>
      </c>
      <c r="L136" s="3085"/>
      <c r="M136" s="578" t="str">
        <f t="shared" ref="M136" si="56">IFERROR(1-J136/G136,"")</f>
        <v/>
      </c>
      <c r="Q136" s="627" t="str">
        <f t="shared" si="45"/>
        <v/>
      </c>
      <c r="R136" s="627" t="str">
        <f t="shared" si="46"/>
        <v/>
      </c>
      <c r="AD136" s="449"/>
      <c r="AE136" s="449"/>
      <c r="AF136" s="2"/>
      <c r="AG136" s="2"/>
      <c r="AH136" s="453"/>
      <c r="AI136" s="453"/>
      <c r="AJ136" s="454"/>
      <c r="AK136" s="454"/>
      <c r="AL136" s="2"/>
      <c r="AM136" s="455"/>
      <c r="AN136" s="2"/>
      <c r="AO136" s="2"/>
      <c r="AP136" s="296"/>
      <c r="AQ136" s="296"/>
      <c r="BC136" s="804"/>
    </row>
    <row r="137" spans="1:55" ht="15" hidden="1" customHeight="1" x14ac:dyDescent="0.25">
      <c r="A137" s="433" t="s">
        <v>1038</v>
      </c>
      <c r="B137" s="577" t="str">
        <f t="shared" si="41"/>
        <v>Table: On-Site Renewable energy source summary</v>
      </c>
      <c r="C137" s="3079" t="str">
        <f t="shared" si="42"/>
        <v/>
      </c>
      <c r="D137" s="3080" t="str">
        <f>IF(C137="","",VLOOKUP(C137,ProjectEnergyTypeTable,3,FALSE))</f>
        <v/>
      </c>
      <c r="E137" s="527">
        <v>0</v>
      </c>
      <c r="F137" s="527">
        <v>0</v>
      </c>
      <c r="G137" s="529">
        <v>0</v>
      </c>
      <c r="H137" s="527">
        <v>0</v>
      </c>
      <c r="I137" s="527">
        <v>0</v>
      </c>
      <c r="J137" s="529">
        <v>0</v>
      </c>
      <c r="K137" s="3090" t="str">
        <f t="shared" ref="K137" si="57">IFERROR(1-H137/E137,"")</f>
        <v/>
      </c>
      <c r="L137" s="3085"/>
      <c r="M137" s="578" t="str">
        <f t="shared" ref="M137" si="58">IFERROR(1-J137/G137,"")</f>
        <v/>
      </c>
      <c r="Q137" s="627" t="str">
        <f t="shared" si="45"/>
        <v/>
      </c>
      <c r="R137" s="627" t="str">
        <f t="shared" si="46"/>
        <v/>
      </c>
      <c r="AD137" s="449"/>
      <c r="AE137" s="449"/>
      <c r="AF137" s="2"/>
      <c r="AG137" s="2"/>
      <c r="AH137" s="453"/>
      <c r="AI137" s="453"/>
      <c r="AJ137" s="454"/>
      <c r="AK137" s="454"/>
      <c r="AL137" s="2"/>
      <c r="AM137" s="455"/>
      <c r="AN137" s="2"/>
      <c r="AO137" s="2"/>
      <c r="AP137" s="296"/>
      <c r="AQ137" s="296"/>
      <c r="BC137" s="804"/>
    </row>
    <row r="138" spans="1:55" ht="15" hidden="1" customHeight="1" x14ac:dyDescent="0.25">
      <c r="A138" s="433" t="s">
        <v>1038</v>
      </c>
      <c r="B138" s="577" t="str">
        <f t="shared" ref="B138:B140" si="59">IFERROR(IF(ISBLANK(B22),"",B22),"")</f>
        <v>Renewable energy production should be reported in the table below. Note: This calculator will automatically reduce the proposed energy consumption and cost to accurately reflect the revised results. Therefore, any site-generated renewable energy production should NOT be included in the Performance Rating Method tables below.
Select the site-generated renewable energy source. Enter the rated capacity of the site-generated renewable source including the units (e.g. for photovoltaics 10 kW). Include all relevant capacities (i.e for solar thermal, both the storage tank capacity and the solar thermal panel capacity).
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v>
      </c>
      <c r="C138" s="3079" t="str">
        <f t="shared" si="42"/>
        <v/>
      </c>
      <c r="D138" s="3080" t="str">
        <f>IF(C138="","",VLOOKUP(C138,ProjectEnergyTypeTable,3,FALSE))</f>
        <v/>
      </c>
      <c r="E138" s="527">
        <v>0</v>
      </c>
      <c r="F138" s="527">
        <v>0</v>
      </c>
      <c r="G138" s="529">
        <v>0</v>
      </c>
      <c r="H138" s="527">
        <v>0</v>
      </c>
      <c r="I138" s="527">
        <v>0</v>
      </c>
      <c r="J138" s="529">
        <v>0</v>
      </c>
      <c r="K138" s="3090" t="str">
        <f t="shared" ref="K138:K140" si="60">IFERROR(1-H138/E138,"")</f>
        <v/>
      </c>
      <c r="L138" s="3085"/>
      <c r="M138" s="578" t="str">
        <f t="shared" ref="M138:M140" si="61">IFERROR(1-J138/G138,"")</f>
        <v/>
      </c>
      <c r="Q138" s="627" t="str">
        <f t="shared" si="45"/>
        <v/>
      </c>
      <c r="R138" s="627" t="str">
        <f t="shared" si="46"/>
        <v/>
      </c>
      <c r="AD138" s="449"/>
      <c r="AE138" s="449"/>
      <c r="AF138" s="2"/>
      <c r="AG138" s="2"/>
      <c r="AH138" s="453"/>
      <c r="AI138" s="453"/>
      <c r="AJ138" s="454"/>
      <c r="AK138" s="454"/>
      <c r="AL138" s="2"/>
      <c r="AM138" s="455"/>
      <c r="AN138" s="2"/>
      <c r="AO138" s="2"/>
      <c r="AP138" s="296"/>
      <c r="AQ138" s="296"/>
      <c r="BC138" s="804"/>
    </row>
    <row r="139" spans="1:55" ht="15" hidden="1" customHeight="1" x14ac:dyDescent="0.25">
      <c r="A139" s="433" t="s">
        <v>1038</v>
      </c>
      <c r="B139" s="577" t="str">
        <f t="shared" si="59"/>
        <v/>
      </c>
      <c r="C139" s="3079" t="str">
        <f t="shared" si="42"/>
        <v/>
      </c>
      <c r="D139" s="3080" t="str">
        <f>IF(C139="","",VLOOKUP(C139,ProjectEnergyTypeTable,3,FALSE))</f>
        <v/>
      </c>
      <c r="E139" s="527">
        <v>0</v>
      </c>
      <c r="F139" s="527">
        <v>0</v>
      </c>
      <c r="G139" s="529">
        <v>0</v>
      </c>
      <c r="H139" s="527">
        <v>0</v>
      </c>
      <c r="I139" s="527">
        <v>0</v>
      </c>
      <c r="J139" s="529">
        <v>0</v>
      </c>
      <c r="K139" s="3090" t="str">
        <f t="shared" si="60"/>
        <v/>
      </c>
      <c r="L139" s="3085"/>
      <c r="M139" s="578" t="str">
        <f t="shared" si="61"/>
        <v/>
      </c>
      <c r="Q139" s="627" t="str">
        <f t="shared" si="45"/>
        <v/>
      </c>
      <c r="R139" s="627" t="str">
        <f t="shared" si="46"/>
        <v/>
      </c>
      <c r="AD139" s="449"/>
      <c r="AE139" s="449"/>
      <c r="AF139" s="2"/>
      <c r="AG139" s="2"/>
      <c r="AH139" s="453"/>
      <c r="AI139" s="453"/>
      <c r="AJ139" s="454"/>
      <c r="AK139" s="454"/>
      <c r="AL139" s="2"/>
      <c r="AM139" s="455"/>
      <c r="AN139" s="2"/>
      <c r="AO139" s="2"/>
      <c r="AP139" s="296"/>
      <c r="AQ139" s="296"/>
      <c r="BC139" s="804"/>
    </row>
    <row r="140" spans="1:55" ht="15" hidden="1" customHeight="1" x14ac:dyDescent="0.25">
      <c r="A140" s="433" t="s">
        <v>1038</v>
      </c>
      <c r="B140" s="577" t="str">
        <f t="shared" si="59"/>
        <v>On-Site Renewable Source</v>
      </c>
      <c r="C140" s="3079" t="str">
        <f t="shared" si="42"/>
        <v/>
      </c>
      <c r="D140" s="3080" t="str">
        <f>IF(C140="","",VLOOKUP(C140,ProjectEnergyTypeTable,3,FALSE))</f>
        <v/>
      </c>
      <c r="E140" s="527">
        <v>0</v>
      </c>
      <c r="F140" s="527">
        <v>0</v>
      </c>
      <c r="G140" s="529">
        <v>0</v>
      </c>
      <c r="H140" s="527">
        <v>0</v>
      </c>
      <c r="I140" s="527">
        <v>0</v>
      </c>
      <c r="J140" s="529">
        <v>0</v>
      </c>
      <c r="K140" s="3090" t="str">
        <f t="shared" si="60"/>
        <v/>
      </c>
      <c r="L140" s="3085"/>
      <c r="M140" s="578" t="str">
        <f t="shared" si="61"/>
        <v/>
      </c>
      <c r="Q140" s="627" t="str">
        <f t="shared" si="45"/>
        <v/>
      </c>
      <c r="R140" s="627" t="str">
        <f t="shared" si="46"/>
        <v/>
      </c>
      <c r="AD140" s="449"/>
      <c r="AE140" s="449"/>
      <c r="AF140" s="2"/>
      <c r="AG140" s="2"/>
      <c r="AH140" s="453"/>
      <c r="AI140" s="453"/>
      <c r="AJ140" s="454"/>
      <c r="AK140" s="454"/>
      <c r="AL140" s="2"/>
      <c r="AM140" s="455"/>
      <c r="AN140" s="2"/>
      <c r="AO140" s="2"/>
      <c r="AP140" s="296"/>
      <c r="AQ140" s="296"/>
      <c r="BC140" s="804"/>
    </row>
    <row r="141" spans="1:55" s="245" customFormat="1" ht="21" hidden="1" customHeight="1" x14ac:dyDescent="0.25">
      <c r="A141" s="433" t="s">
        <v>1038</v>
      </c>
      <c r="B141" s="3135" t="str">
        <f>"Energy model subtotal (" &amp; PO_SiteUnits &amp; ")"</f>
        <v>Energy model subtotal (kWh)</v>
      </c>
      <c r="C141" s="3135"/>
      <c r="D141" s="3135"/>
      <c r="E141" s="527">
        <f>IFERROR(SUMPRODUCT(INDEX(PO_Enrgy_9_Table,0,MATCH(E$125,PO_Enrgy_9_Hdr,0)),INDEX(PO_Enrgy_9_Table,0,MATCH($Q$125,PO_Enrgy_9_Hdr,0))),"")</f>
        <v>0</v>
      </c>
      <c r="F141" s="527">
        <f>IFERROR(SUM(INDEX(PO_Enrgy_9_Table,0,MATCH(F$125,PO_Enrgy_9_Hdr,0))),"")</f>
        <v>0</v>
      </c>
      <c r="G141" s="529">
        <f>IFERROR(SUM(INDEX(PO_Enrgy_9_Table,0,MATCH(G$125,PO_Enrgy_9_Hdr,0))),"")</f>
        <v>0</v>
      </c>
      <c r="H141" s="527">
        <f>IFERROR(SUMPRODUCT(INDEX(PO_Enrgy_9_Table,0,MATCH(H$125,PO_Enrgy_9_Hdr,0)),INDEX(PO_Enrgy_9_Table,0,MATCH($Q$125,PO_Enrgy_9_Hdr,0))),"")</f>
        <v>0</v>
      </c>
      <c r="I141" s="527">
        <f>IFERROR(SUM(INDEX(PO_Enrgy_9_Table,0,MATCH(I$125,PO_Enrgy_9_Hdr,0))),"")</f>
        <v>0</v>
      </c>
      <c r="J141" s="529">
        <f>IFERROR(SUM(INDEX(PO_Enrgy_9_Table,0,MATCH(J$125,PO_Enrgy_9_Hdr,0))),"")</f>
        <v>0</v>
      </c>
      <c r="K141" s="3090" t="str">
        <f t="shared" si="43"/>
        <v/>
      </c>
      <c r="L141" s="3085"/>
      <c r="M141" s="578" t="str">
        <f t="shared" si="44"/>
        <v/>
      </c>
      <c r="N141" s="235"/>
      <c r="O141" s="235"/>
      <c r="P141" s="235"/>
      <c r="AD141" s="2"/>
      <c r="AE141" s="2"/>
      <c r="AF141" s="2"/>
      <c r="AG141" s="2"/>
      <c r="AH141" s="450"/>
      <c r="AI141" s="451"/>
      <c r="AJ141" s="2"/>
      <c r="AK141" s="2"/>
      <c r="AL141" s="2"/>
      <c r="AM141" s="2"/>
      <c r="AN141" s="2"/>
      <c r="AO141" s="2"/>
      <c r="BC141" s="804"/>
    </row>
    <row r="142" spans="1:55" s="245" customFormat="1" ht="21.75" customHeight="1" x14ac:dyDescent="0.25">
      <c r="A142" s="433" t="s">
        <v>1038</v>
      </c>
      <c r="B142" s="4242"/>
      <c r="C142" s="4242"/>
      <c r="D142" s="4242"/>
      <c r="E142" s="4242"/>
      <c r="F142" s="4242"/>
      <c r="G142" s="4242"/>
      <c r="H142" s="4242"/>
      <c r="I142" s="4242"/>
      <c r="J142" s="4242"/>
      <c r="K142" s="4242"/>
      <c r="L142" s="4242"/>
      <c r="M142" s="332"/>
      <c r="N142" s="235"/>
      <c r="O142" s="235"/>
      <c r="P142" s="235"/>
      <c r="AL142" s="270"/>
      <c r="AM142" s="271"/>
    </row>
    <row r="143" spans="1:55" ht="21.75" hidden="1" customHeight="1" x14ac:dyDescent="0.25">
      <c r="A143" s="433" t="s">
        <v>1038</v>
      </c>
      <c r="B143" s="583" t="s">
        <v>1477</v>
      </c>
      <c r="AL143" s="289"/>
      <c r="AM143" s="290"/>
    </row>
    <row r="144" spans="1:55" ht="32.25" hidden="1" customHeight="1" x14ac:dyDescent="0.25">
      <c r="A144" s="433" t="s">
        <v>1038</v>
      </c>
      <c r="B144" s="4243" t="s">
        <v>354</v>
      </c>
      <c r="C144" s="4245" t="s">
        <v>1436</v>
      </c>
      <c r="D144" s="4246"/>
      <c r="E144" s="4249" t="s">
        <v>1046</v>
      </c>
      <c r="F144" s="4250"/>
      <c r="G144" s="4251"/>
      <c r="H144" s="4252" t="s">
        <v>364</v>
      </c>
      <c r="I144" s="4253"/>
      <c r="J144" s="4254"/>
      <c r="K144" s="4252" t="s">
        <v>358</v>
      </c>
      <c r="L144" s="4253"/>
      <c r="M144" s="4255"/>
      <c r="N144" s="4238"/>
      <c r="O144" s="3190"/>
      <c r="P144" s="3190"/>
      <c r="AJ144" s="2"/>
      <c r="AL144" s="267"/>
      <c r="AM144" s="268"/>
    </row>
    <row r="145" spans="1:55" ht="48" hidden="1" customHeight="1" x14ac:dyDescent="0.25">
      <c r="A145" s="433" t="s">
        <v>1038</v>
      </c>
      <c r="B145" s="4244"/>
      <c r="C145" s="4247"/>
      <c r="D145" s="4248"/>
      <c r="E145" s="582" t="s">
        <v>902</v>
      </c>
      <c r="F145" s="584" t="str">
        <f>"Source Energy Use ("  &amp; PO_SourceUnits &amp; ")"</f>
        <v>Source Energy Use (kWh)</v>
      </c>
      <c r="G145" s="582" t="s">
        <v>356</v>
      </c>
      <c r="H145" s="582" t="s">
        <v>902</v>
      </c>
      <c r="I145" s="584" t="str">
        <f>"Source Energy Use ("  &amp; PO_SourceUnits &amp; ")"</f>
        <v>Source Energy Use (kWh)</v>
      </c>
      <c r="J145" s="582" t="s">
        <v>356</v>
      </c>
      <c r="K145" s="4239" t="s">
        <v>357</v>
      </c>
      <c r="L145" s="4240"/>
      <c r="M145" s="549" t="s">
        <v>356</v>
      </c>
      <c r="N145" s="334"/>
      <c r="O145" s="334"/>
      <c r="P145" s="334"/>
      <c r="AJ145" s="2"/>
    </row>
    <row r="146" spans="1:55" s="446" customFormat="1" ht="13.8" hidden="1" x14ac:dyDescent="0.25">
      <c r="A146" s="433" t="s">
        <v>1038</v>
      </c>
      <c r="B146" s="467" t="s">
        <v>1396</v>
      </c>
      <c r="C146" s="460" t="s">
        <v>1424</v>
      </c>
      <c r="D146" s="468"/>
      <c r="E146" s="469" t="s">
        <v>1452</v>
      </c>
      <c r="F146" s="468" t="s">
        <v>1453</v>
      </c>
      <c r="G146" s="469" t="s">
        <v>1454</v>
      </c>
      <c r="H146" s="469" t="s">
        <v>1437</v>
      </c>
      <c r="I146" s="468" t="s">
        <v>1438</v>
      </c>
      <c r="J146" s="469" t="s">
        <v>1439</v>
      </c>
      <c r="K146" s="469" t="s">
        <v>1455</v>
      </c>
      <c r="L146" s="460"/>
      <c r="M146" s="470" t="s">
        <v>1441</v>
      </c>
      <c r="N146" s="463"/>
      <c r="O146" s="463"/>
      <c r="P146" s="463"/>
      <c r="Q146" s="415" t="s">
        <v>1407</v>
      </c>
      <c r="R146" s="415" t="s">
        <v>1408</v>
      </c>
      <c r="AJ146" s="447"/>
    </row>
    <row r="147" spans="1:55" ht="15" hidden="1" customHeight="1" x14ac:dyDescent="0.25">
      <c r="A147" s="433" t="s">
        <v>1038</v>
      </c>
      <c r="B147" s="567" t="str">
        <f t="shared" ref="B147:B158" si="62">IFERROR(IF(ISBLANK(B10),"",B10),"")</f>
        <v/>
      </c>
      <c r="C147" s="3107" t="str">
        <f t="shared" ref="C147:C161" si="63">IFERROR(IF(ISBLANK($B147),"",VLOOKUP($B147,PO_Enrgy_1_Table,MATCH($C$9,PO_Enrgy_1_Hdr,0),FALSE) ),"")</f>
        <v/>
      </c>
      <c r="D147" s="4241"/>
      <c r="E147" s="568">
        <v>0</v>
      </c>
      <c r="F147" s="568">
        <v>0</v>
      </c>
      <c r="G147" s="529">
        <v>0</v>
      </c>
      <c r="H147" s="568">
        <v>0</v>
      </c>
      <c r="I147" s="568">
        <v>0</v>
      </c>
      <c r="J147" s="529">
        <v>0</v>
      </c>
      <c r="K147" s="4225" t="str">
        <f t="shared" ref="K147:K162" si="64">IFERROR(1-H147/E147,"")</f>
        <v/>
      </c>
      <c r="L147" s="4226"/>
      <c r="M147" s="569" t="str">
        <f t="shared" ref="M147:M162" si="65">IFERROR(1-J147/G147,"")</f>
        <v/>
      </c>
      <c r="Q147" s="416" t="str">
        <f t="shared" ref="Q147:Q161" si="66">IFERROR(IF(ISBLANK($B147),"",VLOOKUP($B147,PO_Enrgy_1_Table,MATCH($K$9,PO_Enrgy_1_Hdr,0),FALSE)),"")</f>
        <v/>
      </c>
      <c r="R147" s="416" t="str">
        <f t="shared" ref="R147:R161" si="67">IFERROR(IF(ISBLANK($B147),"",VLOOKUP($B147,PO_Enrgy_1_Table,MATCH($M$9,PO_Enrgy_1_Hdr,0),FALSE)),"")</f>
        <v/>
      </c>
      <c r="AH147" s="263"/>
      <c r="AI147" s="263"/>
      <c r="AJ147" s="2"/>
      <c r="AL147" s="267"/>
      <c r="AM147" s="268"/>
      <c r="AN147" s="269"/>
      <c r="BC147" s="804"/>
    </row>
    <row r="148" spans="1:55" ht="15" hidden="1" customHeight="1" x14ac:dyDescent="0.25">
      <c r="A148" s="433" t="s">
        <v>1038</v>
      </c>
      <c r="B148" s="567" t="str">
        <f t="shared" si="62"/>
        <v/>
      </c>
      <c r="C148" s="3107" t="str">
        <f t="shared" si="63"/>
        <v/>
      </c>
      <c r="D148" s="3108" t="str">
        <f>IF(C148="","",VLOOKUP(C148,ProjectEnergyTypeTable,3,FALSE))</f>
        <v/>
      </c>
      <c r="E148" s="568">
        <v>0</v>
      </c>
      <c r="F148" s="568">
        <v>0</v>
      </c>
      <c r="G148" s="529">
        <v>0</v>
      </c>
      <c r="H148" s="568">
        <v>0</v>
      </c>
      <c r="I148" s="568">
        <v>0</v>
      </c>
      <c r="J148" s="529">
        <v>0</v>
      </c>
      <c r="K148" s="4225" t="str">
        <f t="shared" si="64"/>
        <v/>
      </c>
      <c r="L148" s="4226"/>
      <c r="M148" s="569" t="str">
        <f t="shared" si="65"/>
        <v/>
      </c>
      <c r="Q148" s="416" t="str">
        <f t="shared" si="66"/>
        <v/>
      </c>
      <c r="R148" s="416" t="str">
        <f t="shared" si="67"/>
        <v/>
      </c>
      <c r="AH148" s="263"/>
      <c r="AI148" s="263"/>
      <c r="AJ148" s="2"/>
      <c r="AL148" s="267"/>
      <c r="AM148" s="268"/>
      <c r="AN148" s="269"/>
      <c r="BC148" s="804"/>
    </row>
    <row r="149" spans="1:55" ht="15" hidden="1" customHeight="1" x14ac:dyDescent="0.25">
      <c r="A149" s="433" t="s">
        <v>1038</v>
      </c>
      <c r="B149" s="567" t="str">
        <f t="shared" si="62"/>
        <v/>
      </c>
      <c r="C149" s="3107" t="str">
        <f t="shared" si="63"/>
        <v/>
      </c>
      <c r="D149" s="3108" t="str">
        <f>IF(C149="","",VLOOKUP(C149,ProjectEnergyTypeTable,3,FALSE))</f>
        <v/>
      </c>
      <c r="E149" s="568">
        <v>0</v>
      </c>
      <c r="F149" s="568">
        <v>0</v>
      </c>
      <c r="G149" s="529">
        <v>0</v>
      </c>
      <c r="H149" s="568">
        <v>0</v>
      </c>
      <c r="I149" s="568">
        <v>0</v>
      </c>
      <c r="J149" s="529">
        <v>0</v>
      </c>
      <c r="K149" s="4225" t="str">
        <f t="shared" si="64"/>
        <v/>
      </c>
      <c r="L149" s="4226"/>
      <c r="M149" s="569" t="str">
        <f t="shared" si="65"/>
        <v/>
      </c>
      <c r="Q149" s="416" t="str">
        <f t="shared" si="66"/>
        <v/>
      </c>
      <c r="R149" s="416" t="str">
        <f t="shared" si="67"/>
        <v/>
      </c>
      <c r="AH149" s="263"/>
      <c r="AI149" s="263"/>
      <c r="AJ149" s="2"/>
      <c r="AL149" s="267"/>
      <c r="AM149" s="268"/>
      <c r="AN149" s="269"/>
      <c r="BC149" s="804"/>
    </row>
    <row r="150" spans="1:55" ht="15" hidden="1" customHeight="1" x14ac:dyDescent="0.25">
      <c r="A150" s="433" t="s">
        <v>1038</v>
      </c>
      <c r="B150" s="567" t="str">
        <f t="shared" si="62"/>
        <v>Site energy consumption units used to report energy consumption totals (sum of energy types)</v>
      </c>
      <c r="C150" s="3107" t="str">
        <f t="shared" si="63"/>
        <v/>
      </c>
      <c r="D150" s="3108" t="str">
        <f>IF(C150="","",VLOOKUP(C150,ProjectEnergyTypeTable,3,FALSE))</f>
        <v/>
      </c>
      <c r="E150" s="568">
        <v>0</v>
      </c>
      <c r="F150" s="568">
        <v>0</v>
      </c>
      <c r="G150" s="529">
        <v>0</v>
      </c>
      <c r="H150" s="568">
        <v>0</v>
      </c>
      <c r="I150" s="568">
        <v>0</v>
      </c>
      <c r="J150" s="529">
        <v>0</v>
      </c>
      <c r="K150" s="4225" t="str">
        <f t="shared" si="64"/>
        <v/>
      </c>
      <c r="L150" s="4226"/>
      <c r="M150" s="569" t="str">
        <f t="shared" si="65"/>
        <v/>
      </c>
      <c r="Q150" s="416" t="str">
        <f t="shared" si="66"/>
        <v/>
      </c>
      <c r="R150" s="416" t="str">
        <f t="shared" si="67"/>
        <v/>
      </c>
      <c r="AH150" s="263"/>
      <c r="AI150" s="263"/>
      <c r="AJ150" s="2"/>
      <c r="AL150" s="267"/>
      <c r="AM150" s="268"/>
      <c r="AN150" s="269"/>
      <c r="BC150" s="804"/>
    </row>
    <row r="151" spans="1:55" ht="15" hidden="1" customHeight="1" x14ac:dyDescent="0.25">
      <c r="A151" s="433" t="s">
        <v>1038</v>
      </c>
      <c r="B151" s="567" t="str">
        <f t="shared" si="62"/>
        <v>Source energy consumption units used to report energy consumption totals (sum of energy types)</v>
      </c>
      <c r="C151" s="3107" t="str">
        <f t="shared" si="63"/>
        <v/>
      </c>
      <c r="D151" s="3108" t="str">
        <f>IF(C151="","",VLOOKUP(C151,ProjectEnergyTypeTable,3,FALSE))</f>
        <v/>
      </c>
      <c r="E151" s="568">
        <v>0</v>
      </c>
      <c r="F151" s="568">
        <v>0</v>
      </c>
      <c r="G151" s="529">
        <v>0</v>
      </c>
      <c r="H151" s="568">
        <v>0</v>
      </c>
      <c r="I151" s="568">
        <v>0</v>
      </c>
      <c r="J151" s="529">
        <v>0</v>
      </c>
      <c r="K151" s="4225" t="str">
        <f t="shared" si="64"/>
        <v/>
      </c>
      <c r="L151" s="4226"/>
      <c r="M151" s="569" t="str">
        <f t="shared" si="65"/>
        <v/>
      </c>
      <c r="Q151" s="416" t="str">
        <f t="shared" si="66"/>
        <v/>
      </c>
      <c r="R151" s="416" t="str">
        <f t="shared" si="67"/>
        <v/>
      </c>
      <c r="AH151" s="263"/>
      <c r="AI151" s="263"/>
      <c r="AJ151" s="2"/>
      <c r="AL151" s="267"/>
      <c r="AM151" s="268"/>
      <c r="AN151" s="269"/>
      <c r="BC151" s="804"/>
    </row>
    <row r="152" spans="1:55" ht="15" hidden="1" customHeight="1" x14ac:dyDescent="0.25">
      <c r="A152" s="433" t="s">
        <v>1038</v>
      </c>
      <c r="B152" s="567" t="str">
        <f t="shared" si="62"/>
        <v/>
      </c>
      <c r="C152" s="3107" t="str">
        <f t="shared" si="63"/>
        <v/>
      </c>
      <c r="D152" s="3108" t="str">
        <f>IF(C152="","",VLOOKUP(C152,ProjectEnergyTypeTable,3,FALSE))</f>
        <v/>
      </c>
      <c r="E152" s="568">
        <v>0</v>
      </c>
      <c r="F152" s="568">
        <v>0</v>
      </c>
      <c r="G152" s="529">
        <v>0</v>
      </c>
      <c r="H152" s="568">
        <v>0</v>
      </c>
      <c r="I152" s="568">
        <v>0</v>
      </c>
      <c r="J152" s="529">
        <v>0</v>
      </c>
      <c r="K152" s="4225" t="str">
        <f t="shared" ref="K152" si="68">IFERROR(1-H152/E152,"")</f>
        <v/>
      </c>
      <c r="L152" s="4226"/>
      <c r="M152" s="569" t="str">
        <f t="shared" ref="M152" si="69">IFERROR(1-J152/G152,"")</f>
        <v/>
      </c>
      <c r="Q152" s="416" t="str">
        <f t="shared" si="66"/>
        <v/>
      </c>
      <c r="R152" s="416" t="str">
        <f t="shared" si="67"/>
        <v/>
      </c>
      <c r="AH152" s="263"/>
      <c r="AI152" s="263"/>
      <c r="AJ152" s="2"/>
      <c r="AL152" s="267"/>
      <c r="AM152" s="268"/>
      <c r="AN152" s="269"/>
      <c r="BC152" s="804"/>
    </row>
    <row r="153" spans="1:55" ht="15" hidden="1" customHeight="1" x14ac:dyDescent="0.25">
      <c r="A153" s="433" t="s">
        <v>1038</v>
      </c>
      <c r="B153" s="567" t="str">
        <f t="shared" si="62"/>
        <v/>
      </c>
      <c r="C153" s="3107" t="str">
        <f t="shared" si="63"/>
        <v/>
      </c>
      <c r="D153" s="3108" t="str">
        <f>IF(C153="","",VLOOKUP(C153,ProjectEnergyTypeTable,3,FALSE))</f>
        <v/>
      </c>
      <c r="E153" s="568">
        <v>0</v>
      </c>
      <c r="F153" s="568">
        <v>0</v>
      </c>
      <c r="G153" s="529">
        <v>0</v>
      </c>
      <c r="H153" s="568">
        <v>0</v>
      </c>
      <c r="I153" s="568">
        <v>0</v>
      </c>
      <c r="J153" s="529">
        <v>0</v>
      </c>
      <c r="K153" s="4225" t="str">
        <f t="shared" ref="K153:K154" si="70">IFERROR(1-H153/E153,"")</f>
        <v/>
      </c>
      <c r="L153" s="4226"/>
      <c r="M153" s="569" t="str">
        <f t="shared" ref="M153:M154" si="71">IFERROR(1-J153/G153,"")</f>
        <v/>
      </c>
      <c r="Q153" s="416" t="str">
        <f t="shared" si="66"/>
        <v/>
      </c>
      <c r="R153" s="416" t="str">
        <f t="shared" si="67"/>
        <v/>
      </c>
      <c r="AH153" s="263"/>
      <c r="AI153" s="263"/>
      <c r="AJ153" s="2"/>
      <c r="AL153" s="267"/>
      <c r="AM153" s="268"/>
      <c r="AN153" s="269"/>
      <c r="BC153" s="804"/>
    </row>
    <row r="154" spans="1:55" ht="15" hidden="1" customHeight="1" x14ac:dyDescent="0.25">
      <c r="A154" s="433" t="s">
        <v>1038</v>
      </c>
      <c r="B154" s="567" t="str">
        <f t="shared" si="62"/>
        <v>Table 12.3: On-Site Renewable Energy Production</v>
      </c>
      <c r="C154" s="3107" t="str">
        <f t="shared" si="63"/>
        <v/>
      </c>
      <c r="D154" s="3108" t="str">
        <f>IF(C154="","",VLOOKUP(C154,ProjectEnergyTypeTable,3,FALSE))</f>
        <v/>
      </c>
      <c r="E154" s="568">
        <v>0</v>
      </c>
      <c r="F154" s="568">
        <v>0</v>
      </c>
      <c r="G154" s="529">
        <v>0</v>
      </c>
      <c r="H154" s="568">
        <v>0</v>
      </c>
      <c r="I154" s="568">
        <v>0</v>
      </c>
      <c r="J154" s="529">
        <v>0</v>
      </c>
      <c r="K154" s="4225" t="str">
        <f t="shared" si="70"/>
        <v/>
      </c>
      <c r="L154" s="4226"/>
      <c r="M154" s="569" t="str">
        <f t="shared" si="71"/>
        <v/>
      </c>
      <c r="Q154" s="416" t="str">
        <f t="shared" si="66"/>
        <v/>
      </c>
      <c r="R154" s="416" t="str">
        <f t="shared" si="67"/>
        <v/>
      </c>
      <c r="AH154" s="263"/>
      <c r="AI154" s="263"/>
      <c r="AJ154" s="2"/>
      <c r="AL154" s="267"/>
      <c r="AM154" s="268"/>
      <c r="AN154" s="269"/>
      <c r="BC154" s="804"/>
    </row>
    <row r="155" spans="1:55" ht="15" hidden="1" customHeight="1" x14ac:dyDescent="0.25">
      <c r="A155" s="433" t="s">
        <v>1038</v>
      </c>
      <c r="B155" s="567" t="str">
        <f t="shared" si="62"/>
        <v/>
      </c>
      <c r="C155" s="3107" t="str">
        <f t="shared" si="63"/>
        <v/>
      </c>
      <c r="D155" s="3108" t="str">
        <f>IF(C155="","",VLOOKUP(C155,ProjectEnergyTypeTable,3,FALSE))</f>
        <v/>
      </c>
      <c r="E155" s="568">
        <v>0</v>
      </c>
      <c r="F155" s="568">
        <v>0</v>
      </c>
      <c r="G155" s="529">
        <v>0</v>
      </c>
      <c r="H155" s="568">
        <v>0</v>
      </c>
      <c r="I155" s="568">
        <v>0</v>
      </c>
      <c r="J155" s="529">
        <v>0</v>
      </c>
      <c r="K155" s="4225" t="str">
        <f t="shared" ref="K155" si="72">IFERROR(1-H155/E155,"")</f>
        <v/>
      </c>
      <c r="L155" s="4226"/>
      <c r="M155" s="569" t="str">
        <f t="shared" ref="M155" si="73">IFERROR(1-J155/G155,"")</f>
        <v/>
      </c>
      <c r="Q155" s="416" t="str">
        <f t="shared" si="66"/>
        <v/>
      </c>
      <c r="R155" s="416" t="str">
        <f t="shared" si="67"/>
        <v/>
      </c>
      <c r="AH155" s="263"/>
      <c r="AI155" s="263"/>
      <c r="AJ155" s="2"/>
      <c r="AL155" s="267"/>
      <c r="AM155" s="268"/>
      <c r="AN155" s="269"/>
      <c r="BC155" s="804"/>
    </row>
    <row r="156" spans="1:55" ht="15" hidden="1" customHeight="1" x14ac:dyDescent="0.25">
      <c r="A156" s="433" t="s">
        <v>1038</v>
      </c>
      <c r="B156" s="567" t="str">
        <f t="shared" si="62"/>
        <v>The project building uses on-site renewable energy systems. (Optional)</v>
      </c>
      <c r="C156" s="3107" t="str">
        <f t="shared" si="63"/>
        <v/>
      </c>
      <c r="D156" s="3108" t="str">
        <f>IF(C156="","",VLOOKUP(C156,ProjectEnergyTypeTable,3,FALSE))</f>
        <v/>
      </c>
      <c r="E156" s="568">
        <v>0</v>
      </c>
      <c r="F156" s="568">
        <v>0</v>
      </c>
      <c r="G156" s="529">
        <v>0</v>
      </c>
      <c r="H156" s="568">
        <v>0</v>
      </c>
      <c r="I156" s="568">
        <v>0</v>
      </c>
      <c r="J156" s="529">
        <v>0</v>
      </c>
      <c r="K156" s="4225" t="str">
        <f t="shared" ref="K156" si="74">IFERROR(1-H156/E156,"")</f>
        <v/>
      </c>
      <c r="L156" s="4226"/>
      <c r="M156" s="569" t="str">
        <f t="shared" ref="M156" si="75">IFERROR(1-J156/G156,"")</f>
        <v/>
      </c>
      <c r="Q156" s="416" t="str">
        <f t="shared" si="66"/>
        <v/>
      </c>
      <c r="R156" s="416" t="str">
        <f t="shared" si="67"/>
        <v/>
      </c>
      <c r="AH156" s="263"/>
      <c r="AI156" s="263"/>
      <c r="AJ156" s="2"/>
      <c r="AL156" s="267"/>
      <c r="AM156" s="268"/>
      <c r="AN156" s="269"/>
      <c r="BC156" s="804"/>
    </row>
    <row r="157" spans="1:55" ht="15" hidden="1" customHeight="1" x14ac:dyDescent="0.25">
      <c r="A157" s="433" t="s">
        <v>1038</v>
      </c>
      <c r="B157" s="567" t="str">
        <f t="shared" si="62"/>
        <v/>
      </c>
      <c r="C157" s="3107" t="str">
        <f t="shared" si="63"/>
        <v/>
      </c>
      <c r="D157" s="3108" t="str">
        <f>IF(C157="","",VLOOKUP(C157,ProjectEnergyTypeTable,3,FALSE))</f>
        <v/>
      </c>
      <c r="E157" s="568">
        <v>0</v>
      </c>
      <c r="F157" s="568">
        <v>0</v>
      </c>
      <c r="G157" s="529">
        <v>0</v>
      </c>
      <c r="H157" s="568">
        <v>0</v>
      </c>
      <c r="I157" s="568">
        <v>0</v>
      </c>
      <c r="J157" s="529">
        <v>0</v>
      </c>
      <c r="K157" s="4225" t="str">
        <f t="shared" ref="K157" si="76">IFERROR(1-H157/E157,"")</f>
        <v/>
      </c>
      <c r="L157" s="4226"/>
      <c r="M157" s="569" t="str">
        <f t="shared" ref="M157" si="77">IFERROR(1-J157/G157,"")</f>
        <v/>
      </c>
      <c r="Q157" s="416" t="str">
        <f t="shared" si="66"/>
        <v/>
      </c>
      <c r="R157" s="416" t="str">
        <f t="shared" si="67"/>
        <v/>
      </c>
      <c r="AH157" s="263"/>
      <c r="AI157" s="263"/>
      <c r="AJ157" s="2"/>
      <c r="AL157" s="267"/>
      <c r="AM157" s="268"/>
      <c r="AN157" s="269"/>
      <c r="BC157" s="804"/>
    </row>
    <row r="158" spans="1:55" ht="15" hidden="1" customHeight="1" x14ac:dyDescent="0.25">
      <c r="A158" s="433" t="s">
        <v>1038</v>
      </c>
      <c r="B158" s="567" t="str">
        <f t="shared" si="62"/>
        <v>Table: On-Site Renewable energy source summary</v>
      </c>
      <c r="C158" s="3107" t="str">
        <f t="shared" si="63"/>
        <v/>
      </c>
      <c r="D158" s="3108" t="str">
        <f>IF(C158="","",VLOOKUP(C158,ProjectEnergyTypeTable,3,FALSE))</f>
        <v/>
      </c>
      <c r="E158" s="568">
        <v>0</v>
      </c>
      <c r="F158" s="568">
        <v>0</v>
      </c>
      <c r="G158" s="529">
        <v>0</v>
      </c>
      <c r="H158" s="568">
        <v>0</v>
      </c>
      <c r="I158" s="568">
        <v>0</v>
      </c>
      <c r="J158" s="529">
        <v>0</v>
      </c>
      <c r="K158" s="4225" t="str">
        <f t="shared" ref="K158" si="78">IFERROR(1-H158/E158,"")</f>
        <v/>
      </c>
      <c r="L158" s="4226"/>
      <c r="M158" s="569" t="str">
        <f t="shared" ref="M158" si="79">IFERROR(1-J158/G158,"")</f>
        <v/>
      </c>
      <c r="Q158" s="416" t="str">
        <f t="shared" si="66"/>
        <v/>
      </c>
      <c r="R158" s="416" t="str">
        <f t="shared" si="67"/>
        <v/>
      </c>
      <c r="AH158" s="263"/>
      <c r="AI158" s="263"/>
      <c r="AJ158" s="2"/>
      <c r="AL158" s="267"/>
      <c r="AM158" s="268"/>
      <c r="AN158" s="269"/>
      <c r="BC158" s="804"/>
    </row>
    <row r="159" spans="1:55" ht="15" hidden="1" customHeight="1" x14ac:dyDescent="0.25">
      <c r="A159" s="433" t="s">
        <v>1038</v>
      </c>
      <c r="B159" s="567" t="str">
        <f t="shared" ref="B159:B161" si="80">IFERROR(IF(ISBLANK(B22),"",B22),"")</f>
        <v>Renewable energy production should be reported in the table below. Note: This calculator will automatically reduce the proposed energy consumption and cost to accurately reflect the revised results. Therefore, any site-generated renewable energy production should NOT be included in the Performance Rating Method tables below.
Select the site-generated renewable energy source. Enter the rated capacity of the site-generated renewable source including the units (e.g. for photovoltaics 10 kW). Include all relevant capacities (i.e for solar thermal, both the storage tank capacity and the solar thermal panel capacity).
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v>
      </c>
      <c r="C159" s="3107" t="str">
        <f t="shared" si="63"/>
        <v/>
      </c>
      <c r="D159" s="3108" t="str">
        <f>IF(C159="","",VLOOKUP(C159,ProjectEnergyTypeTable,3,FALSE))</f>
        <v/>
      </c>
      <c r="E159" s="568">
        <v>0</v>
      </c>
      <c r="F159" s="568">
        <v>0</v>
      </c>
      <c r="G159" s="529">
        <v>0</v>
      </c>
      <c r="H159" s="568">
        <v>0</v>
      </c>
      <c r="I159" s="568">
        <v>0</v>
      </c>
      <c r="J159" s="529">
        <v>0</v>
      </c>
      <c r="K159" s="4225" t="str">
        <f t="shared" ref="K159:K161" si="81">IFERROR(1-H159/E159,"")</f>
        <v/>
      </c>
      <c r="L159" s="4226"/>
      <c r="M159" s="569" t="str">
        <f t="shared" ref="M159:M161" si="82">IFERROR(1-J159/G159,"")</f>
        <v/>
      </c>
      <c r="Q159" s="416" t="str">
        <f t="shared" si="66"/>
        <v/>
      </c>
      <c r="R159" s="416" t="str">
        <f t="shared" si="67"/>
        <v/>
      </c>
      <c r="AH159" s="263"/>
      <c r="AI159" s="263"/>
      <c r="AJ159" s="2"/>
      <c r="AL159" s="267"/>
      <c r="AM159" s="268"/>
      <c r="AN159" s="269"/>
      <c r="BC159" s="804"/>
    </row>
    <row r="160" spans="1:55" ht="15" hidden="1" customHeight="1" x14ac:dyDescent="0.25">
      <c r="A160" s="433" t="s">
        <v>1038</v>
      </c>
      <c r="B160" s="567" t="str">
        <f t="shared" si="80"/>
        <v/>
      </c>
      <c r="C160" s="3107" t="str">
        <f t="shared" si="63"/>
        <v/>
      </c>
      <c r="D160" s="3108" t="str">
        <f>IF(C160="","",VLOOKUP(C160,ProjectEnergyTypeTable,3,FALSE))</f>
        <v/>
      </c>
      <c r="E160" s="568">
        <v>0</v>
      </c>
      <c r="F160" s="568">
        <v>0</v>
      </c>
      <c r="G160" s="529">
        <v>0</v>
      </c>
      <c r="H160" s="568">
        <v>0</v>
      </c>
      <c r="I160" s="568">
        <v>0</v>
      </c>
      <c r="J160" s="529">
        <v>0</v>
      </c>
      <c r="K160" s="4225" t="str">
        <f t="shared" si="81"/>
        <v/>
      </c>
      <c r="L160" s="4226"/>
      <c r="M160" s="569" t="str">
        <f t="shared" si="82"/>
        <v/>
      </c>
      <c r="Q160" s="416" t="str">
        <f t="shared" si="66"/>
        <v/>
      </c>
      <c r="R160" s="416" t="str">
        <f t="shared" si="67"/>
        <v/>
      </c>
      <c r="AH160" s="263"/>
      <c r="AI160" s="263"/>
      <c r="AJ160" s="2"/>
      <c r="AL160" s="267"/>
      <c r="AM160" s="268"/>
      <c r="AN160" s="269"/>
      <c r="BC160" s="804"/>
    </row>
    <row r="161" spans="1:55" ht="15" hidden="1" customHeight="1" x14ac:dyDescent="0.25">
      <c r="A161" s="433" t="s">
        <v>1038</v>
      </c>
      <c r="B161" s="567" t="str">
        <f t="shared" si="80"/>
        <v>On-Site Renewable Source</v>
      </c>
      <c r="C161" s="3107" t="str">
        <f t="shared" si="63"/>
        <v/>
      </c>
      <c r="D161" s="3108" t="str">
        <f>IF(C161="","",VLOOKUP(C161,ProjectEnergyTypeTable,3,FALSE))</f>
        <v/>
      </c>
      <c r="E161" s="568">
        <v>0</v>
      </c>
      <c r="F161" s="568">
        <v>0</v>
      </c>
      <c r="G161" s="529">
        <v>0</v>
      </c>
      <c r="H161" s="568">
        <v>0</v>
      </c>
      <c r="I161" s="568">
        <v>0</v>
      </c>
      <c r="J161" s="529">
        <v>0</v>
      </c>
      <c r="K161" s="4225" t="str">
        <f t="shared" si="81"/>
        <v/>
      </c>
      <c r="L161" s="4226"/>
      <c r="M161" s="569" t="str">
        <f t="shared" si="82"/>
        <v/>
      </c>
      <c r="Q161" s="416" t="str">
        <f t="shared" si="66"/>
        <v/>
      </c>
      <c r="R161" s="416" t="str">
        <f t="shared" si="67"/>
        <v/>
      </c>
      <c r="AH161" s="263"/>
      <c r="AI161" s="263"/>
      <c r="AJ161" s="2"/>
      <c r="AL161" s="267"/>
      <c r="AM161" s="268"/>
      <c r="AN161" s="269"/>
      <c r="BC161" s="804"/>
    </row>
    <row r="162" spans="1:55" s="245" customFormat="1" ht="21" hidden="1" customHeight="1" x14ac:dyDescent="0.25">
      <c r="A162" s="433" t="s">
        <v>1038</v>
      </c>
      <c r="B162" s="4227" t="str">
        <f>"Energy Model Subtotal (" &amp; PO_SiteUnits &amp; ")"</f>
        <v>Energy Model Subtotal (kWh)</v>
      </c>
      <c r="C162" s="4228"/>
      <c r="D162" s="4229"/>
      <c r="E162" s="550">
        <f>IFERROR(SUMPRODUCT(INDEX(PO_Enrgy_13_Table,0,MATCH(E$146,PO_Enrgy_13_Hdr,0)),INDEX(PO_Enrgy_13_Table,0,MATCH($Q$146,PO_Enrgy_13_Hdr,0))),"")</f>
        <v>0</v>
      </c>
      <c r="F162" s="551" t="str">
        <f>IFERROR(SUM(INDEX(PO_Enrgy_13_Table,0,MATCH(F$146,PO_Enrgy_12_Hdr,0))),"")</f>
        <v/>
      </c>
      <c r="G162" s="552" t="str">
        <f>IFERROR(SUM(INDEX(PO_Enrgy_13_Table,0,MATCH(G$146,PO_Enrgy_12_Hdr,0))),"")</f>
        <v/>
      </c>
      <c r="H162" s="550">
        <f>IFERROR(SUMPRODUCT(INDEX(PO_Enrgy_13_Table,0,MATCH(H$146,PO_Enrgy_13_Hdr,0)),INDEX(PO_Enrgy_13_Table,0,MATCH($Q$146,PO_Enrgy_13_Hdr,0))),"")</f>
        <v>0</v>
      </c>
      <c r="I162" s="551" t="str">
        <f>IFERROR(SUM(INDEX(PO_Enrgy_13_Table,0,MATCH(I$146,PO_Enrgy_12_Hdr,0))),"")</f>
        <v/>
      </c>
      <c r="J162" s="552" t="str">
        <f>IFERROR(SUM(INDEX(PO_Enrgy_13_Table,0,MATCH(J$146,PO_Enrgy_12_Hdr,0))),"")</f>
        <v/>
      </c>
      <c r="K162" s="4230" t="str">
        <f t="shared" si="64"/>
        <v/>
      </c>
      <c r="L162" s="4231"/>
      <c r="M162" s="553" t="str">
        <f t="shared" si="65"/>
        <v/>
      </c>
      <c r="N162" s="235"/>
      <c r="O162" s="235"/>
      <c r="P162" s="235"/>
      <c r="AJ162" s="2"/>
      <c r="AL162" s="267"/>
      <c r="AM162" s="268"/>
      <c r="BC162" s="804"/>
    </row>
    <row r="163" spans="1:55" s="245" customFormat="1" ht="30" customHeight="1" x14ac:dyDescent="0.25">
      <c r="A163" s="433" t="s">
        <v>1038</v>
      </c>
      <c r="B163" s="4232"/>
      <c r="C163" s="4232"/>
      <c r="D163" s="4232"/>
      <c r="E163" s="4232"/>
      <c r="F163" s="4232"/>
      <c r="G163" s="4232"/>
      <c r="H163" s="4232"/>
      <c r="I163" s="4232"/>
      <c r="J163" s="4232"/>
      <c r="K163" s="4232"/>
      <c r="L163" s="4232"/>
      <c r="M163" s="332"/>
      <c r="N163" s="235"/>
      <c r="O163" s="235"/>
      <c r="P163" s="235"/>
      <c r="AL163" s="270"/>
      <c r="AM163" s="271"/>
    </row>
    <row r="164" spans="1:55" ht="18" customHeight="1" x14ac:dyDescent="0.25">
      <c r="A164" s="433" t="s">
        <v>1038</v>
      </c>
      <c r="B164" s="3191" t="s">
        <v>1027</v>
      </c>
      <c r="C164" s="3142"/>
      <c r="D164" s="3142"/>
      <c r="E164" s="3142"/>
      <c r="F164" s="3142"/>
      <c r="G164" s="3183"/>
      <c r="H164" s="3183"/>
      <c r="I164" s="3183"/>
      <c r="J164" s="3183"/>
      <c r="K164" s="3205" t="str">
        <f>$M$162</f>
        <v/>
      </c>
      <c r="L164" s="3088"/>
      <c r="M164" s="3206"/>
      <c r="AJ164" s="2"/>
      <c r="BC164" s="804"/>
    </row>
    <row r="165" spans="1:55" s="245" customFormat="1" ht="33" customHeight="1" x14ac:dyDescent="0.25">
      <c r="A165" s="433" t="s">
        <v>1038</v>
      </c>
      <c r="B165" s="249"/>
      <c r="C165" s="249"/>
      <c r="D165" s="249"/>
      <c r="E165" s="250"/>
      <c r="F165" s="250"/>
      <c r="G165" s="294"/>
      <c r="H165" s="250"/>
      <c r="I165" s="250"/>
      <c r="J165" s="294"/>
      <c r="K165" s="332"/>
      <c r="L165" s="332"/>
      <c r="M165" s="332"/>
      <c r="N165" s="235"/>
      <c r="O165" s="235"/>
      <c r="P165" s="235"/>
      <c r="AL165" s="270"/>
      <c r="AM165" s="271"/>
    </row>
    <row r="166" spans="1:55" ht="21.75" hidden="1" customHeight="1" x14ac:dyDescent="0.25">
      <c r="A166" s="433" t="s">
        <v>1038</v>
      </c>
      <c r="B166" s="583" t="s">
        <v>1018</v>
      </c>
      <c r="AL166" s="289"/>
      <c r="AM166" s="290"/>
    </row>
    <row r="167" spans="1:55" ht="42" hidden="1" customHeight="1" x14ac:dyDescent="0.25">
      <c r="A167" s="433" t="s">
        <v>1038</v>
      </c>
      <c r="B167" s="3138" t="s">
        <v>354</v>
      </c>
      <c r="C167" s="3139" t="s">
        <v>1436</v>
      </c>
      <c r="D167" s="3102"/>
      <c r="E167" s="3194" t="s">
        <v>362</v>
      </c>
      <c r="F167" s="3194"/>
      <c r="G167" s="3194"/>
      <c r="H167" s="3140" t="s">
        <v>942</v>
      </c>
      <c r="I167" s="3138"/>
      <c r="J167" s="3138"/>
      <c r="K167" s="3138" t="s">
        <v>361</v>
      </c>
      <c r="L167" s="3138"/>
      <c r="M167" s="3102"/>
      <c r="N167" s="3190"/>
      <c r="O167" s="3190"/>
      <c r="P167" s="3190"/>
      <c r="AJ167" s="2"/>
      <c r="AL167" s="267"/>
      <c r="AM167" s="268"/>
      <c r="AR167" s="399"/>
      <c r="AS167" s="400"/>
      <c r="AT167" s="400"/>
      <c r="AU167" s="400"/>
      <c r="AV167" s="272"/>
    </row>
    <row r="168" spans="1:55" ht="56.25" hidden="1" customHeight="1" x14ac:dyDescent="0.25">
      <c r="A168" s="433" t="s">
        <v>1038</v>
      </c>
      <c r="B168" s="3102"/>
      <c r="C168" s="3102"/>
      <c r="D168" s="3102"/>
      <c r="E168" s="580" t="s">
        <v>360</v>
      </c>
      <c r="F168" s="579" t="str">
        <f>"Source Energy Use Savings 
("  &amp; PO_SourceUnits &amp; ")"</f>
        <v>Source Energy Use Savings 
(kWh)</v>
      </c>
      <c r="G168" s="580" t="s">
        <v>359</v>
      </c>
      <c r="H168" s="580" t="s">
        <v>902</v>
      </c>
      <c r="I168" s="579" t="str">
        <f>"Source Energy Use 
("  &amp; PO_SourceUnits &amp; ")"</f>
        <v>Source Energy Use 
(kWh)</v>
      </c>
      <c r="J168" s="580" t="s">
        <v>356</v>
      </c>
      <c r="K168" s="3140" t="s">
        <v>357</v>
      </c>
      <c r="L168" s="3102"/>
      <c r="M168" s="580" t="s">
        <v>356</v>
      </c>
      <c r="N168" s="588"/>
      <c r="O168" s="588"/>
      <c r="P168" s="588"/>
      <c r="AJ168" s="2"/>
      <c r="AL168" s="267"/>
      <c r="AM168" s="268"/>
      <c r="AR168" s="400"/>
      <c r="AS168" s="283"/>
      <c r="AT168" s="283"/>
      <c r="AU168" s="283"/>
    </row>
    <row r="169" spans="1:55" s="446" customFormat="1" ht="13.8" hidden="1" x14ac:dyDescent="0.25">
      <c r="A169" s="433" t="s">
        <v>1038</v>
      </c>
      <c r="B169" s="468" t="s">
        <v>1396</v>
      </c>
      <c r="C169" s="460" t="s">
        <v>1424</v>
      </c>
      <c r="D169" s="468"/>
      <c r="E169" s="469" t="s">
        <v>1456</v>
      </c>
      <c r="F169" s="468" t="s">
        <v>1457</v>
      </c>
      <c r="G169" s="469" t="s">
        <v>1458</v>
      </c>
      <c r="H169" s="469" t="s">
        <v>1437</v>
      </c>
      <c r="I169" s="468" t="s">
        <v>1438</v>
      </c>
      <c r="J169" s="469" t="s">
        <v>1439</v>
      </c>
      <c r="K169" s="469" t="s">
        <v>1455</v>
      </c>
      <c r="L169" s="460"/>
      <c r="M169" s="469" t="s">
        <v>1441</v>
      </c>
      <c r="N169" s="463"/>
      <c r="O169" s="463"/>
      <c r="P169" s="463"/>
      <c r="Q169" s="628" t="s">
        <v>1407</v>
      </c>
      <c r="R169" s="628" t="s">
        <v>1408</v>
      </c>
      <c r="AJ169" s="447"/>
    </row>
    <row r="170" spans="1:55" ht="15" hidden="1" customHeight="1" x14ac:dyDescent="0.25">
      <c r="A170" s="433" t="s">
        <v>1038</v>
      </c>
      <c r="B170" s="541" t="str">
        <f t="shared" ref="B170:B181" si="83">IFERROR(IF(ISBLANK(B10),"",B10),"")</f>
        <v/>
      </c>
      <c r="C170" s="3107" t="str">
        <f t="shared" ref="C170:C184" si="84">IFERROR(IF(ISBLANK($B170),"",VLOOKUP($B170,PO_Enrgy_1_Table,MATCH($C$9,PO_Enrgy_1_Hdr,0),FALSE) ),"")</f>
        <v/>
      </c>
      <c r="D170" s="3108" t="str">
        <f>IF(C170="","",VLOOKUP(C170,ProjectEnergyTypeTable,3,FALSE))</f>
        <v/>
      </c>
      <c r="E170" s="555">
        <v>0</v>
      </c>
      <c r="F170" s="555">
        <v>0</v>
      </c>
      <c r="G170" s="529">
        <v>0</v>
      </c>
      <c r="H170" s="555">
        <v>0</v>
      </c>
      <c r="I170" s="555">
        <v>0</v>
      </c>
      <c r="J170" s="529">
        <v>0</v>
      </c>
      <c r="K170" s="3129" t="str">
        <f t="shared" ref="K170:K184" si="85">IFERROR(1-$H170/VLOOKUP($B170,PO_Enrgy_13_Table,MATCH($E$146,PO_Enrgy_13_Hdr,0),FALSE),"")</f>
        <v/>
      </c>
      <c r="L170" s="3130"/>
      <c r="M170" s="570" t="str">
        <f t="shared" ref="M170:M184" si="86">IFERROR(1-$J170/VLOOKUP($B170,PO_Enrgy_13_Table,MATCH($G$146,PO_Enrgy_13_Hdr,0),FALSE),"")</f>
        <v/>
      </c>
      <c r="Q170" s="627" t="str">
        <f t="shared" ref="Q170:Q184" si="87">IFERROR(IF(ISBLANK($B170),"",VLOOKUP($B170,PO_Enrgy_1_Table,MATCH($K$9,PO_Enrgy_1_Hdr,0),FALSE)),"")</f>
        <v/>
      </c>
      <c r="R170" s="627" t="str">
        <f t="shared" ref="R170:R184" si="88">IFERROR(IF(ISBLANK($B170),"",VLOOKUP($B170,PO_Enrgy_1_Table,MATCH($M$9,PO_Enrgy_1_Hdr,0),FALSE)),"")</f>
        <v/>
      </c>
      <c r="AH170" s="263"/>
      <c r="AI170" s="263"/>
      <c r="AJ170" s="256"/>
      <c r="AL170" s="267"/>
      <c r="AM170" s="267"/>
      <c r="AN170" s="300"/>
      <c r="AP170" s="273"/>
      <c r="AR170" s="274"/>
      <c r="AS170" s="257"/>
      <c r="AT170" s="257"/>
      <c r="AU170" s="284"/>
      <c r="BC170" s="804"/>
    </row>
    <row r="171" spans="1:55" ht="15" hidden="1" customHeight="1" x14ac:dyDescent="0.25">
      <c r="A171" s="433" t="s">
        <v>1038</v>
      </c>
      <c r="B171" s="541" t="str">
        <f t="shared" si="83"/>
        <v/>
      </c>
      <c r="C171" s="3107" t="str">
        <f t="shared" si="84"/>
        <v/>
      </c>
      <c r="D171" s="3108" t="str">
        <f>IF(C171="","",VLOOKUP(C171,ProjectEnergyTypeTable,3,FALSE))</f>
        <v/>
      </c>
      <c r="E171" s="555">
        <v>0</v>
      </c>
      <c r="F171" s="555">
        <v>0</v>
      </c>
      <c r="G171" s="529">
        <v>0</v>
      </c>
      <c r="H171" s="555">
        <v>0</v>
      </c>
      <c r="I171" s="555">
        <v>0</v>
      </c>
      <c r="J171" s="529">
        <v>0</v>
      </c>
      <c r="K171" s="3129" t="str">
        <f t="shared" si="85"/>
        <v/>
      </c>
      <c r="L171" s="3130"/>
      <c r="M171" s="570" t="str">
        <f t="shared" si="86"/>
        <v/>
      </c>
      <c r="Q171" s="627" t="str">
        <f t="shared" si="87"/>
        <v/>
      </c>
      <c r="R171" s="627" t="str">
        <f t="shared" si="88"/>
        <v/>
      </c>
      <c r="AH171" s="263"/>
      <c r="AI171" s="263"/>
      <c r="AJ171" s="256"/>
      <c r="AL171" s="267"/>
      <c r="AM171" s="267"/>
      <c r="AN171" s="300"/>
      <c r="AP171" s="273"/>
      <c r="AR171" s="274"/>
      <c r="AS171" s="257"/>
      <c r="AT171" s="257"/>
      <c r="AU171" s="284"/>
      <c r="BC171" s="804"/>
    </row>
    <row r="172" spans="1:55" ht="15" hidden="1" customHeight="1" x14ac:dyDescent="0.25">
      <c r="A172" s="433" t="s">
        <v>1038</v>
      </c>
      <c r="B172" s="541" t="str">
        <f t="shared" si="83"/>
        <v/>
      </c>
      <c r="C172" s="3107" t="str">
        <f t="shared" si="84"/>
        <v/>
      </c>
      <c r="D172" s="3108" t="str">
        <f>IF(C172="","",VLOOKUP(C172,ProjectEnergyTypeTable,3,FALSE))</f>
        <v/>
      </c>
      <c r="E172" s="555">
        <v>0</v>
      </c>
      <c r="F172" s="555">
        <v>0</v>
      </c>
      <c r="G172" s="529">
        <v>0</v>
      </c>
      <c r="H172" s="555">
        <v>0</v>
      </c>
      <c r="I172" s="555">
        <v>0</v>
      </c>
      <c r="J172" s="529">
        <v>0</v>
      </c>
      <c r="K172" s="3129" t="str">
        <f t="shared" si="85"/>
        <v/>
      </c>
      <c r="L172" s="3130"/>
      <c r="M172" s="570" t="str">
        <f t="shared" si="86"/>
        <v/>
      </c>
      <c r="Q172" s="627" t="str">
        <f t="shared" si="87"/>
        <v/>
      </c>
      <c r="R172" s="627" t="str">
        <f t="shared" si="88"/>
        <v/>
      </c>
      <c r="AH172" s="263"/>
      <c r="AI172" s="263"/>
      <c r="AJ172" s="256"/>
      <c r="AL172" s="267"/>
      <c r="AM172" s="267"/>
      <c r="AN172" s="300"/>
      <c r="AP172" s="273"/>
      <c r="AR172" s="274"/>
      <c r="AS172" s="257"/>
      <c r="AT172" s="257"/>
      <c r="AU172" s="284"/>
      <c r="BC172" s="804"/>
    </row>
    <row r="173" spans="1:55" ht="15" hidden="1" customHeight="1" x14ac:dyDescent="0.25">
      <c r="A173" s="433" t="s">
        <v>1038</v>
      </c>
      <c r="B173" s="541" t="str">
        <f t="shared" si="83"/>
        <v>Site energy consumption units used to report energy consumption totals (sum of energy types)</v>
      </c>
      <c r="C173" s="3107" t="str">
        <f t="shared" si="84"/>
        <v/>
      </c>
      <c r="D173" s="3108" t="str">
        <f>IF(C173="","",VLOOKUP(C173,ProjectEnergyTypeTable,3,FALSE))</f>
        <v/>
      </c>
      <c r="E173" s="555">
        <v>0</v>
      </c>
      <c r="F173" s="555">
        <v>0</v>
      </c>
      <c r="G173" s="529">
        <v>0</v>
      </c>
      <c r="H173" s="555">
        <v>0</v>
      </c>
      <c r="I173" s="555">
        <v>0</v>
      </c>
      <c r="J173" s="529">
        <v>0</v>
      </c>
      <c r="K173" s="3129" t="str">
        <f t="shared" si="85"/>
        <v/>
      </c>
      <c r="L173" s="3130"/>
      <c r="M173" s="570" t="str">
        <f t="shared" si="86"/>
        <v/>
      </c>
      <c r="Q173" s="627" t="str">
        <f t="shared" si="87"/>
        <v/>
      </c>
      <c r="R173" s="627" t="str">
        <f t="shared" si="88"/>
        <v/>
      </c>
      <c r="AH173" s="263"/>
      <c r="AI173" s="263"/>
      <c r="AJ173" s="256"/>
      <c r="AL173" s="267"/>
      <c r="AM173" s="267"/>
      <c r="AN173" s="300"/>
      <c r="AP173" s="273"/>
      <c r="AR173" s="274"/>
      <c r="AS173" s="257"/>
      <c r="AT173" s="257"/>
      <c r="AU173" s="284"/>
      <c r="BC173" s="804"/>
    </row>
    <row r="174" spans="1:55" ht="15" hidden="1" customHeight="1" x14ac:dyDescent="0.25">
      <c r="A174" s="433" t="s">
        <v>1038</v>
      </c>
      <c r="B174" s="541" t="str">
        <f t="shared" si="83"/>
        <v>Source energy consumption units used to report energy consumption totals (sum of energy types)</v>
      </c>
      <c r="C174" s="3107" t="str">
        <f t="shared" si="84"/>
        <v/>
      </c>
      <c r="D174" s="3108" t="str">
        <f>IF(C174="","",VLOOKUP(C174,ProjectEnergyTypeTable,3,FALSE))</f>
        <v/>
      </c>
      <c r="E174" s="555">
        <v>0</v>
      </c>
      <c r="F174" s="555">
        <v>0</v>
      </c>
      <c r="G174" s="529">
        <v>0</v>
      </c>
      <c r="H174" s="555">
        <v>0</v>
      </c>
      <c r="I174" s="555">
        <v>0</v>
      </c>
      <c r="J174" s="529">
        <v>0</v>
      </c>
      <c r="K174" s="3129" t="str">
        <f t="shared" si="85"/>
        <v/>
      </c>
      <c r="L174" s="3130"/>
      <c r="M174" s="570" t="str">
        <f t="shared" si="86"/>
        <v/>
      </c>
      <c r="Q174" s="627" t="str">
        <f t="shared" si="87"/>
        <v/>
      </c>
      <c r="R174" s="627" t="str">
        <f t="shared" si="88"/>
        <v/>
      </c>
      <c r="AH174" s="263"/>
      <c r="AI174" s="263"/>
      <c r="AJ174" s="256"/>
      <c r="AL174" s="267"/>
      <c r="AM174" s="267"/>
      <c r="AN174" s="300"/>
      <c r="AP174" s="273"/>
      <c r="AR174" s="274"/>
      <c r="AS174" s="257"/>
      <c r="AT174" s="257"/>
      <c r="AU174" s="284"/>
      <c r="BC174" s="804"/>
    </row>
    <row r="175" spans="1:55" ht="15" hidden="1" customHeight="1" x14ac:dyDescent="0.25">
      <c r="A175" s="433" t="s">
        <v>1038</v>
      </c>
      <c r="B175" s="541" t="str">
        <f t="shared" si="83"/>
        <v/>
      </c>
      <c r="C175" s="3107" t="str">
        <f t="shared" si="84"/>
        <v/>
      </c>
      <c r="D175" s="3108" t="str">
        <f>IF(C175="","",VLOOKUP(C175,ProjectEnergyTypeTable,3,FALSE))</f>
        <v/>
      </c>
      <c r="E175" s="555">
        <v>0</v>
      </c>
      <c r="F175" s="555">
        <v>0</v>
      </c>
      <c r="G175" s="529">
        <v>0</v>
      </c>
      <c r="H175" s="555">
        <v>0</v>
      </c>
      <c r="I175" s="555">
        <v>0</v>
      </c>
      <c r="J175" s="529">
        <v>0</v>
      </c>
      <c r="K175" s="3129" t="str">
        <f t="shared" si="85"/>
        <v/>
      </c>
      <c r="L175" s="3130"/>
      <c r="M175" s="570" t="str">
        <f t="shared" si="86"/>
        <v/>
      </c>
      <c r="Q175" s="627" t="str">
        <f t="shared" si="87"/>
        <v/>
      </c>
      <c r="R175" s="627" t="str">
        <f t="shared" si="88"/>
        <v/>
      </c>
      <c r="AH175" s="263"/>
      <c r="AI175" s="263"/>
      <c r="AJ175" s="256"/>
      <c r="AL175" s="267"/>
      <c r="AM175" s="267"/>
      <c r="AN175" s="300"/>
      <c r="AP175" s="273"/>
      <c r="AR175" s="274"/>
      <c r="AS175" s="257"/>
      <c r="AT175" s="257"/>
      <c r="AU175" s="284"/>
      <c r="BC175" s="804"/>
    </row>
    <row r="176" spans="1:55" ht="15" hidden="1" customHeight="1" x14ac:dyDescent="0.25">
      <c r="A176" s="433" t="s">
        <v>1038</v>
      </c>
      <c r="B176" s="541" t="str">
        <f t="shared" si="83"/>
        <v/>
      </c>
      <c r="C176" s="3107" t="str">
        <f t="shared" si="84"/>
        <v/>
      </c>
      <c r="D176" s="3108" t="str">
        <f>IF(C176="","",VLOOKUP(C176,ProjectEnergyTypeTable,3,FALSE))</f>
        <v/>
      </c>
      <c r="E176" s="555">
        <v>0</v>
      </c>
      <c r="F176" s="555">
        <v>0</v>
      </c>
      <c r="G176" s="529">
        <v>0</v>
      </c>
      <c r="H176" s="555">
        <v>0</v>
      </c>
      <c r="I176" s="555">
        <v>0</v>
      </c>
      <c r="J176" s="529">
        <v>0</v>
      </c>
      <c r="K176" s="3129" t="str">
        <f t="shared" si="85"/>
        <v/>
      </c>
      <c r="L176" s="3130"/>
      <c r="M176" s="570" t="str">
        <f t="shared" si="86"/>
        <v/>
      </c>
      <c r="Q176" s="627" t="str">
        <f t="shared" si="87"/>
        <v/>
      </c>
      <c r="R176" s="627" t="str">
        <f t="shared" si="88"/>
        <v/>
      </c>
      <c r="AH176" s="263"/>
      <c r="AI176" s="263"/>
      <c r="AJ176" s="256"/>
      <c r="AL176" s="267"/>
      <c r="AM176" s="267"/>
      <c r="AN176" s="300"/>
      <c r="AP176" s="273"/>
      <c r="AR176" s="274"/>
      <c r="AS176" s="257"/>
      <c r="AT176" s="257"/>
      <c r="AU176" s="284"/>
      <c r="BC176" s="804"/>
    </row>
    <row r="177" spans="1:55" ht="15" hidden="1" customHeight="1" x14ac:dyDescent="0.25">
      <c r="A177" s="433" t="s">
        <v>1038</v>
      </c>
      <c r="B177" s="541" t="str">
        <f t="shared" si="83"/>
        <v>Table 12.3: On-Site Renewable Energy Production</v>
      </c>
      <c r="C177" s="3107" t="str">
        <f t="shared" si="84"/>
        <v/>
      </c>
      <c r="D177" s="3108" t="str">
        <f>IF(C177="","",VLOOKUP(C177,ProjectEnergyTypeTable,3,FALSE))</f>
        <v/>
      </c>
      <c r="E177" s="555">
        <v>0</v>
      </c>
      <c r="F177" s="555">
        <v>0</v>
      </c>
      <c r="G177" s="529">
        <v>0</v>
      </c>
      <c r="H177" s="555">
        <v>0</v>
      </c>
      <c r="I177" s="555">
        <v>0</v>
      </c>
      <c r="J177" s="529">
        <v>0</v>
      </c>
      <c r="K177" s="3129" t="str">
        <f t="shared" si="85"/>
        <v/>
      </c>
      <c r="L177" s="3130"/>
      <c r="M177" s="570" t="str">
        <f t="shared" si="86"/>
        <v/>
      </c>
      <c r="Q177" s="627" t="str">
        <f t="shared" si="87"/>
        <v/>
      </c>
      <c r="R177" s="627" t="str">
        <f t="shared" si="88"/>
        <v/>
      </c>
      <c r="AH177" s="263"/>
      <c r="AI177" s="263"/>
      <c r="AJ177" s="256"/>
      <c r="AL177" s="267"/>
      <c r="AM177" s="267"/>
      <c r="AN177" s="300"/>
      <c r="AP177" s="273"/>
      <c r="AR177" s="274"/>
      <c r="AS177" s="257"/>
      <c r="AT177" s="257"/>
      <c r="AU177" s="284"/>
      <c r="BC177" s="804"/>
    </row>
    <row r="178" spans="1:55" ht="15" hidden="1" customHeight="1" x14ac:dyDescent="0.25">
      <c r="A178" s="433" t="s">
        <v>1038</v>
      </c>
      <c r="B178" s="541" t="str">
        <f t="shared" si="83"/>
        <v/>
      </c>
      <c r="C178" s="3107" t="str">
        <f t="shared" si="84"/>
        <v/>
      </c>
      <c r="D178" s="3108" t="str">
        <f>IF(C178="","",VLOOKUP(C178,ProjectEnergyTypeTable,3,FALSE))</f>
        <v/>
      </c>
      <c r="E178" s="555">
        <v>0</v>
      </c>
      <c r="F178" s="555">
        <v>0</v>
      </c>
      <c r="G178" s="529">
        <v>0</v>
      </c>
      <c r="H178" s="555">
        <v>0</v>
      </c>
      <c r="I178" s="555">
        <v>0</v>
      </c>
      <c r="J178" s="529">
        <v>0</v>
      </c>
      <c r="K178" s="3129" t="str">
        <f t="shared" si="85"/>
        <v/>
      </c>
      <c r="L178" s="3130"/>
      <c r="M178" s="570" t="str">
        <f t="shared" si="86"/>
        <v/>
      </c>
      <c r="Q178" s="627" t="str">
        <f t="shared" si="87"/>
        <v/>
      </c>
      <c r="R178" s="627" t="str">
        <f t="shared" si="88"/>
        <v/>
      </c>
      <c r="AH178" s="263"/>
      <c r="AI178" s="263"/>
      <c r="AJ178" s="256"/>
      <c r="AL178" s="267"/>
      <c r="AM178" s="267"/>
      <c r="AN178" s="300"/>
      <c r="AP178" s="273"/>
      <c r="AR178" s="274"/>
      <c r="AS178" s="257"/>
      <c r="AT178" s="257"/>
      <c r="AU178" s="284"/>
      <c r="BC178" s="804"/>
    </row>
    <row r="179" spans="1:55" ht="15" hidden="1" customHeight="1" x14ac:dyDescent="0.25">
      <c r="A179" s="433" t="s">
        <v>1038</v>
      </c>
      <c r="B179" s="541" t="str">
        <f t="shared" si="83"/>
        <v>The project building uses on-site renewable energy systems. (Optional)</v>
      </c>
      <c r="C179" s="3107" t="str">
        <f t="shared" si="84"/>
        <v/>
      </c>
      <c r="D179" s="3108" t="str">
        <f>IF(C179="","",VLOOKUP(C179,ProjectEnergyTypeTable,3,FALSE))</f>
        <v/>
      </c>
      <c r="E179" s="555">
        <v>0</v>
      </c>
      <c r="F179" s="555">
        <v>0</v>
      </c>
      <c r="G179" s="529">
        <v>0</v>
      </c>
      <c r="H179" s="555">
        <v>0</v>
      </c>
      <c r="I179" s="555">
        <v>0</v>
      </c>
      <c r="J179" s="529">
        <v>0</v>
      </c>
      <c r="K179" s="3129" t="str">
        <f t="shared" si="85"/>
        <v/>
      </c>
      <c r="L179" s="3130"/>
      <c r="M179" s="570" t="str">
        <f t="shared" si="86"/>
        <v/>
      </c>
      <c r="Q179" s="627" t="str">
        <f t="shared" si="87"/>
        <v/>
      </c>
      <c r="R179" s="627" t="str">
        <f t="shared" si="88"/>
        <v/>
      </c>
      <c r="AH179" s="263"/>
      <c r="AI179" s="263"/>
      <c r="AJ179" s="256"/>
      <c r="AL179" s="267"/>
      <c r="AM179" s="267"/>
      <c r="AN179" s="300"/>
      <c r="AP179" s="273"/>
      <c r="AR179" s="274"/>
      <c r="AS179" s="257"/>
      <c r="AT179" s="257"/>
      <c r="AU179" s="284"/>
      <c r="BC179" s="804"/>
    </row>
    <row r="180" spans="1:55" ht="15" hidden="1" customHeight="1" x14ac:dyDescent="0.25">
      <c r="A180" s="433" t="s">
        <v>1038</v>
      </c>
      <c r="B180" s="541" t="str">
        <f t="shared" si="83"/>
        <v/>
      </c>
      <c r="C180" s="3107" t="str">
        <f t="shared" si="84"/>
        <v/>
      </c>
      <c r="D180" s="3108" t="str">
        <f>IF(C180="","",VLOOKUP(C180,ProjectEnergyTypeTable,3,FALSE))</f>
        <v/>
      </c>
      <c r="E180" s="555">
        <v>0</v>
      </c>
      <c r="F180" s="555">
        <v>0</v>
      </c>
      <c r="G180" s="529">
        <v>0</v>
      </c>
      <c r="H180" s="555">
        <v>0</v>
      </c>
      <c r="I180" s="555">
        <v>0</v>
      </c>
      <c r="J180" s="529">
        <v>0</v>
      </c>
      <c r="K180" s="3129" t="str">
        <f t="shared" si="85"/>
        <v/>
      </c>
      <c r="L180" s="3130"/>
      <c r="M180" s="570" t="str">
        <f t="shared" si="86"/>
        <v/>
      </c>
      <c r="Q180" s="627" t="str">
        <f t="shared" si="87"/>
        <v/>
      </c>
      <c r="R180" s="627" t="str">
        <f t="shared" si="88"/>
        <v/>
      </c>
      <c r="AH180" s="263"/>
      <c r="AI180" s="263"/>
      <c r="AJ180" s="256"/>
      <c r="AL180" s="267"/>
      <c r="AM180" s="267"/>
      <c r="AN180" s="300"/>
      <c r="AP180" s="273"/>
      <c r="AR180" s="274"/>
      <c r="AS180" s="257"/>
      <c r="AT180" s="257"/>
      <c r="AU180" s="284"/>
      <c r="BC180" s="804"/>
    </row>
    <row r="181" spans="1:55" ht="15" hidden="1" customHeight="1" x14ac:dyDescent="0.25">
      <c r="A181" s="433" t="s">
        <v>1038</v>
      </c>
      <c r="B181" s="541" t="str">
        <f t="shared" si="83"/>
        <v>Table: On-Site Renewable energy source summary</v>
      </c>
      <c r="C181" s="3107" t="str">
        <f t="shared" si="84"/>
        <v/>
      </c>
      <c r="D181" s="3108" t="str">
        <f>IF(C181="","",VLOOKUP(C181,ProjectEnergyTypeTable,3,FALSE))</f>
        <v/>
      </c>
      <c r="E181" s="555">
        <v>0</v>
      </c>
      <c r="F181" s="555">
        <v>0</v>
      </c>
      <c r="G181" s="529">
        <v>0</v>
      </c>
      <c r="H181" s="555">
        <v>0</v>
      </c>
      <c r="I181" s="555">
        <v>0</v>
      </c>
      <c r="J181" s="529">
        <v>0</v>
      </c>
      <c r="K181" s="3129" t="str">
        <f t="shared" si="85"/>
        <v/>
      </c>
      <c r="L181" s="3130"/>
      <c r="M181" s="570" t="str">
        <f t="shared" si="86"/>
        <v/>
      </c>
      <c r="Q181" s="627" t="str">
        <f t="shared" si="87"/>
        <v/>
      </c>
      <c r="R181" s="627" t="str">
        <f t="shared" si="88"/>
        <v/>
      </c>
      <c r="AH181" s="263"/>
      <c r="AI181" s="263"/>
      <c r="AJ181" s="256"/>
      <c r="AL181" s="267"/>
      <c r="AM181" s="267"/>
      <c r="AN181" s="300"/>
      <c r="AP181" s="273"/>
      <c r="AR181" s="274"/>
      <c r="AS181" s="257"/>
      <c r="AT181" s="257"/>
      <c r="AU181" s="284"/>
      <c r="BC181" s="804"/>
    </row>
    <row r="182" spans="1:55" ht="15" hidden="1" customHeight="1" x14ac:dyDescent="0.25">
      <c r="A182" s="433" t="s">
        <v>1038</v>
      </c>
      <c r="B182" s="541" t="str">
        <f t="shared" ref="B182:B184" si="89">IFERROR(IF(ISBLANK(B22),"",B22),"")</f>
        <v>Renewable energy production should be reported in the table below. Note: This calculator will automatically reduce the proposed energy consumption and cost to accurately reflect the revised results. Therefore, any site-generated renewable energy production should NOT be included in the Performance Rating Method tables below.
Select the site-generated renewable energy source. Enter the rated capacity of the site-generated renewable source including the units (e.g. for photovoltaics 10 kW). Include all relevant capacities (i.e for solar thermal, both the storage tank capacity and the solar thermal panel capacity).
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v>
      </c>
      <c r="C182" s="3107" t="str">
        <f t="shared" si="84"/>
        <v/>
      </c>
      <c r="D182" s="3108" t="str">
        <f>IF(C182="","",VLOOKUP(C182,ProjectEnergyTypeTable,3,FALSE))</f>
        <v/>
      </c>
      <c r="E182" s="555">
        <v>0</v>
      </c>
      <c r="F182" s="555">
        <v>0</v>
      </c>
      <c r="G182" s="529">
        <v>0</v>
      </c>
      <c r="H182" s="555">
        <v>0</v>
      </c>
      <c r="I182" s="555">
        <v>0</v>
      </c>
      <c r="J182" s="529">
        <v>0</v>
      </c>
      <c r="K182" s="3129" t="str">
        <f t="shared" si="85"/>
        <v/>
      </c>
      <c r="L182" s="3130"/>
      <c r="M182" s="570" t="str">
        <f t="shared" si="86"/>
        <v/>
      </c>
      <c r="Q182" s="627" t="str">
        <f t="shared" si="87"/>
        <v/>
      </c>
      <c r="R182" s="627" t="str">
        <f t="shared" si="88"/>
        <v/>
      </c>
      <c r="AH182" s="263"/>
      <c r="AI182" s="263"/>
      <c r="AJ182" s="256"/>
      <c r="AL182" s="267"/>
      <c r="AM182" s="267"/>
      <c r="AN182" s="300"/>
      <c r="AP182" s="273"/>
      <c r="AR182" s="274"/>
      <c r="AS182" s="257"/>
      <c r="AT182" s="257"/>
      <c r="AU182" s="284"/>
      <c r="BC182" s="804"/>
    </row>
    <row r="183" spans="1:55" ht="15" hidden="1" customHeight="1" x14ac:dyDescent="0.25">
      <c r="A183" s="433" t="s">
        <v>1038</v>
      </c>
      <c r="B183" s="541" t="str">
        <f t="shared" si="89"/>
        <v/>
      </c>
      <c r="C183" s="3107" t="str">
        <f t="shared" si="84"/>
        <v/>
      </c>
      <c r="D183" s="3108" t="str">
        <f>IF(C183="","",VLOOKUP(C183,ProjectEnergyTypeTable,3,FALSE))</f>
        <v/>
      </c>
      <c r="E183" s="555">
        <v>0</v>
      </c>
      <c r="F183" s="555">
        <v>0</v>
      </c>
      <c r="G183" s="529">
        <v>0</v>
      </c>
      <c r="H183" s="555">
        <v>0</v>
      </c>
      <c r="I183" s="555">
        <v>0</v>
      </c>
      <c r="J183" s="529">
        <v>0</v>
      </c>
      <c r="K183" s="3129" t="str">
        <f t="shared" si="85"/>
        <v/>
      </c>
      <c r="L183" s="3130"/>
      <c r="M183" s="570" t="str">
        <f t="shared" si="86"/>
        <v/>
      </c>
      <c r="Q183" s="627" t="str">
        <f t="shared" si="87"/>
        <v/>
      </c>
      <c r="R183" s="627" t="str">
        <f t="shared" si="88"/>
        <v/>
      </c>
      <c r="AH183" s="263"/>
      <c r="AI183" s="263"/>
      <c r="AJ183" s="256"/>
      <c r="AL183" s="267"/>
      <c r="AM183" s="267"/>
      <c r="AN183" s="300"/>
      <c r="AP183" s="273"/>
      <c r="AR183" s="274"/>
      <c r="AS183" s="257"/>
      <c r="AT183" s="257"/>
      <c r="AU183" s="284"/>
      <c r="BC183" s="804"/>
    </row>
    <row r="184" spans="1:55" ht="15" hidden="1" customHeight="1" x14ac:dyDescent="0.25">
      <c r="A184" s="433" t="s">
        <v>1038</v>
      </c>
      <c r="B184" s="541" t="str">
        <f t="shared" si="89"/>
        <v>On-Site Renewable Source</v>
      </c>
      <c r="C184" s="3107" t="str">
        <f t="shared" si="84"/>
        <v/>
      </c>
      <c r="D184" s="3108" t="str">
        <f>IF(C184="","",VLOOKUP(C184,ProjectEnergyTypeTable,3,FALSE))</f>
        <v/>
      </c>
      <c r="E184" s="555">
        <v>0</v>
      </c>
      <c r="F184" s="555">
        <v>0</v>
      </c>
      <c r="G184" s="529">
        <v>0</v>
      </c>
      <c r="H184" s="555">
        <v>0</v>
      </c>
      <c r="I184" s="555">
        <v>0</v>
      </c>
      <c r="J184" s="529">
        <v>0</v>
      </c>
      <c r="K184" s="3129" t="str">
        <f t="shared" si="85"/>
        <v/>
      </c>
      <c r="L184" s="3130"/>
      <c r="M184" s="570" t="str">
        <f t="shared" si="86"/>
        <v/>
      </c>
      <c r="Q184" s="627" t="str">
        <f t="shared" si="87"/>
        <v/>
      </c>
      <c r="R184" s="627" t="str">
        <f t="shared" si="88"/>
        <v/>
      </c>
      <c r="AH184" s="263"/>
      <c r="AI184" s="263"/>
      <c r="AJ184" s="256"/>
      <c r="AL184" s="267"/>
      <c r="AM184" s="267"/>
      <c r="AN184" s="300"/>
      <c r="AP184" s="273"/>
      <c r="AR184" s="274"/>
      <c r="AS184" s="257"/>
      <c r="AT184" s="257"/>
      <c r="AU184" s="284"/>
      <c r="BC184" s="804"/>
    </row>
    <row r="185" spans="1:55" s="245" customFormat="1" ht="21" hidden="1" customHeight="1" x14ac:dyDescent="0.25">
      <c r="A185" s="433" t="s">
        <v>1038</v>
      </c>
      <c r="B185" s="3135" t="str">
        <f>"Energy model subtotal (" &amp; PO_SiteUnits &amp; ")"</f>
        <v>Energy model subtotal (kWh)</v>
      </c>
      <c r="C185" s="3135"/>
      <c r="D185" s="3135"/>
      <c r="E185" s="555">
        <f>IFERROR(SUMPRODUCT(INDEX(PO_Enrgy_14_Table,0,MATCH(E$169,PO_Enrgy_14_Hdr,0)),INDEX(PO_Enrgy_14_Table,0,MATCH($Q$169,PO_Enrgy_14_Hdr,0))),"")</f>
        <v>0</v>
      </c>
      <c r="F185" s="527">
        <f>IFERROR(SUM(INDEX(PO_Enrgy_14_Table,0,MATCH(F$169,PO_Enrgy_14_Hdr,0))),"")</f>
        <v>0</v>
      </c>
      <c r="G185" s="529">
        <f>IFERROR(SUM(INDEX(PO_Enrgy_14_Table,0,MATCH(G$169,PO_Enrgy_14_Hdr,0))),"")</f>
        <v>0</v>
      </c>
      <c r="H185" s="555">
        <f>IFERROR(SUMPRODUCT(INDEX(PO_Enrgy_14_Table,0,MATCH(H$169,PO_Enrgy_14_Hdr,0)),INDEX(PO_Enrgy_14_Table,0,MATCH($Q$169,PO_Enrgy_14_Hdr,0))),"")</f>
        <v>0</v>
      </c>
      <c r="I185" s="527">
        <f>IFERROR(SUM(INDEX(PO_Enrgy_14_Table,0,MATCH(I$169,PO_Enrgy_14_Hdr,0))),"")</f>
        <v>0</v>
      </c>
      <c r="J185" s="529">
        <f>IFERROR(SUM(INDEX(PO_Enrgy_14_Table,0,MATCH(J$169,PO_Enrgy_14_Hdr,0))),"")</f>
        <v>0</v>
      </c>
      <c r="K185" s="3200" t="str">
        <f>IFERROR(1-$H185/$E$162,"")</f>
        <v/>
      </c>
      <c r="L185" s="3200"/>
      <c r="M185" s="554" t="str">
        <f>IFERROR(1-$J185/$G$162,"")</f>
        <v/>
      </c>
      <c r="N185" s="235"/>
      <c r="O185" s="235"/>
      <c r="P185" s="235"/>
      <c r="AJ185" s="2"/>
      <c r="AL185" s="267"/>
      <c r="AM185" s="268"/>
      <c r="AR185" s="274"/>
      <c r="AS185" s="257"/>
      <c r="AT185" s="257"/>
      <c r="AU185" s="258"/>
      <c r="BC185" s="804"/>
    </row>
    <row r="186" spans="1:55" s="245" customFormat="1" ht="33" hidden="1" customHeight="1" x14ac:dyDescent="0.25">
      <c r="A186" s="433" t="s">
        <v>1038</v>
      </c>
      <c r="B186" s="249"/>
      <c r="C186" s="249"/>
      <c r="D186" s="249"/>
      <c r="E186" s="255"/>
      <c r="F186" s="255"/>
      <c r="G186" s="294"/>
      <c r="H186" s="255"/>
      <c r="I186" s="255"/>
      <c r="J186" s="294"/>
      <c r="K186" s="332"/>
      <c r="L186" s="235"/>
      <c r="M186" s="332"/>
      <c r="N186" s="235"/>
      <c r="O186" s="235"/>
      <c r="P186" s="235"/>
      <c r="AJ186" s="2"/>
      <c r="AL186" s="267"/>
      <c r="AM186" s="268"/>
      <c r="AR186" s="274"/>
      <c r="AS186" s="257"/>
      <c r="AT186" s="257"/>
      <c r="AU186" s="258"/>
    </row>
    <row r="187" spans="1:55" ht="21" customHeight="1" x14ac:dyDescent="0.25">
      <c r="A187" s="433" t="s">
        <v>1038</v>
      </c>
      <c r="B187" s="583" t="s">
        <v>1019</v>
      </c>
      <c r="AL187" s="289"/>
      <c r="AM187" s="290"/>
    </row>
    <row r="188" spans="1:55" ht="25.5" customHeight="1" x14ac:dyDescent="0.25">
      <c r="A188" s="433" t="s">
        <v>1038</v>
      </c>
      <c r="B188" s="3138" t="s">
        <v>354</v>
      </c>
      <c r="C188" s="3139" t="s">
        <v>1436</v>
      </c>
      <c r="D188" s="3102"/>
      <c r="E188" s="3140" t="s">
        <v>272</v>
      </c>
      <c r="F188" s="3138"/>
      <c r="G188" s="3138"/>
      <c r="H188" s="3140" t="s">
        <v>273</v>
      </c>
      <c r="I188" s="3138"/>
      <c r="J188" s="3138"/>
      <c r="K188" s="3140" t="s">
        <v>358</v>
      </c>
      <c r="L188" s="3138"/>
      <c r="M188" s="3102"/>
      <c r="AJ188" s="2"/>
    </row>
    <row r="189" spans="1:55" ht="63.75" customHeight="1" x14ac:dyDescent="0.25">
      <c r="A189" s="433" t="s">
        <v>1038</v>
      </c>
      <c r="B189" s="3102"/>
      <c r="C189" s="3102"/>
      <c r="D189" s="3102"/>
      <c r="E189" s="580" t="s">
        <v>902</v>
      </c>
      <c r="F189" s="579" t="str">
        <f>"Source Energy Use 
("  &amp; PO_SourceUnits &amp; ")"</f>
        <v>Source Energy Use 
(kWh)</v>
      </c>
      <c r="G189" s="580" t="s">
        <v>356</v>
      </c>
      <c r="H189" s="580" t="s">
        <v>902</v>
      </c>
      <c r="I189" s="579" t="str">
        <f>"Source Energy Use 
("  &amp; PO_SourceUnits &amp; ")"</f>
        <v>Source Energy Use 
(kWh)</v>
      </c>
      <c r="J189" s="580" t="s">
        <v>356</v>
      </c>
      <c r="K189" s="3140" t="s">
        <v>357</v>
      </c>
      <c r="L189" s="3102"/>
      <c r="M189" s="580" t="s">
        <v>356</v>
      </c>
      <c r="AJ189" s="2"/>
    </row>
    <row r="190" spans="1:55" s="446" customFormat="1" ht="13.8" hidden="1" x14ac:dyDescent="0.25">
      <c r="A190" s="433" t="s">
        <v>1038</v>
      </c>
      <c r="B190" s="468" t="s">
        <v>1396</v>
      </c>
      <c r="C190" s="460" t="s">
        <v>1424</v>
      </c>
      <c r="D190" s="468"/>
      <c r="E190" s="469" t="s">
        <v>1452</v>
      </c>
      <c r="F190" s="468" t="s">
        <v>1453</v>
      </c>
      <c r="G190" s="469" t="s">
        <v>1454</v>
      </c>
      <c r="H190" s="469" t="s">
        <v>1437</v>
      </c>
      <c r="I190" s="468" t="s">
        <v>1438</v>
      </c>
      <c r="J190" s="469" t="s">
        <v>1439</v>
      </c>
      <c r="K190" s="469" t="s">
        <v>1455</v>
      </c>
      <c r="L190" s="460"/>
      <c r="M190" s="469" t="s">
        <v>1441</v>
      </c>
      <c r="N190" s="463"/>
      <c r="O190" s="463"/>
      <c r="P190" s="463"/>
      <c r="Q190" s="628" t="s">
        <v>1407</v>
      </c>
      <c r="R190" s="628" t="s">
        <v>1408</v>
      </c>
      <c r="AJ190" s="447"/>
    </row>
    <row r="191" spans="1:55" ht="15" customHeight="1" x14ac:dyDescent="0.25">
      <c r="A191" s="433" t="s">
        <v>1038</v>
      </c>
      <c r="B191" s="577" t="str">
        <f t="shared" ref="B191:B202" si="90">IFERROR(IF(ISBLANK(B10),"",B10),"")</f>
        <v/>
      </c>
      <c r="C191" s="3079" t="str">
        <f t="shared" ref="C191:C205" si="91">IFERROR(IF(ISBLANK($B191),"",VLOOKUP($B191,PO_Enrgy_1_Table,MATCH($C$9,PO_Enrgy_1_Hdr,0),FALSE) ),"")</f>
        <v/>
      </c>
      <c r="D191" s="3080" t="str">
        <f>IF(C191="","",VLOOKUP(C191,ProjectEnergyTypeTable,3,FALSE))</f>
        <v/>
      </c>
      <c r="E191" s="555">
        <v>0</v>
      </c>
      <c r="F191" s="555">
        <v>0</v>
      </c>
      <c r="G191" s="572">
        <v>0</v>
      </c>
      <c r="H191" s="555">
        <v>0</v>
      </c>
      <c r="I191" s="555">
        <v>0</v>
      </c>
      <c r="J191" s="555">
        <v>0</v>
      </c>
      <c r="K191" s="3084" t="str">
        <f t="shared" ref="K191:K206" si="92">IFERROR(1-H191/E191,"")</f>
        <v/>
      </c>
      <c r="L191" s="3085"/>
      <c r="M191" s="659" t="str">
        <f t="shared" ref="M191:M206" si="93">IFERROR(1-J191/G191,"")</f>
        <v/>
      </c>
      <c r="Q191" s="627" t="str">
        <f t="shared" ref="Q191:Q205" si="94">IFERROR(IF(ISBLANK($B191),"",VLOOKUP($B191,PO_Enrgy_1_Table,MATCH($K$9,PO_Enrgy_1_Hdr,0),FALSE)),"")</f>
        <v/>
      </c>
      <c r="R191" s="627" t="str">
        <f t="shared" ref="R191:R205" si="95">IFERROR(IF(ISBLANK($B191),"",VLOOKUP($B191,PO_Enrgy_1_Table,MATCH($M$9,PO_Enrgy_1_Hdr,0),FALSE)),"")</f>
        <v/>
      </c>
      <c r="AH191" s="263"/>
      <c r="AI191" s="263"/>
      <c r="AJ191" s="2"/>
      <c r="AL191" s="267"/>
      <c r="AM191" s="268"/>
      <c r="BC191" s="804"/>
    </row>
    <row r="192" spans="1:55" ht="15" customHeight="1" x14ac:dyDescent="0.25">
      <c r="A192" s="433" t="s">
        <v>1038</v>
      </c>
      <c r="B192" s="577" t="str">
        <f t="shared" si="90"/>
        <v/>
      </c>
      <c r="C192" s="3079" t="str">
        <f t="shared" si="91"/>
        <v/>
      </c>
      <c r="D192" s="3080" t="str">
        <f>IF(C192="","",VLOOKUP(C192,ProjectEnergyTypeTable,3,FALSE))</f>
        <v/>
      </c>
      <c r="E192" s="555">
        <v>0</v>
      </c>
      <c r="F192" s="555">
        <v>0</v>
      </c>
      <c r="G192" s="572">
        <v>0</v>
      </c>
      <c r="H192" s="555">
        <v>0</v>
      </c>
      <c r="I192" s="555">
        <v>0</v>
      </c>
      <c r="J192" s="555">
        <v>0</v>
      </c>
      <c r="K192" s="3084" t="str">
        <f t="shared" si="92"/>
        <v/>
      </c>
      <c r="L192" s="3085"/>
      <c r="M192" s="659" t="str">
        <f t="shared" si="93"/>
        <v/>
      </c>
      <c r="Q192" s="627" t="str">
        <f t="shared" si="94"/>
        <v/>
      </c>
      <c r="R192" s="627" t="str">
        <f t="shared" si="95"/>
        <v/>
      </c>
      <c r="AH192" s="263"/>
      <c r="AI192" s="263"/>
      <c r="AJ192" s="2"/>
      <c r="AL192" s="267"/>
      <c r="AM192" s="268"/>
      <c r="BC192" s="804"/>
    </row>
    <row r="193" spans="1:55" ht="15" customHeight="1" x14ac:dyDescent="0.25">
      <c r="A193" s="433" t="s">
        <v>1038</v>
      </c>
      <c r="B193" s="577" t="str">
        <f t="shared" si="90"/>
        <v/>
      </c>
      <c r="C193" s="3079" t="str">
        <f t="shared" si="91"/>
        <v/>
      </c>
      <c r="D193" s="3080" t="str">
        <f>IF(C193="","",VLOOKUP(C193,ProjectEnergyTypeTable,3,FALSE))</f>
        <v/>
      </c>
      <c r="E193" s="555">
        <v>0</v>
      </c>
      <c r="F193" s="555">
        <v>0</v>
      </c>
      <c r="G193" s="572">
        <v>0</v>
      </c>
      <c r="H193" s="555">
        <v>0</v>
      </c>
      <c r="I193" s="555">
        <v>0</v>
      </c>
      <c r="J193" s="555">
        <v>0</v>
      </c>
      <c r="K193" s="3084" t="str">
        <f t="shared" si="92"/>
        <v/>
      </c>
      <c r="L193" s="3085"/>
      <c r="M193" s="659" t="str">
        <f t="shared" si="93"/>
        <v/>
      </c>
      <c r="Q193" s="627" t="str">
        <f t="shared" si="94"/>
        <v/>
      </c>
      <c r="R193" s="627" t="str">
        <f t="shared" si="95"/>
        <v/>
      </c>
      <c r="AH193" s="263"/>
      <c r="AI193" s="263"/>
      <c r="AJ193" s="2"/>
      <c r="AL193" s="267"/>
      <c r="AM193" s="268"/>
      <c r="BC193" s="804"/>
    </row>
    <row r="194" spans="1:55" ht="15" customHeight="1" x14ac:dyDescent="0.25">
      <c r="A194" s="433" t="s">
        <v>1038</v>
      </c>
      <c r="B194" s="577" t="str">
        <f t="shared" si="90"/>
        <v>Site energy consumption units used to report energy consumption totals (sum of energy types)</v>
      </c>
      <c r="C194" s="3079" t="str">
        <f t="shared" si="91"/>
        <v/>
      </c>
      <c r="D194" s="3080" t="str">
        <f>IF(C194="","",VLOOKUP(C194,ProjectEnergyTypeTable,3,FALSE))</f>
        <v/>
      </c>
      <c r="E194" s="555">
        <v>0</v>
      </c>
      <c r="F194" s="555">
        <v>0</v>
      </c>
      <c r="G194" s="572">
        <v>0</v>
      </c>
      <c r="H194" s="555">
        <v>0</v>
      </c>
      <c r="I194" s="555">
        <v>0</v>
      </c>
      <c r="J194" s="555">
        <v>0</v>
      </c>
      <c r="K194" s="3084" t="str">
        <f t="shared" si="92"/>
        <v/>
      </c>
      <c r="L194" s="3085"/>
      <c r="M194" s="659" t="str">
        <f t="shared" si="93"/>
        <v/>
      </c>
      <c r="Q194" s="627" t="str">
        <f t="shared" si="94"/>
        <v/>
      </c>
      <c r="R194" s="627" t="str">
        <f t="shared" si="95"/>
        <v/>
      </c>
      <c r="AH194" s="263"/>
      <c r="AI194" s="263"/>
      <c r="AJ194" s="2"/>
      <c r="AL194" s="267"/>
      <c r="AM194" s="268"/>
      <c r="BC194" s="804"/>
    </row>
    <row r="195" spans="1:55" ht="15" customHeight="1" x14ac:dyDescent="0.25">
      <c r="A195" s="433" t="s">
        <v>1038</v>
      </c>
      <c r="B195" s="577" t="str">
        <f t="shared" si="90"/>
        <v>Source energy consumption units used to report energy consumption totals (sum of energy types)</v>
      </c>
      <c r="C195" s="3079" t="str">
        <f t="shared" si="91"/>
        <v/>
      </c>
      <c r="D195" s="3080" t="str">
        <f>IF(C195="","",VLOOKUP(C195,ProjectEnergyTypeTable,3,FALSE))</f>
        <v/>
      </c>
      <c r="E195" s="555">
        <v>0</v>
      </c>
      <c r="F195" s="555">
        <v>0</v>
      </c>
      <c r="G195" s="572">
        <v>0</v>
      </c>
      <c r="H195" s="555">
        <v>0</v>
      </c>
      <c r="I195" s="555">
        <v>0</v>
      </c>
      <c r="J195" s="555">
        <v>0</v>
      </c>
      <c r="K195" s="3084" t="str">
        <f t="shared" si="92"/>
        <v/>
      </c>
      <c r="L195" s="3085"/>
      <c r="M195" s="659" t="str">
        <f t="shared" si="93"/>
        <v/>
      </c>
      <c r="Q195" s="627" t="str">
        <f t="shared" si="94"/>
        <v/>
      </c>
      <c r="R195" s="627" t="str">
        <f t="shared" si="95"/>
        <v/>
      </c>
      <c r="AH195" s="263"/>
      <c r="AI195" s="263"/>
      <c r="AJ195" s="2"/>
      <c r="AL195" s="267"/>
      <c r="AM195" s="268"/>
      <c r="BC195" s="804"/>
    </row>
    <row r="196" spans="1:55" ht="15" customHeight="1" x14ac:dyDescent="0.25">
      <c r="A196" s="433" t="s">
        <v>1038</v>
      </c>
      <c r="B196" s="577" t="str">
        <f t="shared" si="90"/>
        <v/>
      </c>
      <c r="C196" s="3079" t="str">
        <f t="shared" si="91"/>
        <v/>
      </c>
      <c r="D196" s="3080" t="str">
        <f>IF(C196="","",VLOOKUP(C196,ProjectEnergyTypeTable,3,FALSE))</f>
        <v/>
      </c>
      <c r="E196" s="555">
        <v>0</v>
      </c>
      <c r="F196" s="555">
        <v>0</v>
      </c>
      <c r="G196" s="572">
        <v>0</v>
      </c>
      <c r="H196" s="555">
        <v>0</v>
      </c>
      <c r="I196" s="555">
        <v>0</v>
      </c>
      <c r="J196" s="555">
        <v>0</v>
      </c>
      <c r="K196" s="3084" t="str">
        <f t="shared" ref="K196" si="96">IFERROR(1-H196/E196,"")</f>
        <v/>
      </c>
      <c r="L196" s="3085"/>
      <c r="M196" s="659" t="str">
        <f t="shared" ref="M196" si="97">IFERROR(1-J196/G196,"")</f>
        <v/>
      </c>
      <c r="Q196" s="627" t="str">
        <f t="shared" si="94"/>
        <v/>
      </c>
      <c r="R196" s="627" t="str">
        <f t="shared" si="95"/>
        <v/>
      </c>
      <c r="AH196" s="263"/>
      <c r="AI196" s="263"/>
      <c r="AJ196" s="2"/>
      <c r="AL196" s="267"/>
      <c r="AM196" s="268"/>
      <c r="BC196" s="804"/>
    </row>
    <row r="197" spans="1:55" ht="15" customHeight="1" x14ac:dyDescent="0.25">
      <c r="A197" s="433" t="s">
        <v>1038</v>
      </c>
      <c r="B197" s="577" t="str">
        <f t="shared" si="90"/>
        <v/>
      </c>
      <c r="C197" s="3079" t="str">
        <f t="shared" si="91"/>
        <v/>
      </c>
      <c r="D197" s="3080" t="str">
        <f>IF(C197="","",VLOOKUP(C197,ProjectEnergyTypeTable,3,FALSE))</f>
        <v/>
      </c>
      <c r="E197" s="555">
        <v>0</v>
      </c>
      <c r="F197" s="555">
        <v>0</v>
      </c>
      <c r="G197" s="572">
        <v>0</v>
      </c>
      <c r="H197" s="555">
        <v>0</v>
      </c>
      <c r="I197" s="555">
        <v>0</v>
      </c>
      <c r="J197" s="555">
        <v>0</v>
      </c>
      <c r="K197" s="3084" t="str">
        <f t="shared" ref="K197:K198" si="98">IFERROR(1-H197/E197,"")</f>
        <v/>
      </c>
      <c r="L197" s="3085"/>
      <c r="M197" s="659" t="str">
        <f t="shared" ref="M197:M198" si="99">IFERROR(1-J197/G197,"")</f>
        <v/>
      </c>
      <c r="Q197" s="627" t="str">
        <f t="shared" si="94"/>
        <v/>
      </c>
      <c r="R197" s="627" t="str">
        <f t="shared" si="95"/>
        <v/>
      </c>
      <c r="AH197" s="263"/>
      <c r="AI197" s="263"/>
      <c r="AJ197" s="2"/>
      <c r="AL197" s="267"/>
      <c r="AM197" s="268"/>
      <c r="BC197" s="804"/>
    </row>
    <row r="198" spans="1:55" ht="15" customHeight="1" x14ac:dyDescent="0.25">
      <c r="A198" s="433" t="s">
        <v>1038</v>
      </c>
      <c r="B198" s="577" t="str">
        <f t="shared" si="90"/>
        <v>Table 12.3: On-Site Renewable Energy Production</v>
      </c>
      <c r="C198" s="3079" t="str">
        <f t="shared" si="91"/>
        <v/>
      </c>
      <c r="D198" s="3080" t="str">
        <f>IF(C198="","",VLOOKUP(C198,ProjectEnergyTypeTable,3,FALSE))</f>
        <v/>
      </c>
      <c r="E198" s="555">
        <v>0</v>
      </c>
      <c r="F198" s="555">
        <v>0</v>
      </c>
      <c r="G198" s="572">
        <v>0</v>
      </c>
      <c r="H198" s="555">
        <v>0</v>
      </c>
      <c r="I198" s="555">
        <v>0</v>
      </c>
      <c r="J198" s="555">
        <v>0</v>
      </c>
      <c r="K198" s="3084" t="str">
        <f t="shared" si="98"/>
        <v/>
      </c>
      <c r="L198" s="3085"/>
      <c r="M198" s="659" t="str">
        <f t="shared" si="99"/>
        <v/>
      </c>
      <c r="Q198" s="627" t="str">
        <f t="shared" si="94"/>
        <v/>
      </c>
      <c r="R198" s="627" t="str">
        <f t="shared" si="95"/>
        <v/>
      </c>
      <c r="AH198" s="263"/>
      <c r="AI198" s="263"/>
      <c r="AJ198" s="2"/>
      <c r="AL198" s="267"/>
      <c r="AM198" s="268"/>
      <c r="BC198" s="804"/>
    </row>
    <row r="199" spans="1:55" ht="15" customHeight="1" x14ac:dyDescent="0.25">
      <c r="A199" s="433" t="s">
        <v>1038</v>
      </c>
      <c r="B199" s="577" t="str">
        <f t="shared" si="90"/>
        <v/>
      </c>
      <c r="C199" s="3079" t="str">
        <f t="shared" si="91"/>
        <v/>
      </c>
      <c r="D199" s="3080" t="str">
        <f>IF(C199="","",VLOOKUP(C199,ProjectEnergyTypeTable,3,FALSE))</f>
        <v/>
      </c>
      <c r="E199" s="555">
        <v>0</v>
      </c>
      <c r="F199" s="555">
        <v>0</v>
      </c>
      <c r="G199" s="572">
        <v>0</v>
      </c>
      <c r="H199" s="555">
        <v>0</v>
      </c>
      <c r="I199" s="555">
        <v>0</v>
      </c>
      <c r="J199" s="555">
        <v>0</v>
      </c>
      <c r="K199" s="3084" t="str">
        <f t="shared" ref="K199" si="100">IFERROR(1-H199/E199,"")</f>
        <v/>
      </c>
      <c r="L199" s="3085"/>
      <c r="M199" s="659" t="str">
        <f t="shared" ref="M199" si="101">IFERROR(1-J199/G199,"")</f>
        <v/>
      </c>
      <c r="Q199" s="627" t="str">
        <f t="shared" si="94"/>
        <v/>
      </c>
      <c r="R199" s="627" t="str">
        <f t="shared" si="95"/>
        <v/>
      </c>
      <c r="AH199" s="263"/>
      <c r="AI199" s="263"/>
      <c r="AJ199" s="2"/>
      <c r="AL199" s="267"/>
      <c r="AM199" s="268"/>
      <c r="BC199" s="804"/>
    </row>
    <row r="200" spans="1:55" ht="15" customHeight="1" x14ac:dyDescent="0.25">
      <c r="A200" s="433" t="s">
        <v>1038</v>
      </c>
      <c r="B200" s="577" t="str">
        <f t="shared" si="90"/>
        <v>The project building uses on-site renewable energy systems. (Optional)</v>
      </c>
      <c r="C200" s="3079" t="str">
        <f t="shared" si="91"/>
        <v/>
      </c>
      <c r="D200" s="3080" t="str">
        <f>IF(C200="","",VLOOKUP(C200,ProjectEnergyTypeTable,3,FALSE))</f>
        <v/>
      </c>
      <c r="E200" s="555">
        <v>0</v>
      </c>
      <c r="F200" s="555">
        <v>0</v>
      </c>
      <c r="G200" s="572">
        <v>0</v>
      </c>
      <c r="H200" s="555">
        <v>0</v>
      </c>
      <c r="I200" s="555">
        <v>0</v>
      </c>
      <c r="J200" s="555">
        <v>0</v>
      </c>
      <c r="K200" s="3084" t="str">
        <f t="shared" ref="K200" si="102">IFERROR(1-H200/E200,"")</f>
        <v/>
      </c>
      <c r="L200" s="3085"/>
      <c r="M200" s="659" t="str">
        <f t="shared" ref="M200" si="103">IFERROR(1-J200/G200,"")</f>
        <v/>
      </c>
      <c r="Q200" s="627" t="str">
        <f t="shared" si="94"/>
        <v/>
      </c>
      <c r="R200" s="627" t="str">
        <f t="shared" si="95"/>
        <v/>
      </c>
      <c r="AH200" s="263"/>
      <c r="AI200" s="263"/>
      <c r="AJ200" s="2"/>
      <c r="AL200" s="267"/>
      <c r="AM200" s="268"/>
      <c r="BC200" s="804"/>
    </row>
    <row r="201" spans="1:55" ht="15" customHeight="1" x14ac:dyDescent="0.25">
      <c r="A201" s="433" t="s">
        <v>1038</v>
      </c>
      <c r="B201" s="577" t="str">
        <f t="shared" si="90"/>
        <v/>
      </c>
      <c r="C201" s="3079" t="str">
        <f t="shared" si="91"/>
        <v/>
      </c>
      <c r="D201" s="3080" t="str">
        <f>IF(C201="","",VLOOKUP(C201,ProjectEnergyTypeTable,3,FALSE))</f>
        <v/>
      </c>
      <c r="E201" s="555">
        <v>0</v>
      </c>
      <c r="F201" s="555">
        <v>0</v>
      </c>
      <c r="G201" s="572">
        <v>0</v>
      </c>
      <c r="H201" s="555">
        <v>0</v>
      </c>
      <c r="I201" s="555">
        <v>0</v>
      </c>
      <c r="J201" s="555">
        <v>0</v>
      </c>
      <c r="K201" s="3084" t="str">
        <f t="shared" ref="K201" si="104">IFERROR(1-H201/E201,"")</f>
        <v/>
      </c>
      <c r="L201" s="3085"/>
      <c r="M201" s="659" t="str">
        <f t="shared" ref="M201" si="105">IFERROR(1-J201/G201,"")</f>
        <v/>
      </c>
      <c r="Q201" s="627" t="str">
        <f t="shared" si="94"/>
        <v/>
      </c>
      <c r="R201" s="627" t="str">
        <f t="shared" si="95"/>
        <v/>
      </c>
      <c r="AH201" s="263"/>
      <c r="AI201" s="263"/>
      <c r="AJ201" s="2"/>
      <c r="AL201" s="267"/>
      <c r="AM201" s="268"/>
      <c r="BC201" s="804"/>
    </row>
    <row r="202" spans="1:55" ht="15" customHeight="1" x14ac:dyDescent="0.25">
      <c r="A202" s="433" t="s">
        <v>1038</v>
      </c>
      <c r="B202" s="577" t="str">
        <f t="shared" si="90"/>
        <v>Table: On-Site Renewable energy source summary</v>
      </c>
      <c r="C202" s="3079" t="str">
        <f t="shared" si="91"/>
        <v/>
      </c>
      <c r="D202" s="3080" t="str">
        <f>IF(C202="","",VLOOKUP(C202,ProjectEnergyTypeTable,3,FALSE))</f>
        <v/>
      </c>
      <c r="E202" s="555">
        <v>0</v>
      </c>
      <c r="F202" s="555">
        <v>0</v>
      </c>
      <c r="G202" s="572">
        <v>0</v>
      </c>
      <c r="H202" s="555">
        <v>0</v>
      </c>
      <c r="I202" s="555">
        <v>0</v>
      </c>
      <c r="J202" s="555">
        <v>0</v>
      </c>
      <c r="K202" s="3084" t="str">
        <f t="shared" ref="K202" si="106">IFERROR(1-H202/E202,"")</f>
        <v/>
      </c>
      <c r="L202" s="3085"/>
      <c r="M202" s="659" t="str">
        <f t="shared" ref="M202" si="107">IFERROR(1-J202/G202,"")</f>
        <v/>
      </c>
      <c r="Q202" s="627" t="str">
        <f t="shared" si="94"/>
        <v/>
      </c>
      <c r="R202" s="627" t="str">
        <f t="shared" si="95"/>
        <v/>
      </c>
      <c r="AH202" s="263"/>
      <c r="AI202" s="263"/>
      <c r="AJ202" s="2"/>
      <c r="AL202" s="267"/>
      <c r="AM202" s="268"/>
      <c r="BC202" s="804"/>
    </row>
    <row r="203" spans="1:55" ht="15" customHeight="1" x14ac:dyDescent="0.25">
      <c r="A203" s="433" t="s">
        <v>1038</v>
      </c>
      <c r="B203" s="577" t="str">
        <f t="shared" ref="B203:B205" si="108">IFERROR(IF(ISBLANK(B22),"",B22),"")</f>
        <v>Renewable energy production should be reported in the table below. Note: This calculator will automatically reduce the proposed energy consumption and cost to accurately reflect the revised results. Therefore, any site-generated renewable energy production should NOT be included in the Performance Rating Method tables below.
Select the site-generated renewable energy source. Enter the rated capacity of the site-generated renewable source including the units (e.g. for photovoltaics 10 kW). Include all relevant capacities (i.e for solar thermal, both the storage tank capacity and the solar thermal panel capacity).
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v>
      </c>
      <c r="C203" s="3079" t="str">
        <f t="shared" si="91"/>
        <v/>
      </c>
      <c r="D203" s="3080" t="str">
        <f>IF(C203="","",VLOOKUP(C203,ProjectEnergyTypeTable,3,FALSE))</f>
        <v/>
      </c>
      <c r="E203" s="555">
        <v>0</v>
      </c>
      <c r="F203" s="555">
        <v>0</v>
      </c>
      <c r="G203" s="572">
        <v>0</v>
      </c>
      <c r="H203" s="555">
        <v>0</v>
      </c>
      <c r="I203" s="555">
        <v>0</v>
      </c>
      <c r="J203" s="555">
        <v>0</v>
      </c>
      <c r="K203" s="3084" t="str">
        <f t="shared" ref="K203:K205" si="109">IFERROR(1-H203/E203,"")</f>
        <v/>
      </c>
      <c r="L203" s="3085"/>
      <c r="M203" s="659" t="str">
        <f t="shared" ref="M203:M205" si="110">IFERROR(1-J203/G203,"")</f>
        <v/>
      </c>
      <c r="Q203" s="627" t="str">
        <f t="shared" si="94"/>
        <v/>
      </c>
      <c r="R203" s="627" t="str">
        <f t="shared" si="95"/>
        <v/>
      </c>
      <c r="AH203" s="263"/>
      <c r="AI203" s="263"/>
      <c r="AJ203" s="2"/>
      <c r="AL203" s="267"/>
      <c r="AM203" s="268"/>
      <c r="BC203" s="804"/>
    </row>
    <row r="204" spans="1:55" ht="15" customHeight="1" x14ac:dyDescent="0.25">
      <c r="A204" s="433" t="s">
        <v>1038</v>
      </c>
      <c r="B204" s="577" t="str">
        <f t="shared" si="108"/>
        <v/>
      </c>
      <c r="C204" s="3079" t="str">
        <f t="shared" si="91"/>
        <v/>
      </c>
      <c r="D204" s="3080" t="str">
        <f>IF(C204="","",VLOOKUP(C204,ProjectEnergyTypeTable,3,FALSE))</f>
        <v/>
      </c>
      <c r="E204" s="555">
        <v>0</v>
      </c>
      <c r="F204" s="555">
        <v>0</v>
      </c>
      <c r="G204" s="572">
        <v>0</v>
      </c>
      <c r="H204" s="555">
        <v>0</v>
      </c>
      <c r="I204" s="555">
        <v>0</v>
      </c>
      <c r="J204" s="555">
        <v>0</v>
      </c>
      <c r="K204" s="3084" t="str">
        <f t="shared" si="109"/>
        <v/>
      </c>
      <c r="L204" s="3085"/>
      <c r="M204" s="659" t="str">
        <f t="shared" si="110"/>
        <v/>
      </c>
      <c r="Q204" s="627" t="str">
        <f t="shared" si="94"/>
        <v/>
      </c>
      <c r="R204" s="627" t="str">
        <f t="shared" si="95"/>
        <v/>
      </c>
      <c r="AH204" s="263"/>
      <c r="AI204" s="263"/>
      <c r="AJ204" s="2"/>
      <c r="AL204" s="267"/>
      <c r="AM204" s="268"/>
      <c r="BC204" s="804"/>
    </row>
    <row r="205" spans="1:55" ht="15" customHeight="1" x14ac:dyDescent="0.25">
      <c r="A205" s="433" t="s">
        <v>1038</v>
      </c>
      <c r="B205" s="577" t="str">
        <f t="shared" si="108"/>
        <v>On-Site Renewable Source</v>
      </c>
      <c r="C205" s="3079" t="str">
        <f t="shared" si="91"/>
        <v/>
      </c>
      <c r="D205" s="3080" t="str">
        <f>IF(C205="","",VLOOKUP(C205,ProjectEnergyTypeTable,3,FALSE))</f>
        <v/>
      </c>
      <c r="E205" s="555">
        <v>0</v>
      </c>
      <c r="F205" s="555">
        <v>0</v>
      </c>
      <c r="G205" s="572">
        <v>0</v>
      </c>
      <c r="H205" s="555">
        <v>0</v>
      </c>
      <c r="I205" s="555">
        <v>0</v>
      </c>
      <c r="J205" s="555">
        <v>0</v>
      </c>
      <c r="K205" s="3084" t="str">
        <f t="shared" si="109"/>
        <v/>
      </c>
      <c r="L205" s="3085"/>
      <c r="M205" s="659" t="str">
        <f t="shared" si="110"/>
        <v/>
      </c>
      <c r="Q205" s="627" t="str">
        <f t="shared" si="94"/>
        <v/>
      </c>
      <c r="R205" s="627" t="str">
        <f t="shared" si="95"/>
        <v/>
      </c>
      <c r="AH205" s="263"/>
      <c r="AI205" s="263"/>
      <c r="AJ205" s="2"/>
      <c r="AL205" s="267"/>
      <c r="AM205" s="268"/>
      <c r="BC205" s="804"/>
    </row>
    <row r="206" spans="1:55" ht="21" customHeight="1" x14ac:dyDescent="0.25">
      <c r="A206" s="433" t="s">
        <v>1038</v>
      </c>
      <c r="B206" s="3141" t="s">
        <v>122</v>
      </c>
      <c r="C206" s="3142"/>
      <c r="D206" s="3142"/>
      <c r="E206" s="547">
        <f>IFERROR(SUMPRODUCT(INDEX(PO_Enrgy_16_Table,0,MATCH(E$190,PO_Enrgy_16_Hdr,0)),INDEX(PO_Enrgy_16_Table,0,MATCH($Q$190,PO_Enrgy_16_Hdr,0))),"")</f>
        <v>0</v>
      </c>
      <c r="F206" s="527">
        <f>IFERROR(SUM(INDEX(PO_Enrgy_16_Table,0,MATCH(F$190,PO_Enrgy_16_Hdr,0))),"")</f>
        <v>0</v>
      </c>
      <c r="G206" s="529">
        <f>IFERROR(SUM(INDEX(PO_Enrgy_16_Table,0,MATCH(G$190,PO_Enrgy_16_Hdr,0))),"")</f>
        <v>0</v>
      </c>
      <c r="H206" s="547">
        <f>IFERROR(SUMPRODUCT(INDEX(PO_Enrgy_16_Table,0,MATCH(H$190,PO_Enrgy_16_Hdr,0)),INDEX(PO_Enrgy_16_Table,0,MATCH($Q$190,PO_Enrgy_16_Hdr,0))),"")</f>
        <v>0</v>
      </c>
      <c r="I206" s="527">
        <f>IFERROR(SUM(INDEX(PO_Enrgy_16_Table,0,MATCH(I$190,PO_Enrgy_16_Hdr,0))),"")</f>
        <v>0</v>
      </c>
      <c r="J206" s="529">
        <f>IFERROR(SUM(INDEX(PO_Enrgy_16_Table,0,MATCH(J$190,PO_Enrgy_16_Hdr,0))),"")</f>
        <v>0</v>
      </c>
      <c r="K206" s="3090" t="str">
        <f t="shared" si="92"/>
        <v/>
      </c>
      <c r="L206" s="3085"/>
      <c r="M206" s="578" t="str">
        <f t="shared" si="93"/>
        <v/>
      </c>
      <c r="AJ206" s="2"/>
      <c r="BC206" s="804"/>
    </row>
    <row r="207" spans="1:55" ht="21" customHeight="1" x14ac:dyDescent="0.25">
      <c r="A207" s="433" t="s">
        <v>1038</v>
      </c>
      <c r="B207" s="3182" t="s">
        <v>1028</v>
      </c>
      <c r="C207" s="3142"/>
      <c r="D207" s="3142"/>
      <c r="E207" s="3142"/>
      <c r="F207" s="3142"/>
      <c r="G207" s="3183"/>
      <c r="H207" s="3183"/>
      <c r="I207" s="3183"/>
      <c r="J207" s="3183"/>
      <c r="K207" s="3184"/>
      <c r="L207" s="3184"/>
      <c r="M207" s="560" t="str">
        <f>$M$206</f>
        <v/>
      </c>
      <c r="AJ207" s="2"/>
      <c r="BC207" s="804"/>
    </row>
    <row r="208" spans="1:55" ht="33" customHeight="1" x14ac:dyDescent="0.25">
      <c r="A208" s="433" t="s">
        <v>1038</v>
      </c>
      <c r="C208" s="329"/>
      <c r="D208" s="329"/>
      <c r="E208" s="338"/>
      <c r="F208" s="251"/>
      <c r="G208" s="250"/>
      <c r="H208" s="251"/>
      <c r="I208" s="250"/>
      <c r="J208" s="298"/>
      <c r="AJ208" s="2"/>
    </row>
    <row r="209" spans="2:36" ht="33" hidden="1" customHeight="1" x14ac:dyDescent="0.25">
      <c r="B209" s="287" t="s">
        <v>703</v>
      </c>
      <c r="AG209" s="325"/>
      <c r="AH209" s="318"/>
      <c r="AI209" s="318"/>
      <c r="AJ209" s="318"/>
    </row>
    <row r="210" spans="2:36" ht="44.25" hidden="1" customHeight="1" x14ac:dyDescent="0.25">
      <c r="B210" s="4259" t="s">
        <v>965</v>
      </c>
      <c r="C210" s="4259"/>
      <c r="D210" s="4259"/>
      <c r="E210" s="4259"/>
      <c r="F210" s="4259"/>
      <c r="G210" s="4259"/>
      <c r="H210" s="4259"/>
      <c r="I210" s="4259"/>
      <c r="J210" s="4259"/>
      <c r="K210" s="4259"/>
      <c r="L210" s="4259"/>
      <c r="M210" s="4259"/>
      <c r="N210" s="608"/>
      <c r="O210" s="608"/>
      <c r="P210" s="608"/>
      <c r="Q210" s="608"/>
      <c r="R210" s="608"/>
      <c r="S210" s="608"/>
      <c r="T210" s="608"/>
      <c r="U210" s="608"/>
      <c r="V210" s="608"/>
      <c r="W210" s="608"/>
      <c r="X210" s="608"/>
      <c r="Y210" s="608"/>
      <c r="Z210" s="608"/>
      <c r="AA210" s="608"/>
      <c r="AB210" s="608"/>
      <c r="AC210" s="608"/>
      <c r="AD210" s="608"/>
      <c r="AE210" s="608"/>
      <c r="AF210" s="608"/>
      <c r="AG210" s="325"/>
      <c r="AH210" s="318"/>
      <c r="AI210" s="318"/>
      <c r="AJ210" s="318"/>
    </row>
    <row r="211" spans="2:36" ht="12.75" hidden="1" customHeight="1" x14ac:dyDescent="0.25">
      <c r="B211" s="3357" t="s">
        <v>241</v>
      </c>
      <c r="C211" s="772" t="s">
        <v>1508</v>
      </c>
      <c r="D211" s="778" t="s">
        <v>1509</v>
      </c>
      <c r="E211" s="779"/>
      <c r="F211" s="780" t="s">
        <v>1511</v>
      </c>
      <c r="G211" s="780" t="s">
        <v>1510</v>
      </c>
      <c r="H211" s="780" t="s">
        <v>1579</v>
      </c>
      <c r="I211" s="436"/>
      <c r="J211" s="610"/>
      <c r="K211" s="610"/>
      <c r="L211" s="2"/>
      <c r="M211" s="610"/>
      <c r="N211" s="610"/>
      <c r="P211" s="2"/>
      <c r="Q211" s="2"/>
      <c r="R211" s="2"/>
      <c r="S211" s="2"/>
      <c r="T211" s="2"/>
      <c r="U211" s="2"/>
      <c r="V211" s="2"/>
      <c r="W211" s="2"/>
      <c r="X211" s="2"/>
      <c r="Y211" s="2"/>
      <c r="Z211" s="2"/>
      <c r="AA211" s="2"/>
      <c r="AB211" s="2"/>
      <c r="AC211" s="606"/>
      <c r="AD211" s="605"/>
      <c r="AE211" s="605"/>
      <c r="AF211" s="605"/>
      <c r="AG211" s="325"/>
      <c r="AH211" s="318"/>
      <c r="AI211" s="318"/>
      <c r="AJ211" s="318"/>
    </row>
    <row r="212" spans="2:36" ht="12.75" hidden="1" customHeight="1" x14ac:dyDescent="0.25">
      <c r="B212" s="3357"/>
      <c r="C212" s="781">
        <f ca="1">OFFSET(L_ExtSum_Table,1,MATCH('6b - General Lighting'!$J$172,L_ExtSum_Hdr,0)-1,1,1)</f>
        <v>0</v>
      </c>
      <c r="D212" s="782">
        <f ca="1">OFFSET(L_ExtSum_Table,1,MATCH('6b - General Lighting'!$M$172,L_ExtSum_Hdr,0)-1,1,1)</f>
        <v>0</v>
      </c>
      <c r="E212" s="783"/>
      <c r="F212" s="784" t="e">
        <f ca="1">OFFSET(L_LtgZone_Table,1,MATCH('6b - General Lighting'!$M$134,L_LtgZone_Hdr,0)-1,1,1)+OFFSET(L_NTSurface_Table,MATCH('6b - General Lighting'!$B$166,L_NTSurface_Index,0)-1,MATCH('6b - General Lighting'!$J$159,L_NTSurface_Hdr,0)-1,1,1)</f>
        <v>#N/A</v>
      </c>
      <c r="G212" s="784">
        <f ca="1">OFFSET(L_NTSurface_Table,MATCH('6b - General Lighting'!$B$166,L_NTSurface_Index,0)-1,MATCH('6b - General Lighting'!$M$159,L_NTSurface_Hdr,0)-1,1,1)</f>
        <v>0</v>
      </c>
      <c r="H212" s="784">
        <f>L_ELR_Response</f>
        <v>0</v>
      </c>
      <c r="I212" s="436"/>
      <c r="J212" s="264"/>
      <c r="K212" s="264"/>
      <c r="L212" s="2"/>
      <c r="M212" s="264"/>
      <c r="N212" s="264"/>
      <c r="P212" s="605"/>
      <c r="Q212" s="605"/>
      <c r="R212" s="605"/>
      <c r="S212" s="605"/>
      <c r="T212" s="605"/>
      <c r="U212" s="605"/>
      <c r="V212" s="605"/>
      <c r="W212" s="605"/>
      <c r="X212" s="605"/>
      <c r="Y212" s="605"/>
      <c r="Z212" s="605"/>
      <c r="AA212" s="605"/>
      <c r="AB212" s="605"/>
      <c r="AC212" s="605"/>
      <c r="AD212" s="605"/>
      <c r="AE212" s="605"/>
      <c r="AF212" s="605"/>
      <c r="AG212" s="325"/>
      <c r="AH212" s="318"/>
      <c r="AI212" s="318"/>
      <c r="AJ212" s="318"/>
    </row>
    <row r="213" spans="2:36" ht="12.75" hidden="1" customHeight="1" x14ac:dyDescent="0.25">
      <c r="B213" s="3357" t="s">
        <v>1554</v>
      </c>
      <c r="C213" s="772" t="s">
        <v>1488</v>
      </c>
      <c r="D213" s="779" t="s">
        <v>1489</v>
      </c>
      <c r="E213" s="779"/>
      <c r="F213" s="786"/>
      <c r="G213" s="787"/>
      <c r="H213" s="788"/>
      <c r="I213" s="609"/>
      <c r="J213" s="609"/>
      <c r="K213" s="609"/>
      <c r="L213" s="604"/>
      <c r="M213" s="604"/>
      <c r="N213" s="604"/>
      <c r="O213" s="604"/>
      <c r="P213" s="605"/>
      <c r="Q213" s="605"/>
      <c r="R213" s="605"/>
      <c r="S213" s="605"/>
      <c r="T213" s="605"/>
      <c r="U213" s="605"/>
      <c r="V213" s="605"/>
      <c r="W213" s="605"/>
      <c r="X213" s="605"/>
      <c r="Y213" s="605"/>
      <c r="Z213" s="605"/>
      <c r="AA213" s="605"/>
      <c r="AB213" s="605"/>
      <c r="AC213" s="605"/>
      <c r="AD213" s="605"/>
      <c r="AE213" s="605"/>
      <c r="AF213" s="605"/>
      <c r="AG213" s="325"/>
      <c r="AH213" s="318"/>
      <c r="AI213" s="318"/>
      <c r="AJ213" s="318"/>
    </row>
    <row r="214" spans="2:36" ht="12.75" hidden="1" customHeight="1" x14ac:dyDescent="0.25">
      <c r="B214" s="3357"/>
      <c r="C214" s="781" t="str">
        <f>GetPerformanceOutputRangeSums("PO_QA_BaseExtLtgDem")</f>
        <v>Error</v>
      </c>
      <c r="D214" s="782" t="str">
        <f>GetPerformanceOutputRangeSums("PO_QA_DesignExtLtgDem")</f>
        <v>Error</v>
      </c>
      <c r="E214" s="785"/>
      <c r="F214" s="789"/>
      <c r="G214" s="776"/>
      <c r="H214" s="777"/>
      <c r="I214" s="436"/>
      <c r="J214" s="399"/>
      <c r="K214" s="399"/>
      <c r="L214" s="607" t="s">
        <v>1555</v>
      </c>
      <c r="M214" s="604"/>
      <c r="N214" s="604"/>
      <c r="O214" s="604"/>
      <c r="P214" s="605"/>
      <c r="Q214" s="605"/>
      <c r="R214" s="605"/>
      <c r="S214" s="605"/>
      <c r="T214" s="605"/>
      <c r="U214" s="605"/>
      <c r="V214" s="605"/>
      <c r="W214" s="605"/>
      <c r="X214" s="605"/>
      <c r="Y214" s="605"/>
      <c r="Z214" s="605"/>
      <c r="AA214" s="605"/>
      <c r="AB214" s="605"/>
      <c r="AC214" s="605"/>
      <c r="AD214" s="605"/>
      <c r="AE214" s="605"/>
      <c r="AF214" s="605"/>
      <c r="AG214" s="325"/>
      <c r="AH214" s="318"/>
      <c r="AI214" s="318"/>
      <c r="AJ214" s="318"/>
    </row>
    <row r="215" spans="2:36" hidden="1" x14ac:dyDescent="0.25">
      <c r="B215" s="608"/>
      <c r="C215" s="608"/>
      <c r="D215" s="608"/>
      <c r="E215" s="608"/>
      <c r="F215" s="608"/>
      <c r="G215" s="608"/>
      <c r="H215" s="608"/>
      <c r="I215" s="608"/>
      <c r="J215" s="608"/>
      <c r="K215" s="608"/>
      <c r="L215" s="608"/>
      <c r="M215" s="608"/>
      <c r="N215" s="608"/>
      <c r="O215" s="608"/>
      <c r="P215" s="608"/>
      <c r="Q215" s="608"/>
      <c r="R215" s="608"/>
      <c r="S215" s="608"/>
      <c r="T215" s="608"/>
      <c r="U215" s="608"/>
      <c r="V215" s="608"/>
      <c r="W215" s="608"/>
      <c r="X215" s="608"/>
      <c r="Y215" s="608"/>
      <c r="Z215" s="608"/>
      <c r="AA215" s="608"/>
      <c r="AB215" s="608"/>
      <c r="AC215" s="608"/>
      <c r="AD215" s="608"/>
      <c r="AE215" s="608"/>
      <c r="AF215" s="608"/>
      <c r="AG215" s="325"/>
      <c r="AH215" s="318"/>
      <c r="AI215" s="318"/>
      <c r="AJ215" s="318"/>
    </row>
    <row r="216" spans="2:36" ht="24" hidden="1" x14ac:dyDescent="0.25">
      <c r="B216" s="4269" t="s">
        <v>349</v>
      </c>
      <c r="C216" s="4270"/>
      <c r="D216" s="4270"/>
      <c r="E216" s="4270"/>
      <c r="F216" s="4270"/>
      <c r="G216" s="4270"/>
      <c r="H216" s="4270"/>
      <c r="I216" s="4271"/>
      <c r="J216" s="4272" t="s">
        <v>350</v>
      </c>
      <c r="K216" s="4273"/>
      <c r="L216" s="4273"/>
      <c r="M216" s="4274"/>
      <c r="N216" s="611"/>
      <c r="O216" s="2"/>
      <c r="Q216" s="637" t="s">
        <v>852</v>
      </c>
      <c r="R216" s="638" t="s">
        <v>1023</v>
      </c>
    </row>
    <row r="217" spans="2:36" ht="36.75" hidden="1" customHeight="1" x14ac:dyDescent="0.25">
      <c r="B217" s="4263" t="s">
        <v>1059</v>
      </c>
      <c r="C217" s="4264"/>
      <c r="D217" s="4264"/>
      <c r="E217" s="4264"/>
      <c r="F217" s="4264"/>
      <c r="G217" s="4264"/>
      <c r="H217" s="4264"/>
      <c r="I217" s="4265"/>
      <c r="J217" s="4256"/>
      <c r="K217" s="4257"/>
      <c r="L217" s="4257"/>
      <c r="M217" s="4258"/>
      <c r="O217" s="2"/>
      <c r="Q217" s="639"/>
      <c r="R217" s="627" t="b">
        <f ca="1">IFERROR(IF(OR((C214-C212)/MIN(C214,C212)&gt;0.05,(D214-D212)/MIN(D214,D212)&gt;0.05),TRUE,FALSE),TRUE)</f>
        <v>1</v>
      </c>
    </row>
    <row r="218" spans="2:36" ht="27" hidden="1" customHeight="1" x14ac:dyDescent="0.25">
      <c r="B218" s="4078" t="s">
        <v>1047</v>
      </c>
      <c r="C218" s="4079"/>
      <c r="D218" s="4079"/>
      <c r="E218" s="4079"/>
      <c r="F218" s="4079"/>
      <c r="G218" s="4079"/>
      <c r="H218" s="4079"/>
      <c r="I218" s="4080"/>
      <c r="J218" s="4266"/>
      <c r="K218" s="4267"/>
      <c r="L218" s="4267"/>
      <c r="M218" s="4268"/>
      <c r="O218" s="2"/>
      <c r="Q218" s="639"/>
      <c r="R218" s="627" t="b">
        <f ca="1">IFERROR(IF(D212&gt;C212,TRUE,FALSE),TRUE)</f>
        <v>0</v>
      </c>
    </row>
    <row r="219" spans="2:36" ht="48" hidden="1" customHeight="1" x14ac:dyDescent="0.25">
      <c r="B219" s="4078" t="s">
        <v>1074</v>
      </c>
      <c r="C219" s="4079"/>
      <c r="D219" s="4079"/>
      <c r="E219" s="4079"/>
      <c r="F219" s="4079"/>
      <c r="G219" s="4079"/>
      <c r="H219" s="4079"/>
      <c r="I219" s="4080"/>
      <c r="J219" s="4260"/>
      <c r="K219" s="4261"/>
      <c r="L219" s="4261"/>
      <c r="M219" s="4262"/>
      <c r="O219" s="2"/>
      <c r="Q219" s="639"/>
      <c r="R219" s="627" t="b">
        <f ca="1">IFERROR(IF(G212&gt;F212,TRUE,FALSE),TRUE)</f>
        <v>1</v>
      </c>
    </row>
    <row r="220" spans="2:36" ht="44.25" customHeight="1" x14ac:dyDescent="0.25">
      <c r="B220" s="4263" t="s">
        <v>1578</v>
      </c>
      <c r="C220" s="4264"/>
      <c r="D220" s="4264"/>
      <c r="E220" s="4264"/>
      <c r="F220" s="4264"/>
      <c r="G220" s="4264"/>
      <c r="H220" s="4264"/>
      <c r="I220" s="4265"/>
      <c r="J220" s="4256"/>
      <c r="K220" s="4257"/>
      <c r="L220" s="4257"/>
      <c r="M220" s="4258"/>
      <c r="Q220" s="639"/>
      <c r="R220" s="627" t="b">
        <f>IFERROR(IF(H212&lt;&gt;"Yes",TRUE,FALSE),TRUE)</f>
        <v>1</v>
      </c>
    </row>
    <row r="236" spans="2:14" ht="30" customHeight="1" x14ac:dyDescent="0.25">
      <c r="B236" s="291"/>
      <c r="C236" s="291"/>
      <c r="D236" s="307"/>
      <c r="E236" s="307"/>
      <c r="F236" s="291"/>
      <c r="G236" s="292"/>
      <c r="H236" s="292"/>
      <c r="I236" s="292"/>
      <c r="J236" s="292"/>
      <c r="K236" s="292"/>
      <c r="L236" s="292"/>
      <c r="M236" s="589"/>
      <c r="N236" s="246"/>
    </row>
    <row r="237" spans="2:14" x14ac:dyDescent="0.25">
      <c r="D237" s="307"/>
      <c r="E237" s="307"/>
    </row>
  </sheetData>
  <sheetProtection algorithmName="SHA-512" hashValue="J+yjdl80ggxBasdlzX6camXW//JHOUiD7NSvOuP3Rv6C/pLjGaI8pRQ/TBescV81ahUHl6tL+YrOEimg+tCx0w==" saltValue="szM7yIciES2JveUQYHnSSg==" spinCount="100000" sheet="1" objects="1" scenarios="1"/>
  <mergeCells count="521">
    <mergeCell ref="C179:D179"/>
    <mergeCell ref="K179:L179"/>
    <mergeCell ref="C175:D175"/>
    <mergeCell ref="K175:L175"/>
    <mergeCell ref="C196:D196"/>
    <mergeCell ref="K196:L196"/>
    <mergeCell ref="C130:D130"/>
    <mergeCell ref="K130:L130"/>
    <mergeCell ref="C131:D131"/>
    <mergeCell ref="K131:L131"/>
    <mergeCell ref="C152:D152"/>
    <mergeCell ref="C151:D151"/>
    <mergeCell ref="C132:D132"/>
    <mergeCell ref="K132:L132"/>
    <mergeCell ref="C154:D154"/>
    <mergeCell ref="K154:L154"/>
    <mergeCell ref="K152:L152"/>
    <mergeCell ref="C136:D136"/>
    <mergeCell ref="K136:L136"/>
    <mergeCell ref="C176:D176"/>
    <mergeCell ref="K176:L176"/>
    <mergeCell ref="C177:D177"/>
    <mergeCell ref="K177:L177"/>
    <mergeCell ref="K151:L151"/>
    <mergeCell ref="C13:D13"/>
    <mergeCell ref="F13:G13"/>
    <mergeCell ref="H13:J13"/>
    <mergeCell ref="K13:L13"/>
    <mergeCell ref="C88:D88"/>
    <mergeCell ref="K88:L88"/>
    <mergeCell ref="C109:D109"/>
    <mergeCell ref="E109:G109"/>
    <mergeCell ref="H109:J109"/>
    <mergeCell ref="K109:M109"/>
    <mergeCell ref="C14:D14"/>
    <mergeCell ref="F14:G14"/>
    <mergeCell ref="H14:J14"/>
    <mergeCell ref="K14:L14"/>
    <mergeCell ref="C89:D89"/>
    <mergeCell ref="K89:L89"/>
    <mergeCell ref="H104:J104"/>
    <mergeCell ref="K100:L100"/>
    <mergeCell ref="C15:D15"/>
    <mergeCell ref="F15:G15"/>
    <mergeCell ref="H15:J15"/>
    <mergeCell ref="K15:L15"/>
    <mergeCell ref="C90:D90"/>
    <mergeCell ref="K90:L90"/>
    <mergeCell ref="H12:J12"/>
    <mergeCell ref="K12:L12"/>
    <mergeCell ref="C87:D87"/>
    <mergeCell ref="K87:L87"/>
    <mergeCell ref="C108:D108"/>
    <mergeCell ref="E108:G108"/>
    <mergeCell ref="H108:J108"/>
    <mergeCell ref="K108:M108"/>
    <mergeCell ref="C128:D128"/>
    <mergeCell ref="K128:L128"/>
    <mergeCell ref="C127:D127"/>
    <mergeCell ref="K127:L127"/>
    <mergeCell ref="C107:D107"/>
    <mergeCell ref="E107:G107"/>
    <mergeCell ref="H107:J107"/>
    <mergeCell ref="K107:M107"/>
    <mergeCell ref="B122:L122"/>
    <mergeCell ref="B123:B124"/>
    <mergeCell ref="B103:L103"/>
    <mergeCell ref="B104:D104"/>
    <mergeCell ref="E104:G104"/>
    <mergeCell ref="C123:D124"/>
    <mergeCell ref="E123:G123"/>
    <mergeCell ref="H123:J123"/>
    <mergeCell ref="J220:M220"/>
    <mergeCell ref="N167:P167"/>
    <mergeCell ref="K168:L168"/>
    <mergeCell ref="C170:D170"/>
    <mergeCell ref="K170:L170"/>
    <mergeCell ref="C171:D171"/>
    <mergeCell ref="K171:L171"/>
    <mergeCell ref="J219:M219"/>
    <mergeCell ref="B219:I219"/>
    <mergeCell ref="B220:I220"/>
    <mergeCell ref="B206:D206"/>
    <mergeCell ref="K206:L206"/>
    <mergeCell ref="C195:D195"/>
    <mergeCell ref="K195:L195"/>
    <mergeCell ref="C194:D194"/>
    <mergeCell ref="K194:L194"/>
    <mergeCell ref="C193:D193"/>
    <mergeCell ref="K193:L193"/>
    <mergeCell ref="H167:J167"/>
    <mergeCell ref="K167:M167"/>
    <mergeCell ref="J218:M218"/>
    <mergeCell ref="B216:I216"/>
    <mergeCell ref="J216:M216"/>
    <mergeCell ref="B217:I217"/>
    <mergeCell ref="B218:I218"/>
    <mergeCell ref="B211:B212"/>
    <mergeCell ref="B213:B214"/>
    <mergeCell ref="J217:M217"/>
    <mergeCell ref="B210:M210"/>
    <mergeCell ref="B185:D185"/>
    <mergeCell ref="K185:L185"/>
    <mergeCell ref="B207:L207"/>
    <mergeCell ref="C191:D191"/>
    <mergeCell ref="K191:L191"/>
    <mergeCell ref="C192:D192"/>
    <mergeCell ref="K192:L192"/>
    <mergeCell ref="B188:B189"/>
    <mergeCell ref="C188:D189"/>
    <mergeCell ref="E188:G188"/>
    <mergeCell ref="H188:J188"/>
    <mergeCell ref="K188:M188"/>
    <mergeCell ref="K189:L189"/>
    <mergeCell ref="C199:D199"/>
    <mergeCell ref="K199:L199"/>
    <mergeCell ref="C197:D197"/>
    <mergeCell ref="K197:L197"/>
    <mergeCell ref="C198:D198"/>
    <mergeCell ref="K198:L198"/>
    <mergeCell ref="N144:P144"/>
    <mergeCell ref="K145:L145"/>
    <mergeCell ref="K147:L147"/>
    <mergeCell ref="C148:D148"/>
    <mergeCell ref="K148:L148"/>
    <mergeCell ref="C147:D147"/>
    <mergeCell ref="B142:L142"/>
    <mergeCell ref="B144:B145"/>
    <mergeCell ref="C144:D145"/>
    <mergeCell ref="E144:G144"/>
    <mergeCell ref="H144:J144"/>
    <mergeCell ref="K144:M144"/>
    <mergeCell ref="AF76:AG77"/>
    <mergeCell ref="B78:C79"/>
    <mergeCell ref="D78:D79"/>
    <mergeCell ref="E78:E79"/>
    <mergeCell ref="J78:J79"/>
    <mergeCell ref="K78:L79"/>
    <mergeCell ref="M78:M79"/>
    <mergeCell ref="AF78:AG79"/>
    <mergeCell ref="B76:C77"/>
    <mergeCell ref="D76:D77"/>
    <mergeCell ref="E76:E77"/>
    <mergeCell ref="J76:J77"/>
    <mergeCell ref="K76:L77"/>
    <mergeCell ref="M76:M77"/>
    <mergeCell ref="N123:P123"/>
    <mergeCell ref="K124:L124"/>
    <mergeCell ref="C126:D126"/>
    <mergeCell ref="K126:L126"/>
    <mergeCell ref="AF72:AG73"/>
    <mergeCell ref="B74:C75"/>
    <mergeCell ref="D74:D75"/>
    <mergeCell ref="E74:E75"/>
    <mergeCell ref="J74:J75"/>
    <mergeCell ref="K74:L75"/>
    <mergeCell ref="M74:M75"/>
    <mergeCell ref="AF74:AG75"/>
    <mergeCell ref="B72:C73"/>
    <mergeCell ref="D72:D73"/>
    <mergeCell ref="E72:E73"/>
    <mergeCell ref="J72:J73"/>
    <mergeCell ref="K72:L73"/>
    <mergeCell ref="M72:M73"/>
    <mergeCell ref="K104:M104"/>
    <mergeCell ref="C85:D85"/>
    <mergeCell ref="K85:L85"/>
    <mergeCell ref="C86:D86"/>
    <mergeCell ref="K86:L86"/>
    <mergeCell ref="B100:D100"/>
    <mergeCell ref="AF68:AG69"/>
    <mergeCell ref="B70:C71"/>
    <mergeCell ref="D70:D71"/>
    <mergeCell ref="E70:E71"/>
    <mergeCell ref="J70:J71"/>
    <mergeCell ref="K70:L71"/>
    <mergeCell ref="M70:M71"/>
    <mergeCell ref="AF70:AG71"/>
    <mergeCell ref="B68:C69"/>
    <mergeCell ref="D68:D69"/>
    <mergeCell ref="E68:E69"/>
    <mergeCell ref="J68:J69"/>
    <mergeCell ref="K68:L69"/>
    <mergeCell ref="M68:M69"/>
    <mergeCell ref="AF64:AG65"/>
    <mergeCell ref="B66:C67"/>
    <mergeCell ref="D66:D67"/>
    <mergeCell ref="E66:E67"/>
    <mergeCell ref="J66:J67"/>
    <mergeCell ref="K66:L67"/>
    <mergeCell ref="M66:M67"/>
    <mergeCell ref="AF66:AG67"/>
    <mergeCell ref="B64:C65"/>
    <mergeCell ref="D64:D65"/>
    <mergeCell ref="E64:E65"/>
    <mergeCell ref="J64:J65"/>
    <mergeCell ref="K64:L65"/>
    <mergeCell ref="M64:M65"/>
    <mergeCell ref="AF60:AG61"/>
    <mergeCell ref="B62:C63"/>
    <mergeCell ref="D62:D63"/>
    <mergeCell ref="E62:E63"/>
    <mergeCell ref="J62:J63"/>
    <mergeCell ref="K62:L63"/>
    <mergeCell ref="M62:M63"/>
    <mergeCell ref="AF62:AG63"/>
    <mergeCell ref="B60:C61"/>
    <mergeCell ref="D60:D61"/>
    <mergeCell ref="E60:E61"/>
    <mergeCell ref="J60:J61"/>
    <mergeCell ref="K60:L61"/>
    <mergeCell ref="M60:M61"/>
    <mergeCell ref="AF56:AG57"/>
    <mergeCell ref="B58:C59"/>
    <mergeCell ref="D58:D59"/>
    <mergeCell ref="E58:E59"/>
    <mergeCell ref="J58:J59"/>
    <mergeCell ref="K58:L59"/>
    <mergeCell ref="M58:M59"/>
    <mergeCell ref="AF58:AG59"/>
    <mergeCell ref="B56:C57"/>
    <mergeCell ref="D56:D57"/>
    <mergeCell ref="E56:E57"/>
    <mergeCell ref="J56:J57"/>
    <mergeCell ref="K56:L57"/>
    <mergeCell ref="M56:M57"/>
    <mergeCell ref="AF52:AG53"/>
    <mergeCell ref="B54:C55"/>
    <mergeCell ref="D54:D55"/>
    <mergeCell ref="E54:E55"/>
    <mergeCell ref="J54:J55"/>
    <mergeCell ref="K54:L55"/>
    <mergeCell ref="M54:M55"/>
    <mergeCell ref="AF54:AG55"/>
    <mergeCell ref="B52:C53"/>
    <mergeCell ref="D52:D53"/>
    <mergeCell ref="E52:E53"/>
    <mergeCell ref="J52:J53"/>
    <mergeCell ref="K52:L53"/>
    <mergeCell ref="M52:M53"/>
    <mergeCell ref="AF48:AG49"/>
    <mergeCell ref="B50:C51"/>
    <mergeCell ref="D50:D51"/>
    <mergeCell ref="E50:E51"/>
    <mergeCell ref="J50:J51"/>
    <mergeCell ref="K50:L51"/>
    <mergeCell ref="M50:M51"/>
    <mergeCell ref="AF50:AG51"/>
    <mergeCell ref="B48:C49"/>
    <mergeCell ref="D48:D49"/>
    <mergeCell ref="E48:E49"/>
    <mergeCell ref="J48:J49"/>
    <mergeCell ref="K48:L49"/>
    <mergeCell ref="M48:M49"/>
    <mergeCell ref="AF44:AG45"/>
    <mergeCell ref="B46:C47"/>
    <mergeCell ref="D46:D47"/>
    <mergeCell ref="E46:E47"/>
    <mergeCell ref="J46:J47"/>
    <mergeCell ref="K46:L47"/>
    <mergeCell ref="M46:M47"/>
    <mergeCell ref="AF46:AG47"/>
    <mergeCell ref="B44:C45"/>
    <mergeCell ref="D44:D45"/>
    <mergeCell ref="E44:E45"/>
    <mergeCell ref="J44:J45"/>
    <mergeCell ref="K44:L45"/>
    <mergeCell ref="M44:M45"/>
    <mergeCell ref="AF40:AG41"/>
    <mergeCell ref="B42:C43"/>
    <mergeCell ref="D42:D43"/>
    <mergeCell ref="E42:E43"/>
    <mergeCell ref="J42:J43"/>
    <mergeCell ref="K42:L43"/>
    <mergeCell ref="M42:M43"/>
    <mergeCell ref="AF42:AG43"/>
    <mergeCell ref="B40:C41"/>
    <mergeCell ref="D40:D41"/>
    <mergeCell ref="E40:E41"/>
    <mergeCell ref="J40:J41"/>
    <mergeCell ref="K40:L41"/>
    <mergeCell ref="M40:M41"/>
    <mergeCell ref="AF36:AG37"/>
    <mergeCell ref="B38:C39"/>
    <mergeCell ref="D38:D39"/>
    <mergeCell ref="E38:E39"/>
    <mergeCell ref="J38:J39"/>
    <mergeCell ref="K38:L39"/>
    <mergeCell ref="M38:M39"/>
    <mergeCell ref="AF38:AG39"/>
    <mergeCell ref="B36:C37"/>
    <mergeCell ref="D36:D37"/>
    <mergeCell ref="E36:E37"/>
    <mergeCell ref="J36:J37"/>
    <mergeCell ref="K36:L37"/>
    <mergeCell ref="M36:M37"/>
    <mergeCell ref="AF32:AG33"/>
    <mergeCell ref="B34:C35"/>
    <mergeCell ref="D34:D35"/>
    <mergeCell ref="E34:E35"/>
    <mergeCell ref="J34:J35"/>
    <mergeCell ref="K34:L35"/>
    <mergeCell ref="M34:M35"/>
    <mergeCell ref="AF34:AG35"/>
    <mergeCell ref="B30:C30"/>
    <mergeCell ref="K30:L30"/>
    <mergeCell ref="B32:C33"/>
    <mergeCell ref="D32:D33"/>
    <mergeCell ref="E32:E33"/>
    <mergeCell ref="J32:J33"/>
    <mergeCell ref="K32:L33"/>
    <mergeCell ref="M32:M33"/>
    <mergeCell ref="B5:M5"/>
    <mergeCell ref="B6:M6"/>
    <mergeCell ref="B25:K25"/>
    <mergeCell ref="L25:M25"/>
    <mergeCell ref="B26:K26"/>
    <mergeCell ref="L26:M26"/>
    <mergeCell ref="C9:D9"/>
    <mergeCell ref="C10:D10"/>
    <mergeCell ref="F10:G10"/>
    <mergeCell ref="H10:J10"/>
    <mergeCell ref="K10:L10"/>
    <mergeCell ref="C11:D11"/>
    <mergeCell ref="F11:G11"/>
    <mergeCell ref="H11:J11"/>
    <mergeCell ref="K11:L11"/>
    <mergeCell ref="B7:B8"/>
    <mergeCell ref="C7:D8"/>
    <mergeCell ref="E7:E8"/>
    <mergeCell ref="F7:G8"/>
    <mergeCell ref="H7:J8"/>
    <mergeCell ref="K7:M7"/>
    <mergeCell ref="K8:L8"/>
    <mergeCell ref="C12:D12"/>
    <mergeCell ref="F12:G12"/>
    <mergeCell ref="B82:B83"/>
    <mergeCell ref="C82:D83"/>
    <mergeCell ref="E82:G82"/>
    <mergeCell ref="H82:J82"/>
    <mergeCell ref="K82:M82"/>
    <mergeCell ref="K83:L83"/>
    <mergeCell ref="K106:M106"/>
    <mergeCell ref="K150:L150"/>
    <mergeCell ref="C173:D173"/>
    <mergeCell ref="K173:L173"/>
    <mergeCell ref="K123:M123"/>
    <mergeCell ref="C106:D106"/>
    <mergeCell ref="E106:G106"/>
    <mergeCell ref="H106:J106"/>
    <mergeCell ref="B141:D141"/>
    <mergeCell ref="K141:L141"/>
    <mergeCell ref="C149:D149"/>
    <mergeCell ref="K149:L149"/>
    <mergeCell ref="C172:D172"/>
    <mergeCell ref="K172:L172"/>
    <mergeCell ref="C129:D129"/>
    <mergeCell ref="K129:L129"/>
    <mergeCell ref="C150:D150"/>
    <mergeCell ref="B163:L163"/>
    <mergeCell ref="C92:D92"/>
    <mergeCell ref="K92:L92"/>
    <mergeCell ref="C112:D112"/>
    <mergeCell ref="E112:G112"/>
    <mergeCell ref="H112:J112"/>
    <mergeCell ref="K112:M112"/>
    <mergeCell ref="C113:D113"/>
    <mergeCell ref="E113:G113"/>
    <mergeCell ref="H113:J113"/>
    <mergeCell ref="C110:D110"/>
    <mergeCell ref="E110:G110"/>
    <mergeCell ref="H110:J110"/>
    <mergeCell ref="K110:M110"/>
    <mergeCell ref="C111:D111"/>
    <mergeCell ref="E111:G111"/>
    <mergeCell ref="H111:J111"/>
    <mergeCell ref="K111:M111"/>
    <mergeCell ref="C93:D93"/>
    <mergeCell ref="K93:L93"/>
    <mergeCell ref="K113:M113"/>
    <mergeCell ref="C94:D94"/>
    <mergeCell ref="K94:L94"/>
    <mergeCell ref="C95:D95"/>
    <mergeCell ref="K95:L95"/>
    <mergeCell ref="C16:D16"/>
    <mergeCell ref="F16:G16"/>
    <mergeCell ref="H16:J16"/>
    <mergeCell ref="K16:L16"/>
    <mergeCell ref="C17:D17"/>
    <mergeCell ref="F17:G17"/>
    <mergeCell ref="H17:J17"/>
    <mergeCell ref="K17:L17"/>
    <mergeCell ref="C91:D91"/>
    <mergeCell ref="K91:L91"/>
    <mergeCell ref="C18:D18"/>
    <mergeCell ref="F18:G18"/>
    <mergeCell ref="H18:J18"/>
    <mergeCell ref="K18:L18"/>
    <mergeCell ref="C19:D19"/>
    <mergeCell ref="F19:G19"/>
    <mergeCell ref="H19:J19"/>
    <mergeCell ref="K19:L19"/>
    <mergeCell ref="C20:D20"/>
    <mergeCell ref="F20:G20"/>
    <mergeCell ref="H20:J20"/>
    <mergeCell ref="K20:L20"/>
    <mergeCell ref="C22:D22"/>
    <mergeCell ref="F22:G22"/>
    <mergeCell ref="C119:D119"/>
    <mergeCell ref="E119:G119"/>
    <mergeCell ref="H119:J119"/>
    <mergeCell ref="K119:M119"/>
    <mergeCell ref="C120:D120"/>
    <mergeCell ref="C115:D115"/>
    <mergeCell ref="E115:G115"/>
    <mergeCell ref="H115:J115"/>
    <mergeCell ref="K115:M115"/>
    <mergeCell ref="E120:G120"/>
    <mergeCell ref="H120:J120"/>
    <mergeCell ref="K120:M120"/>
    <mergeCell ref="C174:D174"/>
    <mergeCell ref="K174:L174"/>
    <mergeCell ref="B162:D162"/>
    <mergeCell ref="K162:L162"/>
    <mergeCell ref="B164:J164"/>
    <mergeCell ref="K164:M164"/>
    <mergeCell ref="B167:B168"/>
    <mergeCell ref="C167:D168"/>
    <mergeCell ref="E167:G167"/>
    <mergeCell ref="C157:D157"/>
    <mergeCell ref="K157:L157"/>
    <mergeCell ref="C159:D159"/>
    <mergeCell ref="K159:L159"/>
    <mergeCell ref="C160:D160"/>
    <mergeCell ref="K160:L160"/>
    <mergeCell ref="C161:D161"/>
    <mergeCell ref="K161:L161"/>
    <mergeCell ref="C153:D153"/>
    <mergeCell ref="K153:L153"/>
    <mergeCell ref="C156:D156"/>
    <mergeCell ref="K156:L156"/>
    <mergeCell ref="C180:D180"/>
    <mergeCell ref="K180:L180"/>
    <mergeCell ref="C201:D201"/>
    <mergeCell ref="K201:L201"/>
    <mergeCell ref="C21:D21"/>
    <mergeCell ref="F21:G21"/>
    <mergeCell ref="H21:J21"/>
    <mergeCell ref="K21:L21"/>
    <mergeCell ref="C96:D96"/>
    <mergeCell ref="K96:L96"/>
    <mergeCell ref="C117:D117"/>
    <mergeCell ref="E117:G117"/>
    <mergeCell ref="H117:J117"/>
    <mergeCell ref="K117:M117"/>
    <mergeCell ref="C137:D137"/>
    <mergeCell ref="K137:L137"/>
    <mergeCell ref="C158:D158"/>
    <mergeCell ref="K158:L158"/>
    <mergeCell ref="C181:D181"/>
    <mergeCell ref="K181:L181"/>
    <mergeCell ref="C155:D155"/>
    <mergeCell ref="K155:L155"/>
    <mergeCell ref="C178:D178"/>
    <mergeCell ref="K178:L178"/>
    <mergeCell ref="H22:J22"/>
    <mergeCell ref="K22:L22"/>
    <mergeCell ref="C23:D23"/>
    <mergeCell ref="F23:G23"/>
    <mergeCell ref="H23:J23"/>
    <mergeCell ref="K23:L23"/>
    <mergeCell ref="C24:D24"/>
    <mergeCell ref="F24:G24"/>
    <mergeCell ref="H24:J24"/>
    <mergeCell ref="K24:L24"/>
    <mergeCell ref="C97:D97"/>
    <mergeCell ref="K97:L97"/>
    <mergeCell ref="C98:D98"/>
    <mergeCell ref="K98:L98"/>
    <mergeCell ref="C99:D99"/>
    <mergeCell ref="K99:L99"/>
    <mergeCell ref="C118:D118"/>
    <mergeCell ref="E118:G118"/>
    <mergeCell ref="H118:J118"/>
    <mergeCell ref="K118:M118"/>
    <mergeCell ref="C114:D114"/>
    <mergeCell ref="E114:G114"/>
    <mergeCell ref="H114:J114"/>
    <mergeCell ref="K114:M114"/>
    <mergeCell ref="C116:D116"/>
    <mergeCell ref="E116:G116"/>
    <mergeCell ref="H116:J116"/>
    <mergeCell ref="K116:M116"/>
    <mergeCell ref="C138:D138"/>
    <mergeCell ref="K138:L138"/>
    <mergeCell ref="C139:D139"/>
    <mergeCell ref="K139:L139"/>
    <mergeCell ref="C140:D140"/>
    <mergeCell ref="K140:L140"/>
    <mergeCell ref="C133:D133"/>
    <mergeCell ref="K133:L133"/>
    <mergeCell ref="C135:D135"/>
    <mergeCell ref="K135:L135"/>
    <mergeCell ref="C134:D134"/>
    <mergeCell ref="K134:L134"/>
    <mergeCell ref="C205:D205"/>
    <mergeCell ref="K205:L205"/>
    <mergeCell ref="C182:D182"/>
    <mergeCell ref="K182:L182"/>
    <mergeCell ref="C183:D183"/>
    <mergeCell ref="K183:L183"/>
    <mergeCell ref="C184:D184"/>
    <mergeCell ref="K184:L184"/>
    <mergeCell ref="C203:D203"/>
    <mergeCell ref="K203:L203"/>
    <mergeCell ref="C204:D204"/>
    <mergeCell ref="K204:L204"/>
    <mergeCell ref="C202:D202"/>
    <mergeCell ref="K202:L202"/>
    <mergeCell ref="C200:D200"/>
    <mergeCell ref="K200:L200"/>
  </mergeCells>
  <conditionalFormatting sqref="K164:L164">
    <cfRule type="cellIs" dxfId="57" priority="79" operator="equal">
      <formula>"No"</formula>
    </cfRule>
  </conditionalFormatting>
  <conditionalFormatting sqref="K106:K107">
    <cfRule type="expression" dxfId="56" priority="78">
      <formula>IFERROR(AND(K106&gt;0.1,K106&lt;&gt;""),FALSE)</formula>
    </cfRule>
  </conditionalFormatting>
  <conditionalFormatting sqref="B191:M192 B148:M148 B170:M171 B147:C147 E147:M147">
    <cfRule type="expression" dxfId="55" priority="77">
      <formula>AND(DESPath=3,OR($B147="District Cooling",$B147="District Hot Water",$B147="District Steam"))</formula>
    </cfRule>
  </conditionalFormatting>
  <conditionalFormatting sqref="E106:J107">
    <cfRule type="expression" dxfId="54" priority="1249">
      <formula>AND(DESPath=3,#REF!=$B106,ISERROR(1/VLOOKUP($B106,PO_Enrgy_7_Table,MATCH($G$84,PO_Enrgy_7_Hdr,0),FALSE)))</formula>
    </cfRule>
  </conditionalFormatting>
  <conditionalFormatting sqref="J217:M220">
    <cfRule type="expression" dxfId="53" priority="1327">
      <formula>IF($R217=TRUE,TRUE,FALSE)</formula>
    </cfRule>
  </conditionalFormatting>
  <conditionalFormatting sqref="B217:I220">
    <cfRule type="expression" dxfId="52" priority="67">
      <formula>IF($R217=TRUE,TRUE,FALSE)</formula>
    </cfRule>
  </conditionalFormatting>
  <conditionalFormatting sqref="K108">
    <cfRule type="expression" dxfId="51" priority="49">
      <formula>IFERROR(AND(K108&gt;0.1,K108&lt;&gt;""),FALSE)</formula>
    </cfRule>
  </conditionalFormatting>
  <conditionalFormatting sqref="E108:J108">
    <cfRule type="expression" dxfId="50" priority="50">
      <formula>AND(DESPath=3,#REF!=$B108,ISERROR(1/VLOOKUP($B108,PO_Enrgy_7_Table,MATCH($G$84,PO_Enrgy_7_Hdr,0),FALSE)))</formula>
    </cfRule>
  </conditionalFormatting>
  <conditionalFormatting sqref="B149:M149">
    <cfRule type="expression" dxfId="49" priority="48">
      <formula>AND(DESPath=3,OR($B149="District Cooling",$B149="District Hot Water",$B149="District Steam"))</formula>
    </cfRule>
  </conditionalFormatting>
  <conditionalFormatting sqref="B172:M172">
    <cfRule type="expression" dxfId="48" priority="47">
      <formula>AND(DESPath=3,OR($B172="District Cooling",$B172="District Hot Water",$B172="District Steam"))</formula>
    </cfRule>
  </conditionalFormatting>
  <conditionalFormatting sqref="B193:M193">
    <cfRule type="expression" dxfId="47" priority="46">
      <formula>AND(DESPath=3,OR($B193="District Cooling",$B193="District Hot Water",$B193="District Steam"))</formula>
    </cfRule>
  </conditionalFormatting>
  <conditionalFormatting sqref="K109">
    <cfRule type="expression" dxfId="46" priority="44">
      <formula>IFERROR(AND(K109&gt;0.1,K109&lt;&gt;""),FALSE)</formula>
    </cfRule>
  </conditionalFormatting>
  <conditionalFormatting sqref="E109:J109">
    <cfRule type="expression" dxfId="45" priority="45">
      <formula>AND(DESPath=3,#REF!=$B109,ISERROR(1/VLOOKUP($B109,PO_Enrgy_7_Table,MATCH($G$84,PO_Enrgy_7_Hdr,0),FALSE)))</formula>
    </cfRule>
  </conditionalFormatting>
  <conditionalFormatting sqref="B150:M150">
    <cfRule type="expression" dxfId="44" priority="43">
      <formula>AND(DESPath=3,OR($B150="District Cooling",$B150="District Hot Water",$B150="District Steam"))</formula>
    </cfRule>
  </conditionalFormatting>
  <conditionalFormatting sqref="B173:M173">
    <cfRule type="expression" dxfId="43" priority="42">
      <formula>AND(DESPath=3,OR($B173="District Cooling",$B173="District Hot Water",$B173="District Steam"))</formula>
    </cfRule>
  </conditionalFormatting>
  <conditionalFormatting sqref="B194:M194">
    <cfRule type="expression" dxfId="42" priority="41">
      <formula>AND(DESPath=3,OR($B194="District Cooling",$B194="District Hot Water",$B194="District Steam"))</formula>
    </cfRule>
  </conditionalFormatting>
  <conditionalFormatting sqref="K110">
    <cfRule type="expression" dxfId="41" priority="39">
      <formula>IFERROR(AND(K110&gt;0.1,K110&lt;&gt;""),FALSE)</formula>
    </cfRule>
  </conditionalFormatting>
  <conditionalFormatting sqref="E110:J110">
    <cfRule type="expression" dxfId="40" priority="40">
      <formula>AND(DESPath=3,#REF!=$B110,ISERROR(1/VLOOKUP($B110,PO_Enrgy_7_Table,MATCH($G$84,PO_Enrgy_7_Hdr,0),FALSE)))</formula>
    </cfRule>
  </conditionalFormatting>
  <conditionalFormatting sqref="B151:M151">
    <cfRule type="expression" dxfId="39" priority="38">
      <formula>AND(DESPath=3,OR($B151="District Cooling",$B151="District Hot Water",$B151="District Steam"))</formula>
    </cfRule>
  </conditionalFormatting>
  <conditionalFormatting sqref="B174:M174">
    <cfRule type="expression" dxfId="38" priority="37">
      <formula>AND(DESPath=3,OR($B174="District Cooling",$B174="District Hot Water",$B174="District Steam"))</formula>
    </cfRule>
  </conditionalFormatting>
  <conditionalFormatting sqref="B195:M195">
    <cfRule type="expression" dxfId="37" priority="36">
      <formula>AND(DESPath=3,OR($B195="District Cooling",$B195="District Hot Water",$B195="District Steam"))</formula>
    </cfRule>
  </conditionalFormatting>
  <conditionalFormatting sqref="K111">
    <cfRule type="expression" dxfId="36" priority="34">
      <formula>IFERROR(AND(K111&gt;0.1,K111&lt;&gt;""),FALSE)</formula>
    </cfRule>
  </conditionalFormatting>
  <conditionalFormatting sqref="E111:J111">
    <cfRule type="expression" dxfId="35" priority="35">
      <formula>AND(DESPath=3,#REF!=$B111,ISERROR(1/VLOOKUP($B111,PO_Enrgy_7_Table,MATCH($G$84,PO_Enrgy_7_Hdr,0),FALSE)))</formula>
    </cfRule>
  </conditionalFormatting>
  <conditionalFormatting sqref="B152:M152">
    <cfRule type="expression" dxfId="34" priority="33">
      <formula>AND(DESPath=3,OR($B152="District Cooling",$B152="District Hot Water",$B152="District Steam"))</formula>
    </cfRule>
  </conditionalFormatting>
  <conditionalFormatting sqref="B175:M175">
    <cfRule type="expression" dxfId="33" priority="32">
      <formula>AND(DESPath=3,OR($B175="District Cooling",$B175="District Hot Water",$B175="District Steam"))</formula>
    </cfRule>
  </conditionalFormatting>
  <conditionalFormatting sqref="B196:M196">
    <cfRule type="expression" dxfId="32" priority="31">
      <formula>AND(DESPath=3,OR($B196="District Cooling",$B196="District Hot Water",$B196="District Steam"))</formula>
    </cfRule>
  </conditionalFormatting>
  <conditionalFormatting sqref="K112:K113">
    <cfRule type="expression" dxfId="31" priority="29">
      <formula>IFERROR(AND(K112&gt;0.1,K112&lt;&gt;""),FALSE)</formula>
    </cfRule>
  </conditionalFormatting>
  <conditionalFormatting sqref="E112:J113">
    <cfRule type="expression" dxfId="30" priority="30">
      <formula>AND(DESPath=3,#REF!=$B112,ISERROR(1/VLOOKUP($B112,PO_Enrgy_7_Table,MATCH($G$84,PO_Enrgy_7_Hdr,0),FALSE)))</formula>
    </cfRule>
  </conditionalFormatting>
  <conditionalFormatting sqref="B153:M154">
    <cfRule type="expression" dxfId="29" priority="28">
      <formula>AND(DESPath=3,OR($B153="District Cooling",$B153="District Hot Water",$B153="District Steam"))</formula>
    </cfRule>
  </conditionalFormatting>
  <conditionalFormatting sqref="B176:M177">
    <cfRule type="expression" dxfId="28" priority="27">
      <formula>AND(DESPath=3,OR($B176="District Cooling",$B176="District Hot Water",$B176="District Steam"))</formula>
    </cfRule>
  </conditionalFormatting>
  <conditionalFormatting sqref="B197:M198">
    <cfRule type="expression" dxfId="27" priority="26">
      <formula>AND(DESPath=3,OR($B197="District Cooling",$B197="District Hot Water",$B197="District Steam"))</formula>
    </cfRule>
  </conditionalFormatting>
  <conditionalFormatting sqref="K114">
    <cfRule type="expression" dxfId="26" priority="24">
      <formula>IFERROR(AND(K114&gt;0.1,K114&lt;&gt;""),FALSE)</formula>
    </cfRule>
  </conditionalFormatting>
  <conditionalFormatting sqref="E114:J114">
    <cfRule type="expression" dxfId="25" priority="25">
      <formula>AND(DESPath=3,#REF!=$B114,ISERROR(1/VLOOKUP($B114,PO_Enrgy_7_Table,MATCH($G$84,PO_Enrgy_7_Hdr,0),FALSE)))</formula>
    </cfRule>
  </conditionalFormatting>
  <conditionalFormatting sqref="B155:M155">
    <cfRule type="expression" dxfId="24" priority="23">
      <formula>AND(DESPath=3,OR($B155="District Cooling",$B155="District Hot Water",$B155="District Steam"))</formula>
    </cfRule>
  </conditionalFormatting>
  <conditionalFormatting sqref="B178:M178">
    <cfRule type="expression" dxfId="23" priority="22">
      <formula>AND(DESPath=3,OR($B178="District Cooling",$B178="District Hot Water",$B178="District Steam"))</formula>
    </cfRule>
  </conditionalFormatting>
  <conditionalFormatting sqref="B199:M199">
    <cfRule type="expression" dxfId="22" priority="21">
      <formula>AND(DESPath=3,OR($B199="District Cooling",$B199="District Hot Water",$B199="District Steam"))</formula>
    </cfRule>
  </conditionalFormatting>
  <conditionalFormatting sqref="K115">
    <cfRule type="expression" dxfId="21" priority="19">
      <formula>IFERROR(AND(K115&gt;0.1,K115&lt;&gt;""),FALSE)</formula>
    </cfRule>
  </conditionalFormatting>
  <conditionalFormatting sqref="E115:J115">
    <cfRule type="expression" dxfId="20" priority="20">
      <formula>AND(DESPath=3,#REF!=$B115,ISERROR(1/VLOOKUP($B115,PO_Enrgy_7_Table,MATCH($G$84,PO_Enrgy_7_Hdr,0),FALSE)))</formula>
    </cfRule>
  </conditionalFormatting>
  <conditionalFormatting sqref="B156:M156">
    <cfRule type="expression" dxfId="19" priority="18">
      <formula>AND(DESPath=3,OR($B156="District Cooling",$B156="District Hot Water",$B156="District Steam"))</formula>
    </cfRule>
  </conditionalFormatting>
  <conditionalFormatting sqref="B179:M179">
    <cfRule type="expression" dxfId="18" priority="17">
      <formula>AND(DESPath=3,OR($B179="District Cooling",$B179="District Hot Water",$B179="District Steam"))</formula>
    </cfRule>
  </conditionalFormatting>
  <conditionalFormatting sqref="B200:M200">
    <cfRule type="expression" dxfId="17" priority="16">
      <formula>AND(DESPath=3,OR($B200="District Cooling",$B200="District Hot Water",$B200="District Steam"))</formula>
    </cfRule>
  </conditionalFormatting>
  <conditionalFormatting sqref="K116">
    <cfRule type="expression" dxfId="16" priority="14">
      <formula>IFERROR(AND(K116&gt;0.1,K116&lt;&gt;""),FALSE)</formula>
    </cfRule>
  </conditionalFormatting>
  <conditionalFormatting sqref="E116:J116">
    <cfRule type="expression" dxfId="15" priority="15">
      <formula>AND(DESPath=3,#REF!=$B116,ISERROR(1/VLOOKUP($B116,PO_Enrgy_7_Table,MATCH($G$84,PO_Enrgy_7_Hdr,0),FALSE)))</formula>
    </cfRule>
  </conditionalFormatting>
  <conditionalFormatting sqref="B157:M157">
    <cfRule type="expression" dxfId="14" priority="13">
      <formula>AND(DESPath=3,OR($B157="District Cooling",$B157="District Hot Water",$B157="District Steam"))</formula>
    </cfRule>
  </conditionalFormatting>
  <conditionalFormatting sqref="B180:M180">
    <cfRule type="expression" dxfId="13" priority="12">
      <formula>AND(DESPath=3,OR($B180="District Cooling",$B180="District Hot Water",$B180="District Steam"))</formula>
    </cfRule>
  </conditionalFormatting>
  <conditionalFormatting sqref="B201:M201">
    <cfRule type="expression" dxfId="12" priority="11">
      <formula>AND(DESPath=3,OR($B201="District Cooling",$B201="District Hot Water",$B201="District Steam"))</formula>
    </cfRule>
  </conditionalFormatting>
  <conditionalFormatting sqref="K117">
    <cfRule type="expression" dxfId="11" priority="9">
      <formula>IFERROR(AND(K117&gt;0.1,K117&lt;&gt;""),FALSE)</formula>
    </cfRule>
  </conditionalFormatting>
  <conditionalFormatting sqref="E117:J117">
    <cfRule type="expression" dxfId="10" priority="10">
      <formula>AND(DESPath=3,#REF!=$B117,ISERROR(1/VLOOKUP($B117,PO_Enrgy_7_Table,MATCH($G$84,PO_Enrgy_7_Hdr,0),FALSE)))</formula>
    </cfRule>
  </conditionalFormatting>
  <conditionalFormatting sqref="B158:M158">
    <cfRule type="expression" dxfId="9" priority="8">
      <formula>AND(DESPath=3,OR($B158="District Cooling",$B158="District Hot Water",$B158="District Steam"))</formula>
    </cfRule>
  </conditionalFormatting>
  <conditionalFormatting sqref="B181:M181">
    <cfRule type="expression" dxfId="8" priority="7">
      <formula>AND(DESPath=3,OR($B181="District Cooling",$B181="District Hot Water",$B181="District Steam"))</formula>
    </cfRule>
  </conditionalFormatting>
  <conditionalFormatting sqref="B202:M202">
    <cfRule type="expression" dxfId="7" priority="6">
      <formula>AND(DESPath=3,OR($B202="District Cooling",$B202="District Hot Water",$B202="District Steam"))</formula>
    </cfRule>
  </conditionalFormatting>
  <conditionalFormatting sqref="K118:K120">
    <cfRule type="expression" dxfId="6" priority="4">
      <formula>IFERROR(AND(K118&gt;0.1,K118&lt;&gt;""),FALSE)</formula>
    </cfRule>
  </conditionalFormatting>
  <conditionalFormatting sqref="E118:J120">
    <cfRule type="expression" dxfId="5" priority="5">
      <formula>AND(DESPath=3,#REF!=$B118,ISERROR(1/VLOOKUP($B118,PO_Enrgy_7_Table,MATCH($G$84,PO_Enrgy_7_Hdr,0),FALSE)))</formula>
    </cfRule>
  </conditionalFormatting>
  <conditionalFormatting sqref="B159:M161">
    <cfRule type="expression" dxfId="4" priority="3">
      <formula>AND(DESPath=3,OR($B159="District Cooling",$B159="District Hot Water",$B159="District Steam"))</formula>
    </cfRule>
  </conditionalFormatting>
  <conditionalFormatting sqref="B182:M184">
    <cfRule type="expression" dxfId="3" priority="2">
      <formula>AND(DESPath=3,OR($B182="District Cooling",$B182="District Hot Water",$B182="District Steam"))</formula>
    </cfRule>
  </conditionalFormatting>
  <conditionalFormatting sqref="B203:M205">
    <cfRule type="expression" dxfId="2" priority="1">
      <formula>AND(DESPath=3,OR($B203="District Cooling",$B203="District Hot Water",$B203="District Steam"))</formula>
    </cfRule>
  </conditionalFormatting>
  <dataValidations disablePrompts="1" count="11">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32:E79" xr:uid="{00000000-0002-0000-2C00-000000000000}">
      <formula1>INDEX(PO_Enrgy_1_Table,,1)</formula1>
    </dataValidation>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25:L26" xr:uid="{00000000-0002-0000-2C00-000001000000}">
      <formula1>ConsumptionUnits</formula1>
    </dataValidation>
    <dataValidation allowBlank="1" promptTitle="Energy End Use" prompt="Select the energy end use or enter the end use if not listed." sqref="B32:C79" xr:uid="{00000000-0002-0000-2C00-000002000000}"/>
    <dataValidation type="list" showInputMessage="1" sqref="D32:D79" xr:uid="{00000000-0002-0000-2C00-000003000000}">
      <formula1>" x"</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80" xr:uid="{00000000-0002-0000-2C00-000004000000}">
      <formula1>PO_EnergyType</formula1>
    </dataValidation>
    <dataValidation allowBlank="1" showErrorMessage="1" sqref="B187 B143 B122 B166" xr:uid="{00000000-0002-0000-2C00-000005000000}"/>
    <dataValidation type="list" allowBlank="1" showInputMessage="1" promptTitle="Utility Rate Structure" sqref="H10:H24" xr:uid="{00000000-0002-0000-2C00-000006000000}">
      <formula1>UtilityRateStructure</formula1>
    </dataValidation>
    <dataValidation type="list" allowBlank="1" showInputMessage="1" showErrorMessage="1" errorTitle="Required Input" error="The units must be selected from the provided list." promptTitle="Energy Consumption Units:" sqref="C10:C24" xr:uid="{00000000-0002-0000-2C00-000007000000}">
      <formula1>ConsumptionUnits</formula1>
    </dataValidation>
    <dataValidation allowBlank="1" showInputMessage="1" showErrorMessage="1" promptTitle="Utility Rate Name" sqref="N10:O24 F10:F24" xr:uid="{00000000-0002-0000-2C00-000008000000}"/>
    <dataValidation type="list" allowBlank="1" showInputMessage="1" showErrorMessage="1" errorTitle="Invalid Entry" error="Please select from the list of values shown." promptTitle="Project Energy Types" sqref="B10:B24" xr:uid="{00000000-0002-0000-2C00-000009000000}">
      <formula1>FuelTypes</formula1>
    </dataValidation>
    <dataValidation type="list" errorStyle="warning" allowBlank="1" showInputMessage="1" showErrorMessage="1" errorTitle="Required Input" error="The units must be selected from the provided list." promptTitle="Select the demand units:" sqref="E10:E24" xr:uid="{00000000-0002-0000-2C00-00000A000000}">
      <formula1>DemandUnits</formula1>
    </dataValidation>
  </dataValidations>
  <pageMargins left="0.5" right="0.5" top="0.75" bottom="0.75" header="0.5" footer="0.5"/>
  <pageSetup scale="44" orientation="landscape" r:id="rId1"/>
  <headerFooter alignWithMargins="0">
    <oddFooter>&amp;LU S Green Building Council&amp;C&amp;"Arial,Bold"&amp;A&amp;RLEED&amp;XTM&amp;X v. 2.2</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3">
    <tabColor theme="5" tint="0.39997558519241921"/>
  </sheetPr>
  <dimension ref="B2:T12"/>
  <sheetViews>
    <sheetView workbookViewId="0"/>
  </sheetViews>
  <sheetFormatPr defaultColWidth="9" defaultRowHeight="13.8" x14ac:dyDescent="0.25"/>
  <cols>
    <col min="1" max="1" width="8.69921875" customWidth="1"/>
    <col min="2" max="2" width="12.796875" customWidth="1"/>
    <col min="3" max="20" width="9.69921875" customWidth="1"/>
  </cols>
  <sheetData>
    <row r="2" spans="2:20" x14ac:dyDescent="0.25">
      <c r="B2" s="4275" t="s">
        <v>2341</v>
      </c>
      <c r="C2" s="4275"/>
      <c r="D2" s="4275"/>
      <c r="E2" s="4275"/>
      <c r="F2" s="4275"/>
      <c r="G2" s="4275"/>
      <c r="H2" s="4275"/>
      <c r="I2" s="4275"/>
      <c r="J2" s="4275"/>
      <c r="K2" s="4275"/>
      <c r="L2" s="4275"/>
      <c r="M2" s="4275"/>
      <c r="N2" s="4275"/>
      <c r="O2" s="4275"/>
      <c r="P2" s="4275"/>
      <c r="Q2" s="4275"/>
      <c r="R2" s="4275"/>
      <c r="S2" s="4275"/>
      <c r="T2" s="4275"/>
    </row>
    <row r="3" spans="2:20" x14ac:dyDescent="0.25">
      <c r="B3" s="1159" t="s">
        <v>106</v>
      </c>
      <c r="C3" s="1159" t="s">
        <v>31</v>
      </c>
      <c r="D3" s="1159" t="s">
        <v>32</v>
      </c>
      <c r="E3" s="1159" t="s">
        <v>33</v>
      </c>
      <c r="F3" s="1159" t="s">
        <v>34</v>
      </c>
      <c r="G3" s="1159" t="s">
        <v>35</v>
      </c>
      <c r="H3" s="1159" t="s">
        <v>36</v>
      </c>
      <c r="I3" s="1159" t="s">
        <v>37</v>
      </c>
      <c r="J3" s="1159" t="s">
        <v>38</v>
      </c>
      <c r="K3" s="1159" t="s">
        <v>39</v>
      </c>
      <c r="L3" s="1159" t="s">
        <v>40</v>
      </c>
      <c r="M3" s="1159" t="s">
        <v>41</v>
      </c>
      <c r="N3" s="1159" t="s">
        <v>42</v>
      </c>
      <c r="O3" s="1159" t="s">
        <v>43</v>
      </c>
      <c r="P3" s="1159" t="s">
        <v>44</v>
      </c>
      <c r="Q3" s="1159" t="s">
        <v>45</v>
      </c>
      <c r="R3" s="1159">
        <v>7</v>
      </c>
      <c r="S3" s="1159">
        <v>8</v>
      </c>
      <c r="T3" s="1159" t="s">
        <v>2219</v>
      </c>
    </row>
    <row r="4" spans="2:20" x14ac:dyDescent="0.25">
      <c r="B4" s="1158" t="s">
        <v>61</v>
      </c>
      <c r="C4" s="1157">
        <v>0.73</v>
      </c>
      <c r="D4" s="1157">
        <v>0.73</v>
      </c>
      <c r="E4" s="1157">
        <v>0.71</v>
      </c>
      <c r="F4" s="1157">
        <v>0.69</v>
      </c>
      <c r="G4" s="1157">
        <v>0.74</v>
      </c>
      <c r="H4" s="1157">
        <v>0.73</v>
      </c>
      <c r="I4" s="1157">
        <v>0.68</v>
      </c>
      <c r="J4" s="1157">
        <v>0.78</v>
      </c>
      <c r="K4" s="1157">
        <v>0.81</v>
      </c>
      <c r="L4" s="1157">
        <v>0.81</v>
      </c>
      <c r="M4" s="1157">
        <v>0.76</v>
      </c>
      <c r="N4" s="1157">
        <v>0.8</v>
      </c>
      <c r="O4" s="1157">
        <v>0.81</v>
      </c>
      <c r="P4" s="1157">
        <v>0.76</v>
      </c>
      <c r="Q4" s="1157">
        <v>0.79</v>
      </c>
      <c r="R4" s="1157">
        <v>0.74</v>
      </c>
      <c r="S4" s="1157">
        <v>0.8</v>
      </c>
      <c r="T4" s="1677">
        <f>AVERAGE(C4:S4)</f>
        <v>0.7570588235294119</v>
      </c>
    </row>
    <row r="5" spans="2:20" x14ac:dyDescent="0.25">
      <c r="B5" s="1158" t="s">
        <v>2342</v>
      </c>
      <c r="C5" s="1157">
        <v>0.64</v>
      </c>
      <c r="D5" s="1157">
        <v>0.56000000000000005</v>
      </c>
      <c r="E5" s="1157">
        <v>0.6</v>
      </c>
      <c r="F5" s="1157">
        <v>0.56000000000000005</v>
      </c>
      <c r="G5" s="1157">
        <v>0.6</v>
      </c>
      <c r="H5" s="1157">
        <v>0.56000000000000005</v>
      </c>
      <c r="I5" s="1157">
        <v>0.54</v>
      </c>
      <c r="J5" s="1157">
        <v>0.56999999999999995</v>
      </c>
      <c r="K5" s="1157">
        <v>0.53</v>
      </c>
      <c r="L5" s="1157">
        <v>0.55000000000000004</v>
      </c>
      <c r="M5" s="1157">
        <v>0.59</v>
      </c>
      <c r="N5" s="1157">
        <v>0.52</v>
      </c>
      <c r="O5" s="1157">
        <v>0.55000000000000004</v>
      </c>
      <c r="P5" s="1157">
        <v>0.56999999999999995</v>
      </c>
      <c r="Q5" s="1157">
        <v>0.52</v>
      </c>
      <c r="R5" s="1157">
        <v>0.56000000000000005</v>
      </c>
      <c r="S5" s="1157">
        <v>0.56000000000000005</v>
      </c>
      <c r="T5" s="1677">
        <f t="shared" ref="T5:T12" si="0">AVERAGE(C5:S5)</f>
        <v>0.56352941176470595</v>
      </c>
    </row>
    <row r="6" spans="2:20" x14ac:dyDescent="0.25">
      <c r="B6" s="1158" t="s">
        <v>1645</v>
      </c>
      <c r="C6" s="1157">
        <v>0.64</v>
      </c>
      <c r="D6" s="1157">
        <v>0.65</v>
      </c>
      <c r="E6" s="1157">
        <v>0.62</v>
      </c>
      <c r="F6" s="1157">
        <v>0.6</v>
      </c>
      <c r="G6" s="1157">
        <v>0.63</v>
      </c>
      <c r="H6" s="1157">
        <v>0.65</v>
      </c>
      <c r="I6" s="1157">
        <v>0.64</v>
      </c>
      <c r="J6" s="1157">
        <v>0.62</v>
      </c>
      <c r="K6" s="1157">
        <v>0.64</v>
      </c>
      <c r="L6" s="1157">
        <v>0.62</v>
      </c>
      <c r="M6" s="1157">
        <v>0.6</v>
      </c>
      <c r="N6" s="1157">
        <v>0.61</v>
      </c>
      <c r="O6" s="1157">
        <v>0.6</v>
      </c>
      <c r="P6" s="1157">
        <v>0.59</v>
      </c>
      <c r="Q6" s="1157">
        <v>0.61</v>
      </c>
      <c r="R6" s="1157">
        <v>0.56999999999999995</v>
      </c>
      <c r="S6" s="1157">
        <v>0.57999999999999996</v>
      </c>
      <c r="T6" s="1677">
        <f t="shared" si="0"/>
        <v>0.61588235294117644</v>
      </c>
    </row>
    <row r="7" spans="2:20" x14ac:dyDescent="0.25">
      <c r="B7" s="1158" t="s">
        <v>63</v>
      </c>
      <c r="C7" s="1157">
        <v>0.57999999999999996</v>
      </c>
      <c r="D7" s="1157">
        <v>0.62</v>
      </c>
      <c r="E7" s="1157">
        <v>0.56999999999999995</v>
      </c>
      <c r="F7" s="1157">
        <v>0.62</v>
      </c>
      <c r="G7" s="1157">
        <v>0.6</v>
      </c>
      <c r="H7" s="1157">
        <v>0.64</v>
      </c>
      <c r="I7" s="1157">
        <v>0.54</v>
      </c>
      <c r="J7" s="1157">
        <v>0.57999999999999996</v>
      </c>
      <c r="K7" s="1157">
        <v>0.6</v>
      </c>
      <c r="L7" s="1157">
        <v>0.57999999999999996</v>
      </c>
      <c r="M7" s="1157">
        <v>0.6</v>
      </c>
      <c r="N7" s="1157">
        <v>0.61</v>
      </c>
      <c r="O7" s="1157">
        <v>0.57999999999999996</v>
      </c>
      <c r="P7" s="1157">
        <v>0.61</v>
      </c>
      <c r="Q7" s="1157">
        <v>0.61</v>
      </c>
      <c r="R7" s="1157">
        <v>0.56999999999999995</v>
      </c>
      <c r="S7" s="1157">
        <v>0.61</v>
      </c>
      <c r="T7" s="1677">
        <f t="shared" si="0"/>
        <v>0.59529411764705875</v>
      </c>
    </row>
    <row r="8" spans="2:20" x14ac:dyDescent="0.25">
      <c r="B8" s="1158" t="s">
        <v>2217</v>
      </c>
      <c r="C8" s="1157">
        <v>0.62</v>
      </c>
      <c r="D8" s="1157">
        <v>0.62</v>
      </c>
      <c r="E8" s="1157">
        <v>0.57999999999999996</v>
      </c>
      <c r="F8" s="1157">
        <v>0.61</v>
      </c>
      <c r="G8" s="1157">
        <v>0.6</v>
      </c>
      <c r="H8" s="1157">
        <v>0.6</v>
      </c>
      <c r="I8" s="1157">
        <v>0.61</v>
      </c>
      <c r="J8" s="1157">
        <v>0.57999999999999996</v>
      </c>
      <c r="K8" s="1157">
        <v>0.55000000000000004</v>
      </c>
      <c r="L8" s="1157">
        <v>0.6</v>
      </c>
      <c r="M8" s="1157">
        <v>0.62</v>
      </c>
      <c r="N8" s="1157">
        <v>0.57999999999999996</v>
      </c>
      <c r="O8" s="1157">
        <v>0.6</v>
      </c>
      <c r="P8" s="1157">
        <v>0.63</v>
      </c>
      <c r="Q8" s="1157">
        <v>0.6</v>
      </c>
      <c r="R8" s="1157">
        <v>0.65</v>
      </c>
      <c r="S8" s="1157">
        <v>0.68</v>
      </c>
      <c r="T8" s="1677">
        <f t="shared" si="0"/>
        <v>0.60764705882352943</v>
      </c>
    </row>
    <row r="9" spans="2:20" x14ac:dyDescent="0.25">
      <c r="B9" s="1158" t="s">
        <v>69</v>
      </c>
      <c r="C9" s="1157">
        <v>0.52</v>
      </c>
      <c r="D9" s="1157">
        <v>0.57999999999999996</v>
      </c>
      <c r="E9" s="1157">
        <v>0.53</v>
      </c>
      <c r="F9" s="1157">
        <v>0.57999999999999996</v>
      </c>
      <c r="G9" s="1157">
        <v>0.54</v>
      </c>
      <c r="H9" s="1157">
        <v>0.62</v>
      </c>
      <c r="I9" s="1157">
        <v>0.6</v>
      </c>
      <c r="J9" s="1157">
        <v>0.55000000000000004</v>
      </c>
      <c r="K9" s="1157">
        <v>0.6</v>
      </c>
      <c r="L9" s="1157">
        <v>0.6</v>
      </c>
      <c r="M9" s="1157">
        <v>0.55000000000000004</v>
      </c>
      <c r="N9" s="1157">
        <v>0.59</v>
      </c>
      <c r="O9" s="1157">
        <v>0.61</v>
      </c>
      <c r="P9" s="1157">
        <v>0.55000000000000004</v>
      </c>
      <c r="Q9" s="1157">
        <v>0.57999999999999996</v>
      </c>
      <c r="R9" s="1157">
        <v>0.53</v>
      </c>
      <c r="S9" s="1157">
        <v>0.53</v>
      </c>
      <c r="T9" s="1677">
        <f t="shared" si="0"/>
        <v>0.56823529411764695</v>
      </c>
    </row>
    <row r="10" spans="2:20" x14ac:dyDescent="0.25">
      <c r="B10" s="1158" t="s">
        <v>2218</v>
      </c>
      <c r="C10" s="1157">
        <v>0.46</v>
      </c>
      <c r="D10" s="1157">
        <v>0.53</v>
      </c>
      <c r="E10" s="1157">
        <v>0.47</v>
      </c>
      <c r="F10" s="1157">
        <v>0.53</v>
      </c>
      <c r="G10" s="1157">
        <v>0.49</v>
      </c>
      <c r="H10" s="1157">
        <v>0.52</v>
      </c>
      <c r="I10" s="1157">
        <v>0.5</v>
      </c>
      <c r="J10" s="1157">
        <v>0.49</v>
      </c>
      <c r="K10" s="1157">
        <v>0.5</v>
      </c>
      <c r="L10" s="1157">
        <v>0.49</v>
      </c>
      <c r="M10" s="1157">
        <v>0.5</v>
      </c>
      <c r="N10" s="1157">
        <v>0.5</v>
      </c>
      <c r="O10" s="1157">
        <v>0.5</v>
      </c>
      <c r="P10" s="1157">
        <v>0.49</v>
      </c>
      <c r="Q10" s="1157">
        <v>0.5</v>
      </c>
      <c r="R10" s="1157">
        <v>0.47</v>
      </c>
      <c r="S10" s="1157">
        <v>0.51</v>
      </c>
      <c r="T10" s="1677">
        <f t="shared" si="0"/>
        <v>0.49705882352941183</v>
      </c>
    </row>
    <row r="11" spans="2:20" x14ac:dyDescent="0.25">
      <c r="B11" s="1158" t="s">
        <v>74</v>
      </c>
      <c r="C11" s="1157">
        <v>0.51</v>
      </c>
      <c r="D11" s="1157">
        <v>0.52</v>
      </c>
      <c r="E11" s="1157">
        <v>0.56000000000000005</v>
      </c>
      <c r="F11" s="1157">
        <v>0.57999999999999996</v>
      </c>
      <c r="G11" s="1157">
        <v>0.56999999999999995</v>
      </c>
      <c r="H11" s="1157">
        <v>0.59</v>
      </c>
      <c r="I11" s="1157">
        <v>0.63</v>
      </c>
      <c r="J11" s="1157">
        <v>0.57999999999999996</v>
      </c>
      <c r="K11" s="1157">
        <v>0.6</v>
      </c>
      <c r="L11" s="1157">
        <v>0.63</v>
      </c>
      <c r="M11" s="1157">
        <v>0.6</v>
      </c>
      <c r="N11" s="1157">
        <v>0.61</v>
      </c>
      <c r="O11" s="1157">
        <v>0.65</v>
      </c>
      <c r="P11" s="1157">
        <v>0.66</v>
      </c>
      <c r="Q11" s="1157">
        <v>0.66</v>
      </c>
      <c r="R11" s="1157">
        <v>0.67</v>
      </c>
      <c r="S11" s="1157">
        <v>0.67</v>
      </c>
      <c r="T11" s="1677">
        <f t="shared" si="0"/>
        <v>0.60529411764705876</v>
      </c>
    </row>
    <row r="12" spans="2:20" x14ac:dyDescent="0.25">
      <c r="B12" s="1158" t="s">
        <v>2215</v>
      </c>
      <c r="C12" s="1157">
        <v>0.62</v>
      </c>
      <c r="D12" s="1157">
        <v>0.61</v>
      </c>
      <c r="E12" s="1157">
        <v>0.55000000000000004</v>
      </c>
      <c r="F12" s="1157">
        <v>0.56999999999999995</v>
      </c>
      <c r="G12" s="1157">
        <v>0.56000000000000005</v>
      </c>
      <c r="H12" s="1157">
        <v>0.61</v>
      </c>
      <c r="I12" s="1157">
        <v>0.59</v>
      </c>
      <c r="J12" s="1157">
        <v>0.57999999999999996</v>
      </c>
      <c r="K12" s="1157">
        <v>0.56999999999999995</v>
      </c>
      <c r="L12" s="1157">
        <v>0.61</v>
      </c>
      <c r="M12" s="1157">
        <v>0.6</v>
      </c>
      <c r="N12" s="1157">
        <v>0.56999999999999995</v>
      </c>
      <c r="O12" s="1157">
        <v>0.61</v>
      </c>
      <c r="P12" s="1157">
        <v>0.56000000000000005</v>
      </c>
      <c r="Q12" s="1157">
        <v>0.56000000000000005</v>
      </c>
      <c r="R12" s="1157">
        <v>0.53</v>
      </c>
      <c r="S12" s="1157">
        <v>0.52</v>
      </c>
      <c r="T12" s="1677">
        <f t="shared" si="0"/>
        <v>0.5776470588235294</v>
      </c>
    </row>
  </sheetData>
  <sheetProtection algorithmName="SHA-512" hashValue="xp3zL4EMTWmXG2n3652LmKt8dB4L7H2wZ2F5hbv0JNr+iciBpObjmHlXE0liJfCpsNbX9p5f+eQPol6UCLkf9Q==" saltValue="L3ejomx6wfWAcJukBDLLnw==" spinCount="100000" sheet="1" objects="1" scenarios="1"/>
  <mergeCells count="1">
    <mergeCell ref="B2:T2"/>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5">
    <tabColor theme="5" tint="0.39997558519241921"/>
  </sheetPr>
  <dimension ref="B2:T12"/>
  <sheetViews>
    <sheetView workbookViewId="0"/>
  </sheetViews>
  <sheetFormatPr defaultColWidth="9" defaultRowHeight="13.8" x14ac:dyDescent="0.25"/>
  <cols>
    <col min="1" max="1" width="8.69921875" customWidth="1"/>
    <col min="2" max="20" width="9.69921875" customWidth="1"/>
  </cols>
  <sheetData>
    <row r="2" spans="2:20" x14ac:dyDescent="0.25">
      <c r="B2" s="4275" t="s">
        <v>2220</v>
      </c>
      <c r="C2" s="4275"/>
      <c r="D2" s="4275"/>
      <c r="E2" s="4275"/>
      <c r="F2" s="4275"/>
      <c r="G2" s="4275"/>
      <c r="H2" s="4275"/>
      <c r="I2" s="4275"/>
      <c r="J2" s="4275"/>
      <c r="K2" s="4275"/>
      <c r="L2" s="4275"/>
      <c r="M2" s="4275"/>
      <c r="N2" s="4275"/>
      <c r="O2" s="4275"/>
      <c r="P2" s="4275"/>
      <c r="Q2" s="4275"/>
      <c r="R2" s="4275"/>
      <c r="S2" s="4275"/>
      <c r="T2" s="4275"/>
    </row>
    <row r="3" spans="2:20" ht="27.6" x14ac:dyDescent="0.25">
      <c r="B3" s="1159" t="s">
        <v>106</v>
      </c>
      <c r="C3" s="1159" t="s">
        <v>31</v>
      </c>
      <c r="D3" s="1159" t="s">
        <v>32</v>
      </c>
      <c r="E3" s="1159" t="s">
        <v>33</v>
      </c>
      <c r="F3" s="1159" t="s">
        <v>34</v>
      </c>
      <c r="G3" s="1159" t="s">
        <v>35</v>
      </c>
      <c r="H3" s="1159" t="s">
        <v>36</v>
      </c>
      <c r="I3" s="1159" t="s">
        <v>37</v>
      </c>
      <c r="J3" s="1159" t="s">
        <v>38</v>
      </c>
      <c r="K3" s="1159" t="s">
        <v>39</v>
      </c>
      <c r="L3" s="1159" t="s">
        <v>40</v>
      </c>
      <c r="M3" s="1159" t="s">
        <v>41</v>
      </c>
      <c r="N3" s="1159" t="s">
        <v>42</v>
      </c>
      <c r="O3" s="1159" t="s">
        <v>43</v>
      </c>
      <c r="P3" s="1159" t="s">
        <v>44</v>
      </c>
      <c r="Q3" s="1159" t="s">
        <v>45</v>
      </c>
      <c r="R3" s="1159">
        <v>7</v>
      </c>
      <c r="S3" s="1159">
        <v>8</v>
      </c>
      <c r="T3" s="1159" t="s">
        <v>2219</v>
      </c>
    </row>
    <row r="4" spans="2:20" x14ac:dyDescent="0.25">
      <c r="B4" s="1158" t="s">
        <v>63</v>
      </c>
      <c r="C4" s="1157"/>
      <c r="D4" s="1157"/>
      <c r="E4" s="1157"/>
      <c r="F4" s="1157"/>
      <c r="G4" s="1157"/>
      <c r="H4" s="1157"/>
      <c r="I4" s="1157"/>
      <c r="J4" s="1157"/>
      <c r="K4" s="1157"/>
      <c r="L4" s="1157"/>
      <c r="M4" s="1157"/>
      <c r="N4" s="1157"/>
      <c r="O4" s="1157"/>
      <c r="P4" s="1157"/>
      <c r="Q4" s="1157"/>
      <c r="R4" s="1157"/>
      <c r="S4" s="1157"/>
      <c r="T4" s="1157"/>
    </row>
    <row r="5" spans="2:20" x14ac:dyDescent="0.25">
      <c r="B5" s="1158" t="s">
        <v>69</v>
      </c>
      <c r="C5" s="1157"/>
      <c r="D5" s="1157"/>
      <c r="E5" s="1157"/>
      <c r="F5" s="1157"/>
      <c r="G5" s="1157"/>
      <c r="H5" s="1157"/>
      <c r="I5" s="1157"/>
      <c r="J5" s="1157"/>
      <c r="K5" s="1157"/>
      <c r="L5" s="1157"/>
      <c r="M5" s="1157"/>
      <c r="N5" s="1157"/>
      <c r="O5" s="1157"/>
      <c r="P5" s="1157"/>
      <c r="Q5" s="1157"/>
      <c r="R5" s="1157"/>
      <c r="S5" s="1157"/>
      <c r="T5" s="1157"/>
    </row>
    <row r="6" spans="2:20" x14ac:dyDescent="0.25">
      <c r="B6" s="1158" t="s">
        <v>2218</v>
      </c>
      <c r="C6" s="1157"/>
      <c r="D6" s="1157"/>
      <c r="E6" s="1157"/>
      <c r="F6" s="1157"/>
      <c r="G6" s="1157"/>
      <c r="H6" s="1157"/>
      <c r="I6" s="1157"/>
      <c r="J6" s="1157"/>
      <c r="K6" s="1157"/>
      <c r="L6" s="1157"/>
      <c r="M6" s="1157"/>
      <c r="N6" s="1157"/>
      <c r="O6" s="1157"/>
      <c r="P6" s="1157"/>
      <c r="Q6" s="1157"/>
      <c r="R6" s="1157"/>
      <c r="S6" s="1157"/>
      <c r="T6" s="1157"/>
    </row>
    <row r="7" spans="2:20" x14ac:dyDescent="0.25">
      <c r="B7" s="1158" t="s">
        <v>2342</v>
      </c>
      <c r="C7" s="1157"/>
      <c r="D7" s="1157"/>
      <c r="E7" s="1157"/>
      <c r="F7" s="1157"/>
      <c r="G7" s="1157"/>
      <c r="H7" s="1157"/>
      <c r="I7" s="1157"/>
      <c r="J7" s="1157"/>
      <c r="K7" s="1157"/>
      <c r="L7" s="1157"/>
      <c r="M7" s="1157"/>
      <c r="N7" s="1157"/>
      <c r="O7" s="1157"/>
      <c r="P7" s="1157"/>
      <c r="Q7" s="1157"/>
      <c r="R7" s="1157"/>
      <c r="S7" s="1157"/>
      <c r="T7" s="1157"/>
    </row>
    <row r="8" spans="2:20" x14ac:dyDescent="0.25">
      <c r="B8" s="1158" t="s">
        <v>2217</v>
      </c>
      <c r="C8" s="1157"/>
      <c r="D8" s="1157"/>
      <c r="E8" s="1157"/>
      <c r="F8" s="1157"/>
      <c r="G8" s="1157"/>
      <c r="H8" s="1157"/>
      <c r="I8" s="1157"/>
      <c r="J8" s="1157"/>
      <c r="K8" s="1157"/>
      <c r="L8" s="1157"/>
      <c r="M8" s="1157"/>
      <c r="N8" s="1157"/>
      <c r="O8" s="1157"/>
      <c r="P8" s="1157"/>
      <c r="Q8" s="1157"/>
      <c r="R8" s="1157"/>
      <c r="S8" s="1157"/>
      <c r="T8" s="1157"/>
    </row>
    <row r="9" spans="2:20" x14ac:dyDescent="0.25">
      <c r="B9" s="1158" t="s">
        <v>1645</v>
      </c>
      <c r="C9" s="1157"/>
      <c r="D9" s="1157"/>
      <c r="E9" s="1157"/>
      <c r="F9" s="1157"/>
      <c r="G9" s="1157"/>
      <c r="H9" s="1157"/>
      <c r="I9" s="1157"/>
      <c r="J9" s="1157"/>
      <c r="K9" s="1157"/>
      <c r="L9" s="1157"/>
      <c r="M9" s="1157"/>
      <c r="N9" s="1157"/>
      <c r="O9" s="1157"/>
      <c r="P9" s="1157"/>
      <c r="Q9" s="1157"/>
      <c r="R9" s="1157"/>
      <c r="S9" s="1157"/>
      <c r="T9" s="1157"/>
    </row>
    <row r="10" spans="2:20" x14ac:dyDescent="0.25">
      <c r="B10" s="1158" t="s">
        <v>74</v>
      </c>
      <c r="C10" s="1157"/>
      <c r="D10" s="1157"/>
      <c r="E10" s="1157"/>
      <c r="F10" s="1157"/>
      <c r="G10" s="1157"/>
      <c r="H10" s="1157"/>
      <c r="I10" s="1157"/>
      <c r="J10" s="1157"/>
      <c r="K10" s="1157"/>
      <c r="L10" s="1157"/>
      <c r="M10" s="1157"/>
      <c r="N10" s="1157"/>
      <c r="O10" s="1157"/>
      <c r="P10" s="1157"/>
      <c r="Q10" s="1157"/>
      <c r="R10" s="1157"/>
      <c r="S10" s="1157"/>
      <c r="T10" s="1157"/>
    </row>
    <row r="11" spans="2:20" x14ac:dyDescent="0.25">
      <c r="B11" s="1158" t="s">
        <v>61</v>
      </c>
      <c r="C11" s="1157">
        <v>0.96</v>
      </c>
      <c r="D11" s="1157">
        <v>0.96</v>
      </c>
      <c r="E11" s="1157">
        <v>0.93</v>
      </c>
      <c r="F11" s="1157">
        <v>0.91</v>
      </c>
      <c r="G11" s="1157">
        <v>0.93</v>
      </c>
      <c r="H11" s="1157">
        <v>0.92</v>
      </c>
      <c r="I11" s="1157">
        <v>0.85</v>
      </c>
      <c r="J11" s="1157">
        <v>0.97</v>
      </c>
      <c r="K11" s="1157">
        <v>0.97</v>
      </c>
      <c r="L11" s="1157">
        <v>0.97</v>
      </c>
      <c r="M11" s="1157">
        <v>0.97</v>
      </c>
      <c r="N11" s="1157">
        <v>0.97</v>
      </c>
      <c r="O11" s="1157">
        <v>0.97</v>
      </c>
      <c r="P11" s="1157">
        <v>0.97</v>
      </c>
      <c r="Q11" s="1157">
        <v>0.97</v>
      </c>
      <c r="R11" s="1157">
        <v>0.93</v>
      </c>
      <c r="S11" s="1157">
        <v>0.95</v>
      </c>
      <c r="T11" s="1677">
        <f>AVERAGE(C11:S11)</f>
        <v>0.94705882352941206</v>
      </c>
    </row>
    <row r="12" spans="2:20" x14ac:dyDescent="0.25">
      <c r="B12" s="1158" t="s">
        <v>2215</v>
      </c>
      <c r="C12" s="1157"/>
      <c r="D12" s="1157"/>
      <c r="E12" s="1157"/>
      <c r="F12" s="1157"/>
      <c r="G12" s="1157"/>
      <c r="H12" s="1157"/>
      <c r="I12" s="1157"/>
      <c r="J12" s="1157"/>
      <c r="K12" s="1157"/>
      <c r="L12" s="1157"/>
      <c r="M12" s="1157"/>
      <c r="N12" s="1157"/>
      <c r="O12" s="1157"/>
      <c r="P12" s="1157"/>
      <c r="Q12" s="1157"/>
      <c r="R12" s="1157"/>
      <c r="S12" s="1157"/>
      <c r="T12" s="1157"/>
    </row>
  </sheetData>
  <sheetProtection algorithmName="SHA-512" hashValue="Bjg53zJoKPVVnKGa1DjUWo5B396LlHC5Q7bqyB+lVTTWfDbmi5r4aSTn/wc0/LAEU+AuEgyiK7YzsueUwBsyLg==" saltValue="qoMZnYR2x09dOb5kHh7FNQ==" spinCount="100000" sheet="1" objects="1" scenarios="1"/>
  <mergeCells count="1">
    <mergeCell ref="B2:T2"/>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38">
    <tabColor theme="5" tint="0.39997558519241921"/>
  </sheetPr>
  <dimension ref="B2:T12"/>
  <sheetViews>
    <sheetView workbookViewId="0"/>
  </sheetViews>
  <sheetFormatPr defaultColWidth="9" defaultRowHeight="13.8" x14ac:dyDescent="0.25"/>
  <cols>
    <col min="1" max="1" width="8.69921875" customWidth="1"/>
    <col min="2" max="20" width="9.69921875" customWidth="1"/>
  </cols>
  <sheetData>
    <row r="2" spans="2:20" x14ac:dyDescent="0.25">
      <c r="B2" s="4275" t="s">
        <v>2220</v>
      </c>
      <c r="C2" s="4275"/>
      <c r="D2" s="4275"/>
      <c r="E2" s="4275"/>
      <c r="F2" s="4275"/>
      <c r="G2" s="4275"/>
      <c r="H2" s="4275"/>
      <c r="I2" s="4275"/>
      <c r="J2" s="4275"/>
      <c r="K2" s="4275"/>
      <c r="L2" s="4275"/>
      <c r="M2" s="4275"/>
      <c r="N2" s="4275"/>
      <c r="O2" s="4275"/>
      <c r="P2" s="4275"/>
      <c r="Q2" s="4275"/>
      <c r="R2" s="4275"/>
      <c r="S2" s="4275"/>
      <c r="T2" s="4275"/>
    </row>
    <row r="3" spans="2:20" ht="27.6" x14ac:dyDescent="0.25">
      <c r="B3" s="1159" t="s">
        <v>106</v>
      </c>
      <c r="C3" s="1159" t="s">
        <v>31</v>
      </c>
      <c r="D3" s="1159" t="s">
        <v>32</v>
      </c>
      <c r="E3" s="1159" t="s">
        <v>33</v>
      </c>
      <c r="F3" s="1159" t="s">
        <v>34</v>
      </c>
      <c r="G3" s="1159" t="s">
        <v>35</v>
      </c>
      <c r="H3" s="1159" t="s">
        <v>36</v>
      </c>
      <c r="I3" s="1159" t="s">
        <v>37</v>
      </c>
      <c r="J3" s="1159" t="s">
        <v>38</v>
      </c>
      <c r="K3" s="1159" t="s">
        <v>39</v>
      </c>
      <c r="L3" s="1159" t="s">
        <v>40</v>
      </c>
      <c r="M3" s="1159" t="s">
        <v>41</v>
      </c>
      <c r="N3" s="1159" t="s">
        <v>42</v>
      </c>
      <c r="O3" s="1159" t="s">
        <v>43</v>
      </c>
      <c r="P3" s="1159" t="s">
        <v>44</v>
      </c>
      <c r="Q3" s="1159" t="s">
        <v>45</v>
      </c>
      <c r="R3" s="1159">
        <v>7</v>
      </c>
      <c r="S3" s="1159">
        <v>8</v>
      </c>
      <c r="T3" s="1159" t="s">
        <v>2219</v>
      </c>
    </row>
    <row r="4" spans="2:20" x14ac:dyDescent="0.25">
      <c r="B4" s="1158" t="s">
        <v>63</v>
      </c>
      <c r="C4" s="1157">
        <v>0.74</v>
      </c>
      <c r="D4" s="1157">
        <v>0.77</v>
      </c>
      <c r="E4" s="1157">
        <v>0.73</v>
      </c>
      <c r="F4" s="1157">
        <v>0.76</v>
      </c>
      <c r="G4" s="1157">
        <v>0.72</v>
      </c>
      <c r="H4" s="1157">
        <v>0.76</v>
      </c>
      <c r="I4" s="1157">
        <v>0.66</v>
      </c>
      <c r="J4" s="1157">
        <v>0.7</v>
      </c>
      <c r="K4" s="1157">
        <v>0.73</v>
      </c>
      <c r="L4" s="1157">
        <v>0.7</v>
      </c>
      <c r="M4" s="1157">
        <v>0.72</v>
      </c>
      <c r="N4" s="1157">
        <v>0.73</v>
      </c>
      <c r="O4" s="1157">
        <v>0.7</v>
      </c>
      <c r="P4" s="1157">
        <v>0.71</v>
      </c>
      <c r="Q4" s="1157">
        <v>0.72</v>
      </c>
      <c r="R4" s="1157">
        <v>0.7</v>
      </c>
      <c r="S4" s="1157">
        <v>0.75</v>
      </c>
      <c r="T4" s="1157">
        <v>0.72</v>
      </c>
    </row>
    <row r="5" spans="2:20" x14ac:dyDescent="0.25">
      <c r="B5" s="1158" t="s">
        <v>69</v>
      </c>
      <c r="C5" s="1157">
        <v>0.71</v>
      </c>
      <c r="D5" s="1157">
        <v>0.75</v>
      </c>
      <c r="E5" s="1157">
        <v>0.68</v>
      </c>
      <c r="F5" s="1157">
        <v>0.71</v>
      </c>
      <c r="G5" s="1157">
        <v>0.68</v>
      </c>
      <c r="H5" s="1157">
        <v>0.74</v>
      </c>
      <c r="I5" s="1157">
        <v>0.75</v>
      </c>
      <c r="J5" s="1157">
        <v>0.69</v>
      </c>
      <c r="K5" s="1157">
        <v>0.74</v>
      </c>
      <c r="L5" s="1157">
        <v>0.75</v>
      </c>
      <c r="M5" s="1157">
        <v>0.69</v>
      </c>
      <c r="N5" s="1157">
        <v>0.73</v>
      </c>
      <c r="O5" s="1157">
        <v>0.76</v>
      </c>
      <c r="P5" s="1157">
        <v>0.69</v>
      </c>
      <c r="Q5" s="1157">
        <v>0.74</v>
      </c>
      <c r="R5" s="1157">
        <v>0.66</v>
      </c>
      <c r="S5" s="1157">
        <v>0.69</v>
      </c>
      <c r="T5" s="1157">
        <v>0.72</v>
      </c>
    </row>
    <row r="6" spans="2:20" x14ac:dyDescent="0.25">
      <c r="B6" s="1158" t="s">
        <v>2218</v>
      </c>
      <c r="C6" s="1157">
        <v>0.68</v>
      </c>
      <c r="D6" s="1157">
        <v>0.68</v>
      </c>
      <c r="E6" s="1157">
        <v>0.64</v>
      </c>
      <c r="F6" s="1157">
        <v>0.67</v>
      </c>
      <c r="G6" s="1157">
        <v>0.63</v>
      </c>
      <c r="H6" s="1157">
        <v>0.67</v>
      </c>
      <c r="I6" s="1157">
        <v>0.68</v>
      </c>
      <c r="J6" s="1157">
        <v>0.63</v>
      </c>
      <c r="K6" s="1157">
        <v>0.67</v>
      </c>
      <c r="L6" s="1157">
        <v>0.64</v>
      </c>
      <c r="M6" s="1157">
        <v>0.63</v>
      </c>
      <c r="N6" s="1157">
        <v>0.63</v>
      </c>
      <c r="O6" s="1157">
        <v>0.63</v>
      </c>
      <c r="P6" s="1157">
        <v>0.63</v>
      </c>
      <c r="Q6" s="1157">
        <v>0.62</v>
      </c>
      <c r="R6" s="1157">
        <v>0.61</v>
      </c>
      <c r="S6" s="1157">
        <v>0.64</v>
      </c>
      <c r="T6" s="1157">
        <v>0.65</v>
      </c>
    </row>
    <row r="7" spans="2:20" x14ac:dyDescent="0.25">
      <c r="B7" s="1158" t="s">
        <v>2342</v>
      </c>
      <c r="C7" s="1157">
        <v>0.72</v>
      </c>
      <c r="D7" s="1157">
        <v>0.75</v>
      </c>
      <c r="E7" s="1157">
        <v>0.7</v>
      </c>
      <c r="F7" s="1157">
        <v>0.7</v>
      </c>
      <c r="G7" s="1157">
        <v>0.69</v>
      </c>
      <c r="H7" s="1157">
        <v>0.72</v>
      </c>
      <c r="I7" s="1157">
        <v>0.64</v>
      </c>
      <c r="J7" s="1157">
        <v>0.66</v>
      </c>
      <c r="K7" s="1157">
        <v>0.73</v>
      </c>
      <c r="L7" s="1157">
        <v>0.66</v>
      </c>
      <c r="M7" s="1157">
        <v>0.69</v>
      </c>
      <c r="N7" s="1157">
        <v>0.7</v>
      </c>
      <c r="O7" s="1157">
        <v>0.66</v>
      </c>
      <c r="P7" s="1157">
        <v>0.69</v>
      </c>
      <c r="Q7" s="1157">
        <v>0.68</v>
      </c>
      <c r="R7" s="1157">
        <v>0.69</v>
      </c>
      <c r="S7" s="1157">
        <v>0.71</v>
      </c>
      <c r="T7" s="1157">
        <v>0.69</v>
      </c>
    </row>
    <row r="8" spans="2:20" x14ac:dyDescent="0.25">
      <c r="B8" s="1158" t="s">
        <v>2217</v>
      </c>
      <c r="C8" s="1157">
        <v>0.76</v>
      </c>
      <c r="D8" s="1157">
        <v>0.73</v>
      </c>
      <c r="E8" s="1157">
        <v>0.71</v>
      </c>
      <c r="F8" s="1157">
        <v>0.72</v>
      </c>
      <c r="G8" s="1157">
        <v>0.72</v>
      </c>
      <c r="H8" s="1157">
        <v>0.72</v>
      </c>
      <c r="I8" s="1157">
        <v>0.78</v>
      </c>
      <c r="J8" s="1157">
        <v>0.7</v>
      </c>
      <c r="K8" s="1157">
        <v>0.71</v>
      </c>
      <c r="L8" s="1157">
        <v>0.76</v>
      </c>
      <c r="M8" s="1157">
        <v>0.74</v>
      </c>
      <c r="N8" s="1157">
        <v>0.72</v>
      </c>
      <c r="O8" s="1157">
        <v>0.75</v>
      </c>
      <c r="P8" s="1157">
        <v>0.75</v>
      </c>
      <c r="Q8" s="1157">
        <v>0.74</v>
      </c>
      <c r="R8" s="1157">
        <v>0.78</v>
      </c>
      <c r="S8" s="1157">
        <v>0.79</v>
      </c>
      <c r="T8" s="1157">
        <v>0.74</v>
      </c>
    </row>
    <row r="9" spans="2:20" x14ac:dyDescent="0.25">
      <c r="B9" s="1158" t="s">
        <v>1645</v>
      </c>
      <c r="C9" s="1157">
        <v>0.8</v>
      </c>
      <c r="D9" s="1157">
        <v>0.82</v>
      </c>
      <c r="E9" s="1157">
        <v>0.76</v>
      </c>
      <c r="F9" s="1157">
        <v>0.77</v>
      </c>
      <c r="G9" s="1157">
        <v>0.77</v>
      </c>
      <c r="H9" s="1157">
        <v>0.81</v>
      </c>
      <c r="I9" s="1157">
        <v>0.8</v>
      </c>
      <c r="J9" s="1157">
        <v>0.76</v>
      </c>
      <c r="K9" s="1157">
        <v>0.81</v>
      </c>
      <c r="L9" s="1157">
        <v>0.78</v>
      </c>
      <c r="M9" s="1157">
        <v>0.72</v>
      </c>
      <c r="N9" s="1157">
        <v>0.77</v>
      </c>
      <c r="O9" s="1157">
        <v>0.73</v>
      </c>
      <c r="P9" s="1157">
        <v>0.71</v>
      </c>
      <c r="Q9" s="1157">
        <v>0.73</v>
      </c>
      <c r="R9" s="1157">
        <v>0.69</v>
      </c>
      <c r="S9" s="1157">
        <v>0.7</v>
      </c>
      <c r="T9" s="1157">
        <v>0.76</v>
      </c>
    </row>
    <row r="10" spans="2:20" x14ac:dyDescent="0.25">
      <c r="B10" s="1158" t="s">
        <v>74</v>
      </c>
      <c r="C10" s="1157">
        <v>0.63</v>
      </c>
      <c r="D10" s="1157">
        <v>0.62</v>
      </c>
      <c r="E10" s="1157">
        <v>0.67</v>
      </c>
      <c r="F10" s="1157">
        <v>0.69</v>
      </c>
      <c r="G10" s="1157">
        <v>0.67</v>
      </c>
      <c r="H10" s="1157">
        <v>0.69</v>
      </c>
      <c r="I10" s="1157">
        <v>0.73</v>
      </c>
      <c r="J10" s="1157">
        <v>0.69</v>
      </c>
      <c r="K10" s="1157">
        <v>0.71</v>
      </c>
      <c r="L10" s="1157">
        <v>0.72</v>
      </c>
      <c r="M10" s="1157">
        <v>0.7</v>
      </c>
      <c r="N10" s="1157">
        <v>0.71</v>
      </c>
      <c r="O10" s="1157">
        <v>0.74</v>
      </c>
      <c r="P10" s="1157">
        <v>0.74</v>
      </c>
      <c r="Q10" s="1157">
        <v>0.73</v>
      </c>
      <c r="R10" s="1157">
        <v>0.73</v>
      </c>
      <c r="S10" s="1157">
        <v>0.76</v>
      </c>
      <c r="T10" s="1157">
        <v>0.7</v>
      </c>
    </row>
    <row r="11" spans="2:20" x14ac:dyDescent="0.25">
      <c r="B11" s="1158" t="s">
        <v>61</v>
      </c>
      <c r="C11" s="1157">
        <v>0.92</v>
      </c>
      <c r="D11" s="1157">
        <v>0.91</v>
      </c>
      <c r="E11" s="1157">
        <v>0.88</v>
      </c>
      <c r="F11" s="1157">
        <v>0.86</v>
      </c>
      <c r="G11" s="1157">
        <v>0.87</v>
      </c>
      <c r="H11" s="1157">
        <v>0.87</v>
      </c>
      <c r="I11" s="1157">
        <v>0.8</v>
      </c>
      <c r="J11" s="1677">
        <v>0.9</v>
      </c>
      <c r="K11" s="1157">
        <v>0.93</v>
      </c>
      <c r="L11" s="1157">
        <v>0.92</v>
      </c>
      <c r="M11" s="1157">
        <v>0.88</v>
      </c>
      <c r="N11" s="1157">
        <v>0.92</v>
      </c>
      <c r="O11" s="1157">
        <v>0.92</v>
      </c>
      <c r="P11" s="1157">
        <v>0.88</v>
      </c>
      <c r="Q11" s="1157">
        <v>0.91</v>
      </c>
      <c r="R11" s="1157">
        <v>0.83</v>
      </c>
      <c r="S11" s="1157">
        <v>0.89</v>
      </c>
      <c r="T11" s="1157">
        <v>0.89</v>
      </c>
    </row>
    <row r="12" spans="2:20" x14ac:dyDescent="0.25">
      <c r="B12" s="1158" t="s">
        <v>2215</v>
      </c>
      <c r="C12" s="1157">
        <v>0.81</v>
      </c>
      <c r="D12" s="1157">
        <v>0.76</v>
      </c>
      <c r="E12" s="1157">
        <v>0.7</v>
      </c>
      <c r="F12" s="1157">
        <v>0.71</v>
      </c>
      <c r="G12" s="1157">
        <v>0.69</v>
      </c>
      <c r="H12" s="1157">
        <v>0.74</v>
      </c>
      <c r="I12" s="1157">
        <v>0.72</v>
      </c>
      <c r="J12" s="1157">
        <v>0.71</v>
      </c>
      <c r="K12" s="1157">
        <v>0.73</v>
      </c>
      <c r="L12" s="1157">
        <v>0.73</v>
      </c>
      <c r="M12" s="1157">
        <v>0.69</v>
      </c>
      <c r="N12" s="1157">
        <v>0.72</v>
      </c>
      <c r="O12" s="1157">
        <v>0.73</v>
      </c>
      <c r="P12" s="1157">
        <v>0.69</v>
      </c>
      <c r="Q12" s="1157">
        <v>0.7</v>
      </c>
      <c r="R12" s="1157">
        <v>0.67</v>
      </c>
      <c r="S12" s="1157">
        <v>0.67</v>
      </c>
      <c r="T12" s="1157">
        <v>0.72</v>
      </c>
    </row>
  </sheetData>
  <sheetProtection algorithmName="SHA-512" hashValue="7gChZ9rSbNKOO1d3NZ7GL/Qd+XUl2fj2nVB9dIUoloIs7UCf6bKiGOZ6qE5wD4GfpEctqAJsRW67y/9kVPy1+Q==" saltValue="KIIG0UJQVVucRUfFe1GL4w==" spinCount="100000" sheet="1" objects="1" scenarios="1"/>
  <mergeCells count="1">
    <mergeCell ref="B2:T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35">
    <tabColor rgb="FF0070C0"/>
  </sheetPr>
  <dimension ref="B2:T12"/>
  <sheetViews>
    <sheetView workbookViewId="0">
      <selection activeCell="B4" sqref="B4:B12"/>
    </sheetView>
  </sheetViews>
  <sheetFormatPr defaultColWidth="9" defaultRowHeight="13.8" x14ac:dyDescent="0.25"/>
  <cols>
    <col min="1" max="1" width="9" customWidth="1"/>
    <col min="2" max="2" width="23.796875" customWidth="1"/>
  </cols>
  <sheetData>
    <row r="2" spans="2:20" x14ac:dyDescent="0.25">
      <c r="B2" s="4276" t="s">
        <v>2221</v>
      </c>
      <c r="C2" s="4275"/>
      <c r="D2" s="4275"/>
      <c r="E2" s="4275"/>
      <c r="F2" s="4275"/>
      <c r="G2" s="4275"/>
      <c r="H2" s="4275"/>
      <c r="I2" s="4275"/>
      <c r="J2" s="4275"/>
      <c r="K2" s="4275"/>
      <c r="L2" s="4275"/>
      <c r="M2" s="4275"/>
      <c r="N2" s="4275"/>
      <c r="O2" s="4275"/>
      <c r="P2" s="4275"/>
      <c r="Q2" s="4275"/>
      <c r="R2" s="4275"/>
      <c r="S2" s="4275"/>
      <c r="T2" s="4275"/>
    </row>
    <row r="3" spans="2:20" x14ac:dyDescent="0.25">
      <c r="B3" s="1159" t="s">
        <v>106</v>
      </c>
      <c r="C3" s="1159" t="s">
        <v>31</v>
      </c>
      <c r="D3" s="1159" t="s">
        <v>32</v>
      </c>
      <c r="E3" s="1159" t="s">
        <v>33</v>
      </c>
      <c r="F3" s="1159" t="s">
        <v>34</v>
      </c>
      <c r="G3" s="1159" t="s">
        <v>35</v>
      </c>
      <c r="H3" s="1159" t="s">
        <v>36</v>
      </c>
      <c r="I3" s="1159" t="s">
        <v>37</v>
      </c>
      <c r="J3" s="1159" t="s">
        <v>38</v>
      </c>
      <c r="K3" s="1159" t="s">
        <v>39</v>
      </c>
      <c r="L3" s="1159" t="s">
        <v>40</v>
      </c>
      <c r="M3" s="1159" t="s">
        <v>41</v>
      </c>
      <c r="N3" s="1159" t="s">
        <v>42</v>
      </c>
      <c r="O3" s="1159" t="s">
        <v>43</v>
      </c>
      <c r="P3" s="1159" t="s">
        <v>44</v>
      </c>
      <c r="Q3" s="1159" t="s">
        <v>45</v>
      </c>
      <c r="R3" s="1159">
        <v>7</v>
      </c>
      <c r="S3" s="1159">
        <v>8</v>
      </c>
      <c r="T3" s="1159" t="s">
        <v>2219</v>
      </c>
    </row>
    <row r="4" spans="2:20" x14ac:dyDescent="0.25">
      <c r="B4" s="1158" t="s">
        <v>63</v>
      </c>
      <c r="C4" s="1157">
        <v>0.63</v>
      </c>
      <c r="D4" s="1157">
        <v>0.67</v>
      </c>
      <c r="E4" s="1157">
        <v>0.62</v>
      </c>
      <c r="F4" s="1157">
        <v>0.67</v>
      </c>
      <c r="G4" s="1157">
        <v>0.65</v>
      </c>
      <c r="H4" s="1157">
        <v>0.69</v>
      </c>
      <c r="I4" s="1157">
        <v>0.59</v>
      </c>
      <c r="J4" s="1157">
        <v>0.63</v>
      </c>
      <c r="K4" s="1157">
        <v>0.65</v>
      </c>
      <c r="L4" s="1157">
        <v>0.63</v>
      </c>
      <c r="M4" s="1157">
        <v>0.65</v>
      </c>
      <c r="N4" s="1157">
        <v>0.66</v>
      </c>
      <c r="O4" s="1157">
        <v>0.63</v>
      </c>
      <c r="P4" s="1157">
        <v>0.66</v>
      </c>
      <c r="Q4" s="1157">
        <v>0.66</v>
      </c>
      <c r="R4" s="1157">
        <v>0.62</v>
      </c>
      <c r="S4" s="1157">
        <v>0.66</v>
      </c>
      <c r="T4" s="1157">
        <v>0.65</v>
      </c>
    </row>
    <row r="5" spans="2:20" x14ac:dyDescent="0.25">
      <c r="B5" s="1158" t="s">
        <v>69</v>
      </c>
      <c r="C5" s="1157">
        <v>0.56999999999999995</v>
      </c>
      <c r="D5" s="1157">
        <v>0.63</v>
      </c>
      <c r="E5" s="1157">
        <v>0.57999999999999996</v>
      </c>
      <c r="F5" s="1157">
        <v>0.63</v>
      </c>
      <c r="G5" s="1157">
        <v>0.59</v>
      </c>
      <c r="H5" s="1157">
        <v>0.67</v>
      </c>
      <c r="I5" s="1157">
        <v>0.65</v>
      </c>
      <c r="J5" s="1157">
        <v>0.6</v>
      </c>
      <c r="K5" s="1157">
        <v>0.65</v>
      </c>
      <c r="L5" s="1157">
        <v>0.65</v>
      </c>
      <c r="M5" s="1157">
        <v>0.6</v>
      </c>
      <c r="N5" s="1157">
        <v>0.64</v>
      </c>
      <c r="O5" s="1157">
        <v>0.66</v>
      </c>
      <c r="P5" s="1157">
        <v>0.6</v>
      </c>
      <c r="Q5" s="1157">
        <v>0.63</v>
      </c>
      <c r="R5" s="1157">
        <v>0.57999999999999996</v>
      </c>
      <c r="S5" s="1157">
        <v>0.57999999999999996</v>
      </c>
      <c r="T5" s="1157">
        <v>0.62</v>
      </c>
    </row>
    <row r="6" spans="2:20" x14ac:dyDescent="0.25">
      <c r="B6" s="1158" t="s">
        <v>2218</v>
      </c>
      <c r="C6" s="1157">
        <v>0.51</v>
      </c>
      <c r="D6" s="1157">
        <v>0.57999999999999996</v>
      </c>
      <c r="E6" s="1157">
        <v>0.52</v>
      </c>
      <c r="F6" s="1157">
        <v>0.57999999999999996</v>
      </c>
      <c r="G6" s="1157">
        <v>0.54</v>
      </c>
      <c r="H6" s="1157">
        <v>0.56999999999999995</v>
      </c>
      <c r="I6" s="1157">
        <v>0.55000000000000004</v>
      </c>
      <c r="J6" s="1157">
        <v>0.54</v>
      </c>
      <c r="K6" s="1157">
        <v>0.55000000000000004</v>
      </c>
      <c r="L6" s="1157">
        <v>0.54</v>
      </c>
      <c r="M6" s="1157">
        <v>0.55000000000000004</v>
      </c>
      <c r="N6" s="1157">
        <v>0.55000000000000004</v>
      </c>
      <c r="O6" s="1157">
        <v>0.55000000000000004</v>
      </c>
      <c r="P6" s="1157">
        <v>0.54</v>
      </c>
      <c r="Q6" s="1157">
        <v>0.55000000000000004</v>
      </c>
      <c r="R6" s="1157">
        <v>0.52</v>
      </c>
      <c r="S6" s="1157">
        <v>0.56000000000000005</v>
      </c>
      <c r="T6" s="1157">
        <v>0.55000000000000004</v>
      </c>
    </row>
    <row r="7" spans="2:20" x14ac:dyDescent="0.25">
      <c r="B7" s="1158" t="s">
        <v>2342</v>
      </c>
      <c r="C7" s="1157">
        <v>0.69</v>
      </c>
      <c r="D7" s="1157">
        <v>0.61</v>
      </c>
      <c r="E7" s="1157">
        <v>0.65</v>
      </c>
      <c r="F7" s="1157">
        <v>0.61</v>
      </c>
      <c r="G7" s="1157">
        <v>0.65</v>
      </c>
      <c r="H7" s="1157">
        <v>0.61</v>
      </c>
      <c r="I7" s="1157">
        <v>0.59</v>
      </c>
      <c r="J7" s="1157">
        <v>0.62</v>
      </c>
      <c r="K7" s="1157">
        <v>0.57999999999999996</v>
      </c>
      <c r="L7" s="1157">
        <v>0.6</v>
      </c>
      <c r="M7" s="1157">
        <v>0.64</v>
      </c>
      <c r="N7" s="1157">
        <v>0.56999999999999995</v>
      </c>
      <c r="O7" s="1157">
        <v>0.6</v>
      </c>
      <c r="P7" s="1157">
        <v>0.62</v>
      </c>
      <c r="Q7" s="1157">
        <v>0.56999999999999995</v>
      </c>
      <c r="R7" s="1157">
        <v>0.61</v>
      </c>
      <c r="S7" s="1157">
        <v>0.61</v>
      </c>
      <c r="T7" s="1157">
        <v>0.61</v>
      </c>
    </row>
    <row r="8" spans="2:20" x14ac:dyDescent="0.25">
      <c r="B8" s="1158" t="s">
        <v>2217</v>
      </c>
      <c r="C8" s="1157">
        <v>0.67</v>
      </c>
      <c r="D8" s="1157">
        <v>0.67</v>
      </c>
      <c r="E8" s="1157">
        <v>0.63</v>
      </c>
      <c r="F8" s="1157">
        <v>0.66</v>
      </c>
      <c r="G8" s="1157">
        <v>0.65</v>
      </c>
      <c r="H8" s="1157">
        <v>0.65</v>
      </c>
      <c r="I8" s="1157">
        <v>0.66</v>
      </c>
      <c r="J8" s="1157">
        <v>0.63</v>
      </c>
      <c r="K8" s="1157">
        <v>0.6</v>
      </c>
      <c r="L8" s="1157">
        <v>0.65</v>
      </c>
      <c r="M8" s="1157">
        <v>0.67</v>
      </c>
      <c r="N8" s="1157">
        <v>0.63</v>
      </c>
      <c r="O8" s="1157">
        <v>0.65</v>
      </c>
      <c r="P8" s="1157">
        <v>0.68</v>
      </c>
      <c r="Q8" s="1157">
        <v>0.65</v>
      </c>
      <c r="R8" s="1157">
        <v>0.7</v>
      </c>
      <c r="S8" s="1157">
        <v>0.73</v>
      </c>
      <c r="T8" s="1157">
        <v>0.66</v>
      </c>
    </row>
    <row r="9" spans="2:20" x14ac:dyDescent="0.25">
      <c r="B9" s="1158" t="s">
        <v>1645</v>
      </c>
      <c r="C9" s="1157">
        <v>0.69</v>
      </c>
      <c r="D9" s="1157">
        <v>0.7</v>
      </c>
      <c r="E9" s="1157">
        <v>0.67</v>
      </c>
      <c r="F9" s="1157">
        <v>0.65</v>
      </c>
      <c r="G9" s="1157">
        <v>0.68</v>
      </c>
      <c r="H9" s="1157">
        <v>0.7</v>
      </c>
      <c r="I9" s="1157">
        <v>0.69</v>
      </c>
      <c r="J9" s="1157">
        <v>0.67</v>
      </c>
      <c r="K9" s="1157">
        <v>0.69</v>
      </c>
      <c r="L9" s="1157">
        <v>0.67</v>
      </c>
      <c r="M9" s="1157">
        <v>0.65</v>
      </c>
      <c r="N9" s="1157">
        <v>0.66</v>
      </c>
      <c r="O9" s="1157">
        <v>0.65</v>
      </c>
      <c r="P9" s="1157">
        <v>0.64</v>
      </c>
      <c r="Q9" s="1157">
        <v>0.66</v>
      </c>
      <c r="R9" s="1157">
        <v>0.62</v>
      </c>
      <c r="S9" s="1157">
        <v>0.63</v>
      </c>
      <c r="T9" s="1157">
        <v>0.67</v>
      </c>
    </row>
    <row r="10" spans="2:20" x14ac:dyDescent="0.25">
      <c r="B10" s="1158" t="s">
        <v>74</v>
      </c>
      <c r="C10" s="1157">
        <v>0.56000000000000005</v>
      </c>
      <c r="D10" s="1157">
        <v>0.56999999999999995</v>
      </c>
      <c r="E10" s="1157">
        <v>0.61</v>
      </c>
      <c r="F10" s="1157">
        <v>0.63</v>
      </c>
      <c r="G10" s="1157">
        <v>0.62</v>
      </c>
      <c r="H10" s="1157">
        <v>0.64</v>
      </c>
      <c r="I10" s="1157">
        <v>0.68</v>
      </c>
      <c r="J10" s="1157">
        <v>0.63</v>
      </c>
      <c r="K10" s="1157">
        <v>0.65</v>
      </c>
      <c r="L10" s="1157">
        <v>0.68</v>
      </c>
      <c r="M10" s="1157">
        <v>0.65</v>
      </c>
      <c r="N10" s="1157">
        <v>0.66</v>
      </c>
      <c r="O10" s="1157">
        <v>0.7</v>
      </c>
      <c r="P10" s="1157">
        <v>0.71</v>
      </c>
      <c r="Q10" s="1157">
        <v>0.71</v>
      </c>
      <c r="R10" s="1157">
        <v>0.72</v>
      </c>
      <c r="S10" s="1157">
        <v>0.72</v>
      </c>
      <c r="T10" s="1157">
        <v>0.66</v>
      </c>
    </row>
    <row r="11" spans="2:20" x14ac:dyDescent="0.25">
      <c r="B11" s="1158" t="s">
        <v>61</v>
      </c>
      <c r="C11" s="1157">
        <v>0.78</v>
      </c>
      <c r="D11" s="1157">
        <v>0.78</v>
      </c>
      <c r="E11" s="1157">
        <v>0.76</v>
      </c>
      <c r="F11" s="1157">
        <v>0.74</v>
      </c>
      <c r="G11" s="1157">
        <v>0.79</v>
      </c>
      <c r="H11" s="1157">
        <v>0.78</v>
      </c>
      <c r="I11" s="1157">
        <v>0.73</v>
      </c>
      <c r="J11" s="1157">
        <v>0.83</v>
      </c>
      <c r="K11" s="1157">
        <v>0.86</v>
      </c>
      <c r="L11" s="1157">
        <v>0.86</v>
      </c>
      <c r="M11" s="1157">
        <v>0.81</v>
      </c>
      <c r="N11" s="1157">
        <v>0.85</v>
      </c>
      <c r="O11" s="1157">
        <v>0.86</v>
      </c>
      <c r="P11" s="1157">
        <v>0.81</v>
      </c>
      <c r="Q11" s="1157">
        <v>0.84</v>
      </c>
      <c r="R11" s="1157">
        <v>0.79</v>
      </c>
      <c r="S11" s="1157">
        <v>0.85</v>
      </c>
      <c r="T11" s="1157">
        <v>0.81</v>
      </c>
    </row>
    <row r="12" spans="2:20" x14ac:dyDescent="0.25">
      <c r="B12" s="1158" t="s">
        <v>2215</v>
      </c>
      <c r="C12" s="1157">
        <v>0.67</v>
      </c>
      <c r="D12" s="1157">
        <v>0.66</v>
      </c>
      <c r="E12" s="1157">
        <v>0.6</v>
      </c>
      <c r="F12" s="1157">
        <v>0.62</v>
      </c>
      <c r="G12" s="1157">
        <v>0.61</v>
      </c>
      <c r="H12" s="1157">
        <v>0.66</v>
      </c>
      <c r="I12" s="1157">
        <v>0.64</v>
      </c>
      <c r="J12" s="1157">
        <v>0.63</v>
      </c>
      <c r="K12" s="1157">
        <v>0.62</v>
      </c>
      <c r="L12" s="1157">
        <v>0.66</v>
      </c>
      <c r="M12" s="1157">
        <v>0.62</v>
      </c>
      <c r="N12" s="1157">
        <v>0.62</v>
      </c>
      <c r="O12" s="1157">
        <v>0.66</v>
      </c>
      <c r="P12" s="1157">
        <v>0.61</v>
      </c>
      <c r="Q12" s="1157">
        <v>0.61</v>
      </c>
      <c r="R12" s="1157">
        <v>0.57999999999999996</v>
      </c>
      <c r="S12" s="1157">
        <v>0.56999999999999995</v>
      </c>
      <c r="T12" s="1157">
        <v>0.63</v>
      </c>
    </row>
  </sheetData>
  <sheetProtection algorithmName="SHA-512" hashValue="aMVKIqxNQNsbj6EZ3Tp4eWwKyrYn2JtKCP34afLqDIytTx0DHPNPMl/MkUTPMcFmA3BNMyownNSv1rZEjhpWhg==" saltValue="1MQ/LFfgOg8VRukRDqLUKg==" spinCount="100000" sheet="1" objects="1" scenarios="1"/>
  <mergeCells count="1">
    <mergeCell ref="B2:T2"/>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
    <tabColor rgb="FF848484"/>
  </sheetPr>
  <dimension ref="B1:Y34"/>
  <sheetViews>
    <sheetView showGridLines="0" zoomScale="90" zoomScaleNormal="90" workbookViewId="0">
      <selection activeCell="W18" sqref="W18"/>
    </sheetView>
  </sheetViews>
  <sheetFormatPr defaultColWidth="8.69921875" defaultRowHeight="13.8" x14ac:dyDescent="0.25"/>
  <cols>
    <col min="1" max="2" width="2.69921875" style="316" customWidth="1"/>
    <col min="3" max="19" width="7.19921875" style="316" customWidth="1"/>
    <col min="20" max="20" width="2.69921875" style="316" customWidth="1"/>
    <col min="21" max="21" width="3.19921875" style="316" customWidth="1"/>
    <col min="22" max="24" width="12.69921875" style="316" customWidth="1"/>
    <col min="25" max="29" width="11.19921875" style="316" customWidth="1"/>
    <col min="30" max="16384" width="8.69921875" style="316"/>
  </cols>
  <sheetData>
    <row r="1" spans="2:25" s="317" customFormat="1" ht="15" customHeight="1" x14ac:dyDescent="0.25"/>
    <row r="2" spans="2:25" s="317" customFormat="1" ht="15" customHeight="1" x14ac:dyDescent="0.25">
      <c r="B2" s="2838"/>
      <c r="C2" s="2839"/>
      <c r="D2" s="2839"/>
      <c r="E2" s="2839"/>
      <c r="F2" s="2839"/>
      <c r="G2" s="2839"/>
      <c r="H2" s="2839"/>
      <c r="I2" s="2839"/>
      <c r="J2" s="2839"/>
      <c r="K2" s="2839"/>
      <c r="L2" s="2839"/>
      <c r="M2" s="2839"/>
      <c r="N2" s="2839"/>
      <c r="O2" s="2839"/>
      <c r="P2" s="2839"/>
      <c r="Q2" s="2839"/>
      <c r="R2" s="2839"/>
      <c r="S2" s="2839"/>
      <c r="T2" s="2840"/>
    </row>
    <row r="3" spans="2:25" s="317" customFormat="1" ht="24.75" customHeight="1" x14ac:dyDescent="0.25">
      <c r="B3" s="2841"/>
      <c r="C3" s="319" t="s">
        <v>1024</v>
      </c>
      <c r="D3" s="320"/>
      <c r="E3" s="320"/>
      <c r="F3" s="320"/>
      <c r="G3" s="324"/>
      <c r="H3" s="324"/>
      <c r="I3" s="320"/>
      <c r="J3" s="320"/>
      <c r="K3" s="320"/>
      <c r="L3" s="320"/>
      <c r="M3" s="324"/>
      <c r="N3" s="320"/>
      <c r="O3" s="320"/>
      <c r="P3" s="320"/>
      <c r="Q3" s="320"/>
      <c r="R3" s="320"/>
      <c r="S3" s="320"/>
      <c r="T3" s="2842"/>
    </row>
    <row r="4" spans="2:25" s="317" customFormat="1" ht="15" customHeight="1" x14ac:dyDescent="0.25">
      <c r="B4" s="2841"/>
      <c r="C4" s="321" t="s">
        <v>1025</v>
      </c>
      <c r="D4" s="320"/>
      <c r="E4" s="320"/>
      <c r="F4" s="320"/>
      <c r="G4" s="320"/>
      <c r="H4" s="320"/>
      <c r="I4" s="320"/>
      <c r="J4" s="320"/>
      <c r="K4" s="320"/>
      <c r="L4" s="320"/>
      <c r="M4" s="326"/>
      <c r="N4" s="320"/>
      <c r="O4" s="320"/>
      <c r="P4" s="320"/>
      <c r="Q4" s="320"/>
      <c r="R4" s="320"/>
      <c r="S4" s="320"/>
      <c r="T4" s="2843"/>
      <c r="W4" s="2595"/>
      <c r="Y4" s="2594"/>
    </row>
    <row r="5" spans="2:25" s="317" customFormat="1" ht="21" customHeight="1" x14ac:dyDescent="0.25">
      <c r="B5" s="2841"/>
      <c r="C5" s="320"/>
      <c r="D5" s="322"/>
      <c r="E5" s="323"/>
      <c r="F5" s="320"/>
      <c r="G5" s="320"/>
      <c r="H5" s="320"/>
      <c r="I5" s="320"/>
      <c r="J5" s="320"/>
      <c r="K5" s="320"/>
      <c r="L5" s="320"/>
      <c r="M5" s="326"/>
      <c r="N5" s="320"/>
      <c r="O5" s="320"/>
      <c r="P5" s="320"/>
      <c r="Q5" s="320"/>
      <c r="R5" s="320"/>
      <c r="S5" s="320"/>
      <c r="T5" s="2843"/>
    </row>
    <row r="6" spans="2:25" s="317" customFormat="1" ht="15" customHeight="1" x14ac:dyDescent="0.25">
      <c r="B6" s="2841"/>
      <c r="C6" s="3272" t="s">
        <v>3258</v>
      </c>
      <c r="D6" s="3272"/>
      <c r="E6" s="3272"/>
      <c r="F6" s="3272"/>
      <c r="G6" s="3272"/>
      <c r="H6" s="3272"/>
      <c r="I6" s="3272"/>
      <c r="J6" s="3272"/>
      <c r="K6" s="3272"/>
      <c r="L6" s="3272"/>
      <c r="M6" s="3272"/>
      <c r="N6" s="3272"/>
      <c r="O6" s="3272"/>
      <c r="P6" s="3272"/>
      <c r="Q6" s="3272"/>
      <c r="R6" s="3272"/>
      <c r="S6" s="3272"/>
      <c r="T6" s="2843"/>
    </row>
    <row r="7" spans="2:25" s="317" customFormat="1" ht="15" customHeight="1" x14ac:dyDescent="0.25">
      <c r="B7" s="2841"/>
      <c r="C7" s="2746"/>
      <c r="D7" s="320"/>
      <c r="E7" s="323"/>
      <c r="F7" s="320"/>
      <c r="G7" s="320"/>
      <c r="H7" s="320"/>
      <c r="I7" s="320"/>
      <c r="J7" s="320"/>
      <c r="K7" s="320"/>
      <c r="L7" s="320"/>
      <c r="M7" s="326"/>
      <c r="N7" s="320"/>
      <c r="O7" s="320"/>
      <c r="P7" s="320"/>
      <c r="Q7" s="320"/>
      <c r="R7" s="320"/>
      <c r="S7" s="320"/>
      <c r="T7" s="2843"/>
    </row>
    <row r="8" spans="2:25" s="317" customFormat="1" ht="15" customHeight="1" x14ac:dyDescent="0.25">
      <c r="B8" s="2841"/>
      <c r="C8" s="320" t="str">
        <f>CONCATENATE("proposed site energy ["&amp;'12 - Performance_Outputs_1'!PO_SiteUnits&amp;"]")</f>
        <v>proposed site energy [kWh]</v>
      </c>
      <c r="D8" s="320"/>
      <c r="E8" s="323"/>
      <c r="F8" s="320"/>
      <c r="G8" s="320"/>
      <c r="H8" s="320"/>
      <c r="I8" s="320"/>
      <c r="J8" s="320"/>
      <c r="K8" s="320"/>
      <c r="L8" s="320"/>
      <c r="M8" s="326"/>
      <c r="N8" s="320"/>
      <c r="O8" s="320"/>
      <c r="P8" s="320"/>
      <c r="Q8" s="320"/>
      <c r="R8" s="4277">
        <f>'12 - Performance_Outputs_1'!M462</f>
        <v>0</v>
      </c>
      <c r="S8" s="4278"/>
      <c r="T8" s="2843"/>
    </row>
    <row r="9" spans="2:25" s="317" customFormat="1" ht="15" customHeight="1" x14ac:dyDescent="0.25">
      <c r="B9" s="2841"/>
      <c r="C9" s="320"/>
      <c r="D9" s="320"/>
      <c r="E9" s="323"/>
      <c r="F9" s="320"/>
      <c r="G9" s="320"/>
      <c r="H9" s="320"/>
      <c r="I9" s="320"/>
      <c r="J9" s="320"/>
      <c r="K9" s="320"/>
      <c r="L9" s="320"/>
      <c r="M9" s="326"/>
      <c r="N9" s="320"/>
      <c r="O9" s="320"/>
      <c r="P9" s="320"/>
      <c r="Q9" s="320"/>
      <c r="R9" s="2479"/>
      <c r="S9" s="2479"/>
      <c r="T9" s="2843"/>
    </row>
    <row r="10" spans="2:25" s="317" customFormat="1" ht="15" customHeight="1" x14ac:dyDescent="0.25">
      <c r="B10" s="2841"/>
      <c r="C10" s="320" t="s">
        <v>3300</v>
      </c>
      <c r="D10" s="320"/>
      <c r="E10" s="323"/>
      <c r="F10" s="320"/>
      <c r="G10" s="320"/>
      <c r="H10" s="320"/>
      <c r="I10" s="320"/>
      <c r="J10" s="320"/>
      <c r="K10" s="320"/>
      <c r="L10" s="320"/>
      <c r="M10" s="326"/>
      <c r="N10" s="320"/>
      <c r="O10" s="320"/>
      <c r="P10" s="320"/>
      <c r="Q10" s="320"/>
      <c r="R10" s="4277">
        <f>'12 - Performance_Outputs_1'!N462</f>
        <v>0</v>
      </c>
      <c r="S10" s="4278"/>
      <c r="T10" s="2843"/>
    </row>
    <row r="11" spans="2:25" s="317" customFormat="1" ht="15" customHeight="1" x14ac:dyDescent="0.25">
      <c r="B11" s="2841"/>
      <c r="C11" s="320"/>
      <c r="D11" s="320"/>
      <c r="E11" s="323"/>
      <c r="F11" s="320"/>
      <c r="G11" s="320"/>
      <c r="H11" s="320"/>
      <c r="I11" s="320"/>
      <c r="J11" s="320"/>
      <c r="K11" s="320"/>
      <c r="L11" s="320"/>
      <c r="M11" s="326"/>
      <c r="N11" s="320"/>
      <c r="O11" s="320"/>
      <c r="P11" s="320"/>
      <c r="Q11" s="320"/>
      <c r="R11" s="320"/>
      <c r="S11" s="320"/>
      <c r="T11" s="2843"/>
    </row>
    <row r="12" spans="2:25" s="317" customFormat="1" ht="15" customHeight="1" x14ac:dyDescent="0.25">
      <c r="B12" s="2841"/>
      <c r="C12" s="320" t="s">
        <v>3301</v>
      </c>
      <c r="D12" s="320"/>
      <c r="E12" s="323"/>
      <c r="F12" s="320"/>
      <c r="G12" s="320"/>
      <c r="H12" s="320"/>
      <c r="I12" s="320"/>
      <c r="J12" s="320"/>
      <c r="K12" s="320"/>
      <c r="L12" s="320"/>
      <c r="M12" s="326"/>
      <c r="N12" s="320"/>
      <c r="O12" s="320"/>
      <c r="P12" s="320"/>
      <c r="Q12" s="320"/>
      <c r="R12" s="4277">
        <f>'12 - Performance_Outputs_1'!P462</f>
        <v>0</v>
      </c>
      <c r="S12" s="4278"/>
      <c r="T12" s="2843"/>
    </row>
    <row r="13" spans="2:25" s="317" customFormat="1" ht="15" customHeight="1" x14ac:dyDescent="0.25">
      <c r="B13" s="2841"/>
      <c r="C13" s="320"/>
      <c r="D13" s="320"/>
      <c r="E13" s="323"/>
      <c r="F13" s="320"/>
      <c r="G13" s="320"/>
      <c r="H13" s="320"/>
      <c r="I13" s="320"/>
      <c r="J13" s="320"/>
      <c r="K13" s="320"/>
      <c r="L13" s="320"/>
      <c r="M13" s="326"/>
      <c r="N13" s="320"/>
      <c r="O13" s="320"/>
      <c r="P13" s="320"/>
      <c r="Q13" s="320"/>
      <c r="R13" s="2479"/>
      <c r="S13" s="2479"/>
      <c r="T13" s="2843"/>
    </row>
    <row r="14" spans="2:25" s="317" customFormat="1" ht="15" customHeight="1" x14ac:dyDescent="0.25">
      <c r="B14" s="2841"/>
      <c r="C14" s="320"/>
      <c r="D14" s="320"/>
      <c r="E14" s="323"/>
      <c r="F14" s="320"/>
      <c r="G14" s="320"/>
      <c r="H14" s="320"/>
      <c r="I14" s="320"/>
      <c r="J14" s="320"/>
      <c r="K14" s="320"/>
      <c r="L14" s="320"/>
      <c r="M14" s="326"/>
      <c r="N14" s="320"/>
      <c r="O14" s="320"/>
      <c r="P14" s="320"/>
      <c r="Q14" s="320"/>
      <c r="R14" s="2479"/>
      <c r="S14" s="2479"/>
      <c r="T14" s="2843"/>
    </row>
    <row r="15" spans="2:25" s="317" customFormat="1" ht="15" customHeight="1" x14ac:dyDescent="0.25">
      <c r="B15" s="2844"/>
      <c r="C15" s="790"/>
      <c r="D15" s="791"/>
      <c r="E15" s="792"/>
      <c r="F15" s="790"/>
      <c r="G15" s="790"/>
      <c r="H15" s="790"/>
      <c r="I15" s="790"/>
      <c r="J15" s="790"/>
      <c r="K15" s="790"/>
      <c r="L15" s="790"/>
      <c r="M15" s="793"/>
      <c r="N15" s="790"/>
      <c r="O15" s="790"/>
      <c r="P15" s="790"/>
      <c r="Q15" s="790"/>
      <c r="R15" s="790"/>
      <c r="S15" s="790"/>
      <c r="T15" s="2845"/>
    </row>
    <row r="16" spans="2:25" s="317" customFormat="1" ht="15" customHeight="1" x14ac:dyDescent="0.25">
      <c r="B16" s="2846"/>
      <c r="C16" s="794" t="s">
        <v>3302</v>
      </c>
      <c r="D16" s="2742"/>
      <c r="E16" s="2742"/>
      <c r="F16" s="2742"/>
      <c r="G16" s="2742"/>
      <c r="H16" s="2742"/>
      <c r="I16" s="2742"/>
      <c r="J16" s="2742"/>
      <c r="K16" s="2742"/>
      <c r="L16" s="2742"/>
      <c r="M16" s="2742"/>
      <c r="N16" s="2742"/>
      <c r="O16" s="2742"/>
      <c r="P16" s="2742"/>
      <c r="Q16" s="2742"/>
      <c r="R16" s="2742"/>
      <c r="S16" s="2742"/>
      <c r="T16" s="2847"/>
    </row>
    <row r="17" spans="2:25" s="317" customFormat="1" ht="15" customHeight="1" x14ac:dyDescent="0.25">
      <c r="B17" s="2846"/>
      <c r="C17" s="2742"/>
      <c r="D17" s="2742"/>
      <c r="E17" s="2742"/>
      <c r="F17" s="2742"/>
      <c r="G17" s="2742"/>
      <c r="H17" s="2742"/>
      <c r="I17" s="2742"/>
      <c r="J17" s="2742"/>
      <c r="K17" s="2742"/>
      <c r="L17" s="2742"/>
      <c r="M17" s="2742"/>
      <c r="N17" s="2742"/>
      <c r="O17" s="2742"/>
      <c r="P17" s="2742"/>
      <c r="Q17" s="2742"/>
      <c r="R17" s="2742"/>
      <c r="S17" s="2742"/>
      <c r="T17" s="2847"/>
    </row>
    <row r="18" spans="2:25" s="317" customFormat="1" ht="15" customHeight="1" x14ac:dyDescent="0.25">
      <c r="B18" s="2846"/>
      <c r="C18" s="317" t="s">
        <v>3260</v>
      </c>
      <c r="E18" s="2743"/>
      <c r="M18" s="2744"/>
      <c r="R18" s="4281" t="str">
        <f>'12 - Performance_Outputs_1'!M475</f>
        <v>-</v>
      </c>
      <c r="S18" s="4282"/>
      <c r="T18" s="2847"/>
    </row>
    <row r="19" spans="2:25" s="317" customFormat="1" ht="15" customHeight="1" x14ac:dyDescent="0.25">
      <c r="B19" s="2846"/>
      <c r="E19" s="2743"/>
      <c r="M19" s="2744"/>
      <c r="T19" s="2847"/>
    </row>
    <row r="20" spans="2:25" s="317" customFormat="1" ht="15" customHeight="1" x14ac:dyDescent="0.25">
      <c r="B20" s="2846"/>
      <c r="C20" s="317" t="s">
        <v>3259</v>
      </c>
      <c r="E20" s="2743"/>
      <c r="M20" s="2744"/>
      <c r="R20" s="4281" t="str">
        <f>'12 - Performance_Outputs_1'!N475</f>
        <v>-</v>
      </c>
      <c r="S20" s="4282"/>
      <c r="T20" s="2847"/>
      <c r="Y20" s="2594"/>
    </row>
    <row r="21" spans="2:25" s="317" customFormat="1" ht="15" customHeight="1" x14ac:dyDescent="0.25">
      <c r="B21" s="2846"/>
      <c r="E21" s="2743"/>
      <c r="M21" s="2744"/>
      <c r="T21" s="2847"/>
      <c r="Y21" s="2594"/>
    </row>
    <row r="22" spans="2:25" s="317" customFormat="1" ht="15" customHeight="1" x14ac:dyDescent="0.25">
      <c r="B22" s="2846"/>
      <c r="C22" s="317" t="s">
        <v>3261</v>
      </c>
      <c r="E22" s="2743"/>
      <c r="M22" s="2744"/>
      <c r="R22" s="4281" t="str">
        <f>'12 - Performance_Outputs_1'!P475</f>
        <v>-</v>
      </c>
      <c r="S22" s="4282"/>
      <c r="T22" s="2847"/>
    </row>
    <row r="23" spans="2:25" s="317" customFormat="1" ht="15" customHeight="1" x14ac:dyDescent="0.25">
      <c r="B23" s="2846"/>
      <c r="D23" s="2745"/>
      <c r="E23" s="2743"/>
      <c r="M23" s="2744"/>
      <c r="T23" s="2847"/>
    </row>
    <row r="24" spans="2:25" s="317" customFormat="1" ht="15" customHeight="1" x14ac:dyDescent="0.25">
      <c r="B24" s="2846"/>
      <c r="D24" s="795"/>
      <c r="E24" s="796"/>
      <c r="M24" s="797"/>
      <c r="T24" s="2848"/>
    </row>
    <row r="25" spans="2:25" s="317" customFormat="1" ht="15.75" customHeight="1" x14ac:dyDescent="0.25">
      <c r="B25" s="2844"/>
      <c r="C25" s="790"/>
      <c r="D25" s="791"/>
      <c r="E25" s="792"/>
      <c r="F25" s="790"/>
      <c r="G25" s="790"/>
      <c r="H25" s="790"/>
      <c r="I25" s="790"/>
      <c r="J25" s="790"/>
      <c r="K25" s="790"/>
      <c r="L25" s="790"/>
      <c r="M25" s="793"/>
      <c r="N25" s="790"/>
      <c r="O25" s="790"/>
      <c r="P25" s="790"/>
      <c r="Q25" s="790"/>
      <c r="R25" s="790"/>
      <c r="S25" s="790"/>
      <c r="T25" s="2845"/>
    </row>
    <row r="26" spans="2:25" s="317" customFormat="1" ht="15" customHeight="1" x14ac:dyDescent="0.25">
      <c r="B26" s="2846"/>
      <c r="C26" s="794" t="s">
        <v>1026</v>
      </c>
      <c r="D26" s="795"/>
      <c r="E26" s="796"/>
      <c r="M26" s="797"/>
      <c r="T26" s="2848"/>
    </row>
    <row r="27" spans="2:25" s="317" customFormat="1" ht="15" customHeight="1" x14ac:dyDescent="0.25">
      <c r="B27" s="2846"/>
      <c r="D27" s="795"/>
      <c r="E27" s="796"/>
      <c r="T27" s="2848"/>
    </row>
    <row r="28" spans="2:25" s="317" customFormat="1" ht="15" customHeight="1" x14ac:dyDescent="0.25">
      <c r="B28" s="2846"/>
      <c r="C28" s="317" t="s">
        <v>3234</v>
      </c>
      <c r="D28" s="795"/>
      <c r="R28" s="4279" t="str">
        <f>'12 - Performance_Outputs_1'!M476</f>
        <v>-</v>
      </c>
      <c r="S28" s="4280"/>
      <c r="T28" s="2848"/>
    </row>
    <row r="29" spans="2:25" s="317" customFormat="1" ht="15" customHeight="1" x14ac:dyDescent="0.25">
      <c r="B29" s="2846"/>
      <c r="D29" s="795"/>
      <c r="E29" s="796"/>
      <c r="T29" s="2848"/>
    </row>
    <row r="30" spans="2:25" s="317" customFormat="1" ht="15" customHeight="1" x14ac:dyDescent="0.25">
      <c r="B30" s="2846"/>
      <c r="C30" s="317" t="s">
        <v>3231</v>
      </c>
      <c r="R30" s="4279" t="str">
        <f>'12 - Performance_Outputs_1'!N476</f>
        <v>-</v>
      </c>
      <c r="S30" s="4280"/>
      <c r="T30" s="2848"/>
    </row>
    <row r="31" spans="2:25" s="317" customFormat="1" ht="15" customHeight="1" x14ac:dyDescent="0.25">
      <c r="B31" s="2846"/>
      <c r="T31" s="2848"/>
    </row>
    <row r="32" spans="2:25" s="317" customFormat="1" ht="15" customHeight="1" x14ac:dyDescent="0.25">
      <c r="B32" s="2846"/>
      <c r="C32" s="317" t="s">
        <v>3232</v>
      </c>
      <c r="R32" s="4279" t="str">
        <f>'12 - Performance_Outputs_1'!P476</f>
        <v>-</v>
      </c>
      <c r="S32" s="4280"/>
      <c r="T32" s="2848"/>
    </row>
    <row r="33" spans="2:20" s="317" customFormat="1" ht="15" customHeight="1" x14ac:dyDescent="0.25">
      <c r="B33" s="2846"/>
      <c r="D33" s="795"/>
      <c r="T33" s="2848"/>
    </row>
    <row r="34" spans="2:20" s="317" customFormat="1" ht="18" customHeight="1" x14ac:dyDescent="0.25">
      <c r="B34" s="2849"/>
      <c r="C34" s="2850"/>
      <c r="D34" s="2851"/>
      <c r="E34" s="2852"/>
      <c r="F34" s="2850"/>
      <c r="G34" s="2850"/>
      <c r="H34" s="2850"/>
      <c r="I34" s="2850"/>
      <c r="J34" s="2850"/>
      <c r="K34" s="2850"/>
      <c r="L34" s="2850"/>
      <c r="M34" s="2853"/>
      <c r="N34" s="2850"/>
      <c r="O34" s="2850"/>
      <c r="P34" s="2850"/>
      <c r="Q34" s="2850"/>
      <c r="R34" s="2850"/>
      <c r="S34" s="2850"/>
      <c r="T34" s="2854"/>
    </row>
  </sheetData>
  <sheetProtection algorithmName="SHA-512" hashValue="vxdCtUhDl/W+qeQGWVoj87SyNWBpE0Isk9W7jRqhZJxjaLj/YZz+U0zdVHml5fl31Ilf+0FP4AjDHVSDKRMFKQ==" saltValue="TgdgFTFaKeVguKvUVephEw==" spinCount="100000" sheet="1" objects="1" scenarios="1"/>
  <customSheetViews>
    <customSheetView guid="{75D6F8CE-A4F4-4FDD-BA92-7996F9E19FA9}" scale="90" showGridLines="0">
      <selection activeCell="AF20" sqref="AF20:AG20"/>
      <pageMargins left="0.7" right="0.7" top="0.75" bottom="0.75" header="0.3" footer="0.3"/>
      <pageSetup orientation="portrait" horizontalDpi="1200" verticalDpi="1200" r:id="rId1"/>
    </customSheetView>
  </customSheetViews>
  <mergeCells count="10">
    <mergeCell ref="R8:S8"/>
    <mergeCell ref="C6:S6"/>
    <mergeCell ref="R10:S10"/>
    <mergeCell ref="R12:S12"/>
    <mergeCell ref="R32:S32"/>
    <mergeCell ref="R30:S30"/>
    <mergeCell ref="R28:S28"/>
    <mergeCell ref="R18:S18"/>
    <mergeCell ref="R20:S20"/>
    <mergeCell ref="R22:S22"/>
  </mergeCells>
  <pageMargins left="0.7" right="0.7" top="0.75" bottom="0.75" header="0.3" footer="0.3"/>
  <pageSetup orientation="portrait" horizontalDpi="1200" verticalDpi="1200"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28">
    <tabColor rgb="FF0070C0"/>
  </sheetPr>
  <dimension ref="A1:C79"/>
  <sheetViews>
    <sheetView topLeftCell="A73" workbookViewId="0">
      <selection activeCell="C85" sqref="C85"/>
    </sheetView>
  </sheetViews>
  <sheetFormatPr defaultColWidth="9" defaultRowHeight="13.8" x14ac:dyDescent="0.25"/>
  <cols>
    <col min="1" max="1" width="11.796875" style="992" customWidth="1"/>
    <col min="2" max="2" width="9" style="992"/>
    <col min="3" max="3" width="143.19921875" customWidth="1"/>
  </cols>
  <sheetData>
    <row r="1" spans="1:3" x14ac:dyDescent="0.25">
      <c r="A1" s="991" t="s">
        <v>2132</v>
      </c>
      <c r="B1" s="991" t="s">
        <v>2133</v>
      </c>
      <c r="C1" s="989" t="s">
        <v>2134</v>
      </c>
    </row>
    <row r="2" spans="1:3" x14ac:dyDescent="0.25">
      <c r="C2" s="993" t="s">
        <v>2135</v>
      </c>
    </row>
    <row r="3" spans="1:3" x14ac:dyDescent="0.25">
      <c r="C3" s="994" t="s">
        <v>2136</v>
      </c>
    </row>
    <row r="4" spans="1:3" x14ac:dyDescent="0.25">
      <c r="C4" s="994" t="s">
        <v>2137</v>
      </c>
    </row>
    <row r="5" spans="1:3" x14ac:dyDescent="0.25">
      <c r="C5" s="994" t="s">
        <v>2138</v>
      </c>
    </row>
    <row r="6" spans="1:3" x14ac:dyDescent="0.25">
      <c r="C6" t="s">
        <v>2139</v>
      </c>
    </row>
    <row r="7" spans="1:3" x14ac:dyDescent="0.25">
      <c r="C7" t="s">
        <v>2140</v>
      </c>
    </row>
    <row r="8" spans="1:3" x14ac:dyDescent="0.25">
      <c r="C8" t="s">
        <v>2141</v>
      </c>
    </row>
    <row r="9" spans="1:3" x14ac:dyDescent="0.25">
      <c r="C9" t="s">
        <v>2142</v>
      </c>
    </row>
    <row r="10" spans="1:3" x14ac:dyDescent="0.25">
      <c r="C10" t="s">
        <v>2143</v>
      </c>
    </row>
    <row r="11" spans="1:3" x14ac:dyDescent="0.25">
      <c r="C11" t="s">
        <v>2144</v>
      </c>
    </row>
    <row r="12" spans="1:3" x14ac:dyDescent="0.25">
      <c r="C12" s="993" t="s">
        <v>2145</v>
      </c>
    </row>
    <row r="13" spans="1:3" x14ac:dyDescent="0.25">
      <c r="B13" s="4283" t="s">
        <v>2146</v>
      </c>
      <c r="C13" t="s">
        <v>2147</v>
      </c>
    </row>
    <row r="14" spans="1:3" x14ac:dyDescent="0.25">
      <c r="B14" s="4283"/>
      <c r="C14" t="s">
        <v>2148</v>
      </c>
    </row>
    <row r="15" spans="1:3" x14ac:dyDescent="0.25">
      <c r="B15" s="4283"/>
      <c r="C15" t="s">
        <v>2149</v>
      </c>
    </row>
    <row r="16" spans="1:3" x14ac:dyDescent="0.25">
      <c r="B16" s="4283"/>
      <c r="C16" t="s">
        <v>2150</v>
      </c>
    </row>
    <row r="17" spans="1:3" x14ac:dyDescent="0.25">
      <c r="A17" s="992">
        <v>41508</v>
      </c>
      <c r="B17" s="992" t="s">
        <v>2151</v>
      </c>
      <c r="C17" s="995" t="s">
        <v>2152</v>
      </c>
    </row>
    <row r="18" spans="1:3" x14ac:dyDescent="0.25">
      <c r="A18" s="992">
        <v>41509</v>
      </c>
      <c r="B18" s="992" t="s">
        <v>2151</v>
      </c>
      <c r="C18" s="995" t="s">
        <v>2153</v>
      </c>
    </row>
    <row r="19" spans="1:3" x14ac:dyDescent="0.25">
      <c r="C19" s="993" t="s">
        <v>2154</v>
      </c>
    </row>
    <row r="20" spans="1:3" x14ac:dyDescent="0.25">
      <c r="A20" s="992">
        <v>41557</v>
      </c>
      <c r="B20" s="992" t="s">
        <v>2151</v>
      </c>
      <c r="C20" t="s">
        <v>2155</v>
      </c>
    </row>
    <row r="21" spans="1:3" x14ac:dyDescent="0.25">
      <c r="A21" s="992">
        <v>42243</v>
      </c>
      <c r="B21" s="992" t="s">
        <v>2151</v>
      </c>
      <c r="C21" t="s">
        <v>2156</v>
      </c>
    </row>
    <row r="22" spans="1:3" x14ac:dyDescent="0.25">
      <c r="A22" s="992">
        <v>42243</v>
      </c>
      <c r="B22" s="992" t="s">
        <v>2151</v>
      </c>
      <c r="C22" t="s">
        <v>2157</v>
      </c>
    </row>
    <row r="23" spans="1:3" x14ac:dyDescent="0.25">
      <c r="A23" s="992">
        <v>42243</v>
      </c>
      <c r="B23" s="992" t="s">
        <v>2151</v>
      </c>
      <c r="C23" t="s">
        <v>2158</v>
      </c>
    </row>
    <row r="24" spans="1:3" x14ac:dyDescent="0.25">
      <c r="A24" s="992">
        <v>42247</v>
      </c>
      <c r="B24" s="992" t="s">
        <v>2151</v>
      </c>
      <c r="C24" t="s">
        <v>2159</v>
      </c>
    </row>
    <row r="25" spans="1:3" x14ac:dyDescent="0.25">
      <c r="A25" s="992">
        <v>42247</v>
      </c>
      <c r="B25" s="992" t="s">
        <v>2151</v>
      </c>
      <c r="C25" t="s">
        <v>2160</v>
      </c>
    </row>
    <row r="26" spans="1:3" x14ac:dyDescent="0.25">
      <c r="A26" s="992">
        <v>42247</v>
      </c>
      <c r="B26" s="992" t="s">
        <v>2151</v>
      </c>
      <c r="C26" t="s">
        <v>2161</v>
      </c>
    </row>
    <row r="27" spans="1:3" x14ac:dyDescent="0.25">
      <c r="A27" s="992">
        <v>42251</v>
      </c>
      <c r="B27" s="992" t="s">
        <v>2151</v>
      </c>
      <c r="C27" t="s">
        <v>2162</v>
      </c>
    </row>
    <row r="28" spans="1:3" x14ac:dyDescent="0.25">
      <c r="A28" s="992">
        <v>42251</v>
      </c>
      <c r="B28" s="992" t="s">
        <v>2151</v>
      </c>
      <c r="C28" t="s">
        <v>2163</v>
      </c>
    </row>
    <row r="29" spans="1:3" x14ac:dyDescent="0.25">
      <c r="C29" s="993" t="s">
        <v>2164</v>
      </c>
    </row>
    <row r="30" spans="1:3" x14ac:dyDescent="0.25">
      <c r="A30" s="992">
        <v>42502</v>
      </c>
      <c r="B30" s="992" t="s">
        <v>2165</v>
      </c>
      <c r="C30" t="s">
        <v>2166</v>
      </c>
    </row>
    <row r="31" spans="1:3" x14ac:dyDescent="0.25">
      <c r="C31" s="993" t="s">
        <v>2167</v>
      </c>
    </row>
    <row r="32" spans="1:3" ht="15" customHeight="1" x14ac:dyDescent="0.25">
      <c r="A32" s="4283">
        <v>42830</v>
      </c>
      <c r="B32" s="4284" t="s">
        <v>2168</v>
      </c>
      <c r="C32" t="s">
        <v>2318</v>
      </c>
    </row>
    <row r="33" spans="1:3" x14ac:dyDescent="0.25">
      <c r="A33" s="4283"/>
      <c r="B33" s="4284"/>
      <c r="C33" t="s">
        <v>2319</v>
      </c>
    </row>
    <row r="34" spans="1:3" ht="69" x14ac:dyDescent="0.25">
      <c r="A34" s="4283"/>
      <c r="B34" s="4284"/>
      <c r="C34" s="990" t="s">
        <v>2411</v>
      </c>
    </row>
    <row r="35" spans="1:3" ht="69" x14ac:dyDescent="0.25">
      <c r="A35" s="4283"/>
      <c r="B35" s="4284"/>
      <c r="C35" s="990" t="s">
        <v>2320</v>
      </c>
    </row>
    <row r="36" spans="1:3" x14ac:dyDescent="0.25">
      <c r="A36" s="4283"/>
      <c r="B36" s="4284"/>
      <c r="C36" t="s">
        <v>2321</v>
      </c>
    </row>
    <row r="37" spans="1:3" x14ac:dyDescent="0.25">
      <c r="A37" s="4283"/>
      <c r="B37" s="4284"/>
      <c r="C37" s="990" t="s">
        <v>2322</v>
      </c>
    </row>
    <row r="38" spans="1:3" ht="27.6" x14ac:dyDescent="0.25">
      <c r="A38" s="4283"/>
      <c r="B38" s="4284"/>
      <c r="C38" s="990" t="s">
        <v>2323</v>
      </c>
    </row>
    <row r="39" spans="1:3" ht="55.2" x14ac:dyDescent="0.25">
      <c r="A39" s="4283"/>
      <c r="B39" s="4284"/>
      <c r="C39" s="990" t="s">
        <v>2332</v>
      </c>
    </row>
    <row r="40" spans="1:3" ht="27.6" x14ac:dyDescent="0.25">
      <c r="A40" s="4283"/>
      <c r="B40" s="4284"/>
      <c r="C40" s="990" t="s">
        <v>2324</v>
      </c>
    </row>
    <row r="41" spans="1:3" ht="27.6" x14ac:dyDescent="0.25">
      <c r="A41" s="4283"/>
      <c r="B41" s="4284"/>
      <c r="C41" s="990" t="s">
        <v>2333</v>
      </c>
    </row>
    <row r="42" spans="1:3" ht="27.6" x14ac:dyDescent="0.25">
      <c r="A42" s="4283"/>
      <c r="B42" s="4284"/>
      <c r="C42" s="990" t="s">
        <v>2325</v>
      </c>
    </row>
    <row r="43" spans="1:3" x14ac:dyDescent="0.25">
      <c r="A43" s="4283"/>
      <c r="B43" s="4284"/>
      <c r="C43" s="990" t="s">
        <v>2326</v>
      </c>
    </row>
    <row r="44" spans="1:3" x14ac:dyDescent="0.25">
      <c r="A44" s="4283"/>
      <c r="B44" s="4284"/>
      <c r="C44" s="990" t="s">
        <v>2327</v>
      </c>
    </row>
    <row r="45" spans="1:3" x14ac:dyDescent="0.25">
      <c r="A45" s="4283"/>
      <c r="B45" s="4284"/>
      <c r="C45" s="990" t="s">
        <v>2328</v>
      </c>
    </row>
    <row r="46" spans="1:3" x14ac:dyDescent="0.25">
      <c r="A46" s="4283"/>
      <c r="B46" s="4284"/>
      <c r="C46" s="990" t="s">
        <v>2329</v>
      </c>
    </row>
    <row r="47" spans="1:3" x14ac:dyDescent="0.25">
      <c r="A47" s="4283"/>
      <c r="B47" s="4284"/>
      <c r="C47" s="990" t="s">
        <v>2330</v>
      </c>
    </row>
    <row r="48" spans="1:3" ht="27.6" x14ac:dyDescent="0.25">
      <c r="A48" s="4283"/>
      <c r="B48" s="4284"/>
      <c r="C48" s="990" t="s">
        <v>2331</v>
      </c>
    </row>
    <row r="49" spans="1:3" x14ac:dyDescent="0.25">
      <c r="A49" s="4283">
        <v>42969</v>
      </c>
      <c r="B49" s="4283" t="s">
        <v>2428</v>
      </c>
      <c r="C49" s="990" t="s">
        <v>2429</v>
      </c>
    </row>
    <row r="50" spans="1:3" ht="27.6" x14ac:dyDescent="0.25">
      <c r="A50" s="4283"/>
      <c r="B50" s="4283"/>
      <c r="C50" s="990" t="s">
        <v>2430</v>
      </c>
    </row>
    <row r="51" spans="1:3" x14ac:dyDescent="0.25">
      <c r="A51" s="4283"/>
      <c r="B51" s="4283"/>
      <c r="C51" s="990" t="s">
        <v>2431</v>
      </c>
    </row>
    <row r="52" spans="1:3" x14ac:dyDescent="0.25">
      <c r="A52" s="4283">
        <v>42989</v>
      </c>
      <c r="B52" s="4283" t="s">
        <v>2428</v>
      </c>
      <c r="C52" s="990" t="s">
        <v>2432</v>
      </c>
    </row>
    <row r="53" spans="1:3" x14ac:dyDescent="0.25">
      <c r="A53" s="4283"/>
      <c r="B53" s="4283"/>
      <c r="C53" s="990" t="s">
        <v>2433</v>
      </c>
    </row>
    <row r="54" spans="1:3" x14ac:dyDescent="0.25">
      <c r="A54" s="1792">
        <v>42996</v>
      </c>
      <c r="B54" s="1792" t="s">
        <v>2428</v>
      </c>
      <c r="C54" s="990" t="s">
        <v>2434</v>
      </c>
    </row>
    <row r="55" spans="1:3" x14ac:dyDescent="0.25">
      <c r="A55" s="4283">
        <v>43061</v>
      </c>
      <c r="B55" s="4283" t="s">
        <v>2428</v>
      </c>
      <c r="C55" s="990" t="s">
        <v>2461</v>
      </c>
    </row>
    <row r="56" spans="1:3" x14ac:dyDescent="0.25">
      <c r="A56" s="4283"/>
      <c r="B56" s="4283"/>
      <c r="C56" s="990" t="s">
        <v>2462</v>
      </c>
    </row>
    <row r="57" spans="1:3" x14ac:dyDescent="0.25">
      <c r="A57" s="4283"/>
      <c r="B57" s="4283"/>
      <c r="C57" s="990" t="s">
        <v>2463</v>
      </c>
    </row>
    <row r="58" spans="1:3" ht="15" customHeight="1" x14ac:dyDescent="0.25">
      <c r="A58" s="4283"/>
      <c r="B58" s="4283"/>
      <c r="C58" s="990" t="s">
        <v>2464</v>
      </c>
    </row>
    <row r="59" spans="1:3" ht="30" customHeight="1" x14ac:dyDescent="0.25">
      <c r="A59" s="4283"/>
      <c r="B59" s="4283"/>
      <c r="C59" s="1800" t="s">
        <v>2466</v>
      </c>
    </row>
    <row r="60" spans="1:3" x14ac:dyDescent="0.25">
      <c r="A60" s="4283"/>
      <c r="B60" s="4283"/>
      <c r="C60" s="990" t="s">
        <v>3048</v>
      </c>
    </row>
    <row r="61" spans="1:3" x14ac:dyDescent="0.25">
      <c r="A61" s="4283"/>
      <c r="B61" s="4283"/>
      <c r="C61" s="990" t="s">
        <v>2465</v>
      </c>
    </row>
    <row r="62" spans="1:3" ht="18" customHeight="1" x14ac:dyDescent="0.25">
      <c r="A62" s="1792">
        <v>43095</v>
      </c>
      <c r="B62" s="1792" t="s">
        <v>2428</v>
      </c>
      <c r="C62" s="1858" t="s">
        <v>2589</v>
      </c>
    </row>
    <row r="63" spans="1:3" x14ac:dyDescent="0.25">
      <c r="A63" s="1792">
        <v>43095</v>
      </c>
      <c r="C63" s="993" t="s">
        <v>2590</v>
      </c>
    </row>
    <row r="64" spans="1:3" ht="303.60000000000002" x14ac:dyDescent="0.25">
      <c r="A64" s="1792">
        <v>43132</v>
      </c>
      <c r="B64" s="1792" t="s">
        <v>2428</v>
      </c>
      <c r="C64" s="990" t="s">
        <v>2959</v>
      </c>
    </row>
    <row r="65" spans="1:3" ht="27.6" x14ac:dyDescent="0.25">
      <c r="A65" s="1792">
        <v>43172</v>
      </c>
      <c r="B65" s="1792" t="s">
        <v>2428</v>
      </c>
      <c r="C65" s="990" t="s">
        <v>2982</v>
      </c>
    </row>
    <row r="66" spans="1:3" x14ac:dyDescent="0.25">
      <c r="A66" s="1792">
        <v>43209</v>
      </c>
      <c r="B66" s="1792" t="s">
        <v>2428</v>
      </c>
      <c r="C66" s="990" t="s">
        <v>3034</v>
      </c>
    </row>
    <row r="67" spans="1:3" ht="27.6" x14ac:dyDescent="0.25">
      <c r="A67" s="1792">
        <v>43213</v>
      </c>
      <c r="B67" s="1792" t="s">
        <v>2428</v>
      </c>
      <c r="C67" s="990" t="s">
        <v>3047</v>
      </c>
    </row>
    <row r="68" spans="1:3" x14ac:dyDescent="0.25">
      <c r="A68" s="1792">
        <v>43215</v>
      </c>
      <c r="C68" s="993" t="s">
        <v>3054</v>
      </c>
    </row>
    <row r="69" spans="1:3" x14ac:dyDescent="0.25">
      <c r="A69" s="1792"/>
      <c r="B69" s="1792" t="s">
        <v>2428</v>
      </c>
      <c r="C69" s="990" t="s">
        <v>3049</v>
      </c>
    </row>
    <row r="70" spans="1:3" ht="27.6" x14ac:dyDescent="0.25">
      <c r="A70" s="1792">
        <v>43266</v>
      </c>
      <c r="B70" s="2310" t="s">
        <v>2428</v>
      </c>
      <c r="C70" s="990" t="s">
        <v>3052</v>
      </c>
    </row>
    <row r="71" spans="1:3" x14ac:dyDescent="0.25">
      <c r="A71" s="1792">
        <v>43271</v>
      </c>
      <c r="B71" s="2310" t="s">
        <v>2428</v>
      </c>
      <c r="C71" s="990" t="s">
        <v>3053</v>
      </c>
    </row>
    <row r="72" spans="1:3" x14ac:dyDescent="0.25">
      <c r="C72" s="993" t="s">
        <v>3055</v>
      </c>
    </row>
    <row r="73" spans="1:3" x14ac:dyDescent="0.25">
      <c r="A73" s="992">
        <v>43314</v>
      </c>
      <c r="B73" s="2310" t="s">
        <v>2428</v>
      </c>
      <c r="C73" s="990" t="s">
        <v>3080</v>
      </c>
    </row>
    <row r="74" spans="1:3" x14ac:dyDescent="0.25">
      <c r="A74" s="4283">
        <v>43314</v>
      </c>
      <c r="B74" s="4283" t="s">
        <v>2428</v>
      </c>
      <c r="C74" s="990" t="s">
        <v>3080</v>
      </c>
    </row>
    <row r="75" spans="1:3" x14ac:dyDescent="0.25">
      <c r="A75" s="4283"/>
      <c r="B75" s="4283"/>
      <c r="C75" s="990" t="s">
        <v>3081</v>
      </c>
    </row>
    <row r="76" spans="1:3" x14ac:dyDescent="0.25">
      <c r="C76" s="993" t="s">
        <v>3168</v>
      </c>
    </row>
    <row r="77" spans="1:3" ht="27.6" x14ac:dyDescent="0.25">
      <c r="A77" s="992">
        <v>43620</v>
      </c>
      <c r="B77" s="992" t="s">
        <v>3167</v>
      </c>
      <c r="C77" s="990" t="s">
        <v>3171</v>
      </c>
    </row>
    <row r="78" spans="1:3" x14ac:dyDescent="0.25">
      <c r="C78" s="993" t="s">
        <v>3082</v>
      </c>
    </row>
    <row r="79" spans="1:3" ht="27.6" x14ac:dyDescent="0.25">
      <c r="A79" s="2361">
        <v>43654</v>
      </c>
      <c r="B79" s="2361" t="s">
        <v>3175</v>
      </c>
      <c r="C79" s="1800" t="s">
        <v>3179</v>
      </c>
    </row>
  </sheetData>
  <sheetProtection algorithmName="SHA-512" hashValue="erZOt6ud6dOplDd++ggzi9N1HZ1KPPtmgf2ZF3MSjZrcY/rJhXxIcGLdUT/LvZigwo32rhvSjW2e6cCjQMa3Mw==" saltValue="mDu3im1KN2+FhPiexPyTXA==" spinCount="100000" sheet="1" objects="1" scenarios="1"/>
  <mergeCells count="11">
    <mergeCell ref="A74:A75"/>
    <mergeCell ref="B74:B75"/>
    <mergeCell ref="B55:B61"/>
    <mergeCell ref="A55:A61"/>
    <mergeCell ref="B52:B53"/>
    <mergeCell ref="A52:A53"/>
    <mergeCell ref="B13:B16"/>
    <mergeCell ref="A32:A48"/>
    <mergeCell ref="B32:B48"/>
    <mergeCell ref="B49:B51"/>
    <mergeCell ref="A49:A51"/>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Tabelle1">
    <tabColor rgb="FFFF0000"/>
  </sheetPr>
  <dimension ref="B3:U67"/>
  <sheetViews>
    <sheetView zoomScale="70" zoomScaleNormal="70" workbookViewId="0">
      <selection activeCell="H52" sqref="H52"/>
    </sheetView>
  </sheetViews>
  <sheetFormatPr defaultColWidth="11" defaultRowHeight="13.8" x14ac:dyDescent="0.25"/>
  <cols>
    <col min="2" max="2" width="29.5" customWidth="1"/>
    <col min="6" max="6" width="17.19921875" customWidth="1"/>
    <col min="10" max="10" width="2.69921875" customWidth="1"/>
    <col min="11" max="11" width="22.19921875" customWidth="1"/>
    <col min="16" max="16" width="13.296875" bestFit="1" customWidth="1"/>
    <col min="21" max="21" width="11.796875" bestFit="1" customWidth="1"/>
  </cols>
  <sheetData>
    <row r="3" spans="2:21" x14ac:dyDescent="0.25">
      <c r="B3" s="2369" t="s">
        <v>3185</v>
      </c>
      <c r="C3" s="4285" t="s">
        <v>3186</v>
      </c>
      <c r="D3" s="4285"/>
      <c r="E3" s="4285"/>
      <c r="F3" s="4285"/>
      <c r="G3" s="4285"/>
      <c r="H3" s="4285"/>
      <c r="I3" s="4285"/>
      <c r="J3" s="4285"/>
      <c r="N3" s="2367"/>
      <c r="O3" s="2367" t="s">
        <v>398</v>
      </c>
      <c r="P3" s="2367" t="s">
        <v>568</v>
      </c>
      <c r="Q3" s="2367" t="s">
        <v>554</v>
      </c>
      <c r="R3" s="2367" t="s">
        <v>400</v>
      </c>
      <c r="S3" s="2367" t="s">
        <v>399</v>
      </c>
      <c r="T3" s="2367" t="s">
        <v>527</v>
      </c>
      <c r="U3" s="2367" t="s">
        <v>521</v>
      </c>
    </row>
    <row r="4" spans="2:21" x14ac:dyDescent="0.25">
      <c r="B4" s="2369"/>
      <c r="C4" s="396" t="s">
        <v>3185</v>
      </c>
      <c r="D4" s="396"/>
      <c r="E4" s="396"/>
      <c r="F4" s="396"/>
      <c r="G4" s="396"/>
      <c r="H4" s="2765"/>
      <c r="I4" s="2765"/>
      <c r="J4" s="2765"/>
      <c r="N4" s="2367" t="s">
        <v>398</v>
      </c>
      <c r="O4" s="2381">
        <v>1</v>
      </c>
      <c r="P4" s="2381">
        <v>1E-3</v>
      </c>
      <c r="Q4" s="2381">
        <v>3.4119999999999999</v>
      </c>
      <c r="R4" s="2381">
        <v>3.4119999999999998E-2</v>
      </c>
      <c r="S4" s="2381">
        <v>3.4120000000000001E-3</v>
      </c>
      <c r="T4" s="2381">
        <v>3.6</v>
      </c>
      <c r="U4" s="2381">
        <v>0.284345136</v>
      </c>
    </row>
    <row r="5" spans="2:21" x14ac:dyDescent="0.25">
      <c r="B5" s="2367" t="s">
        <v>374</v>
      </c>
      <c r="C5" s="2368">
        <v>157.50060833333214</v>
      </c>
      <c r="D5" s="2368"/>
      <c r="E5" s="2368"/>
      <c r="F5" s="2368"/>
      <c r="G5" s="2368"/>
      <c r="H5" s="2368"/>
      <c r="I5" s="2368"/>
      <c r="J5" s="2368"/>
      <c r="N5" s="2367" t="s">
        <v>568</v>
      </c>
      <c r="O5" s="2381">
        <v>1000</v>
      </c>
      <c r="P5" s="2381">
        <v>1</v>
      </c>
      <c r="Q5" s="2381">
        <v>3412</v>
      </c>
      <c r="R5" s="2381">
        <v>34.119999999999997</v>
      </c>
      <c r="S5" s="2381">
        <v>3.4119999999999999</v>
      </c>
      <c r="T5" s="2381">
        <v>3600</v>
      </c>
      <c r="U5" s="2381">
        <v>284.34513608999998</v>
      </c>
    </row>
    <row r="6" spans="2:21" x14ac:dyDescent="0.25">
      <c r="B6" s="2367" t="s">
        <v>388</v>
      </c>
      <c r="C6" s="2368">
        <v>59.246038888888442</v>
      </c>
      <c r="D6" s="2368"/>
      <c r="E6" s="2368"/>
      <c r="F6" s="2368"/>
      <c r="G6" s="2368"/>
      <c r="H6" s="2368"/>
      <c r="I6" s="2368"/>
      <c r="J6" s="2368"/>
      <c r="N6" s="2367" t="s">
        <v>554</v>
      </c>
      <c r="O6" s="2381">
        <v>0.29329</v>
      </c>
      <c r="P6" s="2381">
        <v>2.9328999999999998E-4</v>
      </c>
      <c r="Q6" s="2381">
        <v>1</v>
      </c>
      <c r="R6" s="2381">
        <v>0.01</v>
      </c>
      <c r="S6" s="2381">
        <v>1E-3</v>
      </c>
      <c r="T6" s="2381">
        <v>1.0558700000000001</v>
      </c>
      <c r="U6" s="2381">
        <v>8.3333333300000006E-2</v>
      </c>
    </row>
    <row r="7" spans="2:21" x14ac:dyDescent="0.25">
      <c r="B7" s="2367" t="s">
        <v>129</v>
      </c>
      <c r="C7" s="2368">
        <v>293.29722222222</v>
      </c>
      <c r="D7" s="2368"/>
      <c r="E7" s="2368"/>
      <c r="F7" s="2368"/>
      <c r="G7" s="2368"/>
      <c r="H7" s="2368"/>
      <c r="I7" s="2368"/>
      <c r="J7" s="2368"/>
      <c r="N7" s="2367" t="s">
        <v>400</v>
      </c>
      <c r="O7" s="2381">
        <v>29.329722222221999</v>
      </c>
      <c r="P7" s="2381">
        <v>2.9329722222222E-2</v>
      </c>
      <c r="Q7" s="2381">
        <v>100</v>
      </c>
      <c r="R7" s="2381">
        <v>1</v>
      </c>
      <c r="S7" s="2381">
        <v>0.1</v>
      </c>
      <c r="T7" s="2381">
        <v>105.587</v>
      </c>
      <c r="U7" s="2381">
        <v>8.3313440814999993</v>
      </c>
    </row>
    <row r="8" spans="2:21" x14ac:dyDescent="0.25">
      <c r="B8" s="2367" t="s">
        <v>130</v>
      </c>
      <c r="C8" s="2368">
        <v>82.123222222221614</v>
      </c>
      <c r="D8" s="2368"/>
      <c r="E8" s="2368"/>
      <c r="F8" s="2368"/>
      <c r="G8" s="2368"/>
      <c r="H8" s="2368"/>
      <c r="I8" s="2368"/>
      <c r="J8" s="2368"/>
      <c r="N8" s="2367" t="s">
        <v>399</v>
      </c>
      <c r="O8" s="2381">
        <v>293.29722222222</v>
      </c>
      <c r="P8" s="2381">
        <v>0.29329722222221999</v>
      </c>
      <c r="Q8" s="2381">
        <v>1000</v>
      </c>
      <c r="R8" s="2381">
        <v>10</v>
      </c>
      <c r="S8" s="2381">
        <v>1</v>
      </c>
      <c r="T8" s="2381">
        <v>1055.8699999999999</v>
      </c>
      <c r="U8" s="2381">
        <v>83.333333332999999</v>
      </c>
    </row>
    <row r="9" spans="2:21" x14ac:dyDescent="0.25">
      <c r="B9" s="2367" t="s">
        <v>3328</v>
      </c>
      <c r="C9" s="2368">
        <v>78.017061111110522</v>
      </c>
      <c r="D9" s="2368"/>
      <c r="E9" s="2368"/>
      <c r="F9" s="2368"/>
      <c r="G9" s="2368"/>
      <c r="H9" s="2368"/>
      <c r="I9" s="2368"/>
      <c r="J9" s="2368"/>
      <c r="N9" s="2367" t="s">
        <v>527</v>
      </c>
      <c r="O9" s="2381">
        <v>0.27777777777778001</v>
      </c>
      <c r="P9" s="2381">
        <v>2.7777777777778E-4</v>
      </c>
      <c r="Q9" s="2381">
        <v>0.94708628903179004</v>
      </c>
      <c r="R9" s="2381">
        <v>9.4708628903178993E-3</v>
      </c>
      <c r="S9" s="2381">
        <v>9.4708628903179002E-4</v>
      </c>
      <c r="T9" s="2381">
        <v>1</v>
      </c>
      <c r="U9" s="2381">
        <v>7.8984760025999995E-2</v>
      </c>
    </row>
    <row r="10" spans="2:21" x14ac:dyDescent="0.25">
      <c r="B10" s="2367" t="s">
        <v>540</v>
      </c>
      <c r="C10" s="2368">
        <v>70.098036111110574</v>
      </c>
      <c r="D10" s="2368"/>
      <c r="E10" s="2368"/>
      <c r="F10" s="2368"/>
      <c r="G10" s="2368"/>
      <c r="H10" s="2368"/>
      <c r="I10" s="2368"/>
      <c r="J10" s="2368"/>
      <c r="N10" s="2367" t="s">
        <v>521</v>
      </c>
      <c r="O10" s="2381">
        <v>3.5168528421</v>
      </c>
      <c r="P10" s="2381">
        <v>3.5168528421E-3</v>
      </c>
      <c r="Q10" s="2383">
        <v>12.008033605</v>
      </c>
      <c r="R10" s="2381">
        <v>0.11999998319999999</v>
      </c>
      <c r="S10" s="2381">
        <v>1.2E-2</v>
      </c>
      <c r="T10" s="2381">
        <v>12.6606702</v>
      </c>
      <c r="U10" s="2381">
        <v>1</v>
      </c>
    </row>
    <row r="11" spans="2:21" x14ac:dyDescent="0.25">
      <c r="B11" s="2367" t="s">
        <v>507</v>
      </c>
      <c r="C11" s="2368">
        <v>8.5056194444443811</v>
      </c>
      <c r="D11" s="2368"/>
      <c r="E11" s="2368"/>
      <c r="F11" s="2368"/>
      <c r="G11" s="2368"/>
      <c r="H11" s="2368"/>
      <c r="I11" s="2368"/>
      <c r="J11" s="2368"/>
    </row>
    <row r="12" spans="2:21" x14ac:dyDescent="0.25">
      <c r="B12" s="2367"/>
      <c r="C12" s="2368"/>
      <c r="D12" s="2368"/>
      <c r="E12" s="2368"/>
      <c r="F12" s="2368"/>
      <c r="G12" s="2368"/>
      <c r="H12" s="2368"/>
      <c r="I12" s="2368"/>
      <c r="J12" s="2368"/>
    </row>
    <row r="13" spans="2:21" x14ac:dyDescent="0.25">
      <c r="B13" s="2367"/>
      <c r="C13" s="2368"/>
      <c r="D13" s="2368"/>
      <c r="E13" s="2368"/>
      <c r="F13" s="2368"/>
      <c r="G13" s="2368"/>
      <c r="H13" s="2368"/>
      <c r="I13" s="2368"/>
      <c r="J13" s="2368"/>
    </row>
    <row r="14" spans="2:21" x14ac:dyDescent="0.25">
      <c r="B14" s="2367"/>
      <c r="C14" s="2368"/>
      <c r="D14" s="2368"/>
      <c r="E14" s="2368"/>
      <c r="F14" s="2368"/>
      <c r="G14" s="2368"/>
      <c r="H14" s="2368"/>
      <c r="I14" s="2368"/>
      <c r="J14" s="2368"/>
      <c r="O14">
        <f>O4/P4</f>
        <v>1000</v>
      </c>
      <c r="P14">
        <f t="shared" ref="P14:U14" si="0">P4/Q4</f>
        <v>2.9308323563892149E-4</v>
      </c>
      <c r="Q14">
        <f t="shared" si="0"/>
        <v>100</v>
      </c>
      <c r="R14">
        <f t="shared" si="0"/>
        <v>9.9999999999999982</v>
      </c>
      <c r="S14">
        <f t="shared" si="0"/>
        <v>9.4777777777777775E-4</v>
      </c>
      <c r="T14">
        <f t="shared" si="0"/>
        <v>12.660670235625203</v>
      </c>
      <c r="U14" t="e">
        <f t="shared" si="0"/>
        <v>#DIV/0!</v>
      </c>
    </row>
    <row r="15" spans="2:21" x14ac:dyDescent="0.25">
      <c r="B15" s="2367"/>
      <c r="C15" s="2368"/>
      <c r="D15" s="2368"/>
      <c r="E15" s="2368"/>
      <c r="F15" s="2368"/>
      <c r="G15" s="2368"/>
      <c r="H15" s="2368"/>
      <c r="I15" s="2368"/>
      <c r="J15" s="2368"/>
      <c r="O15">
        <f t="shared" ref="O15:U15" si="1">O5/P5</f>
        <v>1000</v>
      </c>
      <c r="P15">
        <f t="shared" si="1"/>
        <v>2.9308323563892143E-4</v>
      </c>
      <c r="Q15">
        <f t="shared" si="1"/>
        <v>100.00000000000001</v>
      </c>
      <c r="R15">
        <f t="shared" si="1"/>
        <v>10</v>
      </c>
      <c r="S15">
        <f t="shared" si="1"/>
        <v>9.4777777777777775E-4</v>
      </c>
      <c r="T15">
        <f t="shared" si="1"/>
        <v>12.660670231617889</v>
      </c>
      <c r="U15" t="e">
        <f t="shared" si="1"/>
        <v>#DIV/0!</v>
      </c>
    </row>
    <row r="16" spans="2:21" x14ac:dyDescent="0.25">
      <c r="B16" s="2367"/>
      <c r="C16" s="2368"/>
      <c r="D16" s="2368"/>
      <c r="E16" s="2368"/>
      <c r="F16" s="2368"/>
      <c r="G16" s="2368"/>
      <c r="H16" s="2368"/>
      <c r="I16" s="2368"/>
      <c r="J16" s="2368"/>
      <c r="O16">
        <f t="shared" ref="O16:U16" si="2">O6/P6</f>
        <v>1000</v>
      </c>
      <c r="P16">
        <f t="shared" si="2"/>
        <v>2.9328999999999998E-4</v>
      </c>
      <c r="Q16">
        <f t="shared" si="2"/>
        <v>100</v>
      </c>
      <c r="R16">
        <f t="shared" si="2"/>
        <v>10</v>
      </c>
      <c r="S16">
        <f t="shared" si="2"/>
        <v>9.4708628903179359E-4</v>
      </c>
      <c r="T16">
        <f t="shared" si="2"/>
        <v>12.670440005068176</v>
      </c>
      <c r="U16" t="e">
        <f t="shared" si="2"/>
        <v>#DIV/0!</v>
      </c>
    </row>
    <row r="17" spans="2:21" x14ac:dyDescent="0.25">
      <c r="B17" s="2367"/>
      <c r="C17" s="2368"/>
      <c r="D17" s="2368"/>
      <c r="E17" s="2368"/>
      <c r="F17" s="2368"/>
      <c r="G17" s="2368"/>
      <c r="H17" s="2368"/>
      <c r="I17" s="2368"/>
      <c r="J17" s="2368"/>
      <c r="O17">
        <f>O7/P7</f>
        <v>1000</v>
      </c>
      <c r="P17" s="2382">
        <f t="shared" ref="P17:U17" si="3">P7/Q7</f>
        <v>2.9329722222221999E-4</v>
      </c>
      <c r="Q17">
        <f t="shared" si="3"/>
        <v>100</v>
      </c>
      <c r="R17">
        <f t="shared" si="3"/>
        <v>10</v>
      </c>
      <c r="S17">
        <f t="shared" si="3"/>
        <v>9.470862890317937E-4</v>
      </c>
      <c r="T17">
        <f t="shared" si="3"/>
        <v>12.673465285686509</v>
      </c>
      <c r="U17" t="e">
        <f t="shared" si="3"/>
        <v>#DIV/0!</v>
      </c>
    </row>
    <row r="18" spans="2:21" x14ac:dyDescent="0.25">
      <c r="O18">
        <f t="shared" ref="O18:U18" si="4">O8/P8</f>
        <v>1000</v>
      </c>
      <c r="P18">
        <f t="shared" si="4"/>
        <v>2.9329722222221999E-4</v>
      </c>
      <c r="Q18">
        <f t="shared" si="4"/>
        <v>100</v>
      </c>
      <c r="R18">
        <f t="shared" si="4"/>
        <v>10</v>
      </c>
      <c r="S18">
        <f t="shared" si="4"/>
        <v>9.4708628903179381E-4</v>
      </c>
      <c r="T18">
        <f t="shared" si="4"/>
        <v>12.67044000005068</v>
      </c>
      <c r="U18" t="e">
        <f t="shared" si="4"/>
        <v>#DIV/0!</v>
      </c>
    </row>
    <row r="19" spans="2:21" x14ac:dyDescent="0.25">
      <c r="O19">
        <f t="shared" ref="O19:U19" si="5">O9/P9</f>
        <v>1000</v>
      </c>
      <c r="P19">
        <f t="shared" si="5"/>
        <v>2.9329722222222568E-4</v>
      </c>
      <c r="Q19">
        <f t="shared" si="5"/>
        <v>100.00000000000001</v>
      </c>
      <c r="R19">
        <f t="shared" si="5"/>
        <v>9.9999999999999982</v>
      </c>
      <c r="S19">
        <f t="shared" si="5"/>
        <v>9.4708628903179002E-4</v>
      </c>
      <c r="T19">
        <f t="shared" si="5"/>
        <v>12.660670231457596</v>
      </c>
      <c r="U19" t="e">
        <f t="shared" si="5"/>
        <v>#DIV/0!</v>
      </c>
    </row>
    <row r="20" spans="2:21" x14ac:dyDescent="0.25">
      <c r="O20">
        <f t="shared" ref="O20:U20" si="6">O10/P10</f>
        <v>1000</v>
      </c>
      <c r="P20">
        <f>P10/Q10</f>
        <v>2.9287500000296676E-4</v>
      </c>
      <c r="Q20">
        <f t="shared" si="6"/>
        <v>100.06696071770783</v>
      </c>
      <c r="R20">
        <f t="shared" si="6"/>
        <v>9.9999985999999996</v>
      </c>
      <c r="S20">
        <f t="shared" si="6"/>
        <v>9.4781712266701337E-4</v>
      </c>
      <c r="T20">
        <f t="shared" si="6"/>
        <v>12.6606702</v>
      </c>
      <c r="U20" t="e">
        <f t="shared" si="6"/>
        <v>#DIV/0!</v>
      </c>
    </row>
    <row r="27" spans="2:21" x14ac:dyDescent="0.25">
      <c r="B27" s="2762" t="s">
        <v>3324</v>
      </c>
      <c r="E27" t="s">
        <v>3329</v>
      </c>
      <c r="F27" t="s">
        <v>3330</v>
      </c>
      <c r="G27" t="s">
        <v>3344</v>
      </c>
      <c r="H27" t="s">
        <v>275</v>
      </c>
      <c r="L27" t="s">
        <v>374</v>
      </c>
      <c r="M27" t="s">
        <v>388</v>
      </c>
      <c r="N27" t="s">
        <v>540</v>
      </c>
      <c r="O27" t="s">
        <v>3328</v>
      </c>
      <c r="P27" t="s">
        <v>130</v>
      </c>
      <c r="Q27" t="s">
        <v>129</v>
      </c>
      <c r="R27" t="s">
        <v>507</v>
      </c>
    </row>
    <row r="28" spans="2:21" x14ac:dyDescent="0.25">
      <c r="B28" t="s">
        <v>3325</v>
      </c>
      <c r="E28" s="2764" t="s">
        <v>3360</v>
      </c>
      <c r="F28" t="s">
        <v>3331</v>
      </c>
      <c r="G28" t="s">
        <v>266</v>
      </c>
      <c r="H28" t="s">
        <v>266</v>
      </c>
      <c r="J28" s="4286" t="s">
        <v>3346</v>
      </c>
      <c r="K28" s="2764" t="s">
        <v>3360</v>
      </c>
      <c r="L28">
        <v>143.21</v>
      </c>
      <c r="M28" s="2367">
        <v>53.11</v>
      </c>
      <c r="N28" s="2367">
        <v>64.25</v>
      </c>
      <c r="O28" s="2367">
        <v>74.209999999999994</v>
      </c>
      <c r="P28" s="2367">
        <v>66.400000000000006</v>
      </c>
      <c r="Q28" s="2367">
        <v>52.7</v>
      </c>
      <c r="R28" s="2367">
        <v>95.05</v>
      </c>
    </row>
    <row r="29" spans="2:21" x14ac:dyDescent="0.25">
      <c r="B29" t="s">
        <v>3326</v>
      </c>
      <c r="E29" s="2764" t="s">
        <v>3361</v>
      </c>
      <c r="F29" t="s">
        <v>3332</v>
      </c>
      <c r="J29" s="4286"/>
      <c r="K29" s="2764" t="s">
        <v>3361</v>
      </c>
      <c r="L29">
        <v>67.11</v>
      </c>
      <c r="M29" s="2367">
        <v>53.11</v>
      </c>
      <c r="N29" s="2367">
        <v>64.25</v>
      </c>
      <c r="O29" s="2367">
        <v>74.209999999999994</v>
      </c>
      <c r="P29" s="2367">
        <v>66.400000000000006</v>
      </c>
      <c r="Q29" s="2367">
        <v>52.7</v>
      </c>
      <c r="R29" s="2367">
        <v>95.05</v>
      </c>
    </row>
    <row r="30" spans="2:21" x14ac:dyDescent="0.25">
      <c r="B30" t="s">
        <v>3185</v>
      </c>
      <c r="E30" s="2764" t="s">
        <v>3362</v>
      </c>
      <c r="F30" t="s">
        <v>3333</v>
      </c>
      <c r="J30" s="4286"/>
      <c r="K30" s="2764" t="s">
        <v>3362</v>
      </c>
      <c r="L30">
        <v>139.44999999999999</v>
      </c>
      <c r="M30" s="2367">
        <v>53.11</v>
      </c>
      <c r="N30" s="2367">
        <v>64.25</v>
      </c>
      <c r="O30" s="2367">
        <v>74.209999999999994</v>
      </c>
      <c r="P30" s="2367">
        <v>66.400000000000006</v>
      </c>
      <c r="Q30" s="2367">
        <v>52.7</v>
      </c>
      <c r="R30" s="2367">
        <v>95.05</v>
      </c>
    </row>
    <row r="31" spans="2:21" x14ac:dyDescent="0.25">
      <c r="B31" t="s">
        <v>3266</v>
      </c>
      <c r="E31" s="2764" t="s">
        <v>3363</v>
      </c>
      <c r="F31" t="s">
        <v>3334</v>
      </c>
      <c r="J31" s="4286"/>
      <c r="K31" s="2764" t="s">
        <v>3363</v>
      </c>
      <c r="L31">
        <v>70.44</v>
      </c>
      <c r="M31" s="2367">
        <v>53.11</v>
      </c>
      <c r="N31" s="2367">
        <v>64.25</v>
      </c>
      <c r="O31" s="2367">
        <v>74.209999999999994</v>
      </c>
      <c r="P31" s="2367">
        <v>66.400000000000006</v>
      </c>
      <c r="Q31" s="2367">
        <v>52.7</v>
      </c>
      <c r="R31" s="2367">
        <v>95.05</v>
      </c>
    </row>
    <row r="32" spans="2:21" x14ac:dyDescent="0.25">
      <c r="E32" s="2764" t="s">
        <v>3364</v>
      </c>
      <c r="F32" t="s">
        <v>3335</v>
      </c>
      <c r="J32" s="4286"/>
      <c r="K32" s="2764" t="s">
        <v>3364</v>
      </c>
      <c r="L32">
        <v>134.81</v>
      </c>
      <c r="M32" s="2367">
        <v>53.11</v>
      </c>
      <c r="N32" s="2367">
        <v>64.25</v>
      </c>
      <c r="O32" s="2367">
        <v>74.209999999999994</v>
      </c>
      <c r="P32" s="2367">
        <v>66.400000000000006</v>
      </c>
      <c r="Q32" s="2367">
        <v>52.7</v>
      </c>
      <c r="R32" s="2367">
        <v>95.05</v>
      </c>
    </row>
    <row r="33" spans="2:18" x14ac:dyDescent="0.25">
      <c r="B33" s="2762" t="s">
        <v>3327</v>
      </c>
      <c r="E33" s="2764" t="s">
        <v>3365</v>
      </c>
      <c r="F33" t="s">
        <v>3336</v>
      </c>
      <c r="J33" s="4286"/>
      <c r="K33" s="2764" t="s">
        <v>3365</v>
      </c>
      <c r="L33">
        <v>135.11000000000001</v>
      </c>
      <c r="M33" s="2367">
        <v>53.11</v>
      </c>
      <c r="N33" s="2367">
        <v>64.25</v>
      </c>
      <c r="O33" s="2367">
        <v>74.209999999999994</v>
      </c>
      <c r="P33" s="2367">
        <v>66.400000000000006</v>
      </c>
      <c r="Q33" s="2367">
        <v>52.7</v>
      </c>
      <c r="R33" s="2367">
        <v>95.05</v>
      </c>
    </row>
    <row r="34" spans="2:18" x14ac:dyDescent="0.25">
      <c r="B34" t="s">
        <v>374</v>
      </c>
      <c r="E34" s="2764" t="s">
        <v>3366</v>
      </c>
      <c r="F34" t="s">
        <v>3337</v>
      </c>
      <c r="J34" s="4286"/>
      <c r="K34" s="2764" t="s">
        <v>3366</v>
      </c>
      <c r="L34">
        <v>154.03</v>
      </c>
      <c r="M34" s="2367">
        <v>53.11</v>
      </c>
      <c r="N34" s="2367">
        <v>64.25</v>
      </c>
      <c r="O34" s="2367">
        <v>74.209999999999994</v>
      </c>
      <c r="P34" s="2367">
        <v>66.400000000000006</v>
      </c>
      <c r="Q34" s="2367">
        <v>52.7</v>
      </c>
      <c r="R34" s="2367">
        <v>95.05</v>
      </c>
    </row>
    <row r="35" spans="2:18" x14ac:dyDescent="0.25">
      <c r="B35" t="s">
        <v>388</v>
      </c>
      <c r="E35" s="2764" t="s">
        <v>3367</v>
      </c>
      <c r="F35" t="s">
        <v>3338</v>
      </c>
      <c r="J35" s="4286"/>
      <c r="K35" s="2764" t="s">
        <v>3367</v>
      </c>
      <c r="L35">
        <v>222.7</v>
      </c>
      <c r="M35" s="2367">
        <v>53.11</v>
      </c>
      <c r="N35" s="2367">
        <v>64.25</v>
      </c>
      <c r="O35" s="2367">
        <v>74.209999999999994</v>
      </c>
      <c r="P35" s="2367">
        <v>66.400000000000006</v>
      </c>
      <c r="Q35" s="2367">
        <v>52.7</v>
      </c>
      <c r="R35" s="2367">
        <v>95.05</v>
      </c>
    </row>
    <row r="36" spans="2:18" x14ac:dyDescent="0.25">
      <c r="B36" t="s">
        <v>540</v>
      </c>
      <c r="E36" s="2764" t="s">
        <v>3368</v>
      </c>
      <c r="F36" t="s">
        <v>3339</v>
      </c>
      <c r="J36" s="4286"/>
      <c r="K36" s="2764" t="s">
        <v>3368</v>
      </c>
      <c r="L36">
        <v>223.24</v>
      </c>
      <c r="M36" s="2367">
        <v>53.11</v>
      </c>
      <c r="N36" s="2367">
        <v>64.25</v>
      </c>
      <c r="O36" s="2367">
        <v>74.209999999999994</v>
      </c>
      <c r="P36" s="2367">
        <v>66.400000000000006</v>
      </c>
      <c r="Q36" s="2367">
        <v>52.7</v>
      </c>
      <c r="R36" s="2367">
        <v>95.05</v>
      </c>
    </row>
    <row r="37" spans="2:18" x14ac:dyDescent="0.25">
      <c r="B37" t="s">
        <v>3328</v>
      </c>
      <c r="E37" s="2764" t="s">
        <v>3369</v>
      </c>
      <c r="F37" t="s">
        <v>3340</v>
      </c>
      <c r="J37" s="4286"/>
      <c r="K37" s="2764" t="s">
        <v>3369</v>
      </c>
      <c r="L37">
        <v>165.83</v>
      </c>
      <c r="M37" s="2367">
        <v>53.11</v>
      </c>
      <c r="N37" s="2367">
        <v>64.25</v>
      </c>
      <c r="O37" s="2367">
        <v>74.209999999999994</v>
      </c>
      <c r="P37" s="2367">
        <v>66.400000000000006</v>
      </c>
      <c r="Q37" s="2367">
        <v>52.7</v>
      </c>
      <c r="R37" s="2367">
        <v>95.05</v>
      </c>
    </row>
    <row r="38" spans="2:18" x14ac:dyDescent="0.25">
      <c r="B38" t="s">
        <v>130</v>
      </c>
      <c r="E38" s="2764" t="s">
        <v>3370</v>
      </c>
      <c r="F38" t="s">
        <v>3341</v>
      </c>
      <c r="J38" s="4286"/>
      <c r="K38" s="2764" t="s">
        <v>3370</v>
      </c>
      <c r="L38">
        <v>74.94</v>
      </c>
      <c r="M38" s="2367">
        <v>53.11</v>
      </c>
      <c r="N38" s="2367">
        <v>64.25</v>
      </c>
      <c r="O38" s="2367">
        <v>74.209999999999994</v>
      </c>
      <c r="P38" s="2367">
        <v>66.400000000000006</v>
      </c>
      <c r="Q38" s="2367">
        <v>52.7</v>
      </c>
      <c r="R38" s="2367">
        <v>95.05</v>
      </c>
    </row>
    <row r="39" spans="2:18" x14ac:dyDescent="0.25">
      <c r="B39" t="s">
        <v>129</v>
      </c>
      <c r="E39" s="2764" t="s">
        <v>3371</v>
      </c>
      <c r="F39" t="s">
        <v>3342</v>
      </c>
      <c r="J39" s="4286"/>
      <c r="K39" s="2764" t="s">
        <v>3371</v>
      </c>
      <c r="L39">
        <v>87.13</v>
      </c>
      <c r="M39" s="2367">
        <v>53.11</v>
      </c>
      <c r="N39" s="2367">
        <v>64.25</v>
      </c>
      <c r="O39" s="2367">
        <v>74.209999999999994</v>
      </c>
      <c r="P39" s="2367">
        <v>66.400000000000006</v>
      </c>
      <c r="Q39" s="2367">
        <v>52.7</v>
      </c>
      <c r="R39" s="2367">
        <v>95.05</v>
      </c>
    </row>
    <row r="40" spans="2:18" x14ac:dyDescent="0.25">
      <c r="B40" t="s">
        <v>507</v>
      </c>
      <c r="E40" s="2764" t="s">
        <v>3372</v>
      </c>
      <c r="F40" t="s">
        <v>3343</v>
      </c>
      <c r="J40" s="4286"/>
      <c r="K40" s="2764" t="s">
        <v>3372</v>
      </c>
      <c r="L40">
        <v>84.69</v>
      </c>
      <c r="M40" s="2367">
        <v>53.11</v>
      </c>
      <c r="N40" s="2367">
        <v>64.25</v>
      </c>
      <c r="O40" s="2367">
        <v>74.209999999999994</v>
      </c>
      <c r="P40" s="2367">
        <v>66.400000000000006</v>
      </c>
      <c r="Q40" s="2367">
        <v>52.7</v>
      </c>
      <c r="R40" s="2367">
        <v>95.05</v>
      </c>
    </row>
    <row r="41" spans="2:18" x14ac:dyDescent="0.25">
      <c r="B41" t="s">
        <v>275</v>
      </c>
      <c r="E41" s="2764" t="s">
        <v>3373</v>
      </c>
      <c r="J41" s="4286"/>
      <c r="K41" s="2764" t="s">
        <v>3373</v>
      </c>
      <c r="L41">
        <v>157.66</v>
      </c>
      <c r="M41" s="2367">
        <v>53.11</v>
      </c>
      <c r="N41" s="2367">
        <v>64.25</v>
      </c>
      <c r="O41" s="2367">
        <v>74.209999999999994</v>
      </c>
      <c r="P41" s="2367">
        <v>66.400000000000006</v>
      </c>
      <c r="Q41" s="2367">
        <v>52.7</v>
      </c>
      <c r="R41" s="2367">
        <v>95.05</v>
      </c>
    </row>
    <row r="42" spans="2:18" x14ac:dyDescent="0.25">
      <c r="E42" s="2764" t="s">
        <v>3374</v>
      </c>
      <c r="J42" s="4286"/>
      <c r="K42" s="2764" t="s">
        <v>3374</v>
      </c>
      <c r="L42">
        <v>39.340000000000003</v>
      </c>
      <c r="M42" s="2367">
        <v>53.11</v>
      </c>
      <c r="N42" s="2367">
        <v>64.25</v>
      </c>
      <c r="O42" s="2367">
        <v>74.209999999999994</v>
      </c>
      <c r="P42" s="2367">
        <v>66.400000000000006</v>
      </c>
      <c r="Q42" s="2367">
        <v>52.7</v>
      </c>
      <c r="R42" s="2367">
        <v>95.05</v>
      </c>
    </row>
    <row r="43" spans="2:18" x14ac:dyDescent="0.25">
      <c r="E43" s="2764" t="s">
        <v>3375</v>
      </c>
      <c r="J43" s="4286"/>
      <c r="K43" s="2764" t="s">
        <v>3375</v>
      </c>
      <c r="L43">
        <v>101.31</v>
      </c>
      <c r="M43" s="2367">
        <v>53.11</v>
      </c>
      <c r="N43" s="2367">
        <v>64.25</v>
      </c>
      <c r="O43" s="2367">
        <v>74.209999999999994</v>
      </c>
      <c r="P43" s="2367">
        <v>66.400000000000006</v>
      </c>
      <c r="Q43" s="2367">
        <v>52.7</v>
      </c>
      <c r="R43" s="2367">
        <v>95.05</v>
      </c>
    </row>
    <row r="44" spans="2:18" x14ac:dyDescent="0.25">
      <c r="E44" s="2764" t="s">
        <v>3376</v>
      </c>
      <c r="J44" s="4286"/>
      <c r="K44" s="2764" t="s">
        <v>3376</v>
      </c>
      <c r="L44">
        <v>170.01</v>
      </c>
      <c r="M44" s="2367">
        <v>53.11</v>
      </c>
      <c r="N44" s="2367">
        <v>64.25</v>
      </c>
      <c r="O44" s="2367">
        <v>74.209999999999994</v>
      </c>
      <c r="P44" s="2367">
        <v>66.400000000000006</v>
      </c>
      <c r="Q44" s="2367">
        <v>52.7</v>
      </c>
      <c r="R44" s="2367">
        <v>95.05</v>
      </c>
    </row>
    <row r="45" spans="2:18" x14ac:dyDescent="0.25">
      <c r="E45" s="2764" t="s">
        <v>3377</v>
      </c>
      <c r="J45" s="4286"/>
      <c r="K45" s="2764" t="s">
        <v>3377</v>
      </c>
      <c r="L45">
        <v>166.36</v>
      </c>
      <c r="M45" s="2367">
        <v>53.11</v>
      </c>
      <c r="N45" s="2367">
        <v>64.25</v>
      </c>
      <c r="O45" s="2367">
        <v>74.209999999999994</v>
      </c>
      <c r="P45" s="2367">
        <v>66.400000000000006</v>
      </c>
      <c r="Q45" s="2367">
        <v>52.7</v>
      </c>
      <c r="R45" s="2367">
        <v>95.05</v>
      </c>
    </row>
    <row r="46" spans="2:18" x14ac:dyDescent="0.25">
      <c r="B46" s="46"/>
      <c r="E46" s="2764" t="s">
        <v>3378</v>
      </c>
      <c r="J46" s="4286"/>
      <c r="K46" s="2764" t="s">
        <v>3378</v>
      </c>
      <c r="L46">
        <v>183.02</v>
      </c>
      <c r="M46" s="2367">
        <v>53.11</v>
      </c>
      <c r="N46" s="2367">
        <v>64.25</v>
      </c>
      <c r="O46" s="2367">
        <v>74.209999999999994</v>
      </c>
      <c r="P46" s="2367">
        <v>66.400000000000006</v>
      </c>
      <c r="Q46" s="2367">
        <v>52.7</v>
      </c>
      <c r="R46" s="2367">
        <v>95.05</v>
      </c>
    </row>
    <row r="47" spans="2:18" x14ac:dyDescent="0.25">
      <c r="B47" s="46"/>
      <c r="E47" s="2764" t="s">
        <v>3379</v>
      </c>
      <c r="J47" s="4286"/>
      <c r="K47" s="2764" t="s">
        <v>3379</v>
      </c>
      <c r="L47">
        <v>189.06</v>
      </c>
      <c r="M47" s="2367">
        <v>53.11</v>
      </c>
      <c r="N47" s="2367">
        <v>64.25</v>
      </c>
      <c r="O47" s="2367">
        <v>74.209999999999994</v>
      </c>
      <c r="P47" s="2367">
        <v>66.400000000000006</v>
      </c>
      <c r="Q47" s="2367">
        <v>52.7</v>
      </c>
      <c r="R47" s="2367">
        <v>95.05</v>
      </c>
    </row>
    <row r="48" spans="2:18" x14ac:dyDescent="0.25">
      <c r="B48" s="46"/>
      <c r="E48" s="2764" t="s">
        <v>3380</v>
      </c>
      <c r="J48" s="4286"/>
      <c r="K48" s="2764" t="s">
        <v>3380</v>
      </c>
      <c r="L48">
        <v>166.81</v>
      </c>
      <c r="M48" s="2367">
        <v>53.11</v>
      </c>
      <c r="N48" s="2367">
        <v>64.25</v>
      </c>
      <c r="O48" s="2367">
        <v>74.209999999999994</v>
      </c>
      <c r="P48" s="2367">
        <v>66.400000000000006</v>
      </c>
      <c r="Q48" s="2367">
        <v>52.7</v>
      </c>
      <c r="R48" s="2367">
        <v>95.05</v>
      </c>
    </row>
    <row r="49" spans="2:18" x14ac:dyDescent="0.25">
      <c r="B49" s="46"/>
      <c r="E49" s="2764" t="s">
        <v>3381</v>
      </c>
      <c r="J49" s="4286"/>
      <c r="K49" s="2764" t="s">
        <v>3381</v>
      </c>
      <c r="L49">
        <v>111.95</v>
      </c>
      <c r="M49" s="2367">
        <v>53.11</v>
      </c>
      <c r="N49" s="2367">
        <v>64.25</v>
      </c>
      <c r="O49" s="2367">
        <v>74.209999999999994</v>
      </c>
      <c r="P49" s="2367">
        <v>66.400000000000006</v>
      </c>
      <c r="Q49" s="2367">
        <v>52.7</v>
      </c>
      <c r="R49" s="2367">
        <v>95.05</v>
      </c>
    </row>
    <row r="50" spans="2:18" x14ac:dyDescent="0.25">
      <c r="B50" s="46"/>
      <c r="E50" s="2764" t="s">
        <v>3382</v>
      </c>
      <c r="J50" s="4286"/>
      <c r="K50" s="2764" t="s">
        <v>3382</v>
      </c>
      <c r="L50">
        <v>215.68</v>
      </c>
      <c r="M50" s="2367">
        <v>53.11</v>
      </c>
      <c r="N50" s="2367">
        <v>64.25</v>
      </c>
      <c r="O50" s="2367">
        <v>74.209999999999994</v>
      </c>
      <c r="P50" s="2367">
        <v>66.400000000000006</v>
      </c>
      <c r="Q50" s="2367">
        <v>52.7</v>
      </c>
      <c r="R50" s="2367">
        <v>95.05</v>
      </c>
    </row>
    <row r="51" spans="2:18" x14ac:dyDescent="0.25">
      <c r="B51" s="46"/>
      <c r="E51" s="2764" t="s">
        <v>3383</v>
      </c>
      <c r="J51" s="4286"/>
      <c r="K51" s="2764" t="s">
        <v>3383</v>
      </c>
      <c r="L51">
        <v>145.58000000000001</v>
      </c>
      <c r="M51" s="2367">
        <v>53.11</v>
      </c>
      <c r="N51" s="2367">
        <v>64.25</v>
      </c>
      <c r="O51" s="2367">
        <v>74.209999999999994</v>
      </c>
      <c r="P51" s="2367">
        <v>66.400000000000006</v>
      </c>
      <c r="Q51" s="2367">
        <v>52.7</v>
      </c>
      <c r="R51" s="2367">
        <v>95.05</v>
      </c>
    </row>
    <row r="52" spans="2:18" x14ac:dyDescent="0.25">
      <c r="B52" s="46"/>
      <c r="E52" s="2764" t="s">
        <v>3384</v>
      </c>
      <c r="J52" s="4286"/>
      <c r="K52" s="2764" t="s">
        <v>3384</v>
      </c>
      <c r="L52">
        <v>158.54</v>
      </c>
      <c r="M52" s="2367">
        <v>53.11</v>
      </c>
      <c r="N52" s="2367">
        <v>64.25</v>
      </c>
      <c r="O52" s="2367">
        <v>74.209999999999994</v>
      </c>
      <c r="P52" s="2367">
        <v>66.400000000000006</v>
      </c>
      <c r="Q52" s="2367">
        <v>52.7</v>
      </c>
      <c r="R52" s="2367">
        <v>95.05</v>
      </c>
    </row>
    <row r="53" spans="2:18" x14ac:dyDescent="0.25">
      <c r="E53" s="2763" t="s">
        <v>3385</v>
      </c>
      <c r="J53" s="4286"/>
      <c r="K53" s="2763" t="s">
        <v>3385</v>
      </c>
      <c r="L53">
        <v>107.69</v>
      </c>
      <c r="M53" s="2367">
        <v>53.11</v>
      </c>
      <c r="N53" s="2367">
        <v>64.25</v>
      </c>
      <c r="O53" s="2367">
        <v>74.209999999999994</v>
      </c>
      <c r="P53" s="2367">
        <v>66.400000000000006</v>
      </c>
      <c r="Q53" s="2367">
        <v>52.7</v>
      </c>
      <c r="R53" s="2367">
        <v>95.05</v>
      </c>
    </row>
    <row r="55" spans="2:18" x14ac:dyDescent="0.25">
      <c r="J55" s="4286" t="s">
        <v>3347</v>
      </c>
      <c r="K55" s="2764" t="s">
        <v>3331</v>
      </c>
      <c r="L55" s="2766">
        <v>252.05</v>
      </c>
      <c r="M55" s="2766">
        <v>52.42</v>
      </c>
      <c r="N55" s="2767">
        <v>64.52</v>
      </c>
      <c r="O55" s="2767">
        <v>77.23</v>
      </c>
      <c r="P55" s="2767">
        <v>88.54</v>
      </c>
      <c r="Q55" s="2767">
        <v>17.190000000000001</v>
      </c>
      <c r="R55" s="2767">
        <v>100.95</v>
      </c>
    </row>
    <row r="56" spans="2:18" x14ac:dyDescent="0.25">
      <c r="J56" s="4286"/>
      <c r="K56" s="2764" t="s">
        <v>3332</v>
      </c>
      <c r="L56" s="2766">
        <v>3.52</v>
      </c>
      <c r="M56" s="2766">
        <v>52.37</v>
      </c>
      <c r="N56" s="2767">
        <v>64.52</v>
      </c>
      <c r="O56" s="2767">
        <v>77.23</v>
      </c>
      <c r="P56" s="2767">
        <v>88.54</v>
      </c>
      <c r="Q56" s="2767">
        <v>17.190000000000001</v>
      </c>
      <c r="R56" s="2767">
        <v>100.95</v>
      </c>
    </row>
    <row r="57" spans="2:18" x14ac:dyDescent="0.25">
      <c r="J57" s="4286"/>
      <c r="K57" s="2764" t="s">
        <v>3333</v>
      </c>
      <c r="L57" s="2766">
        <v>0.62</v>
      </c>
      <c r="M57" s="2766">
        <v>51.29</v>
      </c>
      <c r="N57" s="2767">
        <v>64.52</v>
      </c>
      <c r="O57" s="2767">
        <v>77.23</v>
      </c>
      <c r="P57" s="2767">
        <v>88.54</v>
      </c>
      <c r="Q57" s="2767">
        <v>17.190000000000001</v>
      </c>
      <c r="R57" s="2767">
        <v>100.95</v>
      </c>
    </row>
    <row r="58" spans="2:18" x14ac:dyDescent="0.25">
      <c r="J58" s="4286"/>
      <c r="K58" s="2764" t="s">
        <v>3334</v>
      </c>
      <c r="L58" s="2766">
        <v>96.72</v>
      </c>
      <c r="M58" s="2766">
        <v>51.69</v>
      </c>
      <c r="N58" s="2767">
        <v>64.52</v>
      </c>
      <c r="O58" s="2767">
        <v>77.23</v>
      </c>
      <c r="P58" s="2767">
        <v>88.54</v>
      </c>
      <c r="Q58" s="2767">
        <v>17.190000000000001</v>
      </c>
      <c r="R58" s="2767">
        <v>100.95</v>
      </c>
    </row>
    <row r="59" spans="2:18" x14ac:dyDescent="0.25">
      <c r="J59" s="4286"/>
      <c r="K59" s="2764" t="s">
        <v>3335</v>
      </c>
      <c r="L59" s="2766">
        <v>11.14</v>
      </c>
      <c r="M59" s="2766">
        <v>51.69</v>
      </c>
      <c r="N59" s="2767">
        <v>64.52</v>
      </c>
      <c r="O59" s="2767">
        <v>77.23</v>
      </c>
      <c r="P59" s="2767">
        <v>88.54</v>
      </c>
      <c r="Q59" s="2767">
        <v>17.190000000000001</v>
      </c>
      <c r="R59" s="2767">
        <v>100.95</v>
      </c>
    </row>
    <row r="60" spans="2:18" x14ac:dyDescent="0.25">
      <c r="J60" s="4286"/>
      <c r="K60" s="2764" t="s">
        <v>3336</v>
      </c>
      <c r="L60" s="2766">
        <v>61.55</v>
      </c>
      <c r="M60" s="2766">
        <v>51.69</v>
      </c>
      <c r="N60" s="2767">
        <v>64.52</v>
      </c>
      <c r="O60" s="2767">
        <v>77.23</v>
      </c>
      <c r="P60" s="2767">
        <v>88.54</v>
      </c>
      <c r="Q60" s="2767">
        <v>17.190000000000001</v>
      </c>
      <c r="R60" s="2767">
        <v>100.95</v>
      </c>
    </row>
    <row r="61" spans="2:18" x14ac:dyDescent="0.25">
      <c r="J61" s="4286"/>
      <c r="K61" s="2764" t="s">
        <v>3337</v>
      </c>
      <c r="L61" s="2766">
        <v>208.09</v>
      </c>
      <c r="M61" s="2766">
        <v>51.69</v>
      </c>
      <c r="N61" s="2767">
        <v>64.52</v>
      </c>
      <c r="O61" s="2767">
        <v>77.23</v>
      </c>
      <c r="P61" s="2767">
        <v>88.54</v>
      </c>
      <c r="Q61" s="2767">
        <v>17.190000000000001</v>
      </c>
      <c r="R61" s="2767">
        <v>100.95</v>
      </c>
    </row>
    <row r="62" spans="2:18" x14ac:dyDescent="0.25">
      <c r="J62" s="4286"/>
      <c r="K62" s="2764" t="s">
        <v>3338</v>
      </c>
      <c r="L62" s="2766">
        <v>225.67</v>
      </c>
      <c r="M62" s="2766">
        <v>51.69</v>
      </c>
      <c r="N62" s="2767">
        <v>64.52</v>
      </c>
      <c r="O62" s="2767">
        <v>77.23</v>
      </c>
      <c r="P62" s="2767">
        <v>88.54</v>
      </c>
      <c r="Q62" s="2767">
        <v>17.190000000000001</v>
      </c>
      <c r="R62" s="2767">
        <v>100.95</v>
      </c>
    </row>
    <row r="63" spans="2:18" x14ac:dyDescent="0.25">
      <c r="J63" s="4286"/>
      <c r="K63" s="2764" t="s">
        <v>3339</v>
      </c>
      <c r="L63" s="2766">
        <v>11.72</v>
      </c>
      <c r="M63" s="2766">
        <v>51.34</v>
      </c>
      <c r="N63" s="2767">
        <v>64.52</v>
      </c>
      <c r="O63" s="2767">
        <v>77.23</v>
      </c>
      <c r="P63" s="2767">
        <v>88.54</v>
      </c>
      <c r="Q63" s="2767">
        <v>17.190000000000001</v>
      </c>
      <c r="R63" s="2767">
        <v>100.95</v>
      </c>
    </row>
    <row r="64" spans="2:18" x14ac:dyDescent="0.25">
      <c r="J64" s="4286"/>
      <c r="K64" s="2764" t="s">
        <v>3340</v>
      </c>
      <c r="L64" s="2766">
        <v>96.72</v>
      </c>
      <c r="M64" s="2766">
        <v>51.69</v>
      </c>
      <c r="N64" s="2767">
        <v>64.52</v>
      </c>
      <c r="O64" s="2767">
        <v>77.23</v>
      </c>
      <c r="P64" s="2767">
        <v>88.54</v>
      </c>
      <c r="Q64" s="2767">
        <v>17.190000000000001</v>
      </c>
      <c r="R64" s="2767">
        <v>100.95</v>
      </c>
    </row>
    <row r="65" spans="10:18" x14ac:dyDescent="0.25">
      <c r="J65" s="4286"/>
      <c r="K65" s="2764" t="s">
        <v>3341</v>
      </c>
      <c r="L65" s="2766">
        <v>0.53</v>
      </c>
      <c r="M65" s="2766">
        <v>51.32</v>
      </c>
      <c r="N65" s="2767">
        <v>64.52</v>
      </c>
      <c r="O65" s="2767">
        <v>77.23</v>
      </c>
      <c r="P65" s="2767">
        <v>88.54</v>
      </c>
      <c r="Q65" s="2767">
        <v>17.190000000000001</v>
      </c>
      <c r="R65" s="2767">
        <v>100.95</v>
      </c>
    </row>
    <row r="66" spans="10:18" x14ac:dyDescent="0.25">
      <c r="J66" s="4286"/>
      <c r="K66" s="2764" t="s">
        <v>3342</v>
      </c>
      <c r="L66" s="2766">
        <v>219.81</v>
      </c>
      <c r="M66" s="2766">
        <v>49.75</v>
      </c>
      <c r="N66" s="2767">
        <v>64.52</v>
      </c>
      <c r="O66" s="2767">
        <v>77.23</v>
      </c>
      <c r="P66" s="2767">
        <v>88.54</v>
      </c>
      <c r="Q66" s="2767">
        <v>17.190000000000001</v>
      </c>
      <c r="R66" s="2767">
        <v>100.95</v>
      </c>
    </row>
    <row r="67" spans="10:18" x14ac:dyDescent="0.25">
      <c r="J67" s="4286"/>
      <c r="K67" s="2763" t="s">
        <v>3343</v>
      </c>
      <c r="L67" s="2766">
        <v>14.65</v>
      </c>
      <c r="M67" s="2766">
        <v>51.69</v>
      </c>
      <c r="N67" s="2767">
        <v>64.52</v>
      </c>
      <c r="O67" s="2767">
        <v>77.23</v>
      </c>
      <c r="P67" s="2767">
        <v>88.54</v>
      </c>
      <c r="Q67" s="2767">
        <v>17.190000000000001</v>
      </c>
      <c r="R67" s="2767">
        <v>100.95</v>
      </c>
    </row>
  </sheetData>
  <sheetProtection algorithmName="SHA-512" hashValue="Y+LPyTa49c/zn+KlY+M8JkF54Wqq3+FO/Awv4nLTJtRYibVORUA6um2EPVVvdtXoym8vwilW14vI2bW0Tbcyiw==" saltValue="uTab5eIfpjAiIr5f528uHw==" spinCount="100000" sheet="1" objects="1" scenarios="1"/>
  <mergeCells count="3">
    <mergeCell ref="C3:J3"/>
    <mergeCell ref="J28:J53"/>
    <mergeCell ref="J55:J67"/>
  </mergeCells>
  <pageMargins left="0.7" right="0.7" top="0.78740157499999996" bottom="0.78740157499999996" header="0.3" footer="0.3"/>
  <tableParts count="4">
    <tablePart r:id="rId1"/>
    <tablePart r:id="rId2"/>
    <tablePart r:id="rId3"/>
    <tablePart r:id="rId4"/>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0">
    <tabColor rgb="FF0070C0"/>
  </sheetPr>
  <dimension ref="A1:G11"/>
  <sheetViews>
    <sheetView workbookViewId="0">
      <selection activeCell="D14" sqref="D14"/>
    </sheetView>
  </sheetViews>
  <sheetFormatPr defaultColWidth="9" defaultRowHeight="13.8" x14ac:dyDescent="0.25"/>
  <cols>
    <col min="1" max="1" width="30.19921875" customWidth="1"/>
    <col min="2" max="8" width="20.19921875" customWidth="1"/>
  </cols>
  <sheetData>
    <row r="1" spans="1:7" ht="21" x14ac:dyDescent="0.4">
      <c r="A1" s="1859" t="s">
        <v>2591</v>
      </c>
    </row>
    <row r="4" spans="1:7" x14ac:dyDescent="0.25">
      <c r="A4" s="1861" t="s">
        <v>2596</v>
      </c>
      <c r="B4" s="1861" t="s">
        <v>2597</v>
      </c>
      <c r="C4" s="1861" t="s">
        <v>2615</v>
      </c>
      <c r="D4" s="1861" t="s">
        <v>3083</v>
      </c>
      <c r="E4" s="1861"/>
      <c r="F4" s="1861"/>
      <c r="G4" s="1861"/>
    </row>
    <row r="5" spans="1:7" ht="27.6" x14ac:dyDescent="0.25">
      <c r="A5" s="1860" t="s">
        <v>2592</v>
      </c>
      <c r="B5" s="1813" t="s">
        <v>375</v>
      </c>
      <c r="C5" s="1813" t="s">
        <v>375</v>
      </c>
      <c r="D5" s="1813" t="s">
        <v>375</v>
      </c>
      <c r="E5" s="1813"/>
      <c r="F5" s="1813"/>
      <c r="G5" s="1813"/>
    </row>
    <row r="6" spans="1:7" ht="27.6" x14ac:dyDescent="0.25">
      <c r="A6" s="1860" t="s">
        <v>2593</v>
      </c>
      <c r="B6" s="1813" t="s">
        <v>375</v>
      </c>
      <c r="C6" s="1813" t="s">
        <v>375</v>
      </c>
      <c r="D6" s="1813" t="s">
        <v>375</v>
      </c>
      <c r="E6" s="1813"/>
      <c r="F6" s="1813"/>
      <c r="G6" s="1813"/>
    </row>
    <row r="7" spans="1:7" ht="59.25" customHeight="1" x14ac:dyDescent="0.25">
      <c r="A7" s="1860" t="s">
        <v>2616</v>
      </c>
      <c r="B7" s="1813" t="s">
        <v>375</v>
      </c>
      <c r="C7" s="1813" t="s">
        <v>375</v>
      </c>
      <c r="D7" s="1813" t="s">
        <v>375</v>
      </c>
      <c r="E7" s="1813"/>
      <c r="F7" s="1813"/>
      <c r="G7" s="1813"/>
    </row>
    <row r="8" spans="1:7" x14ac:dyDescent="0.25">
      <c r="A8" s="1860" t="s">
        <v>2594</v>
      </c>
      <c r="B8" s="1813" t="s">
        <v>375</v>
      </c>
      <c r="C8" s="1813" t="s">
        <v>375</v>
      </c>
      <c r="D8" s="1813" t="s">
        <v>375</v>
      </c>
      <c r="E8" s="1813"/>
      <c r="F8" s="1813"/>
      <c r="G8" s="1813"/>
    </row>
    <row r="9" spans="1:7" ht="27.6" x14ac:dyDescent="0.25">
      <c r="A9" s="1860" t="s">
        <v>2595</v>
      </c>
      <c r="B9" s="1813" t="s">
        <v>375</v>
      </c>
      <c r="C9" s="1813" t="s">
        <v>375</v>
      </c>
      <c r="D9" s="1813" t="s">
        <v>375</v>
      </c>
      <c r="E9" s="1813"/>
      <c r="F9" s="1813"/>
      <c r="G9" s="1813"/>
    </row>
    <row r="10" spans="1:7" x14ac:dyDescent="0.25">
      <c r="A10" s="1860" t="s">
        <v>3042</v>
      </c>
      <c r="B10" s="1813" t="s">
        <v>375</v>
      </c>
      <c r="C10" s="1813" t="s">
        <v>375</v>
      </c>
      <c r="D10" s="1813" t="s">
        <v>375</v>
      </c>
      <c r="E10" s="1813"/>
      <c r="F10" s="1813"/>
      <c r="G10" s="1813"/>
    </row>
    <row r="11" spans="1:7" x14ac:dyDescent="0.25">
      <c r="A11" s="1860" t="s">
        <v>2804</v>
      </c>
      <c r="B11" s="1813"/>
      <c r="C11" s="1905"/>
      <c r="D11" s="1813"/>
      <c r="E11" s="1813"/>
      <c r="F11" s="1813"/>
      <c r="G11" s="1813"/>
    </row>
  </sheetData>
  <sheetProtection algorithmName="SHA-512" hashValue="amtYO2YENve3e6vEr3Hd2Sr+kncoOkefVjG462jWwfxh5c6BV+/CHhmZ7SisExJrpzH1sod/UdQVtRE/gc3KgA==" saltValue="Hprdy5DA+DiEL9Sqd4hR4A==" spinCount="100000" sheet="1" objects="1" scenarios="1"/>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rgb="FF0070C0"/>
  </sheetPr>
  <dimension ref="B4:D7"/>
  <sheetViews>
    <sheetView showGridLines="0" workbookViewId="0">
      <selection activeCell="D11" sqref="D11"/>
    </sheetView>
  </sheetViews>
  <sheetFormatPr defaultColWidth="8.69921875" defaultRowHeight="13.8" x14ac:dyDescent="0.25"/>
  <cols>
    <col min="2" max="2" width="40.69921875" customWidth="1"/>
    <col min="3" max="4" width="39.19921875" customWidth="1"/>
  </cols>
  <sheetData>
    <row r="4" spans="2:4" x14ac:dyDescent="0.25">
      <c r="B4" s="2307" t="s">
        <v>3071</v>
      </c>
      <c r="C4" s="2308" t="s">
        <v>2226</v>
      </c>
      <c r="D4" s="2308" t="s">
        <v>275</v>
      </c>
    </row>
    <row r="5" spans="2:4" ht="70.2" customHeight="1" x14ac:dyDescent="0.25">
      <c r="B5" s="1158" t="s">
        <v>2474</v>
      </c>
      <c r="C5" s="2309" t="s">
        <v>3072</v>
      </c>
      <c r="D5" s="2309" t="s">
        <v>3073</v>
      </c>
    </row>
    <row r="6" spans="2:4" ht="49.2" customHeight="1" x14ac:dyDescent="0.25">
      <c r="B6" s="1158" t="s">
        <v>3050</v>
      </c>
      <c r="C6" s="2309" t="s">
        <v>3074</v>
      </c>
      <c r="D6" s="2309"/>
    </row>
    <row r="7" spans="2:4" ht="49.2" customHeight="1" x14ac:dyDescent="0.25">
      <c r="B7" s="1158" t="s">
        <v>967</v>
      </c>
      <c r="C7" s="2309" t="s">
        <v>3075</v>
      </c>
      <c r="D7" s="2309"/>
    </row>
  </sheetData>
  <sheetProtection algorithmName="SHA-512" hashValue="mFVTs3yO4qh4fZ0a/m3PZHBgggz9fx7bZ2mV5urXrfMLapLIeVNluXE31l7+4hN+3eWV2mQci7EHw7M1hSO5VQ==" saltValue="sQKwkDpkzQaAhcBHjzmVjQ==" spinCount="100000" sheet="1" objects="1" scenarios="1"/>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12">
    <tabColor theme="5" tint="0.39997558519241921"/>
  </sheetPr>
  <dimension ref="A1:AO60"/>
  <sheetViews>
    <sheetView topLeftCell="M4" zoomScale="55" zoomScaleNormal="55" workbookViewId="0">
      <selection activeCell="AA16" sqref="AA16:AA19"/>
    </sheetView>
  </sheetViews>
  <sheetFormatPr defaultColWidth="25.69921875" defaultRowHeight="13.2" x14ac:dyDescent="0.25"/>
  <cols>
    <col min="1" max="1" width="25.296875" style="3" customWidth="1"/>
    <col min="2" max="6" width="24.69921875" style="4" customWidth="1"/>
    <col min="7" max="7" width="11.296875" style="3" customWidth="1"/>
    <col min="8" max="8" width="24.69921875" style="4" customWidth="1"/>
    <col min="9" max="9" width="24.69921875" style="3" customWidth="1"/>
    <col min="10" max="10" width="3.5" style="3" customWidth="1"/>
    <col min="11" max="14" width="14.69921875" style="4" customWidth="1"/>
    <col min="15" max="15" width="17.796875" style="4" customWidth="1"/>
    <col min="16" max="16" width="3.5" style="4" customWidth="1"/>
    <col min="17" max="20" width="14.69921875" style="4" customWidth="1"/>
    <col min="21" max="24" width="10.69921875" style="4" customWidth="1"/>
    <col min="25" max="25" width="49.19921875" style="4" customWidth="1"/>
    <col min="26" max="28" width="25.69921875" style="4"/>
    <col min="29" max="29" width="51.796875" style="4" customWidth="1"/>
    <col min="30" max="16384" width="25.69921875" style="4"/>
  </cols>
  <sheetData>
    <row r="1" spans="1:41" x14ac:dyDescent="0.25">
      <c r="A1" s="3" t="s">
        <v>129</v>
      </c>
      <c r="B1" s="4" t="b">
        <f>'General Information'!R68</f>
        <v>0</v>
      </c>
    </row>
    <row r="2" spans="1:41" x14ac:dyDescent="0.25">
      <c r="A2" s="3" t="s">
        <v>130</v>
      </c>
      <c r="B2" s="4" t="b">
        <f>'General Information'!S68</f>
        <v>0</v>
      </c>
    </row>
    <row r="3" spans="1:41" x14ac:dyDescent="0.25">
      <c r="A3" s="34" t="s">
        <v>278</v>
      </c>
      <c r="B3" s="4" t="b">
        <f>'General Information'!R69</f>
        <v>0</v>
      </c>
      <c r="N3" s="240" t="s">
        <v>892</v>
      </c>
    </row>
    <row r="4" spans="1:41" x14ac:dyDescent="0.25">
      <c r="A4" s="34" t="s">
        <v>276</v>
      </c>
      <c r="B4" s="4" t="b">
        <f>'General Information'!S69</f>
        <v>0</v>
      </c>
    </row>
    <row r="5" spans="1:41" ht="12.75" customHeight="1" x14ac:dyDescent="0.25">
      <c r="A5" s="34" t="s">
        <v>277</v>
      </c>
      <c r="B5" s="4" t="b">
        <f>'General Information'!T69</f>
        <v>0</v>
      </c>
      <c r="C5" s="4">
        <v>3</v>
      </c>
      <c r="D5" s="4">
        <v>4</v>
      </c>
      <c r="E5" s="4">
        <v>5</v>
      </c>
      <c r="F5" s="4">
        <v>6</v>
      </c>
      <c r="G5" s="3">
        <v>7</v>
      </c>
      <c r="H5" s="4">
        <v>8</v>
      </c>
      <c r="I5" s="3">
        <v>9</v>
      </c>
      <c r="J5" s="3">
        <v>10</v>
      </c>
      <c r="K5" s="5">
        <v>11</v>
      </c>
      <c r="L5" s="5">
        <v>12</v>
      </c>
      <c r="M5" s="5">
        <v>13</v>
      </c>
      <c r="N5" s="5">
        <v>14</v>
      </c>
      <c r="O5" s="5">
        <v>15</v>
      </c>
      <c r="P5" s="5">
        <v>16</v>
      </c>
      <c r="Q5" s="5">
        <v>17</v>
      </c>
      <c r="R5" s="5">
        <v>18</v>
      </c>
      <c r="S5" s="5">
        <v>19</v>
      </c>
      <c r="T5" s="5">
        <v>20</v>
      </c>
    </row>
    <row r="6" spans="1:41" ht="13.8" thickBot="1" x14ac:dyDescent="0.3">
      <c r="A6" s="34" t="s">
        <v>279</v>
      </c>
      <c r="B6" s="4" t="b">
        <f>'General Information'!U69</f>
        <v>0</v>
      </c>
      <c r="K6" s="5"/>
      <c r="L6" s="5"/>
      <c r="M6" s="5"/>
      <c r="N6" s="5"/>
      <c r="O6" s="5"/>
      <c r="P6" s="5"/>
      <c r="Q6" s="5"/>
      <c r="R6" s="5"/>
      <c r="S6" s="5"/>
      <c r="T6" s="5"/>
      <c r="AH6" s="396" t="s">
        <v>3400</v>
      </c>
      <c r="AI6" s="396"/>
      <c r="AJ6" s="396" t="s">
        <v>3400</v>
      </c>
      <c r="AK6" s="2890"/>
    </row>
    <row r="7" spans="1:41" ht="26.25" customHeight="1" x14ac:dyDescent="0.25">
      <c r="K7" s="4302" t="s">
        <v>893</v>
      </c>
      <c r="L7" s="4303"/>
      <c r="M7" s="4303"/>
      <c r="N7" s="4303"/>
      <c r="O7" s="4303"/>
      <c r="Q7" s="4297" t="s">
        <v>839</v>
      </c>
      <c r="R7" s="4298"/>
      <c r="S7" s="4298"/>
      <c r="T7" s="4298"/>
      <c r="U7" s="4299"/>
      <c r="Y7" s="2879" t="s">
        <v>1904</v>
      </c>
      <c r="Z7" s="2880" t="s">
        <v>1905</v>
      </c>
      <c r="AA7" s="2881" t="s">
        <v>1906</v>
      </c>
      <c r="AB7" s="2881" t="s">
        <v>1907</v>
      </c>
      <c r="AC7" s="2881" t="s">
        <v>1908</v>
      </c>
      <c r="AD7" s="2881" t="s">
        <v>1909</v>
      </c>
      <c r="AE7" s="2881"/>
      <c r="AF7" s="2881" t="s">
        <v>1910</v>
      </c>
      <c r="AG7" s="2882" t="s">
        <v>143</v>
      </c>
      <c r="AH7" s="2891" t="s">
        <v>3401</v>
      </c>
      <c r="AI7" s="2892"/>
      <c r="AJ7" s="2892" t="s">
        <v>3402</v>
      </c>
      <c r="AK7" s="2893" t="s">
        <v>3403</v>
      </c>
      <c r="AL7" s="989"/>
      <c r="AN7" s="939" t="s">
        <v>1948</v>
      </c>
      <c r="AO7" s="1" t="s">
        <v>211</v>
      </c>
    </row>
    <row r="8" spans="1:41" ht="44.25" customHeight="1" x14ac:dyDescent="0.25">
      <c r="A8" s="198" t="s">
        <v>830</v>
      </c>
      <c r="B8" s="199" t="b">
        <f>IF(AND(C8=FALSE,D8=FALSE,E8=FALSE,F8=FALSE),TRUE,FALSE)</f>
        <v>1</v>
      </c>
      <c r="C8" s="199" t="b">
        <f>AND(B1=TRUE,B2=FALSE,OR(B3=TRUE,B5=TRUE))</f>
        <v>0</v>
      </c>
      <c r="D8" s="199" t="b">
        <f>AND(B1=FALSE,B2=TRUE,OR(B3=TRUE,B5=TRUE))</f>
        <v>0</v>
      </c>
      <c r="E8" s="199" t="b">
        <f>AND(B1=TRUE,B2=TRUE,OR(B3=TRUE,B5=TRUE))</f>
        <v>0</v>
      </c>
      <c r="F8" s="199" t="b">
        <f>B6</f>
        <v>0</v>
      </c>
      <c r="G8" s="4293" t="s">
        <v>886</v>
      </c>
      <c r="H8" s="4293" t="s">
        <v>832</v>
      </c>
      <c r="I8" s="4300" t="s">
        <v>831</v>
      </c>
      <c r="K8" s="4307" t="s">
        <v>891</v>
      </c>
      <c r="L8" s="4308"/>
      <c r="M8" s="4309" t="s">
        <v>894</v>
      </c>
      <c r="N8" s="4309" t="s">
        <v>838</v>
      </c>
      <c r="O8" s="236" t="s">
        <v>895</v>
      </c>
      <c r="Q8" s="4311" t="s">
        <v>889</v>
      </c>
      <c r="R8" s="4304" t="s">
        <v>890</v>
      </c>
      <c r="S8" s="4306" t="s">
        <v>216</v>
      </c>
      <c r="T8" s="4306" t="s">
        <v>217</v>
      </c>
      <c r="U8" s="4295" t="s">
        <v>896</v>
      </c>
      <c r="Y8" s="2883" t="s">
        <v>111</v>
      </c>
      <c r="Z8" s="1180" t="s">
        <v>1911</v>
      </c>
      <c r="AA8" s="923" t="s">
        <v>1912</v>
      </c>
      <c r="AB8" s="923"/>
      <c r="AC8" s="923" t="str">
        <f>Y8&amp;AA8</f>
        <v>System 1 - PTACAll capacities</v>
      </c>
      <c r="AD8" s="957" t="str">
        <f>IF(SI_IP_Units="IP","12.5-(0.213*CAP/1000)","3.66-(0.213*CAP)")</f>
        <v>12.5-(0.213*CAP/1000)</v>
      </c>
      <c r="AE8" s="929" t="str">
        <f>IF(SI_IP_Units="IP","EER","COP")</f>
        <v>EER</v>
      </c>
      <c r="AF8" s="959" t="s">
        <v>669</v>
      </c>
      <c r="AG8" s="2884" t="s">
        <v>669</v>
      </c>
      <c r="AH8" s="2894" t="str">
        <f>IF(SI_IP_Units="IP","14.0-(0.4*CAP/1000)","4.10-(0.3*CAP)")</f>
        <v>14.0-(0.4*CAP/1000)</v>
      </c>
      <c r="AI8" s="2895" t="str">
        <f>IF(SI_IP_Units="IP","EER","COP")</f>
        <v>EER</v>
      </c>
      <c r="AJ8" s="2896" t="s">
        <v>669</v>
      </c>
      <c r="AK8" s="2897" t="s">
        <v>669</v>
      </c>
      <c r="AL8" s="2912"/>
      <c r="AN8" s="1" t="s">
        <v>212</v>
      </c>
      <c r="AO8" s="1" t="s">
        <v>212</v>
      </c>
    </row>
    <row r="9" spans="1:41" s="3" customFormat="1" ht="87" customHeight="1" x14ac:dyDescent="0.25">
      <c r="A9" s="198" t="s">
        <v>837</v>
      </c>
      <c r="B9" s="200" t="s">
        <v>833</v>
      </c>
      <c r="C9" s="200" t="s">
        <v>834</v>
      </c>
      <c r="D9" s="200" t="s">
        <v>835</v>
      </c>
      <c r="E9" s="200" t="s">
        <v>836</v>
      </c>
      <c r="F9" s="201" t="s">
        <v>280</v>
      </c>
      <c r="G9" s="4294"/>
      <c r="H9" s="4294"/>
      <c r="I9" s="4301"/>
      <c r="K9" s="213" t="s">
        <v>887</v>
      </c>
      <c r="L9" s="202" t="s">
        <v>888</v>
      </c>
      <c r="M9" s="4310"/>
      <c r="N9" s="4310"/>
      <c r="O9" s="213" t="s">
        <v>707</v>
      </c>
      <c r="Q9" s="4312"/>
      <c r="R9" s="4305"/>
      <c r="S9" s="4296"/>
      <c r="T9" s="4296"/>
      <c r="U9" s="4296"/>
      <c r="Y9" s="2885" t="s">
        <v>112</v>
      </c>
      <c r="Z9" s="919" t="s">
        <v>1914</v>
      </c>
      <c r="AA9" s="920" t="s">
        <v>1912</v>
      </c>
      <c r="AB9" s="920"/>
      <c r="AC9" s="920" t="str">
        <f t="shared" ref="AC9:AC29" si="0">Y9&amp;AA9</f>
        <v>System 2 - PTHPAll capacities</v>
      </c>
      <c r="AD9" s="956" t="str">
        <f>IF(SI_IP_Units="IP","12.3-(0.213*CAP/1000)","3.60-(0.213*CAP)")</f>
        <v>12.3-(0.213*CAP/1000)</v>
      </c>
      <c r="AE9" s="927" t="str">
        <f>IF(SI_IP_Units="IP","EER","COP")</f>
        <v>EER</v>
      </c>
      <c r="AF9" s="960" t="s">
        <v>669</v>
      </c>
      <c r="AG9" s="2886" t="s">
        <v>669</v>
      </c>
      <c r="AH9" s="2898" t="str">
        <f>IF(SI_IP_Units="IP","14.0-(0.3*CAP/1000)","4.1-(0.3*CAP)")</f>
        <v>14.0-(0.3*CAP/1000)</v>
      </c>
      <c r="AI9" s="2899" t="str">
        <f>IF(SI_IP_Units="IP","EER","COP")</f>
        <v>EER</v>
      </c>
      <c r="AJ9" s="2900" t="s">
        <v>669</v>
      </c>
      <c r="AK9" s="2901" t="s">
        <v>669</v>
      </c>
      <c r="AL9" s="1896"/>
      <c r="AN9" s="1" t="s">
        <v>207</v>
      </c>
      <c r="AO9" s="1" t="s">
        <v>208</v>
      </c>
    </row>
    <row r="10" spans="1:41" s="173" customFormat="1" ht="33" customHeight="1" x14ac:dyDescent="0.25">
      <c r="A10" s="203" t="str">
        <f>IF($C$8=TRUE,C10,IF($D$8=TRUE,D10,IF($E$8=TRUE,E10,IF($F$8=TRUE,F10,B10))))</f>
        <v>System 1 - PTAC</v>
      </c>
      <c r="B10" s="203" t="s">
        <v>111</v>
      </c>
      <c r="C10" s="203" t="s">
        <v>847</v>
      </c>
      <c r="D10" s="203" t="s">
        <v>136</v>
      </c>
      <c r="E10" s="203" t="s">
        <v>849</v>
      </c>
      <c r="F10" s="203" t="s">
        <v>128</v>
      </c>
      <c r="G10" s="238">
        <v>1</v>
      </c>
      <c r="H10" s="204" t="str">
        <f t="array" aca="1" ref="H10" ca="1">IFERROR(INDEX($A$10:$A$19,SMALL((IF(LEN($A$10:$A$19),ROW(INDIRECT("1:"&amp;ROWS($A$10:$A$19))))),ROW(A1)),1),"")</f>
        <v>System 1 - PTAC</v>
      </c>
      <c r="I10" s="205" t="str">
        <f t="array" aca="1" ref="I10" ca="1">IFERROR(INDEX($A$10:$A$32,SMALL((IF(LEN($A$10:$A$32),ROW(INDIRECT("1:"&amp;ROWS($A$10:$A$32))))),ROW(A1)),1),"")</f>
        <v>System 1 - PTAC</v>
      </c>
      <c r="J10" s="167">
        <v>1</v>
      </c>
      <c r="K10" s="182">
        <v>2.9999999999999997E-4</v>
      </c>
      <c r="L10" s="172">
        <v>6.4000000000000005E-4</v>
      </c>
      <c r="M10" s="214">
        <v>0</v>
      </c>
      <c r="N10" s="217">
        <v>0</v>
      </c>
      <c r="O10" s="182">
        <v>0</v>
      </c>
      <c r="Q10" s="224">
        <v>0</v>
      </c>
      <c r="R10" s="225">
        <v>0</v>
      </c>
      <c r="S10" s="1103"/>
      <c r="T10" s="223">
        <f>S11</f>
        <v>0.82499999999999996</v>
      </c>
      <c r="U10" s="241">
        <f t="shared" ref="U10:U19" si="1">IF(SI_IP_Units="SI",1/T10,0.746/T10)</f>
        <v>0.90424242424242429</v>
      </c>
      <c r="Y10" s="2883" t="s">
        <v>112</v>
      </c>
      <c r="Z10" s="921" t="s">
        <v>1915</v>
      </c>
      <c r="AA10" s="922" t="s">
        <v>1912</v>
      </c>
      <c r="AB10" s="923"/>
      <c r="AC10" s="923" t="str">
        <f t="shared" si="0"/>
        <v>System 2 - PTHPAll capacities</v>
      </c>
      <c r="AD10" s="957" t="str">
        <f>AD9</f>
        <v>12.3-(0.213*CAP/1000)</v>
      </c>
      <c r="AE10" s="929" t="s">
        <v>645</v>
      </c>
      <c r="AF10" s="959" t="s">
        <v>669</v>
      </c>
      <c r="AG10" s="2887" t="s">
        <v>669</v>
      </c>
      <c r="AH10" s="2894"/>
      <c r="AI10" s="2895"/>
      <c r="AJ10" s="2896" t="s">
        <v>669</v>
      </c>
      <c r="AK10" s="2902" t="s">
        <v>669</v>
      </c>
      <c r="AL10" s="1896"/>
      <c r="AN10" s="1" t="s">
        <v>209</v>
      </c>
      <c r="AO10" s="1" t="s">
        <v>210</v>
      </c>
    </row>
    <row r="11" spans="1:41" s="173" customFormat="1" ht="33" customHeight="1" x14ac:dyDescent="0.25">
      <c r="A11" s="206" t="str">
        <f t="shared" ref="A11:A19" si="2">IF($C$8=TRUE,C11,IF($D$8=TRUE,D11,IF($E$8=TRUE,E11,IF($F$8=TRUE,F11,B11))))</f>
        <v>System 2 - PTHP</v>
      </c>
      <c r="B11" s="206" t="s">
        <v>112</v>
      </c>
      <c r="C11" s="206" t="s">
        <v>848</v>
      </c>
      <c r="D11" s="207" t="str">
        <f>""</f>
        <v/>
      </c>
      <c r="E11" s="207" t="str">
        <f>""</f>
        <v/>
      </c>
      <c r="F11" s="207" t="str">
        <f>""</f>
        <v/>
      </c>
      <c r="G11" s="239">
        <v>2</v>
      </c>
      <c r="H11" s="208" t="str">
        <f t="array" aca="1" ref="H11" ca="1">IFERROR(INDEX($A$10:$A$19,SMALL((IF(LEN($A$10:$A$19),ROW(INDIRECT("1:"&amp;ROWS($A$10:$A$19))))),ROW(A2)),1),"")</f>
        <v>System 2 - PTHP</v>
      </c>
      <c r="I11" s="209" t="str">
        <f t="array" aca="1" ref="I11" ca="1">IFERROR(INDEX($A$10:$A$32,SMALL((IF(LEN($A$10:$A$32),ROW(INDIRECT("1:"&amp;ROWS($A$10:$A$32))))),ROW(A2)),1),"")</f>
        <v>System 2 - PTHP</v>
      </c>
      <c r="J11" s="167">
        <v>2</v>
      </c>
      <c r="K11" s="174">
        <v>2.9999999999999997E-4</v>
      </c>
      <c r="L11" s="175">
        <f>L10/K10*K11</f>
        <v>6.4000000000000005E-4</v>
      </c>
      <c r="M11" s="215">
        <v>0</v>
      </c>
      <c r="N11" s="218">
        <v>0</v>
      </c>
      <c r="O11" s="174">
        <v>0</v>
      </c>
      <c r="Q11" s="210">
        <v>1</v>
      </c>
      <c r="R11" s="220">
        <v>0.8</v>
      </c>
      <c r="S11" s="1116">
        <v>0.82499999999999996</v>
      </c>
      <c r="T11" s="223">
        <f t="shared" ref="T11:T29" si="3">S12</f>
        <v>0.84</v>
      </c>
      <c r="U11" s="241">
        <f t="shared" si="1"/>
        <v>0.88809523809523816</v>
      </c>
      <c r="Y11" s="2885" t="s">
        <v>113</v>
      </c>
      <c r="Z11" s="919" t="s">
        <v>1916</v>
      </c>
      <c r="AA11" s="920" t="str">
        <f>IF(SI_IP_Units="IP","&lt;65,000 Btu/h","&lt;19 kW")</f>
        <v>&lt;65,000 Btu/h</v>
      </c>
      <c r="AB11" s="920" t="s">
        <v>569</v>
      </c>
      <c r="AC11" s="920" t="str">
        <f t="shared" si="0"/>
        <v>System 3 - PSZ-AC&lt;65,000 Btu/h</v>
      </c>
      <c r="AD11" s="927">
        <f>IF(SI_IP_Units="IP",9.7,2.84)</f>
        <v>9.6999999999999993</v>
      </c>
      <c r="AE11" s="928" t="str">
        <f>IF(SI_IP_Units="IP","SEER","SCOP")</f>
        <v>SEER</v>
      </c>
      <c r="AF11" s="927">
        <f>IF(SI_IP_Units="IP",9.7,2.84)</f>
        <v>9.6999999999999993</v>
      </c>
      <c r="AG11" s="2886" t="str">
        <f>IF(SI_IP_Units="IP","SEER","SCOP")</f>
        <v>SEER</v>
      </c>
      <c r="AH11" s="2903">
        <f>IF(SI_IP_Units="IP",13,3.81)</f>
        <v>13</v>
      </c>
      <c r="AI11" s="2904" t="str">
        <f>IF(SI_IP_Units="IP","SEER","SCOP")</f>
        <v>SEER</v>
      </c>
      <c r="AJ11" s="2899">
        <f>IF(SI_IP_Units="IP",13,3.81)</f>
        <v>13</v>
      </c>
      <c r="AK11" s="2901" t="str">
        <f>IF(SI_IP_Units="IP","SEER","SCOP")</f>
        <v>SEER</v>
      </c>
      <c r="AL11" s="1896"/>
    </row>
    <row r="12" spans="1:41" s="173" customFormat="1" ht="33" customHeight="1" x14ac:dyDescent="0.25">
      <c r="A12" s="206" t="str">
        <f t="shared" si="2"/>
        <v>System 3 - PSZ-AC</v>
      </c>
      <c r="B12" s="206" t="s">
        <v>113</v>
      </c>
      <c r="C12" s="206" t="s">
        <v>131</v>
      </c>
      <c r="D12" s="206" t="s">
        <v>137</v>
      </c>
      <c r="E12" s="206" t="s">
        <v>141</v>
      </c>
      <c r="F12" s="207" t="str">
        <f>""</f>
        <v/>
      </c>
      <c r="G12" s="239">
        <v>3</v>
      </c>
      <c r="H12" s="208" t="str">
        <f t="array" aca="1" ref="H12" ca="1">IFERROR(INDEX($A$10:$A$19,SMALL((IF(LEN($A$10:$A$19),ROW(INDIRECT("1:"&amp;ROWS($A$10:$A$19))))),ROW(A3)),1),"")</f>
        <v>System 3 - PSZ-AC</v>
      </c>
      <c r="I12" s="209" t="str">
        <f t="array" aca="1" ref="I12" ca="1">IFERROR(INDEX($A$10:$A$32,SMALL((IF(LEN($A$10:$A$32),ROW(INDIRECT("1:"&amp;ROWS($A$10:$A$32))))),ROW(A3)),1),"")</f>
        <v>System 3 - PSZ-AC</v>
      </c>
      <c r="J12" s="167">
        <v>3</v>
      </c>
      <c r="K12" s="174">
        <v>9.3999999999999997E-4</v>
      </c>
      <c r="L12" s="175">
        <v>1.5E-3</v>
      </c>
      <c r="M12" s="215">
        <v>1</v>
      </c>
      <c r="N12" s="218">
        <v>1</v>
      </c>
      <c r="O12" s="174">
        <v>0</v>
      </c>
      <c r="Q12" s="210">
        <v>1.5</v>
      </c>
      <c r="R12" s="220">
        <v>1.1000000000000001</v>
      </c>
      <c r="S12" s="1116">
        <v>0.84</v>
      </c>
      <c r="T12" s="223">
        <f t="shared" si="3"/>
        <v>0.84</v>
      </c>
      <c r="U12" s="241">
        <f t="shared" si="1"/>
        <v>0.88809523809523816</v>
      </c>
      <c r="Y12" s="2885" t="s">
        <v>113</v>
      </c>
      <c r="Z12" s="918"/>
      <c r="AA12" s="924" t="str">
        <f>IF(SI_IP_Units="IP","≥65,000 Btu/h and
&lt;135,000 Btu/h","≥19 kW and &lt; 40 kW")</f>
        <v>≥65,000 Btu/h and
&lt;135,000 Btu/h</v>
      </c>
      <c r="AB12" s="920" t="s">
        <v>1920</v>
      </c>
      <c r="AC12" s="920" t="str">
        <f t="shared" si="0"/>
        <v>System 3 - PSZ-AC≥65,000 Btu/h and
&lt;135,000 Btu/h</v>
      </c>
      <c r="AD12" s="927">
        <f>IF(SI_IP_Units="IP",10.1,2.96)</f>
        <v>10.1</v>
      </c>
      <c r="AE12" s="928" t="str">
        <f>IF(SI_IP_Units="IP","EER","COP")</f>
        <v>EER</v>
      </c>
      <c r="AF12" s="925" t="s">
        <v>669</v>
      </c>
      <c r="AG12" s="2886"/>
      <c r="AH12" s="2903">
        <f>IF(SI_IP_Units="IP",11,3.22)</f>
        <v>11</v>
      </c>
      <c r="AI12" s="2904" t="str">
        <f>IF(SI_IP_Units="IP","EER","COP")</f>
        <v>EER</v>
      </c>
      <c r="AJ12" s="2899">
        <f>IF(SI_IP_Units="IP",12.7,3.76)</f>
        <v>12.7</v>
      </c>
      <c r="AK12" s="2901" t="str">
        <f>IF(SI_IP_Units="IP","IEER","ICOP")</f>
        <v>IEER</v>
      </c>
      <c r="AL12" s="1896"/>
    </row>
    <row r="13" spans="1:41" s="173" customFormat="1" ht="33" customHeight="1" x14ac:dyDescent="0.25">
      <c r="A13" s="206" t="str">
        <f t="shared" si="2"/>
        <v>System 4 - PSZ-HP</v>
      </c>
      <c r="B13" s="206" t="s">
        <v>114</v>
      </c>
      <c r="C13" s="206" t="s">
        <v>132</v>
      </c>
      <c r="D13" s="207" t="str">
        <f>""</f>
        <v/>
      </c>
      <c r="E13" s="207" t="str">
        <f>""</f>
        <v/>
      </c>
      <c r="F13" s="207" t="str">
        <f>""</f>
        <v/>
      </c>
      <c r="G13" s="239">
        <v>4</v>
      </c>
      <c r="H13" s="208" t="str">
        <f t="array" aca="1" ref="H13" ca="1">IFERROR(INDEX($A$10:$A$19,SMALL((IF(LEN($A$10:$A$19),ROW(INDIRECT("1:"&amp;ROWS($A$10:$A$19))))),ROW(A4)),1),"")</f>
        <v>System 4 - PSZ-HP</v>
      </c>
      <c r="I13" s="209" t="str">
        <f t="array" aca="1" ref="I13" ca="1">IFERROR(INDEX($A$10:$A$32,SMALL((IF(LEN($A$10:$A$32),ROW(INDIRECT("1:"&amp;ROWS($A$10:$A$32))))),ROW(A4)),1),"")</f>
        <v>System 4 - PSZ-HP</v>
      </c>
      <c r="J13" s="167">
        <v>4</v>
      </c>
      <c r="K13" s="174">
        <v>9.3999999999999997E-4</v>
      </c>
      <c r="L13" s="175">
        <v>1.5E-3</v>
      </c>
      <c r="M13" s="215">
        <v>1</v>
      </c>
      <c r="N13" s="218">
        <v>1</v>
      </c>
      <c r="O13" s="174">
        <v>0</v>
      </c>
      <c r="Q13" s="210">
        <v>2</v>
      </c>
      <c r="R13" s="220">
        <v>1.5</v>
      </c>
      <c r="S13" s="1116">
        <v>0.84</v>
      </c>
      <c r="T13" s="223">
        <f t="shared" si="3"/>
        <v>0.875</v>
      </c>
      <c r="U13" s="241">
        <f t="shared" si="1"/>
        <v>0.85257142857142854</v>
      </c>
      <c r="Y13" s="2885" t="s">
        <v>113</v>
      </c>
      <c r="Z13" s="918"/>
      <c r="AA13" s="924" t="str">
        <f>IF(SI_IP_Units="IP","≥135,000 Btu/h and
&lt;240,000 Btu/h","≥40 kW and &lt; 70 kW")</f>
        <v>≥135,000 Btu/h and
&lt;240,000 Btu/h</v>
      </c>
      <c r="AB13" s="920" t="s">
        <v>1920</v>
      </c>
      <c r="AC13" s="920" t="str">
        <f t="shared" si="0"/>
        <v>System 3 - PSZ-AC≥135,000 Btu/h and
&lt;240,000 Btu/h</v>
      </c>
      <c r="AD13" s="927">
        <f>IF(SI_IP_Units="IP",9.5,2.78)</f>
        <v>9.5</v>
      </c>
      <c r="AE13" s="928" t="str">
        <f>IF(SI_IP_Units="IP","EER","COP")</f>
        <v>EER</v>
      </c>
      <c r="AF13" s="925" t="s">
        <v>669</v>
      </c>
      <c r="AG13" s="2886"/>
      <c r="AH13" s="2903">
        <f>IF(SI_IP_Units="IP",10.8,3.16)</f>
        <v>10.8</v>
      </c>
      <c r="AI13" s="2904" t="str">
        <f>IF(SI_IP_Units="IP","EER","COP")</f>
        <v>EER</v>
      </c>
      <c r="AJ13" s="2899">
        <f>IF(SI_IP_Units="IP",12.2,3.72)</f>
        <v>12.2</v>
      </c>
      <c r="AK13" s="2901" t="str">
        <f>IF(SI_IP_Units="IP","IEER","ICOP")</f>
        <v>IEER</v>
      </c>
      <c r="AL13" s="1896"/>
    </row>
    <row r="14" spans="1:41" s="173" customFormat="1" ht="33" customHeight="1" x14ac:dyDescent="0.25">
      <c r="A14" s="206" t="str">
        <f t="shared" si="2"/>
        <v>System 5 - Packaged VAV with Reheat</v>
      </c>
      <c r="B14" s="206" t="s">
        <v>115</v>
      </c>
      <c r="C14" s="206" t="s">
        <v>133</v>
      </c>
      <c r="D14" s="206" t="s">
        <v>138</v>
      </c>
      <c r="E14" s="206" t="s">
        <v>142</v>
      </c>
      <c r="F14" s="207" t="str">
        <f>""</f>
        <v/>
      </c>
      <c r="G14" s="239">
        <v>5</v>
      </c>
      <c r="H14" s="208" t="str">
        <f t="array" aca="1" ref="H14" ca="1">IFERROR(INDEX($A$10:$A$19,SMALL((IF(LEN($A$10:$A$19),ROW(INDIRECT("1:"&amp;ROWS($A$10:$A$19))))),ROW(A5)),1),"")</f>
        <v>System 5 - Packaged VAV with Reheat</v>
      </c>
      <c r="I14" s="209" t="str">
        <f t="array" aca="1" ref="I14" ca="1">IFERROR(INDEX($A$10:$A$32,SMALL((IF(LEN($A$10:$A$32),ROW(INDIRECT("1:"&amp;ROWS($A$10:$A$32))))),ROW(A5)),1),"")</f>
        <v>System 5 - Packaged VAV with Reheat</v>
      </c>
      <c r="J14" s="167">
        <v>5</v>
      </c>
      <c r="K14" s="174">
        <v>1.2999999999999999E-3</v>
      </c>
      <c r="L14" s="175">
        <v>2.0999999999999999E-3</v>
      </c>
      <c r="M14" s="215">
        <v>1</v>
      </c>
      <c r="N14" s="218">
        <v>1</v>
      </c>
      <c r="O14" s="174">
        <v>0</v>
      </c>
      <c r="Q14" s="210">
        <v>3</v>
      </c>
      <c r="R14" s="220">
        <v>2.2000000000000002</v>
      </c>
      <c r="S14" s="1116">
        <v>0.875</v>
      </c>
      <c r="T14" s="223">
        <f t="shared" si="3"/>
        <v>0.875</v>
      </c>
      <c r="U14" s="241">
        <f t="shared" si="1"/>
        <v>0.85257142857142854</v>
      </c>
      <c r="Y14" s="2885" t="s">
        <v>113</v>
      </c>
      <c r="Z14" s="918"/>
      <c r="AA14" s="924" t="str">
        <f>IF(SI_IP_Units="IP","≥240,000 Btu/h and
&lt;760,000 Btu/h","≥70 kW and &lt; 223 kW")</f>
        <v>≥240,000 Btu/h and
&lt;760,000 Btu/h</v>
      </c>
      <c r="AB14" s="920" t="s">
        <v>1920</v>
      </c>
      <c r="AC14" s="920" t="str">
        <f t="shared" si="0"/>
        <v>System 3 - PSZ-AC≥240,000 Btu/h and
&lt;760,000 Btu/h</v>
      </c>
      <c r="AD14" s="927">
        <f>IF(SI_IP_Units="IP",9.3,2.73)</f>
        <v>9.3000000000000007</v>
      </c>
      <c r="AE14" s="928" t="str">
        <f>IF(SI_IP_Units="IP","EER","COP")</f>
        <v>EER</v>
      </c>
      <c r="AF14" s="927">
        <f>IF(SI_IP_Units="IP",9.4,2.76)</f>
        <v>9.4</v>
      </c>
      <c r="AG14" s="2886" t="str">
        <f>IF(SI_IP_Units="IP","IEER","ICOP")</f>
        <v>IEER</v>
      </c>
      <c r="AH14" s="2903">
        <f>IF(SI_IP_Units="IP",9.8,2.87)</f>
        <v>9.8000000000000007</v>
      </c>
      <c r="AI14" s="2904" t="str">
        <f>IF(SI_IP_Units="IP","EER","COP")</f>
        <v>EER</v>
      </c>
      <c r="AJ14" s="2899">
        <f>IF(SI_IP_Units="IP",11.4,3.34)</f>
        <v>11.4</v>
      </c>
      <c r="AK14" s="2901" t="str">
        <f>IF(SI_IP_Units="IP","IEER","ICOP")</f>
        <v>IEER</v>
      </c>
      <c r="AL14" s="1896"/>
    </row>
    <row r="15" spans="1:41" s="173" customFormat="1" ht="33" customHeight="1" x14ac:dyDescent="0.25">
      <c r="A15" s="206" t="str">
        <f t="shared" si="2"/>
        <v>System 6 - Packaged VAV with PFP Boxes</v>
      </c>
      <c r="B15" s="206" t="s">
        <v>116</v>
      </c>
      <c r="C15" s="206" t="s">
        <v>134</v>
      </c>
      <c r="D15" s="207" t="str">
        <f>""</f>
        <v/>
      </c>
      <c r="E15" s="207" t="str">
        <f>""</f>
        <v/>
      </c>
      <c r="F15" s="207" t="str">
        <f>""</f>
        <v/>
      </c>
      <c r="G15" s="239">
        <v>6</v>
      </c>
      <c r="H15" s="208" t="str">
        <f t="array" aca="1" ref="H15" ca="1">IFERROR(INDEX($A$10:$A$19,SMALL((IF(LEN($A$10:$A$19),ROW(INDIRECT("1:"&amp;ROWS($A$10:$A$19))))),ROW(A6)),1),"")</f>
        <v>System 6 - Packaged VAV with PFP Boxes</v>
      </c>
      <c r="I15" s="209" t="str">
        <f t="array" aca="1" ref="I15" ca="1">IFERROR(INDEX($A$10:$A$32,SMALL((IF(LEN($A$10:$A$32),ROW(INDIRECT("1:"&amp;ROWS($A$10:$A$32))))),ROW(A6)),1),"")</f>
        <v>System 6 - Packaged VAV with PFP Boxes</v>
      </c>
      <c r="J15" s="167">
        <v>6</v>
      </c>
      <c r="K15" s="174">
        <v>1.2999999999999999E-3</v>
      </c>
      <c r="L15" s="175">
        <v>2.0999999999999999E-3</v>
      </c>
      <c r="M15" s="215">
        <v>1</v>
      </c>
      <c r="N15" s="218">
        <v>1</v>
      </c>
      <c r="O15" s="174">
        <v>0</v>
      </c>
      <c r="Q15" s="210">
        <v>5</v>
      </c>
      <c r="R15" s="220">
        <v>3.7</v>
      </c>
      <c r="S15" s="1116">
        <v>0.875</v>
      </c>
      <c r="T15" s="223">
        <f t="shared" si="3"/>
        <v>0.89500000000000002</v>
      </c>
      <c r="U15" s="241">
        <f t="shared" si="1"/>
        <v>0.83351955307262571</v>
      </c>
      <c r="Y15" s="2883" t="s">
        <v>113</v>
      </c>
      <c r="Z15" s="921"/>
      <c r="AA15" s="922" t="str">
        <f>IF(SI_IP_Units="IP","≥760,000 Btu/h","≥223 kW")</f>
        <v>≥760,000 Btu/h</v>
      </c>
      <c r="AB15" s="923" t="s">
        <v>1920</v>
      </c>
      <c r="AC15" s="923" t="str">
        <f t="shared" si="0"/>
        <v>System 3 - PSZ-AC≥760,000 Btu/h</v>
      </c>
      <c r="AD15" s="929">
        <f>IF(SI_IP_Units="IP",9,2.64)</f>
        <v>9</v>
      </c>
      <c r="AE15" s="930" t="str">
        <f>IF(SI_IP_Units="IP","EER","COP")</f>
        <v>EER</v>
      </c>
      <c r="AF15" s="929">
        <f>IF(SI_IP_Units="IP",9.1,2.67)</f>
        <v>9.1</v>
      </c>
      <c r="AG15" s="2887" t="str">
        <f>IF(SI_IP_Units="IP","IEER","ICOP")</f>
        <v>IEER</v>
      </c>
      <c r="AH15" s="2905">
        <f>IF(SI_IP_Units="IP",9.5,2.78)</f>
        <v>9.5</v>
      </c>
      <c r="AI15" s="2906" t="str">
        <f>IF(SI_IP_Units="IP","EER","COP")</f>
        <v>EER</v>
      </c>
      <c r="AJ15" s="2895">
        <f>IF(SI_IP_Units="IP",11,3.22)</f>
        <v>11</v>
      </c>
      <c r="AK15" s="2902" t="str">
        <f>IF(SI_IP_Units="IP","IEER","ICOP")</f>
        <v>IEER</v>
      </c>
      <c r="AL15" s="1896"/>
    </row>
    <row r="16" spans="1:41" s="173" customFormat="1" ht="33" customHeight="1" x14ac:dyDescent="0.25">
      <c r="A16" s="206" t="str">
        <f t="shared" si="2"/>
        <v>System 7 - VAV with Reheat</v>
      </c>
      <c r="B16" s="206" t="s">
        <v>117</v>
      </c>
      <c r="C16" s="206" t="s">
        <v>135</v>
      </c>
      <c r="D16" s="206" t="s">
        <v>139</v>
      </c>
      <c r="E16" s="206" t="s">
        <v>846</v>
      </c>
      <c r="F16" s="207" t="str">
        <f>""</f>
        <v/>
      </c>
      <c r="G16" s="239">
        <v>7</v>
      </c>
      <c r="H16" s="208" t="str">
        <f t="array" aca="1" ref="H16" ca="1">IFERROR(INDEX($A$10:$A$19,SMALL((IF(LEN($A$10:$A$19),ROW(INDIRECT("1:"&amp;ROWS($A$10:$A$19))))),ROW(A7)),1),"")</f>
        <v>System 7 - VAV with Reheat</v>
      </c>
      <c r="I16" s="209" t="str">
        <f t="array" aca="1" ref="I16" ca="1">IFERROR(INDEX($A$10:$A$32,SMALL((IF(LEN($A$10:$A$32),ROW(INDIRECT("1:"&amp;ROWS($A$10:$A$32))))),ROW(A7)),1),"")</f>
        <v>System 7 - VAV with Reheat</v>
      </c>
      <c r="J16" s="167">
        <v>7</v>
      </c>
      <c r="K16" s="174">
        <v>1.2999999999999999E-3</v>
      </c>
      <c r="L16" s="175">
        <v>2.0999999999999999E-3</v>
      </c>
      <c r="M16" s="215">
        <v>1</v>
      </c>
      <c r="N16" s="218">
        <v>1</v>
      </c>
      <c r="O16" s="174">
        <v>0</v>
      </c>
      <c r="Q16" s="210">
        <v>7.5</v>
      </c>
      <c r="R16" s="220">
        <v>5.6</v>
      </c>
      <c r="S16" s="1116">
        <v>0.89500000000000002</v>
      </c>
      <c r="T16" s="223">
        <f t="shared" si="3"/>
        <v>0.89500000000000002</v>
      </c>
      <c r="U16" s="241">
        <f t="shared" si="1"/>
        <v>0.83351955307262571</v>
      </c>
      <c r="Y16" s="2888" t="s">
        <v>114</v>
      </c>
      <c r="Z16" s="919" t="s">
        <v>1925</v>
      </c>
      <c r="AA16" s="920" t="str">
        <f>IF(SI_IP_Units="IP","&lt;65,000 Btu/h","&lt;19 kW")</f>
        <v>&lt;65,000 Btu/h</v>
      </c>
      <c r="AB16" s="920" t="s">
        <v>569</v>
      </c>
      <c r="AC16" s="920" t="str">
        <f t="shared" si="0"/>
        <v>System 4 - PSZ-HP&lt;65,000 Btu/h</v>
      </c>
      <c r="AD16" s="927">
        <f>IF(SI_IP_Units="IP",9.7,2.84)</f>
        <v>9.6999999999999993</v>
      </c>
      <c r="AE16" s="928" t="str">
        <f>IF(SI_IP_Units="IP","SEER","SCOP")</f>
        <v>SEER</v>
      </c>
      <c r="AF16" s="927">
        <f>IF(SI_IP_Units="IP",9.7,2.84)</f>
        <v>9.6999999999999993</v>
      </c>
      <c r="AG16" s="2886" t="str">
        <f>IF(SI_IP_Units="IP","SEER","SCOP")</f>
        <v>SEER</v>
      </c>
      <c r="AH16" s="2903">
        <f>IF(SI_IP_Units="IP",14,4.1)</f>
        <v>14</v>
      </c>
      <c r="AI16" s="2904" t="str">
        <f>IF(SI_IP_Units="IP","SEER","SCOP")</f>
        <v>SEER</v>
      </c>
      <c r="AJ16" s="2899">
        <f>IF(SI_IP_Units="IP",14,4.1)</f>
        <v>14</v>
      </c>
      <c r="AK16" s="2901" t="str">
        <f>IF(SI_IP_Units="IP","SEER","SCOP")</f>
        <v>SEER</v>
      </c>
      <c r="AL16" s="1896"/>
    </row>
    <row r="17" spans="1:38" s="173" customFormat="1" ht="33" customHeight="1" x14ac:dyDescent="0.25">
      <c r="A17" s="206" t="str">
        <f t="shared" si="2"/>
        <v>System 8 - VAV with PFP Boxes</v>
      </c>
      <c r="B17" s="206" t="s">
        <v>118</v>
      </c>
      <c r="C17" s="206" t="s">
        <v>1614</v>
      </c>
      <c r="D17" s="207" t="str">
        <f>""</f>
        <v/>
      </c>
      <c r="E17" s="207" t="str">
        <f>""</f>
        <v/>
      </c>
      <c r="F17" s="207" t="str">
        <f>""</f>
        <v/>
      </c>
      <c r="G17" s="239">
        <v>8</v>
      </c>
      <c r="H17" s="208" t="str">
        <f t="array" aca="1" ref="H17" ca="1">IFERROR(INDEX($A$10:$A$19,SMALL((IF(LEN($A$10:$A$19),ROW(INDIRECT("1:"&amp;ROWS($A$10:$A$19))))),ROW(A8)),1),"")</f>
        <v>System 8 - VAV with PFP Boxes</v>
      </c>
      <c r="I17" s="209" t="str">
        <f t="array" aca="1" ref="I17" ca="1">IFERROR(INDEX($A$10:$A$32,SMALL((IF(LEN($A$10:$A$32),ROW(INDIRECT("1:"&amp;ROWS($A$10:$A$32))))),ROW(A8)),1),"")</f>
        <v>System 8 - VAV with PFP Boxes</v>
      </c>
      <c r="J17" s="167">
        <v>8</v>
      </c>
      <c r="K17" s="174">
        <v>1.2999999999999999E-3</v>
      </c>
      <c r="L17" s="175">
        <v>2.0999999999999999E-3</v>
      </c>
      <c r="M17" s="215">
        <v>1</v>
      </c>
      <c r="N17" s="218">
        <v>1</v>
      </c>
      <c r="O17" s="174">
        <v>0</v>
      </c>
      <c r="Q17" s="210">
        <v>10</v>
      </c>
      <c r="R17" s="220">
        <v>7.5</v>
      </c>
      <c r="S17" s="1116">
        <v>0.89500000000000002</v>
      </c>
      <c r="T17" s="223">
        <f t="shared" si="3"/>
        <v>0.91</v>
      </c>
      <c r="U17" s="241">
        <f t="shared" si="1"/>
        <v>0.81978021978021975</v>
      </c>
      <c r="Y17" s="2885" t="s">
        <v>114</v>
      </c>
      <c r="Z17" s="918"/>
      <c r="AA17" s="924" t="str">
        <f>IF(SI_IP_Units="IP","≥65,000 Btu/h and
&lt;135,000 Btu/h","≥19 kW and &lt; 40 kW")</f>
        <v>≥65,000 Btu/h and
&lt;135,000 Btu/h</v>
      </c>
      <c r="AB17" s="920" t="s">
        <v>569</v>
      </c>
      <c r="AC17" s="920" t="str">
        <f t="shared" si="0"/>
        <v>System 4 - PSZ-HP≥65,000 Btu/h and
&lt;135,000 Btu/h</v>
      </c>
      <c r="AD17" s="927">
        <f>IF(SI_IP_Units="IP",9.9,2.9)</f>
        <v>9.9</v>
      </c>
      <c r="AE17" s="928" t="str">
        <f>IF(SI_IP_Units="IP","EER","COP")</f>
        <v>EER</v>
      </c>
      <c r="AF17" s="925" t="s">
        <v>669</v>
      </c>
      <c r="AG17" s="2889"/>
      <c r="AH17" s="2903">
        <f>IF(SI_IP_Units="IP",10.8,3.17)</f>
        <v>10.8</v>
      </c>
      <c r="AI17" s="2904" t="str">
        <f>IF(SI_IP_Units="IP","EER","COP")</f>
        <v>EER</v>
      </c>
      <c r="AJ17" s="2900">
        <f>IF(SI_IP_Units="IP",12,3.52)</f>
        <v>12</v>
      </c>
      <c r="AK17" s="2907" t="str">
        <f>IF(SI_IP_Units="IP","IEER","ICOP")</f>
        <v>IEER</v>
      </c>
      <c r="AL17" s="2912"/>
    </row>
    <row r="18" spans="1:38" s="173" customFormat="1" ht="33" customHeight="1" x14ac:dyDescent="0.25">
      <c r="A18" s="206" t="str">
        <f t="shared" si="2"/>
        <v>System 9 - Heating and Ventilation</v>
      </c>
      <c r="B18" s="206" t="s">
        <v>119</v>
      </c>
      <c r="C18" s="206" t="s">
        <v>119</v>
      </c>
      <c r="D18" s="206" t="s">
        <v>140</v>
      </c>
      <c r="E18" s="206" t="s">
        <v>140</v>
      </c>
      <c r="F18" s="207" t="str">
        <f>""</f>
        <v/>
      </c>
      <c r="G18" s="239">
        <v>9</v>
      </c>
      <c r="H18" s="208" t="str">
        <f t="array" aca="1" ref="H18" ca="1">IFERROR(INDEX($A$10:$A$19,SMALL((IF(LEN($A$10:$A$19),ROW(INDIRECT("1:"&amp;ROWS($A$10:$A$19))))),ROW(A9)),1),"")</f>
        <v>System 9 - Heating and Ventilation</v>
      </c>
      <c r="I18" s="209" t="str">
        <f t="array" aca="1" ref="I18" ca="1">IFERROR(INDEX($A$10:$A$32,SMALL((IF(LEN($A$10:$A$32),ROW(INDIRECT("1:"&amp;ROWS($A$10:$A$32))))),ROW(A9)),1),"")</f>
        <v>System 9 - Heating and Ventilation</v>
      </c>
      <c r="J18" s="167">
        <v>9</v>
      </c>
      <c r="K18" s="174">
        <v>2.9999999999999997E-4</v>
      </c>
      <c r="L18" s="175">
        <v>6.4000000000000005E-4</v>
      </c>
      <c r="M18" s="215">
        <v>0</v>
      </c>
      <c r="N18" s="218">
        <v>0</v>
      </c>
      <c r="O18" s="174">
        <v>1</v>
      </c>
      <c r="Q18" s="210">
        <v>15</v>
      </c>
      <c r="R18" s="220">
        <v>11.1</v>
      </c>
      <c r="S18" s="1116">
        <v>0.91</v>
      </c>
      <c r="T18" s="223">
        <f t="shared" si="3"/>
        <v>0.91</v>
      </c>
      <c r="U18" s="241">
        <f t="shared" si="1"/>
        <v>0.81978021978021975</v>
      </c>
      <c r="Y18" s="2885" t="s">
        <v>114</v>
      </c>
      <c r="Z18" s="918"/>
      <c r="AA18" s="924" t="str">
        <f>IF(SI_IP_Units="IP","≥135,000 Btu/h and
&lt;240,000 Btu/h","≥40 kW and &lt; 70 kW")</f>
        <v>≥135,000 Btu/h and
&lt;240,000 Btu/h</v>
      </c>
      <c r="AB18" s="920" t="s">
        <v>569</v>
      </c>
      <c r="AC18" s="920" t="str">
        <f t="shared" si="0"/>
        <v>System 4 - PSZ-HP≥135,000 Btu/h and
&lt;240,000 Btu/h</v>
      </c>
      <c r="AD18" s="927">
        <f>IF(SI_IP_Units="IP",9.1,2.66)</f>
        <v>9.1</v>
      </c>
      <c r="AE18" s="928" t="str">
        <f>IF(SI_IP_Units="IP","EER","COP")</f>
        <v>EER</v>
      </c>
      <c r="AF18" s="925" t="s">
        <v>669</v>
      </c>
      <c r="AG18" s="2889"/>
      <c r="AH18" s="2903">
        <f>IF(SI_IP_Units="IP",10.4,3.05)</f>
        <v>10.4</v>
      </c>
      <c r="AI18" s="2904" t="str">
        <f>IF(SI_IP_Units="IP","EER","COP")</f>
        <v>EER</v>
      </c>
      <c r="AJ18" s="2900">
        <f>IF(SI_IP_Units="IP",11.4,3.34)</f>
        <v>11.4</v>
      </c>
      <c r="AK18" s="2907" t="str">
        <f>IF(SI_IP_Units="IP","IEER","ICOP")</f>
        <v>IEER</v>
      </c>
      <c r="AL18" s="2912"/>
    </row>
    <row r="19" spans="1:38" s="173" customFormat="1" ht="33" customHeight="1" x14ac:dyDescent="0.25">
      <c r="A19" s="206" t="str">
        <f t="shared" si="2"/>
        <v>System 10 - Heating and Ventilation</v>
      </c>
      <c r="B19" s="206" t="s">
        <v>120</v>
      </c>
      <c r="C19" s="206" t="s">
        <v>120</v>
      </c>
      <c r="D19" s="207" t="str">
        <f>""</f>
        <v/>
      </c>
      <c r="E19" s="207" t="str">
        <f>""</f>
        <v/>
      </c>
      <c r="F19" s="207" t="str">
        <f>""</f>
        <v/>
      </c>
      <c r="G19" s="239">
        <v>10</v>
      </c>
      <c r="H19" s="208" t="str">
        <f t="array" aca="1" ref="H19" ca="1">IFERROR(INDEX($A$10:$A$19,SMALL((IF(LEN($A$10:$A$19),ROW(INDIRECT("1:"&amp;ROWS($A$10:$A$19))))),ROW(A10)),1),"")</f>
        <v>System 10 - Heating and Ventilation</v>
      </c>
      <c r="I19" s="209" t="str">
        <f t="array" aca="1" ref="I19" ca="1">IFERROR(INDEX($A$10:$A$32,SMALL((IF(LEN($A$10:$A$32),ROW(INDIRECT("1:"&amp;ROWS($A$10:$A$32))))),ROW(A10)),1),"")</f>
        <v>System 10 - Heating and Ventilation</v>
      </c>
      <c r="J19" s="167">
        <v>10</v>
      </c>
      <c r="K19" s="174">
        <v>2.9999999999999997E-4</v>
      </c>
      <c r="L19" s="175">
        <v>6.4000000000000005E-4</v>
      </c>
      <c r="M19" s="215">
        <v>0</v>
      </c>
      <c r="N19" s="218">
        <v>0</v>
      </c>
      <c r="O19" s="174">
        <v>1</v>
      </c>
      <c r="Q19" s="210">
        <v>20</v>
      </c>
      <c r="R19" s="220">
        <v>14.9</v>
      </c>
      <c r="S19" s="1116">
        <v>0.91</v>
      </c>
      <c r="T19" s="223">
        <f t="shared" si="3"/>
        <v>0.92400000000000004</v>
      </c>
      <c r="U19" s="241">
        <f t="shared" si="1"/>
        <v>0.80735930735930728</v>
      </c>
      <c r="Y19" s="2885" t="s">
        <v>114</v>
      </c>
      <c r="Z19" s="921"/>
      <c r="AA19" s="922" t="str">
        <f>IF(SI_IP_Units="IP","≥240,000 Btu/h","≥70 kW")</f>
        <v>≥240,000 Btu/h</v>
      </c>
      <c r="AB19" s="923" t="s">
        <v>569</v>
      </c>
      <c r="AC19" s="923" t="str">
        <f t="shared" si="0"/>
        <v>System 4 - PSZ-HP≥240,000 Btu/h</v>
      </c>
      <c r="AD19" s="929">
        <f>IF(SI_IP_Units="IP",8.8,2.57)</f>
        <v>8.8000000000000007</v>
      </c>
      <c r="AE19" s="930" t="str">
        <f>IF(SI_IP_Units="IP","EER","COP")</f>
        <v>EER</v>
      </c>
      <c r="AF19" s="929">
        <f>IF(SI_IP_Units="IP",8.9,2.61)</f>
        <v>8.9</v>
      </c>
      <c r="AG19" s="2887" t="str">
        <f>IF(SI_IP_Units="IP","IEER","ICOP")</f>
        <v>IEER</v>
      </c>
      <c r="AH19" s="2905">
        <f>IF(SI_IP_Units="IP",9.3,2.72)</f>
        <v>9.3000000000000007</v>
      </c>
      <c r="AI19" s="2906" t="str">
        <f>IF(SI_IP_Units="IP","EER","COP")</f>
        <v>EER</v>
      </c>
      <c r="AJ19" s="2895">
        <f>IF(SI_IP_Units="IP",10.4,3.05)</f>
        <v>10.4</v>
      </c>
      <c r="AK19" s="2902" t="str">
        <f>IF(SI_IP_Units="IP","IEER","ICOP")</f>
        <v>IEER</v>
      </c>
      <c r="AL19" s="1896"/>
    </row>
    <row r="20" spans="1:38" s="173" customFormat="1" ht="33" customHeight="1" x14ac:dyDescent="0.25">
      <c r="A20" s="840" t="s">
        <v>1852</v>
      </c>
      <c r="B20" s="840" t="s">
        <v>1852</v>
      </c>
      <c r="C20" s="840" t="s">
        <v>1950</v>
      </c>
      <c r="D20" s="840" t="s">
        <v>1953</v>
      </c>
      <c r="E20" s="840" t="s">
        <v>1956</v>
      </c>
      <c r="F20" s="841" t="str">
        <f>""</f>
        <v/>
      </c>
      <c r="G20" s="842">
        <v>11</v>
      </c>
      <c r="H20" s="843" t="str">
        <f>A20</f>
        <v>System 11 - SZ-VAV</v>
      </c>
      <c r="I20" s="844" t="str">
        <f t="array" aca="1" ref="I20" ca="1">IFERROR(INDEX($A$10:$A$32,SMALL((IF(LEN($A$10:$A$32),ROW(INDIRECT("1:"&amp;ROWS($A$10:$A$32))))),ROW(A11)),1),"")</f>
        <v>System 11 - SZ-VAV</v>
      </c>
      <c r="J20" s="167">
        <v>11</v>
      </c>
      <c r="K20" s="829">
        <v>6.2E-4</v>
      </c>
      <c r="L20" s="847">
        <f>L10/K10*K20</f>
        <v>1.3226666666666669E-3</v>
      </c>
      <c r="M20" s="848">
        <v>1</v>
      </c>
      <c r="N20" s="849">
        <v>1</v>
      </c>
      <c r="O20" s="829">
        <v>0</v>
      </c>
      <c r="Q20" s="210">
        <v>25</v>
      </c>
      <c r="R20" s="220">
        <v>18.7</v>
      </c>
      <c r="S20" s="1116">
        <v>0.92400000000000004</v>
      </c>
      <c r="T20" s="223">
        <f t="shared" si="3"/>
        <v>0.92400000000000004</v>
      </c>
      <c r="U20" s="241">
        <f t="shared" ref="U20:U29" si="4">IF(SI_IP_Units="SI",1/T20,0.746/T20)</f>
        <v>0.80735930735930728</v>
      </c>
      <c r="Y20" s="2888" t="s">
        <v>115</v>
      </c>
      <c r="Z20" s="919" t="s">
        <v>1916</v>
      </c>
      <c r="AA20" s="920" t="str">
        <f>IF(SI_IP_Units="IP","&lt;65,000 Btu/h","&lt;19 kW")</f>
        <v>&lt;65,000 Btu/h</v>
      </c>
      <c r="AB20" s="920" t="s">
        <v>569</v>
      </c>
      <c r="AC20" s="920" t="str">
        <f t="shared" si="0"/>
        <v>System 5 - Packaged VAV with Reheat&lt;65,000 Btu/h</v>
      </c>
      <c r="AD20" s="955">
        <f>IF(SI_IP_Units="IP",9.7,2.84)</f>
        <v>9.6999999999999993</v>
      </c>
      <c r="AE20" s="925" t="str">
        <f>IF(SI_IP_Units="IP","SEER","SCOP")</f>
        <v>SEER</v>
      </c>
      <c r="AF20" s="925">
        <f>IF(SI_IP_Units="IP",9.7,2.84)</f>
        <v>9.6999999999999993</v>
      </c>
      <c r="AG20" s="2889" t="str">
        <f>IF(SI_IP_Units="IP","SEER","SCOP")</f>
        <v>SEER</v>
      </c>
      <c r="AH20" s="2903">
        <f>IF(SI_IP_Units="IP",13,3.81)</f>
        <v>13</v>
      </c>
      <c r="AI20" s="2904" t="str">
        <f>IF(SI_IP_Units="IP","SEER","SCOP")</f>
        <v>SEER</v>
      </c>
      <c r="AJ20" s="2899">
        <f>IF(SI_IP_Units="IP",13,3.81)</f>
        <v>13</v>
      </c>
      <c r="AK20" s="2901" t="str">
        <f>IF(SI_IP_Units="IP","SEER","SCOP")</f>
        <v>SEER</v>
      </c>
      <c r="AL20" s="2912"/>
    </row>
    <row r="21" spans="1:38" s="173" customFormat="1" ht="33" customHeight="1" x14ac:dyDescent="0.25">
      <c r="A21" s="840" t="s">
        <v>1853</v>
      </c>
      <c r="B21" s="840" t="s">
        <v>1853</v>
      </c>
      <c r="C21" s="840" t="s">
        <v>1951</v>
      </c>
      <c r="D21" s="840" t="s">
        <v>1954</v>
      </c>
      <c r="E21" s="840" t="s">
        <v>1957</v>
      </c>
      <c r="F21" s="841" t="str">
        <f>""</f>
        <v/>
      </c>
      <c r="G21" s="842">
        <v>12</v>
      </c>
      <c r="H21" s="843" t="str">
        <f>A21</f>
        <v>System 12 - SZ-CV-HW</v>
      </c>
      <c r="I21" s="844" t="str">
        <f t="array" aca="1" ref="I21" ca="1">IFERROR(INDEX($A$10:$A$32,SMALL((IF(LEN($A$10:$A$32),ROW(INDIRECT("1:"&amp;ROWS($A$10:$A$32))))),ROW(A12)),1),"")</f>
        <v>System 12 - SZ-CV-HW</v>
      </c>
      <c r="J21" s="167">
        <v>12</v>
      </c>
      <c r="K21" s="829">
        <v>2.9999999999999997E-4</v>
      </c>
      <c r="L21" s="838">
        <v>6.4000000000000005E-4</v>
      </c>
      <c r="M21" s="848">
        <v>1</v>
      </c>
      <c r="N21" s="849">
        <v>1</v>
      </c>
      <c r="O21" s="829">
        <v>0</v>
      </c>
      <c r="Q21" s="210">
        <v>30</v>
      </c>
      <c r="R21" s="220">
        <v>22.4</v>
      </c>
      <c r="S21" s="1116">
        <v>0.92400000000000004</v>
      </c>
      <c r="T21" s="223">
        <f t="shared" si="3"/>
        <v>0.93</v>
      </c>
      <c r="U21" s="241">
        <f t="shared" si="4"/>
        <v>0.80215053763440858</v>
      </c>
      <c r="Y21" s="2885" t="s">
        <v>115</v>
      </c>
      <c r="Z21" s="918"/>
      <c r="AA21" s="924" t="str">
        <f>IF(SI_IP_Units="IP","≥65,000 Btu/h and
&lt;135,000 Btu/h","≥19 kW and &lt; 40 kW")</f>
        <v>≥65,000 Btu/h and
&lt;135,000 Btu/h</v>
      </c>
      <c r="AB21" s="920" t="s">
        <v>1920</v>
      </c>
      <c r="AC21" s="920" t="str">
        <f t="shared" si="0"/>
        <v>System 5 - Packaged VAV with Reheat≥65,000 Btu/h and
&lt;135,000 Btu/h</v>
      </c>
      <c r="AD21" s="956">
        <f>IF(SI_IP_Units="IP",10.1,2.96)</f>
        <v>10.1</v>
      </c>
      <c r="AE21" s="927" t="str">
        <f>IF(SI_IP_Units="IP","EER","COP")</f>
        <v>EER</v>
      </c>
      <c r="AF21" s="925" t="s">
        <v>669</v>
      </c>
      <c r="AG21" s="2886"/>
      <c r="AH21" s="2903">
        <f>IF(SI_IP_Units="IP",11,3.22)</f>
        <v>11</v>
      </c>
      <c r="AI21" s="2904" t="str">
        <f>IF(SI_IP_Units="IP","EER","COP")</f>
        <v>EER</v>
      </c>
      <c r="AJ21" s="2899">
        <f>IF(SI_IP_Units="IP",12.7,3.76)</f>
        <v>12.7</v>
      </c>
      <c r="AK21" s="2901" t="str">
        <f>IF(SI_IP_Units="IP","IEER","ICOP")</f>
        <v>IEER</v>
      </c>
      <c r="AL21" s="1896"/>
    </row>
    <row r="22" spans="1:38" s="173" customFormat="1" ht="33" customHeight="1" x14ac:dyDescent="0.25">
      <c r="A22" s="840" t="s">
        <v>1854</v>
      </c>
      <c r="B22" s="840" t="s">
        <v>1854</v>
      </c>
      <c r="C22" s="840" t="s">
        <v>1952</v>
      </c>
      <c r="D22" s="840" t="s">
        <v>1955</v>
      </c>
      <c r="E22" s="840" t="s">
        <v>1958</v>
      </c>
      <c r="F22" s="841" t="str">
        <f>""</f>
        <v/>
      </c>
      <c r="G22" s="842">
        <v>13</v>
      </c>
      <c r="H22" s="843" t="str">
        <f>A22</f>
        <v>System 13 - SZ-CV-ER</v>
      </c>
      <c r="I22" s="844" t="str">
        <f t="array" aca="1" ref="I22" ca="1">IFERROR(INDEX($A$10:$A$32,SMALL((IF(LEN($A$10:$A$32),ROW(INDIRECT("1:"&amp;ROWS($A$10:$A$32))))),ROW(A13)),1),"")</f>
        <v>System 13 - SZ-CV-ER</v>
      </c>
      <c r="J22" s="167">
        <v>13</v>
      </c>
      <c r="K22" s="829">
        <v>2.9999999999999997E-4</v>
      </c>
      <c r="L22" s="838">
        <v>6.4000000000000005E-4</v>
      </c>
      <c r="M22" s="848">
        <v>1</v>
      </c>
      <c r="N22" s="849">
        <v>1</v>
      </c>
      <c r="O22" s="829">
        <v>0</v>
      </c>
      <c r="Q22" s="210">
        <v>40</v>
      </c>
      <c r="R22" s="220">
        <v>29.8</v>
      </c>
      <c r="S22" s="1116">
        <v>0.93</v>
      </c>
      <c r="T22" s="223">
        <f t="shared" si="3"/>
        <v>0.93</v>
      </c>
      <c r="U22" s="241">
        <f t="shared" si="4"/>
        <v>0.80215053763440858</v>
      </c>
      <c r="Y22" s="2885" t="s">
        <v>115</v>
      </c>
      <c r="Z22" s="918"/>
      <c r="AA22" s="924" t="str">
        <f>IF(SI_IP_Units="IP","≥135,000 Btu/h and
&lt;240,000 Btu/h","≥40 kW and &lt; 70 kW")</f>
        <v>≥135,000 Btu/h and
&lt;240,000 Btu/h</v>
      </c>
      <c r="AB22" s="920" t="s">
        <v>1920</v>
      </c>
      <c r="AC22" s="920" t="str">
        <f t="shared" si="0"/>
        <v>System 5 - Packaged VAV with Reheat≥135,000 Btu/h and
&lt;240,000 Btu/h</v>
      </c>
      <c r="AD22" s="956">
        <f>IF(SI_IP_Units="IP",9.5,2.78)</f>
        <v>9.5</v>
      </c>
      <c r="AE22" s="927" t="str">
        <f>IF(SI_IP_Units="IP","EER","COP")</f>
        <v>EER</v>
      </c>
      <c r="AF22" s="925" t="s">
        <v>669</v>
      </c>
      <c r="AG22" s="2886"/>
      <c r="AH22" s="2903">
        <f>IF(SI_IP_Units="IP",10.8,3.16)</f>
        <v>10.8</v>
      </c>
      <c r="AI22" s="2904" t="str">
        <f>IF(SI_IP_Units="IP","EER","COP")</f>
        <v>EER</v>
      </c>
      <c r="AJ22" s="2899">
        <f>IF(SI_IP_Units="IP",12.2,3.72)</f>
        <v>12.2</v>
      </c>
      <c r="AK22" s="2901" t="str">
        <f>IF(SI_IP_Units="IP","IEER","ICOP")</f>
        <v>IEER</v>
      </c>
      <c r="AL22" s="1896"/>
    </row>
    <row r="23" spans="1:38" s="173" customFormat="1" ht="33" customHeight="1" x14ac:dyDescent="0.25">
      <c r="A23" s="206"/>
      <c r="B23" s="207"/>
      <c r="C23" s="206" t="s">
        <v>111</v>
      </c>
      <c r="D23" s="206" t="s">
        <v>111</v>
      </c>
      <c r="E23" s="206" t="s">
        <v>111</v>
      </c>
      <c r="F23" s="207" t="str">
        <f>""</f>
        <v/>
      </c>
      <c r="G23" s="239">
        <v>1</v>
      </c>
      <c r="H23" s="208"/>
      <c r="I23" s="208"/>
      <c r="J23" s="167"/>
      <c r="K23" s="174">
        <v>2.9999999999999997E-4</v>
      </c>
      <c r="L23" s="175">
        <v>6.4000000000000005E-4</v>
      </c>
      <c r="M23" s="215">
        <v>0</v>
      </c>
      <c r="N23" s="218">
        <v>0</v>
      </c>
      <c r="O23" s="174">
        <v>0</v>
      </c>
      <c r="Q23" s="210">
        <v>50</v>
      </c>
      <c r="R23" s="220">
        <v>37.299999999999997</v>
      </c>
      <c r="S23" s="1116">
        <v>0.93</v>
      </c>
      <c r="T23" s="223">
        <f t="shared" si="3"/>
        <v>0.93600000000000005</v>
      </c>
      <c r="U23" s="241">
        <f t="shared" si="4"/>
        <v>0.79700854700854695</v>
      </c>
      <c r="Y23" s="2885" t="s">
        <v>115</v>
      </c>
      <c r="Z23" s="918"/>
      <c r="AA23" s="924" t="str">
        <f>IF(SI_IP_Units="IP","≥240,000 Btu/h and
&lt;760,000 Btu/h","≥70 kW and &lt; 223 kW")</f>
        <v>≥240,000 Btu/h and
&lt;760,000 Btu/h</v>
      </c>
      <c r="AB23" s="920" t="s">
        <v>1920</v>
      </c>
      <c r="AC23" s="920" t="str">
        <f t="shared" si="0"/>
        <v>System 5 - Packaged VAV with Reheat≥240,000 Btu/h and
&lt;760,000 Btu/h</v>
      </c>
      <c r="AD23" s="956">
        <f>IF(SI_IP_Units="IP",9.3,2.73)</f>
        <v>9.3000000000000007</v>
      </c>
      <c r="AE23" s="927" t="str">
        <f>IF(SI_IP_Units="IP","EER","COP")</f>
        <v>EER</v>
      </c>
      <c r="AF23" s="927">
        <f>IF(SI_IP_Units="IP",9.4,2.76)</f>
        <v>9.4</v>
      </c>
      <c r="AG23" s="2886" t="str">
        <f>IF(SI_IP_Units="IP","IEER","ICOP")</f>
        <v>IEER</v>
      </c>
      <c r="AH23" s="2903">
        <f>IF(SI_IP_Units="IP",9.8,2.87)</f>
        <v>9.8000000000000007</v>
      </c>
      <c r="AI23" s="2904" t="str">
        <f>IF(SI_IP_Units="IP","EER","COP")</f>
        <v>EER</v>
      </c>
      <c r="AJ23" s="2899">
        <f>IF(SI_IP_Units="IP",11.4,3.34)</f>
        <v>11.4</v>
      </c>
      <c r="AK23" s="2901" t="str">
        <f>IF(SI_IP_Units="IP","IEER","ICOP")</f>
        <v>IEER</v>
      </c>
      <c r="AL23" s="1896"/>
    </row>
    <row r="24" spans="1:38" s="173" customFormat="1" ht="33" customHeight="1" x14ac:dyDescent="0.25">
      <c r="A24" s="206"/>
      <c r="B24" s="207"/>
      <c r="C24" s="206" t="s">
        <v>112</v>
      </c>
      <c r="D24" s="206" t="s">
        <v>112</v>
      </c>
      <c r="E24" s="206" t="s">
        <v>112</v>
      </c>
      <c r="F24" s="207" t="str">
        <f>""</f>
        <v/>
      </c>
      <c r="G24" s="239">
        <v>2</v>
      </c>
      <c r="H24" s="208"/>
      <c r="I24" s="208"/>
      <c r="J24" s="167"/>
      <c r="K24" s="174">
        <v>2.9999999999999997E-4</v>
      </c>
      <c r="L24" s="175">
        <v>6.4000000000000005E-4</v>
      </c>
      <c r="M24" s="215">
        <v>0</v>
      </c>
      <c r="N24" s="218">
        <v>0</v>
      </c>
      <c r="O24" s="174">
        <v>0</v>
      </c>
      <c r="Q24" s="210">
        <v>60</v>
      </c>
      <c r="R24" s="220">
        <v>44.8</v>
      </c>
      <c r="S24" s="1116">
        <v>0.93600000000000005</v>
      </c>
      <c r="T24" s="223">
        <f t="shared" si="3"/>
        <v>0.94099999999999995</v>
      </c>
      <c r="U24" s="241">
        <f t="shared" si="4"/>
        <v>0.7927736450584485</v>
      </c>
      <c r="Y24" s="2883" t="s">
        <v>115</v>
      </c>
      <c r="Z24" s="921"/>
      <c r="AA24" s="922" t="str">
        <f>IF(SI_IP_Units="IP","≥760,000 Btu/h","≥223 kW")</f>
        <v>≥760,000 Btu/h</v>
      </c>
      <c r="AB24" s="923" t="s">
        <v>1920</v>
      </c>
      <c r="AC24" s="923" t="str">
        <f t="shared" si="0"/>
        <v>System 5 - Packaged VAV with Reheat≥760,000 Btu/h</v>
      </c>
      <c r="AD24" s="957">
        <f>IF(SI_IP_Units="IP",9,2.64)</f>
        <v>9</v>
      </c>
      <c r="AE24" s="929" t="str">
        <f>IF(SI_IP_Units="IP","EER","COP")</f>
        <v>EER</v>
      </c>
      <c r="AF24" s="929">
        <f>IF(SI_IP_Units="IP",9.1,2.67)</f>
        <v>9.1</v>
      </c>
      <c r="AG24" s="2887" t="str">
        <f>IF(SI_IP_Units="IP","IEER","ICOP")</f>
        <v>IEER</v>
      </c>
      <c r="AH24" s="2905">
        <f>IF(SI_IP_Units="IP",9.5,2.78)</f>
        <v>9.5</v>
      </c>
      <c r="AI24" s="2906" t="str">
        <f>IF(SI_IP_Units="IP","EER","COP")</f>
        <v>EER</v>
      </c>
      <c r="AJ24" s="2895">
        <f>IF(SI_IP_Units="IP",11,3.22)</f>
        <v>11</v>
      </c>
      <c r="AK24" s="2902" t="str">
        <f>IF(SI_IP_Units="IP","IEER","ICOP")</f>
        <v>IEER</v>
      </c>
      <c r="AL24" s="1896"/>
    </row>
    <row r="25" spans="1:38" s="173" customFormat="1" ht="33" customHeight="1" x14ac:dyDescent="0.25">
      <c r="A25" s="206"/>
      <c r="B25" s="207"/>
      <c r="C25" s="206" t="s">
        <v>113</v>
      </c>
      <c r="D25" s="206" t="s">
        <v>113</v>
      </c>
      <c r="E25" s="206" t="s">
        <v>113</v>
      </c>
      <c r="F25" s="207" t="str">
        <f>""</f>
        <v/>
      </c>
      <c r="G25" s="239">
        <v>3</v>
      </c>
      <c r="H25" s="208"/>
      <c r="I25" s="208"/>
      <c r="J25" s="167"/>
      <c r="K25" s="174">
        <v>9.3999999999999997E-4</v>
      </c>
      <c r="L25" s="175">
        <v>1.5E-3</v>
      </c>
      <c r="M25" s="215">
        <v>1</v>
      </c>
      <c r="N25" s="218">
        <v>1</v>
      </c>
      <c r="O25" s="174">
        <v>0</v>
      </c>
      <c r="Q25" s="210">
        <v>75</v>
      </c>
      <c r="R25" s="220">
        <v>56</v>
      </c>
      <c r="S25" s="1116">
        <v>0.94099999999999995</v>
      </c>
      <c r="T25" s="223">
        <f t="shared" si="3"/>
        <v>0.94499999999999995</v>
      </c>
      <c r="U25" s="241">
        <f t="shared" si="4"/>
        <v>0.78941798941798946</v>
      </c>
      <c r="Y25" s="2885" t="s">
        <v>116</v>
      </c>
      <c r="Z25" s="919" t="s">
        <v>1916</v>
      </c>
      <c r="AA25" s="920" t="str">
        <f>IF(SI_IP_Units="IP","&lt;65,000 Btu/h","&lt;19 kW")</f>
        <v>&lt;65,000 Btu/h</v>
      </c>
      <c r="AB25" s="920" t="s">
        <v>569</v>
      </c>
      <c r="AC25" s="920" t="str">
        <f t="shared" si="0"/>
        <v>System 6 - Packaged VAV with PFP Boxes&lt;65,000 Btu/h</v>
      </c>
      <c r="AD25" s="955">
        <f>IF(SI_IP_Units="IP",9.7,2.84)</f>
        <v>9.6999999999999993</v>
      </c>
      <c r="AE25" s="925" t="str">
        <f>IF(SI_IP_Units="IP","SEER","SCOP")</f>
        <v>SEER</v>
      </c>
      <c r="AF25" s="927">
        <f>IF(SI_IP_Units="IP",9.7,2.84)</f>
        <v>9.6999999999999993</v>
      </c>
      <c r="AG25" s="2886" t="str">
        <f>IF(SI_IP_Units="IP","SEER","SCOP")</f>
        <v>SEER</v>
      </c>
      <c r="AH25" s="2903">
        <f>IF(SI_IP_Units="IP",13,3.81)</f>
        <v>13</v>
      </c>
      <c r="AI25" s="2904" t="str">
        <f>IF(SI_IP_Units="IP","SEER","SCOP")</f>
        <v>SEER</v>
      </c>
      <c r="AJ25" s="2899">
        <f>IF(SI_IP_Units="IP",13,3.81)</f>
        <v>13</v>
      </c>
      <c r="AK25" s="2901" t="str">
        <f>IF(SI_IP_Units="IP","SEER","SCOP")</f>
        <v>SEER</v>
      </c>
      <c r="AL25" s="1896"/>
    </row>
    <row r="26" spans="1:38" s="173" customFormat="1" ht="33" customHeight="1" x14ac:dyDescent="0.25">
      <c r="A26" s="206" t="str">
        <f t="shared" ref="A26:A32" si="5">IF($C$8=TRUE,C23,IF($D$8=TRUE,D23,IF($E$8=TRUE,E23,IF($F$8=TRUE,F23,B26))))</f>
        <v/>
      </c>
      <c r="B26" s="207" t="str">
        <f>""</f>
        <v/>
      </c>
      <c r="C26" s="206" t="s">
        <v>114</v>
      </c>
      <c r="D26" s="206" t="s">
        <v>114</v>
      </c>
      <c r="E26" s="206" t="s">
        <v>114</v>
      </c>
      <c r="F26" s="207" t="str">
        <f>""</f>
        <v/>
      </c>
      <c r="G26" s="239">
        <v>4</v>
      </c>
      <c r="H26" s="208" t="str">
        <f t="array" aca="1" ref="H26" ca="1">IFERROR(INDEX($A$10:$A$19,SMALL((IF(LEN($A$10:$A$19),ROW(INDIRECT("1:"&amp;ROWS($A$10:$A$19))))),ROW(A14)),1),"")</f>
        <v/>
      </c>
      <c r="I26" s="209" t="str">
        <f t="array" aca="1" ref="I26" ca="1">IFERROR(INDEX($A$10:$A$32,SMALL((IF(LEN($A$10:$A$32),ROW(INDIRECT("1:"&amp;ROWS($A$10:$A$32))))),ROW(A14)),1),"")</f>
        <v/>
      </c>
      <c r="J26" s="167"/>
      <c r="K26" s="174">
        <v>9.3999999999999997E-4</v>
      </c>
      <c r="L26" s="175">
        <v>1.5E-3</v>
      </c>
      <c r="M26" s="215">
        <v>1</v>
      </c>
      <c r="N26" s="218">
        <v>1</v>
      </c>
      <c r="O26" s="174">
        <v>0</v>
      </c>
      <c r="Q26" s="210">
        <v>100</v>
      </c>
      <c r="R26" s="220">
        <v>74.599999999999994</v>
      </c>
      <c r="S26" s="1116">
        <v>0.94499999999999995</v>
      </c>
      <c r="T26" s="223">
        <f t="shared" si="3"/>
        <v>0.94499999999999995</v>
      </c>
      <c r="U26" s="241">
        <f t="shared" si="4"/>
        <v>0.78941798941798946</v>
      </c>
      <c r="Y26" s="2885" t="s">
        <v>116</v>
      </c>
      <c r="Z26" s="918"/>
      <c r="AA26" s="924" t="str">
        <f>IF(SI_IP_Units="IP","≥65,000 Btu/h and
&lt;135,000 Btu/h","≥19 kW and &lt; 40 kW")</f>
        <v>≥65,000 Btu/h and
&lt;135,000 Btu/h</v>
      </c>
      <c r="AB26" s="920" t="s">
        <v>1920</v>
      </c>
      <c r="AC26" s="920" t="str">
        <f t="shared" si="0"/>
        <v>System 6 - Packaged VAV with PFP Boxes≥65,000 Btu/h and
&lt;135,000 Btu/h</v>
      </c>
      <c r="AD26" s="956">
        <f>IF(SI_IP_Units="IP",10.1,2.96)</f>
        <v>10.1</v>
      </c>
      <c r="AE26" s="927" t="str">
        <f>IF(SI_IP_Units="IP","EER","COP")</f>
        <v>EER</v>
      </c>
      <c r="AF26" s="925" t="s">
        <v>669</v>
      </c>
      <c r="AG26" s="2886"/>
      <c r="AH26" s="2903">
        <f>IF(SI_IP_Units="IP",11.2,3.28)</f>
        <v>11.2</v>
      </c>
      <c r="AI26" s="2904" t="str">
        <f>IF(SI_IP_Units="IP","EER","COP")</f>
        <v>EER</v>
      </c>
      <c r="AJ26" s="2899">
        <f>IF(SI_IP_Units="IP",12.9,3.78)</f>
        <v>12.9</v>
      </c>
      <c r="AK26" s="2901" t="str">
        <f>IF(SI_IP_Units="IP","IEER","ICOP")</f>
        <v>IEER</v>
      </c>
      <c r="AL26" s="1896"/>
    </row>
    <row r="27" spans="1:38" s="173" customFormat="1" ht="33" customHeight="1" x14ac:dyDescent="0.25">
      <c r="A27" s="206" t="str">
        <f t="shared" si="5"/>
        <v/>
      </c>
      <c r="B27" s="207" t="str">
        <f>""</f>
        <v/>
      </c>
      <c r="C27" s="206" t="s">
        <v>115</v>
      </c>
      <c r="D27" s="206" t="s">
        <v>115</v>
      </c>
      <c r="E27" s="206" t="s">
        <v>115</v>
      </c>
      <c r="F27" s="207" t="str">
        <f>""</f>
        <v/>
      </c>
      <c r="G27" s="239">
        <v>5</v>
      </c>
      <c r="H27" s="208" t="str">
        <f t="array" aca="1" ref="H27" ca="1">IFERROR(INDEX($A$10:$A$19,SMALL((IF(LEN($A$10:$A$19),ROW(INDIRECT("1:"&amp;ROWS($A$10:$A$19))))),ROW(A15)),1),"")</f>
        <v/>
      </c>
      <c r="I27" s="209" t="str">
        <f t="array" aca="1" ref="I27" ca="1">IFERROR(INDEX($A$10:$A$32,SMALL((IF(LEN($A$10:$A$32),ROW(INDIRECT("1:"&amp;ROWS($A$10:$A$32))))),ROW(A15)),1),"")</f>
        <v/>
      </c>
      <c r="J27" s="167"/>
      <c r="K27" s="174">
        <v>1.2999999999999999E-3</v>
      </c>
      <c r="L27" s="175">
        <v>2.0999999999999999E-3</v>
      </c>
      <c r="M27" s="215">
        <v>1</v>
      </c>
      <c r="N27" s="218">
        <v>1</v>
      </c>
      <c r="O27" s="174">
        <v>0</v>
      </c>
      <c r="Q27" s="210">
        <v>125</v>
      </c>
      <c r="R27" s="220">
        <v>93.3</v>
      </c>
      <c r="S27" s="1116">
        <v>0.94499999999999995</v>
      </c>
      <c r="T27" s="223">
        <f t="shared" si="3"/>
        <v>0.95</v>
      </c>
      <c r="U27" s="241">
        <f t="shared" si="4"/>
        <v>0.78526315789473689</v>
      </c>
      <c r="Y27" s="2885" t="s">
        <v>116</v>
      </c>
      <c r="Z27" s="918"/>
      <c r="AA27" s="924" t="str">
        <f>IF(SI_IP_Units="IP","≥135,000 Btu/h and
&lt;240,000 Btu/h","≥40 kW and &lt; 70 kW")</f>
        <v>≥135,000 Btu/h and
&lt;240,000 Btu/h</v>
      </c>
      <c r="AB27" s="920" t="s">
        <v>1920</v>
      </c>
      <c r="AC27" s="920" t="str">
        <f t="shared" si="0"/>
        <v>System 6 - Packaged VAV with PFP Boxes≥135,000 Btu/h and
&lt;240,000 Btu/h</v>
      </c>
      <c r="AD27" s="956">
        <f>IF(SI_IP_Units="IP",9.5,2.78)</f>
        <v>9.5</v>
      </c>
      <c r="AE27" s="927" t="str">
        <f>IF(SI_IP_Units="IP","EER","COP")</f>
        <v>EER</v>
      </c>
      <c r="AF27" s="925" t="s">
        <v>669</v>
      </c>
      <c r="AG27" s="2886"/>
      <c r="AH27" s="2903">
        <f>IF(SI_IP_Units="IP",11,3.22)</f>
        <v>11</v>
      </c>
      <c r="AI27" s="2904" t="str">
        <f>IF(SI_IP_Units="IP","EER","COP")</f>
        <v>EER</v>
      </c>
      <c r="AJ27" s="2899">
        <f>IF(SI_IP_Units="IP",12.4,3.75)</f>
        <v>12.4</v>
      </c>
      <c r="AK27" s="2901" t="str">
        <f>IF(SI_IP_Units="IP","IEER","ICOP")</f>
        <v>IEER</v>
      </c>
      <c r="AL27" s="1896"/>
    </row>
    <row r="28" spans="1:38" s="173" customFormat="1" ht="33" customHeight="1" x14ac:dyDescent="0.25">
      <c r="A28" s="206" t="str">
        <f t="shared" si="5"/>
        <v/>
      </c>
      <c r="B28" s="207" t="str">
        <f>""</f>
        <v/>
      </c>
      <c r="C28" s="206" t="s">
        <v>116</v>
      </c>
      <c r="D28" s="206" t="s">
        <v>116</v>
      </c>
      <c r="E28" s="206" t="s">
        <v>116</v>
      </c>
      <c r="F28" s="207" t="str">
        <f>""</f>
        <v/>
      </c>
      <c r="G28" s="239">
        <v>6</v>
      </c>
      <c r="H28" s="208" t="str">
        <f t="array" aca="1" ref="H28" ca="1">IFERROR(INDEX($A$10:$A$19,SMALL((IF(LEN($A$10:$A$19),ROW(INDIRECT("1:"&amp;ROWS($A$10:$A$19))))),ROW(A16)),1),"")</f>
        <v/>
      </c>
      <c r="I28" s="209" t="str">
        <f t="array" aca="1" ref="I28" ca="1">IFERROR(INDEX($A$10:$A$32,SMALL((IF(LEN($A$10:$A$32),ROW(INDIRECT("1:"&amp;ROWS($A$10:$A$32))))),ROW(A16)),1),"")</f>
        <v/>
      </c>
      <c r="J28" s="167"/>
      <c r="K28" s="174">
        <v>1.2999999999999999E-3</v>
      </c>
      <c r="L28" s="175">
        <v>2.0999999999999999E-3</v>
      </c>
      <c r="M28" s="215">
        <v>1</v>
      </c>
      <c r="N28" s="218">
        <v>1</v>
      </c>
      <c r="O28" s="174">
        <v>0</v>
      </c>
      <c r="Q28" s="210">
        <v>150</v>
      </c>
      <c r="R28" s="220">
        <v>111.9</v>
      </c>
      <c r="S28" s="1116">
        <v>0.95</v>
      </c>
      <c r="T28" s="223">
        <f t="shared" si="3"/>
        <v>0.95</v>
      </c>
      <c r="U28" s="241">
        <f t="shared" si="4"/>
        <v>0.78526315789473689</v>
      </c>
      <c r="Y28" s="2885" t="s">
        <v>116</v>
      </c>
      <c r="Z28" s="918"/>
      <c r="AA28" s="924" t="str">
        <f>IF(SI_IP_Units="IP","≥240,000 Btu/h and
&lt;760,000 Btu/h","≥70 kW and &lt; 223 kW")</f>
        <v>≥240,000 Btu/h and
&lt;760,000 Btu/h</v>
      </c>
      <c r="AB28" s="920" t="s">
        <v>1920</v>
      </c>
      <c r="AC28" s="920" t="str">
        <f t="shared" si="0"/>
        <v>System 6 - Packaged VAV with PFP Boxes≥240,000 Btu/h and
&lt;760,000 Btu/h</v>
      </c>
      <c r="AD28" s="956">
        <f>IF(SI_IP_Units="IP",9.3,2.73)</f>
        <v>9.3000000000000007</v>
      </c>
      <c r="AE28" s="927" t="str">
        <f>IF(SI_IP_Units="IP","EER","COP")</f>
        <v>EER</v>
      </c>
      <c r="AF28" s="927">
        <f>IF(SI_IP_Units="IP",9.4,2.76)</f>
        <v>9.4</v>
      </c>
      <c r="AG28" s="2886" t="str">
        <f>IF(SI_IP_Units="IP","IEER","ICOP")</f>
        <v>IEER</v>
      </c>
      <c r="AH28" s="2903">
        <f>IF(SI_IP_Units="IP",10,2.93)</f>
        <v>10</v>
      </c>
      <c r="AI28" s="2904" t="str">
        <f>IF(SI_IP_Units="IP","EER","COP")</f>
        <v>EER</v>
      </c>
      <c r="AJ28" s="2899">
        <f>IF(SI_IP_Units="IP",11.6,3.4)</f>
        <v>11.6</v>
      </c>
      <c r="AK28" s="2901" t="str">
        <f>IF(SI_IP_Units="IP","IEER","ICOP")</f>
        <v>IEER</v>
      </c>
      <c r="AL28" s="1896"/>
    </row>
    <row r="29" spans="1:38" s="173" customFormat="1" ht="33" customHeight="1" thickBot="1" x14ac:dyDescent="0.3">
      <c r="A29" s="206" t="str">
        <f t="shared" si="5"/>
        <v/>
      </c>
      <c r="B29" s="207" t="str">
        <f>""</f>
        <v/>
      </c>
      <c r="C29" s="206" t="s">
        <v>117</v>
      </c>
      <c r="D29" s="206" t="s">
        <v>117</v>
      </c>
      <c r="E29" s="206" t="s">
        <v>117</v>
      </c>
      <c r="F29" s="207" t="str">
        <f>""</f>
        <v/>
      </c>
      <c r="G29" s="239">
        <v>7</v>
      </c>
      <c r="H29" s="208" t="str">
        <f t="array" aca="1" ref="H29" ca="1">IFERROR(INDEX($A$10:$A$19,SMALL((IF(LEN($A$10:$A$19),ROW(INDIRECT("1:"&amp;ROWS($A$10:$A$19))))),ROW(A17)),1),"")</f>
        <v/>
      </c>
      <c r="I29" s="209" t="str">
        <f t="array" aca="1" ref="I29" ca="1">IFERROR(INDEX($A$10:$A$32,SMALL((IF(LEN($A$10:$A$32),ROW(INDIRECT("1:"&amp;ROWS($A$10:$A$32))))),ROW(A17)),1),"")</f>
        <v/>
      </c>
      <c r="J29" s="167"/>
      <c r="K29" s="174">
        <v>1.2999999999999999E-3</v>
      </c>
      <c r="L29" s="175">
        <v>2.0999999999999999E-3</v>
      </c>
      <c r="M29" s="215">
        <v>1</v>
      </c>
      <c r="N29" s="218">
        <v>1</v>
      </c>
      <c r="O29" s="174">
        <v>0</v>
      </c>
      <c r="Q29" s="226">
        <v>200</v>
      </c>
      <c r="R29" s="227">
        <v>149.19999999999999</v>
      </c>
      <c r="S29" s="1121">
        <v>0.95</v>
      </c>
      <c r="T29" s="223">
        <f t="shared" si="3"/>
        <v>0.95</v>
      </c>
      <c r="U29" s="241">
        <f t="shared" si="4"/>
        <v>0.78526315789473689</v>
      </c>
      <c r="Y29" s="2883" t="s">
        <v>116</v>
      </c>
      <c r="Z29" s="921"/>
      <c r="AA29" s="922" t="str">
        <f>IF(SI_IP_Units="IP","≥760,000 Btu/h","≥223 kW")</f>
        <v>≥760,000 Btu/h</v>
      </c>
      <c r="AB29" s="923" t="s">
        <v>1920</v>
      </c>
      <c r="AC29" s="923" t="str">
        <f t="shared" si="0"/>
        <v>System 6 - Packaged VAV with PFP Boxes≥760,000 Btu/h</v>
      </c>
      <c r="AD29" s="957">
        <f>IF(SI_IP_Units="IP",9,2.64)</f>
        <v>9</v>
      </c>
      <c r="AE29" s="929" t="str">
        <f>IF(SI_IP_Units="IP","EER","COP")</f>
        <v>EER</v>
      </c>
      <c r="AF29" s="929">
        <f>IF(SI_IP_Units="IP",9.1,2.67)</f>
        <v>9.1</v>
      </c>
      <c r="AG29" s="2887" t="str">
        <f>IF(SI_IP_Units="IP","IEER","ICOP")</f>
        <v>IEER</v>
      </c>
      <c r="AH29" s="2908">
        <f>IF(SI_IP_Units="IP",9.7,2.84)</f>
        <v>9.6999999999999993</v>
      </c>
      <c r="AI29" s="2909" t="str">
        <f>IF(SI_IP_Units="IP","EER","COP")</f>
        <v>EER</v>
      </c>
      <c r="AJ29" s="2910">
        <f>IF(SI_IP_Units="IP",11.2,3.28)</f>
        <v>11.2</v>
      </c>
      <c r="AK29" s="2911" t="str">
        <f>IF(SI_IP_Units="IP","IEER","ICOP")</f>
        <v>IEER</v>
      </c>
      <c r="AL29" s="1896"/>
    </row>
    <row r="30" spans="1:38" ht="30.75" customHeight="1" x14ac:dyDescent="0.25">
      <c r="A30" s="206" t="str">
        <f t="shared" si="5"/>
        <v/>
      </c>
      <c r="B30" s="207" t="str">
        <f>""</f>
        <v/>
      </c>
      <c r="C30" s="206" t="s">
        <v>118</v>
      </c>
      <c r="D30" s="206" t="s">
        <v>118</v>
      </c>
      <c r="E30" s="206" t="s">
        <v>118</v>
      </c>
      <c r="F30" s="207" t="str">
        <f>""</f>
        <v/>
      </c>
      <c r="G30" s="239">
        <v>8</v>
      </c>
      <c r="H30" s="208" t="str">
        <f t="array" aca="1" ref="H30" ca="1">IFERROR(INDEX($A$10:$A$19,SMALL((IF(LEN($A$10:$A$19),ROW(INDIRECT("1:"&amp;ROWS($A$10:$A$19))))),ROW(A18)),1),"")</f>
        <v/>
      </c>
      <c r="I30" s="209" t="str">
        <f t="array" aca="1" ref="I30" ca="1">IFERROR(INDEX($A$10:$A$32,SMALL((IF(LEN($A$10:$A$32),ROW(INDIRECT("1:"&amp;ROWS($A$10:$A$32))))),ROW(A18)),1),"")</f>
        <v/>
      </c>
      <c r="K30" s="174">
        <v>1.2999999999999999E-3</v>
      </c>
      <c r="L30" s="175">
        <v>2.0999999999999999E-3</v>
      </c>
      <c r="M30" s="215">
        <v>1</v>
      </c>
      <c r="N30" s="218">
        <v>1</v>
      </c>
      <c r="O30" s="174">
        <v>0</v>
      </c>
      <c r="Q30" s="210"/>
      <c r="R30" s="220"/>
      <c r="S30" s="1116">
        <v>0.95</v>
      </c>
      <c r="T30" s="221"/>
      <c r="U30" s="241"/>
      <c r="Y30"/>
      <c r="Z30"/>
      <c r="AA30"/>
      <c r="AB30"/>
      <c r="AC30"/>
      <c r="AD30"/>
      <c r="AE30"/>
      <c r="AF30" s="183"/>
      <c r="AG30" s="183"/>
      <c r="AH30" s="183"/>
      <c r="AI30" s="183"/>
      <c r="AJ30" s="183"/>
      <c r="AK30" s="183"/>
      <c r="AL30" s="183"/>
    </row>
    <row r="31" spans="1:38" ht="14.4" thickBot="1" x14ac:dyDescent="0.3">
      <c r="A31" s="206" t="str">
        <f t="shared" si="5"/>
        <v/>
      </c>
      <c r="B31" s="207" t="str">
        <f>""</f>
        <v/>
      </c>
      <c r="C31" s="845"/>
      <c r="D31" s="206" t="s">
        <v>119</v>
      </c>
      <c r="E31" s="206" t="s">
        <v>119</v>
      </c>
      <c r="F31" s="207" t="str">
        <f>""</f>
        <v/>
      </c>
      <c r="G31" s="239">
        <v>9</v>
      </c>
      <c r="H31" s="208" t="str">
        <f t="array" aca="1" ref="H31" ca="1">IFERROR(INDEX($A$10:$A$19,SMALL((IF(LEN($A$10:$A$19),ROW(INDIRECT("1:"&amp;ROWS($A$10:$A$19))))),ROW(A19)),1),"")</f>
        <v/>
      </c>
      <c r="I31" s="209" t="str">
        <f t="array" aca="1" ref="I31" ca="1">IFERROR(INDEX($A$10:$A$32,SMALL((IF(LEN($A$10:$A$32),ROW(INDIRECT("1:"&amp;ROWS($A$10:$A$32))))),ROW(A19)),1),"")</f>
        <v/>
      </c>
      <c r="K31" s="174">
        <v>2.9999999999999997E-4</v>
      </c>
      <c r="L31" s="175">
        <v>6.4000000000000005E-4</v>
      </c>
      <c r="M31" s="215">
        <v>0</v>
      </c>
      <c r="N31" s="218">
        <v>0</v>
      </c>
      <c r="O31" s="174">
        <v>1</v>
      </c>
      <c r="Q31" s="210"/>
      <c r="R31" s="220"/>
      <c r="S31" s="221"/>
      <c r="T31" s="221"/>
      <c r="U31" s="241"/>
      <c r="Y31"/>
      <c r="Z31"/>
      <c r="AA31"/>
      <c r="AB31"/>
      <c r="AC31"/>
      <c r="AD31"/>
      <c r="AE31"/>
      <c r="AF31" s="183"/>
      <c r="AG31" s="183"/>
      <c r="AH31" s="183"/>
      <c r="AI31" s="183"/>
      <c r="AJ31" s="183"/>
      <c r="AK31" s="183"/>
      <c r="AL31" s="183"/>
    </row>
    <row r="32" spans="1:38" ht="13.8" x14ac:dyDescent="0.25">
      <c r="A32" s="211" t="str">
        <f t="shared" si="5"/>
        <v/>
      </c>
      <c r="B32" s="212" t="str">
        <f>""</f>
        <v/>
      </c>
      <c r="C32" s="845"/>
      <c r="D32" s="211" t="s">
        <v>120</v>
      </c>
      <c r="E32" s="211" t="s">
        <v>120</v>
      </c>
      <c r="F32" s="212" t="str">
        <f>""</f>
        <v/>
      </c>
      <c r="G32" s="239">
        <v>10</v>
      </c>
      <c r="H32" s="208" t="str">
        <f t="array" aca="1" ref="H32" ca="1">IFERROR(INDEX($A$10:$A$19,SMALL((IF(LEN($A$10:$A$19),ROW(INDIRECT("1:"&amp;ROWS($A$10:$A$19))))),ROW(A20)),1),"")</f>
        <v/>
      </c>
      <c r="I32" s="209" t="str">
        <f t="array" aca="1" ref="I32" ca="1">IFERROR(INDEX($A$10:$A$32,SMALL((IF(LEN($A$10:$A$32),ROW(INDIRECT("1:"&amp;ROWS($A$10:$A$32))))),ROW(A20)),1),"")</f>
        <v/>
      </c>
      <c r="K32" s="176">
        <v>2.9999999999999997E-4</v>
      </c>
      <c r="L32" s="177">
        <v>6.4000000000000005E-4</v>
      </c>
      <c r="M32" s="216">
        <v>0</v>
      </c>
      <c r="N32" s="219">
        <v>0</v>
      </c>
      <c r="O32" s="176">
        <v>1</v>
      </c>
      <c r="Q32" s="226"/>
      <c r="R32" s="227"/>
      <c r="S32" s="228"/>
      <c r="T32" s="228"/>
      <c r="U32" s="241"/>
      <c r="Y32" s="2913" t="s">
        <v>1904</v>
      </c>
      <c r="Z32" s="932" t="s">
        <v>1905</v>
      </c>
      <c r="AA32" s="932" t="s">
        <v>1906</v>
      </c>
      <c r="AB32" s="932" t="s">
        <v>1907</v>
      </c>
      <c r="AC32" s="932" t="s">
        <v>1908</v>
      </c>
      <c r="AD32" s="932" t="s">
        <v>1927</v>
      </c>
      <c r="AE32" s="933"/>
      <c r="AF32" s="183" t="s">
        <v>1906</v>
      </c>
      <c r="AG32" s="2891" t="s">
        <v>1927</v>
      </c>
      <c r="AH32" s="2893"/>
      <c r="AI32" s="183"/>
      <c r="AJ32" s="183"/>
      <c r="AK32" s="183"/>
      <c r="AL32" s="183"/>
    </row>
    <row r="33" spans="1:38" ht="13.8" x14ac:dyDescent="0.25">
      <c r="A33" s="845"/>
      <c r="B33" s="846"/>
      <c r="C33" s="845" t="s">
        <v>1852</v>
      </c>
      <c r="D33" s="845" t="s">
        <v>1852</v>
      </c>
      <c r="E33" s="845" t="s">
        <v>1852</v>
      </c>
      <c r="F33" s="846"/>
      <c r="G33" s="842">
        <v>11</v>
      </c>
      <c r="H33" s="843"/>
      <c r="I33" s="844"/>
      <c r="K33" s="829">
        <v>6.2E-4</v>
      </c>
      <c r="L33" s="838">
        <v>1.32E-3</v>
      </c>
      <c r="M33" s="848">
        <v>1</v>
      </c>
      <c r="N33" s="849">
        <v>1</v>
      </c>
      <c r="O33" s="829">
        <v>0</v>
      </c>
      <c r="Q33" s="851"/>
      <c r="R33" s="852"/>
      <c r="S33" s="853"/>
      <c r="T33" s="853"/>
      <c r="U33" s="854"/>
      <c r="Y33" s="2914" t="s">
        <v>111</v>
      </c>
      <c r="Z33" s="1183" t="s">
        <v>2252</v>
      </c>
      <c r="AA33" s="4287" t="s">
        <v>2214</v>
      </c>
      <c r="AB33" s="1183"/>
      <c r="AC33" s="1182" t="str">
        <f>Y33&amp;AA33</f>
        <v>System 1 - PTACN/A</v>
      </c>
      <c r="AD33" s="1479">
        <v>0.8</v>
      </c>
      <c r="AE33" s="1185" t="s">
        <v>2312</v>
      </c>
      <c r="AF33" s="183" t="str">
        <f>IF(SI_IP_Units="IP","&lt;300,000 Btu/h","&lt;88 kW")</f>
        <v>&lt;300,000 Btu/h</v>
      </c>
      <c r="AG33" s="2915">
        <v>0.82</v>
      </c>
      <c r="AH33" s="2916" t="s">
        <v>2312</v>
      </c>
      <c r="AI33" s="183"/>
      <c r="AJ33" s="183"/>
      <c r="AK33" s="183"/>
      <c r="AL33" s="183"/>
    </row>
    <row r="34" spans="1:38" ht="13.8" x14ac:dyDescent="0.25">
      <c r="A34" s="845"/>
      <c r="B34" s="846"/>
      <c r="C34" s="845" t="s">
        <v>1853</v>
      </c>
      <c r="D34" s="845" t="s">
        <v>1853</v>
      </c>
      <c r="E34" s="845" t="s">
        <v>1853</v>
      </c>
      <c r="F34" s="846"/>
      <c r="G34" s="842">
        <v>12</v>
      </c>
      <c r="H34" s="843"/>
      <c r="I34" s="844"/>
      <c r="K34" s="829">
        <v>2.9999999999999997E-4</v>
      </c>
      <c r="L34" s="838">
        <v>6.4000000000000005E-4</v>
      </c>
      <c r="M34" s="848">
        <v>1</v>
      </c>
      <c r="N34" s="849">
        <v>1</v>
      </c>
      <c r="O34" s="829">
        <v>0</v>
      </c>
      <c r="Q34" s="851"/>
      <c r="R34" s="852"/>
      <c r="S34" s="853"/>
      <c r="T34" s="853"/>
      <c r="U34" s="854"/>
      <c r="Y34" s="2917" t="s">
        <v>111</v>
      </c>
      <c r="Z34" s="936"/>
      <c r="AA34" s="4288"/>
      <c r="AB34" s="936"/>
      <c r="AC34" s="935" t="str">
        <f>Y34&amp;AA33</f>
        <v>System 1 - PTACN/A</v>
      </c>
      <c r="AD34" s="1480">
        <v>0.75</v>
      </c>
      <c r="AE34" s="937" t="s">
        <v>2313</v>
      </c>
      <c r="AF34" s="183" t="str">
        <f>IF(SI_IP_Units="IP","≥300,000 Btu/h and ≤2,500,000 Btu/h","≥88 kW and ≤733 kW")</f>
        <v>≥300,000 Btu/h and ≤2,500,000 Btu/h</v>
      </c>
      <c r="AG34" s="2918">
        <v>0.8</v>
      </c>
      <c r="AH34" s="2919" t="s">
        <v>2313</v>
      </c>
      <c r="AI34" s="183"/>
      <c r="AJ34" s="183"/>
      <c r="AK34" s="183"/>
      <c r="AL34" s="183"/>
    </row>
    <row r="35" spans="1:38" ht="13.8" x14ac:dyDescent="0.25">
      <c r="A35" s="845"/>
      <c r="B35" s="846"/>
      <c r="C35" s="845" t="s">
        <v>1854</v>
      </c>
      <c r="D35" s="845" t="s">
        <v>1854</v>
      </c>
      <c r="E35" s="845" t="s">
        <v>1854</v>
      </c>
      <c r="F35" s="846"/>
      <c r="G35" s="842">
        <v>13</v>
      </c>
      <c r="H35" s="843"/>
      <c r="I35" s="844"/>
      <c r="K35" s="829">
        <v>2.9999999999999997E-4</v>
      </c>
      <c r="L35" s="838">
        <v>6.4000000000000005E-4</v>
      </c>
      <c r="M35" s="848">
        <v>1</v>
      </c>
      <c r="N35" s="849">
        <v>1</v>
      </c>
      <c r="O35" s="829">
        <v>0</v>
      </c>
      <c r="Q35" s="851"/>
      <c r="R35" s="852"/>
      <c r="S35" s="853"/>
      <c r="T35" s="853"/>
      <c r="U35" s="854"/>
      <c r="Y35" s="2917" t="s">
        <v>111</v>
      </c>
      <c r="Z35" s="936"/>
      <c r="AA35" s="4289"/>
      <c r="AB35" s="936"/>
      <c r="AC35" s="935" t="str">
        <f>Y35&amp;AA33</f>
        <v>System 1 - PTACN/A</v>
      </c>
      <c r="AD35" s="1480">
        <v>0.8</v>
      </c>
      <c r="AE35" s="937" t="s">
        <v>2314</v>
      </c>
      <c r="AF35" s="183" t="str">
        <f>IF(SI_IP_Units="IP","&gt; 2,500,000 Btu/h","&gt; 733 kW")</f>
        <v>&gt; 2,500,000 Btu/h</v>
      </c>
      <c r="AG35" s="2918">
        <v>0.82</v>
      </c>
      <c r="AH35" s="2919" t="s">
        <v>2314</v>
      </c>
      <c r="AI35" s="183"/>
      <c r="AJ35" s="183"/>
      <c r="AK35" s="183"/>
      <c r="AL35" s="183"/>
    </row>
    <row r="36" spans="1:38" ht="39" customHeight="1" x14ac:dyDescent="0.25">
      <c r="Q36" s="4292" t="s">
        <v>2443</v>
      </c>
      <c r="R36" s="4292"/>
      <c r="S36" s="4292"/>
      <c r="T36" s="4292"/>
      <c r="U36" s="396"/>
      <c r="Y36" s="2920" t="s">
        <v>112</v>
      </c>
      <c r="Z36" s="1189" t="s">
        <v>1928</v>
      </c>
      <c r="AA36" s="1189" t="s">
        <v>1912</v>
      </c>
      <c r="AB36" s="1190"/>
      <c r="AC36" s="1189" t="str">
        <f t="shared" ref="AC36:AC42" si="6">Y36&amp;AA36</f>
        <v>System 2 - PTHPAll capacities</v>
      </c>
      <c r="AD36" s="1190" t="s">
        <v>1913</v>
      </c>
      <c r="AE36" s="1191"/>
      <c r="AF36" s="183" t="s">
        <v>1912</v>
      </c>
      <c r="AG36" s="2921" t="s">
        <v>1913</v>
      </c>
      <c r="AH36" s="2922"/>
      <c r="AI36" s="183"/>
      <c r="AJ36" s="183"/>
      <c r="AK36" s="183"/>
      <c r="AL36" s="183"/>
    </row>
    <row r="37" spans="1:38" ht="27.6" x14ac:dyDescent="0.25">
      <c r="C37" s="944" t="s">
        <v>1940</v>
      </c>
      <c r="D37" s="944" t="s">
        <v>1941</v>
      </c>
      <c r="E37" s="944" t="s">
        <v>1937</v>
      </c>
      <c r="F37" s="944" t="s">
        <v>1936</v>
      </c>
      <c r="G37" s="944" t="s">
        <v>1938</v>
      </c>
      <c r="H37" s="944" t="s">
        <v>1942</v>
      </c>
      <c r="I37" s="944" t="s">
        <v>1939</v>
      </c>
      <c r="Y37" s="2923" t="s">
        <v>112</v>
      </c>
      <c r="Z37" s="1128" t="s">
        <v>1929</v>
      </c>
      <c r="AA37" s="1128" t="s">
        <v>1912</v>
      </c>
      <c r="AB37" s="1129"/>
      <c r="AC37" s="1128" t="str">
        <f t="shared" si="6"/>
        <v>System 2 - PTHPAll capacities</v>
      </c>
      <c r="AD37" s="1129" t="s">
        <v>1913</v>
      </c>
      <c r="AE37" s="1130"/>
      <c r="AF37" s="183" t="s">
        <v>1912</v>
      </c>
      <c r="AG37" s="2924" t="s">
        <v>1913</v>
      </c>
      <c r="AH37" s="2925"/>
      <c r="AI37" s="183"/>
      <c r="AJ37" s="183"/>
      <c r="AK37" s="183"/>
      <c r="AL37" s="183"/>
    </row>
    <row r="38" spans="1:38" ht="27.6" x14ac:dyDescent="0.25">
      <c r="C38" s="945" t="s">
        <v>111</v>
      </c>
      <c r="D38" s="945" t="s">
        <v>112</v>
      </c>
      <c r="E38" s="945" t="s">
        <v>111</v>
      </c>
      <c r="F38" s="945" t="s">
        <v>119</v>
      </c>
      <c r="G38" s="945" t="s">
        <v>113</v>
      </c>
      <c r="H38" s="945" t="s">
        <v>111</v>
      </c>
      <c r="I38" s="945" t="s">
        <v>115</v>
      </c>
      <c r="Y38" s="2926" t="s">
        <v>113</v>
      </c>
      <c r="Z38" s="1125" t="s">
        <v>1930</v>
      </c>
      <c r="AA38" s="1125" t="str">
        <f>IF(SI_IP_Units="IP","&lt;225,000 Btu/h","&lt;66 kW")</f>
        <v>&lt;225,000 Btu/h</v>
      </c>
      <c r="AB38" s="1126"/>
      <c r="AC38" s="1125" t="str">
        <f t="shared" si="6"/>
        <v>System 3 - PSZ-AC&lt;225,000 Btu/h</v>
      </c>
      <c r="AD38" s="1126" t="s">
        <v>2316</v>
      </c>
      <c r="AE38" s="1127" t="s">
        <v>2317</v>
      </c>
      <c r="AF38" s="183" t="str">
        <f>IF(SI_IP_Units="IP","&lt;225,000 Btu/h","&lt;66 kW")</f>
        <v>&lt;225,000 Btu/h</v>
      </c>
      <c r="AG38" s="2927" t="s">
        <v>2316</v>
      </c>
      <c r="AH38" s="2928" t="s">
        <v>2317</v>
      </c>
      <c r="AI38" s="183"/>
      <c r="AJ38" s="183"/>
      <c r="AK38" s="183"/>
      <c r="AL38" s="183"/>
    </row>
    <row r="39" spans="1:38" ht="41.4" x14ac:dyDescent="0.25">
      <c r="C39" s="945" t="s">
        <v>112</v>
      </c>
      <c r="D39" s="945" t="s">
        <v>113</v>
      </c>
      <c r="E39" s="945" t="s">
        <v>1943</v>
      </c>
      <c r="F39" s="945" t="s">
        <v>120</v>
      </c>
      <c r="G39" s="945" t="s">
        <v>114</v>
      </c>
      <c r="H39" s="945" t="s">
        <v>1943</v>
      </c>
      <c r="I39" s="945" t="s">
        <v>133</v>
      </c>
      <c r="Y39" s="2926" t="s">
        <v>113</v>
      </c>
      <c r="Z39" s="1125" t="s">
        <v>1930</v>
      </c>
      <c r="AA39" s="1125" t="str">
        <f>IF(SI_IP_Units="IP","≥ 225,000 Btu/h","≥ 66 kW")</f>
        <v>≥ 225,000 Btu/h</v>
      </c>
      <c r="AB39" s="1126"/>
      <c r="AC39" s="1125" t="str">
        <f t="shared" si="6"/>
        <v>System 3 - PSZ-AC≥ 225,000 Btu/h</v>
      </c>
      <c r="AD39" s="1481">
        <v>0.8</v>
      </c>
      <c r="AE39" s="1127" t="s">
        <v>2314</v>
      </c>
      <c r="AF39" t="str">
        <f>IF(SI_IP_Units="IP","≥ 225,000 Btu/h","≥ 66 kW")</f>
        <v>≥ 225,000 Btu/h</v>
      </c>
      <c r="AG39" s="2929">
        <v>0.8</v>
      </c>
      <c r="AH39" s="2928" t="s">
        <v>2314</v>
      </c>
      <c r="AI39"/>
      <c r="AJ39"/>
      <c r="AK39"/>
      <c r="AL39"/>
    </row>
    <row r="40" spans="1:38" ht="41.4" x14ac:dyDescent="0.25">
      <c r="C40" s="945" t="s">
        <v>113</v>
      </c>
      <c r="D40" s="945" t="s">
        <v>131</v>
      </c>
      <c r="E40" s="945" t="s">
        <v>136</v>
      </c>
      <c r="F40" s="945" t="s">
        <v>140</v>
      </c>
      <c r="G40" s="945" t="s">
        <v>119</v>
      </c>
      <c r="H40" s="945" t="s">
        <v>136</v>
      </c>
      <c r="I40" s="945" t="s">
        <v>138</v>
      </c>
      <c r="Y40" s="2920" t="s">
        <v>114</v>
      </c>
      <c r="Z40" s="1189" t="s">
        <v>2254</v>
      </c>
      <c r="AA40" s="1189" t="str">
        <f>IF(SI_IP_Units="IP","&lt;65,000 Btu/h","&lt;19 kW")</f>
        <v>&lt;65,000 Btu/h</v>
      </c>
      <c r="AB40" s="1190"/>
      <c r="AC40" s="1189" t="str">
        <f t="shared" si="6"/>
        <v>System 4 - PSZ-HP&lt;65,000 Btu/h</v>
      </c>
      <c r="AD40" s="1189">
        <v>6.6</v>
      </c>
      <c r="AE40" s="1191" t="s">
        <v>2315</v>
      </c>
      <c r="AF40" t="str">
        <f>CONCATENATE(IF(SI_IP_Units="IP","&lt;65,000 Btu/h","&lt;19 kW")," (cooling capacity)")</f>
        <v>&lt;65,000 Btu/h (cooling capacity)</v>
      </c>
      <c r="AG40" s="2930">
        <v>8.1999999999999993</v>
      </c>
      <c r="AH40" s="2922" t="s">
        <v>2315</v>
      </c>
      <c r="AI40"/>
      <c r="AJ40"/>
      <c r="AK40"/>
      <c r="AL40"/>
    </row>
    <row r="41" spans="1:38" ht="41.4" x14ac:dyDescent="0.25">
      <c r="C41" s="945" t="s">
        <v>114</v>
      </c>
      <c r="D41" s="945" t="s">
        <v>114</v>
      </c>
      <c r="E41" s="945" t="s">
        <v>1944</v>
      </c>
      <c r="F41" s="946"/>
      <c r="G41" s="945" t="s">
        <v>120</v>
      </c>
      <c r="H41" s="945" t="s">
        <v>1944</v>
      </c>
      <c r="I41" s="945" t="s">
        <v>142</v>
      </c>
      <c r="Y41" s="2931" t="s">
        <v>114</v>
      </c>
      <c r="Z41" s="1125"/>
      <c r="AA41" s="1125" t="str">
        <f>IF(SI_IP_Units="IP","≥65,000 Btu/h and
&lt;135,000 Btu/h","≥19 kW and &lt; 40 kW")</f>
        <v>≥65,000 Btu/h and
&lt;135,000 Btu/h</v>
      </c>
      <c r="AB41" s="1126"/>
      <c r="AC41" s="1125" t="str">
        <f t="shared" si="6"/>
        <v>System 4 - PSZ-HP≥65,000 Btu/h and
&lt;135,000 Btu/h</v>
      </c>
      <c r="AD41" s="1125" t="str">
        <f>CONCATENATE(3.2, IF(SI_IP_Units="IP"," (47°F db/43°F wb); "," (8.3°C db,6.1°C wb); "),2.2, IF(SI_IP_Units="IP"," (17°F db/15°F wb); "," (-8.3°C db,-9.4°C wb);"))</f>
        <v xml:space="preserve">3.2 (47°F db/43°F wb); 2.2 (17°F db/15°F wb); </v>
      </c>
      <c r="AE41" s="1127" t="s">
        <v>645</v>
      </c>
      <c r="AF41" t="str">
        <f>CONCATENATE(IF(SI_IP_Units="IP","≥65,000 Btu/h and &lt;135,000 Btu/h","≥19 kW and &lt;40 kW")," (cooling capacity)", IF(SI_IP_Units="IP"," 47°F db/43°F wb"," 8.3°C db,6.1°F db"))</f>
        <v>≥65,000 Btu/h and &lt;135,000 Btu/h (cooling capacity) 47°F db/43°F wb</v>
      </c>
      <c r="AG41" s="2932" t="str">
        <f>CONCATENATE(3.3, IF(SI_IP_Units="IP"," (47°F db/43°F wb); "," (8.3°C db,6.1°C wb); "),2.25, IF(SI_IP_Units="IP"," (17°F db/15°F wb); "," (-8.3°C db,-9.4°C wb);"))</f>
        <v xml:space="preserve">3.3 (47°F db/43°F wb); 2.25 (17°F db/15°F wb); </v>
      </c>
      <c r="AH41" s="2928" t="s">
        <v>645</v>
      </c>
      <c r="AI41"/>
      <c r="AJ41"/>
      <c r="AK41"/>
      <c r="AL41"/>
    </row>
    <row r="42" spans="1:38" ht="97.2" thickBot="1" x14ac:dyDescent="0.3">
      <c r="C42" s="945" t="s">
        <v>115</v>
      </c>
      <c r="D42" s="945" t="s">
        <v>132</v>
      </c>
      <c r="E42" s="945" t="s">
        <v>136</v>
      </c>
      <c r="F42" s="946"/>
      <c r="G42" s="945" t="s">
        <v>131</v>
      </c>
      <c r="H42" s="945" t="s">
        <v>112</v>
      </c>
      <c r="I42" s="945" t="s">
        <v>116</v>
      </c>
      <c r="Y42" s="2931" t="s">
        <v>114</v>
      </c>
      <c r="Z42" s="1125"/>
      <c r="AA42" s="1125" t="str">
        <f>IF(SI_IP_Units="IP","≥135,000 Btu/h and
&lt;240,000 Btu/h","≥40 kW and &lt; 70 kW")</f>
        <v>≥135,000 Btu/h and
&lt;240,000 Btu/h</v>
      </c>
      <c r="AB42" s="1126"/>
      <c r="AC42" s="1125" t="str">
        <f t="shared" si="6"/>
        <v>System 4 - PSZ-HP≥135,000 Btu/h and
&lt;240,000 Btu/h</v>
      </c>
      <c r="AD42" s="1125" t="str">
        <f>CONCATENATE(3.1, IF(SI_IP_Units="IP"," (47°F db/43°F wb); "," (8.3°C db,6.1°C wb); "),"2.0", IF(SI_IP_Units="IP"," (17°F db/15°F wb); "," (-8.3°C db,-9.4°C wb);"))</f>
        <v xml:space="preserve">3.1 (47°F db/43°F wb); 2.0 (17°F db/15°F wb); </v>
      </c>
      <c r="AE42" s="1127" t="s">
        <v>645</v>
      </c>
      <c r="AF42" s="396" t="str">
        <f>CONCATENATE(IF(SI_IP_Units="IP","≥135,000 Btu/h","≥40 kW")," (cooling capacity)", IF(SI_IP_Units="IP"," 47°F db/43°F wb"," 8.3°C db,6.1°F db"))</f>
        <v>≥135,000 Btu/h (cooling capacity) 47°F db/43°F wb</v>
      </c>
      <c r="AG42" s="2932" t="str">
        <f>CONCATENATE(3.3, IF(SI_IP_Units="IP"," (47°F db/43°F wb); "," (8.3°C db,6.1°C wb); "),"2.05", IF(SI_IP_Units="IP"," (17°F db/15°F wb); "," (-8.3°C db,-9.4°C wb);"))</f>
        <v xml:space="preserve">3.3 (47°F db/43°F wb); 2.05 (17°F db/15°F wb); </v>
      </c>
      <c r="AH42" s="2928" t="s">
        <v>645</v>
      </c>
    </row>
    <row r="43" spans="1:38" ht="96.6" x14ac:dyDescent="0.25">
      <c r="C43" s="945" t="s">
        <v>116</v>
      </c>
      <c r="D43" s="945" t="s">
        <v>119</v>
      </c>
      <c r="E43" s="945" t="s">
        <v>1944</v>
      </c>
      <c r="F43" s="946"/>
      <c r="G43" s="945" t="s">
        <v>132</v>
      </c>
      <c r="H43" s="945" t="s">
        <v>1945</v>
      </c>
      <c r="I43" s="945" t="s">
        <v>134</v>
      </c>
      <c r="Y43" s="2933" t="s">
        <v>114</v>
      </c>
      <c r="Z43" s="2934"/>
      <c r="AA43" s="2934" t="str">
        <f>IF(SI_IP_Units="IP","≥240,000 Btu/h and
&lt;760,000 Btu/h","≥70 kW and &lt; 223 kW")</f>
        <v>≥240,000 Btu/h and
&lt;760,000 Btu/h</v>
      </c>
      <c r="AB43" s="2935"/>
      <c r="AC43" s="2934" t="str">
        <f>Y43&amp;AA43</f>
        <v>System 4 - PSZ-HP≥240,000 Btu/h and
&lt;760,000 Btu/h</v>
      </c>
      <c r="AD43" s="2934" t="str">
        <f>CONCATENATE(3.1, IF(SI_IP_Units="IP"," (47°F db/43°F wb); "," (8.3°C db,6.1°C wb); "),"2.0", IF(SI_IP_Units="IP"," (17°F db/15°F wb); "," (-8.3°C db,-9.4°C wb);"))</f>
        <v xml:space="preserve">3.1 (47°F db/43°F wb); 2.0 (17°F db/15°F wb); </v>
      </c>
      <c r="AE43" s="2936" t="s">
        <v>645</v>
      </c>
      <c r="AF43" s="2937" t="str">
        <f>CONCATENATE(IF(SI_IP_Units="IP","≥135,000 Btu/h","≥40 kW")," (cooling capacity)", IF(SI_IP_Units="IP"," 47°F db/43°F wb"," 8.3°C db,6.1°F db"))</f>
        <v>≥135,000 Btu/h (cooling capacity) 47°F db/43°F wb</v>
      </c>
      <c r="AG43" s="2938" t="str">
        <f>CONCATENATE(3.3, IF(SI_IP_Units="IP"," (47°F db/43°F wb); "," (8.3°C db,6.1°C wb); "),"2.05", IF(SI_IP_Units="IP"," (17°F db/15°F wb); "," (-8.3°C db,-9.4°C wb);"))</f>
        <v xml:space="preserve">3.3 (47°F db/43°F wb); 2.05 (17°F db/15°F wb); </v>
      </c>
      <c r="AH43" s="2939" t="s">
        <v>645</v>
      </c>
    </row>
    <row r="44" spans="1:38" ht="28.2" thickBot="1" x14ac:dyDescent="0.3">
      <c r="C44" s="945" t="s">
        <v>136</v>
      </c>
      <c r="D44" s="945"/>
      <c r="E44" s="945" t="s">
        <v>112</v>
      </c>
      <c r="F44" s="946"/>
      <c r="G44" s="945"/>
      <c r="H44" s="945" t="s">
        <v>119</v>
      </c>
      <c r="I44" s="945" t="s">
        <v>117</v>
      </c>
      <c r="Y44" s="2940" t="s">
        <v>114</v>
      </c>
      <c r="Z44" s="2941"/>
      <c r="AA44" s="2941" t="str">
        <f>IF(SI_IP_Units="IP","≥760,000 Btu/h","≥223 kW")</f>
        <v>≥760,000 Btu/h</v>
      </c>
      <c r="AB44" s="2942"/>
      <c r="AC44" s="2941" t="str">
        <f>Y44&amp;AA44</f>
        <v>System 4 - PSZ-HP≥760,000 Btu/h</v>
      </c>
      <c r="AD44" s="2941" t="str">
        <f>CONCATENATE(3.1, IF(SI_IP_Units="IP"," (47°F db/43°F wb); "," (8.3°C db,6.1°C wb); "),"2.0", IF(SI_IP_Units="IP"," (17°F db/15°F wb); "," (-8.3°C db,-9.4°C wb);"))</f>
        <v xml:space="preserve">3.1 (47°F db/43°F wb); 2.0 (17°F db/15°F wb); </v>
      </c>
      <c r="AE44" s="2943" t="s">
        <v>645</v>
      </c>
      <c r="AF44" s="396" t="str">
        <f>CONCATENATE(IF(SI_IP_Units="IP","≥135,000 Btu/h","≥40 kW")," (cooling capacity)", IF(SI_IP_Units="IP"," 47°F db/43°F wb"," 8.3°C db,6.1°F db"))</f>
        <v>≥135,000 Btu/h (cooling capacity) 47°F db/43°F wb</v>
      </c>
      <c r="AG44" s="2944" t="str">
        <f>CONCATENATE(3.3, IF(SI_IP_Units="IP"," (47°F db/43°F wb); "," (8.3°C db,6.1°C wb); "),"2.05", IF(SI_IP_Units="IP"," (17°F db/15°F wb); "," (-8.3°C db,-9.4°C wb);"))</f>
        <v xml:space="preserve">3.3 (47°F db/43°F wb); 2.05 (17°F db/15°F wb); </v>
      </c>
      <c r="AH44" s="2945" t="s">
        <v>645</v>
      </c>
    </row>
    <row r="45" spans="1:38" ht="41.4" x14ac:dyDescent="0.25">
      <c r="C45" s="945" t="s">
        <v>137</v>
      </c>
      <c r="D45" s="946"/>
      <c r="E45" s="945" t="s">
        <v>1945</v>
      </c>
      <c r="F45" s="946"/>
      <c r="G45" s="945"/>
      <c r="H45" s="945" t="s">
        <v>119</v>
      </c>
      <c r="I45" s="945" t="s">
        <v>135</v>
      </c>
      <c r="Y45" s="2931" t="s">
        <v>115</v>
      </c>
      <c r="Z45" s="1126" t="s">
        <v>2252</v>
      </c>
      <c r="AA45" s="4290" t="s">
        <v>2214</v>
      </c>
      <c r="AB45" s="1126"/>
      <c r="AC45" s="1125" t="str">
        <f>Y45&amp;AA45</f>
        <v>System 5 - Packaged VAV with ReheatN/A</v>
      </c>
      <c r="AD45" s="1481">
        <v>0.8</v>
      </c>
      <c r="AE45" s="1127" t="s">
        <v>2312</v>
      </c>
      <c r="AF45" s="396" t="str">
        <f>IF(SI_IP_Units="IP","&lt;300,000 Btu/h","&lt;88 kW")</f>
        <v>&lt;300,000 Btu/h</v>
      </c>
      <c r="AG45" s="2918">
        <v>0.82</v>
      </c>
      <c r="AH45" s="2928" t="s">
        <v>2312</v>
      </c>
    </row>
    <row r="46" spans="1:38" ht="27.6" x14ac:dyDescent="0.25">
      <c r="C46" s="945" t="s">
        <v>138</v>
      </c>
      <c r="D46" s="945"/>
      <c r="E46" s="945" t="s">
        <v>119</v>
      </c>
      <c r="F46" s="946"/>
      <c r="G46" s="945"/>
      <c r="H46" s="945" t="s">
        <v>140</v>
      </c>
      <c r="I46" s="945" t="s">
        <v>139</v>
      </c>
      <c r="Y46" s="2931" t="s">
        <v>115</v>
      </c>
      <c r="Z46" s="1126"/>
      <c r="AA46" s="4290"/>
      <c r="AB46" s="1126"/>
      <c r="AC46" s="1125" t="str">
        <f>Y46&amp;AA45</f>
        <v>System 5 - Packaged VAV with ReheatN/A</v>
      </c>
      <c r="AD46" s="1481">
        <v>0.75</v>
      </c>
      <c r="AE46" s="1127" t="s">
        <v>2313</v>
      </c>
      <c r="AF46" s="396" t="str">
        <f>IF(SI_IP_Units="IP","≥300,000 Btu/h and ≤2,500,000 Btu/h","≥88 kW and ≤733 kW")</f>
        <v>≥300,000 Btu/h and ≤2,500,000 Btu/h</v>
      </c>
      <c r="AG46" s="2918">
        <v>0.8</v>
      </c>
      <c r="AH46" s="2928" t="s">
        <v>2313</v>
      </c>
    </row>
    <row r="47" spans="1:38" ht="27.6" x14ac:dyDescent="0.25">
      <c r="C47" s="946"/>
      <c r="D47" s="946"/>
      <c r="E47" s="945" t="s">
        <v>140</v>
      </c>
      <c r="F47" s="946"/>
      <c r="G47" s="945"/>
      <c r="H47" s="945" t="s">
        <v>140</v>
      </c>
      <c r="I47" s="945" t="s">
        <v>1946</v>
      </c>
      <c r="Y47" s="2931" t="s">
        <v>115</v>
      </c>
      <c r="Z47" s="1126"/>
      <c r="AA47" s="4291"/>
      <c r="AB47" s="1126"/>
      <c r="AC47" s="1125" t="str">
        <f>Y47&amp;AA45</f>
        <v>System 5 - Packaged VAV with ReheatN/A</v>
      </c>
      <c r="AD47" s="1481">
        <v>0.8</v>
      </c>
      <c r="AE47" s="1127" t="s">
        <v>2314</v>
      </c>
      <c r="AF47" s="396" t="str">
        <f>IF(SI_IP_Units="IP","&gt; 2,500,000 Btu/h","&gt; 733 kW")</f>
        <v>&gt; 2,500,000 Btu/h</v>
      </c>
      <c r="AG47" s="2918">
        <v>0.82</v>
      </c>
      <c r="AH47" s="2928" t="s">
        <v>2314</v>
      </c>
    </row>
    <row r="48" spans="1:38" ht="27.6" x14ac:dyDescent="0.25">
      <c r="C48" s="946"/>
      <c r="D48" s="946"/>
      <c r="E48" s="945" t="s">
        <v>120</v>
      </c>
      <c r="F48" s="946"/>
      <c r="G48" s="945"/>
      <c r="H48" s="945" t="s">
        <v>120</v>
      </c>
      <c r="I48" s="946" t="s">
        <v>118</v>
      </c>
      <c r="U48" s="396"/>
      <c r="Y48" s="2946" t="s">
        <v>116</v>
      </c>
      <c r="Z48" s="1189" t="s">
        <v>2253</v>
      </c>
      <c r="AA48" s="2787" t="s">
        <v>2214</v>
      </c>
      <c r="AB48" s="1190" t="s">
        <v>569</v>
      </c>
      <c r="AC48" s="1189" t="str">
        <f>Y48&amp;AA48</f>
        <v>System 6 - Packaged VAV with PFP BoxesN/A</v>
      </c>
      <c r="AD48" s="1190"/>
      <c r="AE48" s="1191"/>
      <c r="AF48" s="396" t="s">
        <v>3404</v>
      </c>
      <c r="AG48" s="2921"/>
      <c r="AH48" s="2922"/>
    </row>
    <row r="49" spans="3:34" ht="27.6" x14ac:dyDescent="0.25">
      <c r="C49" s="946"/>
      <c r="D49" s="946"/>
      <c r="E49" s="946"/>
      <c r="F49" s="946"/>
      <c r="G49" s="945"/>
      <c r="H49" s="945" t="s">
        <v>120</v>
      </c>
      <c r="I49" s="946" t="s">
        <v>1947</v>
      </c>
      <c r="U49" s="396"/>
      <c r="Y49" s="2931" t="s">
        <v>116</v>
      </c>
      <c r="Z49" s="1125"/>
      <c r="AA49" s="2788"/>
      <c r="AB49" s="1126" t="s">
        <v>1920</v>
      </c>
      <c r="AC49" s="1125" t="str">
        <f>Y49&amp;AA48</f>
        <v>System 6 - Packaged VAV with PFP BoxesN/A</v>
      </c>
      <c r="AD49" s="1126"/>
      <c r="AE49" s="1127"/>
      <c r="AF49" s="396" t="s">
        <v>3405</v>
      </c>
      <c r="AG49" s="2927"/>
      <c r="AH49" s="2928"/>
    </row>
    <row r="50" spans="3:34" ht="13.8" x14ac:dyDescent="0.25">
      <c r="C50" s="941"/>
      <c r="D50" s="941"/>
      <c r="E50" s="941"/>
      <c r="F50" s="941"/>
      <c r="G50" s="940"/>
      <c r="H50" s="941"/>
      <c r="I50" s="941"/>
      <c r="U50" s="396"/>
      <c r="Y50" s="2931" t="s">
        <v>116</v>
      </c>
      <c r="Z50" s="1125"/>
      <c r="AA50" s="2788"/>
      <c r="AB50" s="1126" t="s">
        <v>1920</v>
      </c>
      <c r="AC50" s="1125" t="str">
        <f>Y50&amp;AA48</f>
        <v>System 6 - Packaged VAV with PFP BoxesN/A</v>
      </c>
      <c r="AD50" s="1126"/>
      <c r="AE50" s="1127"/>
      <c r="AF50" s="396" t="s">
        <v>3406</v>
      </c>
      <c r="AG50" s="2927"/>
      <c r="AH50" s="2928"/>
    </row>
    <row r="51" spans="3:34" ht="15" customHeight="1" x14ac:dyDescent="0.25">
      <c r="C51" s="941"/>
      <c r="D51" s="941"/>
      <c r="E51" s="941"/>
      <c r="F51" s="941"/>
      <c r="G51" s="941"/>
      <c r="H51" s="941"/>
      <c r="I51" s="941"/>
      <c r="Y51" s="2931" t="s">
        <v>116</v>
      </c>
      <c r="Z51" s="1125"/>
      <c r="AA51" s="2788"/>
      <c r="AB51" s="1126" t="s">
        <v>1920</v>
      </c>
      <c r="AC51" s="1125" t="str">
        <f>Y51&amp;AA48</f>
        <v>System 6 - Packaged VAV with PFP BoxesN/A</v>
      </c>
      <c r="AD51" s="1126"/>
      <c r="AE51" s="1127"/>
      <c r="AF51" s="396" t="s">
        <v>3407</v>
      </c>
      <c r="AG51" s="2927"/>
      <c r="AH51" s="2928"/>
    </row>
    <row r="52" spans="3:34" ht="13.8" x14ac:dyDescent="0.25">
      <c r="Y52" s="2923" t="s">
        <v>116</v>
      </c>
      <c r="Z52" s="1129"/>
      <c r="AA52" s="2789"/>
      <c r="AB52" s="1129" t="s">
        <v>1920</v>
      </c>
      <c r="AC52" s="1128" t="str">
        <f>Y52&amp;AA48</f>
        <v>System 6 - Packaged VAV with PFP BoxesN/A</v>
      </c>
      <c r="AD52" s="1129"/>
      <c r="AE52" s="1130"/>
      <c r="AF52" s="396" t="s">
        <v>3408</v>
      </c>
      <c r="AG52" s="2924"/>
      <c r="AH52" s="2925"/>
    </row>
    <row r="53" spans="3:34" ht="13.8" x14ac:dyDescent="0.25">
      <c r="Y53" s="2926" t="s">
        <v>119</v>
      </c>
      <c r="Z53" s="1125" t="s">
        <v>1930</v>
      </c>
      <c r="AA53" s="1125" t="str">
        <f>IF(SI_IP_Units="IP","&lt;225,000 Btu/h","&lt;66 kW")</f>
        <v>&lt;225,000 Btu/h</v>
      </c>
      <c r="AB53" s="1126"/>
      <c r="AC53" s="1125" t="str">
        <f>Y53&amp;AA53</f>
        <v>System 9 - Heating and Ventilation&lt;225,000 Btu/h</v>
      </c>
      <c r="AD53" s="1126" t="s">
        <v>2316</v>
      </c>
      <c r="AE53" s="1127" t="s">
        <v>2317</v>
      </c>
      <c r="AF53" s="396" t="str">
        <f>IF(SI_IP_Units="IP","&lt;225,000 Btu/h","&lt;66 kW")</f>
        <v>&lt;225,000 Btu/h</v>
      </c>
      <c r="AG53" s="2927" t="s">
        <v>2316</v>
      </c>
      <c r="AH53" s="2928" t="s">
        <v>2317</v>
      </c>
    </row>
    <row r="54" spans="3:34" ht="13.8" x14ac:dyDescent="0.25">
      <c r="Y54" s="2926" t="s">
        <v>119</v>
      </c>
      <c r="Z54" s="1125" t="s">
        <v>1930</v>
      </c>
      <c r="AA54" s="1125" t="str">
        <f>IF(SI_IP_Units="IP","≥ 225,000 Btu/h","≥ 66 kW")</f>
        <v>≥ 225,000 Btu/h</v>
      </c>
      <c r="AB54" s="1126"/>
      <c r="AC54" s="1125" t="str">
        <f>Y54&amp;AA54</f>
        <v>System 9 - Heating and Ventilation≥ 225,000 Btu/h</v>
      </c>
      <c r="AD54" s="1481">
        <v>0.8</v>
      </c>
      <c r="AE54" s="1127" t="s">
        <v>2314</v>
      </c>
      <c r="AF54" s="396" t="str">
        <f>IF(SI_IP_Units="IP","≥ 225,000 Btu/h","≥ 66 kW")</f>
        <v>≥ 225,000 Btu/h</v>
      </c>
      <c r="AG54" s="2929">
        <v>0.8</v>
      </c>
      <c r="AH54" s="2928" t="s">
        <v>2314</v>
      </c>
    </row>
    <row r="55" spans="3:34" ht="13.8" x14ac:dyDescent="0.25">
      <c r="Y55" s="2920" t="s">
        <v>117</v>
      </c>
      <c r="Z55" s="1190" t="s">
        <v>2252</v>
      </c>
      <c r="AA55" s="2784" t="s">
        <v>2214</v>
      </c>
      <c r="AB55" s="1190"/>
      <c r="AC55" s="1189" t="str">
        <f>Y55&amp;AA55</f>
        <v>System 7 - VAV with ReheatN/A</v>
      </c>
      <c r="AD55" s="1482">
        <v>0.8</v>
      </c>
      <c r="AE55" s="1191" t="s">
        <v>2312</v>
      </c>
      <c r="AF55" s="396" t="str">
        <f>IF(SI_IP_Units="IP","&lt;300,000 Btu/h","&lt;88 kW")</f>
        <v>&lt;300,000 Btu/h</v>
      </c>
      <c r="AG55" s="2915">
        <v>0.82</v>
      </c>
      <c r="AH55" s="2922" t="s">
        <v>2312</v>
      </c>
    </row>
    <row r="56" spans="3:34" ht="13.8" x14ac:dyDescent="0.25">
      <c r="Y56" s="2931" t="s">
        <v>117</v>
      </c>
      <c r="Z56" s="1126"/>
      <c r="AA56" s="2785"/>
      <c r="AB56" s="1126"/>
      <c r="AC56" s="1125" t="str">
        <f>Y56&amp;AA55</f>
        <v>System 7 - VAV with ReheatN/A</v>
      </c>
      <c r="AD56" s="1481">
        <v>0.75</v>
      </c>
      <c r="AE56" s="1127" t="s">
        <v>2313</v>
      </c>
      <c r="AF56" s="396" t="str">
        <f>IF(SI_IP_Units="IP","≥300,000 Btu/h and ≤2,500,000 Btu/h","≥88 kW and ≤733 kW")</f>
        <v>≥300,000 Btu/h and ≤2,500,000 Btu/h</v>
      </c>
      <c r="AG56" s="2918">
        <v>0.8</v>
      </c>
      <c r="AH56" s="2928" t="s">
        <v>2313</v>
      </c>
    </row>
    <row r="57" spans="3:34" ht="13.8" x14ac:dyDescent="0.25">
      <c r="Y57" s="2923" t="s">
        <v>117</v>
      </c>
      <c r="Z57" s="1129"/>
      <c r="AA57" s="2786"/>
      <c r="AB57" s="1129"/>
      <c r="AC57" s="1128" t="str">
        <f>Y57&amp;AA55</f>
        <v>System 7 - VAV with ReheatN/A</v>
      </c>
      <c r="AD57" s="1483">
        <v>0.8</v>
      </c>
      <c r="AE57" s="1130" t="s">
        <v>2314</v>
      </c>
      <c r="AF57" s="396" t="str">
        <f>IF(SI_IP_Units="IP","&gt; 2,500,000 Btu/h","&gt; 733 kW")</f>
        <v>&gt; 2,500,000 Btu/h</v>
      </c>
      <c r="AG57" s="2918">
        <v>0.82</v>
      </c>
      <c r="AH57" s="2925" t="s">
        <v>2314</v>
      </c>
    </row>
    <row r="58" spans="3:34" ht="13.8" x14ac:dyDescent="0.25">
      <c r="Y58" s="2931" t="s">
        <v>1853</v>
      </c>
      <c r="Z58" s="1126" t="s">
        <v>2252</v>
      </c>
      <c r="AA58" s="2784" t="s">
        <v>2214</v>
      </c>
      <c r="AB58" s="1126"/>
      <c r="AC58" s="1125" t="str">
        <f>Y58&amp;AA58</f>
        <v>System 12 - SZ-CV-HWN/A</v>
      </c>
      <c r="AD58" s="1481">
        <v>0.8</v>
      </c>
      <c r="AE58" s="1127" t="s">
        <v>2312</v>
      </c>
      <c r="AF58" s="396" t="str">
        <f>IF(SI_IP_Units="IP","&lt;300,000 Btu/h","&lt;88 kW")</f>
        <v>&lt;300,000 Btu/h</v>
      </c>
      <c r="AG58" s="2915">
        <v>0.82</v>
      </c>
      <c r="AH58" s="2928" t="s">
        <v>2312</v>
      </c>
    </row>
    <row r="59" spans="3:34" ht="13.8" x14ac:dyDescent="0.25">
      <c r="Y59" s="2931" t="s">
        <v>1853</v>
      </c>
      <c r="Z59" s="1126"/>
      <c r="AA59" s="2785"/>
      <c r="AB59" s="1126"/>
      <c r="AC59" s="1125" t="str">
        <f>Y59&amp;AA58</f>
        <v>System 12 - SZ-CV-HWN/A</v>
      </c>
      <c r="AD59" s="1481">
        <v>0.75</v>
      </c>
      <c r="AE59" s="1127" t="s">
        <v>2313</v>
      </c>
      <c r="AF59" s="396" t="str">
        <f>IF(SI_IP_Units="IP","≥300,000 Btu/h and ≤2,500,000 Btu/h","≥88 kW and ≤733 kW")</f>
        <v>≥300,000 Btu/h and ≤2,500,000 Btu/h</v>
      </c>
      <c r="AG59" s="2918">
        <v>0.8</v>
      </c>
      <c r="AH59" s="2928" t="s">
        <v>2313</v>
      </c>
    </row>
    <row r="60" spans="3:34" ht="14.4" thickBot="1" x14ac:dyDescent="0.3">
      <c r="Y60" s="2940" t="s">
        <v>1853</v>
      </c>
      <c r="Z60" s="2942"/>
      <c r="AA60" s="2947"/>
      <c r="AB60" s="2942"/>
      <c r="AC60" s="2941" t="str">
        <f>Y60&amp;AA58</f>
        <v>System 12 - SZ-CV-HWN/A</v>
      </c>
      <c r="AD60" s="2948">
        <v>0.8</v>
      </c>
      <c r="AE60" s="2943" t="s">
        <v>2314</v>
      </c>
      <c r="AF60" s="2949" t="str">
        <f>IF(SI_IP_Units="IP","&gt; 2,500,000 Btu/h","&gt; 733 kW")</f>
        <v>&gt; 2,500,000 Btu/h</v>
      </c>
      <c r="AG60" s="2950">
        <v>0.82</v>
      </c>
      <c r="AH60" s="2945" t="s">
        <v>2314</v>
      </c>
    </row>
  </sheetData>
  <sheetProtection algorithmName="SHA-512" hashValue="qPq9vvP/Uv7dl/zDo+y6y2pj4JXVZgc5KX9t1WVfkYVX/pTO42SgoMhdPVLwFO5UkFdZzT48GIyzWCI1UZ8ZTg==" saltValue="j+kYcWj6fOKyBlktwheU0g==" spinCount="100000" sheet="1" objects="1" scenarios="1"/>
  <customSheetViews>
    <customSheetView guid="{75D6F8CE-A4F4-4FDD-BA92-7996F9E19FA9}" scale="80" showGridLines="0">
      <pageMargins left="0.7" right="0.7" top="0.75" bottom="0.75" header="0.3" footer="0.3"/>
      <pageSetup orientation="portrait"/>
    </customSheetView>
  </customSheetViews>
  <mergeCells count="16">
    <mergeCell ref="Q7:U7"/>
    <mergeCell ref="H8:H9"/>
    <mergeCell ref="I8:I9"/>
    <mergeCell ref="K7:O7"/>
    <mergeCell ref="R8:R9"/>
    <mergeCell ref="S8:S9"/>
    <mergeCell ref="T8:T9"/>
    <mergeCell ref="K8:L8"/>
    <mergeCell ref="M8:M9"/>
    <mergeCell ref="N8:N9"/>
    <mergeCell ref="Q8:Q9"/>
    <mergeCell ref="AA33:AA35"/>
    <mergeCell ref="AA45:AA47"/>
    <mergeCell ref="Q36:T36"/>
    <mergeCell ref="G8:G9"/>
    <mergeCell ref="U8:U9"/>
  </mergeCell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18">
    <tabColor rgb="FFC00000"/>
  </sheetPr>
  <dimension ref="A1:FA218"/>
  <sheetViews>
    <sheetView topLeftCell="AS1" zoomScaleNormal="100" workbookViewId="0">
      <selection activeCell="BB28" sqref="BB28"/>
    </sheetView>
  </sheetViews>
  <sheetFormatPr defaultColWidth="8.69921875" defaultRowHeight="13.2" x14ac:dyDescent="0.25"/>
  <cols>
    <col min="1" max="1" width="11.296875" style="46" customWidth="1"/>
    <col min="2" max="3" width="21.796875" style="46" customWidth="1"/>
    <col min="4" max="4" width="19.19921875" style="46" customWidth="1"/>
    <col min="5" max="5" width="25.796875" style="46" customWidth="1"/>
    <col min="6" max="6" width="33.296875" style="46" customWidth="1"/>
    <col min="7" max="7" width="10" style="46" customWidth="1"/>
    <col min="8" max="8" width="9.69921875" style="46" customWidth="1"/>
    <col min="9" max="10" width="19.796875" style="46" customWidth="1"/>
    <col min="11" max="12" width="12.69921875" style="46" customWidth="1"/>
    <col min="13" max="22" width="8.69921875" style="46"/>
    <col min="23" max="23" width="58.796875" style="46" customWidth="1"/>
    <col min="24" max="28" width="8.69921875" style="46"/>
    <col min="29" max="31" width="8.296875" style="46" customWidth="1"/>
    <col min="32" max="32" width="13.69921875" style="46" customWidth="1"/>
    <col min="33" max="36" width="8.296875" style="46" customWidth="1"/>
    <col min="37" max="56" width="8.69921875" style="46"/>
    <col min="57" max="57" width="22.19921875" style="46" customWidth="1"/>
    <col min="58" max="78" width="8.69921875" style="46"/>
    <col min="79" max="79" width="17.19921875" style="46" customWidth="1"/>
    <col min="80" max="81" width="8.69921875" style="46"/>
    <col min="82" max="82" width="30" style="46" customWidth="1"/>
    <col min="83" max="83" width="8.69921875" style="46"/>
    <col min="84" max="84" width="15" style="46" customWidth="1"/>
    <col min="85" max="85" width="8.69921875" style="46"/>
    <col min="86" max="86" width="10.796875" style="46" customWidth="1"/>
    <col min="87" max="90" width="8.69921875" style="46"/>
    <col min="91" max="91" width="12.69921875" style="46" customWidth="1"/>
    <col min="92" max="92" width="8.69921875" style="46"/>
    <col min="93" max="93" width="25" style="46" customWidth="1"/>
    <col min="94" max="95" width="8.69921875" style="46"/>
    <col min="96" max="96" width="2.796875" style="46" customWidth="1"/>
    <col min="97" max="97" width="47.19921875" style="46" customWidth="1"/>
    <col min="98" max="98" width="3.19921875" style="46" customWidth="1"/>
    <col min="99" max="99" width="30.5" style="46" customWidth="1"/>
    <col min="100" max="112" width="8.69921875" style="46"/>
    <col min="113" max="113" width="3.5" style="46" customWidth="1"/>
    <col min="114" max="114" width="12.5" style="46" customWidth="1"/>
    <col min="115" max="121" width="8.69921875" style="46"/>
    <col min="122" max="122" width="14.69921875" style="46" customWidth="1"/>
    <col min="123" max="127" width="8.69921875" style="46"/>
    <col min="128" max="128" width="51.19921875" style="46" customWidth="1"/>
    <col min="129" max="129" width="63.796875" style="46" customWidth="1"/>
    <col min="130" max="130" width="8.69921875" style="46"/>
    <col min="131" max="132" width="22.69921875" style="46" customWidth="1"/>
    <col min="133" max="150" width="8.69921875" style="46"/>
    <col min="151" max="151" width="13.19921875" style="46" customWidth="1"/>
    <col min="152" max="16384" width="8.69921875" style="46"/>
  </cols>
  <sheetData>
    <row r="1" spans="1:157" s="57" customFormat="1" ht="93" thickBot="1" x14ac:dyDescent="0.3">
      <c r="B1" s="58" t="s">
        <v>597</v>
      </c>
      <c r="C1" s="58" t="s">
        <v>596</v>
      </c>
      <c r="D1" s="57" t="s">
        <v>2186</v>
      </c>
      <c r="E1" s="58" t="s">
        <v>404</v>
      </c>
      <c r="F1" s="57" t="s">
        <v>868</v>
      </c>
      <c r="G1" s="57" t="s">
        <v>595</v>
      </c>
      <c r="H1" s="57" t="s">
        <v>883</v>
      </c>
      <c r="I1" s="58" t="s">
        <v>594</v>
      </c>
      <c r="J1" s="58" t="s">
        <v>868</v>
      </c>
      <c r="K1" s="57" t="s">
        <v>593</v>
      </c>
      <c r="O1" s="58" t="s">
        <v>592</v>
      </c>
      <c r="Q1" s="58" t="s">
        <v>401</v>
      </c>
      <c r="W1" s="2499" t="s">
        <v>591</v>
      </c>
      <c r="X1" s="58" t="s">
        <v>591</v>
      </c>
      <c r="AB1" s="57" t="s">
        <v>869</v>
      </c>
      <c r="AC1" s="57" t="s">
        <v>870</v>
      </c>
      <c r="AD1" s="57" t="s">
        <v>871</v>
      </c>
      <c r="AF1" s="57" t="s">
        <v>1636</v>
      </c>
      <c r="AG1" s="57" t="s">
        <v>1637</v>
      </c>
      <c r="AH1" s="57" t="s">
        <v>2199</v>
      </c>
      <c r="AL1" s="58" t="s">
        <v>397</v>
      </c>
      <c r="AO1" s="58" t="s">
        <v>590</v>
      </c>
      <c r="AQ1" s="58" t="s">
        <v>2204</v>
      </c>
      <c r="AR1" s="58" t="s">
        <v>589</v>
      </c>
      <c r="AV1" s="57" t="s">
        <v>588</v>
      </c>
      <c r="AW1" s="1681" t="s">
        <v>2352</v>
      </c>
      <c r="AX1" s="1681" t="s">
        <v>2353</v>
      </c>
      <c r="AY1" s="57" t="s">
        <v>587</v>
      </c>
      <c r="BB1" s="57" t="s">
        <v>586</v>
      </c>
      <c r="BE1" s="58" t="s">
        <v>585</v>
      </c>
      <c r="BF1" s="57" t="s">
        <v>366</v>
      </c>
      <c r="BH1" s="57" t="s">
        <v>584</v>
      </c>
      <c r="BL1" s="57" t="s">
        <v>130</v>
      </c>
      <c r="BN1" s="57" t="s">
        <v>129</v>
      </c>
      <c r="CA1" s="58" t="s">
        <v>583</v>
      </c>
      <c r="CD1" s="57" t="s">
        <v>582</v>
      </c>
      <c r="CL1" s="57" t="s">
        <v>581</v>
      </c>
      <c r="CM1" s="57" t="s">
        <v>580</v>
      </c>
      <c r="CO1" s="1017" t="s">
        <v>945</v>
      </c>
      <c r="CP1" s="183"/>
      <c r="CS1" s="57" t="s">
        <v>1083</v>
      </c>
      <c r="CU1" s="342" t="s">
        <v>1189</v>
      </c>
      <c r="CV1" s="342" t="str">
        <f>CONCATENATE("Base ",IF(SI_IP_Units="IP","(kWh/year)","kWh/year"))</f>
        <v>Base (kWh/year)</v>
      </c>
      <c r="CW1" s="342" t="str">
        <f>CONCATENATE("Energy Star ",IF(SI_IP_Units="IP","(kWh/year)","kWh/year"))</f>
        <v>Energy Star (kWh/year)</v>
      </c>
      <c r="CX1" s="342" t="s">
        <v>1212</v>
      </c>
      <c r="CY1" s="342" t="s">
        <v>1213</v>
      </c>
      <c r="CZ1" s="342" t="s">
        <v>1225</v>
      </c>
      <c r="DA1" s="342" t="str">
        <f>CONCATENATE("Base ",IF(SI_IP_Units="IP","(Therms/year)","kWh/year"))</f>
        <v>Base (Therms/year)</v>
      </c>
      <c r="DB1" s="342" t="str">
        <f>CONCATENATE("Energy Star ",IF(SI_IP_Units="IP","(Therms/year)","kWh/year"))</f>
        <v>Energy Star (Therms/year)</v>
      </c>
      <c r="DC1" s="342" t="s">
        <v>1210</v>
      </c>
      <c r="DD1" s="342" t="s">
        <v>1211</v>
      </c>
      <c r="DE1" s="342" t="s">
        <v>1226</v>
      </c>
      <c r="DF1" s="342" t="s">
        <v>807</v>
      </c>
      <c r="DG1" s="342" t="s">
        <v>1227</v>
      </c>
      <c r="DH1" s="342" t="s">
        <v>1228</v>
      </c>
      <c r="DI1" s="342"/>
      <c r="DJ1" s="342" t="s">
        <v>1195</v>
      </c>
      <c r="DK1" s="342" t="s">
        <v>1200</v>
      </c>
      <c r="DL1" s="342" t="s">
        <v>1201</v>
      </c>
      <c r="DM1" s="342"/>
      <c r="DN1" s="342"/>
      <c r="DO1" s="57" t="s">
        <v>1308</v>
      </c>
      <c r="DR1" s="57" t="s">
        <v>1559</v>
      </c>
      <c r="DV1" s="57" t="s">
        <v>2480</v>
      </c>
      <c r="EA1" s="57" t="s">
        <v>2912</v>
      </c>
      <c r="FA1" s="57" t="s">
        <v>3452</v>
      </c>
    </row>
    <row r="2" spans="1:157" ht="68.25" customHeight="1" x14ac:dyDescent="0.25">
      <c r="A2" s="46">
        <v>1</v>
      </c>
      <c r="B2" s="46" t="s">
        <v>374</v>
      </c>
      <c r="C2" s="55">
        <f>IF(RatingSystemSelection="ENERGY STAR MFHR",2.55,3.14)</f>
        <v>3.14</v>
      </c>
      <c r="E2" s="46" t="s">
        <v>398</v>
      </c>
      <c r="F2" s="46" t="s">
        <v>579</v>
      </c>
      <c r="G2" s="46">
        <v>3.4119999999999999</v>
      </c>
      <c r="H2" s="1018">
        <f t="shared" ref="H2:H8" si="0">G2/100</f>
        <v>3.4119999999999998E-2</v>
      </c>
      <c r="I2" s="46" t="s">
        <v>207</v>
      </c>
      <c r="J2" s="46" t="s">
        <v>208</v>
      </c>
      <c r="K2" s="1019">
        <v>3.4119999999999999</v>
      </c>
      <c r="L2" s="1019"/>
      <c r="O2" s="46" t="s">
        <v>578</v>
      </c>
      <c r="Q2" s="46" t="s">
        <v>577</v>
      </c>
      <c r="W2" s="2500" t="s">
        <v>3312</v>
      </c>
      <c r="X2" s="2501" t="s">
        <v>864</v>
      </c>
      <c r="AB2" s="57"/>
      <c r="AC2" s="57"/>
      <c r="AD2" s="57"/>
      <c r="AE2" s="57"/>
      <c r="AF2" s="57" t="s">
        <v>1638</v>
      </c>
      <c r="AG2" s="57" t="s">
        <v>1639</v>
      </c>
      <c r="AH2" s="839" t="s">
        <v>2194</v>
      </c>
      <c r="AI2" s="57"/>
      <c r="AL2" s="46" t="s">
        <v>576</v>
      </c>
      <c r="AO2" s="46" t="s">
        <v>412</v>
      </c>
      <c r="AQ2" s="46" t="s">
        <v>2470</v>
      </c>
      <c r="AR2" s="46" t="s">
        <v>2203</v>
      </c>
      <c r="AV2" s="54" t="s">
        <v>31</v>
      </c>
      <c r="AW2" s="46" t="s">
        <v>2354</v>
      </c>
      <c r="AX2" s="46" t="s">
        <v>2354</v>
      </c>
      <c r="AY2" s="46" t="s">
        <v>575</v>
      </c>
      <c r="BB2" s="46" t="s">
        <v>31</v>
      </c>
      <c r="BE2" s="46" t="s">
        <v>392</v>
      </c>
      <c r="BH2" s="46" t="s">
        <v>574</v>
      </c>
      <c r="BL2" s="46" t="s">
        <v>573</v>
      </c>
      <c r="BN2" s="46" t="s">
        <v>572</v>
      </c>
      <c r="CA2" s="56" t="s">
        <v>571</v>
      </c>
      <c r="CB2" s="56">
        <v>1</v>
      </c>
      <c r="CD2" s="56" t="s">
        <v>570</v>
      </c>
      <c r="CE2" s="56">
        <v>5</v>
      </c>
      <c r="CM2" s="46" t="s">
        <v>569</v>
      </c>
      <c r="CO2" s="53" t="s">
        <v>404</v>
      </c>
      <c r="CP2" s="46" t="s">
        <v>946</v>
      </c>
      <c r="CS2" s="46" t="s">
        <v>1080</v>
      </c>
      <c r="CU2" s="342" t="s">
        <v>1190</v>
      </c>
      <c r="CV2" s="342">
        <v>529</v>
      </c>
      <c r="CW2" s="342">
        <v>423</v>
      </c>
      <c r="CX2" s="342">
        <v>1</v>
      </c>
      <c r="CY2" s="342">
        <v>0</v>
      </c>
      <c r="DA2" s="342"/>
      <c r="DB2" s="342"/>
      <c r="DE2" s="46">
        <v>0</v>
      </c>
      <c r="DF2" s="46">
        <v>1</v>
      </c>
      <c r="DG2" s="46">
        <v>0</v>
      </c>
      <c r="DH2" s="46">
        <v>0</v>
      </c>
      <c r="DI2" s="342"/>
      <c r="DJ2" s="342" t="s">
        <v>1196</v>
      </c>
      <c r="DK2" s="342">
        <v>0.2</v>
      </c>
      <c r="DL2" s="342">
        <v>0.7</v>
      </c>
      <c r="DM2" s="342"/>
      <c r="DN2" s="342"/>
      <c r="DO2" s="46" t="s">
        <v>1306</v>
      </c>
      <c r="DR2" s="46">
        <f ca="1">ROWS(IF(MBD_LEEDNDEMSubsetExist=TRUE,
OFFSET(MBD_BSTotal_Index,1,0,ROWS(MBD_BSTotal_Index)-1,1),
IF(MultipleBuildingsExist="YES",OFFSET(MBD_BSTotal_Index,2,0,ROWS(MBD_BSTotal_Index)-2,1),
OFFSET(MBD_BSTotal_Index,2,0,ROWS(MBD_BSTotal_Index)-2,1))))</f>
        <v>2</v>
      </c>
      <c r="DV2" s="46" t="s">
        <v>2481</v>
      </c>
      <c r="DW2" s="46" t="s">
        <v>2482</v>
      </c>
      <c r="DX2" s="1831" t="s">
        <v>2559</v>
      </c>
      <c r="DY2" s="1956" t="s">
        <v>25</v>
      </c>
      <c r="EA2" s="46" t="s">
        <v>2913</v>
      </c>
      <c r="EB2" s="46" t="s">
        <v>2914</v>
      </c>
      <c r="EC2" s="46" t="s">
        <v>3430</v>
      </c>
      <c r="EE2" s="2609" t="s">
        <v>3266</v>
      </c>
      <c r="EO2" s="2507" t="s">
        <v>3308</v>
      </c>
      <c r="EP2" s="46" t="s">
        <v>3241</v>
      </c>
      <c r="ER2" s="46" t="s">
        <v>3394</v>
      </c>
      <c r="ES2" s="46" t="s">
        <v>3395</v>
      </c>
      <c r="EU2" s="46" t="s">
        <v>3446</v>
      </c>
      <c r="EV2" s="46">
        <v>293.07107000000002</v>
      </c>
      <c r="EW2" s="46" t="s">
        <v>3450</v>
      </c>
      <c r="FA2" s="46" t="s">
        <v>2214</v>
      </c>
    </row>
    <row r="3" spans="1:157" ht="12.75" customHeight="1" thickBot="1" x14ac:dyDescent="0.3">
      <c r="A3" s="46">
        <v>2</v>
      </c>
      <c r="B3" s="46" t="s">
        <v>388</v>
      </c>
      <c r="C3" s="55">
        <v>1.05</v>
      </c>
      <c r="D3" s="46" t="s">
        <v>22</v>
      </c>
      <c r="E3" s="46" t="s">
        <v>568</v>
      </c>
      <c r="F3" s="46" t="s">
        <v>567</v>
      </c>
      <c r="G3" s="1019">
        <v>3412</v>
      </c>
      <c r="H3" s="1018">
        <f t="shared" si="0"/>
        <v>34.119999999999997</v>
      </c>
      <c r="I3" s="46" t="s">
        <v>566</v>
      </c>
      <c r="J3" s="46" t="s">
        <v>565</v>
      </c>
      <c r="K3" s="1019">
        <v>3412</v>
      </c>
      <c r="L3" s="1019"/>
      <c r="O3" s="46" t="s">
        <v>564</v>
      </c>
      <c r="Q3" s="46" t="s">
        <v>563</v>
      </c>
      <c r="W3" s="2502" t="s">
        <v>3313</v>
      </c>
      <c r="X3" s="2503" t="s">
        <v>872</v>
      </c>
      <c r="AF3" s="46" t="s">
        <v>1640</v>
      </c>
      <c r="AG3" s="46" t="s">
        <v>1641</v>
      </c>
      <c r="AH3" s="839" t="s">
        <v>2195</v>
      </c>
      <c r="AL3" s="46" t="s">
        <v>562</v>
      </c>
      <c r="AO3" s="46" t="s">
        <v>411</v>
      </c>
      <c r="AQ3" s="46" t="s">
        <v>2205</v>
      </c>
      <c r="AR3" s="46" t="s">
        <v>414</v>
      </c>
      <c r="AV3" s="54" t="s">
        <v>32</v>
      </c>
      <c r="AW3" s="46" t="s">
        <v>2354</v>
      </c>
      <c r="AX3" s="46" t="s">
        <v>2354</v>
      </c>
      <c r="AY3" s="46" t="s">
        <v>561</v>
      </c>
      <c r="BB3" s="46" t="s">
        <v>32</v>
      </c>
      <c r="BE3" s="46" t="s">
        <v>391</v>
      </c>
      <c r="BH3" s="46" t="s">
        <v>560</v>
      </c>
      <c r="BL3" s="46" t="s">
        <v>559</v>
      </c>
      <c r="BN3" s="46" t="s">
        <v>558</v>
      </c>
      <c r="CA3" s="56" t="s">
        <v>557</v>
      </c>
      <c r="CB3" s="56"/>
      <c r="CJ3" s="46" t="s">
        <v>556</v>
      </c>
      <c r="CK3" s="46">
        <v>2</v>
      </c>
      <c r="CL3" s="46" t="s">
        <v>555</v>
      </c>
      <c r="CM3" s="46">
        <v>0</v>
      </c>
      <c r="CO3" s="46" t="s">
        <v>398</v>
      </c>
      <c r="CP3" s="183">
        <v>1</v>
      </c>
      <c r="CS3" s="46" t="s">
        <v>1081</v>
      </c>
      <c r="CU3" s="46" t="s">
        <v>1191</v>
      </c>
      <c r="CV3" s="46">
        <v>206</v>
      </c>
      <c r="CW3" s="46">
        <v>164</v>
      </c>
      <c r="CX3" s="46">
        <v>0.6</v>
      </c>
      <c r="CY3" s="46">
        <v>0.15</v>
      </c>
      <c r="CZ3" s="46">
        <v>0</v>
      </c>
      <c r="DE3" s="46">
        <v>0</v>
      </c>
      <c r="DF3" s="46">
        <v>1</v>
      </c>
      <c r="DG3" s="46">
        <f>IF(SI_IP_Units="IP",1290,4883)</f>
        <v>1290</v>
      </c>
      <c r="DH3" s="46">
        <f>IF(SI_IP_Units="IP",860,3255)</f>
        <v>860</v>
      </c>
      <c r="DJ3" s="46" t="s">
        <v>76</v>
      </c>
      <c r="DK3" s="46">
        <v>0.2</v>
      </c>
      <c r="DL3" s="46">
        <v>0.7</v>
      </c>
      <c r="DO3" s="46" t="s">
        <v>569</v>
      </c>
      <c r="DR3" s="46">
        <f t="array" aca="1" ref="DR3:DR100" ca="1">IF(MBD_LEEDNDEMSubsetExist=TRUE,
OFFSET(MBD_BSTotal_Index,1,0,ROWS(MBD_BSTotal_Index)-1,1),
IF(MultipleBuildingsExist="YES",OFFSET(MBD_BSTotal_Index,2,0,ROWS(MBD_BSTotal_Index)-2,1),
OFFSET(MBD_BSTotal_Index,2,0,ROWS(MBD_BSTotal_Index)-2,1)))</f>
        <v>0</v>
      </c>
      <c r="DV3" s="46" t="s">
        <v>2487</v>
      </c>
      <c r="DW3" s="46" t="s">
        <v>2488</v>
      </c>
      <c r="DX3" s="1831" t="s">
        <v>2545</v>
      </c>
      <c r="DY3" s="1956" t="s">
        <v>28</v>
      </c>
      <c r="EA3" s="46" t="s">
        <v>111</v>
      </c>
      <c r="EB3" s="46" t="s">
        <v>112</v>
      </c>
      <c r="EC3" s="46" t="s">
        <v>111</v>
      </c>
      <c r="EE3" s="2752" t="s">
        <v>3184</v>
      </c>
      <c r="EO3" s="2508" t="s">
        <v>3239</v>
      </c>
      <c r="EP3" s="46" t="s">
        <v>3242</v>
      </c>
      <c r="ER3" s="46" t="s">
        <v>1949</v>
      </c>
      <c r="ES3" s="46" t="s">
        <v>1949</v>
      </c>
      <c r="EU3" s="46" t="s">
        <v>3447</v>
      </c>
      <c r="EV3" s="3034">
        <v>0.29307106999999999</v>
      </c>
      <c r="EW3" s="46" t="s">
        <v>3450</v>
      </c>
      <c r="FA3" s="46" t="str">
        <f>CONCATENATE("No Savings Claimed. Unfinished system types and assembly types modeled identically in the Baseline and Proposed Case, ","with unfinished lighting modeled using the Building Area Method. ","Baseline efficiencies and lighting power modeled per 90.1-2016 Appendix G. ", "Proposed efficiencies and lighting power for unfinished spaces modeled per prescriptive requirements of ",IF(bpf_reference="ACP","90.1-2010.","90.1-2016."))</f>
        <v>No Savings Claimed. Unfinished system types and assembly types modeled identically in the Baseline and Proposed Case, with unfinished lighting modeled using the Building Area Method. Baseline efficiencies and lighting power modeled per 90.1-2016 Appendix G. Proposed efficiencies and lighting power for unfinished spaces modeled per prescriptive requirements of 90.1-2016.</v>
      </c>
    </row>
    <row r="4" spans="1:157" ht="12.75" customHeight="1" x14ac:dyDescent="0.25">
      <c r="A4" s="46">
        <v>3</v>
      </c>
      <c r="B4" s="46" t="s">
        <v>129</v>
      </c>
      <c r="C4" s="46">
        <v>1</v>
      </c>
      <c r="E4" s="46" t="s">
        <v>554</v>
      </c>
      <c r="F4" s="46" t="s">
        <v>553</v>
      </c>
      <c r="G4" s="46">
        <v>1</v>
      </c>
      <c r="H4" s="1018">
        <f t="shared" si="0"/>
        <v>0.01</v>
      </c>
      <c r="I4" s="46" t="s">
        <v>209</v>
      </c>
      <c r="J4" s="46" t="s">
        <v>210</v>
      </c>
      <c r="K4" s="46">
        <v>1E-3</v>
      </c>
      <c r="Q4" s="46" t="s">
        <v>552</v>
      </c>
      <c r="W4" s="2502" t="s">
        <v>3314</v>
      </c>
      <c r="X4" s="2503" t="s">
        <v>873</v>
      </c>
      <c r="AB4" s="1020"/>
      <c r="AC4" s="1020"/>
      <c r="AD4" s="1020"/>
      <c r="AE4" s="1020"/>
      <c r="AF4" s="46" t="s">
        <v>1642</v>
      </c>
      <c r="AG4" s="1020"/>
      <c r="AH4" s="839" t="s">
        <v>2196</v>
      </c>
      <c r="AI4" s="1021"/>
      <c r="AJ4" s="233"/>
      <c r="AK4" s="1022"/>
      <c r="AL4" s="46" t="s">
        <v>551</v>
      </c>
      <c r="AO4" s="46" t="s">
        <v>410</v>
      </c>
      <c r="AQ4" s="46" t="s">
        <v>2206</v>
      </c>
      <c r="AR4" s="46" t="s">
        <v>413</v>
      </c>
      <c r="AV4" s="54" t="s">
        <v>33</v>
      </c>
      <c r="AW4" s="46" t="s">
        <v>2355</v>
      </c>
      <c r="AX4" s="46" t="s">
        <v>2355</v>
      </c>
      <c r="AY4" s="46" t="s">
        <v>550</v>
      </c>
      <c r="BB4" s="46" t="s">
        <v>33</v>
      </c>
      <c r="BE4" s="46" t="s">
        <v>390</v>
      </c>
      <c r="BL4" s="46" t="s">
        <v>549</v>
      </c>
      <c r="BN4" s="46" t="s">
        <v>548</v>
      </c>
      <c r="CA4" s="56" t="s">
        <v>547</v>
      </c>
      <c r="CB4" s="56">
        <v>1</v>
      </c>
      <c r="CD4" s="56" t="s">
        <v>546</v>
      </c>
      <c r="CE4" s="56" t="s">
        <v>545</v>
      </c>
      <c r="CF4" s="56" t="s">
        <v>544</v>
      </c>
      <c r="CG4" s="56" t="s">
        <v>543</v>
      </c>
      <c r="CH4" s="56" t="s">
        <v>542</v>
      </c>
      <c r="CL4" s="46" t="s">
        <v>541</v>
      </c>
      <c r="CM4" s="46">
        <v>0</v>
      </c>
      <c r="CO4" s="46" t="s">
        <v>568</v>
      </c>
      <c r="CP4" s="183">
        <v>1000</v>
      </c>
      <c r="CS4" s="46" t="s">
        <v>1082</v>
      </c>
      <c r="CU4" s="46" t="s">
        <v>1203</v>
      </c>
      <c r="CV4" s="46">
        <v>81</v>
      </c>
      <c r="CW4" s="46">
        <v>57</v>
      </c>
      <c r="CX4" s="46">
        <v>0.8</v>
      </c>
      <c r="CY4" s="46">
        <v>0</v>
      </c>
      <c r="CZ4" s="46">
        <v>0</v>
      </c>
      <c r="DE4" s="46">
        <v>0</v>
      </c>
      <c r="DF4" s="46">
        <v>1</v>
      </c>
      <c r="DG4" s="46">
        <f>IF(SI_IP_Units="IP",12179,46102)*0.2</f>
        <v>2435.8000000000002</v>
      </c>
      <c r="DH4" s="46">
        <f>IF(SI_IP_Units="IP",5637,21338)*0.2</f>
        <v>1127.4000000000001</v>
      </c>
      <c r="DJ4" s="46" t="s">
        <v>1197</v>
      </c>
      <c r="DK4" s="46">
        <v>0.2</v>
      </c>
      <c r="DL4" s="46">
        <v>0.7</v>
      </c>
      <c r="DO4" s="46" t="s">
        <v>1307</v>
      </c>
      <c r="DR4" s="46" t="str">
        <f ca="1"/>
        <v>All</v>
      </c>
      <c r="DX4" s="1832" t="s">
        <v>25</v>
      </c>
      <c r="DY4" s="1956" t="s">
        <v>26</v>
      </c>
      <c r="EA4" s="46" t="s">
        <v>113</v>
      </c>
      <c r="EB4" s="46" t="s">
        <v>114</v>
      </c>
      <c r="EC4" s="46" t="s">
        <v>112</v>
      </c>
      <c r="EE4" s="2752" t="s">
        <v>3265</v>
      </c>
      <c r="EO4" s="46" t="s">
        <v>3309</v>
      </c>
      <c r="EP4" s="46" t="s">
        <v>3310</v>
      </c>
      <c r="ER4" s="46" t="s">
        <v>3396</v>
      </c>
      <c r="ES4" s="46" t="s">
        <v>3397</v>
      </c>
      <c r="EU4" s="46" t="s">
        <v>3448</v>
      </c>
      <c r="EV4" s="46">
        <v>1000</v>
      </c>
      <c r="EW4" s="46" t="s">
        <v>3450</v>
      </c>
      <c r="FA4" s="46" t="str">
        <f>CONCATENATE("Savings Claimed. Additional savings documented beyond prescriptive requirements of ASHRAE 90.1-",IF(bpf_reference="ACP","2010 ","2016 "), "in the proposed design. Unfinished system types and assembly types modeled identically in the Baseline and Proposed Case (except where adjusted by TSLA), ","with unfinished lighting modeled using the Building Area Method. ","Baseline efficiencies and lighting power modeled per 90.1-2016 Appendix G. ")</f>
        <v xml:space="preserve">Savings Claimed. Additional savings documented beyond prescriptive requirements of ASHRAE 90.1-2016 in the proposed design. Unfinished system types and assembly types modeled identically in the Baseline and Proposed Case (except where adjusted by TSLA), with unfinished lighting modeled using the Building Area Method. Baseline efficiencies and lighting power modeled per 90.1-2016 Appendix G. </v>
      </c>
    </row>
    <row r="5" spans="1:157" ht="12.75" customHeight="1" x14ac:dyDescent="0.25">
      <c r="A5" s="46">
        <v>4</v>
      </c>
      <c r="B5" s="46" t="s">
        <v>130</v>
      </c>
      <c r="C5" s="55">
        <v>1.2</v>
      </c>
      <c r="E5" s="46" t="s">
        <v>400</v>
      </c>
      <c r="F5" s="46" t="s">
        <v>400</v>
      </c>
      <c r="G5" s="46">
        <v>100</v>
      </c>
      <c r="H5" s="1018">
        <f t="shared" si="0"/>
        <v>1</v>
      </c>
      <c r="I5" s="46" t="s">
        <v>539</v>
      </c>
      <c r="J5" s="46" t="s">
        <v>211</v>
      </c>
      <c r="K5" s="1019">
        <v>1</v>
      </c>
      <c r="L5" s="1019"/>
      <c r="Q5" s="46" t="s">
        <v>538</v>
      </c>
      <c r="W5" s="2502" t="s">
        <v>3315</v>
      </c>
      <c r="X5" s="2503" t="s">
        <v>874</v>
      </c>
      <c r="AB5" s="1020"/>
      <c r="AC5" s="1020"/>
      <c r="AF5" s="46" t="s">
        <v>1643</v>
      </c>
      <c r="AG5" s="1020"/>
      <c r="AH5" s="839" t="s">
        <v>2197</v>
      </c>
      <c r="AI5" s="1020"/>
      <c r="AJ5" s="1022"/>
      <c r="AK5" s="1022"/>
      <c r="AL5" s="46" t="s">
        <v>537</v>
      </c>
      <c r="AO5" s="46" t="s">
        <v>409</v>
      </c>
      <c r="AV5" s="54" t="s">
        <v>34</v>
      </c>
      <c r="AW5" s="46" t="s">
        <v>2355</v>
      </c>
      <c r="AX5" s="46" t="s">
        <v>2355</v>
      </c>
      <c r="AY5" s="46" t="s">
        <v>536</v>
      </c>
      <c r="BB5" s="46" t="s">
        <v>34</v>
      </c>
      <c r="BE5" s="46" t="s">
        <v>389</v>
      </c>
      <c r="CA5" s="56" t="s">
        <v>535</v>
      </c>
      <c r="CB5" s="56">
        <v>1</v>
      </c>
      <c r="CD5" s="56" t="s">
        <v>528</v>
      </c>
      <c r="CE5" s="1023">
        <v>40</v>
      </c>
      <c r="CF5" s="56">
        <f t="shared" ref="CF5:CF10" si="1">CE5+1</f>
        <v>41</v>
      </c>
      <c r="CG5" s="56">
        <f t="shared" ref="CG5:CG10" si="2">CE5+$CE$2-1</f>
        <v>44</v>
      </c>
      <c r="CH5" s="56">
        <f>CG5</f>
        <v>44</v>
      </c>
      <c r="CO5" s="46" t="s">
        <v>554</v>
      </c>
      <c r="CP5" s="183">
        <v>0.29308323563892147</v>
      </c>
      <c r="CS5" s="46" t="s">
        <v>1084</v>
      </c>
      <c r="CU5" s="46" t="s">
        <v>1204</v>
      </c>
      <c r="CV5" s="46">
        <v>604</v>
      </c>
      <c r="CW5" s="46">
        <v>604</v>
      </c>
      <c r="CX5" s="46">
        <v>0.4</v>
      </c>
      <c r="CY5" s="46">
        <v>0.3</v>
      </c>
      <c r="CZ5" s="46">
        <v>0</v>
      </c>
      <c r="DE5" s="46">
        <v>0</v>
      </c>
      <c r="DF5" s="46">
        <v>1</v>
      </c>
      <c r="DG5" s="46">
        <v>0</v>
      </c>
      <c r="DH5" s="46">
        <v>0</v>
      </c>
      <c r="DJ5" s="46" t="s">
        <v>1198</v>
      </c>
      <c r="DK5" s="46">
        <v>0.2</v>
      </c>
      <c r="DL5" s="46">
        <v>0.7</v>
      </c>
      <c r="DR5" s="46" t="e">
        <f ca="1"/>
        <v>#N/A</v>
      </c>
      <c r="DX5" s="1832" t="s">
        <v>28</v>
      </c>
      <c r="DY5" s="1956" t="s">
        <v>27</v>
      </c>
      <c r="EA5" s="46" t="s">
        <v>2915</v>
      </c>
      <c r="EB5" s="46" t="s">
        <v>2917</v>
      </c>
      <c r="EC5" s="46" t="s">
        <v>113</v>
      </c>
      <c r="EE5" s="2752" t="s">
        <v>3304</v>
      </c>
      <c r="ER5" s="46" t="s">
        <v>3398</v>
      </c>
      <c r="ES5" s="46" t="s">
        <v>3399</v>
      </c>
      <c r="EU5" s="46" t="s">
        <v>3449</v>
      </c>
      <c r="EV5" s="46">
        <v>10</v>
      </c>
      <c r="EW5" s="46" t="s">
        <v>3450</v>
      </c>
      <c r="FA5" s="46" t="b">
        <f>ISNUMBER(SEARCH("Additional",FA2))</f>
        <v>0</v>
      </c>
    </row>
    <row r="6" spans="1:157" ht="12.75" customHeight="1" x14ac:dyDescent="0.25">
      <c r="A6" s="46">
        <v>5</v>
      </c>
      <c r="B6" s="46" t="s">
        <v>3328</v>
      </c>
      <c r="C6" s="55">
        <v>1.01</v>
      </c>
      <c r="E6" s="46" t="s">
        <v>399</v>
      </c>
      <c r="F6" s="46" t="s">
        <v>534</v>
      </c>
      <c r="G6" s="1019">
        <v>1000</v>
      </c>
      <c r="H6" s="1018">
        <f t="shared" si="0"/>
        <v>10</v>
      </c>
      <c r="I6" s="46" t="s">
        <v>533</v>
      </c>
      <c r="J6" s="46" t="s">
        <v>211</v>
      </c>
      <c r="K6" s="1019">
        <v>1</v>
      </c>
      <c r="L6" s="1019"/>
      <c r="Q6" s="46" t="s">
        <v>532</v>
      </c>
      <c r="W6" s="2502" t="s">
        <v>3316</v>
      </c>
      <c r="X6" s="2503" t="s">
        <v>875</v>
      </c>
      <c r="AB6" s="1020"/>
      <c r="AC6" s="1020"/>
      <c r="AF6" s="1020"/>
      <c r="AG6" s="1020"/>
      <c r="AH6" s="839" t="s">
        <v>2198</v>
      </c>
      <c r="AI6" s="1020"/>
      <c r="AJ6" s="1022"/>
      <c r="AK6" s="1022"/>
      <c r="AL6" s="46" t="s">
        <v>531</v>
      </c>
      <c r="AO6" s="46" t="s">
        <v>408</v>
      </c>
      <c r="AV6" s="54" t="s">
        <v>35</v>
      </c>
      <c r="AW6" s="46" t="s">
        <v>2356</v>
      </c>
      <c r="AX6" s="46" t="s">
        <v>2356</v>
      </c>
      <c r="AY6" s="46" t="s">
        <v>530</v>
      </c>
      <c r="BB6" s="46" t="s">
        <v>35</v>
      </c>
      <c r="BE6" s="46" t="s">
        <v>387</v>
      </c>
      <c r="CA6" s="56" t="s">
        <v>529</v>
      </c>
      <c r="CB6" s="56"/>
      <c r="CD6" s="56" t="s">
        <v>528</v>
      </c>
      <c r="CE6" s="56">
        <f>CE5+CE2+22</f>
        <v>67</v>
      </c>
      <c r="CF6" s="56">
        <f t="shared" si="1"/>
        <v>68</v>
      </c>
      <c r="CG6" s="56">
        <f t="shared" si="2"/>
        <v>71</v>
      </c>
      <c r="CH6" s="56">
        <f>CH5-CF5+CF6</f>
        <v>71</v>
      </c>
      <c r="CO6" s="46" t="s">
        <v>400</v>
      </c>
      <c r="CP6" s="183">
        <v>29.308323563892145</v>
      </c>
      <c r="CU6" s="46" t="s">
        <v>1205</v>
      </c>
      <c r="CZ6" s="46">
        <v>0</v>
      </c>
      <c r="DA6" s="46">
        <v>45</v>
      </c>
      <c r="DB6" s="46">
        <v>45</v>
      </c>
      <c r="DC6" s="46">
        <v>0.3</v>
      </c>
      <c r="DD6" s="46">
        <v>0.2</v>
      </c>
      <c r="DE6" s="46">
        <v>0</v>
      </c>
      <c r="DF6" s="46">
        <v>1</v>
      </c>
      <c r="DG6" s="46">
        <v>0</v>
      </c>
      <c r="DH6" s="46">
        <v>0</v>
      </c>
      <c r="DJ6" s="46" t="s">
        <v>1199</v>
      </c>
      <c r="DK6" s="46">
        <v>1.5</v>
      </c>
      <c r="DL6" s="46">
        <v>4.9000000000000004</v>
      </c>
      <c r="DR6" s="46" t="e">
        <f ca="1"/>
        <v>#N/A</v>
      </c>
      <c r="DX6" s="1832" t="s">
        <v>26</v>
      </c>
      <c r="DY6" s="1956" t="s">
        <v>29</v>
      </c>
      <c r="EA6" s="46" t="s">
        <v>117</v>
      </c>
      <c r="EB6" s="46" t="s">
        <v>2918</v>
      </c>
      <c r="EC6" s="46" t="s">
        <v>114</v>
      </c>
      <c r="EE6" s="2752" t="s">
        <v>3185</v>
      </c>
      <c r="EU6" s="46" t="s">
        <v>3450</v>
      </c>
      <c r="EV6" s="1019">
        <v>1</v>
      </c>
      <c r="EW6" s="46" t="s">
        <v>3450</v>
      </c>
    </row>
    <row r="7" spans="1:157" ht="12.75" customHeight="1" thickBot="1" x14ac:dyDescent="0.3">
      <c r="A7" s="46">
        <v>6</v>
      </c>
      <c r="B7" s="46" t="s">
        <v>540</v>
      </c>
      <c r="C7" s="55">
        <v>1.01</v>
      </c>
      <c r="E7" s="46" t="s">
        <v>527</v>
      </c>
      <c r="F7" s="46" t="s">
        <v>526</v>
      </c>
      <c r="G7" s="46">
        <v>0.94799999999999995</v>
      </c>
      <c r="H7" s="1018">
        <f t="shared" si="0"/>
        <v>9.4799999999999988E-3</v>
      </c>
      <c r="I7" s="46" t="s">
        <v>525</v>
      </c>
      <c r="J7" s="46" t="s">
        <v>519</v>
      </c>
      <c r="K7" s="1019">
        <v>1000</v>
      </c>
      <c r="L7" s="1019"/>
      <c r="Q7" s="46" t="s">
        <v>524</v>
      </c>
      <c r="W7" s="2502" t="s">
        <v>3317</v>
      </c>
      <c r="X7" s="2503" t="s">
        <v>876</v>
      </c>
      <c r="AB7" s="1020"/>
      <c r="AC7" s="1020"/>
      <c r="AD7" s="1020"/>
      <c r="AE7" s="1020"/>
      <c r="AF7" s="1020"/>
      <c r="AG7" s="1020"/>
      <c r="AH7" s="1021"/>
      <c r="AI7" s="1020"/>
      <c r="AJ7" s="1022"/>
      <c r="AK7" s="1022"/>
      <c r="AL7" s="46" t="s">
        <v>523</v>
      </c>
      <c r="AO7" s="46" t="s">
        <v>407</v>
      </c>
      <c r="AV7" s="54" t="s">
        <v>36</v>
      </c>
      <c r="AW7" s="46" t="s">
        <v>2356</v>
      </c>
      <c r="AX7" s="46" t="s">
        <v>2356</v>
      </c>
      <c r="AY7" s="46" t="s">
        <v>522</v>
      </c>
      <c r="BB7" s="46" t="s">
        <v>36</v>
      </c>
      <c r="BE7" s="46" t="s">
        <v>386</v>
      </c>
      <c r="CD7" s="56" t="s">
        <v>508</v>
      </c>
      <c r="CE7" s="56">
        <v>31</v>
      </c>
      <c r="CF7" s="56">
        <f t="shared" si="1"/>
        <v>32</v>
      </c>
      <c r="CG7" s="56">
        <f t="shared" si="2"/>
        <v>35</v>
      </c>
      <c r="CH7" s="56">
        <f>CH6-CF6+CF7</f>
        <v>35</v>
      </c>
      <c r="CO7" s="46" t="s">
        <v>399</v>
      </c>
      <c r="CP7" s="183">
        <v>293.08323563892145</v>
      </c>
      <c r="CU7" s="46" t="s">
        <v>1206</v>
      </c>
      <c r="CV7" s="1024" t="s">
        <v>1229</v>
      </c>
      <c r="CW7" s="1024" t="s">
        <v>1229</v>
      </c>
      <c r="CX7" s="46">
        <v>0.15</v>
      </c>
      <c r="CY7" s="46">
        <v>0.05</v>
      </c>
      <c r="CZ7" s="46">
        <v>139</v>
      </c>
      <c r="DE7" s="46">
        <v>0</v>
      </c>
      <c r="DF7" s="46">
        <v>1</v>
      </c>
      <c r="DG7" s="46">
        <v>0</v>
      </c>
      <c r="DH7" s="46">
        <v>0</v>
      </c>
      <c r="DJ7" s="46" t="s">
        <v>275</v>
      </c>
      <c r="DK7" s="46">
        <v>0.5</v>
      </c>
      <c r="DL7" s="46">
        <v>1.6</v>
      </c>
      <c r="DR7" s="46" t="e">
        <f ca="1"/>
        <v>#N/A</v>
      </c>
      <c r="DX7" s="1832" t="s">
        <v>27</v>
      </c>
      <c r="DY7" s="1956" t="s">
        <v>2704</v>
      </c>
      <c r="EA7" s="46" t="s">
        <v>2916</v>
      </c>
      <c r="EB7" s="46" t="s">
        <v>2919</v>
      </c>
      <c r="EC7" s="46" t="s">
        <v>2915</v>
      </c>
      <c r="EE7" s="2753" t="s">
        <v>3305</v>
      </c>
      <c r="EU7" s="46" t="s">
        <v>3451</v>
      </c>
      <c r="EV7" s="46">
        <v>1055.055852</v>
      </c>
      <c r="EW7" s="46" t="s">
        <v>3450</v>
      </c>
    </row>
    <row r="8" spans="1:157" ht="12.75" customHeight="1" x14ac:dyDescent="0.25">
      <c r="A8" s="46">
        <v>7</v>
      </c>
      <c r="B8" s="46" t="s">
        <v>507</v>
      </c>
      <c r="C8" s="55">
        <v>1</v>
      </c>
      <c r="D8" s="46" t="s">
        <v>22</v>
      </c>
      <c r="E8" s="46" t="s">
        <v>521</v>
      </c>
      <c r="F8" s="46" t="s">
        <v>521</v>
      </c>
      <c r="G8" s="46">
        <v>12</v>
      </c>
      <c r="H8" s="1018">
        <f t="shared" si="0"/>
        <v>0.12</v>
      </c>
      <c r="I8" s="46" t="s">
        <v>520</v>
      </c>
      <c r="J8" s="46" t="s">
        <v>519</v>
      </c>
      <c r="K8" s="1019">
        <v>1000</v>
      </c>
      <c r="L8" s="1019"/>
      <c r="Q8" s="46" t="s">
        <v>518</v>
      </c>
      <c r="W8" s="2502" t="s">
        <v>3323</v>
      </c>
      <c r="X8" s="2503" t="s">
        <v>877</v>
      </c>
      <c r="AB8" s="1020"/>
      <c r="AC8" s="1020"/>
      <c r="AD8" s="1020"/>
      <c r="AE8" s="1020"/>
      <c r="AF8" s="1020"/>
      <c r="AG8" s="1020"/>
      <c r="AH8" s="1021"/>
      <c r="AI8" s="1020"/>
      <c r="AJ8" s="1022"/>
      <c r="AK8" s="1022"/>
      <c r="AL8" s="46" t="s">
        <v>517</v>
      </c>
      <c r="AO8" s="46" t="s">
        <v>275</v>
      </c>
      <c r="AV8" s="54" t="s">
        <v>37</v>
      </c>
      <c r="AW8" s="46" t="s">
        <v>2356</v>
      </c>
      <c r="AX8" s="46" t="s">
        <v>2356</v>
      </c>
      <c r="AY8" s="46" t="s">
        <v>516</v>
      </c>
      <c r="BB8" s="46" t="s">
        <v>37</v>
      </c>
      <c r="BE8" s="46" t="s">
        <v>385</v>
      </c>
      <c r="CD8" s="56" t="s">
        <v>508</v>
      </c>
      <c r="CE8" s="56">
        <f>CE7+CE2+58</f>
        <v>94</v>
      </c>
      <c r="CF8" s="56">
        <f t="shared" si="1"/>
        <v>95</v>
      </c>
      <c r="CG8" s="56">
        <f t="shared" si="2"/>
        <v>98</v>
      </c>
      <c r="CH8" s="56">
        <f>CH7-CF7+CF8</f>
        <v>98</v>
      </c>
      <c r="CO8" s="46" t="s">
        <v>527</v>
      </c>
      <c r="CP8" s="183">
        <v>0.2778429073856975</v>
      </c>
      <c r="CU8" s="46" t="s">
        <v>1208</v>
      </c>
      <c r="CV8" s="46">
        <v>38</v>
      </c>
      <c r="CW8" s="46">
        <v>38</v>
      </c>
      <c r="CX8" s="46">
        <v>1</v>
      </c>
      <c r="CY8" s="46">
        <v>0</v>
      </c>
      <c r="CZ8" s="46">
        <v>12.7</v>
      </c>
      <c r="DA8" s="46">
        <v>26.5</v>
      </c>
      <c r="DB8" s="46">
        <v>26.5</v>
      </c>
      <c r="DC8" s="46">
        <v>0.1</v>
      </c>
      <c r="DD8" s="46">
        <v>0.05</v>
      </c>
      <c r="DE8" s="46">
        <v>8.8000000000000007</v>
      </c>
      <c r="DF8" s="46">
        <v>1</v>
      </c>
      <c r="DG8" s="46">
        <v>0</v>
      </c>
      <c r="DH8" s="46">
        <v>0</v>
      </c>
      <c r="DR8" s="46" t="e">
        <f ca="1"/>
        <v>#N/A</v>
      </c>
      <c r="DX8" s="1832" t="s">
        <v>29</v>
      </c>
      <c r="EA8" s="46" t="s">
        <v>1852</v>
      </c>
      <c r="EB8" s="46" t="s">
        <v>1852</v>
      </c>
      <c r="EC8" s="46" t="s">
        <v>2917</v>
      </c>
    </row>
    <row r="9" spans="1:157" ht="12.75" customHeight="1" x14ac:dyDescent="0.25">
      <c r="C9" s="55"/>
      <c r="I9" s="46" t="s">
        <v>515</v>
      </c>
      <c r="J9" s="46" t="s">
        <v>515</v>
      </c>
      <c r="K9" s="1019">
        <v>12</v>
      </c>
      <c r="Q9" s="46" t="s">
        <v>514</v>
      </c>
      <c r="W9" s="2502" t="s">
        <v>3318</v>
      </c>
      <c r="X9" s="2503" t="s">
        <v>878</v>
      </c>
      <c r="AB9" s="1020"/>
      <c r="AC9" s="1020"/>
      <c r="AD9" s="1020"/>
      <c r="AE9" s="1020"/>
      <c r="AF9" s="1020"/>
      <c r="AG9" s="1020"/>
      <c r="AH9" s="1021"/>
      <c r="AI9" s="1020"/>
      <c r="AJ9" s="1022"/>
      <c r="AK9" s="1022"/>
      <c r="AL9" s="46" t="s">
        <v>513</v>
      </c>
      <c r="AV9" s="54" t="s">
        <v>38</v>
      </c>
      <c r="AW9" s="46" t="s">
        <v>2357</v>
      </c>
      <c r="AX9" s="46" t="s">
        <v>2357</v>
      </c>
      <c r="AY9" s="46" t="s">
        <v>512</v>
      </c>
      <c r="BB9" s="46" t="s">
        <v>38</v>
      </c>
      <c r="BE9" s="46" t="s">
        <v>384</v>
      </c>
      <c r="CD9" s="56" t="s">
        <v>508</v>
      </c>
      <c r="CE9" s="56">
        <f>65+CE7+2*CE2</f>
        <v>106</v>
      </c>
      <c r="CF9" s="56">
        <f t="shared" si="1"/>
        <v>107</v>
      </c>
      <c r="CG9" s="56">
        <f t="shared" si="2"/>
        <v>110</v>
      </c>
      <c r="CH9" s="56">
        <f>CH8-CF8+CF9</f>
        <v>110</v>
      </c>
      <c r="CO9" s="46" t="s">
        <v>521</v>
      </c>
      <c r="CP9" s="183">
        <v>3.5169988276670576</v>
      </c>
      <c r="CU9" s="46" t="str">
        <f>CONCATENATE("Range hood, ",IF(SI_IP_Units="IP","up to 500 cfm","up to 236 L/s"))</f>
        <v>Range hood, up to 500 cfm</v>
      </c>
      <c r="CV9" s="55">
        <v>0.31739130434782614</v>
      </c>
      <c r="CW9" s="55">
        <v>0.26071428571428573</v>
      </c>
      <c r="CX9" s="46">
        <v>0</v>
      </c>
      <c r="CY9" s="46">
        <v>0</v>
      </c>
      <c r="CZ9" s="46">
        <v>0</v>
      </c>
      <c r="DE9" s="46">
        <v>0</v>
      </c>
      <c r="DF9" s="46">
        <v>1</v>
      </c>
      <c r="DR9" s="46" t="e">
        <f ca="1"/>
        <v>#N/A</v>
      </c>
      <c r="DX9" s="1832" t="s">
        <v>125</v>
      </c>
      <c r="EA9" s="46" t="s">
        <v>1853</v>
      </c>
      <c r="EB9" s="46" t="s">
        <v>1854</v>
      </c>
      <c r="EC9" s="46" t="s">
        <v>117</v>
      </c>
    </row>
    <row r="10" spans="1:157" ht="12.75" customHeight="1" x14ac:dyDescent="0.25">
      <c r="C10" s="55"/>
      <c r="Q10" s="46" t="s">
        <v>511</v>
      </c>
      <c r="W10" s="2502" t="s">
        <v>3319</v>
      </c>
      <c r="X10" s="2503" t="s">
        <v>1076</v>
      </c>
      <c r="AB10" s="1020"/>
      <c r="AC10" s="1020"/>
      <c r="AD10" s="1020"/>
      <c r="AE10" s="1020"/>
      <c r="AF10" s="1020"/>
      <c r="AG10" s="1020"/>
      <c r="AI10" s="1020"/>
      <c r="AJ10" s="1022"/>
      <c r="AK10" s="1022"/>
      <c r="AL10" s="46" t="s">
        <v>510</v>
      </c>
      <c r="AR10" s="46" t="s">
        <v>2202</v>
      </c>
      <c r="AV10" s="54" t="s">
        <v>39</v>
      </c>
      <c r="AW10" s="46" t="s">
        <v>2357</v>
      </c>
      <c r="AX10" s="46" t="s">
        <v>2357</v>
      </c>
      <c r="AY10" s="46" t="s">
        <v>509</v>
      </c>
      <c r="BB10" s="46" t="s">
        <v>39</v>
      </c>
      <c r="BE10" s="46" t="s">
        <v>383</v>
      </c>
      <c r="CD10" s="56" t="s">
        <v>508</v>
      </c>
      <c r="CE10" s="56">
        <f>123+CE7+3*CE2</f>
        <v>169</v>
      </c>
      <c r="CF10" s="56">
        <f t="shared" si="1"/>
        <v>170</v>
      </c>
      <c r="CG10" s="56">
        <f t="shared" si="2"/>
        <v>173</v>
      </c>
      <c r="CH10" s="56">
        <f>CH9-CF9+CF10</f>
        <v>173</v>
      </c>
      <c r="CO10" s="53" t="s">
        <v>594</v>
      </c>
      <c r="CP10" s="46" t="s">
        <v>946</v>
      </c>
      <c r="CU10" s="46" t="str">
        <f>CONCATENATE("Bath / Utility Fan, ",IF(SI_IP_Units="IP","10 to 89 cfm","5 to 42 L/s"))</f>
        <v>Bath / Utility Fan, 10 to 89 cfm</v>
      </c>
      <c r="CV10" s="55">
        <v>0.60833333333333339</v>
      </c>
      <c r="CW10" s="55">
        <v>0.52142857142857146</v>
      </c>
      <c r="CX10" s="46">
        <v>0</v>
      </c>
      <c r="CY10" s="46">
        <v>0</v>
      </c>
      <c r="CZ10" s="46">
        <v>0</v>
      </c>
      <c r="DE10" s="46">
        <v>0</v>
      </c>
      <c r="DF10" s="46">
        <v>1</v>
      </c>
      <c r="DR10" s="46" t="e">
        <f ca="1"/>
        <v>#N/A</v>
      </c>
      <c r="DX10" s="1830"/>
      <c r="EC10" s="46" t="s">
        <v>2918</v>
      </c>
    </row>
    <row r="11" spans="1:157" ht="12.75" customHeight="1" x14ac:dyDescent="0.25">
      <c r="C11" s="55"/>
      <c r="E11" s="46" t="s">
        <v>506</v>
      </c>
      <c r="F11" s="46" t="s">
        <v>505</v>
      </c>
      <c r="G11" s="46">
        <v>1.0289999999999999</v>
      </c>
      <c r="Q11" s="46" t="s">
        <v>504</v>
      </c>
      <c r="W11" s="2502" t="s">
        <v>3320</v>
      </c>
      <c r="X11" s="2503" t="s">
        <v>947</v>
      </c>
      <c r="AB11" s="1020"/>
      <c r="AC11" s="1020"/>
      <c r="AD11" s="1020"/>
      <c r="AE11" s="1020"/>
      <c r="AF11" s="1020"/>
      <c r="AG11" s="1020"/>
      <c r="AH11" s="1021"/>
      <c r="AI11" s="1020"/>
      <c r="AJ11" s="1022"/>
      <c r="AK11" s="1022"/>
      <c r="AL11" s="46" t="s">
        <v>503</v>
      </c>
      <c r="AV11" s="54" t="s">
        <v>40</v>
      </c>
      <c r="AW11" s="46" t="s">
        <v>2357</v>
      </c>
      <c r="AX11" s="46" t="s">
        <v>2357</v>
      </c>
      <c r="AY11" s="46" t="s">
        <v>502</v>
      </c>
      <c r="BB11" s="46" t="s">
        <v>40</v>
      </c>
      <c r="BE11" s="46" t="s">
        <v>382</v>
      </c>
      <c r="BF11" s="46" t="s">
        <v>375</v>
      </c>
      <c r="CO11" s="46" t="s">
        <v>207</v>
      </c>
      <c r="CP11" s="183">
        <v>1</v>
      </c>
      <c r="CU11" s="46" t="str">
        <f>CONCATENATE("Bath / Utility Fan, ",IF(SI_IP_Units="IP","90 to 500 cfm","43 to 236 L/s"))</f>
        <v>Bath / Utility Fan, 90 to 500 cfm</v>
      </c>
      <c r="CV11" s="55">
        <v>0.31739130434782614</v>
      </c>
      <c r="CW11" s="55">
        <v>0.26071428571428573</v>
      </c>
      <c r="CX11" s="46">
        <v>0</v>
      </c>
      <c r="CY11" s="46">
        <v>0</v>
      </c>
      <c r="CZ11" s="46">
        <v>0</v>
      </c>
      <c r="DE11" s="46">
        <v>0</v>
      </c>
      <c r="DF11" s="46">
        <v>1</v>
      </c>
      <c r="DR11" s="46" t="e">
        <f ca="1"/>
        <v>#N/A</v>
      </c>
      <c r="DX11" s="1831" t="s">
        <v>2546</v>
      </c>
      <c r="EC11" s="46" t="s">
        <v>2916</v>
      </c>
      <c r="EE11" s="2754"/>
    </row>
    <row r="12" spans="1:157" ht="12.75" customHeight="1" x14ac:dyDescent="0.25">
      <c r="C12" s="55"/>
      <c r="E12" s="46" t="s">
        <v>501</v>
      </c>
      <c r="F12" s="46" t="s">
        <v>500</v>
      </c>
      <c r="G12" s="46">
        <v>102.9</v>
      </c>
      <c r="Q12" s="46" t="s">
        <v>499</v>
      </c>
      <c r="W12" s="2502" t="s">
        <v>3321</v>
      </c>
      <c r="X12" s="2503" t="s">
        <v>947</v>
      </c>
      <c r="AB12" s="1020"/>
      <c r="AC12" s="1020"/>
      <c r="AD12" s="1020"/>
      <c r="AE12" s="1020"/>
      <c r="AF12" s="1020"/>
      <c r="AG12" s="1020"/>
      <c r="AI12" s="1020"/>
      <c r="AJ12" s="1022"/>
      <c r="AK12" s="1022"/>
      <c r="AL12" s="46" t="s">
        <v>498</v>
      </c>
      <c r="AV12" s="54" t="s">
        <v>41</v>
      </c>
      <c r="AW12" s="46" t="s">
        <v>2358</v>
      </c>
      <c r="AX12" s="46" t="s">
        <v>2358</v>
      </c>
      <c r="AY12" s="46" t="s">
        <v>497</v>
      </c>
      <c r="BB12" s="46" t="s">
        <v>41</v>
      </c>
      <c r="BE12" s="46" t="s">
        <v>381</v>
      </c>
      <c r="BF12" s="46" t="s">
        <v>375</v>
      </c>
      <c r="CO12" s="46" t="s">
        <v>566</v>
      </c>
      <c r="CP12" s="183">
        <v>1000</v>
      </c>
      <c r="DR12" s="46" t="e">
        <f ca="1"/>
        <v>#N/A</v>
      </c>
      <c r="DX12" s="1833" t="s">
        <v>2547</v>
      </c>
      <c r="EC12" s="46" t="s">
        <v>2919</v>
      </c>
    </row>
    <row r="13" spans="1:157" ht="12.75" customHeight="1" x14ac:dyDescent="0.25">
      <c r="C13" s="55"/>
      <c r="E13" s="46" t="s">
        <v>496</v>
      </c>
      <c r="F13" s="46" t="s">
        <v>495</v>
      </c>
      <c r="G13" s="1019">
        <v>1029</v>
      </c>
      <c r="Q13" s="46" t="s">
        <v>494</v>
      </c>
      <c r="W13" s="2502" t="s">
        <v>3322</v>
      </c>
      <c r="X13" s="2503" t="s">
        <v>947</v>
      </c>
      <c r="AB13" s="1020"/>
      <c r="AC13" s="1020"/>
      <c r="AD13" s="1020"/>
      <c r="AE13" s="1020"/>
      <c r="AF13" s="1020"/>
      <c r="AG13" s="1020"/>
      <c r="AH13" s="1021"/>
      <c r="AI13" s="1020"/>
      <c r="AJ13" s="1022"/>
      <c r="AK13" s="1022"/>
      <c r="AL13" s="46" t="s">
        <v>493</v>
      </c>
      <c r="AV13" s="54" t="s">
        <v>42</v>
      </c>
      <c r="AW13" s="46" t="s">
        <v>2358</v>
      </c>
      <c r="AX13" s="46" t="s">
        <v>2358</v>
      </c>
      <c r="AY13" s="46" t="s">
        <v>492</v>
      </c>
      <c r="BB13" s="46" t="s">
        <v>42</v>
      </c>
      <c r="BE13" s="46" t="s">
        <v>380</v>
      </c>
      <c r="BF13" s="46" t="s">
        <v>375</v>
      </c>
      <c r="CO13" s="46" t="s">
        <v>209</v>
      </c>
      <c r="CP13" s="183">
        <v>2.9308323563892149E-4</v>
      </c>
      <c r="DR13" s="46" t="e">
        <f ca="1"/>
        <v>#N/A</v>
      </c>
      <c r="DX13" s="1833" t="s">
        <v>2548</v>
      </c>
      <c r="EC13" s="46" t="s">
        <v>1852</v>
      </c>
    </row>
    <row r="14" spans="1:157" ht="12.75" customHeight="1" x14ac:dyDescent="0.25">
      <c r="C14" s="55"/>
      <c r="E14" s="46" t="s">
        <v>491</v>
      </c>
      <c r="F14" s="46" t="s">
        <v>490</v>
      </c>
      <c r="G14" s="1019">
        <v>1029000</v>
      </c>
      <c r="Q14" s="46" t="s">
        <v>489</v>
      </c>
      <c r="W14" s="2504"/>
      <c r="X14" s="2503"/>
      <c r="AB14" s="1020"/>
      <c r="AC14" s="1020"/>
      <c r="AD14" s="1020"/>
      <c r="AE14" s="1020"/>
      <c r="AF14" s="1020"/>
      <c r="AG14" s="1020"/>
      <c r="AI14" s="1020"/>
      <c r="AJ14" s="1022"/>
      <c r="AK14" s="1022"/>
      <c r="AL14" s="46" t="s">
        <v>488</v>
      </c>
      <c r="AV14" s="54" t="s">
        <v>43</v>
      </c>
      <c r="AW14" s="46" t="s">
        <v>2358</v>
      </c>
      <c r="AX14" s="46" t="s">
        <v>2358</v>
      </c>
      <c r="AY14" s="46" t="s">
        <v>487</v>
      </c>
      <c r="BB14" s="46" t="s">
        <v>43</v>
      </c>
      <c r="BE14" s="46" t="s">
        <v>341</v>
      </c>
      <c r="BF14" s="46" t="s">
        <v>375</v>
      </c>
      <c r="CO14" s="46" t="s">
        <v>539</v>
      </c>
      <c r="CP14" s="183">
        <v>0.29308323563892147</v>
      </c>
      <c r="DR14" s="46" t="e">
        <f ca="1"/>
        <v>#N/A</v>
      </c>
      <c r="DX14" s="1830"/>
      <c r="EC14" s="46" t="s">
        <v>1853</v>
      </c>
    </row>
    <row r="15" spans="1:157" ht="12.75" customHeight="1" x14ac:dyDescent="0.25">
      <c r="C15" s="55"/>
      <c r="E15" s="46" t="s">
        <v>486</v>
      </c>
      <c r="F15" s="46" t="s">
        <v>485</v>
      </c>
      <c r="G15" s="46">
        <v>1.194</v>
      </c>
      <c r="W15" s="2504"/>
      <c r="X15" s="2503"/>
      <c r="AB15" s="1020"/>
      <c r="AC15" s="1020"/>
      <c r="AD15" s="1020"/>
      <c r="AE15" s="1020"/>
      <c r="AF15" s="1020"/>
      <c r="AG15" s="1020"/>
      <c r="AH15" s="1021"/>
      <c r="AI15" s="1020"/>
      <c r="AJ15" s="1022"/>
      <c r="AK15" s="1022"/>
      <c r="AV15" s="54" t="s">
        <v>44</v>
      </c>
      <c r="AW15" s="46" t="s">
        <v>2359</v>
      </c>
      <c r="AX15" s="46" t="s">
        <v>2359</v>
      </c>
      <c r="AY15" s="46" t="s">
        <v>484</v>
      </c>
      <c r="BB15" s="46" t="s">
        <v>44</v>
      </c>
      <c r="BE15" s="46" t="s">
        <v>378</v>
      </c>
      <c r="BF15" s="46" t="s">
        <v>375</v>
      </c>
      <c r="CO15" s="46" t="s">
        <v>533</v>
      </c>
      <c r="CP15" s="183">
        <v>0.29308323563892147</v>
      </c>
      <c r="DR15" s="46" t="e">
        <f ca="1"/>
        <v>#N/A</v>
      </c>
      <c r="DX15" s="1831" t="s">
        <v>2549</v>
      </c>
      <c r="EC15" s="46" t="s">
        <v>1854</v>
      </c>
    </row>
    <row r="16" spans="1:157" ht="12.75" customHeight="1" x14ac:dyDescent="0.25">
      <c r="C16" s="55"/>
      <c r="E16" s="46" t="s">
        <v>483</v>
      </c>
      <c r="F16" s="46" t="s">
        <v>482</v>
      </c>
      <c r="G16" s="1019">
        <v>1194</v>
      </c>
      <c r="W16" s="2504"/>
      <c r="X16" s="2503"/>
      <c r="AB16" s="1020"/>
      <c r="AC16" s="1020"/>
      <c r="AD16" s="1020"/>
      <c r="AE16" s="1020"/>
      <c r="AF16" s="1020"/>
      <c r="AG16" s="1020"/>
      <c r="AI16" s="1020"/>
      <c r="AJ16" s="1022"/>
      <c r="AK16" s="1022"/>
      <c r="AV16" s="54" t="s">
        <v>45</v>
      </c>
      <c r="AW16" s="46" t="s">
        <v>2359</v>
      </c>
      <c r="AX16" s="46" t="s">
        <v>2359</v>
      </c>
      <c r="AY16" s="46" t="s">
        <v>481</v>
      </c>
      <c r="BB16" s="46" t="s">
        <v>45</v>
      </c>
      <c r="BE16" s="46" t="s">
        <v>379</v>
      </c>
      <c r="BF16" s="46" t="s">
        <v>375</v>
      </c>
      <c r="CO16" s="46" t="s">
        <v>525</v>
      </c>
      <c r="CP16" s="183">
        <v>293.08323563892145</v>
      </c>
      <c r="CU16" s="342" t="s">
        <v>1189</v>
      </c>
      <c r="CV16" s="342" t="str">
        <f>CONCATENATE("Base ",IF(SI_IP_Units="IP","(kWh/year)","kWh/year"))</f>
        <v>Base (kWh/year)</v>
      </c>
      <c r="CW16" s="342" t="str">
        <f>CONCATENATE("Energy Star ",IF(SI_IP_Units="IP","(kWh/year)","kWh/year"))</f>
        <v>Energy Star (kWh/year)</v>
      </c>
      <c r="CX16" s="342" t="s">
        <v>1212</v>
      </c>
      <c r="CY16" s="342" t="s">
        <v>1213</v>
      </c>
      <c r="CZ16" s="342" t="s">
        <v>1225</v>
      </c>
      <c r="DA16" s="342" t="str">
        <f>CONCATENATE("Base ",IF(SI_IP_Units="IP","(Therms/year)","kWh/year"))</f>
        <v>Base (Therms/year)</v>
      </c>
      <c r="DB16" s="342" t="str">
        <f>CONCATENATE("Energy Star ",IF(SI_IP_Units="IP","(Therms/year)","kWh/year"))</f>
        <v>Energy Star (Therms/year)</v>
      </c>
      <c r="DC16" s="342" t="s">
        <v>1210</v>
      </c>
      <c r="DD16" s="342" t="s">
        <v>1211</v>
      </c>
      <c r="DE16" s="342" t="s">
        <v>1226</v>
      </c>
      <c r="DF16" s="342" t="s">
        <v>807</v>
      </c>
      <c r="DG16" s="342" t="s">
        <v>1227</v>
      </c>
      <c r="DH16" s="342" t="s">
        <v>1228</v>
      </c>
      <c r="DR16" s="46" t="e">
        <f ca="1"/>
        <v>#N/A</v>
      </c>
      <c r="DX16" s="1832" t="s">
        <v>347</v>
      </c>
    </row>
    <row r="17" spans="2:128" ht="12.75" customHeight="1" x14ac:dyDescent="0.25">
      <c r="E17" s="46" t="s">
        <v>480</v>
      </c>
      <c r="F17" s="46" t="s">
        <v>479</v>
      </c>
      <c r="G17" s="1019">
        <v>1194000</v>
      </c>
      <c r="W17" s="2502"/>
      <c r="X17" s="2503"/>
      <c r="AB17" s="1020"/>
      <c r="AC17" s="1020"/>
      <c r="AD17" s="1020"/>
      <c r="AE17" s="1020"/>
      <c r="AF17" s="1020"/>
      <c r="AG17" s="1020"/>
      <c r="AH17" s="1021"/>
      <c r="AI17" s="1020"/>
      <c r="AJ17" s="1022"/>
      <c r="AK17" s="1022"/>
      <c r="AV17" s="54">
        <v>7</v>
      </c>
      <c r="AW17" s="46" t="s">
        <v>2360</v>
      </c>
      <c r="AX17" s="46" t="s">
        <v>2360</v>
      </c>
      <c r="AY17" s="46" t="s">
        <v>478</v>
      </c>
      <c r="BB17" s="46">
        <v>7</v>
      </c>
      <c r="BE17" s="46" t="s">
        <v>377</v>
      </c>
      <c r="BF17" s="46" t="s">
        <v>375</v>
      </c>
      <c r="CO17" s="46" t="s">
        <v>520</v>
      </c>
      <c r="CP17" s="183">
        <v>293.08323563892145</v>
      </c>
      <c r="CU17" s="46" t="s">
        <v>1202</v>
      </c>
      <c r="CV17" s="46">
        <v>196</v>
      </c>
      <c r="CW17" s="46">
        <v>138</v>
      </c>
      <c r="CX17" s="46">
        <v>0.8</v>
      </c>
      <c r="CY17" s="46">
        <v>0</v>
      </c>
      <c r="CZ17" s="46">
        <v>0</v>
      </c>
      <c r="DE17" s="46">
        <v>0</v>
      </c>
      <c r="DF17" s="46">
        <v>1</v>
      </c>
      <c r="DG17" s="46">
        <f>IF(SI_IP_Units="IP",29515,111726)*0.2</f>
        <v>5903</v>
      </c>
      <c r="DH17" s="46">
        <f>IF(SI_IP_Units="IP",13661,51712)*0.2</f>
        <v>2732.2000000000003</v>
      </c>
      <c r="DR17" s="46" t="e">
        <f ca="1"/>
        <v>#N/A</v>
      </c>
      <c r="DX17" s="1832" t="s">
        <v>2550</v>
      </c>
    </row>
    <row r="18" spans="2:128" ht="12.75" customHeight="1" x14ac:dyDescent="0.25">
      <c r="B18"/>
      <c r="E18" s="46" t="s">
        <v>477</v>
      </c>
      <c r="G18" s="1025">
        <v>36.06</v>
      </c>
      <c r="W18" s="2504"/>
      <c r="X18" s="2503"/>
      <c r="AB18" s="1020"/>
      <c r="AC18" s="1020"/>
      <c r="AD18" s="1020"/>
      <c r="AE18" s="1020"/>
      <c r="AF18" s="1020"/>
      <c r="AG18" s="1020"/>
      <c r="AH18" s="1021"/>
      <c r="AI18" s="1020"/>
      <c r="AJ18" s="1022"/>
      <c r="AK18" s="1022"/>
      <c r="AV18" s="54">
        <v>8</v>
      </c>
      <c r="AW18" s="46" t="s">
        <v>2361</v>
      </c>
      <c r="AX18" s="46" t="s">
        <v>2361</v>
      </c>
      <c r="AY18" s="46" t="str">
        <f>""</f>
        <v/>
      </c>
      <c r="BB18" s="46">
        <v>8</v>
      </c>
      <c r="BE18" s="46" t="s">
        <v>376</v>
      </c>
      <c r="BF18" s="46" t="s">
        <v>375</v>
      </c>
      <c r="CO18" s="46" t="s">
        <v>515</v>
      </c>
      <c r="CP18" s="183">
        <v>3.5169988276670576</v>
      </c>
      <c r="CU18" s="46" t="s">
        <v>1207</v>
      </c>
      <c r="CV18" s="46">
        <v>418</v>
      </c>
      <c r="CW18" s="46">
        <v>418</v>
      </c>
      <c r="CX18" s="46">
        <v>0.15</v>
      </c>
      <c r="CY18" s="46">
        <v>0.05</v>
      </c>
      <c r="CZ18" s="46">
        <v>139</v>
      </c>
      <c r="DE18" s="46">
        <v>0</v>
      </c>
      <c r="DF18" s="46">
        <v>2.423</v>
      </c>
      <c r="DG18" s="46">
        <v>0</v>
      </c>
      <c r="DH18" s="46">
        <v>0</v>
      </c>
      <c r="DR18" s="46" t="e">
        <f ca="1"/>
        <v>#N/A</v>
      </c>
      <c r="DX18" s="1830"/>
    </row>
    <row r="19" spans="2:128" ht="12.75" customHeight="1" x14ac:dyDescent="0.25">
      <c r="B19"/>
      <c r="E19" s="46" t="s">
        <v>476</v>
      </c>
      <c r="G19" s="1026">
        <v>138.69049999999999</v>
      </c>
      <c r="W19" s="2504"/>
      <c r="X19" s="2503"/>
      <c r="AB19" s="1020"/>
      <c r="AC19" s="1020"/>
      <c r="AD19" s="1020"/>
      <c r="AE19" s="1020"/>
      <c r="AF19" s="1020"/>
      <c r="AG19" s="1020"/>
      <c r="AH19" s="1021"/>
      <c r="AI19" s="1020"/>
      <c r="AJ19" s="1022"/>
      <c r="AK19" s="1022"/>
      <c r="AY19" s="46" t="str">
        <f>""</f>
        <v/>
      </c>
      <c r="BE19" s="46" t="s">
        <v>475</v>
      </c>
      <c r="CU19" s="46" t="s">
        <v>1209</v>
      </c>
      <c r="CV19" s="46">
        <v>38</v>
      </c>
      <c r="CW19" s="46">
        <v>38</v>
      </c>
      <c r="CX19" s="1172">
        <v>0.1</v>
      </c>
      <c r="CY19" s="1172">
        <v>0.05</v>
      </c>
      <c r="CZ19" s="46">
        <v>12.7</v>
      </c>
      <c r="DA19" s="46">
        <v>26.5</v>
      </c>
      <c r="DB19" s="46">
        <v>26.5</v>
      </c>
      <c r="DC19" s="46">
        <v>0.1</v>
      </c>
      <c r="DD19" s="46">
        <v>0.05</v>
      </c>
      <c r="DE19" s="46">
        <v>8.8000000000000007</v>
      </c>
      <c r="DF19" s="46">
        <v>1</v>
      </c>
      <c r="DG19" s="46">
        <v>0</v>
      </c>
      <c r="DH19" s="46">
        <v>0</v>
      </c>
      <c r="DR19" s="46" t="e">
        <f ca="1"/>
        <v>#N/A</v>
      </c>
      <c r="DX19" s="1831" t="s">
        <v>2551</v>
      </c>
    </row>
    <row r="20" spans="2:128" ht="12.75" customHeight="1" x14ac:dyDescent="0.25">
      <c r="B20"/>
      <c r="E20" s="46" t="s">
        <v>474</v>
      </c>
      <c r="G20" s="46">
        <v>38.92</v>
      </c>
      <c r="W20" s="2504"/>
      <c r="X20" s="2503"/>
      <c r="AB20" s="1020"/>
      <c r="AC20" s="1020"/>
      <c r="AD20" s="1020"/>
      <c r="AE20" s="1020"/>
      <c r="AF20" s="1020"/>
      <c r="AG20" s="1020"/>
      <c r="AH20" s="1021"/>
      <c r="AI20" s="1020"/>
      <c r="AJ20" s="1022"/>
      <c r="AK20" s="1022"/>
      <c r="BE20" s="46" t="s">
        <v>473</v>
      </c>
      <c r="DR20" s="46" t="e">
        <f ca="1"/>
        <v>#N/A</v>
      </c>
      <c r="DX20" s="1832" t="s">
        <v>21</v>
      </c>
    </row>
    <row r="21" spans="2:128" ht="12.75" customHeight="1" x14ac:dyDescent="0.25">
      <c r="B21"/>
      <c r="E21" s="46" t="s">
        <v>472</v>
      </c>
      <c r="G21" s="1027">
        <v>149.69</v>
      </c>
      <c r="W21" s="2504" t="str">
        <f>W2</f>
        <v>BD+C: New Construction</v>
      </c>
      <c r="X21" s="2503">
        <v>1</v>
      </c>
      <c r="AB21" s="1020"/>
      <c r="AC21" s="1020"/>
      <c r="AD21" s="1020"/>
      <c r="AE21" s="1020"/>
      <c r="AF21" s="1020"/>
      <c r="AG21" s="1020"/>
      <c r="AH21" s="1021"/>
      <c r="AI21" s="1020"/>
      <c r="AJ21" s="1022"/>
      <c r="AK21" s="1022"/>
      <c r="BE21" s="46" t="s">
        <v>471</v>
      </c>
      <c r="DR21" s="46" t="e">
        <f ca="1"/>
        <v>#N/A</v>
      </c>
      <c r="DX21" s="1832" t="s">
        <v>23</v>
      </c>
    </row>
    <row r="22" spans="2:128" ht="12.75" customHeight="1" x14ac:dyDescent="0.25">
      <c r="B22"/>
      <c r="E22" s="46" t="s">
        <v>470</v>
      </c>
      <c r="G22" s="46">
        <v>91.65</v>
      </c>
      <c r="W22" s="2504" t="str">
        <f t="shared" ref="W22:W32" si="3">W3</f>
        <v>BD+C: Core and Shell</v>
      </c>
      <c r="X22" s="2503">
        <v>2</v>
      </c>
      <c r="AB22" s="1020"/>
      <c r="AC22" s="1020"/>
      <c r="AD22" s="1020"/>
      <c r="AE22" s="1020"/>
      <c r="AF22" s="1020"/>
      <c r="AG22" s="1020"/>
      <c r="AH22" s="1021"/>
      <c r="AI22" s="1020"/>
      <c r="AJ22" s="1022"/>
      <c r="AK22" s="1022"/>
      <c r="BE22" s="46" t="s">
        <v>944</v>
      </c>
      <c r="DR22" s="46" t="e">
        <f ca="1"/>
        <v>#N/A</v>
      </c>
      <c r="DX22" s="1832" t="s">
        <v>46</v>
      </c>
    </row>
    <row r="23" spans="2:128" ht="12.75" customHeight="1" x14ac:dyDescent="0.25">
      <c r="B23"/>
      <c r="E23" s="46" t="s">
        <v>469</v>
      </c>
      <c r="G23" s="46">
        <v>23.83</v>
      </c>
      <c r="W23" s="2504" t="str">
        <f t="shared" si="3"/>
        <v>BD+C: Schools</v>
      </c>
      <c r="X23" s="2503">
        <v>3</v>
      </c>
      <c r="AB23" s="1020"/>
      <c r="AC23" s="1020"/>
      <c r="AD23" s="1020"/>
      <c r="AE23" s="1020"/>
      <c r="AF23" s="1020"/>
      <c r="AG23" s="1020"/>
      <c r="AH23" s="1021"/>
      <c r="AI23" s="1020"/>
      <c r="AJ23" s="1022"/>
      <c r="AK23" s="1022"/>
      <c r="DR23" s="46" t="e">
        <f ca="1"/>
        <v>#N/A</v>
      </c>
      <c r="DX23" s="1832" t="s">
        <v>348</v>
      </c>
    </row>
    <row r="24" spans="2:128" ht="12.75" customHeight="1" x14ac:dyDescent="0.25">
      <c r="B24"/>
      <c r="E24" s="46" t="s">
        <v>468</v>
      </c>
      <c r="F24" s="46" t="s">
        <v>467</v>
      </c>
      <c r="G24" s="46">
        <v>12.545</v>
      </c>
      <c r="W24" s="2504" t="str">
        <f t="shared" si="3"/>
        <v>BD+C: Retail</v>
      </c>
      <c r="X24" s="2503">
        <v>4</v>
      </c>
      <c r="AB24" s="1020"/>
      <c r="AC24" s="1020"/>
      <c r="AD24" s="1020"/>
      <c r="AE24" s="1020"/>
      <c r="AF24" s="1020"/>
      <c r="AG24" s="1020"/>
      <c r="AH24" s="1021"/>
      <c r="AI24" s="1020"/>
      <c r="AJ24" s="1022"/>
      <c r="AK24" s="1022"/>
      <c r="DR24" s="46" t="e">
        <f ca="1"/>
        <v>#N/A</v>
      </c>
      <c r="DX24" s="1830"/>
    </row>
    <row r="25" spans="2:128" ht="12.75" customHeight="1" x14ac:dyDescent="0.25">
      <c r="B25"/>
      <c r="E25" s="46" t="s">
        <v>466</v>
      </c>
      <c r="F25" s="46" t="s">
        <v>465</v>
      </c>
      <c r="G25" s="1019">
        <v>12545</v>
      </c>
      <c r="W25" s="2504" t="str">
        <f t="shared" si="3"/>
        <v>BD+C: Data Centers</v>
      </c>
      <c r="X25" s="2503">
        <v>5</v>
      </c>
      <c r="AB25" s="1020"/>
      <c r="AC25" s="1020"/>
      <c r="AD25" s="1020"/>
      <c r="AE25" s="1020"/>
      <c r="AF25" s="1020"/>
      <c r="AG25" s="1020"/>
      <c r="AH25" s="1021"/>
      <c r="AI25" s="1020"/>
      <c r="AJ25" s="1022"/>
      <c r="AK25" s="1022"/>
      <c r="DR25" s="46" t="e">
        <f ca="1"/>
        <v>#N/A</v>
      </c>
      <c r="DX25" s="1831" t="s">
        <v>30</v>
      </c>
    </row>
    <row r="26" spans="2:128" ht="12.75" customHeight="1" x14ac:dyDescent="0.25">
      <c r="E26" s="46" t="s">
        <v>464</v>
      </c>
      <c r="F26" s="46" t="s">
        <v>463</v>
      </c>
      <c r="G26" s="1019">
        <v>12545000</v>
      </c>
      <c r="W26" s="2504" t="str">
        <f t="shared" si="3"/>
        <v>BD+C: Warehouses and Distribution Centers</v>
      </c>
      <c r="X26" s="2503">
        <v>6</v>
      </c>
      <c r="AB26" s="1020"/>
      <c r="AC26" s="1020"/>
      <c r="AD26" s="1020"/>
      <c r="AE26" s="1020"/>
      <c r="AF26" s="1020"/>
      <c r="AG26" s="1020"/>
      <c r="AH26" s="1021"/>
      <c r="AI26" s="1020"/>
      <c r="AJ26" s="1022"/>
      <c r="AK26" s="1022"/>
      <c r="DR26" s="46" t="e">
        <f ca="1"/>
        <v>#N/A</v>
      </c>
      <c r="DX26" s="1832" t="s">
        <v>31</v>
      </c>
    </row>
    <row r="27" spans="2:128" ht="12.75" customHeight="1" x14ac:dyDescent="0.25">
      <c r="E27" s="46" t="s">
        <v>462</v>
      </c>
      <c r="F27" s="46" t="s">
        <v>461</v>
      </c>
      <c r="G27" s="1019">
        <v>24800</v>
      </c>
      <c r="W27" s="2504" t="str">
        <f t="shared" si="3"/>
        <v>BD+C: Hospitality</v>
      </c>
      <c r="X27" s="2503">
        <v>7</v>
      </c>
      <c r="AB27" s="1020"/>
      <c r="AC27" s="1020"/>
      <c r="AD27" s="1020"/>
      <c r="AE27" s="1020"/>
      <c r="AF27" s="1020"/>
      <c r="AG27" s="1020"/>
      <c r="AH27" s="1021"/>
      <c r="AI27" s="1020"/>
      <c r="AJ27" s="1022"/>
      <c r="AK27" s="1022"/>
      <c r="DR27" s="46" t="e">
        <f ca="1"/>
        <v>#N/A</v>
      </c>
      <c r="DX27" s="1832" t="s">
        <v>32</v>
      </c>
    </row>
    <row r="28" spans="2:128" ht="12.75" customHeight="1" x14ac:dyDescent="0.25">
      <c r="E28" s="46" t="s">
        <v>460</v>
      </c>
      <c r="F28" s="46" t="s">
        <v>459</v>
      </c>
      <c r="G28" s="46">
        <v>12.465</v>
      </c>
      <c r="W28" s="2504" t="str">
        <f t="shared" si="3"/>
        <v>BD+C: Healthcare</v>
      </c>
      <c r="X28" s="2503">
        <v>8</v>
      </c>
      <c r="AB28" s="1020"/>
      <c r="AC28" s="1020"/>
      <c r="AD28" s="1020"/>
      <c r="AE28" s="1020"/>
      <c r="AF28" s="1020"/>
      <c r="AG28" s="1020"/>
      <c r="AH28" s="1021"/>
      <c r="AI28" s="1020"/>
      <c r="AJ28" s="1022"/>
      <c r="AK28" s="1022"/>
      <c r="DR28" s="46" t="e">
        <f ca="1"/>
        <v>#N/A</v>
      </c>
      <c r="DX28" s="1832" t="s">
        <v>33</v>
      </c>
    </row>
    <row r="29" spans="2:128" ht="12.75" customHeight="1" x14ac:dyDescent="0.25">
      <c r="E29" s="46" t="s">
        <v>458</v>
      </c>
      <c r="F29" s="46" t="s">
        <v>457</v>
      </c>
      <c r="G29" s="1019">
        <v>12465</v>
      </c>
      <c r="W29" s="2504" t="str">
        <f t="shared" si="3"/>
        <v>BD+C: Multifamily</v>
      </c>
      <c r="X29" s="2503">
        <v>9</v>
      </c>
      <c r="AB29" s="1021"/>
      <c r="AC29" s="1021"/>
      <c r="AD29" s="1021"/>
      <c r="AE29" s="1021"/>
      <c r="AF29" s="1021"/>
      <c r="AG29" s="1021"/>
      <c r="AH29" s="1021"/>
      <c r="AI29" s="1021"/>
      <c r="AJ29" s="1022"/>
      <c r="AK29" s="1022"/>
      <c r="DR29" s="46" t="e">
        <f ca="1"/>
        <v>#N/A</v>
      </c>
      <c r="DX29" s="1832" t="s">
        <v>34</v>
      </c>
    </row>
    <row r="30" spans="2:128" ht="12.75" customHeight="1" x14ac:dyDescent="0.25">
      <c r="E30" s="46" t="s">
        <v>456</v>
      </c>
      <c r="F30" s="46" t="s">
        <v>455</v>
      </c>
      <c r="G30" s="1019">
        <v>12465000</v>
      </c>
      <c r="W30" s="2504" t="str">
        <f t="shared" si="3"/>
        <v>ID+C: Commercial Interiors</v>
      </c>
      <c r="X30" s="2503">
        <v>10</v>
      </c>
      <c r="BE30" s="53" t="s">
        <v>454</v>
      </c>
      <c r="DR30" s="46" t="e">
        <f ca="1"/>
        <v>#N/A</v>
      </c>
      <c r="DX30" s="1832" t="s">
        <v>35</v>
      </c>
    </row>
    <row r="31" spans="2:128" ht="12.75" customHeight="1" x14ac:dyDescent="0.25">
      <c r="E31" s="46" t="s">
        <v>453</v>
      </c>
      <c r="F31" s="46" t="s">
        <v>452</v>
      </c>
      <c r="G31" s="1019">
        <v>24930</v>
      </c>
      <c r="W31" s="2504" t="str">
        <f t="shared" si="3"/>
        <v>ID+C: Retail</v>
      </c>
      <c r="X31" s="2503">
        <v>11</v>
      </c>
      <c r="AJ31" s="1028"/>
      <c r="BE31" s="46" t="s">
        <v>451</v>
      </c>
      <c r="DR31" s="46" t="e">
        <f ca="1"/>
        <v>#N/A</v>
      </c>
      <c r="DX31" s="1832" t="s">
        <v>36</v>
      </c>
    </row>
    <row r="32" spans="2:128" ht="12.75" customHeight="1" thickBot="1" x14ac:dyDescent="0.3">
      <c r="E32" s="46" t="s">
        <v>450</v>
      </c>
      <c r="F32" s="46" t="s">
        <v>449</v>
      </c>
      <c r="G32" s="46">
        <v>12.4</v>
      </c>
      <c r="W32" s="2505" t="str">
        <f t="shared" si="3"/>
        <v>ID+C: Hospitality</v>
      </c>
      <c r="X32" s="2506">
        <v>12</v>
      </c>
      <c r="BE32" s="46" t="s">
        <v>448</v>
      </c>
      <c r="DR32" s="46" t="e">
        <f ca="1"/>
        <v>#N/A</v>
      </c>
      <c r="DX32" s="1832" t="s">
        <v>37</v>
      </c>
    </row>
    <row r="33" spans="2:128" ht="12.75" customHeight="1" x14ac:dyDescent="0.25">
      <c r="E33" s="46" t="s">
        <v>447</v>
      </c>
      <c r="F33" s="46" t="s">
        <v>446</v>
      </c>
      <c r="G33" s="1019">
        <v>12400</v>
      </c>
      <c r="BE33" s="46" t="s">
        <v>445</v>
      </c>
      <c r="DR33" s="46" t="e">
        <f ca="1"/>
        <v>#N/A</v>
      </c>
      <c r="DX33" s="1832" t="s">
        <v>38</v>
      </c>
    </row>
    <row r="34" spans="2:128" ht="12.75" customHeight="1" x14ac:dyDescent="0.25">
      <c r="E34" s="46" t="s">
        <v>444</v>
      </c>
      <c r="F34" s="46" t="s">
        <v>443</v>
      </c>
      <c r="G34" s="1019">
        <v>12400000</v>
      </c>
      <c r="BE34" s="46" t="s">
        <v>442</v>
      </c>
      <c r="DR34" s="46" t="e">
        <f ca="1"/>
        <v>#N/A</v>
      </c>
      <c r="DX34" s="1832" t="s">
        <v>39</v>
      </c>
    </row>
    <row r="35" spans="2:128" ht="12.75" customHeight="1" x14ac:dyDescent="0.25">
      <c r="E35" s="46" t="s">
        <v>441</v>
      </c>
      <c r="F35" s="46" t="s">
        <v>441</v>
      </c>
      <c r="G35" s="1019">
        <v>24800</v>
      </c>
      <c r="BE35" s="46" t="s">
        <v>440</v>
      </c>
      <c r="DR35" s="46" t="e">
        <f ca="1"/>
        <v>#N/A</v>
      </c>
      <c r="DX35" s="1832" t="s">
        <v>40</v>
      </c>
    </row>
    <row r="36" spans="2:128" x14ac:dyDescent="0.25">
      <c r="E36" s="46" t="s">
        <v>439</v>
      </c>
      <c r="F36" s="46" t="s">
        <v>438</v>
      </c>
      <c r="G36" s="55">
        <v>7.69</v>
      </c>
      <c r="BE36" s="46" t="s">
        <v>437</v>
      </c>
      <c r="DR36" s="46" t="e">
        <f ca="1"/>
        <v>#N/A</v>
      </c>
      <c r="DX36" s="1832" t="s">
        <v>41</v>
      </c>
    </row>
    <row r="37" spans="2:128" x14ac:dyDescent="0.25">
      <c r="E37" s="46" t="s">
        <v>436</v>
      </c>
      <c r="F37" s="46" t="s">
        <v>436</v>
      </c>
      <c r="G37" s="1019">
        <v>15380</v>
      </c>
      <c r="BE37" s="46" t="s">
        <v>435</v>
      </c>
      <c r="DR37" s="46" t="e">
        <f ca="1"/>
        <v>#N/A</v>
      </c>
      <c r="DX37" s="1832" t="s">
        <v>42</v>
      </c>
    </row>
    <row r="38" spans="2:128" x14ac:dyDescent="0.25">
      <c r="BE38" s="46" t="s">
        <v>434</v>
      </c>
      <c r="DR38" s="46" t="e">
        <f ca="1"/>
        <v>#N/A</v>
      </c>
      <c r="DX38" s="1832" t="s">
        <v>43</v>
      </c>
    </row>
    <row r="39" spans="2:128" x14ac:dyDescent="0.25">
      <c r="DR39" s="46" t="e">
        <f ca="1"/>
        <v>#N/A</v>
      </c>
      <c r="DX39" s="1832" t="s">
        <v>44</v>
      </c>
    </row>
    <row r="40" spans="2:128" x14ac:dyDescent="0.25">
      <c r="DR40" s="46" t="e">
        <f ca="1"/>
        <v>#N/A</v>
      </c>
      <c r="DX40" s="1832" t="s">
        <v>45</v>
      </c>
    </row>
    <row r="41" spans="2:128" x14ac:dyDescent="0.25">
      <c r="DR41" s="46" t="e">
        <f ca="1"/>
        <v>#N/A</v>
      </c>
      <c r="DX41" s="1832" t="s">
        <v>221</v>
      </c>
    </row>
    <row r="42" spans="2:128" ht="13.8" x14ac:dyDescent="0.25">
      <c r="B42"/>
      <c r="C42"/>
      <c r="D42"/>
      <c r="E42"/>
      <c r="F42"/>
      <c r="G42"/>
      <c r="H42"/>
      <c r="DR42" s="46" t="e">
        <f ca="1"/>
        <v>#N/A</v>
      </c>
      <c r="DX42" s="1832" t="s">
        <v>222</v>
      </c>
    </row>
    <row r="43" spans="2:128" x14ac:dyDescent="0.25">
      <c r="DR43" s="46" t="e">
        <f ca="1"/>
        <v>#N/A</v>
      </c>
      <c r="DX43" s="1832">
        <v>8</v>
      </c>
    </row>
    <row r="44" spans="2:128" x14ac:dyDescent="0.25">
      <c r="DR44" s="46" t="e">
        <f ca="1"/>
        <v>#N/A</v>
      </c>
      <c r="DX44" s="1830"/>
    </row>
    <row r="45" spans="2:128" x14ac:dyDescent="0.25">
      <c r="DR45" s="46" t="e">
        <f ca="1"/>
        <v>#N/A</v>
      </c>
      <c r="DX45" s="1831" t="s">
        <v>2552</v>
      </c>
    </row>
    <row r="46" spans="2:128" x14ac:dyDescent="0.25">
      <c r="DR46" s="46" t="e">
        <f ca="1"/>
        <v>#N/A</v>
      </c>
      <c r="DX46" s="1832">
        <v>0.5</v>
      </c>
    </row>
    <row r="47" spans="2:128" x14ac:dyDescent="0.25">
      <c r="DR47" s="46" t="e">
        <f ca="1"/>
        <v>#N/A</v>
      </c>
      <c r="DX47" s="1832">
        <v>2.15</v>
      </c>
    </row>
    <row r="48" spans="2:128" x14ac:dyDescent="0.25">
      <c r="DR48" s="46" t="e">
        <f ca="1"/>
        <v>#N/A</v>
      </c>
      <c r="DX48" s="1830"/>
    </row>
    <row r="49" spans="122:128" x14ac:dyDescent="0.25">
      <c r="DR49" s="46" t="e">
        <f ca="1"/>
        <v>#N/A</v>
      </c>
      <c r="DX49" s="1831" t="s">
        <v>591</v>
      </c>
    </row>
    <row r="50" spans="122:128" x14ac:dyDescent="0.25">
      <c r="DR50" s="46" t="e">
        <f ca="1"/>
        <v>#N/A</v>
      </c>
      <c r="DX50" s="1832" t="s">
        <v>966</v>
      </c>
    </row>
    <row r="51" spans="122:128" x14ac:dyDescent="0.25">
      <c r="DR51" s="46" t="e">
        <f ca="1"/>
        <v>#N/A</v>
      </c>
      <c r="DX51" s="1832" t="s">
        <v>967</v>
      </c>
    </row>
    <row r="52" spans="122:128" x14ac:dyDescent="0.25">
      <c r="DR52" s="46" t="e">
        <f ca="1"/>
        <v>#N/A</v>
      </c>
      <c r="DX52" s="1832" t="s">
        <v>968</v>
      </c>
    </row>
    <row r="53" spans="122:128" x14ac:dyDescent="0.25">
      <c r="DR53" s="46" t="e">
        <f ca="1"/>
        <v>#N/A</v>
      </c>
      <c r="DX53" s="1832" t="s">
        <v>969</v>
      </c>
    </row>
    <row r="54" spans="122:128" x14ac:dyDescent="0.25">
      <c r="DR54" s="46" t="e">
        <f ca="1"/>
        <v>#N/A</v>
      </c>
      <c r="DX54" s="1832" t="s">
        <v>970</v>
      </c>
    </row>
    <row r="55" spans="122:128" x14ac:dyDescent="0.25">
      <c r="DR55" s="46" t="e">
        <f ca="1"/>
        <v>#N/A</v>
      </c>
      <c r="DX55" s="1832" t="s">
        <v>971</v>
      </c>
    </row>
    <row r="56" spans="122:128" x14ac:dyDescent="0.25">
      <c r="DR56" s="46" t="e">
        <f ca="1"/>
        <v>#N/A</v>
      </c>
      <c r="DX56" s="1832" t="s">
        <v>972</v>
      </c>
    </row>
    <row r="57" spans="122:128" x14ac:dyDescent="0.25">
      <c r="DR57" s="46" t="e">
        <f ca="1"/>
        <v>#N/A</v>
      </c>
      <c r="DX57" s="1832" t="s">
        <v>973</v>
      </c>
    </row>
    <row r="58" spans="122:128" x14ac:dyDescent="0.25">
      <c r="DR58" s="46" t="e">
        <f ca="1"/>
        <v>#N/A</v>
      </c>
      <c r="DX58" s="1832" t="s">
        <v>974</v>
      </c>
    </row>
    <row r="59" spans="122:128" x14ac:dyDescent="0.25">
      <c r="DR59" s="46" t="e">
        <f ca="1"/>
        <v>#N/A</v>
      </c>
      <c r="DX59" s="1832" t="s">
        <v>975</v>
      </c>
    </row>
    <row r="60" spans="122:128" x14ac:dyDescent="0.25">
      <c r="DR60" s="46" t="e">
        <f ca="1"/>
        <v>#N/A</v>
      </c>
      <c r="DX60" s="1832" t="s">
        <v>976</v>
      </c>
    </row>
    <row r="61" spans="122:128" x14ac:dyDescent="0.25">
      <c r="DR61" s="46" t="e">
        <f ca="1"/>
        <v>#N/A</v>
      </c>
      <c r="DX61" s="1832" t="s">
        <v>2553</v>
      </c>
    </row>
    <row r="62" spans="122:128" x14ac:dyDescent="0.25">
      <c r="DR62" s="46" t="e">
        <f ca="1"/>
        <v>#N/A</v>
      </c>
      <c r="DX62" s="1832" t="s">
        <v>1389</v>
      </c>
    </row>
    <row r="63" spans="122:128" x14ac:dyDescent="0.25">
      <c r="DR63" s="46" t="e">
        <f ca="1"/>
        <v>#N/A</v>
      </c>
      <c r="DX63" s="1830"/>
    </row>
    <row r="64" spans="122:128" x14ac:dyDescent="0.25">
      <c r="DR64" s="46" t="e">
        <f ca="1"/>
        <v>#N/A</v>
      </c>
      <c r="DX64" s="1831" t="s">
        <v>2554</v>
      </c>
    </row>
    <row r="65" spans="122:128" x14ac:dyDescent="0.25">
      <c r="DR65" s="46" t="e">
        <f ca="1"/>
        <v>#N/A</v>
      </c>
      <c r="DX65" s="1832" t="s">
        <v>2555</v>
      </c>
    </row>
    <row r="66" spans="122:128" x14ac:dyDescent="0.25">
      <c r="DR66" s="46" t="e">
        <f ca="1"/>
        <v>#N/A</v>
      </c>
      <c r="DX66" s="1832" t="s">
        <v>2556</v>
      </c>
    </row>
    <row r="67" spans="122:128" x14ac:dyDescent="0.25">
      <c r="DR67" s="46" t="e">
        <f ca="1"/>
        <v>#N/A</v>
      </c>
      <c r="DX67" s="1832" t="s">
        <v>2557</v>
      </c>
    </row>
    <row r="68" spans="122:128" x14ac:dyDescent="0.25">
      <c r="DR68" s="46" t="e">
        <f ca="1"/>
        <v>#N/A</v>
      </c>
      <c r="DX68" s="1832" t="s">
        <v>2558</v>
      </c>
    </row>
    <row r="69" spans="122:128" x14ac:dyDescent="0.25">
      <c r="DR69" s="46" t="e">
        <f ca="1"/>
        <v>#N/A</v>
      </c>
    </row>
    <row r="70" spans="122:128" x14ac:dyDescent="0.25">
      <c r="DR70" s="46" t="e">
        <f ca="1"/>
        <v>#N/A</v>
      </c>
    </row>
    <row r="71" spans="122:128" x14ac:dyDescent="0.25">
      <c r="DR71" s="46" t="e">
        <f ca="1"/>
        <v>#N/A</v>
      </c>
    </row>
    <row r="72" spans="122:128" x14ac:dyDescent="0.25">
      <c r="DR72" s="46" t="e">
        <f ca="1"/>
        <v>#N/A</v>
      </c>
    </row>
    <row r="73" spans="122:128" x14ac:dyDescent="0.25">
      <c r="DR73" s="46" t="e">
        <f ca="1"/>
        <v>#N/A</v>
      </c>
    </row>
    <row r="74" spans="122:128" x14ac:dyDescent="0.25">
      <c r="DR74" s="46" t="e">
        <f ca="1"/>
        <v>#N/A</v>
      </c>
    </row>
    <row r="75" spans="122:128" x14ac:dyDescent="0.25">
      <c r="DR75" s="46" t="e">
        <f ca="1"/>
        <v>#N/A</v>
      </c>
    </row>
    <row r="76" spans="122:128" x14ac:dyDescent="0.25">
      <c r="DR76" s="46" t="e">
        <f ca="1"/>
        <v>#N/A</v>
      </c>
    </row>
    <row r="77" spans="122:128" x14ac:dyDescent="0.25">
      <c r="DR77" s="46" t="e">
        <f ca="1"/>
        <v>#N/A</v>
      </c>
    </row>
    <row r="78" spans="122:128" x14ac:dyDescent="0.25">
      <c r="DR78" s="46" t="e">
        <f ca="1"/>
        <v>#N/A</v>
      </c>
    </row>
    <row r="79" spans="122:128" x14ac:dyDescent="0.25">
      <c r="DR79" s="46" t="e">
        <f ca="1"/>
        <v>#N/A</v>
      </c>
    </row>
    <row r="80" spans="122:128" x14ac:dyDescent="0.25">
      <c r="DR80" s="46" t="e">
        <f ca="1"/>
        <v>#N/A</v>
      </c>
    </row>
    <row r="81" spans="2:122" x14ac:dyDescent="0.25">
      <c r="DR81" s="46" t="e">
        <f ca="1"/>
        <v>#N/A</v>
      </c>
    </row>
    <row r="82" spans="2:122" x14ac:dyDescent="0.25">
      <c r="DR82" s="46" t="e">
        <f ca="1"/>
        <v>#N/A</v>
      </c>
    </row>
    <row r="83" spans="2:122" x14ac:dyDescent="0.25">
      <c r="DR83" s="46" t="e">
        <f ca="1"/>
        <v>#N/A</v>
      </c>
    </row>
    <row r="84" spans="2:122" x14ac:dyDescent="0.25">
      <c r="DR84" s="46" t="e">
        <f ca="1"/>
        <v>#N/A</v>
      </c>
    </row>
    <row r="85" spans="2:122" x14ac:dyDescent="0.25">
      <c r="DR85" s="46" t="e">
        <f ca="1"/>
        <v>#N/A</v>
      </c>
    </row>
    <row r="86" spans="2:122" x14ac:dyDescent="0.25">
      <c r="DR86" s="46" t="e">
        <f ca="1"/>
        <v>#N/A</v>
      </c>
    </row>
    <row r="87" spans="2:122" x14ac:dyDescent="0.25">
      <c r="DR87" s="46" t="e">
        <f ca="1"/>
        <v>#N/A</v>
      </c>
    </row>
    <row r="88" spans="2:122" x14ac:dyDescent="0.25">
      <c r="DR88" s="46" t="e">
        <f ca="1"/>
        <v>#N/A</v>
      </c>
    </row>
    <row r="89" spans="2:122" x14ac:dyDescent="0.25">
      <c r="DR89" s="46" t="e">
        <f ca="1"/>
        <v>#N/A</v>
      </c>
    </row>
    <row r="90" spans="2:122" x14ac:dyDescent="0.25">
      <c r="B90" s="46" t="s">
        <v>433</v>
      </c>
      <c r="C90" s="56">
        <f>IFERROR(IF('General Information'!R69,1,IF('General Information'!S69,2,IF('General Information'!T69,3,IF('General Information'!U69,4,0)))),"")</f>
        <v>0</v>
      </c>
      <c r="DR90" s="46" t="e">
        <f ca="1"/>
        <v>#N/A</v>
      </c>
    </row>
    <row r="91" spans="2:122" x14ac:dyDescent="0.25">
      <c r="B91" s="46" t="s">
        <v>432</v>
      </c>
      <c r="DR91" s="46" t="e">
        <f ca="1"/>
        <v>#N/A</v>
      </c>
    </row>
    <row r="92" spans="2:122" x14ac:dyDescent="0.25">
      <c r="B92" s="46" t="s">
        <v>431</v>
      </c>
      <c r="DR92" s="46" t="e">
        <f ca="1"/>
        <v>#N/A</v>
      </c>
    </row>
    <row r="93" spans="2:122" x14ac:dyDescent="0.25">
      <c r="B93" s="46" t="s">
        <v>430</v>
      </c>
      <c r="DR93" s="46" t="e">
        <f ca="1"/>
        <v>#N/A</v>
      </c>
    </row>
    <row r="94" spans="2:122" x14ac:dyDescent="0.25">
      <c r="B94" s="46" t="s">
        <v>429</v>
      </c>
      <c r="DR94" s="46" t="e">
        <f ca="1"/>
        <v>#N/A</v>
      </c>
    </row>
    <row r="95" spans="2:122" x14ac:dyDescent="0.25">
      <c r="DR95" s="46" t="e">
        <f ca="1"/>
        <v>#N/A</v>
      </c>
    </row>
    <row r="96" spans="2:122" x14ac:dyDescent="0.25">
      <c r="B96" s="46" t="s">
        <v>428</v>
      </c>
      <c r="C96" s="56" t="b">
        <f>'General Information'!S68</f>
        <v>0</v>
      </c>
      <c r="DR96" s="46" t="e">
        <f ca="1"/>
        <v>#N/A</v>
      </c>
    </row>
    <row r="97" spans="2:122" x14ac:dyDescent="0.25">
      <c r="DR97" s="46" t="e">
        <f ca="1"/>
        <v>#N/A</v>
      </c>
    </row>
    <row r="98" spans="2:122" x14ac:dyDescent="0.25">
      <c r="B98" s="46" t="s">
        <v>427</v>
      </c>
      <c r="C98" s="56" t="b">
        <f>'General Information'!R68</f>
        <v>0</v>
      </c>
      <c r="DR98" s="46" t="e">
        <f ca="1"/>
        <v>#N/A</v>
      </c>
    </row>
    <row r="99" spans="2:122" x14ac:dyDescent="0.25">
      <c r="DR99" s="46" t="e">
        <f ca="1"/>
        <v>#N/A</v>
      </c>
    </row>
    <row r="100" spans="2:122" x14ac:dyDescent="0.25">
      <c r="B100" s="46" t="s">
        <v>426</v>
      </c>
      <c r="DR100" s="46" t="e">
        <f ca="1"/>
        <v>#N/A</v>
      </c>
    </row>
    <row r="101" spans="2:122" ht="6.75" customHeight="1" x14ac:dyDescent="0.25">
      <c r="B101" s="1019" t="s">
        <v>853</v>
      </c>
      <c r="D101" s="1019" t="s">
        <v>853</v>
      </c>
      <c r="F101" s="1019" t="s">
        <v>853</v>
      </c>
    </row>
    <row r="102" spans="2:122" x14ac:dyDescent="0.25">
      <c r="B102" s="52" t="s">
        <v>374</v>
      </c>
      <c r="C102" s="52" t="s">
        <v>398</v>
      </c>
      <c r="D102" s="52" t="s">
        <v>207</v>
      </c>
      <c r="E102" s="46" t="s">
        <v>425</v>
      </c>
    </row>
    <row r="103" spans="2:122" x14ac:dyDescent="0.25">
      <c r="B103" s="52" t="s">
        <v>388</v>
      </c>
      <c r="C103" s="52" t="s">
        <v>400</v>
      </c>
      <c r="D103" s="52" t="s">
        <v>209</v>
      </c>
    </row>
    <row r="104" spans="2:122" ht="6.75" customHeight="1" x14ac:dyDescent="0.25">
      <c r="B104" s="1019" t="s">
        <v>853</v>
      </c>
      <c r="D104" s="1019" t="s">
        <v>853</v>
      </c>
      <c r="F104" s="1019" t="s">
        <v>853</v>
      </c>
    </row>
    <row r="105" spans="2:122" x14ac:dyDescent="0.25">
      <c r="B105" s="52" t="str">
        <f>IF(DESPath=3,IF(DistrictHeating,"District Heating",IF(DistrictCooling,"District Cooling","")),"")</f>
        <v/>
      </c>
      <c r="C105" s="1029"/>
      <c r="D105" s="1029"/>
      <c r="E105" s="46" t="s">
        <v>424</v>
      </c>
      <c r="F105" s="1019"/>
    </row>
    <row r="106" spans="2:122" x14ac:dyDescent="0.25">
      <c r="B106" s="52" t="str">
        <f>IF(DESPath=3,IF(AND(DistrictHeating,DistrictCooling),"District Cooling",""),"")</f>
        <v/>
      </c>
      <c r="C106" s="1029"/>
      <c r="D106" s="1029"/>
      <c r="F106" s="1019"/>
    </row>
    <row r="107" spans="2:122" ht="6.75" customHeight="1" x14ac:dyDescent="0.25">
      <c r="B107" s="1019"/>
      <c r="D107" s="1019"/>
      <c r="F107" s="1019"/>
    </row>
    <row r="178" spans="2:4" ht="14.4" x14ac:dyDescent="0.25">
      <c r="B178" s="51"/>
      <c r="C178" s="4324"/>
      <c r="D178" s="4325"/>
    </row>
    <row r="179" spans="2:4" ht="14.4" x14ac:dyDescent="0.25">
      <c r="B179" s="51"/>
      <c r="C179" s="4324"/>
      <c r="D179" s="4325"/>
    </row>
    <row r="196" spans="2:112" ht="13.8" x14ac:dyDescent="0.25">
      <c r="CL196" s="1030"/>
      <c r="CM196" s="1030"/>
    </row>
    <row r="197" spans="2:112" ht="13.8" x14ac:dyDescent="0.25">
      <c r="CL197" s="1030"/>
      <c r="CM197" s="1030"/>
    </row>
    <row r="198" spans="2:112" ht="13.8" x14ac:dyDescent="0.25">
      <c r="CL198" s="1030"/>
      <c r="CM198" s="1030"/>
    </row>
    <row r="199" spans="2:112" ht="13.8" x14ac:dyDescent="0.25">
      <c r="W199" s="1030"/>
      <c r="X199" s="1030"/>
      <c r="CL199" s="1030"/>
      <c r="CM199" s="1030"/>
    </row>
    <row r="200" spans="2:112" ht="13.8" x14ac:dyDescent="0.25">
      <c r="W200" s="1030"/>
      <c r="X200" s="1030"/>
      <c r="CL200" s="1030"/>
      <c r="CM200" s="1030"/>
    </row>
    <row r="201" spans="2:112" ht="13.8" x14ac:dyDescent="0.25">
      <c r="W201" s="1030"/>
      <c r="X201" s="1030"/>
      <c r="Y201" s="1030"/>
      <c r="CL201" s="1030"/>
      <c r="CM201" s="1030"/>
    </row>
    <row r="202" spans="2:112" ht="13.8" x14ac:dyDescent="0.25">
      <c r="W202" s="1030"/>
      <c r="X202" s="1030"/>
      <c r="Y202" s="1030"/>
      <c r="CL202" s="1030"/>
      <c r="CM202" s="1030"/>
      <c r="CU202" s="1030"/>
      <c r="CV202" s="1030"/>
      <c r="CW202" s="1030"/>
      <c r="CX202" s="1030"/>
      <c r="CY202" s="1030"/>
      <c r="CZ202" s="1030"/>
      <c r="DA202" s="1030"/>
      <c r="DB202" s="1030"/>
      <c r="DC202" s="1030"/>
      <c r="DD202" s="1030"/>
      <c r="DE202" s="1030"/>
      <c r="DF202" s="1030"/>
      <c r="DG202" s="1030"/>
      <c r="DH202" s="1030"/>
    </row>
    <row r="203" spans="2:112" s="1030" customFormat="1" ht="21" x14ac:dyDescent="0.25">
      <c r="B203" s="1031" t="s">
        <v>423</v>
      </c>
      <c r="C203" s="50">
        <v>0</v>
      </c>
      <c r="D203" s="1032"/>
      <c r="E203" s="1032"/>
      <c r="F203" s="1033"/>
      <c r="G203" s="1033"/>
      <c r="H203" s="1033"/>
      <c r="I203" s="1033"/>
      <c r="J203" s="1033"/>
      <c r="K203" s="1034"/>
      <c r="L203" s="1035"/>
    </row>
    <row r="204" spans="2:112" s="1030" customFormat="1" ht="12.75" customHeight="1" x14ac:dyDescent="0.25">
      <c r="B204" s="4326" t="s">
        <v>0</v>
      </c>
      <c r="C204" s="4326"/>
      <c r="D204" s="4327"/>
      <c r="E204" s="1036"/>
      <c r="F204" s="4328" t="s">
        <v>4</v>
      </c>
      <c r="G204" s="4329"/>
      <c r="H204" s="4328" t="s">
        <v>5</v>
      </c>
      <c r="I204" s="4326"/>
      <c r="J204" s="4326"/>
      <c r="K204" s="4326"/>
      <c r="L204" s="1035"/>
    </row>
    <row r="205" spans="2:112" s="1030" customFormat="1" ht="51.75" customHeight="1" x14ac:dyDescent="0.25">
      <c r="B205" s="4313" t="s">
        <v>422</v>
      </c>
      <c r="C205" s="4314"/>
      <c r="D205" s="4314"/>
      <c r="E205" s="4315"/>
      <c r="F205" s="1037"/>
      <c r="G205" s="1851" t="s">
        <v>421</v>
      </c>
      <c r="H205" s="4319"/>
      <c r="I205" s="4320"/>
      <c r="J205" s="4320"/>
      <c r="K205" s="4320"/>
      <c r="L205" s="1038"/>
    </row>
    <row r="206" spans="2:112" s="1030" customFormat="1" ht="45" customHeight="1" x14ac:dyDescent="0.25">
      <c r="B206" s="4316"/>
      <c r="C206" s="4317"/>
      <c r="D206" s="4317"/>
      <c r="E206" s="4318"/>
      <c r="F206" s="1037" t="s">
        <v>420</v>
      </c>
      <c r="G206" s="1851" t="s">
        <v>419</v>
      </c>
      <c r="H206" s="4321"/>
      <c r="I206" s="4322"/>
      <c r="J206" s="4322"/>
      <c r="K206" s="4323"/>
      <c r="L206" s="1038"/>
    </row>
    <row r="207" spans="2:112" s="1030" customFormat="1" ht="45" customHeight="1" x14ac:dyDescent="0.25">
      <c r="B207" s="4330" t="s">
        <v>418</v>
      </c>
      <c r="C207" s="4330"/>
      <c r="D207" s="4331"/>
      <c r="E207" s="1039"/>
      <c r="F207" s="1037"/>
      <c r="G207" s="1851" t="s">
        <v>417</v>
      </c>
      <c r="H207" s="4319"/>
      <c r="I207" s="4320"/>
      <c r="J207" s="4320"/>
      <c r="K207" s="4320"/>
      <c r="L207" s="1035"/>
    </row>
    <row r="208" spans="2:112" s="1030" customFormat="1" ht="12.75" customHeight="1" x14ac:dyDescent="0.25">
      <c r="B208" s="4330" t="s">
        <v>416</v>
      </c>
      <c r="C208" s="4330"/>
      <c r="D208" s="4332" t="s">
        <v>16</v>
      </c>
      <c r="E208" s="1040"/>
      <c r="F208" s="4333" t="s">
        <v>2187</v>
      </c>
      <c r="G208" s="4334"/>
      <c r="H208" s="4337" t="s">
        <v>2187</v>
      </c>
      <c r="I208" s="4338" t="s">
        <v>10</v>
      </c>
      <c r="J208" s="4338"/>
      <c r="K208" s="4338"/>
      <c r="L208" s="1035"/>
    </row>
    <row r="209" spans="2:112" s="1030" customFormat="1" ht="13.8" x14ac:dyDescent="0.25">
      <c r="B209" s="4330"/>
      <c r="C209" s="4330"/>
      <c r="D209" s="4332"/>
      <c r="E209" s="1040"/>
      <c r="F209" s="4335"/>
      <c r="G209" s="4336"/>
      <c r="H209" s="4337"/>
      <c r="I209" s="4338" t="s">
        <v>2188</v>
      </c>
      <c r="J209" s="4338"/>
      <c r="K209" s="1041" t="s">
        <v>17</v>
      </c>
      <c r="L209" s="1035"/>
    </row>
    <row r="210" spans="2:112" s="1030" customFormat="1" ht="13.8" x14ac:dyDescent="0.25">
      <c r="B210" s="4330"/>
      <c r="C210" s="4330"/>
      <c r="D210" s="1042" t="s">
        <v>11</v>
      </c>
      <c r="E210" s="1039"/>
      <c r="F210" s="4339" t="str">
        <f>IF(H210=0,"Identical to Proposed case",H210)</f>
        <v>Identical to Proposed case</v>
      </c>
      <c r="G210" s="4323"/>
      <c r="H210" s="1043"/>
      <c r="I210" s="4340"/>
      <c r="J210" s="4340"/>
      <c r="K210" s="1044" t="str">
        <f>IF(H210=0,"",I210/H210)</f>
        <v/>
      </c>
      <c r="L210" s="1035"/>
    </row>
    <row r="211" spans="2:112" s="1030" customFormat="1" ht="13.8" x14ac:dyDescent="0.25">
      <c r="B211" s="4330"/>
      <c r="C211" s="4330"/>
      <c r="D211" s="1042" t="s">
        <v>12</v>
      </c>
      <c r="E211" s="1039"/>
      <c r="F211" s="4339" t="str">
        <f>IF(H211=0,"Identical to Proposed case",H211)</f>
        <v>Identical to Proposed case</v>
      </c>
      <c r="G211" s="4323"/>
      <c r="H211" s="1043"/>
      <c r="I211" s="4341"/>
      <c r="J211" s="4342"/>
      <c r="K211" s="1044" t="str">
        <f>IF(H211=0,"",I211/H211)</f>
        <v/>
      </c>
      <c r="L211" s="1035"/>
      <c r="CL211" s="46"/>
      <c r="CM211" s="46"/>
    </row>
    <row r="212" spans="2:112" s="1030" customFormat="1" ht="13.8" x14ac:dyDescent="0.25">
      <c r="B212" s="4330"/>
      <c r="C212" s="4330"/>
      <c r="D212" s="1042" t="s">
        <v>13</v>
      </c>
      <c r="E212" s="1039"/>
      <c r="F212" s="4339" t="str">
        <f>IF(H212=0,"Identical to Proposed case",H212)</f>
        <v>Identical to Proposed case</v>
      </c>
      <c r="G212" s="4323"/>
      <c r="H212" s="1043"/>
      <c r="I212" s="4341"/>
      <c r="J212" s="4342"/>
      <c r="K212" s="1044" t="str">
        <f>IF(H212=0,"",I212/H212)</f>
        <v/>
      </c>
      <c r="L212" s="1035"/>
      <c r="CL212" s="46"/>
      <c r="CM212" s="46"/>
    </row>
    <row r="213" spans="2:112" s="1030" customFormat="1" ht="13.8" x14ac:dyDescent="0.25">
      <c r="B213" s="4330"/>
      <c r="C213" s="4330"/>
      <c r="D213" s="1042" t="s">
        <v>14</v>
      </c>
      <c r="E213" s="1039"/>
      <c r="F213" s="4339" t="str">
        <f>IF(H213=0,"Identical to Proposed case",H213)</f>
        <v>Identical to Proposed case</v>
      </c>
      <c r="G213" s="4323"/>
      <c r="H213" s="1043"/>
      <c r="I213" s="4341"/>
      <c r="J213" s="4342"/>
      <c r="K213" s="1044" t="str">
        <f>IF(H213=0,"",I213/H213)</f>
        <v/>
      </c>
      <c r="L213" s="1035"/>
      <c r="CL213" s="46"/>
      <c r="CM213" s="46"/>
    </row>
    <row r="214" spans="2:112" s="1030" customFormat="1" ht="14.7" customHeight="1" x14ac:dyDescent="0.25">
      <c r="B214" s="4330"/>
      <c r="C214" s="4330"/>
      <c r="D214" s="1045" t="s">
        <v>15</v>
      </c>
      <c r="E214" s="1046"/>
      <c r="F214" s="4343" t="str">
        <f>IF(H214=0,"Identical to Proposed case",H214)</f>
        <v>Identical to Proposed case</v>
      </c>
      <c r="G214" s="4323"/>
      <c r="H214" s="1047">
        <f>SUM(H210:H213)</f>
        <v>0</v>
      </c>
      <c r="I214" s="4344">
        <f>SUM(I210:I213)</f>
        <v>0</v>
      </c>
      <c r="J214" s="4344"/>
      <c r="K214" s="1048" t="str">
        <f>IF(H214=0,"",I214/H214)</f>
        <v/>
      </c>
      <c r="L214" s="1035"/>
      <c r="W214" s="46"/>
      <c r="X214" s="46"/>
      <c r="CL214" s="46"/>
      <c r="CM214" s="46"/>
    </row>
    <row r="215" spans="2:112" s="1030" customFormat="1" ht="12.75" customHeight="1" x14ac:dyDescent="0.25">
      <c r="B215" s="4313" t="s">
        <v>415</v>
      </c>
      <c r="C215" s="4314"/>
      <c r="D215" s="4314"/>
      <c r="E215" s="4315"/>
      <c r="F215" s="4333" t="s">
        <v>2189</v>
      </c>
      <c r="G215" s="4334"/>
      <c r="H215" s="4337" t="s">
        <v>2189</v>
      </c>
      <c r="I215" s="4338" t="s">
        <v>24</v>
      </c>
      <c r="J215" s="4338"/>
      <c r="K215" s="4338"/>
      <c r="L215" s="1035"/>
      <c r="W215" s="46"/>
      <c r="X215" s="46"/>
      <c r="CL215" s="46"/>
      <c r="CM215" s="46"/>
    </row>
    <row r="216" spans="2:112" s="1030" customFormat="1" ht="13.8" x14ac:dyDescent="0.25">
      <c r="B216" s="4345"/>
      <c r="C216" s="4346"/>
      <c r="D216" s="4346"/>
      <c r="E216" s="4347"/>
      <c r="F216" s="4335"/>
      <c r="G216" s="4336"/>
      <c r="H216" s="4337"/>
      <c r="I216" s="4338" t="s">
        <v>2188</v>
      </c>
      <c r="J216" s="4338"/>
      <c r="K216" s="1041" t="s">
        <v>17</v>
      </c>
      <c r="L216" s="1035"/>
      <c r="W216" s="46"/>
      <c r="X216" s="46"/>
      <c r="Y216" s="46"/>
      <c r="CL216" s="46"/>
      <c r="CM216" s="46"/>
    </row>
    <row r="217" spans="2:112" s="1030" customFormat="1" ht="13.8" x14ac:dyDescent="0.25">
      <c r="B217" s="4348"/>
      <c r="C217" s="4349"/>
      <c r="D217" s="4349"/>
      <c r="E217" s="4318"/>
      <c r="F217" s="4339" t="str">
        <f>IF(H217=0,"Identical to Proposed case",H217)</f>
        <v>Identical to Proposed case</v>
      </c>
      <c r="G217" s="4323"/>
      <c r="H217" s="1043"/>
      <c r="I217" s="4340"/>
      <c r="J217" s="4340"/>
      <c r="K217" s="1044" t="str">
        <f>IF(H217=0,"",I217/H217)</f>
        <v/>
      </c>
      <c r="W217" s="46"/>
      <c r="X217" s="46"/>
      <c r="Y217" s="46"/>
      <c r="CL217" s="46"/>
      <c r="CM217" s="46"/>
      <c r="CU217" s="46"/>
      <c r="CV217" s="46"/>
      <c r="CW217" s="46"/>
      <c r="CX217" s="46"/>
      <c r="CY217" s="46"/>
      <c r="CZ217" s="46"/>
      <c r="DA217" s="46"/>
      <c r="DB217" s="46"/>
      <c r="DC217" s="46"/>
      <c r="DD217" s="46"/>
      <c r="DE217" s="46"/>
      <c r="DF217" s="46"/>
      <c r="DG217" s="46"/>
      <c r="DH217" s="46"/>
    </row>
    <row r="218" spans="2:112" x14ac:dyDescent="0.25">
      <c r="B218" s="1049" t="e">
        <f>IF(#REF!="","",IF(#REF!&lt;=0.4,"","**Baseline vertical glazing areas limited to 40% of gross above-grade wall area per Table G3.1#5(c)"))</f>
        <v>#REF!</v>
      </c>
      <c r="C218" s="1050"/>
      <c r="D218" s="1050"/>
      <c r="E218" s="1050"/>
      <c r="F218" s="1051"/>
      <c r="G218" s="1051"/>
      <c r="H218" s="1051"/>
      <c r="I218" s="1050"/>
      <c r="J218" s="1050"/>
      <c r="K218" s="1050"/>
    </row>
  </sheetData>
  <sheetProtection algorithmName="SHA-512" hashValue="Tmk/FD9Lfi1gwYSvYv1s+HnAPJ+O3xPgqgFOp3w48ddQDDUfRDMFaxD1xUfrG1OOE+J0jya0CDtX0Cc1YhZ3Mw==" saltValue="nCjgbgXvDx3aFy7fwCAfOg==" spinCount="100000" sheet="1" objects="1" scenarios="1"/>
  <dataConsolidate/>
  <customSheetViews>
    <customSheetView guid="{75D6F8CE-A4F4-4FDD-BA92-7996F9E19FA9}" topLeftCell="M1">
      <selection activeCell="Z14" sqref="Z14"/>
      <pageMargins left="0.7" right="0.7" top="0.75" bottom="0.75" header="0.3" footer="0.3"/>
      <pageSetup orientation="portrait" r:id="rId1"/>
    </customSheetView>
  </customSheetViews>
  <mergeCells count="33">
    <mergeCell ref="F214:G214"/>
    <mergeCell ref="I214:J214"/>
    <mergeCell ref="B215:E217"/>
    <mergeCell ref="F215:G216"/>
    <mergeCell ref="H215:H216"/>
    <mergeCell ref="I215:K215"/>
    <mergeCell ref="I216:J216"/>
    <mergeCell ref="F217:G217"/>
    <mergeCell ref="I217:J217"/>
    <mergeCell ref="B207:D207"/>
    <mergeCell ref="H207:K207"/>
    <mergeCell ref="B208:C214"/>
    <mergeCell ref="D208:D209"/>
    <mergeCell ref="F208:G209"/>
    <mergeCell ref="H208:H209"/>
    <mergeCell ref="I208:K208"/>
    <mergeCell ref="I209:J209"/>
    <mergeCell ref="F210:G210"/>
    <mergeCell ref="I210:J210"/>
    <mergeCell ref="F211:G211"/>
    <mergeCell ref="I211:J211"/>
    <mergeCell ref="F212:G212"/>
    <mergeCell ref="I212:J212"/>
    <mergeCell ref="F213:G213"/>
    <mergeCell ref="I213:J213"/>
    <mergeCell ref="B205:E206"/>
    <mergeCell ref="H205:K205"/>
    <mergeCell ref="H206:K206"/>
    <mergeCell ref="C178:D178"/>
    <mergeCell ref="C179:D179"/>
    <mergeCell ref="B204:D204"/>
    <mergeCell ref="F204:G204"/>
    <mergeCell ref="H204:K204"/>
  </mergeCells>
  <dataValidations disablePrompts="1" count="14">
    <dataValidation type="list" allowBlank="1" showInputMessage="1" showErrorMessage="1" sqref="B110" xr:uid="{00000000-0002-0000-3700-000000000000}">
      <formula1>EnergySources</formula1>
    </dataValidation>
    <dataValidation allowBlank="1" showInputMessage="1" showErrorMessage="1" prompt="List any permanent or automatically controlled shading devices modeled for the Proposed case (example: 24&quot; light shelves on all south-facing vertical glazing)" sqref="I205:K205 H205:H206" xr:uid="{00000000-0002-0000-3700-000001000000}"/>
    <dataValidation allowBlank="1" showInputMessage="1" showErrorMessage="1" prompt="Describe attributes of building shape/orientation that contribute to improved building performance (example: courtyard with self-shading), or enter &quot;N/A&quot; if not appicable" sqref="H207:K207" xr:uid="{00000000-0002-0000-3700-000002000000}"/>
    <dataValidation type="decimal" operator="greaterThanOrEqual" allowBlank="1" showInputMessage="1" showErrorMessage="1" error="Please enter the value only (without any labels)" prompt="Enter the total area for North-facing (or nearest North-facing) above-grade Proposed exterior walls" sqref="H210" xr:uid="{00000000-0002-0000-3700-000003000000}">
      <formula1>0</formula1>
    </dataValidation>
    <dataValidation type="decimal" operator="greaterThanOrEqual" allowBlank="1" showInputMessage="1" showErrorMessage="1" error="Please enter the value only (without any labels)" prompt="Enter the total area for East-facing (or nearest East-facing) above-grade Proposed exterior walls" sqref="H211" xr:uid="{00000000-0002-0000-3700-000004000000}">
      <formula1>0</formula1>
    </dataValidation>
    <dataValidation type="decimal" operator="greaterThanOrEqual" allowBlank="1" showInputMessage="1" showErrorMessage="1" error="Please enter the value only (without any labels)" prompt="Enter the total area for South-facing (or nearest South-facing) above-grade Proposed exterior walls" sqref="H212" xr:uid="{00000000-0002-0000-3700-000005000000}">
      <formula1>0</formula1>
    </dataValidation>
    <dataValidation type="decimal" operator="greaterThanOrEqual" allowBlank="1" showInputMessage="1" showErrorMessage="1" error="Please enter the value only (without any labels)" prompt="Enter the total area for West-facing (or nearest West-facing) above-grade Proposed exterior walls" sqref="H213" xr:uid="{00000000-0002-0000-3700-000006000000}">
      <formula1>0</formula1>
    </dataValidation>
    <dataValidation type="decimal" operator="greaterThanOrEqual" allowBlank="1" showInputMessage="1" showErrorMessage="1" error="Please enter the value only (without any labels)" prompt="Enter the total area for North-facing (or nearest North-facing) Proposed vertical glazing" sqref="I210:J210" xr:uid="{00000000-0002-0000-3700-000007000000}">
      <formula1>0</formula1>
    </dataValidation>
    <dataValidation type="decimal" operator="greaterThanOrEqual" allowBlank="1" showInputMessage="1" showErrorMessage="1" error="Please enter the value only (without any labels)" prompt="Enter the total area for East-facing (or nearest East-facing) Proposed vertical glazing" sqref="I211:J211" xr:uid="{00000000-0002-0000-3700-000008000000}">
      <formula1>0</formula1>
    </dataValidation>
    <dataValidation type="decimal" operator="greaterThanOrEqual" allowBlank="1" showInputMessage="1" showErrorMessage="1" error="Please enter the value only (without any labels)" prompt="Enter the total area for South-facing (or nearest South-facing) Proposed vertical glazing" sqref="I212:J212" xr:uid="{00000000-0002-0000-3700-000009000000}">
      <formula1>0</formula1>
    </dataValidation>
    <dataValidation type="decimal" operator="greaterThanOrEqual" allowBlank="1" showInputMessage="1" showErrorMessage="1" error="Please enter the value only (without any labels)" prompt="Enter the total area for West-facing (or nearest West-facing) Proposed vertical glazing" sqref="I213:J213" xr:uid="{00000000-0002-0000-3700-00000A000000}">
      <formula1>0</formula1>
    </dataValidation>
    <dataValidation type="decimal" operator="greaterThanOrEqual" allowBlank="1" showInputMessage="1" showErrorMessage="1" error="Please enter the value only (without any labels)" prompt="If the project includes skylights, enter the total skylight area for the Proposed case. Otherwise, enter &quot;N/A&quot;" sqref="I217:J217" xr:uid="{00000000-0002-0000-3700-00000B000000}">
      <formula1>0</formula1>
    </dataValidation>
    <dataValidation type="decimal" operator="greaterThanOrEqual" allowBlank="1" showInputMessage="1" showErrorMessage="1" error="Please enter the value only (without any labels)" prompt="Enter the total roof area for the Proposed case" sqref="H217" xr:uid="{00000000-0002-0000-3700-00000C000000}">
      <formula1>0</formula1>
    </dataValidation>
    <dataValidation type="list" allowBlank="1" showInputMessage="1" sqref="F205:F207" xr:uid="{00000000-0002-0000-3700-00000D000000}">
      <formula1>"Yes,No"</formula1>
    </dataValidation>
  </dataValidations>
  <pageMargins left="0.7" right="0.7" top="0.75" bottom="0.75" header="0.3" footer="0.3"/>
  <pageSetup orientation="portrait" r:id="rId2"/>
  <legacyDrawing r:id="rId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49">
    <tabColor theme="3" tint="0.39997558519241921"/>
  </sheetPr>
  <dimension ref="A1:AJ58"/>
  <sheetViews>
    <sheetView workbookViewId="0"/>
  </sheetViews>
  <sheetFormatPr defaultColWidth="25.69921875" defaultRowHeight="13.2" x14ac:dyDescent="0.25"/>
  <cols>
    <col min="1" max="1" width="25.296875" style="42" customWidth="1"/>
    <col min="2" max="6" width="24.69921875" style="184" customWidth="1"/>
    <col min="7" max="7" width="11.296875" style="42" customWidth="1"/>
    <col min="8" max="8" width="24.69921875" style="184" customWidth="1"/>
    <col min="9" max="9" width="24.69921875" style="42" customWidth="1"/>
    <col min="10" max="10" width="3.5" style="42" customWidth="1"/>
    <col min="11" max="14" width="14.69921875" style="184" customWidth="1"/>
    <col min="15" max="15" width="17.796875" style="184" customWidth="1"/>
    <col min="16" max="16" width="3.5" style="184" customWidth="1"/>
    <col min="17" max="20" width="14.69921875" style="184" customWidth="1"/>
    <col min="21" max="24" width="10.69921875" style="184" customWidth="1"/>
    <col min="25" max="25" width="42.796875" style="184" customWidth="1"/>
    <col min="26" max="28" width="25.69921875" style="184"/>
    <col min="29" max="29" width="51.796875" style="184" customWidth="1"/>
    <col min="30" max="16384" width="25.69921875" style="184"/>
  </cols>
  <sheetData>
    <row r="1" spans="1:36" ht="30" x14ac:dyDescent="0.25">
      <c r="A1" s="42" t="s">
        <v>129</v>
      </c>
      <c r="B1" s="184" t="b">
        <f>'General Information'!R68</f>
        <v>0</v>
      </c>
      <c r="C1" s="1834" t="s">
        <v>2560</v>
      </c>
    </row>
    <row r="2" spans="1:36" x14ac:dyDescent="0.25">
      <c r="A2" s="42" t="s">
        <v>130</v>
      </c>
      <c r="B2" s="184" t="b">
        <f>'General Information'!S68</f>
        <v>0</v>
      </c>
    </row>
    <row r="3" spans="1:36" x14ac:dyDescent="0.25">
      <c r="A3" s="42" t="s">
        <v>278</v>
      </c>
      <c r="B3" s="184" t="b">
        <f>'General Information'!R69</f>
        <v>0</v>
      </c>
      <c r="N3" s="184" t="s">
        <v>892</v>
      </c>
    </row>
    <row r="4" spans="1:36" x14ac:dyDescent="0.25">
      <c r="A4" s="42" t="s">
        <v>276</v>
      </c>
      <c r="B4" s="184" t="b">
        <f>'General Information'!S69</f>
        <v>0</v>
      </c>
    </row>
    <row r="5" spans="1:36" ht="12.75" customHeight="1" x14ac:dyDescent="0.25">
      <c r="A5" s="42" t="s">
        <v>277</v>
      </c>
      <c r="B5" s="184" t="b">
        <f>'General Information'!T69</f>
        <v>0</v>
      </c>
      <c r="C5" s="184">
        <v>3</v>
      </c>
      <c r="D5" s="184">
        <v>4</v>
      </c>
      <c r="E5" s="184">
        <v>5</v>
      </c>
      <c r="F5" s="184">
        <v>6</v>
      </c>
      <c r="G5" s="42">
        <v>7</v>
      </c>
      <c r="H5" s="184">
        <v>8</v>
      </c>
      <c r="I5" s="42">
        <v>9</v>
      </c>
      <c r="J5" s="42">
        <v>10</v>
      </c>
      <c r="K5" s="35">
        <v>11</v>
      </c>
      <c r="L5" s="35">
        <v>12</v>
      </c>
      <c r="M5" s="35">
        <v>13</v>
      </c>
      <c r="N5" s="35">
        <v>14</v>
      </c>
      <c r="O5" s="35">
        <v>15</v>
      </c>
      <c r="P5" s="35">
        <v>16</v>
      </c>
      <c r="Q5" s="35">
        <v>17</v>
      </c>
      <c r="R5" s="35">
        <v>18</v>
      </c>
      <c r="S5" s="35">
        <v>19</v>
      </c>
      <c r="T5" s="35">
        <v>20</v>
      </c>
    </row>
    <row r="6" spans="1:36" x14ac:dyDescent="0.25">
      <c r="A6" s="42" t="s">
        <v>279</v>
      </c>
      <c r="B6" s="184" t="b">
        <f>'General Information'!U69</f>
        <v>0</v>
      </c>
      <c r="K6" s="35"/>
      <c r="L6" s="35"/>
      <c r="M6" s="35"/>
      <c r="N6" s="35"/>
      <c r="O6" s="35"/>
      <c r="P6" s="35"/>
      <c r="Q6" s="35"/>
      <c r="R6" s="35"/>
      <c r="S6" s="35"/>
      <c r="T6" s="35"/>
    </row>
    <row r="7" spans="1:36" ht="26.25" customHeight="1" x14ac:dyDescent="0.25">
      <c r="K7" s="4361" t="s">
        <v>893</v>
      </c>
      <c r="L7" s="4362"/>
      <c r="M7" s="4362"/>
      <c r="N7" s="4362"/>
      <c r="O7" s="4362"/>
      <c r="Q7" s="4363" t="s">
        <v>839</v>
      </c>
      <c r="R7" s="4364"/>
      <c r="S7" s="4364"/>
      <c r="T7" s="4364"/>
      <c r="U7" s="4365"/>
      <c r="Y7" s="1144" t="s">
        <v>1904</v>
      </c>
      <c r="Z7" s="1140" t="s">
        <v>1905</v>
      </c>
      <c r="AA7" s="1141" t="s">
        <v>1906</v>
      </c>
      <c r="AB7" s="1141" t="s">
        <v>1907</v>
      </c>
      <c r="AC7" s="1141" t="s">
        <v>1908</v>
      </c>
      <c r="AD7" s="1141" t="s">
        <v>1909</v>
      </c>
      <c r="AE7" s="1141"/>
      <c r="AF7" s="1141" t="s">
        <v>1910</v>
      </c>
      <c r="AG7" s="1142" t="s">
        <v>143</v>
      </c>
      <c r="AI7" s="1089" t="s">
        <v>1948</v>
      </c>
      <c r="AJ7" s="1" t="s">
        <v>211</v>
      </c>
    </row>
    <row r="8" spans="1:36" ht="44.25" customHeight="1" x14ac:dyDescent="0.25">
      <c r="A8" s="1090" t="s">
        <v>830</v>
      </c>
      <c r="B8" s="1091" t="b">
        <f>IF(AND(C8=FALSE,D8=FALSE,E8=FALSE,F8=FALSE),TRUE,FALSE)</f>
        <v>1</v>
      </c>
      <c r="C8" s="1091" t="b">
        <f>AND(B1=TRUE,B2=FALSE,OR(B3=TRUE,B5=TRUE))</f>
        <v>0</v>
      </c>
      <c r="D8" s="1091" t="b">
        <f>AND(B1=FALSE,B2=TRUE,OR(B3=TRUE,B5=TRUE))</f>
        <v>0</v>
      </c>
      <c r="E8" s="1091" t="b">
        <f>AND(B1=TRUE,B2=TRUE,OR(B3=TRUE,B5=TRUE))</f>
        <v>0</v>
      </c>
      <c r="F8" s="1091" t="b">
        <f>B6</f>
        <v>0</v>
      </c>
      <c r="G8" s="4350" t="s">
        <v>886</v>
      </c>
      <c r="H8" s="4350" t="s">
        <v>832</v>
      </c>
      <c r="I8" s="4352" t="s">
        <v>831</v>
      </c>
      <c r="K8" s="4354" t="s">
        <v>891</v>
      </c>
      <c r="L8" s="4355"/>
      <c r="M8" s="4356" t="s">
        <v>894</v>
      </c>
      <c r="N8" s="4356" t="s">
        <v>838</v>
      </c>
      <c r="O8" s="378" t="s">
        <v>895</v>
      </c>
      <c r="Q8" s="3538" t="s">
        <v>889</v>
      </c>
      <c r="R8" s="3539" t="s">
        <v>890</v>
      </c>
      <c r="S8" s="4358" t="s">
        <v>216</v>
      </c>
      <c r="T8" s="4358" t="s">
        <v>217</v>
      </c>
      <c r="U8" s="4358" t="s">
        <v>896</v>
      </c>
      <c r="Y8" s="1468" t="s">
        <v>111</v>
      </c>
      <c r="Z8" s="1469" t="s">
        <v>1911</v>
      </c>
      <c r="AA8" s="1470" t="s">
        <v>1912</v>
      </c>
      <c r="AB8" s="1470"/>
      <c r="AC8" s="1470" t="str">
        <f>Y8&amp;AA8</f>
        <v>System 1 - PTACAll capacities</v>
      </c>
      <c r="AD8" s="1471" t="s">
        <v>2250</v>
      </c>
      <c r="AE8" s="1472" t="s">
        <v>2213</v>
      </c>
      <c r="AF8" s="1473" t="s">
        <v>669</v>
      </c>
      <c r="AG8" s="1474" t="s">
        <v>669</v>
      </c>
      <c r="AI8" s="1" t="s">
        <v>212</v>
      </c>
      <c r="AJ8" s="1" t="s">
        <v>212</v>
      </c>
    </row>
    <row r="9" spans="1:36" s="42" customFormat="1" ht="87" customHeight="1" x14ac:dyDescent="0.25">
      <c r="A9" s="1090" t="s">
        <v>837</v>
      </c>
      <c r="B9" s="1095" t="s">
        <v>833</v>
      </c>
      <c r="C9" s="1095" t="s">
        <v>834</v>
      </c>
      <c r="D9" s="1095" t="s">
        <v>835</v>
      </c>
      <c r="E9" s="1095" t="s">
        <v>836</v>
      </c>
      <c r="F9" s="1095" t="s">
        <v>280</v>
      </c>
      <c r="G9" s="4351"/>
      <c r="H9" s="4351"/>
      <c r="I9" s="4353"/>
      <c r="K9" s="1088" t="s">
        <v>887</v>
      </c>
      <c r="L9" s="1087" t="s">
        <v>888</v>
      </c>
      <c r="M9" s="4357"/>
      <c r="N9" s="4357"/>
      <c r="O9" s="1088" t="s">
        <v>707</v>
      </c>
      <c r="Q9" s="3673"/>
      <c r="R9" s="4366"/>
      <c r="S9" s="4359"/>
      <c r="T9" s="4359"/>
      <c r="U9" s="4359"/>
      <c r="Y9" s="1146" t="s">
        <v>112</v>
      </c>
      <c r="Z9" s="1093" t="s">
        <v>1914</v>
      </c>
      <c r="AA9" s="1094" t="s">
        <v>1912</v>
      </c>
      <c r="AB9" s="1094"/>
      <c r="AC9" s="1094" t="str">
        <f t="shared" ref="AC9:AC29" si="0">Y9&amp;AA9</f>
        <v>System 2 - PTHPAll capacities</v>
      </c>
      <c r="AD9" s="956" t="s">
        <v>2250</v>
      </c>
      <c r="AE9" s="920" t="s">
        <v>2213</v>
      </c>
      <c r="AF9" s="960" t="s">
        <v>669</v>
      </c>
      <c r="AG9" s="928" t="s">
        <v>669</v>
      </c>
      <c r="AI9" s="1" t="s">
        <v>207</v>
      </c>
      <c r="AJ9" s="1" t="s">
        <v>208</v>
      </c>
    </row>
    <row r="10" spans="1:36" s="181" customFormat="1" ht="33" customHeight="1" x14ac:dyDescent="0.25">
      <c r="A10" s="1096" t="str">
        <f>IF($C$8=TRUE,C10,IF($D$8=TRUE,D10,IF($E$8=TRUE,E10,IF($F$8=TRUE,F10,B10))))</f>
        <v>System 1 - PTAC</v>
      </c>
      <c r="B10" s="1096" t="s">
        <v>111</v>
      </c>
      <c r="C10" s="1096" t="s">
        <v>847</v>
      </c>
      <c r="D10" s="1096" t="s">
        <v>136</v>
      </c>
      <c r="E10" s="1096" t="s">
        <v>849</v>
      </c>
      <c r="F10" s="1096" t="s">
        <v>128</v>
      </c>
      <c r="G10" s="1097">
        <v>1</v>
      </c>
      <c r="H10" s="1098" t="str">
        <f t="array" aca="1" ref="H10" ca="1">IFERROR(INDEX($A$10:$A$19,SMALL((IF(LEN($A$10:$A$19),ROW(INDIRECT("1:"&amp;ROWS($A$10:$A$19))))),ROW(A1)),1),"")</f>
        <v>System 1 - PTAC</v>
      </c>
      <c r="I10" s="1099" t="str">
        <f t="array" aca="1" ref="I10" ca="1">IFERROR(INDEX($A$10:$A$32,SMALL((IF(LEN($A$10:$A$32),ROW(INDIRECT("1:"&amp;ROWS($A$10:$A$32))))),ROW(A1)),1),"")</f>
        <v>System 1 - PTAC</v>
      </c>
      <c r="J10" s="129"/>
      <c r="K10" s="1052">
        <v>2.9999999999999997E-4</v>
      </c>
      <c r="L10" s="1100">
        <v>6.4000000000000005E-4</v>
      </c>
      <c r="M10" s="1135">
        <v>0</v>
      </c>
      <c r="N10" s="1136">
        <v>0</v>
      </c>
      <c r="O10" s="1137">
        <v>0</v>
      </c>
      <c r="Q10" s="224">
        <v>0</v>
      </c>
      <c r="R10" s="225">
        <v>0</v>
      </c>
      <c r="S10" s="222"/>
      <c r="T10" s="223">
        <v>0.82499999999999996</v>
      </c>
      <c r="U10" s="241">
        <f t="shared" ref="U10:U29" si="1">IF(SI_IP_Units="SI",1/T10,0.746/T10)</f>
        <v>0.90424242424242429</v>
      </c>
      <c r="Y10" s="1146" t="s">
        <v>112</v>
      </c>
      <c r="Z10" s="1106" t="s">
        <v>1915</v>
      </c>
      <c r="AA10" s="1107" t="s">
        <v>1912</v>
      </c>
      <c r="AB10" s="1108"/>
      <c r="AC10" s="1108" t="str">
        <f t="shared" si="0"/>
        <v>System 2 - PTHPAll capacities</v>
      </c>
      <c r="AD10" s="957" t="s">
        <v>2250</v>
      </c>
      <c r="AE10" s="923" t="s">
        <v>2213</v>
      </c>
      <c r="AF10" s="959" t="s">
        <v>669</v>
      </c>
      <c r="AG10" s="930" t="s">
        <v>669</v>
      </c>
      <c r="AI10" s="1" t="s">
        <v>209</v>
      </c>
      <c r="AJ10" s="1" t="s">
        <v>210</v>
      </c>
    </row>
    <row r="11" spans="1:36" s="181" customFormat="1" ht="33" customHeight="1" x14ac:dyDescent="0.25">
      <c r="A11" s="1109" t="str">
        <f t="shared" ref="A11:A19" si="2">IF($C$8=TRUE,C11,IF($D$8=TRUE,D11,IF($E$8=TRUE,E11,IF($F$8=TRUE,F11,B11))))</f>
        <v>System 2 - PTHP</v>
      </c>
      <c r="B11" s="1109" t="s">
        <v>112</v>
      </c>
      <c r="C11" s="1109" t="s">
        <v>848</v>
      </c>
      <c r="D11" s="1110" t="str">
        <f>""</f>
        <v/>
      </c>
      <c r="E11" s="1110" t="str">
        <f>""</f>
        <v/>
      </c>
      <c r="F11" s="1110" t="str">
        <f>""</f>
        <v/>
      </c>
      <c r="G11" s="1111">
        <v>2</v>
      </c>
      <c r="H11" s="1112" t="str">
        <f t="array" aca="1" ref="H11" ca="1">IFERROR(INDEX($A$10:$A$19,SMALL((IF(LEN($A$10:$A$19),ROW(INDIRECT("1:"&amp;ROWS($A$10:$A$19))))),ROW(A2)),1),"")</f>
        <v>System 2 - PTHP</v>
      </c>
      <c r="I11" s="1113" t="str">
        <f t="array" aca="1" ref="I11" ca="1">IFERROR(INDEX($A$10:$A$32,SMALL((IF(LEN($A$10:$A$32),ROW(INDIRECT("1:"&amp;ROWS($A$10:$A$32))))),ROW(A2)),1),"")</f>
        <v>System 2 - PTHP</v>
      </c>
      <c r="J11" s="129"/>
      <c r="K11" s="1059">
        <v>2.9999999999999997E-4</v>
      </c>
      <c r="L11" s="1064">
        <f>L10/K10*K11</f>
        <v>6.4000000000000005E-4</v>
      </c>
      <c r="M11" s="848">
        <v>0</v>
      </c>
      <c r="N11" s="849">
        <v>0</v>
      </c>
      <c r="O11" s="829">
        <v>0</v>
      </c>
      <c r="Q11" s="210">
        <v>1</v>
      </c>
      <c r="R11" s="220">
        <v>0.8</v>
      </c>
      <c r="S11" s="221">
        <v>0.82499999999999996</v>
      </c>
      <c r="T11" s="221">
        <v>0.84</v>
      </c>
      <c r="U11" s="241">
        <f t="shared" si="1"/>
        <v>0.88809523809523816</v>
      </c>
      <c r="Y11" s="1147" t="s">
        <v>113</v>
      </c>
      <c r="Z11" s="1093" t="s">
        <v>1916</v>
      </c>
      <c r="AA11" s="1094" t="s">
        <v>1917</v>
      </c>
      <c r="AB11" s="1094" t="s">
        <v>569</v>
      </c>
      <c r="AC11" s="1094" t="str">
        <f t="shared" si="0"/>
        <v>System 3 - PSZ-AC&lt;65,000 Btu/h</v>
      </c>
      <c r="AD11" s="955" t="s">
        <v>669</v>
      </c>
      <c r="AE11" s="925" t="s">
        <v>669</v>
      </c>
      <c r="AF11" s="925">
        <v>14</v>
      </c>
      <c r="AG11" s="926" t="s">
        <v>1918</v>
      </c>
    </row>
    <row r="12" spans="1:36" s="181" customFormat="1" ht="33" customHeight="1" x14ac:dyDescent="0.25">
      <c r="A12" s="1109" t="str">
        <f t="shared" si="2"/>
        <v>System 3 - PSZ-AC</v>
      </c>
      <c r="B12" s="1109" t="s">
        <v>113</v>
      </c>
      <c r="C12" s="1109" t="s">
        <v>131</v>
      </c>
      <c r="D12" s="1109" t="s">
        <v>137</v>
      </c>
      <c r="E12" s="1109" t="s">
        <v>141</v>
      </c>
      <c r="F12" s="1110" t="str">
        <f>""</f>
        <v/>
      </c>
      <c r="G12" s="1111">
        <v>3</v>
      </c>
      <c r="H12" s="1112" t="str">
        <f t="array" aca="1" ref="H12" ca="1">IFERROR(INDEX($A$10:$A$19,SMALL((IF(LEN($A$10:$A$19),ROW(INDIRECT("1:"&amp;ROWS($A$10:$A$19))))),ROW(A3)),1),"")</f>
        <v>System 3 - PSZ-AC</v>
      </c>
      <c r="I12" s="1113" t="str">
        <f t="array" aca="1" ref="I12" ca="1">IFERROR(INDEX($A$10:$A$32,SMALL((IF(LEN($A$10:$A$32),ROW(INDIRECT("1:"&amp;ROWS($A$10:$A$32))))),ROW(A3)),1),"")</f>
        <v>System 3 - PSZ-AC</v>
      </c>
      <c r="J12" s="129"/>
      <c r="K12" s="1059">
        <v>9.3999999999999997E-4</v>
      </c>
      <c r="L12" s="1064">
        <v>1.5E-3</v>
      </c>
      <c r="M12" s="848">
        <v>1</v>
      </c>
      <c r="N12" s="849">
        <v>1</v>
      </c>
      <c r="O12" s="829">
        <v>0</v>
      </c>
      <c r="Q12" s="210">
        <v>1.5</v>
      </c>
      <c r="R12" s="220">
        <v>1.1000000000000001</v>
      </c>
      <c r="S12" s="221">
        <v>0.84</v>
      </c>
      <c r="T12" s="221">
        <v>0.84</v>
      </c>
      <c r="U12" s="241">
        <f t="shared" si="1"/>
        <v>0.88809523809523816</v>
      </c>
      <c r="Y12" s="1146" t="s">
        <v>113</v>
      </c>
      <c r="Z12" s="1092"/>
      <c r="AA12" s="1117" t="s">
        <v>1919</v>
      </c>
      <c r="AB12" s="1094" t="s">
        <v>1920</v>
      </c>
      <c r="AC12" s="1094" t="str">
        <f t="shared" si="0"/>
        <v>System 3 - PSZ-AC≥65,000 Btu/h and
&lt;135,000 Btu/h</v>
      </c>
      <c r="AD12" s="956">
        <v>11</v>
      </c>
      <c r="AE12" s="927" t="s">
        <v>2213</v>
      </c>
      <c r="AF12" s="925">
        <v>12.7</v>
      </c>
      <c r="AG12" s="926" t="s">
        <v>1921</v>
      </c>
    </row>
    <row r="13" spans="1:36" s="181" customFormat="1" ht="33" customHeight="1" x14ac:dyDescent="0.25">
      <c r="A13" s="1109" t="str">
        <f t="shared" si="2"/>
        <v>System 4 - PSZ-HP</v>
      </c>
      <c r="B13" s="1109" t="s">
        <v>114</v>
      </c>
      <c r="C13" s="1109" t="s">
        <v>132</v>
      </c>
      <c r="D13" s="1110" t="str">
        <f>""</f>
        <v/>
      </c>
      <c r="E13" s="1110" t="str">
        <f>""</f>
        <v/>
      </c>
      <c r="F13" s="1110" t="str">
        <f>""</f>
        <v/>
      </c>
      <c r="G13" s="1111">
        <v>4</v>
      </c>
      <c r="H13" s="1112" t="str">
        <f t="array" aca="1" ref="H13" ca="1">IFERROR(INDEX($A$10:$A$19,SMALL((IF(LEN($A$10:$A$19),ROW(INDIRECT("1:"&amp;ROWS($A$10:$A$19))))),ROW(A4)),1),"")</f>
        <v>System 4 - PSZ-HP</v>
      </c>
      <c r="I13" s="1113" t="str">
        <f t="array" aca="1" ref="I13" ca="1">IFERROR(INDEX($A$10:$A$32,SMALL((IF(LEN($A$10:$A$32),ROW(INDIRECT("1:"&amp;ROWS($A$10:$A$32))))),ROW(A4)),1),"")</f>
        <v>System 4 - PSZ-HP</v>
      </c>
      <c r="J13" s="129"/>
      <c r="K13" s="1059">
        <v>9.3999999999999997E-4</v>
      </c>
      <c r="L13" s="1064">
        <v>1.5E-3</v>
      </c>
      <c r="M13" s="848">
        <v>1</v>
      </c>
      <c r="N13" s="849">
        <v>1</v>
      </c>
      <c r="O13" s="829">
        <v>0</v>
      </c>
      <c r="Q13" s="210">
        <v>2</v>
      </c>
      <c r="R13" s="220">
        <v>1.5</v>
      </c>
      <c r="S13" s="221">
        <v>0.84</v>
      </c>
      <c r="T13" s="221">
        <v>0.875</v>
      </c>
      <c r="U13" s="241">
        <f t="shared" si="1"/>
        <v>0.85257142857142854</v>
      </c>
      <c r="Y13" s="1146" t="s">
        <v>113</v>
      </c>
      <c r="Z13" s="1092"/>
      <c r="AA13" s="1117" t="s">
        <v>1922</v>
      </c>
      <c r="AB13" s="1094" t="s">
        <v>1920</v>
      </c>
      <c r="AC13" s="1094" t="str">
        <f t="shared" si="0"/>
        <v>System 3 - PSZ-AC≥135,000 Btu/h and
&lt;240,000 Btu/h</v>
      </c>
      <c r="AD13" s="956">
        <v>10.8</v>
      </c>
      <c r="AE13" s="927" t="s">
        <v>2213</v>
      </c>
      <c r="AF13" s="925">
        <v>12.2</v>
      </c>
      <c r="AG13" s="926" t="s">
        <v>1921</v>
      </c>
    </row>
    <row r="14" spans="1:36" s="181" customFormat="1" ht="33" customHeight="1" x14ac:dyDescent="0.25">
      <c r="A14" s="1109" t="str">
        <f t="shared" si="2"/>
        <v>System 5 - Packaged VAV with Reheat</v>
      </c>
      <c r="B14" s="1109" t="s">
        <v>115</v>
      </c>
      <c r="C14" s="1109" t="s">
        <v>133</v>
      </c>
      <c r="D14" s="1109" t="s">
        <v>138</v>
      </c>
      <c r="E14" s="1109" t="s">
        <v>142</v>
      </c>
      <c r="F14" s="1110" t="str">
        <f>""</f>
        <v/>
      </c>
      <c r="G14" s="1111">
        <v>5</v>
      </c>
      <c r="H14" s="1112" t="str">
        <f t="array" aca="1" ref="H14" ca="1">IFERROR(INDEX($A$10:$A$19,SMALL((IF(LEN($A$10:$A$19),ROW(INDIRECT("1:"&amp;ROWS($A$10:$A$19))))),ROW(A5)),1),"")</f>
        <v>System 5 - Packaged VAV with Reheat</v>
      </c>
      <c r="I14" s="1113" t="str">
        <f t="array" aca="1" ref="I14" ca="1">IFERROR(INDEX($A$10:$A$32,SMALL((IF(LEN($A$10:$A$32),ROW(INDIRECT("1:"&amp;ROWS($A$10:$A$32))))),ROW(A5)),1),"")</f>
        <v>System 5 - Packaged VAV with Reheat</v>
      </c>
      <c r="J14" s="129"/>
      <c r="K14" s="1059">
        <v>1.2999999999999999E-3</v>
      </c>
      <c r="L14" s="1064">
        <v>2.0999999999999999E-3</v>
      </c>
      <c r="M14" s="848">
        <v>1</v>
      </c>
      <c r="N14" s="849">
        <v>1</v>
      </c>
      <c r="O14" s="829">
        <v>0</v>
      </c>
      <c r="Q14" s="210">
        <v>3</v>
      </c>
      <c r="R14" s="220">
        <v>2.2000000000000002</v>
      </c>
      <c r="S14" s="850">
        <v>0.86499999999999999</v>
      </c>
      <c r="T14" s="221">
        <v>0.875</v>
      </c>
      <c r="U14" s="241">
        <f t="shared" si="1"/>
        <v>0.85257142857142854</v>
      </c>
      <c r="Y14" s="1146" t="s">
        <v>113</v>
      </c>
      <c r="Z14" s="1092"/>
      <c r="AA14" s="1117" t="s">
        <v>1923</v>
      </c>
      <c r="AB14" s="1094" t="s">
        <v>1920</v>
      </c>
      <c r="AC14" s="1094" t="str">
        <f t="shared" si="0"/>
        <v>System 3 - PSZ-AC≥240,000 Btu/h and
&lt;760,000 Btu/h</v>
      </c>
      <c r="AD14" s="956">
        <v>9.8000000000000007</v>
      </c>
      <c r="AE14" s="927" t="s">
        <v>2213</v>
      </c>
      <c r="AF14" s="927">
        <v>11.4</v>
      </c>
      <c r="AG14" s="928" t="s">
        <v>1921</v>
      </c>
    </row>
    <row r="15" spans="1:36" s="181" customFormat="1" ht="33" customHeight="1" x14ac:dyDescent="0.25">
      <c r="A15" s="1109" t="str">
        <f t="shared" si="2"/>
        <v>System 6 - Packaged VAV with PFP Boxes</v>
      </c>
      <c r="B15" s="1109" t="s">
        <v>116</v>
      </c>
      <c r="C15" s="1109" t="s">
        <v>134</v>
      </c>
      <c r="D15" s="1110" t="str">
        <f>""</f>
        <v/>
      </c>
      <c r="E15" s="1110" t="str">
        <f>""</f>
        <v/>
      </c>
      <c r="F15" s="1110" t="str">
        <f>""</f>
        <v/>
      </c>
      <c r="G15" s="1111">
        <v>6</v>
      </c>
      <c r="H15" s="1112" t="str">
        <f t="array" aca="1" ref="H15" ca="1">IFERROR(INDEX($A$10:$A$19,SMALL((IF(LEN($A$10:$A$19),ROW(INDIRECT("1:"&amp;ROWS($A$10:$A$19))))),ROW(A6)),1),"")</f>
        <v>System 6 - Packaged VAV with PFP Boxes</v>
      </c>
      <c r="I15" s="1113" t="str">
        <f t="array" aca="1" ref="I15" ca="1">IFERROR(INDEX($A$10:$A$32,SMALL((IF(LEN($A$10:$A$32),ROW(INDIRECT("1:"&amp;ROWS($A$10:$A$32))))),ROW(A6)),1),"")</f>
        <v>System 6 - Packaged VAV with PFP Boxes</v>
      </c>
      <c r="J15" s="129"/>
      <c r="K15" s="1059">
        <v>1.2999999999999999E-3</v>
      </c>
      <c r="L15" s="1064">
        <v>2.0999999999999999E-3</v>
      </c>
      <c r="M15" s="848">
        <v>1</v>
      </c>
      <c r="N15" s="849">
        <v>1</v>
      </c>
      <c r="O15" s="829">
        <v>0</v>
      </c>
      <c r="Q15" s="210">
        <v>5</v>
      </c>
      <c r="R15" s="220">
        <v>3.7</v>
      </c>
      <c r="S15" s="221">
        <v>0.875</v>
      </c>
      <c r="T15" s="221">
        <v>0.89500000000000002</v>
      </c>
      <c r="U15" s="241">
        <f t="shared" si="1"/>
        <v>0.83351955307262571</v>
      </c>
      <c r="Y15" s="1146" t="s">
        <v>113</v>
      </c>
      <c r="Z15" s="1106"/>
      <c r="AA15" s="1107" t="s">
        <v>1924</v>
      </c>
      <c r="AB15" s="1108" t="s">
        <v>1920</v>
      </c>
      <c r="AC15" s="1108" t="str">
        <f t="shared" si="0"/>
        <v>System 3 - PSZ-AC≥760,000 Btu/h</v>
      </c>
      <c r="AD15" s="957">
        <v>9.5</v>
      </c>
      <c r="AE15" s="929" t="s">
        <v>2213</v>
      </c>
      <c r="AF15" s="929">
        <v>11</v>
      </c>
      <c r="AG15" s="930" t="s">
        <v>1921</v>
      </c>
    </row>
    <row r="16" spans="1:36" s="181" customFormat="1" ht="33" customHeight="1" x14ac:dyDescent="0.25">
      <c r="A16" s="1109" t="str">
        <f t="shared" si="2"/>
        <v>System 7 - VAV with Reheat</v>
      </c>
      <c r="B16" s="1109" t="s">
        <v>117</v>
      </c>
      <c r="C16" s="1109" t="s">
        <v>135</v>
      </c>
      <c r="D16" s="1109" t="s">
        <v>139</v>
      </c>
      <c r="E16" s="1109" t="s">
        <v>846</v>
      </c>
      <c r="F16" s="1110" t="str">
        <f>""</f>
        <v/>
      </c>
      <c r="G16" s="1111">
        <v>7</v>
      </c>
      <c r="H16" s="1112" t="str">
        <f t="array" aca="1" ref="H16" ca="1">IFERROR(INDEX($A$10:$A$19,SMALL((IF(LEN($A$10:$A$19),ROW(INDIRECT("1:"&amp;ROWS($A$10:$A$19))))),ROW(A7)),1),"")</f>
        <v>System 7 - VAV with Reheat</v>
      </c>
      <c r="I16" s="1113" t="str">
        <f t="array" aca="1" ref="I16" ca="1">IFERROR(INDEX($A$10:$A$32,SMALL((IF(LEN($A$10:$A$32),ROW(INDIRECT("1:"&amp;ROWS($A$10:$A$32))))),ROW(A7)),1),"")</f>
        <v>System 7 - VAV with Reheat</v>
      </c>
      <c r="J16" s="129"/>
      <c r="K16" s="1059">
        <v>1.2999999999999999E-3</v>
      </c>
      <c r="L16" s="1064">
        <v>2.0999999999999999E-3</v>
      </c>
      <c r="M16" s="848">
        <v>1</v>
      </c>
      <c r="N16" s="849">
        <v>1</v>
      </c>
      <c r="O16" s="829">
        <v>0</v>
      </c>
      <c r="Q16" s="210">
        <v>7.5</v>
      </c>
      <c r="R16" s="220">
        <v>5.6</v>
      </c>
      <c r="S16" s="850">
        <v>0.88500000000000001</v>
      </c>
      <c r="T16" s="221">
        <v>0.89500000000000002</v>
      </c>
      <c r="U16" s="241">
        <f t="shared" si="1"/>
        <v>0.83351955307262571</v>
      </c>
      <c r="Y16" s="1147" t="s">
        <v>114</v>
      </c>
      <c r="Z16" s="1093" t="s">
        <v>1925</v>
      </c>
      <c r="AA16" s="1094" t="s">
        <v>1917</v>
      </c>
      <c r="AB16" s="1094" t="s">
        <v>569</v>
      </c>
      <c r="AC16" s="1094" t="str">
        <f t="shared" si="0"/>
        <v>System 4 - PSZ-HP&lt;65,000 Btu/h</v>
      </c>
      <c r="AD16" s="955" t="s">
        <v>669</v>
      </c>
      <c r="AE16" s="925" t="s">
        <v>669</v>
      </c>
      <c r="AF16" s="927">
        <v>14</v>
      </c>
      <c r="AG16" s="928" t="s">
        <v>1918</v>
      </c>
    </row>
    <row r="17" spans="1:33" s="181" customFormat="1" ht="33" customHeight="1" x14ac:dyDescent="0.25">
      <c r="A17" s="1109" t="str">
        <f t="shared" si="2"/>
        <v>System 8 - VAV with PFP Boxes</v>
      </c>
      <c r="B17" s="1109" t="s">
        <v>118</v>
      </c>
      <c r="C17" s="1109" t="s">
        <v>1614</v>
      </c>
      <c r="D17" s="1110" t="str">
        <f>""</f>
        <v/>
      </c>
      <c r="E17" s="1110" t="str">
        <f>""</f>
        <v/>
      </c>
      <c r="F17" s="1110" t="str">
        <f>""</f>
        <v/>
      </c>
      <c r="G17" s="1111">
        <v>8</v>
      </c>
      <c r="H17" s="1112" t="str">
        <f t="array" aca="1" ref="H17" ca="1">IFERROR(INDEX($A$10:$A$19,SMALL((IF(LEN($A$10:$A$19),ROW(INDIRECT("1:"&amp;ROWS($A$10:$A$19))))),ROW(A8)),1),"")</f>
        <v>System 8 - VAV with PFP Boxes</v>
      </c>
      <c r="I17" s="1113" t="str">
        <f t="array" aca="1" ref="I17" ca="1">IFERROR(INDEX($A$10:$A$32,SMALL((IF(LEN($A$10:$A$32),ROW(INDIRECT("1:"&amp;ROWS($A$10:$A$32))))),ROW(A8)),1),"")</f>
        <v>System 8 - VAV with PFP Boxes</v>
      </c>
      <c r="J17" s="129"/>
      <c r="K17" s="1059">
        <v>1.2999999999999999E-3</v>
      </c>
      <c r="L17" s="1064">
        <v>2.0999999999999999E-3</v>
      </c>
      <c r="M17" s="848">
        <v>1</v>
      </c>
      <c r="N17" s="849">
        <v>1</v>
      </c>
      <c r="O17" s="829">
        <v>0</v>
      </c>
      <c r="Q17" s="210">
        <v>10</v>
      </c>
      <c r="R17" s="220">
        <v>7.5</v>
      </c>
      <c r="S17" s="221">
        <v>0.89500000000000002</v>
      </c>
      <c r="T17" s="221">
        <v>0.91</v>
      </c>
      <c r="U17" s="241">
        <f t="shared" si="1"/>
        <v>0.81978021978021975</v>
      </c>
      <c r="Y17" s="1146" t="s">
        <v>114</v>
      </c>
      <c r="Z17" s="1092"/>
      <c r="AA17" s="1117" t="s">
        <v>1919</v>
      </c>
      <c r="AB17" s="1094" t="s">
        <v>569</v>
      </c>
      <c r="AC17" s="1094" t="str">
        <f t="shared" si="0"/>
        <v>System 4 - PSZ-HP≥65,000 Btu/h and
&lt;135,000 Btu/h</v>
      </c>
      <c r="AD17" s="955">
        <v>10.8</v>
      </c>
      <c r="AE17" s="925" t="s">
        <v>2213</v>
      </c>
      <c r="AF17" s="925">
        <v>12</v>
      </c>
      <c r="AG17" s="926" t="s">
        <v>1921</v>
      </c>
    </row>
    <row r="18" spans="1:33" s="181" customFormat="1" ht="33" customHeight="1" x14ac:dyDescent="0.25">
      <c r="A18" s="1109" t="str">
        <f t="shared" si="2"/>
        <v>System 9 - Heating and Ventilation</v>
      </c>
      <c r="B18" s="1109" t="s">
        <v>119</v>
      </c>
      <c r="C18" s="1109" t="s">
        <v>119</v>
      </c>
      <c r="D18" s="1109" t="s">
        <v>140</v>
      </c>
      <c r="E18" s="1109" t="s">
        <v>140</v>
      </c>
      <c r="F18" s="1110" t="str">
        <f>""</f>
        <v/>
      </c>
      <c r="G18" s="1111">
        <v>9</v>
      </c>
      <c r="H18" s="1112" t="str">
        <f t="array" aca="1" ref="H18" ca="1">IFERROR(INDEX($A$10:$A$19,SMALL((IF(LEN($A$10:$A$19),ROW(INDIRECT("1:"&amp;ROWS($A$10:$A$19))))),ROW(A9)),1),"")</f>
        <v>System 9 - Heating and Ventilation</v>
      </c>
      <c r="I18" s="1113" t="str">
        <f t="array" aca="1" ref="I18" ca="1">IFERROR(INDEX($A$10:$A$32,SMALL((IF(LEN($A$10:$A$32),ROW(INDIRECT("1:"&amp;ROWS($A$10:$A$32))))),ROW(A9)),1),"")</f>
        <v>System 9 - Heating and Ventilation</v>
      </c>
      <c r="J18" s="129"/>
      <c r="K18" s="1059">
        <v>2.9999999999999997E-4</v>
      </c>
      <c r="L18" s="1064">
        <v>6.4000000000000005E-4</v>
      </c>
      <c r="M18" s="848">
        <v>0</v>
      </c>
      <c r="N18" s="849">
        <v>0</v>
      </c>
      <c r="O18" s="829">
        <v>5.3999999999999998E-5</v>
      </c>
      <c r="Q18" s="210">
        <v>15</v>
      </c>
      <c r="R18" s="220">
        <v>11.1</v>
      </c>
      <c r="S18" s="221">
        <v>0.91</v>
      </c>
      <c r="T18" s="221">
        <v>0.91</v>
      </c>
      <c r="U18" s="241">
        <f t="shared" si="1"/>
        <v>0.81978021978021975</v>
      </c>
      <c r="Y18" s="1146" t="s">
        <v>114</v>
      </c>
      <c r="Z18" s="1092"/>
      <c r="AA18" s="1117" t="s">
        <v>1922</v>
      </c>
      <c r="AB18" s="1094" t="s">
        <v>569</v>
      </c>
      <c r="AC18" s="1094" t="str">
        <f t="shared" si="0"/>
        <v>System 4 - PSZ-HP≥135,000 Btu/h and
&lt;240,000 Btu/h</v>
      </c>
      <c r="AD18" s="955">
        <v>10.4</v>
      </c>
      <c r="AE18" s="925" t="s">
        <v>2213</v>
      </c>
      <c r="AF18" s="925">
        <v>11.4</v>
      </c>
      <c r="AG18" s="926" t="s">
        <v>1921</v>
      </c>
    </row>
    <row r="19" spans="1:33" s="181" customFormat="1" ht="33" customHeight="1" x14ac:dyDescent="0.25">
      <c r="A19" s="1109" t="str">
        <f t="shared" si="2"/>
        <v>System 10 - Heating and Ventilation</v>
      </c>
      <c r="B19" s="1109" t="s">
        <v>120</v>
      </c>
      <c r="C19" s="1109" t="s">
        <v>120</v>
      </c>
      <c r="D19" s="1110" t="str">
        <f>""</f>
        <v/>
      </c>
      <c r="E19" s="1110" t="str">
        <f>""</f>
        <v/>
      </c>
      <c r="F19" s="1110" t="str">
        <f>""</f>
        <v/>
      </c>
      <c r="G19" s="1111">
        <v>10</v>
      </c>
      <c r="H19" s="1112" t="str">
        <f t="array" aca="1" ref="H19" ca="1">IFERROR(INDEX($A$10:$A$19,SMALL((IF(LEN($A$10:$A$19),ROW(INDIRECT("1:"&amp;ROWS($A$10:$A$19))))),ROW(A10)),1),"")</f>
        <v>System 10 - Heating and Ventilation</v>
      </c>
      <c r="I19" s="1113" t="str">
        <f t="array" aca="1" ref="I19" ca="1">IFERROR(INDEX($A$10:$A$32,SMALL((IF(LEN($A$10:$A$32),ROW(INDIRECT("1:"&amp;ROWS($A$10:$A$32))))),ROW(A10)),1),"")</f>
        <v>System 10 - Heating and Ventilation</v>
      </c>
      <c r="J19" s="129"/>
      <c r="K19" s="1059">
        <v>2.9999999999999997E-4</v>
      </c>
      <c r="L19" s="1064">
        <v>6.4000000000000005E-4</v>
      </c>
      <c r="M19" s="848">
        <v>0</v>
      </c>
      <c r="N19" s="849">
        <v>0</v>
      </c>
      <c r="O19" s="829">
        <v>5.3999999999999998E-5</v>
      </c>
      <c r="Q19" s="210">
        <v>20</v>
      </c>
      <c r="R19" s="220">
        <v>14.9</v>
      </c>
      <c r="S19" s="221">
        <v>0.91</v>
      </c>
      <c r="T19" s="221">
        <v>0.92400000000000004</v>
      </c>
      <c r="U19" s="241">
        <f t="shared" si="1"/>
        <v>0.80735930735930728</v>
      </c>
      <c r="Y19" s="1146" t="s">
        <v>114</v>
      </c>
      <c r="Z19" s="1106"/>
      <c r="AA19" s="1107" t="s">
        <v>1926</v>
      </c>
      <c r="AB19" s="1108" t="s">
        <v>569</v>
      </c>
      <c r="AC19" s="1108" t="str">
        <f t="shared" si="0"/>
        <v>System 4 - PSZ-HP≥240,000 Btu/h</v>
      </c>
      <c r="AD19" s="957">
        <v>9.3000000000000007</v>
      </c>
      <c r="AE19" s="929" t="s">
        <v>2213</v>
      </c>
      <c r="AF19" s="929">
        <v>0.4</v>
      </c>
      <c r="AG19" s="930" t="s">
        <v>1921</v>
      </c>
    </row>
    <row r="20" spans="1:33" s="181" customFormat="1" ht="33" customHeight="1" x14ac:dyDescent="0.25">
      <c r="A20" s="1109" t="s">
        <v>1852</v>
      </c>
      <c r="B20" s="1109" t="s">
        <v>1852</v>
      </c>
      <c r="C20" s="1109" t="s">
        <v>1950</v>
      </c>
      <c r="D20" s="1109" t="s">
        <v>1953</v>
      </c>
      <c r="E20" s="1109" t="s">
        <v>1956</v>
      </c>
      <c r="F20" s="1110" t="str">
        <f>""</f>
        <v/>
      </c>
      <c r="G20" s="1111">
        <v>11</v>
      </c>
      <c r="H20" s="1112" t="str">
        <f>A20</f>
        <v>System 11 - SZ-VAV</v>
      </c>
      <c r="I20" s="1113" t="str">
        <f t="array" aca="1" ref="I20" ca="1">IFERROR(INDEX($A$10:$A$32,SMALL((IF(LEN($A$10:$A$32),ROW(INDIRECT("1:"&amp;ROWS($A$10:$A$32))))),ROW(A11)),1),"")</f>
        <v>System 11 - SZ-VAV</v>
      </c>
      <c r="J20" s="129"/>
      <c r="K20" s="1059">
        <v>6.2E-4</v>
      </c>
      <c r="L20" s="1118">
        <v>1.3226666666666669E-3</v>
      </c>
      <c r="M20" s="848">
        <v>1</v>
      </c>
      <c r="N20" s="849">
        <v>1</v>
      </c>
      <c r="O20" s="829">
        <v>0</v>
      </c>
      <c r="Q20" s="210">
        <v>25</v>
      </c>
      <c r="R20" s="220">
        <v>18.7</v>
      </c>
      <c r="S20" s="850">
        <v>0.91700000000000004</v>
      </c>
      <c r="T20" s="221">
        <v>0.92400000000000004</v>
      </c>
      <c r="U20" s="241">
        <f t="shared" si="1"/>
        <v>0.80735930735930728</v>
      </c>
      <c r="Y20" s="1147" t="s">
        <v>115</v>
      </c>
      <c r="Z20" s="1093" t="s">
        <v>1916</v>
      </c>
      <c r="AA20" s="1094" t="s">
        <v>1917</v>
      </c>
      <c r="AB20" s="1094" t="s">
        <v>569</v>
      </c>
      <c r="AC20" s="1094" t="str">
        <f t="shared" si="0"/>
        <v>System 5 - Packaged VAV with Reheat&lt;65,000 Btu/h</v>
      </c>
      <c r="AD20" s="955" t="s">
        <v>669</v>
      </c>
      <c r="AE20" s="925" t="s">
        <v>669</v>
      </c>
      <c r="AF20" s="925">
        <v>14</v>
      </c>
      <c r="AG20" s="926" t="s">
        <v>1918</v>
      </c>
    </row>
    <row r="21" spans="1:33" s="181" customFormat="1" ht="33" customHeight="1" x14ac:dyDescent="0.25">
      <c r="A21" s="1109" t="s">
        <v>1853</v>
      </c>
      <c r="B21" s="1109" t="s">
        <v>1853</v>
      </c>
      <c r="C21" s="1109" t="s">
        <v>1951</v>
      </c>
      <c r="D21" s="1109" t="s">
        <v>1954</v>
      </c>
      <c r="E21" s="1109" t="s">
        <v>1957</v>
      </c>
      <c r="F21" s="1110" t="str">
        <f>""</f>
        <v/>
      </c>
      <c r="G21" s="1111">
        <v>12</v>
      </c>
      <c r="H21" s="1112" t="str">
        <f>A21</f>
        <v>System 12 - SZ-CV-HW</v>
      </c>
      <c r="I21" s="1113" t="str">
        <f t="array" aca="1" ref="I21" ca="1">IFERROR(INDEX($A$10:$A$32,SMALL((IF(LEN($A$10:$A$32),ROW(INDIRECT("1:"&amp;ROWS($A$10:$A$32))))),ROW(A12)),1),"")</f>
        <v>System 12 - SZ-CV-HW</v>
      </c>
      <c r="J21" s="129"/>
      <c r="K21" s="829">
        <v>9.3999999999999997E-4</v>
      </c>
      <c r="L21" s="1118">
        <v>2.0053333333333338E-3</v>
      </c>
      <c r="M21" s="848">
        <v>1</v>
      </c>
      <c r="N21" s="849">
        <v>1</v>
      </c>
      <c r="O21" s="829">
        <v>0</v>
      </c>
      <c r="Q21" s="210">
        <v>30</v>
      </c>
      <c r="R21" s="220">
        <v>22.4</v>
      </c>
      <c r="S21" s="221">
        <v>0.92400000000000004</v>
      </c>
      <c r="T21" s="221">
        <v>0.93</v>
      </c>
      <c r="U21" s="241">
        <f t="shared" si="1"/>
        <v>0.80215053763440858</v>
      </c>
      <c r="Y21" s="1146" t="s">
        <v>115</v>
      </c>
      <c r="Z21" s="1092"/>
      <c r="AA21" s="1117" t="s">
        <v>1919</v>
      </c>
      <c r="AB21" s="1094" t="s">
        <v>1920</v>
      </c>
      <c r="AC21" s="1094" t="str">
        <f t="shared" si="0"/>
        <v>System 5 - Packaged VAV with Reheat≥65,000 Btu/h and
&lt;135,000 Btu/h</v>
      </c>
      <c r="AD21" s="956">
        <v>11</v>
      </c>
      <c r="AE21" s="927" t="s">
        <v>2213</v>
      </c>
      <c r="AF21" s="925">
        <v>12.7</v>
      </c>
      <c r="AG21" s="926" t="s">
        <v>1921</v>
      </c>
    </row>
    <row r="22" spans="1:33" s="181" customFormat="1" ht="33" customHeight="1" x14ac:dyDescent="0.25">
      <c r="A22" s="1109" t="s">
        <v>1854</v>
      </c>
      <c r="B22" s="1109" t="s">
        <v>1854</v>
      </c>
      <c r="C22" s="1109" t="s">
        <v>1952</v>
      </c>
      <c r="D22" s="1109" t="s">
        <v>1955</v>
      </c>
      <c r="E22" s="1109" t="s">
        <v>1958</v>
      </c>
      <c r="F22" s="1110" t="str">
        <f>""</f>
        <v/>
      </c>
      <c r="G22" s="1111">
        <v>13</v>
      </c>
      <c r="H22" s="1112" t="str">
        <f>A22</f>
        <v>System 13 - SZ-CV-ER</v>
      </c>
      <c r="I22" s="1113" t="str">
        <f t="array" aca="1" ref="I22" ca="1">IFERROR(INDEX($A$10:$A$32,SMALL((IF(LEN($A$10:$A$32),ROW(INDIRECT("1:"&amp;ROWS($A$10:$A$32))))),ROW(A13)),1),"")</f>
        <v>System 13 - SZ-CV-ER</v>
      </c>
      <c r="J22" s="129"/>
      <c r="K22" s="829">
        <v>9.3999999999999997E-4</v>
      </c>
      <c r="L22" s="1118">
        <v>2.0053333333333338E-3</v>
      </c>
      <c r="M22" s="848">
        <v>1</v>
      </c>
      <c r="N22" s="849">
        <v>1</v>
      </c>
      <c r="O22" s="829">
        <v>0</v>
      </c>
      <c r="Q22" s="210">
        <v>40</v>
      </c>
      <c r="R22" s="220">
        <v>29.8</v>
      </c>
      <c r="S22" s="221">
        <v>0.93</v>
      </c>
      <c r="T22" s="221">
        <v>0.93</v>
      </c>
      <c r="U22" s="241">
        <f t="shared" si="1"/>
        <v>0.80215053763440858</v>
      </c>
      <c r="Y22" s="1146" t="s">
        <v>115</v>
      </c>
      <c r="Z22" s="1092"/>
      <c r="AA22" s="1117" t="s">
        <v>1922</v>
      </c>
      <c r="AB22" s="1094" t="s">
        <v>1920</v>
      </c>
      <c r="AC22" s="1094" t="str">
        <f t="shared" si="0"/>
        <v>System 5 - Packaged VAV with Reheat≥135,000 Btu/h and
&lt;240,000 Btu/h</v>
      </c>
      <c r="AD22" s="956">
        <v>10.8</v>
      </c>
      <c r="AE22" s="927" t="s">
        <v>2213</v>
      </c>
      <c r="AF22" s="925">
        <v>12.2</v>
      </c>
      <c r="AG22" s="926" t="s">
        <v>1921</v>
      </c>
    </row>
    <row r="23" spans="1:33" s="181" customFormat="1" ht="33" customHeight="1" x14ac:dyDescent="0.25">
      <c r="A23" s="1109"/>
      <c r="B23" s="1110"/>
      <c r="C23" s="1109" t="s">
        <v>111</v>
      </c>
      <c r="D23" s="1109" t="s">
        <v>111</v>
      </c>
      <c r="E23" s="1109" t="s">
        <v>111</v>
      </c>
      <c r="F23" s="1110" t="str">
        <f>""</f>
        <v/>
      </c>
      <c r="G23" s="1111">
        <v>1</v>
      </c>
      <c r="H23" s="1112"/>
      <c r="I23" s="1112"/>
      <c r="J23" s="129"/>
      <c r="K23" s="1052">
        <v>2.9999999999999997E-4</v>
      </c>
      <c r="L23" s="1064">
        <v>6.4000000000000005E-4</v>
      </c>
      <c r="M23" s="848">
        <v>0</v>
      </c>
      <c r="N23" s="849">
        <v>0</v>
      </c>
      <c r="O23" s="829">
        <v>0</v>
      </c>
      <c r="Q23" s="210">
        <v>50</v>
      </c>
      <c r="R23" s="220">
        <v>37.299999999999997</v>
      </c>
      <c r="S23" s="221">
        <v>0.93</v>
      </c>
      <c r="T23" s="221">
        <v>0.93600000000000005</v>
      </c>
      <c r="U23" s="241">
        <f t="shared" si="1"/>
        <v>0.79700854700854695</v>
      </c>
      <c r="Y23" s="1146" t="s">
        <v>115</v>
      </c>
      <c r="Z23" s="1092"/>
      <c r="AA23" s="1117" t="s">
        <v>1923</v>
      </c>
      <c r="AB23" s="1094" t="s">
        <v>1920</v>
      </c>
      <c r="AC23" s="1094" t="str">
        <f t="shared" si="0"/>
        <v>System 5 - Packaged VAV with Reheat≥240,000 Btu/h and
&lt;760,000 Btu/h</v>
      </c>
      <c r="AD23" s="956">
        <v>9.8000000000000007</v>
      </c>
      <c r="AE23" s="927" t="s">
        <v>2213</v>
      </c>
      <c r="AF23" s="927">
        <v>11.4</v>
      </c>
      <c r="AG23" s="928" t="s">
        <v>1921</v>
      </c>
    </row>
    <row r="24" spans="1:33" s="181" customFormat="1" ht="33" customHeight="1" x14ac:dyDescent="0.25">
      <c r="A24" s="1109"/>
      <c r="B24" s="1110"/>
      <c r="C24" s="1109" t="s">
        <v>112</v>
      </c>
      <c r="D24" s="1109" t="s">
        <v>112</v>
      </c>
      <c r="E24" s="1109" t="s">
        <v>112</v>
      </c>
      <c r="F24" s="1110" t="str">
        <f>""</f>
        <v/>
      </c>
      <c r="G24" s="1111">
        <v>2</v>
      </c>
      <c r="H24" s="1112"/>
      <c r="I24" s="1112"/>
      <c r="J24" s="129"/>
      <c r="K24" s="1059">
        <v>2.9999999999999997E-4</v>
      </c>
      <c r="L24" s="1064">
        <v>6.4000000000000005E-4</v>
      </c>
      <c r="M24" s="848">
        <v>0</v>
      </c>
      <c r="N24" s="849">
        <v>0</v>
      </c>
      <c r="O24" s="829">
        <v>0</v>
      </c>
      <c r="Q24" s="210">
        <v>60</v>
      </c>
      <c r="R24" s="220">
        <v>44.8</v>
      </c>
      <c r="S24" s="221">
        <v>0.93600000000000005</v>
      </c>
      <c r="T24" s="221">
        <v>0.94099999999999995</v>
      </c>
      <c r="U24" s="241">
        <f t="shared" si="1"/>
        <v>0.7927736450584485</v>
      </c>
      <c r="Y24" s="1145" t="s">
        <v>115</v>
      </c>
      <c r="Z24" s="1106"/>
      <c r="AA24" s="1107" t="s">
        <v>1924</v>
      </c>
      <c r="AB24" s="1108" t="s">
        <v>1920</v>
      </c>
      <c r="AC24" s="1108" t="str">
        <f t="shared" si="0"/>
        <v>System 5 - Packaged VAV with Reheat≥760,000 Btu/h</v>
      </c>
      <c r="AD24" s="957">
        <v>9.5</v>
      </c>
      <c r="AE24" s="929" t="s">
        <v>2213</v>
      </c>
      <c r="AF24" s="929">
        <v>11</v>
      </c>
      <c r="AG24" s="930" t="s">
        <v>1921</v>
      </c>
    </row>
    <row r="25" spans="1:33" s="181" customFormat="1" ht="33" customHeight="1" x14ac:dyDescent="0.25">
      <c r="A25" s="1109"/>
      <c r="B25" s="1110"/>
      <c r="C25" s="1109" t="s">
        <v>113</v>
      </c>
      <c r="D25" s="1109" t="s">
        <v>113</v>
      </c>
      <c r="E25" s="1109" t="s">
        <v>113</v>
      </c>
      <c r="F25" s="1110" t="str">
        <f>""</f>
        <v/>
      </c>
      <c r="G25" s="1111">
        <v>3</v>
      </c>
      <c r="H25" s="1112"/>
      <c r="I25" s="1112"/>
      <c r="J25" s="129"/>
      <c r="K25" s="1059">
        <v>9.3999999999999997E-4</v>
      </c>
      <c r="L25" s="1064">
        <v>1.5E-3</v>
      </c>
      <c r="M25" s="848">
        <v>1</v>
      </c>
      <c r="N25" s="849">
        <v>1</v>
      </c>
      <c r="O25" s="829">
        <v>0</v>
      </c>
      <c r="Q25" s="210">
        <v>75</v>
      </c>
      <c r="R25" s="220">
        <v>56</v>
      </c>
      <c r="S25" s="221">
        <v>0.94099999999999995</v>
      </c>
      <c r="T25" s="221">
        <v>0.94499999999999995</v>
      </c>
      <c r="U25" s="241">
        <f t="shared" si="1"/>
        <v>0.78941798941798946</v>
      </c>
      <c r="Y25" s="1146" t="s">
        <v>116</v>
      </c>
      <c r="Z25" s="1093" t="s">
        <v>1916</v>
      </c>
      <c r="AA25" s="1094" t="s">
        <v>1917</v>
      </c>
      <c r="AB25" s="1094" t="s">
        <v>569</v>
      </c>
      <c r="AC25" s="1094" t="str">
        <f t="shared" si="0"/>
        <v>System 6 - Packaged VAV with PFP Boxes&lt;65,000 Btu/h</v>
      </c>
      <c r="AD25" s="955" t="s">
        <v>669</v>
      </c>
      <c r="AE25" s="925" t="s">
        <v>669</v>
      </c>
      <c r="AF25" s="927">
        <v>13</v>
      </c>
      <c r="AG25" s="928" t="s">
        <v>1918</v>
      </c>
    </row>
    <row r="26" spans="1:33" s="181" customFormat="1" ht="33" customHeight="1" x14ac:dyDescent="0.25">
      <c r="A26" s="1109" t="str">
        <f t="shared" ref="A26:A32" si="3">IF($C$8=TRUE,C23,IF($D$8=TRUE,D23,IF($E$8=TRUE,E23,IF($F$8=TRUE,F23,B26))))</f>
        <v/>
      </c>
      <c r="B26" s="1110" t="str">
        <f>""</f>
        <v/>
      </c>
      <c r="C26" s="1109" t="s">
        <v>114</v>
      </c>
      <c r="D26" s="1109" t="s">
        <v>114</v>
      </c>
      <c r="E26" s="1109" t="s">
        <v>114</v>
      </c>
      <c r="F26" s="1110" t="str">
        <f>""</f>
        <v/>
      </c>
      <c r="G26" s="1111">
        <v>4</v>
      </c>
      <c r="H26" s="1112" t="str">
        <f t="array" aca="1" ref="H26" ca="1">IFERROR(INDEX($A$10:$A$19,SMALL((IF(LEN($A$10:$A$19),ROW(INDIRECT("1:"&amp;ROWS($A$10:$A$19))))),ROW(A14)),1),"")</f>
        <v/>
      </c>
      <c r="I26" s="1113" t="str">
        <f t="array" aca="1" ref="I26" ca="1">IFERROR(INDEX($A$10:$A$32,SMALL((IF(LEN($A$10:$A$32),ROW(INDIRECT("1:"&amp;ROWS($A$10:$A$32))))),ROW(A14)),1),"")</f>
        <v/>
      </c>
      <c r="J26" s="129"/>
      <c r="K26" s="1059">
        <v>9.3999999999999997E-4</v>
      </c>
      <c r="L26" s="1064">
        <v>1.5E-3</v>
      </c>
      <c r="M26" s="848">
        <v>1</v>
      </c>
      <c r="N26" s="849">
        <v>1</v>
      </c>
      <c r="O26" s="829">
        <v>0</v>
      </c>
      <c r="Q26" s="210">
        <v>100</v>
      </c>
      <c r="R26" s="220">
        <v>74.599999999999994</v>
      </c>
      <c r="S26" s="850">
        <v>0.94099999999999995</v>
      </c>
      <c r="T26" s="221">
        <v>0.94499999999999995</v>
      </c>
      <c r="U26" s="241">
        <f t="shared" si="1"/>
        <v>0.78941798941798946</v>
      </c>
      <c r="Y26" s="1146" t="s">
        <v>116</v>
      </c>
      <c r="Z26" s="1092"/>
      <c r="AA26" s="1117" t="s">
        <v>1919</v>
      </c>
      <c r="AB26" s="1094" t="s">
        <v>1920</v>
      </c>
      <c r="AC26" s="1094" t="str">
        <f t="shared" si="0"/>
        <v>System 6 - Packaged VAV with PFP Boxes≥65,000 Btu/h and
&lt;135,000 Btu/h</v>
      </c>
      <c r="AD26" s="956">
        <v>11.2</v>
      </c>
      <c r="AE26" s="927" t="s">
        <v>2213</v>
      </c>
      <c r="AF26" s="925">
        <v>12.9</v>
      </c>
      <c r="AG26" s="926" t="s">
        <v>1921</v>
      </c>
    </row>
    <row r="27" spans="1:33" s="181" customFormat="1" ht="33" customHeight="1" x14ac:dyDescent="0.25">
      <c r="A27" s="1109" t="str">
        <f t="shared" si="3"/>
        <v/>
      </c>
      <c r="B27" s="1110" t="str">
        <f>""</f>
        <v/>
      </c>
      <c r="C27" s="1109" t="s">
        <v>115</v>
      </c>
      <c r="D27" s="1109" t="s">
        <v>115</v>
      </c>
      <c r="E27" s="1109" t="s">
        <v>115</v>
      </c>
      <c r="F27" s="1110" t="str">
        <f>""</f>
        <v/>
      </c>
      <c r="G27" s="1111">
        <v>5</v>
      </c>
      <c r="H27" s="1112" t="str">
        <f t="array" aca="1" ref="H27" ca="1">IFERROR(INDEX($A$10:$A$19,SMALL((IF(LEN($A$10:$A$19),ROW(INDIRECT("1:"&amp;ROWS($A$10:$A$19))))),ROW(A15)),1),"")</f>
        <v/>
      </c>
      <c r="I27" s="1113" t="str">
        <f t="array" aca="1" ref="I27" ca="1">IFERROR(INDEX($A$10:$A$32,SMALL((IF(LEN($A$10:$A$32),ROW(INDIRECT("1:"&amp;ROWS($A$10:$A$32))))),ROW(A15)),1),"")</f>
        <v/>
      </c>
      <c r="J27" s="129"/>
      <c r="K27" s="1059">
        <v>1.2999999999999999E-3</v>
      </c>
      <c r="L27" s="1064">
        <v>2.0999999999999999E-3</v>
      </c>
      <c r="M27" s="848">
        <v>1</v>
      </c>
      <c r="N27" s="849">
        <v>1</v>
      </c>
      <c r="O27" s="829">
        <v>0</v>
      </c>
      <c r="Q27" s="210">
        <v>125</v>
      </c>
      <c r="R27" s="220">
        <v>93.3</v>
      </c>
      <c r="S27" s="221">
        <v>0.94499999999999995</v>
      </c>
      <c r="T27" s="221">
        <v>0.95</v>
      </c>
      <c r="U27" s="241">
        <f t="shared" si="1"/>
        <v>0.78526315789473689</v>
      </c>
      <c r="Y27" s="1146" t="s">
        <v>116</v>
      </c>
      <c r="Z27" s="1092"/>
      <c r="AA27" s="1117" t="s">
        <v>1922</v>
      </c>
      <c r="AB27" s="1094" t="s">
        <v>1920</v>
      </c>
      <c r="AC27" s="1094" t="str">
        <f t="shared" si="0"/>
        <v>System 6 - Packaged VAV with PFP Boxes≥135,000 Btu/h and
&lt;240,000 Btu/h</v>
      </c>
      <c r="AD27" s="956">
        <v>11</v>
      </c>
      <c r="AE27" s="927" t="s">
        <v>2213</v>
      </c>
      <c r="AF27" s="925">
        <v>12.4</v>
      </c>
      <c r="AG27" s="926" t="s">
        <v>1921</v>
      </c>
    </row>
    <row r="28" spans="1:33" s="181" customFormat="1" ht="33" customHeight="1" x14ac:dyDescent="0.25">
      <c r="A28" s="1109" t="str">
        <f t="shared" si="3"/>
        <v/>
      </c>
      <c r="B28" s="1110" t="str">
        <f>""</f>
        <v/>
      </c>
      <c r="C28" s="1109" t="s">
        <v>116</v>
      </c>
      <c r="D28" s="1109" t="s">
        <v>116</v>
      </c>
      <c r="E28" s="1109" t="s">
        <v>116</v>
      </c>
      <c r="F28" s="1110" t="str">
        <f>""</f>
        <v/>
      </c>
      <c r="G28" s="1111">
        <v>6</v>
      </c>
      <c r="H28" s="1112" t="str">
        <f t="array" aca="1" ref="H28" ca="1">IFERROR(INDEX($A$10:$A$19,SMALL((IF(LEN($A$10:$A$19),ROW(INDIRECT("1:"&amp;ROWS($A$10:$A$19))))),ROW(A16)),1),"")</f>
        <v/>
      </c>
      <c r="I28" s="1113" t="str">
        <f t="array" aca="1" ref="I28" ca="1">IFERROR(INDEX($A$10:$A$32,SMALL((IF(LEN($A$10:$A$32),ROW(INDIRECT("1:"&amp;ROWS($A$10:$A$32))))),ROW(A16)),1),"")</f>
        <v/>
      </c>
      <c r="J28" s="129"/>
      <c r="K28" s="1059">
        <v>1.2999999999999999E-3</v>
      </c>
      <c r="L28" s="1064">
        <v>2.0999999999999999E-3</v>
      </c>
      <c r="M28" s="848">
        <v>1</v>
      </c>
      <c r="N28" s="849">
        <v>1</v>
      </c>
      <c r="O28" s="829">
        <v>0</v>
      </c>
      <c r="Q28" s="210">
        <v>150</v>
      </c>
      <c r="R28" s="220">
        <v>111.9</v>
      </c>
      <c r="S28" s="221">
        <v>0.95</v>
      </c>
      <c r="T28" s="221">
        <v>0.95</v>
      </c>
      <c r="U28" s="241">
        <f t="shared" si="1"/>
        <v>0.78526315789473689</v>
      </c>
      <c r="Y28" s="1146" t="s">
        <v>116</v>
      </c>
      <c r="Z28" s="1092"/>
      <c r="AA28" s="1117" t="s">
        <v>1923</v>
      </c>
      <c r="AB28" s="1094" t="s">
        <v>1920</v>
      </c>
      <c r="AC28" s="1094" t="str">
        <f t="shared" si="0"/>
        <v>System 6 - Packaged VAV with PFP Boxes≥240,000 Btu/h and
&lt;760,000 Btu/h</v>
      </c>
      <c r="AD28" s="956">
        <v>10</v>
      </c>
      <c r="AE28" s="927" t="s">
        <v>2213</v>
      </c>
      <c r="AF28" s="927">
        <v>11.6</v>
      </c>
      <c r="AG28" s="928" t="s">
        <v>1921</v>
      </c>
    </row>
    <row r="29" spans="1:33" s="181" customFormat="1" ht="33" customHeight="1" x14ac:dyDescent="0.25">
      <c r="A29" s="1109" t="str">
        <f t="shared" si="3"/>
        <v/>
      </c>
      <c r="B29" s="1110" t="str">
        <f>""</f>
        <v/>
      </c>
      <c r="C29" s="1109" t="s">
        <v>117</v>
      </c>
      <c r="D29" s="1109" t="s">
        <v>117</v>
      </c>
      <c r="E29" s="1109" t="s">
        <v>117</v>
      </c>
      <c r="F29" s="1110" t="str">
        <f>""</f>
        <v/>
      </c>
      <c r="G29" s="1111">
        <v>7</v>
      </c>
      <c r="H29" s="1112" t="str">
        <f t="array" aca="1" ref="H29" ca="1">IFERROR(INDEX($A$10:$A$19,SMALL((IF(LEN($A$10:$A$19),ROW(INDIRECT("1:"&amp;ROWS($A$10:$A$19))))),ROW(A17)),1),"")</f>
        <v/>
      </c>
      <c r="I29" s="1113" t="str">
        <f t="array" aca="1" ref="I29" ca="1">IFERROR(INDEX($A$10:$A$32,SMALL((IF(LEN($A$10:$A$32),ROW(INDIRECT("1:"&amp;ROWS($A$10:$A$32))))),ROW(A17)),1),"")</f>
        <v/>
      </c>
      <c r="J29" s="129"/>
      <c r="K29" s="1059">
        <v>1.2999999999999999E-3</v>
      </c>
      <c r="L29" s="1064">
        <v>2.0999999999999999E-3</v>
      </c>
      <c r="M29" s="848">
        <v>1</v>
      </c>
      <c r="N29" s="849">
        <v>1</v>
      </c>
      <c r="O29" s="829">
        <v>0</v>
      </c>
      <c r="Q29" s="226">
        <v>200</v>
      </c>
      <c r="R29" s="227">
        <v>149.19999999999999</v>
      </c>
      <c r="S29" s="228">
        <v>0.95</v>
      </c>
      <c r="T29" s="228">
        <v>0.95</v>
      </c>
      <c r="U29" s="241">
        <f t="shared" si="1"/>
        <v>0.78526315789473689</v>
      </c>
      <c r="Y29" s="1145" t="s">
        <v>116</v>
      </c>
      <c r="Z29" s="1106"/>
      <c r="AA29" s="1107" t="s">
        <v>1924</v>
      </c>
      <c r="AB29" s="1108" t="s">
        <v>1920</v>
      </c>
      <c r="AC29" s="1108" t="str">
        <f t="shared" si="0"/>
        <v>System 6 - Packaged VAV with PFP Boxes≥760,000 Btu/h</v>
      </c>
      <c r="AD29" s="957">
        <v>9.6999999999999993</v>
      </c>
      <c r="AE29" s="929" t="s">
        <v>2213</v>
      </c>
      <c r="AF29" s="929">
        <v>11.2</v>
      </c>
      <c r="AG29" s="930" t="s">
        <v>1921</v>
      </c>
    </row>
    <row r="30" spans="1:33" ht="30.75" customHeight="1" x14ac:dyDescent="0.25">
      <c r="A30" s="1109" t="str">
        <f t="shared" si="3"/>
        <v/>
      </c>
      <c r="B30" s="1110" t="str">
        <f>""</f>
        <v/>
      </c>
      <c r="C30" s="1109" t="s">
        <v>118</v>
      </c>
      <c r="D30" s="1109" t="s">
        <v>118</v>
      </c>
      <c r="E30" s="1109" t="s">
        <v>118</v>
      </c>
      <c r="F30" s="1110" t="str">
        <f>""</f>
        <v/>
      </c>
      <c r="G30" s="1111">
        <v>8</v>
      </c>
      <c r="H30" s="1112" t="str">
        <f t="array" aca="1" ref="H30" ca="1">IFERROR(INDEX($A$10:$A$19,SMALL((IF(LEN($A$10:$A$19),ROW(INDIRECT("1:"&amp;ROWS($A$10:$A$19))))),ROW(A18)),1),"")</f>
        <v/>
      </c>
      <c r="I30" s="1113" t="str">
        <f t="array" aca="1" ref="I30" ca="1">IFERROR(INDEX($A$10:$A$32,SMALL((IF(LEN($A$10:$A$32),ROW(INDIRECT("1:"&amp;ROWS($A$10:$A$32))))),ROW(A18)),1),"")</f>
        <v/>
      </c>
      <c r="K30" s="1059">
        <v>1.2999999999999999E-3</v>
      </c>
      <c r="L30" s="1064">
        <v>2.0999999999999999E-3</v>
      </c>
      <c r="M30" s="848">
        <v>1</v>
      </c>
      <c r="N30" s="849">
        <v>1</v>
      </c>
      <c r="O30" s="829">
        <v>0</v>
      </c>
      <c r="Q30" s="210"/>
      <c r="R30" s="220"/>
      <c r="S30" s="221"/>
      <c r="T30" s="221"/>
      <c r="U30" s="241"/>
      <c r="Y30" s="183"/>
      <c r="Z30" s="183"/>
      <c r="AA30" s="183"/>
      <c r="AB30" s="183"/>
      <c r="AC30" s="183"/>
      <c r="AD30" s="183"/>
      <c r="AE30" s="183"/>
      <c r="AF30" s="183"/>
      <c r="AG30" s="183"/>
    </row>
    <row r="31" spans="1:33" ht="13.8" x14ac:dyDescent="0.25">
      <c r="A31" s="1109" t="str">
        <f t="shared" si="3"/>
        <v/>
      </c>
      <c r="B31" s="1110" t="str">
        <f>""</f>
        <v/>
      </c>
      <c r="C31" s="1122"/>
      <c r="D31" s="1109" t="s">
        <v>119</v>
      </c>
      <c r="E31" s="1109" t="s">
        <v>119</v>
      </c>
      <c r="F31" s="1110" t="str">
        <f>""</f>
        <v/>
      </c>
      <c r="G31" s="1111">
        <v>9</v>
      </c>
      <c r="H31" s="1112" t="str">
        <f t="array" aca="1" ref="H31" ca="1">IFERROR(INDEX($A$10:$A$19,SMALL((IF(LEN($A$10:$A$19),ROW(INDIRECT("1:"&amp;ROWS($A$10:$A$19))))),ROW(A19)),1),"")</f>
        <v/>
      </c>
      <c r="I31" s="1113" t="str">
        <f t="array" aca="1" ref="I31" ca="1">IFERROR(INDEX($A$10:$A$32,SMALL((IF(LEN($A$10:$A$32),ROW(INDIRECT("1:"&amp;ROWS($A$10:$A$32))))),ROW(A19)),1),"")</f>
        <v/>
      </c>
      <c r="K31" s="1059">
        <v>2.9999999999999997E-4</v>
      </c>
      <c r="L31" s="1064">
        <v>6.4000000000000005E-4</v>
      </c>
      <c r="M31" s="848">
        <v>0</v>
      </c>
      <c r="N31" s="849">
        <v>0</v>
      </c>
      <c r="O31" s="829">
        <v>5.3999999999999998E-5</v>
      </c>
      <c r="Q31" s="210"/>
      <c r="R31" s="220"/>
      <c r="S31" s="221"/>
      <c r="T31" s="221"/>
      <c r="U31" s="241"/>
      <c r="Y31" s="183"/>
      <c r="Z31" s="183"/>
      <c r="AA31" s="183"/>
      <c r="AB31" s="183"/>
      <c r="AC31" s="183"/>
      <c r="AD31" s="183"/>
      <c r="AE31" s="183"/>
      <c r="AF31" s="183"/>
      <c r="AG31" s="183"/>
    </row>
    <row r="32" spans="1:33" ht="13.8" x14ac:dyDescent="0.25">
      <c r="A32" s="1122" t="str">
        <f t="shared" si="3"/>
        <v/>
      </c>
      <c r="B32" s="1123" t="str">
        <f>""</f>
        <v/>
      </c>
      <c r="C32" s="1122"/>
      <c r="D32" s="1122" t="s">
        <v>120</v>
      </c>
      <c r="E32" s="1122" t="s">
        <v>120</v>
      </c>
      <c r="F32" s="1123" t="str">
        <f>""</f>
        <v/>
      </c>
      <c r="G32" s="1111">
        <v>10</v>
      </c>
      <c r="H32" s="1112" t="str">
        <f t="array" aca="1" ref="H32" ca="1">IFERROR(INDEX($A$10:$A$19,SMALL((IF(LEN($A$10:$A$19),ROW(INDIRECT("1:"&amp;ROWS($A$10:$A$19))))),ROW(A20)),1),"")</f>
        <v/>
      </c>
      <c r="I32" s="1113" t="str">
        <f t="array" aca="1" ref="I32" ca="1">IFERROR(INDEX($A$10:$A$32,SMALL((IF(LEN($A$10:$A$32),ROW(INDIRECT("1:"&amp;ROWS($A$10:$A$32))))),ROW(A20)),1),"")</f>
        <v/>
      </c>
      <c r="K32" s="1059">
        <v>2.9999999999999997E-4</v>
      </c>
      <c r="L32" s="1124">
        <v>6.4000000000000005E-4</v>
      </c>
      <c r="M32" s="1138">
        <v>0</v>
      </c>
      <c r="N32" s="1139">
        <v>0</v>
      </c>
      <c r="O32" s="832">
        <v>5.3999999999999998E-5</v>
      </c>
      <c r="Q32" s="226"/>
      <c r="R32" s="227"/>
      <c r="S32" s="228"/>
      <c r="T32" s="228"/>
      <c r="U32" s="241"/>
      <c r="X32" s="4"/>
      <c r="Y32" s="931" t="s">
        <v>1904</v>
      </c>
      <c r="Z32" s="932" t="s">
        <v>1905</v>
      </c>
      <c r="AA32" s="932" t="s">
        <v>1906</v>
      </c>
      <c r="AB32" s="932" t="s">
        <v>1907</v>
      </c>
      <c r="AC32" s="932" t="s">
        <v>1908</v>
      </c>
      <c r="AD32" s="932" t="s">
        <v>1927</v>
      </c>
      <c r="AE32" s="933"/>
      <c r="AF32" s="183"/>
      <c r="AG32" s="183"/>
    </row>
    <row r="33" spans="1:33" ht="13.8" x14ac:dyDescent="0.25">
      <c r="A33" s="1122"/>
      <c r="B33" s="1123"/>
      <c r="C33" s="1122" t="s">
        <v>1852</v>
      </c>
      <c r="D33" s="1122" t="s">
        <v>1852</v>
      </c>
      <c r="E33" s="1122" t="s">
        <v>1852</v>
      </c>
      <c r="F33" s="1123"/>
      <c r="G33" s="1111">
        <v>11</v>
      </c>
      <c r="H33" s="1112"/>
      <c r="I33" s="1113"/>
      <c r="K33" s="1059">
        <v>6.2E-4</v>
      </c>
      <c r="L33" s="1133">
        <v>1.3226666666666669E-3</v>
      </c>
      <c r="M33" s="848">
        <v>1</v>
      </c>
      <c r="N33" s="849">
        <v>1</v>
      </c>
      <c r="O33" s="829">
        <v>0</v>
      </c>
      <c r="Q33" s="851"/>
      <c r="R33" s="852"/>
      <c r="S33" s="853"/>
      <c r="T33" s="853"/>
      <c r="U33" s="854"/>
      <c r="X33" s="1184"/>
      <c r="Y33" s="1181" t="s">
        <v>111</v>
      </c>
      <c r="Z33" s="1183" t="s">
        <v>2252</v>
      </c>
      <c r="AA33" s="1183" t="s">
        <v>2255</v>
      </c>
      <c r="AB33" s="1183"/>
      <c r="AC33" s="1182" t="str">
        <f>Y33&amp;AA33</f>
        <v>System 1 - PTAC&lt;300,000 Btu/h</v>
      </c>
      <c r="AD33" s="1183" t="s">
        <v>2260</v>
      </c>
      <c r="AE33" s="1185"/>
      <c r="AF33" s="183"/>
      <c r="AG33" s="183"/>
    </row>
    <row r="34" spans="1:33" ht="28.2" x14ac:dyDescent="0.3">
      <c r="A34" s="1122"/>
      <c r="B34" s="1123"/>
      <c r="C34" s="1122" t="s">
        <v>1853</v>
      </c>
      <c r="D34" s="1122" t="s">
        <v>1853</v>
      </c>
      <c r="E34" s="1122" t="s">
        <v>1853</v>
      </c>
      <c r="F34" s="1123"/>
      <c r="G34" s="1111">
        <v>12</v>
      </c>
      <c r="H34" s="1112"/>
      <c r="I34" s="1113"/>
      <c r="K34" s="829">
        <v>9.3999999999999997E-4</v>
      </c>
      <c r="L34" s="1134">
        <v>2.0053333333333338E-3</v>
      </c>
      <c r="M34" s="848">
        <v>1</v>
      </c>
      <c r="N34" s="849">
        <v>1</v>
      </c>
      <c r="O34" s="829">
        <v>0</v>
      </c>
      <c r="Q34" s="851"/>
      <c r="R34" s="852"/>
      <c r="S34" s="853"/>
      <c r="T34" s="853"/>
      <c r="U34" s="854"/>
      <c r="X34" s="1184"/>
      <c r="Y34" s="934" t="s">
        <v>111</v>
      </c>
      <c r="Z34" s="936"/>
      <c r="AA34" s="935" t="s">
        <v>2256</v>
      </c>
      <c r="AB34" s="936"/>
      <c r="AC34" s="935" t="str">
        <f>Y34&amp;AA34</f>
        <v>System 1 - PTAC≥300,000 Btu/h and
≤2,500,000 Btu/h</v>
      </c>
      <c r="AD34" s="936" t="s">
        <v>629</v>
      </c>
      <c r="AE34" s="937"/>
      <c r="AF34" s="183"/>
      <c r="AG34" s="183"/>
    </row>
    <row r="35" spans="1:33" ht="13.8" x14ac:dyDescent="0.25">
      <c r="A35" s="1122"/>
      <c r="B35" s="1123"/>
      <c r="C35" s="1122" t="s">
        <v>1854</v>
      </c>
      <c r="D35" s="1122" t="s">
        <v>1854</v>
      </c>
      <c r="E35" s="1122" t="s">
        <v>1854</v>
      </c>
      <c r="F35" s="1123"/>
      <c r="G35" s="1111">
        <v>13</v>
      </c>
      <c r="H35" s="1112"/>
      <c r="I35" s="1113"/>
      <c r="K35" s="829">
        <v>9.3999999999999997E-4</v>
      </c>
      <c r="L35" s="1134">
        <v>2.0053333333333338E-3</v>
      </c>
      <c r="M35" s="848">
        <v>1</v>
      </c>
      <c r="N35" s="849">
        <v>1</v>
      </c>
      <c r="O35" s="829">
        <v>0</v>
      </c>
      <c r="Q35" s="851"/>
      <c r="R35" s="852"/>
      <c r="S35" s="853"/>
      <c r="T35" s="853"/>
      <c r="U35" s="854"/>
      <c r="X35" s="1184"/>
      <c r="Y35" s="934" t="s">
        <v>111</v>
      </c>
      <c r="Z35" s="936"/>
      <c r="AA35" s="935" t="s">
        <v>2257</v>
      </c>
      <c r="AB35" s="936"/>
      <c r="AC35" s="935" t="str">
        <f>Y35&amp;AA35</f>
        <v>System 1 - PTAC&gt;2,500,000 Btu/h</v>
      </c>
      <c r="AD35" s="936" t="s">
        <v>628</v>
      </c>
      <c r="AE35" s="937"/>
      <c r="AF35" s="183"/>
      <c r="AG35" s="183"/>
    </row>
    <row r="36" spans="1:33" ht="39" customHeight="1" x14ac:dyDescent="0.25">
      <c r="Q36" s="4360" t="s">
        <v>1855</v>
      </c>
      <c r="R36" s="4360"/>
      <c r="S36" s="4360"/>
      <c r="T36" s="4360"/>
      <c r="U36" s="396"/>
      <c r="X36" s="4"/>
      <c r="Y36" s="1192" t="s">
        <v>112</v>
      </c>
      <c r="Z36" s="1189" t="s">
        <v>1928</v>
      </c>
      <c r="AA36" s="1189" t="s">
        <v>1912</v>
      </c>
      <c r="AB36" s="1190"/>
      <c r="AC36" s="1189" t="str">
        <f t="shared" ref="AC36:AC58" si="4">Y36&amp;AA36</f>
        <v>System 2 - PTHPAll capacities</v>
      </c>
      <c r="AD36" s="1190" t="s">
        <v>1913</v>
      </c>
      <c r="AE36" s="1191"/>
      <c r="AF36" s="183"/>
      <c r="AG36" s="183"/>
    </row>
    <row r="37" spans="1:33" ht="27.6" x14ac:dyDescent="0.25">
      <c r="C37" s="1131" t="s">
        <v>1940</v>
      </c>
      <c r="D37" s="1131" t="s">
        <v>1941</v>
      </c>
      <c r="E37" s="1131" t="s">
        <v>1937</v>
      </c>
      <c r="F37" s="1131" t="s">
        <v>1936</v>
      </c>
      <c r="G37" s="1131" t="s">
        <v>1938</v>
      </c>
      <c r="H37" s="1131" t="s">
        <v>1942</v>
      </c>
      <c r="I37" s="1131" t="s">
        <v>1939</v>
      </c>
      <c r="X37" s="4"/>
      <c r="Y37" s="1187" t="s">
        <v>112</v>
      </c>
      <c r="Z37" s="1128" t="s">
        <v>1929</v>
      </c>
      <c r="AA37" s="1128" t="s">
        <v>1912</v>
      </c>
      <c r="AB37" s="1129"/>
      <c r="AC37" s="1128" t="str">
        <f t="shared" si="4"/>
        <v>System 2 - PTHPAll capacities</v>
      </c>
      <c r="AD37" s="1129" t="s">
        <v>1913</v>
      </c>
      <c r="AE37" s="1130"/>
      <c r="AF37" s="183"/>
      <c r="AG37" s="183"/>
    </row>
    <row r="38" spans="1:33" ht="27.6" x14ac:dyDescent="0.25">
      <c r="C38" s="1132" t="s">
        <v>111</v>
      </c>
      <c r="D38" s="1132" t="s">
        <v>112</v>
      </c>
      <c r="E38" s="1132" t="s">
        <v>111</v>
      </c>
      <c r="F38" s="1132" t="s">
        <v>119</v>
      </c>
      <c r="G38" s="1132" t="s">
        <v>113</v>
      </c>
      <c r="H38" s="1132" t="s">
        <v>111</v>
      </c>
      <c r="I38" s="1132" t="s">
        <v>115</v>
      </c>
      <c r="X38" s="1184"/>
      <c r="Y38" s="1193" t="s">
        <v>113</v>
      </c>
      <c r="Z38" s="1125" t="s">
        <v>1930</v>
      </c>
      <c r="AA38" s="1125" t="s">
        <v>1931</v>
      </c>
      <c r="AB38" s="1126"/>
      <c r="AC38" s="1125" t="str">
        <f t="shared" si="4"/>
        <v>System 3 - PSZ-AC&lt;225,000 Btu/h</v>
      </c>
      <c r="AD38" s="1126" t="s">
        <v>2258</v>
      </c>
      <c r="AE38" s="1127"/>
      <c r="AF38" s="183"/>
      <c r="AG38" s="183"/>
    </row>
    <row r="39" spans="1:33" ht="41.4" x14ac:dyDescent="0.25">
      <c r="C39" s="1132" t="s">
        <v>112</v>
      </c>
      <c r="D39" s="1132" t="s">
        <v>113</v>
      </c>
      <c r="E39" s="1132" t="s">
        <v>1943</v>
      </c>
      <c r="F39" s="1132" t="s">
        <v>120</v>
      </c>
      <c r="G39" s="1132" t="s">
        <v>114</v>
      </c>
      <c r="H39" s="1132" t="s">
        <v>1943</v>
      </c>
      <c r="I39" s="1132" t="s">
        <v>133</v>
      </c>
      <c r="X39" s="1184"/>
      <c r="Y39" s="1193" t="s">
        <v>113</v>
      </c>
      <c r="Z39" s="1125" t="s">
        <v>1930</v>
      </c>
      <c r="AA39" s="1125" t="s">
        <v>1932</v>
      </c>
      <c r="AB39" s="1126"/>
      <c r="AC39" s="1125" t="str">
        <f t="shared" si="4"/>
        <v>System 3 - PSZ-AC≥225,000 Btu/h</v>
      </c>
      <c r="AD39" s="1126" t="s">
        <v>1962</v>
      </c>
      <c r="AE39" s="1127"/>
      <c r="AF39" s="183"/>
      <c r="AG39" s="183"/>
    </row>
    <row r="40" spans="1:33" ht="41.4" x14ac:dyDescent="0.25">
      <c r="C40" s="1132" t="s">
        <v>113</v>
      </c>
      <c r="D40" s="1132" t="s">
        <v>131</v>
      </c>
      <c r="E40" s="1132" t="s">
        <v>136</v>
      </c>
      <c r="F40" s="1132" t="s">
        <v>140</v>
      </c>
      <c r="G40" s="1132" t="s">
        <v>119</v>
      </c>
      <c r="H40" s="1132" t="s">
        <v>136</v>
      </c>
      <c r="I40" s="1132" t="s">
        <v>138</v>
      </c>
      <c r="X40" s="4"/>
      <c r="Y40" s="1192" t="s">
        <v>114</v>
      </c>
      <c r="Z40" s="1189" t="s">
        <v>2254</v>
      </c>
      <c r="AA40" s="1189" t="s">
        <v>1933</v>
      </c>
      <c r="AB40" s="1190"/>
      <c r="AC40" s="1189" t="str">
        <f t="shared" si="4"/>
        <v>System 4 - PSZ-HP&lt;65,000 Btu/h
(cooling capacity)</v>
      </c>
      <c r="AD40" s="1190" t="s">
        <v>1961</v>
      </c>
      <c r="AE40" s="1191"/>
      <c r="AF40" s="183"/>
      <c r="AG40" s="183"/>
    </row>
    <row r="41" spans="1:33" ht="69" x14ac:dyDescent="0.25">
      <c r="C41" s="1132" t="s">
        <v>114</v>
      </c>
      <c r="D41" s="1132" t="s">
        <v>114</v>
      </c>
      <c r="E41" s="1132" t="s">
        <v>1944</v>
      </c>
      <c r="F41" s="1089"/>
      <c r="G41" s="1132" t="s">
        <v>120</v>
      </c>
      <c r="H41" s="1132" t="s">
        <v>1944</v>
      </c>
      <c r="I41" s="1132" t="s">
        <v>142</v>
      </c>
      <c r="X41" s="4"/>
      <c r="Y41" s="1186" t="s">
        <v>114</v>
      </c>
      <c r="Z41" s="1125"/>
      <c r="AA41" s="1125" t="s">
        <v>1934</v>
      </c>
      <c r="AB41" s="1126"/>
      <c r="AC41" s="1125" t="str">
        <f t="shared" si="4"/>
        <v>System 4 - PSZ-HP≥65,000 Btu/h and
&lt;135,000 Btu/h
(cooling capacity)
47°F db/43°F wb
outdoor air</v>
      </c>
      <c r="AD41" s="1126" t="s">
        <v>1960</v>
      </c>
      <c r="AE41" s="1127"/>
      <c r="AF41" s="183"/>
      <c r="AG41" s="183"/>
    </row>
    <row r="42" spans="1:33" ht="96.6" x14ac:dyDescent="0.25">
      <c r="C42" s="1132" t="s">
        <v>115</v>
      </c>
      <c r="D42" s="1132" t="s">
        <v>132</v>
      </c>
      <c r="E42" s="1132" t="s">
        <v>136</v>
      </c>
      <c r="F42" s="1089"/>
      <c r="G42" s="1132" t="s">
        <v>131</v>
      </c>
      <c r="H42" s="1132" t="s">
        <v>112</v>
      </c>
      <c r="I42" s="1132" t="s">
        <v>116</v>
      </c>
      <c r="X42" s="4"/>
      <c r="Y42" s="1187" t="s">
        <v>114</v>
      </c>
      <c r="Z42" s="1128"/>
      <c r="AA42" s="1128" t="s">
        <v>1935</v>
      </c>
      <c r="AB42" s="1129"/>
      <c r="AC42" s="1128" t="str">
        <f t="shared" si="4"/>
        <v>System 4 - PSZ-HP≥135,000 Btu/h
(cooling capacity)
47°F db/43°F wb
outdoor air</v>
      </c>
      <c r="AD42" s="1129" t="s">
        <v>1959</v>
      </c>
      <c r="AE42" s="1130"/>
    </row>
    <row r="43" spans="1:33" ht="96.6" x14ac:dyDescent="0.25">
      <c r="C43" s="1132" t="s">
        <v>116</v>
      </c>
      <c r="D43" s="1132" t="s">
        <v>119</v>
      </c>
      <c r="E43" s="1132" t="s">
        <v>1944</v>
      </c>
      <c r="F43" s="1089"/>
      <c r="G43" s="1132" t="s">
        <v>132</v>
      </c>
      <c r="H43" s="1132" t="s">
        <v>1945</v>
      </c>
      <c r="I43" s="1132" t="s">
        <v>134</v>
      </c>
      <c r="X43" s="1184"/>
      <c r="Y43" s="1186" t="s">
        <v>115</v>
      </c>
      <c r="Z43" s="1126" t="s">
        <v>2252</v>
      </c>
      <c r="AA43" s="1126" t="s">
        <v>2255</v>
      </c>
      <c r="AB43" s="1126"/>
      <c r="AC43" s="1125" t="str">
        <f t="shared" si="4"/>
        <v>System 5 - Packaged VAV with Reheat&lt;300,000 Btu/h</v>
      </c>
      <c r="AD43" s="1183" t="s">
        <v>2260</v>
      </c>
      <c r="AE43" s="1127"/>
    </row>
    <row r="44" spans="1:33" ht="28.2" x14ac:dyDescent="0.3">
      <c r="C44" s="1132" t="s">
        <v>136</v>
      </c>
      <c r="D44" s="1132"/>
      <c r="E44" s="1132" t="s">
        <v>112</v>
      </c>
      <c r="F44" s="1089"/>
      <c r="G44" s="1132"/>
      <c r="H44" s="1132" t="s">
        <v>119</v>
      </c>
      <c r="I44" s="1132" t="s">
        <v>117</v>
      </c>
      <c r="X44" s="1184"/>
      <c r="Y44" s="1186" t="s">
        <v>115</v>
      </c>
      <c r="Z44" s="1126"/>
      <c r="AA44" s="1125" t="s">
        <v>2259</v>
      </c>
      <c r="AB44" s="1126"/>
      <c r="AC44" s="1125" t="str">
        <f t="shared" si="4"/>
        <v>System 5 - Packaged VAV with Reheat≥300,000 Btu/h and
≤2,500,000 Btu/h</v>
      </c>
      <c r="AD44" s="936" t="s">
        <v>629</v>
      </c>
      <c r="AE44" s="1127"/>
    </row>
    <row r="45" spans="1:33" ht="41.4" x14ac:dyDescent="0.25">
      <c r="C45" s="1132" t="s">
        <v>137</v>
      </c>
      <c r="D45" s="1089"/>
      <c r="E45" s="1132" t="s">
        <v>1945</v>
      </c>
      <c r="F45" s="1089"/>
      <c r="G45" s="1132"/>
      <c r="H45" s="1132" t="s">
        <v>119</v>
      </c>
      <c r="I45" s="1132" t="s">
        <v>135</v>
      </c>
      <c r="X45" s="1184"/>
      <c r="Y45" s="1186" t="s">
        <v>115</v>
      </c>
      <c r="Z45" s="1126"/>
      <c r="AA45" s="1125" t="s">
        <v>2257</v>
      </c>
      <c r="AB45" s="1126"/>
      <c r="AC45" s="1125" t="str">
        <f t="shared" si="4"/>
        <v>System 5 - Packaged VAV with Reheat&gt;2,500,000 Btu/h</v>
      </c>
      <c r="AD45" s="936" t="s">
        <v>628</v>
      </c>
      <c r="AE45" s="1127"/>
    </row>
    <row r="46" spans="1:33" ht="27.6" x14ac:dyDescent="0.25">
      <c r="C46" s="1132" t="s">
        <v>138</v>
      </c>
      <c r="D46" s="1132"/>
      <c r="E46" s="1132" t="s">
        <v>119</v>
      </c>
      <c r="F46" s="1089"/>
      <c r="G46" s="1132"/>
      <c r="H46" s="1132" t="s">
        <v>140</v>
      </c>
      <c r="I46" s="1132" t="s">
        <v>139</v>
      </c>
      <c r="X46" s="4"/>
      <c r="Y46" s="1188" t="s">
        <v>116</v>
      </c>
      <c r="Z46" s="1189" t="s">
        <v>2253</v>
      </c>
      <c r="AA46" s="1189" t="s">
        <v>1917</v>
      </c>
      <c r="AB46" s="1190" t="s">
        <v>569</v>
      </c>
      <c r="AC46" s="1189" t="str">
        <f t="shared" si="4"/>
        <v>System 6 - Packaged VAV with PFP Boxes&lt;65,000 Btu/h</v>
      </c>
      <c r="AD46" s="1190"/>
      <c r="AE46" s="1191"/>
    </row>
    <row r="47" spans="1:33" ht="27.6" x14ac:dyDescent="0.25">
      <c r="C47" s="1089"/>
      <c r="D47" s="1089"/>
      <c r="E47" s="1132" t="s">
        <v>140</v>
      </c>
      <c r="F47" s="1089"/>
      <c r="G47" s="1132"/>
      <c r="H47" s="1132" t="s">
        <v>140</v>
      </c>
      <c r="I47" s="1132" t="s">
        <v>1946</v>
      </c>
      <c r="X47" s="4"/>
      <c r="Y47" s="1186" t="s">
        <v>116</v>
      </c>
      <c r="Z47" s="1125"/>
      <c r="AA47" s="1125" t="s">
        <v>1919</v>
      </c>
      <c r="AB47" s="1126" t="s">
        <v>1920</v>
      </c>
      <c r="AC47" s="1125" t="str">
        <f t="shared" si="4"/>
        <v>System 6 - Packaged VAV with PFP Boxes≥65,000 Btu/h and
&lt;135,000 Btu/h</v>
      </c>
      <c r="AD47" s="1126"/>
      <c r="AE47" s="1127"/>
    </row>
    <row r="48" spans="1:33" ht="27.6" x14ac:dyDescent="0.25">
      <c r="C48" s="1089"/>
      <c r="D48" s="1089"/>
      <c r="E48" s="1132" t="s">
        <v>120</v>
      </c>
      <c r="F48" s="1089"/>
      <c r="G48" s="1132"/>
      <c r="H48" s="1132" t="s">
        <v>120</v>
      </c>
      <c r="I48" s="1089" t="s">
        <v>118</v>
      </c>
      <c r="X48" s="4"/>
      <c r="Y48" s="1186" t="s">
        <v>116</v>
      </c>
      <c r="Z48" s="1125"/>
      <c r="AA48" s="1125" t="s">
        <v>1922</v>
      </c>
      <c r="AB48" s="1126" t="s">
        <v>1920</v>
      </c>
      <c r="AC48" s="1125" t="str">
        <f t="shared" si="4"/>
        <v>System 6 - Packaged VAV with PFP Boxes≥135,000 Btu/h and
&lt;240,000 Btu/h</v>
      </c>
      <c r="AD48" s="1126"/>
      <c r="AE48" s="1127"/>
    </row>
    <row r="49" spans="2:31" s="42" customFormat="1" ht="27.6" x14ac:dyDescent="0.25">
      <c r="B49" s="184"/>
      <c r="C49" s="1089"/>
      <c r="D49" s="1089"/>
      <c r="E49" s="1089"/>
      <c r="F49" s="1089"/>
      <c r="G49" s="1132"/>
      <c r="H49" s="1132" t="s">
        <v>120</v>
      </c>
      <c r="I49" s="1089" t="s">
        <v>1947</v>
      </c>
      <c r="X49" s="4"/>
      <c r="Y49" s="1186" t="s">
        <v>116</v>
      </c>
      <c r="Z49" s="1125"/>
      <c r="AA49" s="1125" t="s">
        <v>1923</v>
      </c>
      <c r="AB49" s="1126" t="s">
        <v>1920</v>
      </c>
      <c r="AC49" s="1125" t="str">
        <f t="shared" si="4"/>
        <v>System 6 - Packaged VAV with PFP Boxes≥240,000 Btu/h and
&lt;760,000 Btu/h</v>
      </c>
      <c r="AD49" s="1126"/>
      <c r="AE49" s="1127"/>
    </row>
    <row r="50" spans="2:31" s="42" customFormat="1" ht="13.8" x14ac:dyDescent="0.25">
      <c r="B50" s="184"/>
      <c r="C50" s="1089"/>
      <c r="D50" s="1089"/>
      <c r="E50" s="1089"/>
      <c r="F50" s="1089"/>
      <c r="G50" s="1132"/>
      <c r="H50" s="1089"/>
      <c r="I50" s="1089"/>
      <c r="X50" s="4"/>
      <c r="Y50" s="1187" t="s">
        <v>116</v>
      </c>
      <c r="Z50" s="1129"/>
      <c r="AA50" s="1129" t="s">
        <v>1924</v>
      </c>
      <c r="AB50" s="1129" t="s">
        <v>1920</v>
      </c>
      <c r="AC50" s="1128" t="str">
        <f t="shared" si="4"/>
        <v>System 6 - Packaged VAV with PFP Boxes≥760,000 Btu/h</v>
      </c>
      <c r="AD50" s="1129"/>
      <c r="AE50" s="1130"/>
    </row>
    <row r="51" spans="2:31" s="42" customFormat="1" ht="13.8" x14ac:dyDescent="0.25">
      <c r="B51" s="184"/>
      <c r="C51" s="1089"/>
      <c r="D51" s="1089"/>
      <c r="E51" s="1089"/>
      <c r="F51" s="1089"/>
      <c r="G51" s="1089"/>
      <c r="H51" s="1089"/>
      <c r="I51" s="1089"/>
      <c r="X51" s="1184"/>
      <c r="Y51" s="1193" t="s">
        <v>119</v>
      </c>
      <c r="Z51" s="1125" t="s">
        <v>1930</v>
      </c>
      <c r="AA51" s="1125" t="s">
        <v>1931</v>
      </c>
      <c r="AB51" s="1126"/>
      <c r="AC51" s="1125" t="str">
        <f t="shared" si="4"/>
        <v>System 9 - Heating and Ventilation&lt;225,000 Btu/h</v>
      </c>
      <c r="AD51" s="1126" t="s">
        <v>2258</v>
      </c>
      <c r="AE51" s="1127"/>
    </row>
    <row r="52" spans="2:31" ht="13.8" x14ac:dyDescent="0.25">
      <c r="X52" s="1184"/>
      <c r="Y52" s="1193" t="s">
        <v>119</v>
      </c>
      <c r="Z52" s="1125" t="s">
        <v>1930</v>
      </c>
      <c r="AA52" s="1125" t="s">
        <v>1932</v>
      </c>
      <c r="AB52" s="1126"/>
      <c r="AC52" s="1125" t="str">
        <f t="shared" si="4"/>
        <v>System 9 - Heating and Ventilation≥225,000 Btu/h</v>
      </c>
      <c r="AD52" s="1126" t="s">
        <v>1962</v>
      </c>
      <c r="AE52" s="1127"/>
    </row>
    <row r="53" spans="2:31" ht="13.8" x14ac:dyDescent="0.25">
      <c r="X53" s="1184"/>
      <c r="Y53" s="1192" t="s">
        <v>117</v>
      </c>
      <c r="Z53" s="1190" t="s">
        <v>2252</v>
      </c>
      <c r="AA53" s="1190" t="s">
        <v>2255</v>
      </c>
      <c r="AB53" s="1190"/>
      <c r="AC53" s="1189" t="str">
        <f t="shared" si="4"/>
        <v>System 7 - VAV with Reheat&lt;300,000 Btu/h</v>
      </c>
      <c r="AD53" s="1183" t="s">
        <v>2260</v>
      </c>
      <c r="AE53" s="1191"/>
    </row>
    <row r="54" spans="2:31" ht="28.2" x14ac:dyDescent="0.3">
      <c r="X54" s="1184"/>
      <c r="Y54" s="1186" t="s">
        <v>117</v>
      </c>
      <c r="Z54" s="1126"/>
      <c r="AA54" s="1125" t="s">
        <v>2259</v>
      </c>
      <c r="AB54" s="1126"/>
      <c r="AC54" s="1125" t="str">
        <f t="shared" si="4"/>
        <v>System 7 - VAV with Reheat≥300,000 Btu/h and
≤2,500,000 Btu/h</v>
      </c>
      <c r="AD54" s="936" t="s">
        <v>629</v>
      </c>
      <c r="AE54" s="1127"/>
    </row>
    <row r="55" spans="2:31" ht="13.8" x14ac:dyDescent="0.25">
      <c r="X55" s="1184"/>
      <c r="Y55" s="1187" t="s">
        <v>117</v>
      </c>
      <c r="Z55" s="1129"/>
      <c r="AA55" s="1128" t="s">
        <v>2257</v>
      </c>
      <c r="AB55" s="1129"/>
      <c r="AC55" s="1128" t="str">
        <f t="shared" si="4"/>
        <v>System 7 - VAV with Reheat&gt;2,500,000 Btu/h</v>
      </c>
      <c r="AD55" s="936" t="s">
        <v>628</v>
      </c>
      <c r="AE55" s="1130"/>
    </row>
    <row r="56" spans="2:31" ht="13.8" x14ac:dyDescent="0.25">
      <c r="X56" s="1184"/>
      <c r="Y56" s="1186" t="s">
        <v>1853</v>
      </c>
      <c r="Z56" s="1126" t="s">
        <v>2252</v>
      </c>
      <c r="AA56" s="1126" t="s">
        <v>2255</v>
      </c>
      <c r="AB56" s="1126"/>
      <c r="AC56" s="1125" t="str">
        <f t="shared" si="4"/>
        <v>System 12 - SZ-CV-HW&lt;300,000 Btu/h</v>
      </c>
      <c r="AD56" s="1183" t="s">
        <v>2260</v>
      </c>
      <c r="AE56" s="1127"/>
    </row>
    <row r="57" spans="2:31" ht="28.2" x14ac:dyDescent="0.3">
      <c r="X57" s="1184"/>
      <c r="Y57" s="1186" t="s">
        <v>1853</v>
      </c>
      <c r="Z57" s="1126"/>
      <c r="AA57" s="1125" t="s">
        <v>2259</v>
      </c>
      <c r="AB57" s="1126"/>
      <c r="AC57" s="1125" t="str">
        <f t="shared" si="4"/>
        <v>System 12 - SZ-CV-HW≥300,000 Btu/h and
≤2,500,000 Btu/h</v>
      </c>
      <c r="AD57" s="936" t="s">
        <v>629</v>
      </c>
      <c r="AE57" s="1127"/>
    </row>
    <row r="58" spans="2:31" ht="13.8" x14ac:dyDescent="0.25">
      <c r="X58" s="1184"/>
      <c r="Y58" s="1187" t="s">
        <v>1853</v>
      </c>
      <c r="Z58" s="1129"/>
      <c r="AA58" s="1128" t="s">
        <v>2257</v>
      </c>
      <c r="AB58" s="1129"/>
      <c r="AC58" s="1128" t="str">
        <f t="shared" si="4"/>
        <v>System 12 - SZ-CV-HW&gt;2,500,000 Btu/h</v>
      </c>
      <c r="AD58" s="936" t="s">
        <v>628</v>
      </c>
      <c r="AE58" s="1130"/>
    </row>
  </sheetData>
  <sheetProtection algorithmName="SHA-512" hashValue="MxerULhK5s3OQlMNhWfBbKgU/WGrgA8JaJtwf0iDpzyxgPuhTll7ZMTlNpAEhmdP05XlgRMCYh6cBT+05HuLNw==" saltValue="fYYAEdRpsJq+5fxQYqr8MQ==" spinCount="100000" sheet="1" objects="1" scenarios="1"/>
  <mergeCells count="14">
    <mergeCell ref="S8:S9"/>
    <mergeCell ref="T8:T9"/>
    <mergeCell ref="U8:U9"/>
    <mergeCell ref="Q36:T36"/>
    <mergeCell ref="K7:O7"/>
    <mergeCell ref="Q7:U7"/>
    <mergeCell ref="N8:N9"/>
    <mergeCell ref="Q8:Q9"/>
    <mergeCell ref="R8:R9"/>
    <mergeCell ref="G8:G9"/>
    <mergeCell ref="H8:H9"/>
    <mergeCell ref="I8:I9"/>
    <mergeCell ref="K8:L8"/>
    <mergeCell ref="M8:M9"/>
  </mergeCell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31">
    <tabColor theme="5" tint="0.39997558519241921"/>
  </sheetPr>
  <dimension ref="A1:AJ58"/>
  <sheetViews>
    <sheetView workbookViewId="0"/>
  </sheetViews>
  <sheetFormatPr defaultColWidth="25.69921875" defaultRowHeight="13.2" x14ac:dyDescent="0.25"/>
  <cols>
    <col min="1" max="1" width="25.296875" style="42" customWidth="1"/>
    <col min="2" max="6" width="24.69921875" style="184" customWidth="1"/>
    <col min="7" max="7" width="11.296875" style="42" customWidth="1"/>
    <col min="8" max="8" width="24.69921875" style="184" customWidth="1"/>
    <col min="9" max="9" width="24.69921875" style="42" customWidth="1"/>
    <col min="10" max="10" width="3.5" style="42" customWidth="1"/>
    <col min="11" max="14" width="14.69921875" style="184" customWidth="1"/>
    <col min="15" max="15" width="17.796875" style="184" customWidth="1"/>
    <col min="16" max="16" width="3.5" style="184" customWidth="1"/>
    <col min="17" max="20" width="14.69921875" style="184" customWidth="1"/>
    <col min="21" max="24" width="10.69921875" style="184" customWidth="1"/>
    <col min="25" max="25" width="42.796875" style="184" customWidth="1"/>
    <col min="26" max="28" width="25.69921875" style="184"/>
    <col min="29" max="29" width="51.796875" style="184" customWidth="1"/>
    <col min="30" max="16384" width="25.69921875" style="184"/>
  </cols>
  <sheetData>
    <row r="1" spans="1:36" x14ac:dyDescent="0.25">
      <c r="A1" s="42" t="s">
        <v>129</v>
      </c>
      <c r="B1" s="184" t="b">
        <f>'General Information'!R68</f>
        <v>0</v>
      </c>
    </row>
    <row r="2" spans="1:36" x14ac:dyDescent="0.25">
      <c r="A2" s="42" t="s">
        <v>130</v>
      </c>
      <c r="B2" s="184" t="b">
        <f>'General Information'!S68</f>
        <v>0</v>
      </c>
    </row>
    <row r="3" spans="1:36" x14ac:dyDescent="0.25">
      <c r="A3" s="42" t="s">
        <v>278</v>
      </c>
      <c r="B3" s="184" t="b">
        <f>'General Information'!R69</f>
        <v>0</v>
      </c>
      <c r="N3" s="184" t="s">
        <v>892</v>
      </c>
    </row>
    <row r="4" spans="1:36" x14ac:dyDescent="0.25">
      <c r="A4" s="42" t="s">
        <v>276</v>
      </c>
      <c r="B4" s="184" t="b">
        <f>'General Information'!S69</f>
        <v>0</v>
      </c>
    </row>
    <row r="5" spans="1:36" ht="12.75" customHeight="1" x14ac:dyDescent="0.25">
      <c r="A5" s="42" t="s">
        <v>277</v>
      </c>
      <c r="B5" s="184" t="b">
        <f>'General Information'!T69</f>
        <v>0</v>
      </c>
      <c r="C5" s="184">
        <v>3</v>
      </c>
      <c r="D5" s="184">
        <v>4</v>
      </c>
      <c r="E5" s="184">
        <v>5</v>
      </c>
      <c r="F5" s="184">
        <v>6</v>
      </c>
      <c r="G5" s="42">
        <v>7</v>
      </c>
      <c r="H5" s="184">
        <v>8</v>
      </c>
      <c r="I5" s="42">
        <v>9</v>
      </c>
      <c r="J5" s="42">
        <v>10</v>
      </c>
      <c r="K5" s="35">
        <v>11</v>
      </c>
      <c r="L5" s="35">
        <v>12</v>
      </c>
      <c r="M5" s="35">
        <v>13</v>
      </c>
      <c r="N5" s="35">
        <v>14</v>
      </c>
      <c r="O5" s="35">
        <v>15</v>
      </c>
      <c r="P5" s="35">
        <v>16</v>
      </c>
      <c r="Q5" s="35">
        <v>17</v>
      </c>
      <c r="R5" s="35">
        <v>18</v>
      </c>
      <c r="S5" s="35">
        <v>19</v>
      </c>
      <c r="T5" s="35">
        <v>20</v>
      </c>
    </row>
    <row r="6" spans="1:36" x14ac:dyDescent="0.25">
      <c r="A6" s="42" t="s">
        <v>279</v>
      </c>
      <c r="B6" s="184" t="b">
        <f>'General Information'!U69</f>
        <v>0</v>
      </c>
      <c r="K6" s="35"/>
      <c r="L6" s="35"/>
      <c r="M6" s="35"/>
      <c r="N6" s="35"/>
      <c r="O6" s="35"/>
      <c r="P6" s="35"/>
      <c r="Q6" s="35"/>
      <c r="R6" s="35"/>
      <c r="S6" s="35"/>
      <c r="T6" s="35"/>
    </row>
    <row r="7" spans="1:36" ht="26.25" customHeight="1" x14ac:dyDescent="0.25">
      <c r="K7" s="4361" t="s">
        <v>893</v>
      </c>
      <c r="L7" s="4362"/>
      <c r="M7" s="4362"/>
      <c r="N7" s="4362"/>
      <c r="O7" s="4362"/>
      <c r="Q7" s="4363" t="s">
        <v>839</v>
      </c>
      <c r="R7" s="4364"/>
      <c r="S7" s="4364"/>
      <c r="T7" s="4364"/>
      <c r="U7" s="4365"/>
      <c r="Y7" s="1144" t="s">
        <v>1904</v>
      </c>
      <c r="Z7" s="1140" t="s">
        <v>1905</v>
      </c>
      <c r="AA7" s="1141" t="s">
        <v>1906</v>
      </c>
      <c r="AB7" s="1141" t="s">
        <v>1907</v>
      </c>
      <c r="AC7" s="1141" t="s">
        <v>1908</v>
      </c>
      <c r="AD7" s="1141" t="s">
        <v>1909</v>
      </c>
      <c r="AE7" s="1141"/>
      <c r="AF7" s="1141" t="s">
        <v>1910</v>
      </c>
      <c r="AG7" s="1142" t="s">
        <v>143</v>
      </c>
      <c r="AI7" s="1089" t="s">
        <v>1948</v>
      </c>
      <c r="AJ7" s="1" t="s">
        <v>211</v>
      </c>
    </row>
    <row r="8" spans="1:36" ht="44.25" customHeight="1" x14ac:dyDescent="0.25">
      <c r="A8" s="1090" t="s">
        <v>830</v>
      </c>
      <c r="B8" s="1091" t="b">
        <f>IF(AND(C8=FALSE,D8=FALSE,E8=FALSE,F8=FALSE),TRUE,FALSE)</f>
        <v>1</v>
      </c>
      <c r="C8" s="1091" t="b">
        <f>AND(B1=TRUE,B2=FALSE,OR(B3=TRUE,B5=TRUE))</f>
        <v>0</v>
      </c>
      <c r="D8" s="1091" t="b">
        <f>AND(B1=FALSE,B2=TRUE,OR(B3=TRUE,B5=TRUE))</f>
        <v>0</v>
      </c>
      <c r="E8" s="1091" t="b">
        <f>AND(B1=TRUE,B2=TRUE,OR(B3=TRUE,B5=TRUE))</f>
        <v>0</v>
      </c>
      <c r="F8" s="1091" t="b">
        <f>B6</f>
        <v>0</v>
      </c>
      <c r="G8" s="4350" t="s">
        <v>886</v>
      </c>
      <c r="H8" s="4350" t="s">
        <v>832</v>
      </c>
      <c r="I8" s="4352" t="s">
        <v>831</v>
      </c>
      <c r="K8" s="4354" t="s">
        <v>891</v>
      </c>
      <c r="L8" s="4355"/>
      <c r="M8" s="4356" t="s">
        <v>894</v>
      </c>
      <c r="N8" s="4356" t="s">
        <v>838</v>
      </c>
      <c r="O8" s="378" t="s">
        <v>895</v>
      </c>
      <c r="Q8" s="3538" t="s">
        <v>889</v>
      </c>
      <c r="R8" s="3539" t="s">
        <v>890</v>
      </c>
      <c r="S8" s="4358" t="s">
        <v>216</v>
      </c>
      <c r="T8" s="4358" t="s">
        <v>217</v>
      </c>
      <c r="U8" s="4358" t="s">
        <v>896</v>
      </c>
      <c r="Y8" s="1468" t="s">
        <v>111</v>
      </c>
      <c r="Z8" s="1469" t="s">
        <v>1911</v>
      </c>
      <c r="AA8" s="1470" t="s">
        <v>1912</v>
      </c>
      <c r="AB8" s="1470"/>
      <c r="AC8" s="1470" t="str">
        <f>Y8&amp;AA8</f>
        <v>System 1 - PTACAll capacities</v>
      </c>
      <c r="AD8" s="1471" t="s">
        <v>2250</v>
      </c>
      <c r="AE8" s="1472" t="s">
        <v>2213</v>
      </c>
      <c r="AF8" s="1473" t="s">
        <v>669</v>
      </c>
      <c r="AG8" s="1474" t="s">
        <v>669</v>
      </c>
      <c r="AI8" s="1" t="s">
        <v>212</v>
      </c>
      <c r="AJ8" s="1" t="s">
        <v>212</v>
      </c>
    </row>
    <row r="9" spans="1:36" s="42" customFormat="1" ht="87" customHeight="1" x14ac:dyDescent="0.25">
      <c r="A9" s="1090" t="s">
        <v>837</v>
      </c>
      <c r="B9" s="1095" t="s">
        <v>833</v>
      </c>
      <c r="C9" s="1095" t="s">
        <v>834</v>
      </c>
      <c r="D9" s="1095" t="s">
        <v>835</v>
      </c>
      <c r="E9" s="1095" t="s">
        <v>836</v>
      </c>
      <c r="F9" s="1095" t="s">
        <v>280</v>
      </c>
      <c r="G9" s="4351"/>
      <c r="H9" s="4351"/>
      <c r="I9" s="4353"/>
      <c r="K9" s="1088" t="s">
        <v>887</v>
      </c>
      <c r="L9" s="1087" t="s">
        <v>888</v>
      </c>
      <c r="M9" s="4357"/>
      <c r="N9" s="4357"/>
      <c r="O9" s="1088" t="s">
        <v>707</v>
      </c>
      <c r="Q9" s="3673"/>
      <c r="R9" s="4366"/>
      <c r="S9" s="4359"/>
      <c r="T9" s="4359"/>
      <c r="U9" s="4359"/>
      <c r="Y9" s="1146" t="s">
        <v>112</v>
      </c>
      <c r="Z9" s="1093" t="s">
        <v>1914</v>
      </c>
      <c r="AA9" s="1094" t="s">
        <v>1912</v>
      </c>
      <c r="AB9" s="1094"/>
      <c r="AC9" s="1094" t="str">
        <f t="shared" ref="AC9:AC29" si="0">Y9&amp;AA9</f>
        <v>System 2 - PTHPAll capacities</v>
      </c>
      <c r="AD9" s="956" t="s">
        <v>2250</v>
      </c>
      <c r="AE9" s="920" t="s">
        <v>2213</v>
      </c>
      <c r="AF9" s="960" t="s">
        <v>669</v>
      </c>
      <c r="AG9" s="928" t="s">
        <v>669</v>
      </c>
      <c r="AI9" s="1" t="s">
        <v>207</v>
      </c>
      <c r="AJ9" s="1" t="s">
        <v>208</v>
      </c>
    </row>
    <row r="10" spans="1:36" s="181" customFormat="1" ht="33" customHeight="1" x14ac:dyDescent="0.25">
      <c r="A10" s="1096" t="str">
        <f>IF($C$8=TRUE,C10,IF($D$8=TRUE,D10,IF($E$8=TRUE,E10,IF($F$8=TRUE,F10,B10))))</f>
        <v>System 1 - PTAC</v>
      </c>
      <c r="B10" s="1096" t="s">
        <v>111</v>
      </c>
      <c r="C10" s="1096" t="s">
        <v>847</v>
      </c>
      <c r="D10" s="1096" t="s">
        <v>136</v>
      </c>
      <c r="E10" s="1096" t="s">
        <v>849</v>
      </c>
      <c r="F10" s="1096" t="s">
        <v>128</v>
      </c>
      <c r="G10" s="1097">
        <v>1</v>
      </c>
      <c r="H10" s="1098" t="str">
        <f t="array" aca="1" ref="H10" ca="1">IFERROR(INDEX($A$10:$A$19,SMALL((IF(LEN($A$10:$A$19),ROW(INDIRECT("1:"&amp;ROWS($A$10:$A$19))))),ROW(A1)),1),"")</f>
        <v>System 1 - PTAC</v>
      </c>
      <c r="I10" s="1099" t="str">
        <f t="array" aca="1" ref="I10" ca="1">IFERROR(INDEX($A$10:$A$32,SMALL((IF(LEN($A$10:$A$32),ROW(INDIRECT("1:"&amp;ROWS($A$10:$A$32))))),ROW(A1)),1),"")</f>
        <v>System 1 - PTAC</v>
      </c>
      <c r="J10" s="129"/>
      <c r="K10" s="1052">
        <v>2.9999999999999997E-4</v>
      </c>
      <c r="L10" s="1100">
        <v>6.4000000000000005E-4</v>
      </c>
      <c r="M10" s="1135">
        <v>0</v>
      </c>
      <c r="N10" s="1136">
        <v>0</v>
      </c>
      <c r="O10" s="1137">
        <v>0</v>
      </c>
      <c r="Q10" s="224">
        <v>0</v>
      </c>
      <c r="R10" s="225">
        <v>0</v>
      </c>
      <c r="S10" s="222"/>
      <c r="T10" s="223">
        <v>0.82499999999999996</v>
      </c>
      <c r="U10" s="241">
        <f t="shared" ref="U10:U29" si="1">IF(SI_IP_Units="SI",1/T10,0.746/T10)</f>
        <v>0.90424242424242429</v>
      </c>
      <c r="Y10" s="1146" t="s">
        <v>112</v>
      </c>
      <c r="Z10" s="1106" t="s">
        <v>1915</v>
      </c>
      <c r="AA10" s="1107" t="s">
        <v>1912</v>
      </c>
      <c r="AB10" s="1108"/>
      <c r="AC10" s="1108" t="str">
        <f t="shared" si="0"/>
        <v>System 2 - PTHPAll capacities</v>
      </c>
      <c r="AD10" s="957" t="s">
        <v>2250</v>
      </c>
      <c r="AE10" s="923" t="s">
        <v>2213</v>
      </c>
      <c r="AF10" s="959" t="s">
        <v>669</v>
      </c>
      <c r="AG10" s="930" t="s">
        <v>669</v>
      </c>
      <c r="AI10" s="1" t="s">
        <v>209</v>
      </c>
      <c r="AJ10" s="1" t="s">
        <v>210</v>
      </c>
    </row>
    <row r="11" spans="1:36" s="181" customFormat="1" ht="33" customHeight="1" x14ac:dyDescent="0.25">
      <c r="A11" s="1109" t="str">
        <f t="shared" ref="A11:A19" si="2">IF($C$8=TRUE,C11,IF($D$8=TRUE,D11,IF($E$8=TRUE,E11,IF($F$8=TRUE,F11,B11))))</f>
        <v>System 2 - PTHP</v>
      </c>
      <c r="B11" s="1109" t="s">
        <v>112</v>
      </c>
      <c r="C11" s="1109" t="s">
        <v>848</v>
      </c>
      <c r="D11" s="1110" t="str">
        <f>""</f>
        <v/>
      </c>
      <c r="E11" s="1110" t="str">
        <f>""</f>
        <v/>
      </c>
      <c r="F11" s="1110" t="str">
        <f>""</f>
        <v/>
      </c>
      <c r="G11" s="1111">
        <v>2</v>
      </c>
      <c r="H11" s="1112" t="str">
        <f t="array" aca="1" ref="H11" ca="1">IFERROR(INDEX($A$10:$A$19,SMALL((IF(LEN($A$10:$A$19),ROW(INDIRECT("1:"&amp;ROWS($A$10:$A$19))))),ROW(A2)),1),"")</f>
        <v>System 2 - PTHP</v>
      </c>
      <c r="I11" s="1113" t="str">
        <f t="array" aca="1" ref="I11" ca="1">IFERROR(INDEX($A$10:$A$32,SMALL((IF(LEN($A$10:$A$32),ROW(INDIRECT("1:"&amp;ROWS($A$10:$A$32))))),ROW(A2)),1),"")</f>
        <v>System 2 - PTHP</v>
      </c>
      <c r="J11" s="129"/>
      <c r="K11" s="1059">
        <v>2.9999999999999997E-4</v>
      </c>
      <c r="L11" s="1064">
        <f>L10/K10*K11</f>
        <v>6.4000000000000005E-4</v>
      </c>
      <c r="M11" s="848">
        <v>0</v>
      </c>
      <c r="N11" s="849">
        <v>0</v>
      </c>
      <c r="O11" s="829">
        <v>0</v>
      </c>
      <c r="Q11" s="210">
        <v>1</v>
      </c>
      <c r="R11" s="220">
        <v>0.8</v>
      </c>
      <c r="S11" s="221">
        <v>0.82499999999999996</v>
      </c>
      <c r="T11" s="221">
        <v>0.84</v>
      </c>
      <c r="U11" s="241">
        <f t="shared" si="1"/>
        <v>0.88809523809523816</v>
      </c>
      <c r="Y11" s="1147" t="s">
        <v>113</v>
      </c>
      <c r="Z11" s="1093" t="s">
        <v>1916</v>
      </c>
      <c r="AA11" s="1094" t="s">
        <v>1917</v>
      </c>
      <c r="AB11" s="1094" t="s">
        <v>569</v>
      </c>
      <c r="AC11" s="1094" t="str">
        <f t="shared" si="0"/>
        <v>System 3 - PSZ-AC&lt;65,000 Btu/h</v>
      </c>
      <c r="AD11" s="955" t="s">
        <v>669</v>
      </c>
      <c r="AE11" s="925" t="s">
        <v>669</v>
      </c>
      <c r="AF11" s="925">
        <v>14</v>
      </c>
      <c r="AG11" s="926" t="s">
        <v>1918</v>
      </c>
    </row>
    <row r="12" spans="1:36" s="181" customFormat="1" ht="33" customHeight="1" x14ac:dyDescent="0.25">
      <c r="A12" s="1109" t="str">
        <f t="shared" si="2"/>
        <v>System 3 - PSZ-AC</v>
      </c>
      <c r="B12" s="1109" t="s">
        <v>113</v>
      </c>
      <c r="C12" s="1109" t="s">
        <v>131</v>
      </c>
      <c r="D12" s="1109" t="s">
        <v>137</v>
      </c>
      <c r="E12" s="1109" t="s">
        <v>141</v>
      </c>
      <c r="F12" s="1110" t="str">
        <f>""</f>
        <v/>
      </c>
      <c r="G12" s="1111">
        <v>3</v>
      </c>
      <c r="H12" s="1112" t="str">
        <f t="array" aca="1" ref="H12" ca="1">IFERROR(INDEX($A$10:$A$19,SMALL((IF(LEN($A$10:$A$19),ROW(INDIRECT("1:"&amp;ROWS($A$10:$A$19))))),ROW(A3)),1),"")</f>
        <v>System 3 - PSZ-AC</v>
      </c>
      <c r="I12" s="1113" t="str">
        <f t="array" aca="1" ref="I12" ca="1">IFERROR(INDEX($A$10:$A$32,SMALL((IF(LEN($A$10:$A$32),ROW(INDIRECT("1:"&amp;ROWS($A$10:$A$32))))),ROW(A3)),1),"")</f>
        <v>System 3 - PSZ-AC</v>
      </c>
      <c r="J12" s="129"/>
      <c r="K12" s="1059">
        <v>9.3999999999999997E-4</v>
      </c>
      <c r="L12" s="1064">
        <v>1.5E-3</v>
      </c>
      <c r="M12" s="848">
        <v>1</v>
      </c>
      <c r="N12" s="849">
        <v>1</v>
      </c>
      <c r="O12" s="829">
        <v>0</v>
      </c>
      <c r="Q12" s="210">
        <v>1.5</v>
      </c>
      <c r="R12" s="220">
        <v>1.1000000000000001</v>
      </c>
      <c r="S12" s="221">
        <v>0.84</v>
      </c>
      <c r="T12" s="221">
        <v>0.84</v>
      </c>
      <c r="U12" s="241">
        <f t="shared" si="1"/>
        <v>0.88809523809523816</v>
      </c>
      <c r="Y12" s="1146" t="s">
        <v>113</v>
      </c>
      <c r="Z12" s="1092"/>
      <c r="AA12" s="1117" t="s">
        <v>1919</v>
      </c>
      <c r="AB12" s="1094" t="s">
        <v>1920</v>
      </c>
      <c r="AC12" s="1094" t="str">
        <f t="shared" si="0"/>
        <v>System 3 - PSZ-AC≥65,000 Btu/h and
&lt;135,000 Btu/h</v>
      </c>
      <c r="AD12" s="956">
        <v>11</v>
      </c>
      <c r="AE12" s="927" t="s">
        <v>2213</v>
      </c>
      <c r="AF12" s="925">
        <v>12.7</v>
      </c>
      <c r="AG12" s="926" t="s">
        <v>1921</v>
      </c>
    </row>
    <row r="13" spans="1:36" s="181" customFormat="1" ht="33" customHeight="1" x14ac:dyDescent="0.25">
      <c r="A13" s="1109" t="str">
        <f t="shared" si="2"/>
        <v>System 4 - PSZ-HP</v>
      </c>
      <c r="B13" s="1109" t="s">
        <v>114</v>
      </c>
      <c r="C13" s="1109" t="s">
        <v>132</v>
      </c>
      <c r="D13" s="1110" t="str">
        <f>""</f>
        <v/>
      </c>
      <c r="E13" s="1110" t="str">
        <f>""</f>
        <v/>
      </c>
      <c r="F13" s="1110" t="str">
        <f>""</f>
        <v/>
      </c>
      <c r="G13" s="1111">
        <v>4</v>
      </c>
      <c r="H13" s="1112" t="str">
        <f t="array" aca="1" ref="H13" ca="1">IFERROR(INDEX($A$10:$A$19,SMALL((IF(LEN($A$10:$A$19),ROW(INDIRECT("1:"&amp;ROWS($A$10:$A$19))))),ROW(A4)),1),"")</f>
        <v>System 4 - PSZ-HP</v>
      </c>
      <c r="I13" s="1113" t="str">
        <f t="array" aca="1" ref="I13" ca="1">IFERROR(INDEX($A$10:$A$32,SMALL((IF(LEN($A$10:$A$32),ROW(INDIRECT("1:"&amp;ROWS($A$10:$A$32))))),ROW(A4)),1),"")</f>
        <v>System 4 - PSZ-HP</v>
      </c>
      <c r="J13" s="129"/>
      <c r="K13" s="1059">
        <v>9.3999999999999997E-4</v>
      </c>
      <c r="L13" s="1064">
        <v>1.5E-3</v>
      </c>
      <c r="M13" s="848">
        <v>1</v>
      </c>
      <c r="N13" s="849">
        <v>1</v>
      </c>
      <c r="O13" s="829">
        <v>0</v>
      </c>
      <c r="Q13" s="210">
        <v>2</v>
      </c>
      <c r="R13" s="220">
        <v>1.5</v>
      </c>
      <c r="S13" s="221">
        <v>0.84</v>
      </c>
      <c r="T13" s="221">
        <v>0.875</v>
      </c>
      <c r="U13" s="241">
        <f t="shared" si="1"/>
        <v>0.85257142857142854</v>
      </c>
      <c r="Y13" s="1146" t="s">
        <v>113</v>
      </c>
      <c r="Z13" s="1092"/>
      <c r="AA13" s="1117" t="s">
        <v>1922</v>
      </c>
      <c r="AB13" s="1094" t="s">
        <v>1920</v>
      </c>
      <c r="AC13" s="1094" t="str">
        <f t="shared" si="0"/>
        <v>System 3 - PSZ-AC≥135,000 Btu/h and
&lt;240,000 Btu/h</v>
      </c>
      <c r="AD13" s="956">
        <v>10.8</v>
      </c>
      <c r="AE13" s="927" t="s">
        <v>2213</v>
      </c>
      <c r="AF13" s="925">
        <v>12.2</v>
      </c>
      <c r="AG13" s="926" t="s">
        <v>1921</v>
      </c>
    </row>
    <row r="14" spans="1:36" s="181" customFormat="1" ht="33" customHeight="1" x14ac:dyDescent="0.25">
      <c r="A14" s="1109" t="str">
        <f t="shared" si="2"/>
        <v>System 5 - Packaged VAV with Reheat</v>
      </c>
      <c r="B14" s="1109" t="s">
        <v>115</v>
      </c>
      <c r="C14" s="1109" t="s">
        <v>133</v>
      </c>
      <c r="D14" s="1109" t="s">
        <v>138</v>
      </c>
      <c r="E14" s="1109" t="s">
        <v>142</v>
      </c>
      <c r="F14" s="1110" t="str">
        <f>""</f>
        <v/>
      </c>
      <c r="G14" s="1111">
        <v>5</v>
      </c>
      <c r="H14" s="1112" t="str">
        <f t="array" aca="1" ref="H14" ca="1">IFERROR(INDEX($A$10:$A$19,SMALL((IF(LEN($A$10:$A$19),ROW(INDIRECT("1:"&amp;ROWS($A$10:$A$19))))),ROW(A5)),1),"")</f>
        <v>System 5 - Packaged VAV with Reheat</v>
      </c>
      <c r="I14" s="1113" t="str">
        <f t="array" aca="1" ref="I14" ca="1">IFERROR(INDEX($A$10:$A$32,SMALL((IF(LEN($A$10:$A$32),ROW(INDIRECT("1:"&amp;ROWS($A$10:$A$32))))),ROW(A5)),1),"")</f>
        <v>System 5 - Packaged VAV with Reheat</v>
      </c>
      <c r="J14" s="129"/>
      <c r="K14" s="1059">
        <v>1.2999999999999999E-3</v>
      </c>
      <c r="L14" s="1064">
        <v>2.0999999999999999E-3</v>
      </c>
      <c r="M14" s="848">
        <v>1</v>
      </c>
      <c r="N14" s="849">
        <v>1</v>
      </c>
      <c r="O14" s="829">
        <v>0</v>
      </c>
      <c r="Q14" s="210">
        <v>3</v>
      </c>
      <c r="R14" s="220">
        <v>2.2000000000000002</v>
      </c>
      <c r="S14" s="850">
        <v>0.86499999999999999</v>
      </c>
      <c r="T14" s="221">
        <v>0.875</v>
      </c>
      <c r="U14" s="241">
        <f t="shared" si="1"/>
        <v>0.85257142857142854</v>
      </c>
      <c r="Y14" s="1146" t="s">
        <v>113</v>
      </c>
      <c r="Z14" s="1092"/>
      <c r="AA14" s="1117" t="s">
        <v>1923</v>
      </c>
      <c r="AB14" s="1094" t="s">
        <v>1920</v>
      </c>
      <c r="AC14" s="1094" t="str">
        <f t="shared" si="0"/>
        <v>System 3 - PSZ-AC≥240,000 Btu/h and
&lt;760,000 Btu/h</v>
      </c>
      <c r="AD14" s="956">
        <v>9.8000000000000007</v>
      </c>
      <c r="AE14" s="927" t="s">
        <v>2213</v>
      </c>
      <c r="AF14" s="927">
        <v>11.4</v>
      </c>
      <c r="AG14" s="928" t="s">
        <v>1921</v>
      </c>
    </row>
    <row r="15" spans="1:36" s="181" customFormat="1" ht="33" customHeight="1" x14ac:dyDescent="0.25">
      <c r="A15" s="1109" t="str">
        <f t="shared" si="2"/>
        <v>System 6 - Packaged VAV with PFP Boxes</v>
      </c>
      <c r="B15" s="1109" t="s">
        <v>116</v>
      </c>
      <c r="C15" s="1109" t="s">
        <v>134</v>
      </c>
      <c r="D15" s="1110" t="str">
        <f>""</f>
        <v/>
      </c>
      <c r="E15" s="1110" t="str">
        <f>""</f>
        <v/>
      </c>
      <c r="F15" s="1110" t="str">
        <f>""</f>
        <v/>
      </c>
      <c r="G15" s="1111">
        <v>6</v>
      </c>
      <c r="H15" s="1112" t="str">
        <f t="array" aca="1" ref="H15" ca="1">IFERROR(INDEX($A$10:$A$19,SMALL((IF(LEN($A$10:$A$19),ROW(INDIRECT("1:"&amp;ROWS($A$10:$A$19))))),ROW(A6)),1),"")</f>
        <v>System 6 - Packaged VAV with PFP Boxes</v>
      </c>
      <c r="I15" s="1113" t="str">
        <f t="array" aca="1" ref="I15" ca="1">IFERROR(INDEX($A$10:$A$32,SMALL((IF(LEN($A$10:$A$32),ROW(INDIRECT("1:"&amp;ROWS($A$10:$A$32))))),ROW(A6)),1),"")</f>
        <v>System 6 - Packaged VAV with PFP Boxes</v>
      </c>
      <c r="J15" s="129"/>
      <c r="K15" s="1059">
        <v>1.2999999999999999E-3</v>
      </c>
      <c r="L15" s="1064">
        <v>2.0999999999999999E-3</v>
      </c>
      <c r="M15" s="848">
        <v>1</v>
      </c>
      <c r="N15" s="849">
        <v>1</v>
      </c>
      <c r="O15" s="829">
        <v>0</v>
      </c>
      <c r="Q15" s="210">
        <v>5</v>
      </c>
      <c r="R15" s="220">
        <v>3.7</v>
      </c>
      <c r="S15" s="221">
        <v>0.875</v>
      </c>
      <c r="T15" s="221">
        <v>0.89500000000000002</v>
      </c>
      <c r="U15" s="241">
        <f t="shared" si="1"/>
        <v>0.83351955307262571</v>
      </c>
      <c r="Y15" s="1146" t="s">
        <v>113</v>
      </c>
      <c r="Z15" s="1106"/>
      <c r="AA15" s="1107" t="s">
        <v>1924</v>
      </c>
      <c r="AB15" s="1108" t="s">
        <v>1920</v>
      </c>
      <c r="AC15" s="1108" t="str">
        <f t="shared" si="0"/>
        <v>System 3 - PSZ-AC≥760,000 Btu/h</v>
      </c>
      <c r="AD15" s="957">
        <v>9.5</v>
      </c>
      <c r="AE15" s="929" t="s">
        <v>2213</v>
      </c>
      <c r="AF15" s="929">
        <v>11</v>
      </c>
      <c r="AG15" s="930" t="s">
        <v>1921</v>
      </c>
    </row>
    <row r="16" spans="1:36" s="181" customFormat="1" ht="33" customHeight="1" x14ac:dyDescent="0.25">
      <c r="A16" s="1109" t="str">
        <f t="shared" si="2"/>
        <v>System 7 - VAV with Reheat</v>
      </c>
      <c r="B16" s="1109" t="s">
        <v>117</v>
      </c>
      <c r="C16" s="1109" t="s">
        <v>135</v>
      </c>
      <c r="D16" s="1109" t="s">
        <v>139</v>
      </c>
      <c r="E16" s="1109" t="s">
        <v>846</v>
      </c>
      <c r="F16" s="1110" t="str">
        <f>""</f>
        <v/>
      </c>
      <c r="G16" s="1111">
        <v>7</v>
      </c>
      <c r="H16" s="1112" t="str">
        <f t="array" aca="1" ref="H16" ca="1">IFERROR(INDEX($A$10:$A$19,SMALL((IF(LEN($A$10:$A$19),ROW(INDIRECT("1:"&amp;ROWS($A$10:$A$19))))),ROW(A7)),1),"")</f>
        <v>System 7 - VAV with Reheat</v>
      </c>
      <c r="I16" s="1113" t="str">
        <f t="array" aca="1" ref="I16" ca="1">IFERROR(INDEX($A$10:$A$32,SMALL((IF(LEN($A$10:$A$32),ROW(INDIRECT("1:"&amp;ROWS($A$10:$A$32))))),ROW(A7)),1),"")</f>
        <v>System 7 - VAV with Reheat</v>
      </c>
      <c r="J16" s="129"/>
      <c r="K16" s="1059">
        <v>1.2999999999999999E-3</v>
      </c>
      <c r="L16" s="1064">
        <v>2.0999999999999999E-3</v>
      </c>
      <c r="M16" s="848">
        <v>1</v>
      </c>
      <c r="N16" s="849">
        <v>1</v>
      </c>
      <c r="O16" s="829">
        <v>0</v>
      </c>
      <c r="Q16" s="210">
        <v>7.5</v>
      </c>
      <c r="R16" s="220">
        <v>5.6</v>
      </c>
      <c r="S16" s="850">
        <v>0.88500000000000001</v>
      </c>
      <c r="T16" s="221">
        <v>0.89500000000000002</v>
      </c>
      <c r="U16" s="241">
        <f t="shared" si="1"/>
        <v>0.83351955307262571</v>
      </c>
      <c r="Y16" s="1147" t="s">
        <v>114</v>
      </c>
      <c r="Z16" s="1093" t="s">
        <v>1925</v>
      </c>
      <c r="AA16" s="1094" t="s">
        <v>1917</v>
      </c>
      <c r="AB16" s="1094" t="s">
        <v>569</v>
      </c>
      <c r="AC16" s="1094" t="str">
        <f t="shared" si="0"/>
        <v>System 4 - PSZ-HP&lt;65,000 Btu/h</v>
      </c>
      <c r="AD16" s="955" t="s">
        <v>669</v>
      </c>
      <c r="AE16" s="925" t="s">
        <v>669</v>
      </c>
      <c r="AF16" s="927">
        <v>14</v>
      </c>
      <c r="AG16" s="928" t="s">
        <v>1918</v>
      </c>
    </row>
    <row r="17" spans="1:33" s="181" customFormat="1" ht="33" customHeight="1" x14ac:dyDescent="0.25">
      <c r="A17" s="1109" t="str">
        <f t="shared" si="2"/>
        <v>System 8 - VAV with PFP Boxes</v>
      </c>
      <c r="B17" s="1109" t="s">
        <v>118</v>
      </c>
      <c r="C17" s="1109" t="s">
        <v>1614</v>
      </c>
      <c r="D17" s="1110" t="str">
        <f>""</f>
        <v/>
      </c>
      <c r="E17" s="1110" t="str">
        <f>""</f>
        <v/>
      </c>
      <c r="F17" s="1110" t="str">
        <f>""</f>
        <v/>
      </c>
      <c r="G17" s="1111">
        <v>8</v>
      </c>
      <c r="H17" s="1112" t="str">
        <f t="array" aca="1" ref="H17" ca="1">IFERROR(INDEX($A$10:$A$19,SMALL((IF(LEN($A$10:$A$19),ROW(INDIRECT("1:"&amp;ROWS($A$10:$A$19))))),ROW(A8)),1),"")</f>
        <v>System 8 - VAV with PFP Boxes</v>
      </c>
      <c r="I17" s="1113" t="str">
        <f t="array" aca="1" ref="I17" ca="1">IFERROR(INDEX($A$10:$A$32,SMALL((IF(LEN($A$10:$A$32),ROW(INDIRECT("1:"&amp;ROWS($A$10:$A$32))))),ROW(A8)),1),"")</f>
        <v>System 8 - VAV with PFP Boxes</v>
      </c>
      <c r="J17" s="129"/>
      <c r="K17" s="1059">
        <v>1.2999999999999999E-3</v>
      </c>
      <c r="L17" s="1064">
        <v>2.0999999999999999E-3</v>
      </c>
      <c r="M17" s="848">
        <v>1</v>
      </c>
      <c r="N17" s="849">
        <v>1</v>
      </c>
      <c r="O17" s="829">
        <v>0</v>
      </c>
      <c r="Q17" s="210">
        <v>10</v>
      </c>
      <c r="R17" s="220">
        <v>7.5</v>
      </c>
      <c r="S17" s="221">
        <v>0.89500000000000002</v>
      </c>
      <c r="T17" s="221">
        <v>0.91</v>
      </c>
      <c r="U17" s="241">
        <f t="shared" si="1"/>
        <v>0.81978021978021975</v>
      </c>
      <c r="Y17" s="1146" t="s">
        <v>114</v>
      </c>
      <c r="Z17" s="1092"/>
      <c r="AA17" s="1117" t="s">
        <v>1919</v>
      </c>
      <c r="AB17" s="1094" t="s">
        <v>569</v>
      </c>
      <c r="AC17" s="1094" t="str">
        <f t="shared" si="0"/>
        <v>System 4 - PSZ-HP≥65,000 Btu/h and
&lt;135,000 Btu/h</v>
      </c>
      <c r="AD17" s="955">
        <v>10.8</v>
      </c>
      <c r="AE17" s="925" t="s">
        <v>2213</v>
      </c>
      <c r="AF17" s="925">
        <v>12</v>
      </c>
      <c r="AG17" s="926" t="s">
        <v>1921</v>
      </c>
    </row>
    <row r="18" spans="1:33" s="181" customFormat="1" ht="33" customHeight="1" x14ac:dyDescent="0.25">
      <c r="A18" s="1109" t="str">
        <f t="shared" si="2"/>
        <v>System 9 - Heating and Ventilation</v>
      </c>
      <c r="B18" s="1109" t="s">
        <v>119</v>
      </c>
      <c r="C18" s="1109" t="s">
        <v>119</v>
      </c>
      <c r="D18" s="1109" t="s">
        <v>140</v>
      </c>
      <c r="E18" s="1109" t="s">
        <v>140</v>
      </c>
      <c r="F18" s="1110" t="str">
        <f>""</f>
        <v/>
      </c>
      <c r="G18" s="1111">
        <v>9</v>
      </c>
      <c r="H18" s="1112" t="str">
        <f t="array" aca="1" ref="H18" ca="1">IFERROR(INDEX($A$10:$A$19,SMALL((IF(LEN($A$10:$A$19),ROW(INDIRECT("1:"&amp;ROWS($A$10:$A$19))))),ROW(A9)),1),"")</f>
        <v>System 9 - Heating and Ventilation</v>
      </c>
      <c r="I18" s="1113" t="str">
        <f t="array" aca="1" ref="I18" ca="1">IFERROR(INDEX($A$10:$A$32,SMALL((IF(LEN($A$10:$A$32),ROW(INDIRECT("1:"&amp;ROWS($A$10:$A$32))))),ROW(A9)),1),"")</f>
        <v>System 9 - Heating and Ventilation</v>
      </c>
      <c r="J18" s="129"/>
      <c r="K18" s="1059">
        <v>2.9999999999999997E-4</v>
      </c>
      <c r="L18" s="1064">
        <v>6.4000000000000005E-4</v>
      </c>
      <c r="M18" s="848">
        <v>0</v>
      </c>
      <c r="N18" s="849">
        <v>0</v>
      </c>
      <c r="O18" s="829">
        <v>5.3999999999999998E-5</v>
      </c>
      <c r="Q18" s="210">
        <v>15</v>
      </c>
      <c r="R18" s="220">
        <v>11.1</v>
      </c>
      <c r="S18" s="221">
        <v>0.91</v>
      </c>
      <c r="T18" s="221">
        <v>0.91</v>
      </c>
      <c r="U18" s="241">
        <f t="shared" si="1"/>
        <v>0.81978021978021975</v>
      </c>
      <c r="Y18" s="1146" t="s">
        <v>114</v>
      </c>
      <c r="Z18" s="1092"/>
      <c r="AA18" s="1117" t="s">
        <v>1922</v>
      </c>
      <c r="AB18" s="1094" t="s">
        <v>569</v>
      </c>
      <c r="AC18" s="1094" t="str">
        <f t="shared" si="0"/>
        <v>System 4 - PSZ-HP≥135,000 Btu/h and
&lt;240,000 Btu/h</v>
      </c>
      <c r="AD18" s="955">
        <v>10.4</v>
      </c>
      <c r="AE18" s="925" t="s">
        <v>2213</v>
      </c>
      <c r="AF18" s="925">
        <v>11.4</v>
      </c>
      <c r="AG18" s="926" t="s">
        <v>1921</v>
      </c>
    </row>
    <row r="19" spans="1:33" s="181" customFormat="1" ht="33" customHeight="1" x14ac:dyDescent="0.25">
      <c r="A19" s="1109" t="str">
        <f t="shared" si="2"/>
        <v>System 10 - Heating and Ventilation</v>
      </c>
      <c r="B19" s="1109" t="s">
        <v>120</v>
      </c>
      <c r="C19" s="1109" t="s">
        <v>120</v>
      </c>
      <c r="D19" s="1110" t="str">
        <f>""</f>
        <v/>
      </c>
      <c r="E19" s="1110" t="str">
        <f>""</f>
        <v/>
      </c>
      <c r="F19" s="1110" t="str">
        <f>""</f>
        <v/>
      </c>
      <c r="G19" s="1111">
        <v>10</v>
      </c>
      <c r="H19" s="1112" t="str">
        <f t="array" aca="1" ref="H19" ca="1">IFERROR(INDEX($A$10:$A$19,SMALL((IF(LEN($A$10:$A$19),ROW(INDIRECT("1:"&amp;ROWS($A$10:$A$19))))),ROW(A10)),1),"")</f>
        <v>System 10 - Heating and Ventilation</v>
      </c>
      <c r="I19" s="1113" t="str">
        <f t="array" aca="1" ref="I19" ca="1">IFERROR(INDEX($A$10:$A$32,SMALL((IF(LEN($A$10:$A$32),ROW(INDIRECT("1:"&amp;ROWS($A$10:$A$32))))),ROW(A10)),1),"")</f>
        <v>System 10 - Heating and Ventilation</v>
      </c>
      <c r="J19" s="129"/>
      <c r="K19" s="1059">
        <v>2.9999999999999997E-4</v>
      </c>
      <c r="L19" s="1064">
        <v>6.4000000000000005E-4</v>
      </c>
      <c r="M19" s="848">
        <v>0</v>
      </c>
      <c r="N19" s="849">
        <v>0</v>
      </c>
      <c r="O19" s="829">
        <v>5.3999999999999998E-5</v>
      </c>
      <c r="Q19" s="210">
        <v>20</v>
      </c>
      <c r="R19" s="220">
        <v>14.9</v>
      </c>
      <c r="S19" s="221">
        <v>0.91</v>
      </c>
      <c r="T19" s="221">
        <v>0.92400000000000004</v>
      </c>
      <c r="U19" s="241">
        <f t="shared" si="1"/>
        <v>0.80735930735930728</v>
      </c>
      <c r="Y19" s="1146" t="s">
        <v>114</v>
      </c>
      <c r="Z19" s="1106"/>
      <c r="AA19" s="1107" t="s">
        <v>1926</v>
      </c>
      <c r="AB19" s="1108" t="s">
        <v>569</v>
      </c>
      <c r="AC19" s="1108" t="str">
        <f t="shared" si="0"/>
        <v>System 4 - PSZ-HP≥240,000 Btu/h</v>
      </c>
      <c r="AD19" s="957">
        <v>9.3000000000000007</v>
      </c>
      <c r="AE19" s="929" t="s">
        <v>2213</v>
      </c>
      <c r="AF19" s="929">
        <v>0.4</v>
      </c>
      <c r="AG19" s="930" t="s">
        <v>1921</v>
      </c>
    </row>
    <row r="20" spans="1:33" s="181" customFormat="1" ht="33" customHeight="1" x14ac:dyDescent="0.25">
      <c r="A20" s="1109" t="s">
        <v>1852</v>
      </c>
      <c r="B20" s="1109" t="s">
        <v>1852</v>
      </c>
      <c r="C20" s="1109" t="s">
        <v>1950</v>
      </c>
      <c r="D20" s="1109" t="s">
        <v>1953</v>
      </c>
      <c r="E20" s="1109" t="s">
        <v>1956</v>
      </c>
      <c r="F20" s="1110" t="str">
        <f>""</f>
        <v/>
      </c>
      <c r="G20" s="1111">
        <v>11</v>
      </c>
      <c r="H20" s="1112" t="str">
        <f>A20</f>
        <v>System 11 - SZ-VAV</v>
      </c>
      <c r="I20" s="1113" t="str">
        <f t="array" aca="1" ref="I20" ca="1">IFERROR(INDEX($A$10:$A$32,SMALL((IF(LEN($A$10:$A$32),ROW(INDIRECT("1:"&amp;ROWS($A$10:$A$32))))),ROW(A11)),1),"")</f>
        <v>System 11 - SZ-VAV</v>
      </c>
      <c r="J20" s="129"/>
      <c r="K20" s="1059">
        <v>6.2E-4</v>
      </c>
      <c r="L20" s="1118">
        <v>1.3226666666666669E-3</v>
      </c>
      <c r="M20" s="848">
        <v>1</v>
      </c>
      <c r="N20" s="849">
        <v>1</v>
      </c>
      <c r="O20" s="829">
        <v>0</v>
      </c>
      <c r="Q20" s="210">
        <v>25</v>
      </c>
      <c r="R20" s="220">
        <v>18.7</v>
      </c>
      <c r="S20" s="850">
        <v>0.91700000000000004</v>
      </c>
      <c r="T20" s="221">
        <v>0.92400000000000004</v>
      </c>
      <c r="U20" s="241">
        <f t="shared" si="1"/>
        <v>0.80735930735930728</v>
      </c>
      <c r="Y20" s="1147" t="s">
        <v>115</v>
      </c>
      <c r="Z20" s="1093" t="s">
        <v>1916</v>
      </c>
      <c r="AA20" s="1094" t="s">
        <v>1917</v>
      </c>
      <c r="AB20" s="1094" t="s">
        <v>569</v>
      </c>
      <c r="AC20" s="1094" t="str">
        <f t="shared" si="0"/>
        <v>System 5 - Packaged VAV with Reheat&lt;65,000 Btu/h</v>
      </c>
      <c r="AD20" s="955" t="s">
        <v>669</v>
      </c>
      <c r="AE20" s="925" t="s">
        <v>669</v>
      </c>
      <c r="AF20" s="925">
        <v>14</v>
      </c>
      <c r="AG20" s="926" t="s">
        <v>1918</v>
      </c>
    </row>
    <row r="21" spans="1:33" s="181" customFormat="1" ht="33" customHeight="1" x14ac:dyDescent="0.25">
      <c r="A21" s="1109" t="s">
        <v>1853</v>
      </c>
      <c r="B21" s="1109" t="s">
        <v>1853</v>
      </c>
      <c r="C21" s="1109" t="s">
        <v>1951</v>
      </c>
      <c r="D21" s="1109" t="s">
        <v>1954</v>
      </c>
      <c r="E21" s="1109" t="s">
        <v>1957</v>
      </c>
      <c r="F21" s="1110" t="str">
        <f>""</f>
        <v/>
      </c>
      <c r="G21" s="1111">
        <v>12</v>
      </c>
      <c r="H21" s="1112" t="str">
        <f>A21</f>
        <v>System 12 - SZ-CV-HW</v>
      </c>
      <c r="I21" s="1113" t="str">
        <f t="array" aca="1" ref="I21" ca="1">IFERROR(INDEX($A$10:$A$32,SMALL((IF(LEN($A$10:$A$32),ROW(INDIRECT("1:"&amp;ROWS($A$10:$A$32))))),ROW(A12)),1),"")</f>
        <v>System 12 - SZ-CV-HW</v>
      </c>
      <c r="J21" s="129"/>
      <c r="K21" s="829">
        <v>9.3999999999999997E-4</v>
      </c>
      <c r="L21" s="1118">
        <v>2.0053333333333338E-3</v>
      </c>
      <c r="M21" s="848">
        <v>1</v>
      </c>
      <c r="N21" s="849">
        <v>1</v>
      </c>
      <c r="O21" s="829">
        <v>0</v>
      </c>
      <c r="Q21" s="210">
        <v>30</v>
      </c>
      <c r="R21" s="220">
        <v>22.4</v>
      </c>
      <c r="S21" s="221">
        <v>0.92400000000000004</v>
      </c>
      <c r="T21" s="221">
        <v>0.93</v>
      </c>
      <c r="U21" s="241">
        <f t="shared" si="1"/>
        <v>0.80215053763440858</v>
      </c>
      <c r="Y21" s="1146" t="s">
        <v>115</v>
      </c>
      <c r="Z21" s="1092"/>
      <c r="AA21" s="1117" t="s">
        <v>1919</v>
      </c>
      <c r="AB21" s="1094" t="s">
        <v>1920</v>
      </c>
      <c r="AC21" s="1094" t="str">
        <f t="shared" si="0"/>
        <v>System 5 - Packaged VAV with Reheat≥65,000 Btu/h and
&lt;135,000 Btu/h</v>
      </c>
      <c r="AD21" s="956">
        <v>11</v>
      </c>
      <c r="AE21" s="927" t="s">
        <v>2213</v>
      </c>
      <c r="AF21" s="925">
        <v>12.7</v>
      </c>
      <c r="AG21" s="926" t="s">
        <v>1921</v>
      </c>
    </row>
    <row r="22" spans="1:33" s="181" customFormat="1" ht="33" customHeight="1" x14ac:dyDescent="0.25">
      <c r="A22" s="1109" t="s">
        <v>1854</v>
      </c>
      <c r="B22" s="1109" t="s">
        <v>1854</v>
      </c>
      <c r="C22" s="1109" t="s">
        <v>1952</v>
      </c>
      <c r="D22" s="1109" t="s">
        <v>1955</v>
      </c>
      <c r="E22" s="1109" t="s">
        <v>1958</v>
      </c>
      <c r="F22" s="1110" t="str">
        <f>""</f>
        <v/>
      </c>
      <c r="G22" s="1111">
        <v>13</v>
      </c>
      <c r="H22" s="1112" t="str">
        <f>A22</f>
        <v>System 13 - SZ-CV-ER</v>
      </c>
      <c r="I22" s="1113" t="str">
        <f t="array" aca="1" ref="I22" ca="1">IFERROR(INDEX($A$10:$A$32,SMALL((IF(LEN($A$10:$A$32),ROW(INDIRECT("1:"&amp;ROWS($A$10:$A$32))))),ROW(A13)),1),"")</f>
        <v>System 13 - SZ-CV-ER</v>
      </c>
      <c r="J22" s="129"/>
      <c r="K22" s="829">
        <v>9.3999999999999997E-4</v>
      </c>
      <c r="L22" s="1118">
        <v>2.0053333333333338E-3</v>
      </c>
      <c r="M22" s="848">
        <v>1</v>
      </c>
      <c r="N22" s="849">
        <v>1</v>
      </c>
      <c r="O22" s="829">
        <v>0</v>
      </c>
      <c r="Q22" s="210">
        <v>40</v>
      </c>
      <c r="R22" s="220">
        <v>29.8</v>
      </c>
      <c r="S22" s="221">
        <v>0.93</v>
      </c>
      <c r="T22" s="221">
        <v>0.93</v>
      </c>
      <c r="U22" s="241">
        <f t="shared" si="1"/>
        <v>0.80215053763440858</v>
      </c>
      <c r="Y22" s="1146" t="s">
        <v>115</v>
      </c>
      <c r="Z22" s="1092"/>
      <c r="AA22" s="1117" t="s">
        <v>1922</v>
      </c>
      <c r="AB22" s="1094" t="s">
        <v>1920</v>
      </c>
      <c r="AC22" s="1094" t="str">
        <f t="shared" si="0"/>
        <v>System 5 - Packaged VAV with Reheat≥135,000 Btu/h and
&lt;240,000 Btu/h</v>
      </c>
      <c r="AD22" s="956">
        <v>10.8</v>
      </c>
      <c r="AE22" s="927" t="s">
        <v>2213</v>
      </c>
      <c r="AF22" s="925">
        <v>12.2</v>
      </c>
      <c r="AG22" s="926" t="s">
        <v>1921</v>
      </c>
    </row>
    <row r="23" spans="1:33" s="181" customFormat="1" ht="33" customHeight="1" x14ac:dyDescent="0.25">
      <c r="A23" s="1109"/>
      <c r="B23" s="1110"/>
      <c r="C23" s="1109" t="s">
        <v>111</v>
      </c>
      <c r="D23" s="1109" t="s">
        <v>111</v>
      </c>
      <c r="E23" s="1109" t="s">
        <v>111</v>
      </c>
      <c r="F23" s="1110" t="str">
        <f>""</f>
        <v/>
      </c>
      <c r="G23" s="1111">
        <v>1</v>
      </c>
      <c r="H23" s="1112"/>
      <c r="I23" s="1112"/>
      <c r="J23" s="129"/>
      <c r="K23" s="1052">
        <v>2.9999999999999997E-4</v>
      </c>
      <c r="L23" s="1064">
        <v>6.4000000000000005E-4</v>
      </c>
      <c r="M23" s="848">
        <v>0</v>
      </c>
      <c r="N23" s="849">
        <v>0</v>
      </c>
      <c r="O23" s="829">
        <v>0</v>
      </c>
      <c r="Q23" s="210">
        <v>50</v>
      </c>
      <c r="R23" s="220">
        <v>37.299999999999997</v>
      </c>
      <c r="S23" s="221">
        <v>0.93</v>
      </c>
      <c r="T23" s="221">
        <v>0.93600000000000005</v>
      </c>
      <c r="U23" s="241">
        <f t="shared" si="1"/>
        <v>0.79700854700854695</v>
      </c>
      <c r="Y23" s="1146" t="s">
        <v>115</v>
      </c>
      <c r="Z23" s="1092"/>
      <c r="AA23" s="1117" t="s">
        <v>1923</v>
      </c>
      <c r="AB23" s="1094" t="s">
        <v>1920</v>
      </c>
      <c r="AC23" s="1094" t="str">
        <f t="shared" si="0"/>
        <v>System 5 - Packaged VAV with Reheat≥240,000 Btu/h and
&lt;760,000 Btu/h</v>
      </c>
      <c r="AD23" s="956">
        <v>9.8000000000000007</v>
      </c>
      <c r="AE23" s="927" t="s">
        <v>2213</v>
      </c>
      <c r="AF23" s="927">
        <v>11.4</v>
      </c>
      <c r="AG23" s="928" t="s">
        <v>1921</v>
      </c>
    </row>
    <row r="24" spans="1:33" s="181" customFormat="1" ht="33" customHeight="1" x14ac:dyDescent="0.25">
      <c r="A24" s="1109"/>
      <c r="B24" s="1110"/>
      <c r="C24" s="1109" t="s">
        <v>112</v>
      </c>
      <c r="D24" s="1109" t="s">
        <v>112</v>
      </c>
      <c r="E24" s="1109" t="s">
        <v>112</v>
      </c>
      <c r="F24" s="1110" t="str">
        <f>""</f>
        <v/>
      </c>
      <c r="G24" s="1111">
        <v>2</v>
      </c>
      <c r="H24" s="1112"/>
      <c r="I24" s="1112"/>
      <c r="J24" s="129"/>
      <c r="K24" s="1059">
        <v>2.9999999999999997E-4</v>
      </c>
      <c r="L24" s="1064">
        <v>6.4000000000000005E-4</v>
      </c>
      <c r="M24" s="848">
        <v>0</v>
      </c>
      <c r="N24" s="849">
        <v>0</v>
      </c>
      <c r="O24" s="829">
        <v>0</v>
      </c>
      <c r="Q24" s="210">
        <v>60</v>
      </c>
      <c r="R24" s="220">
        <v>44.8</v>
      </c>
      <c r="S24" s="221">
        <v>0.93600000000000005</v>
      </c>
      <c r="T24" s="221">
        <v>0.94099999999999995</v>
      </c>
      <c r="U24" s="241">
        <f t="shared" si="1"/>
        <v>0.7927736450584485</v>
      </c>
      <c r="Y24" s="1145" t="s">
        <v>115</v>
      </c>
      <c r="Z24" s="1106"/>
      <c r="AA24" s="1107" t="s">
        <v>1924</v>
      </c>
      <c r="AB24" s="1108" t="s">
        <v>1920</v>
      </c>
      <c r="AC24" s="1108" t="str">
        <f t="shared" si="0"/>
        <v>System 5 - Packaged VAV with Reheat≥760,000 Btu/h</v>
      </c>
      <c r="AD24" s="957">
        <v>9.5</v>
      </c>
      <c r="AE24" s="929" t="s">
        <v>2213</v>
      </c>
      <c r="AF24" s="929">
        <v>11</v>
      </c>
      <c r="AG24" s="930" t="s">
        <v>1921</v>
      </c>
    </row>
    <row r="25" spans="1:33" s="181" customFormat="1" ht="33" customHeight="1" x14ac:dyDescent="0.25">
      <c r="A25" s="1109"/>
      <c r="B25" s="1110"/>
      <c r="C25" s="1109" t="s">
        <v>113</v>
      </c>
      <c r="D25" s="1109" t="s">
        <v>113</v>
      </c>
      <c r="E25" s="1109" t="s">
        <v>113</v>
      </c>
      <c r="F25" s="1110" t="str">
        <f>""</f>
        <v/>
      </c>
      <c r="G25" s="1111">
        <v>3</v>
      </c>
      <c r="H25" s="1112"/>
      <c r="I25" s="1112"/>
      <c r="J25" s="129"/>
      <c r="K25" s="1059">
        <v>9.3999999999999997E-4</v>
      </c>
      <c r="L25" s="1064">
        <v>1.5E-3</v>
      </c>
      <c r="M25" s="848">
        <v>1</v>
      </c>
      <c r="N25" s="849">
        <v>1</v>
      </c>
      <c r="O25" s="829">
        <v>0</v>
      </c>
      <c r="Q25" s="210">
        <v>75</v>
      </c>
      <c r="R25" s="220">
        <v>56</v>
      </c>
      <c r="S25" s="221">
        <v>0.94099999999999995</v>
      </c>
      <c r="T25" s="221">
        <v>0.94499999999999995</v>
      </c>
      <c r="U25" s="241">
        <f t="shared" si="1"/>
        <v>0.78941798941798946</v>
      </c>
      <c r="Y25" s="1146" t="s">
        <v>116</v>
      </c>
      <c r="Z25" s="1093" t="s">
        <v>1916</v>
      </c>
      <c r="AA25" s="1094" t="s">
        <v>1917</v>
      </c>
      <c r="AB25" s="1094" t="s">
        <v>569</v>
      </c>
      <c r="AC25" s="1094" t="str">
        <f t="shared" si="0"/>
        <v>System 6 - Packaged VAV with PFP Boxes&lt;65,000 Btu/h</v>
      </c>
      <c r="AD25" s="955" t="s">
        <v>669</v>
      </c>
      <c r="AE25" s="925" t="s">
        <v>669</v>
      </c>
      <c r="AF25" s="927">
        <v>13</v>
      </c>
      <c r="AG25" s="928" t="s">
        <v>1918</v>
      </c>
    </row>
    <row r="26" spans="1:33" s="181" customFormat="1" ht="33" customHeight="1" x14ac:dyDescent="0.25">
      <c r="A26" s="1109" t="str">
        <f t="shared" ref="A26:A32" si="3">IF($C$8=TRUE,C23,IF($D$8=TRUE,D23,IF($E$8=TRUE,E23,IF($F$8=TRUE,F23,B26))))</f>
        <v/>
      </c>
      <c r="B26" s="1110" t="str">
        <f>""</f>
        <v/>
      </c>
      <c r="C26" s="1109" t="s">
        <v>114</v>
      </c>
      <c r="D26" s="1109" t="s">
        <v>114</v>
      </c>
      <c r="E26" s="1109" t="s">
        <v>114</v>
      </c>
      <c r="F26" s="1110" t="str">
        <f>""</f>
        <v/>
      </c>
      <c r="G26" s="1111">
        <v>4</v>
      </c>
      <c r="H26" s="1112" t="str">
        <f t="array" aca="1" ref="H26" ca="1">IFERROR(INDEX($A$10:$A$19,SMALL((IF(LEN($A$10:$A$19),ROW(INDIRECT("1:"&amp;ROWS($A$10:$A$19))))),ROW(A14)),1),"")</f>
        <v/>
      </c>
      <c r="I26" s="1113" t="str">
        <f t="array" aca="1" ref="I26" ca="1">IFERROR(INDEX($A$10:$A$32,SMALL((IF(LEN($A$10:$A$32),ROW(INDIRECT("1:"&amp;ROWS($A$10:$A$32))))),ROW(A14)),1),"")</f>
        <v/>
      </c>
      <c r="J26" s="129"/>
      <c r="K26" s="1059">
        <v>9.3999999999999997E-4</v>
      </c>
      <c r="L26" s="1064">
        <v>1.5E-3</v>
      </c>
      <c r="M26" s="848">
        <v>1</v>
      </c>
      <c r="N26" s="849">
        <v>1</v>
      </c>
      <c r="O26" s="829">
        <v>0</v>
      </c>
      <c r="Q26" s="210">
        <v>100</v>
      </c>
      <c r="R26" s="220">
        <v>74.599999999999994</v>
      </c>
      <c r="S26" s="850">
        <v>0.94099999999999995</v>
      </c>
      <c r="T26" s="221">
        <v>0.94499999999999995</v>
      </c>
      <c r="U26" s="241">
        <f t="shared" si="1"/>
        <v>0.78941798941798946</v>
      </c>
      <c r="Y26" s="1146" t="s">
        <v>116</v>
      </c>
      <c r="Z26" s="1092"/>
      <c r="AA26" s="1117" t="s">
        <v>1919</v>
      </c>
      <c r="AB26" s="1094" t="s">
        <v>1920</v>
      </c>
      <c r="AC26" s="1094" t="str">
        <f t="shared" si="0"/>
        <v>System 6 - Packaged VAV with PFP Boxes≥65,000 Btu/h and
&lt;135,000 Btu/h</v>
      </c>
      <c r="AD26" s="956">
        <v>11.2</v>
      </c>
      <c r="AE26" s="927" t="s">
        <v>2213</v>
      </c>
      <c r="AF26" s="925">
        <v>12.9</v>
      </c>
      <c r="AG26" s="926" t="s">
        <v>1921</v>
      </c>
    </row>
    <row r="27" spans="1:33" s="181" customFormat="1" ht="33" customHeight="1" x14ac:dyDescent="0.25">
      <c r="A27" s="1109" t="str">
        <f t="shared" si="3"/>
        <v/>
      </c>
      <c r="B27" s="1110" t="str">
        <f>""</f>
        <v/>
      </c>
      <c r="C27" s="1109" t="s">
        <v>115</v>
      </c>
      <c r="D27" s="1109" t="s">
        <v>115</v>
      </c>
      <c r="E27" s="1109" t="s">
        <v>115</v>
      </c>
      <c r="F27" s="1110" t="str">
        <f>""</f>
        <v/>
      </c>
      <c r="G27" s="1111">
        <v>5</v>
      </c>
      <c r="H27" s="1112" t="str">
        <f t="array" aca="1" ref="H27" ca="1">IFERROR(INDEX($A$10:$A$19,SMALL((IF(LEN($A$10:$A$19),ROW(INDIRECT("1:"&amp;ROWS($A$10:$A$19))))),ROW(A15)),1),"")</f>
        <v/>
      </c>
      <c r="I27" s="1113" t="str">
        <f t="array" aca="1" ref="I27" ca="1">IFERROR(INDEX($A$10:$A$32,SMALL((IF(LEN($A$10:$A$32),ROW(INDIRECT("1:"&amp;ROWS($A$10:$A$32))))),ROW(A15)),1),"")</f>
        <v/>
      </c>
      <c r="J27" s="129"/>
      <c r="K27" s="1059">
        <v>1.2999999999999999E-3</v>
      </c>
      <c r="L27" s="1064">
        <v>2.0999999999999999E-3</v>
      </c>
      <c r="M27" s="848">
        <v>1</v>
      </c>
      <c r="N27" s="849">
        <v>1</v>
      </c>
      <c r="O27" s="829">
        <v>0</v>
      </c>
      <c r="Q27" s="210">
        <v>125</v>
      </c>
      <c r="R27" s="220">
        <v>93.3</v>
      </c>
      <c r="S27" s="221">
        <v>0.94499999999999995</v>
      </c>
      <c r="T27" s="221">
        <v>0.95</v>
      </c>
      <c r="U27" s="241">
        <f t="shared" si="1"/>
        <v>0.78526315789473689</v>
      </c>
      <c r="Y27" s="1146" t="s">
        <v>116</v>
      </c>
      <c r="Z27" s="1092"/>
      <c r="AA27" s="1117" t="s">
        <v>1922</v>
      </c>
      <c r="AB27" s="1094" t="s">
        <v>1920</v>
      </c>
      <c r="AC27" s="1094" t="str">
        <f t="shared" si="0"/>
        <v>System 6 - Packaged VAV with PFP Boxes≥135,000 Btu/h and
&lt;240,000 Btu/h</v>
      </c>
      <c r="AD27" s="956">
        <v>11</v>
      </c>
      <c r="AE27" s="927" t="s">
        <v>2213</v>
      </c>
      <c r="AF27" s="925">
        <v>12.4</v>
      </c>
      <c r="AG27" s="926" t="s">
        <v>1921</v>
      </c>
    </row>
    <row r="28" spans="1:33" s="181" customFormat="1" ht="33" customHeight="1" x14ac:dyDescent="0.25">
      <c r="A28" s="1109" t="str">
        <f t="shared" si="3"/>
        <v/>
      </c>
      <c r="B28" s="1110" t="str">
        <f>""</f>
        <v/>
      </c>
      <c r="C28" s="1109" t="s">
        <v>116</v>
      </c>
      <c r="D28" s="1109" t="s">
        <v>116</v>
      </c>
      <c r="E28" s="1109" t="s">
        <v>116</v>
      </c>
      <c r="F28" s="1110" t="str">
        <f>""</f>
        <v/>
      </c>
      <c r="G28" s="1111">
        <v>6</v>
      </c>
      <c r="H28" s="1112" t="str">
        <f t="array" aca="1" ref="H28" ca="1">IFERROR(INDEX($A$10:$A$19,SMALL((IF(LEN($A$10:$A$19),ROW(INDIRECT("1:"&amp;ROWS($A$10:$A$19))))),ROW(A16)),1),"")</f>
        <v/>
      </c>
      <c r="I28" s="1113" t="str">
        <f t="array" aca="1" ref="I28" ca="1">IFERROR(INDEX($A$10:$A$32,SMALL((IF(LEN($A$10:$A$32),ROW(INDIRECT("1:"&amp;ROWS($A$10:$A$32))))),ROW(A16)),1),"")</f>
        <v/>
      </c>
      <c r="J28" s="129"/>
      <c r="K28" s="1059">
        <v>1.2999999999999999E-3</v>
      </c>
      <c r="L28" s="1064">
        <v>2.0999999999999999E-3</v>
      </c>
      <c r="M28" s="848">
        <v>1</v>
      </c>
      <c r="N28" s="849">
        <v>1</v>
      </c>
      <c r="O28" s="829">
        <v>0</v>
      </c>
      <c r="Q28" s="210">
        <v>150</v>
      </c>
      <c r="R28" s="220">
        <v>111.9</v>
      </c>
      <c r="S28" s="221">
        <v>0.95</v>
      </c>
      <c r="T28" s="221">
        <v>0.95</v>
      </c>
      <c r="U28" s="241">
        <f t="shared" si="1"/>
        <v>0.78526315789473689</v>
      </c>
      <c r="Y28" s="1146" t="s">
        <v>116</v>
      </c>
      <c r="Z28" s="1092"/>
      <c r="AA28" s="1117" t="s">
        <v>1923</v>
      </c>
      <c r="AB28" s="1094" t="s">
        <v>1920</v>
      </c>
      <c r="AC28" s="1094" t="str">
        <f t="shared" si="0"/>
        <v>System 6 - Packaged VAV with PFP Boxes≥240,000 Btu/h and
&lt;760,000 Btu/h</v>
      </c>
      <c r="AD28" s="956">
        <v>10</v>
      </c>
      <c r="AE28" s="927" t="s">
        <v>2213</v>
      </c>
      <c r="AF28" s="927">
        <v>11.6</v>
      </c>
      <c r="AG28" s="928" t="s">
        <v>1921</v>
      </c>
    </row>
    <row r="29" spans="1:33" s="181" customFormat="1" ht="33" customHeight="1" x14ac:dyDescent="0.25">
      <c r="A29" s="1109" t="str">
        <f t="shared" si="3"/>
        <v/>
      </c>
      <c r="B29" s="1110" t="str">
        <f>""</f>
        <v/>
      </c>
      <c r="C29" s="1109" t="s">
        <v>117</v>
      </c>
      <c r="D29" s="1109" t="s">
        <v>117</v>
      </c>
      <c r="E29" s="1109" t="s">
        <v>117</v>
      </c>
      <c r="F29" s="1110" t="str">
        <f>""</f>
        <v/>
      </c>
      <c r="G29" s="1111">
        <v>7</v>
      </c>
      <c r="H29" s="1112" t="str">
        <f t="array" aca="1" ref="H29" ca="1">IFERROR(INDEX($A$10:$A$19,SMALL((IF(LEN($A$10:$A$19),ROW(INDIRECT("1:"&amp;ROWS($A$10:$A$19))))),ROW(A17)),1),"")</f>
        <v/>
      </c>
      <c r="I29" s="1113" t="str">
        <f t="array" aca="1" ref="I29" ca="1">IFERROR(INDEX($A$10:$A$32,SMALL((IF(LEN($A$10:$A$32),ROW(INDIRECT("1:"&amp;ROWS($A$10:$A$32))))),ROW(A17)),1),"")</f>
        <v/>
      </c>
      <c r="J29" s="129"/>
      <c r="K29" s="1059">
        <v>1.2999999999999999E-3</v>
      </c>
      <c r="L29" s="1064">
        <v>2.0999999999999999E-3</v>
      </c>
      <c r="M29" s="848">
        <v>1</v>
      </c>
      <c r="N29" s="849">
        <v>1</v>
      </c>
      <c r="O29" s="829">
        <v>0</v>
      </c>
      <c r="Q29" s="226">
        <v>200</v>
      </c>
      <c r="R29" s="227">
        <v>149.19999999999999</v>
      </c>
      <c r="S29" s="228">
        <v>0.95</v>
      </c>
      <c r="T29" s="228">
        <v>0.95</v>
      </c>
      <c r="U29" s="241">
        <f t="shared" si="1"/>
        <v>0.78526315789473689</v>
      </c>
      <c r="Y29" s="1145" t="s">
        <v>116</v>
      </c>
      <c r="Z29" s="1106"/>
      <c r="AA29" s="1107" t="s">
        <v>1924</v>
      </c>
      <c r="AB29" s="1108" t="s">
        <v>1920</v>
      </c>
      <c r="AC29" s="1108" t="str">
        <f t="shared" si="0"/>
        <v>System 6 - Packaged VAV with PFP Boxes≥760,000 Btu/h</v>
      </c>
      <c r="AD29" s="957">
        <v>9.6999999999999993</v>
      </c>
      <c r="AE29" s="929" t="s">
        <v>2213</v>
      </c>
      <c r="AF29" s="929">
        <v>11.2</v>
      </c>
      <c r="AG29" s="930" t="s">
        <v>1921</v>
      </c>
    </row>
    <row r="30" spans="1:33" ht="30.75" customHeight="1" x14ac:dyDescent="0.25">
      <c r="A30" s="1109" t="str">
        <f t="shared" si="3"/>
        <v/>
      </c>
      <c r="B30" s="1110" t="str">
        <f>""</f>
        <v/>
      </c>
      <c r="C30" s="1109" t="s">
        <v>118</v>
      </c>
      <c r="D30" s="1109" t="s">
        <v>118</v>
      </c>
      <c r="E30" s="1109" t="s">
        <v>118</v>
      </c>
      <c r="F30" s="1110" t="str">
        <f>""</f>
        <v/>
      </c>
      <c r="G30" s="1111">
        <v>8</v>
      </c>
      <c r="H30" s="1112" t="str">
        <f t="array" aca="1" ref="H30" ca="1">IFERROR(INDEX($A$10:$A$19,SMALL((IF(LEN($A$10:$A$19),ROW(INDIRECT("1:"&amp;ROWS($A$10:$A$19))))),ROW(A18)),1),"")</f>
        <v/>
      </c>
      <c r="I30" s="1113" t="str">
        <f t="array" aca="1" ref="I30" ca="1">IFERROR(INDEX($A$10:$A$32,SMALL((IF(LEN($A$10:$A$32),ROW(INDIRECT("1:"&amp;ROWS($A$10:$A$32))))),ROW(A18)),1),"")</f>
        <v/>
      </c>
      <c r="K30" s="1059">
        <v>1.2999999999999999E-3</v>
      </c>
      <c r="L30" s="1064">
        <v>2.0999999999999999E-3</v>
      </c>
      <c r="M30" s="848">
        <v>1</v>
      </c>
      <c r="N30" s="849">
        <v>1</v>
      </c>
      <c r="O30" s="829">
        <v>0</v>
      </c>
      <c r="Q30" s="210"/>
      <c r="R30" s="220"/>
      <c r="S30" s="221"/>
      <c r="T30" s="221"/>
      <c r="U30" s="241"/>
      <c r="Y30" s="183"/>
      <c r="Z30" s="183"/>
      <c r="AA30" s="183"/>
      <c r="AB30" s="183"/>
      <c r="AC30" s="183"/>
      <c r="AD30" s="183"/>
      <c r="AE30" s="183"/>
      <c r="AF30" s="183"/>
      <c r="AG30" s="183"/>
    </row>
    <row r="31" spans="1:33" ht="13.8" x14ac:dyDescent="0.25">
      <c r="A31" s="1109" t="str">
        <f t="shared" si="3"/>
        <v/>
      </c>
      <c r="B31" s="1110" t="str">
        <f>""</f>
        <v/>
      </c>
      <c r="C31" s="1122"/>
      <c r="D31" s="1109" t="s">
        <v>119</v>
      </c>
      <c r="E31" s="1109" t="s">
        <v>119</v>
      </c>
      <c r="F31" s="1110" t="str">
        <f>""</f>
        <v/>
      </c>
      <c r="G31" s="1111">
        <v>9</v>
      </c>
      <c r="H31" s="1112" t="str">
        <f t="array" aca="1" ref="H31" ca="1">IFERROR(INDEX($A$10:$A$19,SMALL((IF(LEN($A$10:$A$19),ROW(INDIRECT("1:"&amp;ROWS($A$10:$A$19))))),ROW(A19)),1),"")</f>
        <v/>
      </c>
      <c r="I31" s="1113" t="str">
        <f t="array" aca="1" ref="I31" ca="1">IFERROR(INDEX($A$10:$A$32,SMALL((IF(LEN($A$10:$A$32),ROW(INDIRECT("1:"&amp;ROWS($A$10:$A$32))))),ROW(A19)),1),"")</f>
        <v/>
      </c>
      <c r="K31" s="1059">
        <v>2.9999999999999997E-4</v>
      </c>
      <c r="L31" s="1064">
        <v>6.4000000000000005E-4</v>
      </c>
      <c r="M31" s="848">
        <v>0</v>
      </c>
      <c r="N31" s="849">
        <v>0</v>
      </c>
      <c r="O31" s="829">
        <v>5.3999999999999998E-5</v>
      </c>
      <c r="Q31" s="210"/>
      <c r="R31" s="220"/>
      <c r="S31" s="221"/>
      <c r="T31" s="221"/>
      <c r="U31" s="241"/>
      <c r="Y31" s="183"/>
      <c r="Z31" s="183"/>
      <c r="AA31" s="183"/>
      <c r="AB31" s="183"/>
      <c r="AC31" s="183"/>
      <c r="AD31" s="183"/>
      <c r="AE31" s="183"/>
      <c r="AF31" s="183"/>
      <c r="AG31" s="183"/>
    </row>
    <row r="32" spans="1:33" ht="13.8" x14ac:dyDescent="0.25">
      <c r="A32" s="1122" t="str">
        <f t="shared" si="3"/>
        <v/>
      </c>
      <c r="B32" s="1123" t="str">
        <f>""</f>
        <v/>
      </c>
      <c r="C32" s="1122"/>
      <c r="D32" s="1122" t="s">
        <v>120</v>
      </c>
      <c r="E32" s="1122" t="s">
        <v>120</v>
      </c>
      <c r="F32" s="1123" t="str">
        <f>""</f>
        <v/>
      </c>
      <c r="G32" s="1111">
        <v>10</v>
      </c>
      <c r="H32" s="1112" t="str">
        <f t="array" aca="1" ref="H32" ca="1">IFERROR(INDEX($A$10:$A$19,SMALL((IF(LEN($A$10:$A$19),ROW(INDIRECT("1:"&amp;ROWS($A$10:$A$19))))),ROW(A20)),1),"")</f>
        <v/>
      </c>
      <c r="I32" s="1113" t="str">
        <f t="array" aca="1" ref="I32" ca="1">IFERROR(INDEX($A$10:$A$32,SMALL((IF(LEN($A$10:$A$32),ROW(INDIRECT("1:"&amp;ROWS($A$10:$A$32))))),ROW(A20)),1),"")</f>
        <v/>
      </c>
      <c r="K32" s="1059">
        <v>2.9999999999999997E-4</v>
      </c>
      <c r="L32" s="1124">
        <v>6.4000000000000005E-4</v>
      </c>
      <c r="M32" s="1138">
        <v>0</v>
      </c>
      <c r="N32" s="1139">
        <v>0</v>
      </c>
      <c r="O32" s="832">
        <v>5.3999999999999998E-5</v>
      </c>
      <c r="Q32" s="226"/>
      <c r="R32" s="227"/>
      <c r="S32" s="228"/>
      <c r="T32" s="228"/>
      <c r="U32" s="241"/>
      <c r="X32" s="4"/>
      <c r="Y32" s="931" t="s">
        <v>1904</v>
      </c>
      <c r="Z32" s="932" t="s">
        <v>1905</v>
      </c>
      <c r="AA32" s="932" t="s">
        <v>1906</v>
      </c>
      <c r="AB32" s="932" t="s">
        <v>1907</v>
      </c>
      <c r="AC32" s="932" t="s">
        <v>1908</v>
      </c>
      <c r="AD32" s="932" t="s">
        <v>1927</v>
      </c>
      <c r="AE32" s="933"/>
      <c r="AF32" s="183"/>
      <c r="AG32" s="183"/>
    </row>
    <row r="33" spans="1:33" ht="13.8" x14ac:dyDescent="0.25">
      <c r="A33" s="1122"/>
      <c r="B33" s="1123"/>
      <c r="C33" s="1122" t="s">
        <v>1852</v>
      </c>
      <c r="D33" s="1122" t="s">
        <v>1852</v>
      </c>
      <c r="E33" s="1122" t="s">
        <v>1852</v>
      </c>
      <c r="F33" s="1123"/>
      <c r="G33" s="1111">
        <v>11</v>
      </c>
      <c r="H33" s="1112"/>
      <c r="I33" s="1113"/>
      <c r="K33" s="1059">
        <v>6.2E-4</v>
      </c>
      <c r="L33" s="1133">
        <v>1.3226666666666669E-3</v>
      </c>
      <c r="M33" s="848">
        <v>1</v>
      </c>
      <c r="N33" s="849">
        <v>1</v>
      </c>
      <c r="O33" s="829">
        <v>0</v>
      </c>
      <c r="Q33" s="851"/>
      <c r="R33" s="852"/>
      <c r="S33" s="853"/>
      <c r="T33" s="853"/>
      <c r="U33" s="854"/>
      <c r="X33" s="1184"/>
      <c r="Y33" s="1181" t="s">
        <v>111</v>
      </c>
      <c r="Z33" s="1183" t="s">
        <v>2252</v>
      </c>
      <c r="AA33" s="1183" t="s">
        <v>2255</v>
      </c>
      <c r="AB33" s="1183"/>
      <c r="AC33" s="1182" t="str">
        <f>Y33&amp;AA33</f>
        <v>System 1 - PTAC&lt;300,000 Btu/h</v>
      </c>
      <c r="AD33" s="1183" t="s">
        <v>2260</v>
      </c>
      <c r="AE33" s="1185"/>
      <c r="AF33" s="183"/>
      <c r="AG33" s="183"/>
    </row>
    <row r="34" spans="1:33" ht="28.2" x14ac:dyDescent="0.3">
      <c r="A34" s="1122"/>
      <c r="B34" s="1123"/>
      <c r="C34" s="1122" t="s">
        <v>1853</v>
      </c>
      <c r="D34" s="1122" t="s">
        <v>1853</v>
      </c>
      <c r="E34" s="1122" t="s">
        <v>1853</v>
      </c>
      <c r="F34" s="1123"/>
      <c r="G34" s="1111">
        <v>12</v>
      </c>
      <c r="H34" s="1112"/>
      <c r="I34" s="1113"/>
      <c r="K34" s="829">
        <v>9.3999999999999997E-4</v>
      </c>
      <c r="L34" s="1134">
        <v>2.0053333333333338E-3</v>
      </c>
      <c r="M34" s="848">
        <v>1</v>
      </c>
      <c r="N34" s="849">
        <v>1</v>
      </c>
      <c r="O34" s="829">
        <v>0</v>
      </c>
      <c r="Q34" s="851"/>
      <c r="R34" s="852"/>
      <c r="S34" s="853"/>
      <c r="T34" s="853"/>
      <c r="U34" s="854"/>
      <c r="X34" s="1184"/>
      <c r="Y34" s="934" t="s">
        <v>111</v>
      </c>
      <c r="Z34" s="936"/>
      <c r="AA34" s="935" t="s">
        <v>2256</v>
      </c>
      <c r="AB34" s="936"/>
      <c r="AC34" s="935" t="str">
        <f>Y34&amp;AA34</f>
        <v>System 1 - PTAC≥300,000 Btu/h and
≤2,500,000 Btu/h</v>
      </c>
      <c r="AD34" s="936" t="s">
        <v>629</v>
      </c>
      <c r="AE34" s="937"/>
      <c r="AF34" s="183"/>
      <c r="AG34" s="183"/>
    </row>
    <row r="35" spans="1:33" ht="13.8" x14ac:dyDescent="0.25">
      <c r="A35" s="1122"/>
      <c r="B35" s="1123"/>
      <c r="C35" s="1122" t="s">
        <v>1854</v>
      </c>
      <c r="D35" s="1122" t="s">
        <v>1854</v>
      </c>
      <c r="E35" s="1122" t="s">
        <v>1854</v>
      </c>
      <c r="F35" s="1123"/>
      <c r="G35" s="1111">
        <v>13</v>
      </c>
      <c r="H35" s="1112"/>
      <c r="I35" s="1113"/>
      <c r="K35" s="829">
        <v>9.3999999999999997E-4</v>
      </c>
      <c r="L35" s="1134">
        <v>2.0053333333333338E-3</v>
      </c>
      <c r="M35" s="848">
        <v>1</v>
      </c>
      <c r="N35" s="849">
        <v>1</v>
      </c>
      <c r="O35" s="829">
        <v>0</v>
      </c>
      <c r="Q35" s="851"/>
      <c r="R35" s="852"/>
      <c r="S35" s="853"/>
      <c r="T35" s="853"/>
      <c r="U35" s="854"/>
      <c r="X35" s="1184"/>
      <c r="Y35" s="934" t="s">
        <v>111</v>
      </c>
      <c r="Z35" s="936"/>
      <c r="AA35" s="935" t="s">
        <v>2257</v>
      </c>
      <c r="AB35" s="936"/>
      <c r="AC35" s="935" t="str">
        <f>Y35&amp;AA35</f>
        <v>System 1 - PTAC&gt;2,500,000 Btu/h</v>
      </c>
      <c r="AD35" s="936" t="s">
        <v>628</v>
      </c>
      <c r="AE35" s="937"/>
      <c r="AF35" s="183"/>
      <c r="AG35" s="183"/>
    </row>
    <row r="36" spans="1:33" ht="39" customHeight="1" x14ac:dyDescent="0.25">
      <c r="Q36" s="4360" t="s">
        <v>1855</v>
      </c>
      <c r="R36" s="4360"/>
      <c r="S36" s="4360"/>
      <c r="T36" s="4360"/>
      <c r="U36" s="396"/>
      <c r="X36" s="4"/>
      <c r="Y36" s="1192" t="s">
        <v>112</v>
      </c>
      <c r="Z36" s="1189" t="s">
        <v>1928</v>
      </c>
      <c r="AA36" s="1189" t="s">
        <v>1912</v>
      </c>
      <c r="AB36" s="1190"/>
      <c r="AC36" s="1189" t="str">
        <f t="shared" ref="AC36:AC42" si="4">Y36&amp;AA36</f>
        <v>System 2 - PTHPAll capacities</v>
      </c>
      <c r="AD36" s="1190" t="s">
        <v>1913</v>
      </c>
      <c r="AE36" s="1191"/>
      <c r="AF36" s="183"/>
      <c r="AG36" s="183"/>
    </row>
    <row r="37" spans="1:33" ht="27.6" x14ac:dyDescent="0.25">
      <c r="C37" s="1131" t="s">
        <v>1940</v>
      </c>
      <c r="D37" s="1131" t="s">
        <v>1941</v>
      </c>
      <c r="E37" s="1131" t="s">
        <v>1937</v>
      </c>
      <c r="F37" s="1131" t="s">
        <v>1936</v>
      </c>
      <c r="G37" s="1131" t="s">
        <v>1938</v>
      </c>
      <c r="H37" s="1131" t="s">
        <v>1942</v>
      </c>
      <c r="I37" s="1131" t="s">
        <v>1939</v>
      </c>
      <c r="X37" s="4"/>
      <c r="Y37" s="1187" t="s">
        <v>112</v>
      </c>
      <c r="Z37" s="1128" t="s">
        <v>1929</v>
      </c>
      <c r="AA37" s="1128" t="s">
        <v>1912</v>
      </c>
      <c r="AB37" s="1129"/>
      <c r="AC37" s="1128" t="str">
        <f t="shared" si="4"/>
        <v>System 2 - PTHPAll capacities</v>
      </c>
      <c r="AD37" s="1129" t="s">
        <v>1913</v>
      </c>
      <c r="AE37" s="1130"/>
      <c r="AF37" s="183"/>
      <c r="AG37" s="183"/>
    </row>
    <row r="38" spans="1:33" ht="27.6" x14ac:dyDescent="0.25">
      <c r="C38" s="1132" t="s">
        <v>111</v>
      </c>
      <c r="D38" s="1132" t="s">
        <v>112</v>
      </c>
      <c r="E38" s="1132" t="s">
        <v>111</v>
      </c>
      <c r="F38" s="1132" t="s">
        <v>119</v>
      </c>
      <c r="G38" s="1132" t="s">
        <v>113</v>
      </c>
      <c r="H38" s="1132" t="s">
        <v>111</v>
      </c>
      <c r="I38" s="1132" t="s">
        <v>115</v>
      </c>
      <c r="X38" s="1184"/>
      <c r="Y38" s="1193" t="s">
        <v>113</v>
      </c>
      <c r="Z38" s="1125" t="s">
        <v>1930</v>
      </c>
      <c r="AA38" s="1125" t="s">
        <v>1931</v>
      </c>
      <c r="AB38" s="1126"/>
      <c r="AC38" s="1125" t="str">
        <f t="shared" si="4"/>
        <v>System 3 - PSZ-AC&lt;225,000 Btu/h</v>
      </c>
      <c r="AD38" s="1126" t="s">
        <v>2258</v>
      </c>
      <c r="AE38" s="1127"/>
      <c r="AF38" s="183"/>
      <c r="AG38" s="183"/>
    </row>
    <row r="39" spans="1:33" ht="41.4" x14ac:dyDescent="0.25">
      <c r="C39" s="1132" t="s">
        <v>112</v>
      </c>
      <c r="D39" s="1132" t="s">
        <v>113</v>
      </c>
      <c r="E39" s="1132" t="s">
        <v>1943</v>
      </c>
      <c r="F39" s="1132" t="s">
        <v>120</v>
      </c>
      <c r="G39" s="1132" t="s">
        <v>114</v>
      </c>
      <c r="H39" s="1132" t="s">
        <v>1943</v>
      </c>
      <c r="I39" s="1132" t="s">
        <v>133</v>
      </c>
      <c r="X39" s="1184"/>
      <c r="Y39" s="1193" t="s">
        <v>113</v>
      </c>
      <c r="Z39" s="1125" t="s">
        <v>1930</v>
      </c>
      <c r="AA39" s="1125" t="s">
        <v>1932</v>
      </c>
      <c r="AB39" s="1126"/>
      <c r="AC39" s="1125" t="str">
        <f t="shared" si="4"/>
        <v>System 3 - PSZ-AC≥225,000 Btu/h</v>
      </c>
      <c r="AD39" s="1126" t="s">
        <v>1962</v>
      </c>
      <c r="AE39" s="1127"/>
      <c r="AF39" s="183"/>
      <c r="AG39" s="183"/>
    </row>
    <row r="40" spans="1:33" ht="41.4" x14ac:dyDescent="0.25">
      <c r="C40" s="1132" t="s">
        <v>113</v>
      </c>
      <c r="D40" s="1132" t="s">
        <v>131</v>
      </c>
      <c r="E40" s="1132" t="s">
        <v>136</v>
      </c>
      <c r="F40" s="1132" t="s">
        <v>140</v>
      </c>
      <c r="G40" s="1132" t="s">
        <v>119</v>
      </c>
      <c r="H40" s="1132" t="s">
        <v>136</v>
      </c>
      <c r="I40" s="1132" t="s">
        <v>138</v>
      </c>
      <c r="X40" s="4"/>
      <c r="Y40" s="1192" t="s">
        <v>114</v>
      </c>
      <c r="Z40" s="1189" t="s">
        <v>2254</v>
      </c>
      <c r="AA40" s="1189" t="s">
        <v>1933</v>
      </c>
      <c r="AB40" s="1190"/>
      <c r="AC40" s="1189" t="str">
        <f t="shared" si="4"/>
        <v>System 4 - PSZ-HP&lt;65,000 Btu/h
(cooling capacity)</v>
      </c>
      <c r="AD40" s="1190" t="s">
        <v>1961</v>
      </c>
      <c r="AE40" s="1191"/>
      <c r="AF40" s="183"/>
      <c r="AG40" s="183"/>
    </row>
    <row r="41" spans="1:33" ht="69" x14ac:dyDescent="0.25">
      <c r="C41" s="1132" t="s">
        <v>114</v>
      </c>
      <c r="D41" s="1132" t="s">
        <v>114</v>
      </c>
      <c r="E41" s="1132" t="s">
        <v>1944</v>
      </c>
      <c r="F41" s="1089"/>
      <c r="G41" s="1132" t="s">
        <v>120</v>
      </c>
      <c r="H41" s="1132" t="s">
        <v>1944</v>
      </c>
      <c r="I41" s="1132" t="s">
        <v>142</v>
      </c>
      <c r="X41" s="4"/>
      <c r="Y41" s="1186" t="s">
        <v>114</v>
      </c>
      <c r="Z41" s="1125"/>
      <c r="AA41" s="1125" t="s">
        <v>1934</v>
      </c>
      <c r="AB41" s="1126"/>
      <c r="AC41" s="1125" t="str">
        <f t="shared" si="4"/>
        <v>System 4 - PSZ-HP≥65,000 Btu/h and
&lt;135,000 Btu/h
(cooling capacity)
47°F db/43°F wb
outdoor air</v>
      </c>
      <c r="AD41" s="1126" t="s">
        <v>1960</v>
      </c>
      <c r="AE41" s="1127"/>
      <c r="AF41" s="183"/>
      <c r="AG41" s="183"/>
    </row>
    <row r="42" spans="1:33" ht="96.6" x14ac:dyDescent="0.25">
      <c r="C42" s="1132" t="s">
        <v>115</v>
      </c>
      <c r="D42" s="1132" t="s">
        <v>132</v>
      </c>
      <c r="E42" s="1132" t="s">
        <v>136</v>
      </c>
      <c r="F42" s="1089"/>
      <c r="G42" s="1132" t="s">
        <v>131</v>
      </c>
      <c r="H42" s="1132" t="s">
        <v>112</v>
      </c>
      <c r="I42" s="1132" t="s">
        <v>116</v>
      </c>
      <c r="X42" s="4"/>
      <c r="Y42" s="1187" t="s">
        <v>114</v>
      </c>
      <c r="Z42" s="1128"/>
      <c r="AA42" s="1128" t="s">
        <v>1935</v>
      </c>
      <c r="AB42" s="1129"/>
      <c r="AC42" s="1128" t="str">
        <f t="shared" si="4"/>
        <v>System 4 - PSZ-HP≥135,000 Btu/h
(cooling capacity)
47°F db/43°F wb
outdoor air</v>
      </c>
      <c r="AD42" s="1129" t="s">
        <v>1959</v>
      </c>
      <c r="AE42" s="1130"/>
    </row>
    <row r="43" spans="1:33" ht="96.6" x14ac:dyDescent="0.25">
      <c r="C43" s="1132" t="s">
        <v>116</v>
      </c>
      <c r="D43" s="1132" t="s">
        <v>119</v>
      </c>
      <c r="E43" s="1132" t="s">
        <v>1944</v>
      </c>
      <c r="F43" s="1089"/>
      <c r="G43" s="1132" t="s">
        <v>132</v>
      </c>
      <c r="H43" s="1132" t="s">
        <v>1945</v>
      </c>
      <c r="I43" s="1132" t="s">
        <v>134</v>
      </c>
      <c r="X43" s="1184"/>
      <c r="Y43" s="1186" t="s">
        <v>115</v>
      </c>
      <c r="Z43" s="1126" t="s">
        <v>2252</v>
      </c>
      <c r="AA43" s="1126" t="s">
        <v>2255</v>
      </c>
      <c r="AB43" s="1126"/>
      <c r="AC43" s="1125" t="str">
        <f t="shared" ref="AC43:AC58" si="5">Y43&amp;AA43</f>
        <v>System 5 - Packaged VAV with Reheat&lt;300,000 Btu/h</v>
      </c>
      <c r="AD43" s="1183" t="s">
        <v>2260</v>
      </c>
      <c r="AE43" s="1127"/>
    </row>
    <row r="44" spans="1:33" ht="28.2" x14ac:dyDescent="0.3">
      <c r="C44" s="1132" t="s">
        <v>136</v>
      </c>
      <c r="D44" s="1132"/>
      <c r="E44" s="1132" t="s">
        <v>112</v>
      </c>
      <c r="F44" s="1089"/>
      <c r="G44" s="1132"/>
      <c r="H44" s="1132" t="s">
        <v>119</v>
      </c>
      <c r="I44" s="1132" t="s">
        <v>117</v>
      </c>
      <c r="X44" s="1184"/>
      <c r="Y44" s="1186" t="s">
        <v>115</v>
      </c>
      <c r="Z44" s="1126"/>
      <c r="AA44" s="1125" t="s">
        <v>2259</v>
      </c>
      <c r="AB44" s="1126"/>
      <c r="AC44" s="1125" t="str">
        <f t="shared" si="5"/>
        <v>System 5 - Packaged VAV with Reheat≥300,000 Btu/h and
≤2,500,000 Btu/h</v>
      </c>
      <c r="AD44" s="936" t="s">
        <v>629</v>
      </c>
      <c r="AE44" s="1127"/>
    </row>
    <row r="45" spans="1:33" ht="41.4" x14ac:dyDescent="0.25">
      <c r="C45" s="1132" t="s">
        <v>137</v>
      </c>
      <c r="D45" s="1089"/>
      <c r="E45" s="1132" t="s">
        <v>1945</v>
      </c>
      <c r="F45" s="1089"/>
      <c r="G45" s="1132"/>
      <c r="H45" s="1132" t="s">
        <v>119</v>
      </c>
      <c r="I45" s="1132" t="s">
        <v>135</v>
      </c>
      <c r="X45" s="1184"/>
      <c r="Y45" s="1186" t="s">
        <v>115</v>
      </c>
      <c r="Z45" s="1126"/>
      <c r="AA45" s="1125" t="s">
        <v>2257</v>
      </c>
      <c r="AB45" s="1126"/>
      <c r="AC45" s="1125" t="str">
        <f t="shared" si="5"/>
        <v>System 5 - Packaged VAV with Reheat&gt;2,500,000 Btu/h</v>
      </c>
      <c r="AD45" s="936" t="s">
        <v>628</v>
      </c>
      <c r="AE45" s="1127"/>
    </row>
    <row r="46" spans="1:33" ht="27.6" x14ac:dyDescent="0.25">
      <c r="C46" s="1132" t="s">
        <v>138</v>
      </c>
      <c r="D46" s="1132"/>
      <c r="E46" s="1132" t="s">
        <v>119</v>
      </c>
      <c r="F46" s="1089"/>
      <c r="G46" s="1132"/>
      <c r="H46" s="1132" t="s">
        <v>140</v>
      </c>
      <c r="I46" s="1132" t="s">
        <v>139</v>
      </c>
      <c r="X46" s="4"/>
      <c r="Y46" s="1188" t="s">
        <v>116</v>
      </c>
      <c r="Z46" s="1189" t="s">
        <v>2253</v>
      </c>
      <c r="AA46" s="1189" t="s">
        <v>1917</v>
      </c>
      <c r="AB46" s="1190" t="s">
        <v>569</v>
      </c>
      <c r="AC46" s="1189" t="str">
        <f t="shared" si="5"/>
        <v>System 6 - Packaged VAV with PFP Boxes&lt;65,000 Btu/h</v>
      </c>
      <c r="AD46" s="1190"/>
      <c r="AE46" s="1191"/>
    </row>
    <row r="47" spans="1:33" ht="27.6" x14ac:dyDescent="0.25">
      <c r="C47" s="1089"/>
      <c r="D47" s="1089"/>
      <c r="E47" s="1132" t="s">
        <v>140</v>
      </c>
      <c r="F47" s="1089"/>
      <c r="G47" s="1132"/>
      <c r="H47" s="1132" t="s">
        <v>140</v>
      </c>
      <c r="I47" s="1132" t="s">
        <v>1946</v>
      </c>
      <c r="X47" s="4"/>
      <c r="Y47" s="1186" t="s">
        <v>116</v>
      </c>
      <c r="Z47" s="1125"/>
      <c r="AA47" s="1125" t="s">
        <v>1919</v>
      </c>
      <c r="AB47" s="1126" t="s">
        <v>1920</v>
      </c>
      <c r="AC47" s="1125" t="str">
        <f t="shared" si="5"/>
        <v>System 6 - Packaged VAV with PFP Boxes≥65,000 Btu/h and
&lt;135,000 Btu/h</v>
      </c>
      <c r="AD47" s="1126"/>
      <c r="AE47" s="1127"/>
    </row>
    <row r="48" spans="1:33" ht="27.6" x14ac:dyDescent="0.25">
      <c r="C48" s="1089"/>
      <c r="D48" s="1089"/>
      <c r="E48" s="1132" t="s">
        <v>120</v>
      </c>
      <c r="F48" s="1089"/>
      <c r="G48" s="1132"/>
      <c r="H48" s="1132" t="s">
        <v>120</v>
      </c>
      <c r="I48" s="1089" t="s">
        <v>118</v>
      </c>
      <c r="X48" s="4"/>
      <c r="Y48" s="1186" t="s">
        <v>116</v>
      </c>
      <c r="Z48" s="1125"/>
      <c r="AA48" s="1125" t="s">
        <v>1922</v>
      </c>
      <c r="AB48" s="1126" t="s">
        <v>1920</v>
      </c>
      <c r="AC48" s="1125" t="str">
        <f t="shared" si="5"/>
        <v>System 6 - Packaged VAV with PFP Boxes≥135,000 Btu/h and
&lt;240,000 Btu/h</v>
      </c>
      <c r="AD48" s="1126"/>
      <c r="AE48" s="1127"/>
    </row>
    <row r="49" spans="2:31" s="42" customFormat="1" ht="27.6" x14ac:dyDescent="0.25">
      <c r="B49" s="184"/>
      <c r="C49" s="1089"/>
      <c r="D49" s="1089"/>
      <c r="E49" s="1089"/>
      <c r="F49" s="1089"/>
      <c r="G49" s="1132"/>
      <c r="H49" s="1132" t="s">
        <v>120</v>
      </c>
      <c r="I49" s="1089" t="s">
        <v>1947</v>
      </c>
      <c r="X49" s="4"/>
      <c r="Y49" s="1186" t="s">
        <v>116</v>
      </c>
      <c r="Z49" s="1125"/>
      <c r="AA49" s="1125" t="s">
        <v>1923</v>
      </c>
      <c r="AB49" s="1126" t="s">
        <v>1920</v>
      </c>
      <c r="AC49" s="1125" t="str">
        <f t="shared" si="5"/>
        <v>System 6 - Packaged VAV with PFP Boxes≥240,000 Btu/h and
&lt;760,000 Btu/h</v>
      </c>
      <c r="AD49" s="1126"/>
      <c r="AE49" s="1127"/>
    </row>
    <row r="50" spans="2:31" s="42" customFormat="1" ht="13.8" x14ac:dyDescent="0.25">
      <c r="B50" s="184"/>
      <c r="C50" s="1089"/>
      <c r="D50" s="1089"/>
      <c r="E50" s="1089"/>
      <c r="F50" s="1089"/>
      <c r="G50" s="1132"/>
      <c r="H50" s="1089"/>
      <c r="I50" s="1089"/>
      <c r="X50" s="4"/>
      <c r="Y50" s="1187" t="s">
        <v>116</v>
      </c>
      <c r="Z50" s="1129"/>
      <c r="AA50" s="1129" t="s">
        <v>1924</v>
      </c>
      <c r="AB50" s="1129" t="s">
        <v>1920</v>
      </c>
      <c r="AC50" s="1128" t="str">
        <f t="shared" si="5"/>
        <v>System 6 - Packaged VAV with PFP Boxes≥760,000 Btu/h</v>
      </c>
      <c r="AD50" s="1129"/>
      <c r="AE50" s="1130"/>
    </row>
    <row r="51" spans="2:31" s="42" customFormat="1" ht="13.8" x14ac:dyDescent="0.25">
      <c r="B51" s="184"/>
      <c r="C51" s="1089"/>
      <c r="D51" s="1089"/>
      <c r="E51" s="1089"/>
      <c r="F51" s="1089"/>
      <c r="G51" s="1089"/>
      <c r="H51" s="1089"/>
      <c r="I51" s="1089"/>
      <c r="X51" s="1184"/>
      <c r="Y51" s="1193" t="s">
        <v>119</v>
      </c>
      <c r="Z51" s="1125" t="s">
        <v>1930</v>
      </c>
      <c r="AA51" s="1125" t="s">
        <v>1931</v>
      </c>
      <c r="AB51" s="1126"/>
      <c r="AC51" s="1125" t="str">
        <f t="shared" si="5"/>
        <v>System 9 - Heating and Ventilation&lt;225,000 Btu/h</v>
      </c>
      <c r="AD51" s="1126" t="s">
        <v>2258</v>
      </c>
      <c r="AE51" s="1127"/>
    </row>
    <row r="52" spans="2:31" ht="13.8" x14ac:dyDescent="0.25">
      <c r="X52" s="1184"/>
      <c r="Y52" s="1193" t="s">
        <v>119</v>
      </c>
      <c r="Z52" s="1125" t="s">
        <v>1930</v>
      </c>
      <c r="AA52" s="1125" t="s">
        <v>1932</v>
      </c>
      <c r="AB52" s="1126"/>
      <c r="AC52" s="1125" t="str">
        <f t="shared" si="5"/>
        <v>System 9 - Heating and Ventilation≥225,000 Btu/h</v>
      </c>
      <c r="AD52" s="1126" t="s">
        <v>1962</v>
      </c>
      <c r="AE52" s="1127"/>
    </row>
    <row r="53" spans="2:31" ht="13.8" x14ac:dyDescent="0.25">
      <c r="X53" s="1184"/>
      <c r="Y53" s="1192" t="s">
        <v>117</v>
      </c>
      <c r="Z53" s="1190" t="s">
        <v>2252</v>
      </c>
      <c r="AA53" s="1190" t="s">
        <v>2255</v>
      </c>
      <c r="AB53" s="1190"/>
      <c r="AC53" s="1189" t="str">
        <f t="shared" si="5"/>
        <v>System 7 - VAV with Reheat&lt;300,000 Btu/h</v>
      </c>
      <c r="AD53" s="1183" t="s">
        <v>2260</v>
      </c>
      <c r="AE53" s="1191"/>
    </row>
    <row r="54" spans="2:31" ht="28.2" x14ac:dyDescent="0.3">
      <c r="X54" s="1184"/>
      <c r="Y54" s="1186" t="s">
        <v>117</v>
      </c>
      <c r="Z54" s="1126"/>
      <c r="AA54" s="1125" t="s">
        <v>2259</v>
      </c>
      <c r="AB54" s="1126"/>
      <c r="AC54" s="1125" t="str">
        <f t="shared" si="5"/>
        <v>System 7 - VAV with Reheat≥300,000 Btu/h and
≤2,500,000 Btu/h</v>
      </c>
      <c r="AD54" s="936" t="s">
        <v>629</v>
      </c>
      <c r="AE54" s="1127"/>
    </row>
    <row r="55" spans="2:31" ht="13.8" x14ac:dyDescent="0.25">
      <c r="X55" s="1184"/>
      <c r="Y55" s="1187" t="s">
        <v>117</v>
      </c>
      <c r="Z55" s="1129"/>
      <c r="AA55" s="1128" t="s">
        <v>2257</v>
      </c>
      <c r="AB55" s="1129"/>
      <c r="AC55" s="1128" t="str">
        <f t="shared" si="5"/>
        <v>System 7 - VAV with Reheat&gt;2,500,000 Btu/h</v>
      </c>
      <c r="AD55" s="936" t="s">
        <v>628</v>
      </c>
      <c r="AE55" s="1130"/>
    </row>
    <row r="56" spans="2:31" ht="13.8" x14ac:dyDescent="0.25">
      <c r="X56" s="1184"/>
      <c r="Y56" s="1186" t="s">
        <v>1853</v>
      </c>
      <c r="Z56" s="1126" t="s">
        <v>2252</v>
      </c>
      <c r="AA56" s="1126" t="s">
        <v>2255</v>
      </c>
      <c r="AB56" s="1126"/>
      <c r="AC56" s="1125" t="str">
        <f t="shared" si="5"/>
        <v>System 12 - SZ-CV-HW&lt;300,000 Btu/h</v>
      </c>
      <c r="AD56" s="1183" t="s">
        <v>2260</v>
      </c>
      <c r="AE56" s="1127"/>
    </row>
    <row r="57" spans="2:31" ht="28.2" x14ac:dyDescent="0.3">
      <c r="X57" s="1184"/>
      <c r="Y57" s="1186" t="s">
        <v>1853</v>
      </c>
      <c r="Z57" s="1126"/>
      <c r="AA57" s="1125" t="s">
        <v>2259</v>
      </c>
      <c r="AB57" s="1126"/>
      <c r="AC57" s="1125" t="str">
        <f t="shared" si="5"/>
        <v>System 12 - SZ-CV-HW≥300,000 Btu/h and
≤2,500,000 Btu/h</v>
      </c>
      <c r="AD57" s="936" t="s">
        <v>629</v>
      </c>
      <c r="AE57" s="1127"/>
    </row>
    <row r="58" spans="2:31" ht="13.8" x14ac:dyDescent="0.25">
      <c r="X58" s="1184"/>
      <c r="Y58" s="1187" t="s">
        <v>1853</v>
      </c>
      <c r="Z58" s="1129"/>
      <c r="AA58" s="1128" t="s">
        <v>2257</v>
      </c>
      <c r="AB58" s="1129"/>
      <c r="AC58" s="1128" t="str">
        <f t="shared" si="5"/>
        <v>System 12 - SZ-CV-HW&gt;2,500,000 Btu/h</v>
      </c>
      <c r="AD58" s="936" t="s">
        <v>628</v>
      </c>
      <c r="AE58" s="1130"/>
    </row>
  </sheetData>
  <sheetProtection algorithmName="SHA-512" hashValue="tOkYkDD9mENyueRqpRTVsxPQACBgHoW1SbEem3VpKknNT1sE07o6SP+09bl2FbGJJ2iDT8G7uGjOiRwblGGVGA==" saltValue="Y3NfLarHelFxSnMN3hRqMg==" spinCount="100000" sheet="1" objects="1" scenarios="1"/>
  <mergeCells count="14">
    <mergeCell ref="S8:S9"/>
    <mergeCell ref="T8:T9"/>
    <mergeCell ref="U8:U9"/>
    <mergeCell ref="Q36:T36"/>
    <mergeCell ref="K7:O7"/>
    <mergeCell ref="Q7:U7"/>
    <mergeCell ref="N8:N9"/>
    <mergeCell ref="Q8:Q9"/>
    <mergeCell ref="R8:R9"/>
    <mergeCell ref="G8:G9"/>
    <mergeCell ref="H8:H9"/>
    <mergeCell ref="I8:I9"/>
    <mergeCell ref="K8:L8"/>
    <mergeCell ref="M8:M9"/>
  </mergeCell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34">
    <tabColor theme="5" tint="0.39997558519241921"/>
  </sheetPr>
  <dimension ref="A1:AJ58"/>
  <sheetViews>
    <sheetView workbookViewId="0"/>
  </sheetViews>
  <sheetFormatPr defaultColWidth="25.69921875" defaultRowHeight="13.2" x14ac:dyDescent="0.25"/>
  <cols>
    <col min="1" max="1" width="25.296875" style="42" customWidth="1"/>
    <col min="2" max="6" width="24.69921875" style="184" customWidth="1"/>
    <col min="7" max="7" width="11.296875" style="42" customWidth="1"/>
    <col min="8" max="8" width="24.69921875" style="184" customWidth="1"/>
    <col min="9" max="9" width="24.69921875" style="42" customWidth="1"/>
    <col min="10" max="10" width="3.5" style="42" customWidth="1"/>
    <col min="11" max="14" width="14.69921875" style="184" customWidth="1"/>
    <col min="15" max="15" width="17.796875" style="184" customWidth="1"/>
    <col min="16" max="16" width="3.5" style="184" customWidth="1"/>
    <col min="17" max="20" width="14.69921875" style="184" customWidth="1"/>
    <col min="21" max="24" width="10.69921875" style="184" customWidth="1"/>
    <col min="25" max="25" width="42.796875" style="184" customWidth="1"/>
    <col min="26" max="28" width="25.69921875" style="184"/>
    <col min="29" max="29" width="51.796875" style="184" customWidth="1"/>
    <col min="30" max="16384" width="25.69921875" style="184"/>
  </cols>
  <sheetData>
    <row r="1" spans="1:36" x14ac:dyDescent="0.25">
      <c r="A1" s="42" t="s">
        <v>129</v>
      </c>
      <c r="B1" s="184" t="b">
        <f>'General Information'!R68</f>
        <v>0</v>
      </c>
    </row>
    <row r="2" spans="1:36" x14ac:dyDescent="0.25">
      <c r="A2" s="42" t="s">
        <v>130</v>
      </c>
      <c r="B2" s="184" t="b">
        <f>'General Information'!S68</f>
        <v>0</v>
      </c>
    </row>
    <row r="3" spans="1:36" x14ac:dyDescent="0.25">
      <c r="A3" s="42" t="s">
        <v>278</v>
      </c>
      <c r="B3" s="184" t="b">
        <f>'General Information'!R69</f>
        <v>0</v>
      </c>
      <c r="N3" s="184" t="s">
        <v>892</v>
      </c>
    </row>
    <row r="4" spans="1:36" x14ac:dyDescent="0.25">
      <c r="A4" s="42" t="s">
        <v>276</v>
      </c>
      <c r="B4" s="184" t="b">
        <f>'General Information'!S69</f>
        <v>0</v>
      </c>
    </row>
    <row r="5" spans="1:36" ht="12.75" customHeight="1" x14ac:dyDescent="0.25">
      <c r="A5" s="42" t="s">
        <v>277</v>
      </c>
      <c r="B5" s="184" t="b">
        <f>'General Information'!T69</f>
        <v>0</v>
      </c>
      <c r="C5" s="184">
        <v>3</v>
      </c>
      <c r="D5" s="184">
        <v>4</v>
      </c>
      <c r="E5" s="184">
        <v>5</v>
      </c>
      <c r="F5" s="184">
        <v>6</v>
      </c>
      <c r="G5" s="42">
        <v>7</v>
      </c>
      <c r="H5" s="184">
        <v>8</v>
      </c>
      <c r="I5" s="42">
        <v>9</v>
      </c>
      <c r="J5" s="42">
        <v>10</v>
      </c>
      <c r="K5" s="35">
        <v>11</v>
      </c>
      <c r="L5" s="35">
        <v>12</v>
      </c>
      <c r="M5" s="35">
        <v>13</v>
      </c>
      <c r="N5" s="35">
        <v>14</v>
      </c>
      <c r="O5" s="35">
        <v>15</v>
      </c>
      <c r="P5" s="35">
        <v>16</v>
      </c>
      <c r="Q5" s="35">
        <v>17</v>
      </c>
      <c r="R5" s="35">
        <v>18</v>
      </c>
      <c r="S5" s="35">
        <v>19</v>
      </c>
      <c r="T5" s="35">
        <v>20</v>
      </c>
    </row>
    <row r="6" spans="1:36" x14ac:dyDescent="0.25">
      <c r="A6" s="42" t="s">
        <v>279</v>
      </c>
      <c r="B6" s="184" t="b">
        <f>'General Information'!U69</f>
        <v>0</v>
      </c>
      <c r="K6" s="35"/>
      <c r="L6" s="35"/>
      <c r="M6" s="35"/>
      <c r="N6" s="35"/>
      <c r="O6" s="35"/>
      <c r="P6" s="35"/>
      <c r="Q6" s="35"/>
      <c r="R6" s="35"/>
      <c r="S6" s="35"/>
      <c r="T6" s="35"/>
    </row>
    <row r="7" spans="1:36" ht="26.25" customHeight="1" x14ac:dyDescent="0.25">
      <c r="K7" s="4361" t="s">
        <v>893</v>
      </c>
      <c r="L7" s="4362"/>
      <c r="M7" s="4362"/>
      <c r="N7" s="4362"/>
      <c r="O7" s="4362"/>
      <c r="Q7" s="4363" t="s">
        <v>839</v>
      </c>
      <c r="R7" s="4364"/>
      <c r="S7" s="4364"/>
      <c r="T7" s="4364"/>
      <c r="U7" s="4365"/>
      <c r="Y7" s="1144" t="s">
        <v>1904</v>
      </c>
      <c r="Z7" s="1140" t="s">
        <v>1905</v>
      </c>
      <c r="AA7" s="1141" t="s">
        <v>1906</v>
      </c>
      <c r="AB7" s="1141" t="s">
        <v>1907</v>
      </c>
      <c r="AC7" s="1141" t="s">
        <v>1908</v>
      </c>
      <c r="AD7" s="1141" t="s">
        <v>1909</v>
      </c>
      <c r="AE7" s="1141"/>
      <c r="AF7" s="1141" t="s">
        <v>1910</v>
      </c>
      <c r="AG7" s="1142" t="s">
        <v>143</v>
      </c>
      <c r="AI7" s="1089" t="s">
        <v>1948</v>
      </c>
      <c r="AJ7" s="1" t="s">
        <v>211</v>
      </c>
    </row>
    <row r="8" spans="1:36" ht="44.25" customHeight="1" x14ac:dyDescent="0.25">
      <c r="A8" s="1090" t="s">
        <v>830</v>
      </c>
      <c r="B8" s="1091" t="b">
        <f>IF(AND(C8=FALSE,D8=FALSE,E8=FALSE,F8=FALSE),TRUE,FALSE)</f>
        <v>1</v>
      </c>
      <c r="C8" s="1091" t="b">
        <f>AND(B1=TRUE,B2=FALSE,OR(B3=TRUE,B5=TRUE))</f>
        <v>0</v>
      </c>
      <c r="D8" s="1091" t="b">
        <f>AND(B1=FALSE,B2=TRUE,OR(B3=TRUE,B5=TRUE))</f>
        <v>0</v>
      </c>
      <c r="E8" s="1091" t="b">
        <f>AND(B1=TRUE,B2=TRUE,OR(B3=TRUE,B5=TRUE))</f>
        <v>0</v>
      </c>
      <c r="F8" s="1091" t="b">
        <f>B6</f>
        <v>0</v>
      </c>
      <c r="G8" s="4350" t="s">
        <v>886</v>
      </c>
      <c r="H8" s="4350" t="s">
        <v>832</v>
      </c>
      <c r="I8" s="4352" t="s">
        <v>831</v>
      </c>
      <c r="K8" s="4354" t="s">
        <v>891</v>
      </c>
      <c r="L8" s="4355"/>
      <c r="M8" s="4356" t="s">
        <v>894</v>
      </c>
      <c r="N8" s="4356" t="s">
        <v>838</v>
      </c>
      <c r="O8" s="378" t="s">
        <v>895</v>
      </c>
      <c r="Q8" s="3538" t="s">
        <v>889</v>
      </c>
      <c r="R8" s="3539" t="s">
        <v>890</v>
      </c>
      <c r="S8" s="4358" t="s">
        <v>216</v>
      </c>
      <c r="T8" s="4358" t="s">
        <v>217</v>
      </c>
      <c r="U8" s="4358" t="s">
        <v>896</v>
      </c>
      <c r="Y8" s="1145" t="s">
        <v>111</v>
      </c>
      <c r="Z8" s="1143" t="s">
        <v>1911</v>
      </c>
      <c r="AA8" s="1108" t="s">
        <v>1912</v>
      </c>
      <c r="AB8" s="1108"/>
      <c r="AC8" s="1108" t="str">
        <f>Y8&amp;AA8</f>
        <v>System 1 - PTACAll capacities</v>
      </c>
      <c r="AD8" s="957" t="s">
        <v>2251</v>
      </c>
      <c r="AE8" s="929" t="s">
        <v>2213</v>
      </c>
      <c r="AF8" s="1148" t="s">
        <v>669</v>
      </c>
      <c r="AG8" s="930" t="s">
        <v>2213</v>
      </c>
      <c r="AI8" s="1" t="s">
        <v>212</v>
      </c>
      <c r="AJ8" s="1" t="s">
        <v>212</v>
      </c>
    </row>
    <row r="9" spans="1:36" s="42" customFormat="1" ht="87" customHeight="1" x14ac:dyDescent="0.25">
      <c r="A9" s="1090" t="s">
        <v>837</v>
      </c>
      <c r="B9" s="1095" t="s">
        <v>833</v>
      </c>
      <c r="C9" s="1095" t="s">
        <v>834</v>
      </c>
      <c r="D9" s="1095" t="s">
        <v>835</v>
      </c>
      <c r="E9" s="1095" t="s">
        <v>836</v>
      </c>
      <c r="F9" s="1095" t="s">
        <v>280</v>
      </c>
      <c r="G9" s="4351"/>
      <c r="H9" s="4351"/>
      <c r="I9" s="4353"/>
      <c r="K9" s="1088" t="s">
        <v>887</v>
      </c>
      <c r="L9" s="1087" t="s">
        <v>888</v>
      </c>
      <c r="M9" s="4357"/>
      <c r="N9" s="4357"/>
      <c r="O9" s="1088" t="s">
        <v>707</v>
      </c>
      <c r="Q9" s="3673"/>
      <c r="R9" s="4366"/>
      <c r="S9" s="4359"/>
      <c r="T9" s="4359"/>
      <c r="U9" s="4359"/>
      <c r="Y9" s="1146" t="s">
        <v>112</v>
      </c>
      <c r="Z9" s="1093" t="s">
        <v>1914</v>
      </c>
      <c r="AA9" s="1094" t="s">
        <v>1912</v>
      </c>
      <c r="AB9" s="1094"/>
      <c r="AC9" s="1094" t="str">
        <f t="shared" ref="AC9:AC29" si="0">Y9&amp;AA9</f>
        <v>System 2 - PTHPAll capacities</v>
      </c>
      <c r="AD9" s="956" t="s">
        <v>2250</v>
      </c>
      <c r="AE9" s="927" t="s">
        <v>2213</v>
      </c>
      <c r="AF9" s="925" t="s">
        <v>669</v>
      </c>
      <c r="AG9" s="928" t="s">
        <v>2213</v>
      </c>
      <c r="AI9" s="1" t="s">
        <v>207</v>
      </c>
      <c r="AJ9" s="1" t="s">
        <v>208</v>
      </c>
    </row>
    <row r="10" spans="1:36" s="181" customFormat="1" ht="33" customHeight="1" x14ac:dyDescent="0.25">
      <c r="A10" s="1096" t="str">
        <f>IF($C$8=TRUE,C10,IF($D$8=TRUE,D10,IF($E$8=TRUE,E10,IF($F$8=TRUE,F10,B10))))</f>
        <v>System 1 - PTAC</v>
      </c>
      <c r="B10" s="1096" t="s">
        <v>111</v>
      </c>
      <c r="C10" s="1096" t="s">
        <v>847</v>
      </c>
      <c r="D10" s="1096" t="s">
        <v>136</v>
      </c>
      <c r="E10" s="1096" t="s">
        <v>849</v>
      </c>
      <c r="F10" s="1096" t="s">
        <v>128</v>
      </c>
      <c r="G10" s="1097">
        <v>1</v>
      </c>
      <c r="H10" s="1098" t="str">
        <f t="array" aca="1" ref="H10" ca="1">IFERROR(INDEX($A$10:$A$19,SMALL((IF(LEN($A$10:$A$19),ROW(INDIRECT("1:"&amp;ROWS($A$10:$A$19))))),ROW(A1)),1),"")</f>
        <v>System 1 - PTAC</v>
      </c>
      <c r="I10" s="1099" t="str">
        <f t="array" aca="1" ref="I10" ca="1">IFERROR(INDEX($A$10:$A$32,SMALL((IF(LEN($A$10:$A$32),ROW(INDIRECT("1:"&amp;ROWS($A$10:$A$32))))),ROW(A1)),1),"")</f>
        <v>System 1 - PTAC</v>
      </c>
      <c r="J10" s="129"/>
      <c r="K10" s="1052">
        <v>2.9999999999999997E-4</v>
      </c>
      <c r="L10" s="1100">
        <v>6.4000000000000005E-4</v>
      </c>
      <c r="M10" s="1135">
        <v>0</v>
      </c>
      <c r="N10" s="1136">
        <v>0</v>
      </c>
      <c r="O10" s="1137">
        <v>0</v>
      </c>
      <c r="Q10" s="1101">
        <v>0</v>
      </c>
      <c r="R10" s="1102">
        <v>0</v>
      </c>
      <c r="S10" s="1103"/>
      <c r="T10" s="1104">
        <v>0.82499999999999996</v>
      </c>
      <c r="U10" s="1105">
        <f t="shared" ref="U10:U29" si="1">IF(SI_IP_Units="SI",1/T10,0.746/T10)</f>
        <v>0.90424242424242429</v>
      </c>
      <c r="Y10" s="1146" t="s">
        <v>112</v>
      </c>
      <c r="Z10" s="1106" t="s">
        <v>1915</v>
      </c>
      <c r="AA10" s="1107" t="s">
        <v>1912</v>
      </c>
      <c r="AB10" s="1108"/>
      <c r="AC10" s="1108" t="str">
        <f t="shared" si="0"/>
        <v>System 2 - PTHPAll capacities</v>
      </c>
      <c r="AD10" s="957" t="s">
        <v>2250</v>
      </c>
      <c r="AE10" s="929" t="s">
        <v>2213</v>
      </c>
      <c r="AF10" s="1148" t="s">
        <v>669</v>
      </c>
      <c r="AG10" s="930" t="s">
        <v>2213</v>
      </c>
      <c r="AI10" s="1" t="s">
        <v>209</v>
      </c>
      <c r="AJ10" s="1" t="s">
        <v>210</v>
      </c>
    </row>
    <row r="11" spans="1:36" s="181" customFormat="1" ht="33" customHeight="1" x14ac:dyDescent="0.25">
      <c r="A11" s="1109" t="str">
        <f t="shared" ref="A11:A19" si="2">IF($C$8=TRUE,C11,IF($D$8=TRUE,D11,IF($E$8=TRUE,E11,IF($F$8=TRUE,F11,B11))))</f>
        <v>System 2 - PTHP</v>
      </c>
      <c r="B11" s="1109" t="s">
        <v>112</v>
      </c>
      <c r="C11" s="1109" t="s">
        <v>848</v>
      </c>
      <c r="D11" s="1110" t="str">
        <f>""</f>
        <v/>
      </c>
      <c r="E11" s="1110" t="str">
        <f>""</f>
        <v/>
      </c>
      <c r="F11" s="1110" t="str">
        <f>""</f>
        <v/>
      </c>
      <c r="G11" s="1111">
        <v>2</v>
      </c>
      <c r="H11" s="1112" t="str">
        <f t="array" aca="1" ref="H11" ca="1">IFERROR(INDEX($A$10:$A$19,SMALL((IF(LEN($A$10:$A$19),ROW(INDIRECT("1:"&amp;ROWS($A$10:$A$19))))),ROW(A2)),1),"")</f>
        <v>System 2 - PTHP</v>
      </c>
      <c r="I11" s="1113" t="str">
        <f t="array" aca="1" ref="I11" ca="1">IFERROR(INDEX($A$10:$A$32,SMALL((IF(LEN($A$10:$A$32),ROW(INDIRECT("1:"&amp;ROWS($A$10:$A$32))))),ROW(A2)),1),"")</f>
        <v>System 2 - PTHP</v>
      </c>
      <c r="J11" s="129"/>
      <c r="K11" s="1059">
        <v>2.9999999999999997E-4</v>
      </c>
      <c r="L11" s="1064">
        <f>L10/K10*K11</f>
        <v>6.4000000000000005E-4</v>
      </c>
      <c r="M11" s="848">
        <v>0</v>
      </c>
      <c r="N11" s="849">
        <v>0</v>
      </c>
      <c r="O11" s="829">
        <v>0</v>
      </c>
      <c r="Q11" s="1114">
        <v>1</v>
      </c>
      <c r="R11" s="1115">
        <v>0.8</v>
      </c>
      <c r="S11" s="1116">
        <v>0.82499999999999996</v>
      </c>
      <c r="T11" s="1116">
        <v>0.84</v>
      </c>
      <c r="U11" s="1105">
        <f t="shared" si="1"/>
        <v>0.88809523809523816</v>
      </c>
      <c r="Y11" s="1147" t="s">
        <v>113</v>
      </c>
      <c r="Z11" s="1093" t="s">
        <v>1916</v>
      </c>
      <c r="AA11" s="1094" t="s">
        <v>1917</v>
      </c>
      <c r="AB11" s="1094" t="s">
        <v>569</v>
      </c>
      <c r="AC11" s="1094" t="str">
        <f t="shared" si="0"/>
        <v>System 3 - PSZ-AC&lt;65,000 Btu/h</v>
      </c>
      <c r="AD11" s="955" t="s">
        <v>669</v>
      </c>
      <c r="AE11" s="925" t="s">
        <v>669</v>
      </c>
      <c r="AF11" s="925">
        <v>14</v>
      </c>
      <c r="AG11" s="926" t="s">
        <v>1918</v>
      </c>
    </row>
    <row r="12" spans="1:36" s="181" customFormat="1" ht="33" customHeight="1" x14ac:dyDescent="0.25">
      <c r="A12" s="1109" t="str">
        <f t="shared" si="2"/>
        <v>System 3 - PSZ-AC</v>
      </c>
      <c r="B12" s="1109" t="s">
        <v>113</v>
      </c>
      <c r="C12" s="1109" t="s">
        <v>131</v>
      </c>
      <c r="D12" s="1109" t="s">
        <v>137</v>
      </c>
      <c r="E12" s="1109" t="s">
        <v>141</v>
      </c>
      <c r="F12" s="1110" t="str">
        <f>""</f>
        <v/>
      </c>
      <c r="G12" s="1111">
        <v>3</v>
      </c>
      <c r="H12" s="1112" t="str">
        <f t="array" aca="1" ref="H12" ca="1">IFERROR(INDEX($A$10:$A$19,SMALL((IF(LEN($A$10:$A$19),ROW(INDIRECT("1:"&amp;ROWS($A$10:$A$19))))),ROW(A3)),1),"")</f>
        <v>System 3 - PSZ-AC</v>
      </c>
      <c r="I12" s="1113" t="str">
        <f t="array" aca="1" ref="I12" ca="1">IFERROR(INDEX($A$10:$A$32,SMALL((IF(LEN($A$10:$A$32),ROW(INDIRECT("1:"&amp;ROWS($A$10:$A$32))))),ROW(A3)),1),"")</f>
        <v>System 3 - PSZ-AC</v>
      </c>
      <c r="J12" s="129"/>
      <c r="K12" s="1059">
        <v>9.3999999999999997E-4</v>
      </c>
      <c r="L12" s="1064">
        <v>1.5E-3</v>
      </c>
      <c r="M12" s="848">
        <v>1</v>
      </c>
      <c r="N12" s="849">
        <v>1</v>
      </c>
      <c r="O12" s="829">
        <v>0</v>
      </c>
      <c r="Q12" s="1114">
        <v>1.5</v>
      </c>
      <c r="R12" s="1115">
        <v>1.1000000000000001</v>
      </c>
      <c r="S12" s="1116">
        <v>0.84</v>
      </c>
      <c r="T12" s="1116">
        <v>0.84</v>
      </c>
      <c r="U12" s="1105">
        <f t="shared" si="1"/>
        <v>0.88809523809523816</v>
      </c>
      <c r="Y12" s="1146" t="s">
        <v>113</v>
      </c>
      <c r="Z12" s="1092"/>
      <c r="AA12" s="1117" t="s">
        <v>1919</v>
      </c>
      <c r="AB12" s="1094" t="s">
        <v>1920</v>
      </c>
      <c r="AC12" s="1094" t="str">
        <f t="shared" si="0"/>
        <v>System 3 - PSZ-AC≥65,000 Btu/h and
&lt;135,000 Btu/h</v>
      </c>
      <c r="AD12" s="956">
        <v>11</v>
      </c>
      <c r="AE12" s="927" t="s">
        <v>2213</v>
      </c>
      <c r="AF12" s="925">
        <v>12.7</v>
      </c>
      <c r="AG12" s="926" t="s">
        <v>1921</v>
      </c>
    </row>
    <row r="13" spans="1:36" s="181" customFormat="1" ht="33" customHeight="1" x14ac:dyDescent="0.25">
      <c r="A13" s="1109" t="str">
        <f t="shared" si="2"/>
        <v>System 4 - PSZ-HP</v>
      </c>
      <c r="B13" s="1109" t="s">
        <v>114</v>
      </c>
      <c r="C13" s="1109" t="s">
        <v>132</v>
      </c>
      <c r="D13" s="1110" t="str">
        <f>""</f>
        <v/>
      </c>
      <c r="E13" s="1110" t="str">
        <f>""</f>
        <v/>
      </c>
      <c r="F13" s="1110" t="str">
        <f>""</f>
        <v/>
      </c>
      <c r="G13" s="1111">
        <v>4</v>
      </c>
      <c r="H13" s="1112" t="str">
        <f t="array" aca="1" ref="H13" ca="1">IFERROR(INDEX($A$10:$A$19,SMALL((IF(LEN($A$10:$A$19),ROW(INDIRECT("1:"&amp;ROWS($A$10:$A$19))))),ROW(A4)),1),"")</f>
        <v>System 4 - PSZ-HP</v>
      </c>
      <c r="I13" s="1113" t="str">
        <f t="array" aca="1" ref="I13" ca="1">IFERROR(INDEX($A$10:$A$32,SMALL((IF(LEN($A$10:$A$32),ROW(INDIRECT("1:"&amp;ROWS($A$10:$A$32))))),ROW(A4)),1),"")</f>
        <v>System 4 - PSZ-HP</v>
      </c>
      <c r="J13" s="129"/>
      <c r="K13" s="1059">
        <v>9.3999999999999997E-4</v>
      </c>
      <c r="L13" s="1064">
        <v>1.5E-3</v>
      </c>
      <c r="M13" s="848">
        <v>1</v>
      </c>
      <c r="N13" s="849">
        <v>1</v>
      </c>
      <c r="O13" s="829">
        <v>0</v>
      </c>
      <c r="Q13" s="1114">
        <v>2</v>
      </c>
      <c r="R13" s="1115">
        <v>1.5</v>
      </c>
      <c r="S13" s="1116">
        <v>0.84</v>
      </c>
      <c r="T13" s="1116">
        <v>0.875</v>
      </c>
      <c r="U13" s="1105">
        <f t="shared" si="1"/>
        <v>0.85257142857142854</v>
      </c>
      <c r="Y13" s="1146" t="s">
        <v>113</v>
      </c>
      <c r="Z13" s="1092"/>
      <c r="AA13" s="1117" t="s">
        <v>1922</v>
      </c>
      <c r="AB13" s="1094" t="s">
        <v>1920</v>
      </c>
      <c r="AC13" s="1094" t="str">
        <f t="shared" si="0"/>
        <v>System 3 - PSZ-AC≥135,000 Btu/h and
&lt;240,000 Btu/h</v>
      </c>
      <c r="AD13" s="956">
        <v>10.8</v>
      </c>
      <c r="AE13" s="927" t="s">
        <v>2213</v>
      </c>
      <c r="AF13" s="925">
        <v>12.2</v>
      </c>
      <c r="AG13" s="926" t="s">
        <v>1921</v>
      </c>
    </row>
    <row r="14" spans="1:36" s="181" customFormat="1" ht="33" customHeight="1" x14ac:dyDescent="0.25">
      <c r="A14" s="1109" t="str">
        <f t="shared" si="2"/>
        <v>System 5 - Packaged VAV with Reheat</v>
      </c>
      <c r="B14" s="1109" t="s">
        <v>115</v>
      </c>
      <c r="C14" s="1109" t="s">
        <v>133</v>
      </c>
      <c r="D14" s="1109" t="s">
        <v>138</v>
      </c>
      <c r="E14" s="1109" t="s">
        <v>142</v>
      </c>
      <c r="F14" s="1110" t="str">
        <f>""</f>
        <v/>
      </c>
      <c r="G14" s="1111">
        <v>5</v>
      </c>
      <c r="H14" s="1112" t="str">
        <f t="array" aca="1" ref="H14" ca="1">IFERROR(INDEX($A$10:$A$19,SMALL((IF(LEN($A$10:$A$19),ROW(INDIRECT("1:"&amp;ROWS($A$10:$A$19))))),ROW(A5)),1),"")</f>
        <v>System 5 - Packaged VAV with Reheat</v>
      </c>
      <c r="I14" s="1113" t="str">
        <f t="array" aca="1" ref="I14" ca="1">IFERROR(INDEX($A$10:$A$32,SMALL((IF(LEN($A$10:$A$32),ROW(INDIRECT("1:"&amp;ROWS($A$10:$A$32))))),ROW(A5)),1),"")</f>
        <v>System 5 - Packaged VAV with Reheat</v>
      </c>
      <c r="J14" s="129"/>
      <c r="K14" s="1059">
        <v>1.2999999999999999E-3</v>
      </c>
      <c r="L14" s="1064">
        <v>2.0999999999999999E-3</v>
      </c>
      <c r="M14" s="848">
        <v>1</v>
      </c>
      <c r="N14" s="849">
        <v>1</v>
      </c>
      <c r="O14" s="829">
        <v>0</v>
      </c>
      <c r="Q14" s="1114">
        <v>3</v>
      </c>
      <c r="R14" s="1115">
        <v>2.2000000000000002</v>
      </c>
      <c r="S14" s="1116">
        <v>0.86499999999999999</v>
      </c>
      <c r="T14" s="1116">
        <v>0.875</v>
      </c>
      <c r="U14" s="1105">
        <f t="shared" si="1"/>
        <v>0.85257142857142854</v>
      </c>
      <c r="Y14" s="1146" t="s">
        <v>113</v>
      </c>
      <c r="Z14" s="1092"/>
      <c r="AA14" s="1117" t="s">
        <v>1923</v>
      </c>
      <c r="AB14" s="1094" t="s">
        <v>1920</v>
      </c>
      <c r="AC14" s="1094" t="str">
        <f t="shared" si="0"/>
        <v>System 3 - PSZ-AC≥240,000 Btu/h and
&lt;760,000 Btu/h</v>
      </c>
      <c r="AD14" s="956">
        <v>9.8000000000000007</v>
      </c>
      <c r="AE14" s="927" t="s">
        <v>2213</v>
      </c>
      <c r="AF14" s="927">
        <v>11.4</v>
      </c>
      <c r="AG14" s="928" t="s">
        <v>1921</v>
      </c>
    </row>
    <row r="15" spans="1:36" s="181" customFormat="1" ht="33" customHeight="1" x14ac:dyDescent="0.25">
      <c r="A15" s="1109" t="str">
        <f t="shared" si="2"/>
        <v>System 6 - Packaged VAV with PFP Boxes</v>
      </c>
      <c r="B15" s="1109" t="s">
        <v>116</v>
      </c>
      <c r="C15" s="1109" t="s">
        <v>134</v>
      </c>
      <c r="D15" s="1110" t="str">
        <f>""</f>
        <v/>
      </c>
      <c r="E15" s="1110" t="str">
        <f>""</f>
        <v/>
      </c>
      <c r="F15" s="1110" t="str">
        <f>""</f>
        <v/>
      </c>
      <c r="G15" s="1111">
        <v>6</v>
      </c>
      <c r="H15" s="1112" t="str">
        <f t="array" aca="1" ref="H15" ca="1">IFERROR(INDEX($A$10:$A$19,SMALL((IF(LEN($A$10:$A$19),ROW(INDIRECT("1:"&amp;ROWS($A$10:$A$19))))),ROW(A6)),1),"")</f>
        <v>System 6 - Packaged VAV with PFP Boxes</v>
      </c>
      <c r="I15" s="1113" t="str">
        <f t="array" aca="1" ref="I15" ca="1">IFERROR(INDEX($A$10:$A$32,SMALL((IF(LEN($A$10:$A$32),ROW(INDIRECT("1:"&amp;ROWS($A$10:$A$32))))),ROW(A6)),1),"")</f>
        <v>System 6 - Packaged VAV with PFP Boxes</v>
      </c>
      <c r="J15" s="129"/>
      <c r="K15" s="1059">
        <v>1.2999999999999999E-3</v>
      </c>
      <c r="L15" s="1064">
        <v>2.0999999999999999E-3</v>
      </c>
      <c r="M15" s="848">
        <v>1</v>
      </c>
      <c r="N15" s="849">
        <v>1</v>
      </c>
      <c r="O15" s="829">
        <v>0</v>
      </c>
      <c r="Q15" s="1114">
        <v>5</v>
      </c>
      <c r="R15" s="1115">
        <v>3.7</v>
      </c>
      <c r="S15" s="1116">
        <v>0.875</v>
      </c>
      <c r="T15" s="1116">
        <v>0.89500000000000002</v>
      </c>
      <c r="U15" s="1105">
        <f t="shared" si="1"/>
        <v>0.83351955307262571</v>
      </c>
      <c r="Y15" s="1146" t="s">
        <v>113</v>
      </c>
      <c r="Z15" s="1106"/>
      <c r="AA15" s="1107" t="s">
        <v>1924</v>
      </c>
      <c r="AB15" s="1108" t="s">
        <v>1920</v>
      </c>
      <c r="AC15" s="1108" t="str">
        <f t="shared" si="0"/>
        <v>System 3 - PSZ-AC≥760,000 Btu/h</v>
      </c>
      <c r="AD15" s="957">
        <v>9.5</v>
      </c>
      <c r="AE15" s="929" t="s">
        <v>2213</v>
      </c>
      <c r="AF15" s="929">
        <v>11</v>
      </c>
      <c r="AG15" s="930" t="s">
        <v>1921</v>
      </c>
    </row>
    <row r="16" spans="1:36" s="181" customFormat="1" ht="33" customHeight="1" x14ac:dyDescent="0.25">
      <c r="A16" s="1109" t="str">
        <f t="shared" si="2"/>
        <v>System 7 - VAV with Reheat</v>
      </c>
      <c r="B16" s="1109" t="s">
        <v>117</v>
      </c>
      <c r="C16" s="1109" t="s">
        <v>135</v>
      </c>
      <c r="D16" s="1109" t="s">
        <v>139</v>
      </c>
      <c r="E16" s="1109" t="s">
        <v>846</v>
      </c>
      <c r="F16" s="1110" t="str">
        <f>""</f>
        <v/>
      </c>
      <c r="G16" s="1111">
        <v>7</v>
      </c>
      <c r="H16" s="1112" t="str">
        <f t="array" aca="1" ref="H16" ca="1">IFERROR(INDEX($A$10:$A$19,SMALL((IF(LEN($A$10:$A$19),ROW(INDIRECT("1:"&amp;ROWS($A$10:$A$19))))),ROW(A7)),1),"")</f>
        <v>System 7 - VAV with Reheat</v>
      </c>
      <c r="I16" s="1113" t="str">
        <f t="array" aca="1" ref="I16" ca="1">IFERROR(INDEX($A$10:$A$32,SMALL((IF(LEN($A$10:$A$32),ROW(INDIRECT("1:"&amp;ROWS($A$10:$A$32))))),ROW(A7)),1),"")</f>
        <v>System 7 - VAV with Reheat</v>
      </c>
      <c r="J16" s="129"/>
      <c r="K16" s="1059">
        <v>1.2999999999999999E-3</v>
      </c>
      <c r="L16" s="1064">
        <v>2.0999999999999999E-3</v>
      </c>
      <c r="M16" s="848">
        <v>1</v>
      </c>
      <c r="N16" s="849">
        <v>1</v>
      </c>
      <c r="O16" s="829">
        <v>0</v>
      </c>
      <c r="Q16" s="1114">
        <v>7.5</v>
      </c>
      <c r="R16" s="1115">
        <v>5.6</v>
      </c>
      <c r="S16" s="1116">
        <v>0.88500000000000001</v>
      </c>
      <c r="T16" s="1116">
        <v>0.89500000000000002</v>
      </c>
      <c r="U16" s="1105">
        <f t="shared" si="1"/>
        <v>0.83351955307262571</v>
      </c>
      <c r="Y16" s="1147" t="s">
        <v>114</v>
      </c>
      <c r="Z16" s="1093" t="s">
        <v>1925</v>
      </c>
      <c r="AA16" s="1094" t="s">
        <v>1917</v>
      </c>
      <c r="AB16" s="1094" t="s">
        <v>569</v>
      </c>
      <c r="AC16" s="1094" t="str">
        <f t="shared" si="0"/>
        <v>System 4 - PSZ-HP&lt;65,000 Btu/h</v>
      </c>
      <c r="AD16" s="955" t="s">
        <v>669</v>
      </c>
      <c r="AE16" s="925" t="s">
        <v>669</v>
      </c>
      <c r="AF16" s="927">
        <v>14</v>
      </c>
      <c r="AG16" s="928" t="s">
        <v>1918</v>
      </c>
    </row>
    <row r="17" spans="1:33" s="181" customFormat="1" ht="33" customHeight="1" x14ac:dyDescent="0.25">
      <c r="A17" s="1109" t="str">
        <f t="shared" si="2"/>
        <v>System 8 - VAV with PFP Boxes</v>
      </c>
      <c r="B17" s="1109" t="s">
        <v>118</v>
      </c>
      <c r="C17" s="1109" t="s">
        <v>1614</v>
      </c>
      <c r="D17" s="1110" t="str">
        <f>""</f>
        <v/>
      </c>
      <c r="E17" s="1110" t="str">
        <f>""</f>
        <v/>
      </c>
      <c r="F17" s="1110" t="str">
        <f>""</f>
        <v/>
      </c>
      <c r="G17" s="1111">
        <v>8</v>
      </c>
      <c r="H17" s="1112" t="str">
        <f t="array" aca="1" ref="H17" ca="1">IFERROR(INDEX($A$10:$A$19,SMALL((IF(LEN($A$10:$A$19),ROW(INDIRECT("1:"&amp;ROWS($A$10:$A$19))))),ROW(A8)),1),"")</f>
        <v>System 8 - VAV with PFP Boxes</v>
      </c>
      <c r="I17" s="1113" t="str">
        <f t="array" aca="1" ref="I17" ca="1">IFERROR(INDEX($A$10:$A$32,SMALL((IF(LEN($A$10:$A$32),ROW(INDIRECT("1:"&amp;ROWS($A$10:$A$32))))),ROW(A8)),1),"")</f>
        <v>System 8 - VAV with PFP Boxes</v>
      </c>
      <c r="J17" s="129"/>
      <c r="K17" s="1059">
        <v>1.2999999999999999E-3</v>
      </c>
      <c r="L17" s="1064">
        <v>2.0999999999999999E-3</v>
      </c>
      <c r="M17" s="848">
        <v>1</v>
      </c>
      <c r="N17" s="849">
        <v>1</v>
      </c>
      <c r="O17" s="829">
        <v>0</v>
      </c>
      <c r="Q17" s="1114">
        <v>10</v>
      </c>
      <c r="R17" s="1115">
        <v>7.5</v>
      </c>
      <c r="S17" s="1116">
        <v>0.89500000000000002</v>
      </c>
      <c r="T17" s="1116">
        <v>0.91</v>
      </c>
      <c r="U17" s="1105">
        <f t="shared" si="1"/>
        <v>0.81978021978021975</v>
      </c>
      <c r="Y17" s="1146" t="s">
        <v>114</v>
      </c>
      <c r="Z17" s="1092"/>
      <c r="AA17" s="1117" t="s">
        <v>1919</v>
      </c>
      <c r="AB17" s="1094" t="s">
        <v>569</v>
      </c>
      <c r="AC17" s="1094" t="str">
        <f t="shared" si="0"/>
        <v>System 4 - PSZ-HP≥65,000 Btu/h and
&lt;135,000 Btu/h</v>
      </c>
      <c r="AD17" s="955">
        <v>10.8</v>
      </c>
      <c r="AE17" s="925" t="s">
        <v>2213</v>
      </c>
      <c r="AF17" s="925">
        <v>12</v>
      </c>
      <c r="AG17" s="926" t="s">
        <v>1921</v>
      </c>
    </row>
    <row r="18" spans="1:33" s="181" customFormat="1" ht="33" customHeight="1" x14ac:dyDescent="0.25">
      <c r="A18" s="1109" t="str">
        <f t="shared" si="2"/>
        <v>System 9 - Heating and Ventilation</v>
      </c>
      <c r="B18" s="1109" t="s">
        <v>119</v>
      </c>
      <c r="C18" s="1109" t="s">
        <v>119</v>
      </c>
      <c r="D18" s="1109" t="s">
        <v>140</v>
      </c>
      <c r="E18" s="1109" t="s">
        <v>140</v>
      </c>
      <c r="F18" s="1110" t="str">
        <f>""</f>
        <v/>
      </c>
      <c r="G18" s="1111">
        <v>9</v>
      </c>
      <c r="H18" s="1112" t="str">
        <f t="array" aca="1" ref="H18" ca="1">IFERROR(INDEX($A$10:$A$19,SMALL((IF(LEN($A$10:$A$19),ROW(INDIRECT("1:"&amp;ROWS($A$10:$A$19))))),ROW(A9)),1),"")</f>
        <v>System 9 - Heating and Ventilation</v>
      </c>
      <c r="I18" s="1113" t="str">
        <f t="array" aca="1" ref="I18" ca="1">IFERROR(INDEX($A$10:$A$32,SMALL((IF(LEN($A$10:$A$32),ROW(INDIRECT("1:"&amp;ROWS($A$10:$A$32))))),ROW(A9)),1),"")</f>
        <v>System 9 - Heating and Ventilation</v>
      </c>
      <c r="J18" s="129"/>
      <c r="K18" s="1059">
        <v>2.9999999999999997E-4</v>
      </c>
      <c r="L18" s="1064">
        <v>6.4000000000000005E-4</v>
      </c>
      <c r="M18" s="848">
        <v>0</v>
      </c>
      <c r="N18" s="849">
        <v>0</v>
      </c>
      <c r="O18" s="829">
        <v>5.3999999999999998E-5</v>
      </c>
      <c r="Q18" s="1114">
        <v>15</v>
      </c>
      <c r="R18" s="1115">
        <v>11.1</v>
      </c>
      <c r="S18" s="1116">
        <v>0.91</v>
      </c>
      <c r="T18" s="1116">
        <v>0.91</v>
      </c>
      <c r="U18" s="1105">
        <f t="shared" si="1"/>
        <v>0.81978021978021975</v>
      </c>
      <c r="Y18" s="1146" t="s">
        <v>114</v>
      </c>
      <c r="Z18" s="1092"/>
      <c r="AA18" s="1117" t="s">
        <v>1922</v>
      </c>
      <c r="AB18" s="1094" t="s">
        <v>569</v>
      </c>
      <c r="AC18" s="1094" t="str">
        <f t="shared" si="0"/>
        <v>System 4 - PSZ-HP≥135,000 Btu/h and
&lt;240,000 Btu/h</v>
      </c>
      <c r="AD18" s="955">
        <v>10.4</v>
      </c>
      <c r="AE18" s="925" t="s">
        <v>2213</v>
      </c>
      <c r="AF18" s="925">
        <v>11.4</v>
      </c>
      <c r="AG18" s="926" t="s">
        <v>1921</v>
      </c>
    </row>
    <row r="19" spans="1:33" s="181" customFormat="1" ht="33" customHeight="1" x14ac:dyDescent="0.25">
      <c r="A19" s="1109" t="str">
        <f t="shared" si="2"/>
        <v>System 10 - Heating and Ventilation</v>
      </c>
      <c r="B19" s="1109" t="s">
        <v>120</v>
      </c>
      <c r="C19" s="1109" t="s">
        <v>120</v>
      </c>
      <c r="D19" s="1110" t="str">
        <f>""</f>
        <v/>
      </c>
      <c r="E19" s="1110" t="str">
        <f>""</f>
        <v/>
      </c>
      <c r="F19" s="1110" t="str">
        <f>""</f>
        <v/>
      </c>
      <c r="G19" s="1111">
        <v>10</v>
      </c>
      <c r="H19" s="1112" t="str">
        <f t="array" aca="1" ref="H19" ca="1">IFERROR(INDEX($A$10:$A$19,SMALL((IF(LEN($A$10:$A$19),ROW(INDIRECT("1:"&amp;ROWS($A$10:$A$19))))),ROW(A10)),1),"")</f>
        <v>System 10 - Heating and Ventilation</v>
      </c>
      <c r="I19" s="1113" t="str">
        <f t="array" aca="1" ref="I19" ca="1">IFERROR(INDEX($A$10:$A$32,SMALL((IF(LEN($A$10:$A$32),ROW(INDIRECT("1:"&amp;ROWS($A$10:$A$32))))),ROW(A10)),1),"")</f>
        <v>System 10 - Heating and Ventilation</v>
      </c>
      <c r="J19" s="129"/>
      <c r="K19" s="1059">
        <v>2.9999999999999997E-4</v>
      </c>
      <c r="L19" s="1064">
        <v>6.4000000000000005E-4</v>
      </c>
      <c r="M19" s="848">
        <v>0</v>
      </c>
      <c r="N19" s="849">
        <v>0</v>
      </c>
      <c r="O19" s="829">
        <v>5.3999999999999998E-5</v>
      </c>
      <c r="Q19" s="1114">
        <v>20</v>
      </c>
      <c r="R19" s="1115">
        <v>14.9</v>
      </c>
      <c r="S19" s="1116">
        <v>0.91</v>
      </c>
      <c r="T19" s="1116">
        <v>0.92400000000000004</v>
      </c>
      <c r="U19" s="1105">
        <f t="shared" si="1"/>
        <v>0.80735930735930728</v>
      </c>
      <c r="Y19" s="1146" t="s">
        <v>114</v>
      </c>
      <c r="Z19" s="1106"/>
      <c r="AA19" s="1107" t="s">
        <v>1926</v>
      </c>
      <c r="AB19" s="1108" t="s">
        <v>569</v>
      </c>
      <c r="AC19" s="1108" t="str">
        <f t="shared" si="0"/>
        <v>System 4 - PSZ-HP≥240,000 Btu/h</v>
      </c>
      <c r="AD19" s="957">
        <v>9.3000000000000007</v>
      </c>
      <c r="AE19" s="929" t="s">
        <v>2213</v>
      </c>
      <c r="AF19" s="929">
        <v>0.4</v>
      </c>
      <c r="AG19" s="930" t="s">
        <v>1921</v>
      </c>
    </row>
    <row r="20" spans="1:33" s="181" customFormat="1" ht="33" customHeight="1" x14ac:dyDescent="0.25">
      <c r="A20" s="1109" t="s">
        <v>1852</v>
      </c>
      <c r="B20" s="1109" t="s">
        <v>1852</v>
      </c>
      <c r="C20" s="1109" t="s">
        <v>1950</v>
      </c>
      <c r="D20" s="1109" t="s">
        <v>1953</v>
      </c>
      <c r="E20" s="1109" t="s">
        <v>1956</v>
      </c>
      <c r="F20" s="1110" t="str">
        <f>""</f>
        <v/>
      </c>
      <c r="G20" s="1111">
        <v>11</v>
      </c>
      <c r="H20" s="1112" t="str">
        <f>A20</f>
        <v>System 11 - SZ-VAV</v>
      </c>
      <c r="I20" s="1113" t="str">
        <f t="array" aca="1" ref="I20" ca="1">IFERROR(INDEX($A$10:$A$32,SMALL((IF(LEN($A$10:$A$32),ROW(INDIRECT("1:"&amp;ROWS($A$10:$A$32))))),ROW(A11)),1),"")</f>
        <v>System 11 - SZ-VAV</v>
      </c>
      <c r="J20" s="129"/>
      <c r="K20" s="1059">
        <v>6.2E-4</v>
      </c>
      <c r="L20" s="1118">
        <v>1.3226666666666669E-3</v>
      </c>
      <c r="M20" s="848">
        <v>1</v>
      </c>
      <c r="N20" s="849">
        <v>1</v>
      </c>
      <c r="O20" s="829">
        <v>0</v>
      </c>
      <c r="Q20" s="1114">
        <v>25</v>
      </c>
      <c r="R20" s="1115">
        <v>18.7</v>
      </c>
      <c r="S20" s="1116">
        <v>0.91700000000000004</v>
      </c>
      <c r="T20" s="1116">
        <v>0.92400000000000004</v>
      </c>
      <c r="U20" s="1105">
        <f t="shared" si="1"/>
        <v>0.80735930735930728</v>
      </c>
      <c r="Y20" s="1147" t="s">
        <v>115</v>
      </c>
      <c r="Z20" s="1093" t="s">
        <v>1916</v>
      </c>
      <c r="AA20" s="1094" t="s">
        <v>1917</v>
      </c>
      <c r="AB20" s="1094" t="s">
        <v>569</v>
      </c>
      <c r="AC20" s="1094" t="str">
        <f t="shared" si="0"/>
        <v>System 5 - Packaged VAV with Reheat&lt;65,000 Btu/h</v>
      </c>
      <c r="AD20" s="955" t="s">
        <v>669</v>
      </c>
      <c r="AE20" s="925" t="s">
        <v>669</v>
      </c>
      <c r="AF20" s="925">
        <v>14</v>
      </c>
      <c r="AG20" s="926" t="s">
        <v>1918</v>
      </c>
    </row>
    <row r="21" spans="1:33" s="181" customFormat="1" ht="33" customHeight="1" x14ac:dyDescent="0.25">
      <c r="A21" s="1109" t="s">
        <v>1853</v>
      </c>
      <c r="B21" s="1109" t="s">
        <v>1853</v>
      </c>
      <c r="C21" s="1109" t="s">
        <v>1951</v>
      </c>
      <c r="D21" s="1109" t="s">
        <v>1954</v>
      </c>
      <c r="E21" s="1109" t="s">
        <v>1957</v>
      </c>
      <c r="F21" s="1110" t="str">
        <f>""</f>
        <v/>
      </c>
      <c r="G21" s="1111">
        <v>12</v>
      </c>
      <c r="H21" s="1112" t="str">
        <f>A21</f>
        <v>System 12 - SZ-CV-HW</v>
      </c>
      <c r="I21" s="1113" t="str">
        <f t="array" aca="1" ref="I21" ca="1">IFERROR(INDEX($A$10:$A$32,SMALL((IF(LEN($A$10:$A$32),ROW(INDIRECT("1:"&amp;ROWS($A$10:$A$32))))),ROW(A12)),1),"")</f>
        <v>System 12 - SZ-CV-HW</v>
      </c>
      <c r="J21" s="129"/>
      <c r="K21" s="829">
        <v>9.3999999999999997E-4</v>
      </c>
      <c r="L21" s="1118">
        <v>2.0053333333333338E-3</v>
      </c>
      <c r="M21" s="848">
        <v>1</v>
      </c>
      <c r="N21" s="849">
        <v>1</v>
      </c>
      <c r="O21" s="829">
        <v>0</v>
      </c>
      <c r="Q21" s="1114">
        <v>30</v>
      </c>
      <c r="R21" s="1115">
        <v>22.4</v>
      </c>
      <c r="S21" s="1116">
        <v>0.92400000000000004</v>
      </c>
      <c r="T21" s="1116">
        <v>0.93</v>
      </c>
      <c r="U21" s="1105">
        <f t="shared" si="1"/>
        <v>0.80215053763440858</v>
      </c>
      <c r="Y21" s="1146" t="s">
        <v>115</v>
      </c>
      <c r="Z21" s="1092"/>
      <c r="AA21" s="1117" t="s">
        <v>1919</v>
      </c>
      <c r="AB21" s="1094" t="s">
        <v>1920</v>
      </c>
      <c r="AC21" s="1094" t="str">
        <f t="shared" si="0"/>
        <v>System 5 - Packaged VAV with Reheat≥65,000 Btu/h and
&lt;135,000 Btu/h</v>
      </c>
      <c r="AD21" s="956">
        <v>11</v>
      </c>
      <c r="AE21" s="927" t="s">
        <v>2213</v>
      </c>
      <c r="AF21" s="925">
        <v>12.7</v>
      </c>
      <c r="AG21" s="926" t="s">
        <v>1921</v>
      </c>
    </row>
    <row r="22" spans="1:33" s="181" customFormat="1" ht="33" customHeight="1" x14ac:dyDescent="0.25">
      <c r="A22" s="1109" t="s">
        <v>1854</v>
      </c>
      <c r="B22" s="1109" t="s">
        <v>1854</v>
      </c>
      <c r="C22" s="1109" t="s">
        <v>1952</v>
      </c>
      <c r="D22" s="1109" t="s">
        <v>1955</v>
      </c>
      <c r="E22" s="1109" t="s">
        <v>1958</v>
      </c>
      <c r="F22" s="1110" t="str">
        <f>""</f>
        <v/>
      </c>
      <c r="G22" s="1111">
        <v>13</v>
      </c>
      <c r="H22" s="1112" t="str">
        <f>A22</f>
        <v>System 13 - SZ-CV-ER</v>
      </c>
      <c r="I22" s="1113" t="str">
        <f t="array" aca="1" ref="I22" ca="1">IFERROR(INDEX($A$10:$A$32,SMALL((IF(LEN($A$10:$A$32),ROW(INDIRECT("1:"&amp;ROWS($A$10:$A$32))))),ROW(A13)),1),"")</f>
        <v>System 13 - SZ-CV-ER</v>
      </c>
      <c r="J22" s="129"/>
      <c r="K22" s="829">
        <v>9.3999999999999997E-4</v>
      </c>
      <c r="L22" s="1118">
        <v>2.0053333333333338E-3</v>
      </c>
      <c r="M22" s="848">
        <v>1</v>
      </c>
      <c r="N22" s="849">
        <v>1</v>
      </c>
      <c r="O22" s="829">
        <v>0</v>
      </c>
      <c r="Q22" s="1114">
        <v>40</v>
      </c>
      <c r="R22" s="1115">
        <v>29.8</v>
      </c>
      <c r="S22" s="1116">
        <v>0.93</v>
      </c>
      <c r="T22" s="1116">
        <v>0.93</v>
      </c>
      <c r="U22" s="1105">
        <f t="shared" si="1"/>
        <v>0.80215053763440858</v>
      </c>
      <c r="Y22" s="1146" t="s">
        <v>115</v>
      </c>
      <c r="Z22" s="1092"/>
      <c r="AA22" s="1117" t="s">
        <v>1922</v>
      </c>
      <c r="AB22" s="1094" t="s">
        <v>1920</v>
      </c>
      <c r="AC22" s="1094" t="str">
        <f t="shared" si="0"/>
        <v>System 5 - Packaged VAV with Reheat≥135,000 Btu/h and
&lt;240,000 Btu/h</v>
      </c>
      <c r="AD22" s="956">
        <v>10.8</v>
      </c>
      <c r="AE22" s="927" t="s">
        <v>2213</v>
      </c>
      <c r="AF22" s="925">
        <v>12.2</v>
      </c>
      <c r="AG22" s="926" t="s">
        <v>1921</v>
      </c>
    </row>
    <row r="23" spans="1:33" s="181" customFormat="1" ht="33" customHeight="1" x14ac:dyDescent="0.25">
      <c r="A23" s="1109"/>
      <c r="B23" s="1110"/>
      <c r="C23" s="1109" t="s">
        <v>111</v>
      </c>
      <c r="D23" s="1109" t="s">
        <v>111</v>
      </c>
      <c r="E23" s="1109" t="s">
        <v>111</v>
      </c>
      <c r="F23" s="1110" t="str">
        <f>""</f>
        <v/>
      </c>
      <c r="G23" s="1111">
        <v>1</v>
      </c>
      <c r="H23" s="1112"/>
      <c r="I23" s="1112"/>
      <c r="J23" s="129"/>
      <c r="K23" s="1052">
        <v>2.9999999999999997E-4</v>
      </c>
      <c r="L23" s="1064">
        <v>6.4000000000000005E-4</v>
      </c>
      <c r="M23" s="848">
        <v>0</v>
      </c>
      <c r="N23" s="849">
        <v>0</v>
      </c>
      <c r="O23" s="829">
        <v>0</v>
      </c>
      <c r="Q23" s="1114">
        <v>50</v>
      </c>
      <c r="R23" s="1115">
        <v>37.299999999999997</v>
      </c>
      <c r="S23" s="1116">
        <v>0.93</v>
      </c>
      <c r="T23" s="1116">
        <v>0.93600000000000005</v>
      </c>
      <c r="U23" s="1105">
        <f t="shared" si="1"/>
        <v>0.79700854700854695</v>
      </c>
      <c r="Y23" s="1146" t="s">
        <v>115</v>
      </c>
      <c r="Z23" s="1092"/>
      <c r="AA23" s="1117" t="s">
        <v>1923</v>
      </c>
      <c r="AB23" s="1094" t="s">
        <v>1920</v>
      </c>
      <c r="AC23" s="1094" t="str">
        <f t="shared" si="0"/>
        <v>System 5 - Packaged VAV with Reheat≥240,000 Btu/h and
&lt;760,000 Btu/h</v>
      </c>
      <c r="AD23" s="956">
        <v>9.8000000000000007</v>
      </c>
      <c r="AE23" s="927" t="s">
        <v>2213</v>
      </c>
      <c r="AF23" s="927">
        <v>11.4</v>
      </c>
      <c r="AG23" s="928" t="s">
        <v>1921</v>
      </c>
    </row>
    <row r="24" spans="1:33" s="181" customFormat="1" ht="33" customHeight="1" x14ac:dyDescent="0.25">
      <c r="A24" s="1109"/>
      <c r="B24" s="1110"/>
      <c r="C24" s="1109" t="s">
        <v>112</v>
      </c>
      <c r="D24" s="1109" t="s">
        <v>112</v>
      </c>
      <c r="E24" s="1109" t="s">
        <v>112</v>
      </c>
      <c r="F24" s="1110" t="str">
        <f>""</f>
        <v/>
      </c>
      <c r="G24" s="1111">
        <v>2</v>
      </c>
      <c r="H24" s="1112"/>
      <c r="I24" s="1112"/>
      <c r="J24" s="129"/>
      <c r="K24" s="1059">
        <v>2.9999999999999997E-4</v>
      </c>
      <c r="L24" s="1064">
        <v>6.4000000000000005E-4</v>
      </c>
      <c r="M24" s="848">
        <v>0</v>
      </c>
      <c r="N24" s="849">
        <v>0</v>
      </c>
      <c r="O24" s="829">
        <v>0</v>
      </c>
      <c r="Q24" s="1114">
        <v>60</v>
      </c>
      <c r="R24" s="1115">
        <v>44.8</v>
      </c>
      <c r="S24" s="1116">
        <v>0.93600000000000005</v>
      </c>
      <c r="T24" s="1116">
        <v>0.94099999999999995</v>
      </c>
      <c r="U24" s="1105">
        <f t="shared" si="1"/>
        <v>0.7927736450584485</v>
      </c>
      <c r="Y24" s="1145" t="s">
        <v>115</v>
      </c>
      <c r="Z24" s="1106"/>
      <c r="AA24" s="1107" t="s">
        <v>1924</v>
      </c>
      <c r="AB24" s="1108" t="s">
        <v>1920</v>
      </c>
      <c r="AC24" s="1108" t="str">
        <f t="shared" si="0"/>
        <v>System 5 - Packaged VAV with Reheat≥760,000 Btu/h</v>
      </c>
      <c r="AD24" s="957">
        <v>9.5</v>
      </c>
      <c r="AE24" s="929" t="s">
        <v>2213</v>
      </c>
      <c r="AF24" s="929">
        <v>11</v>
      </c>
      <c r="AG24" s="930" t="s">
        <v>1921</v>
      </c>
    </row>
    <row r="25" spans="1:33" s="181" customFormat="1" ht="33" customHeight="1" x14ac:dyDescent="0.25">
      <c r="A25" s="1109"/>
      <c r="B25" s="1110"/>
      <c r="C25" s="1109" t="s">
        <v>113</v>
      </c>
      <c r="D25" s="1109" t="s">
        <v>113</v>
      </c>
      <c r="E25" s="1109" t="s">
        <v>113</v>
      </c>
      <c r="F25" s="1110" t="str">
        <f>""</f>
        <v/>
      </c>
      <c r="G25" s="1111">
        <v>3</v>
      </c>
      <c r="H25" s="1112"/>
      <c r="I25" s="1112"/>
      <c r="J25" s="129"/>
      <c r="K25" s="1059">
        <v>9.3999999999999997E-4</v>
      </c>
      <c r="L25" s="1064">
        <v>1.5E-3</v>
      </c>
      <c r="M25" s="848">
        <v>1</v>
      </c>
      <c r="N25" s="849">
        <v>1</v>
      </c>
      <c r="O25" s="829">
        <v>0</v>
      </c>
      <c r="Q25" s="1114">
        <v>75</v>
      </c>
      <c r="R25" s="1115">
        <v>56</v>
      </c>
      <c r="S25" s="1116">
        <v>0.94099999999999995</v>
      </c>
      <c r="T25" s="1116">
        <v>0.94499999999999995</v>
      </c>
      <c r="U25" s="1105">
        <f t="shared" si="1"/>
        <v>0.78941798941798946</v>
      </c>
      <c r="Y25" s="1146" t="s">
        <v>116</v>
      </c>
      <c r="Z25" s="1093" t="s">
        <v>1916</v>
      </c>
      <c r="AA25" s="1094" t="s">
        <v>1917</v>
      </c>
      <c r="AB25" s="1094" t="s">
        <v>569</v>
      </c>
      <c r="AC25" s="1094" t="str">
        <f t="shared" si="0"/>
        <v>System 6 - Packaged VAV with PFP Boxes&lt;65,000 Btu/h</v>
      </c>
      <c r="AD25" s="955" t="s">
        <v>669</v>
      </c>
      <c r="AE25" s="925" t="s">
        <v>669</v>
      </c>
      <c r="AF25" s="927">
        <v>13</v>
      </c>
      <c r="AG25" s="928" t="s">
        <v>1918</v>
      </c>
    </row>
    <row r="26" spans="1:33" s="181" customFormat="1" ht="33" customHeight="1" x14ac:dyDescent="0.25">
      <c r="A26" s="1109" t="str">
        <f t="shared" ref="A26:A32" si="3">IF($C$8=TRUE,C23,IF($D$8=TRUE,D23,IF($E$8=TRUE,E23,IF($F$8=TRUE,F23,B26))))</f>
        <v/>
      </c>
      <c r="B26" s="1110" t="str">
        <f>""</f>
        <v/>
      </c>
      <c r="C26" s="1109" t="s">
        <v>114</v>
      </c>
      <c r="D26" s="1109" t="s">
        <v>114</v>
      </c>
      <c r="E26" s="1109" t="s">
        <v>114</v>
      </c>
      <c r="F26" s="1110" t="str">
        <f>""</f>
        <v/>
      </c>
      <c r="G26" s="1111">
        <v>4</v>
      </c>
      <c r="H26" s="1112" t="str">
        <f t="array" aca="1" ref="H26" ca="1">IFERROR(INDEX($A$10:$A$19,SMALL((IF(LEN($A$10:$A$19),ROW(INDIRECT("1:"&amp;ROWS($A$10:$A$19))))),ROW(A14)),1),"")</f>
        <v/>
      </c>
      <c r="I26" s="1113" t="str">
        <f t="array" aca="1" ref="I26" ca="1">IFERROR(INDEX($A$10:$A$32,SMALL((IF(LEN($A$10:$A$32),ROW(INDIRECT("1:"&amp;ROWS($A$10:$A$32))))),ROW(A14)),1),"")</f>
        <v/>
      </c>
      <c r="J26" s="129"/>
      <c r="K26" s="1059">
        <v>9.3999999999999997E-4</v>
      </c>
      <c r="L26" s="1064">
        <v>1.5E-3</v>
      </c>
      <c r="M26" s="848">
        <v>1</v>
      </c>
      <c r="N26" s="849">
        <v>1</v>
      </c>
      <c r="O26" s="829">
        <v>0</v>
      </c>
      <c r="Q26" s="1114">
        <v>100</v>
      </c>
      <c r="R26" s="1115">
        <v>74.599999999999994</v>
      </c>
      <c r="S26" s="1116">
        <v>0.94099999999999995</v>
      </c>
      <c r="T26" s="1116">
        <v>0.94499999999999995</v>
      </c>
      <c r="U26" s="1105">
        <f t="shared" si="1"/>
        <v>0.78941798941798946</v>
      </c>
      <c r="Y26" s="1146" t="s">
        <v>116</v>
      </c>
      <c r="Z26" s="1092"/>
      <c r="AA26" s="1117" t="s">
        <v>1919</v>
      </c>
      <c r="AB26" s="1094" t="s">
        <v>1920</v>
      </c>
      <c r="AC26" s="1094" t="str">
        <f t="shared" si="0"/>
        <v>System 6 - Packaged VAV with PFP Boxes≥65,000 Btu/h and
&lt;135,000 Btu/h</v>
      </c>
      <c r="AD26" s="956">
        <v>11.2</v>
      </c>
      <c r="AE26" s="927" t="s">
        <v>2213</v>
      </c>
      <c r="AF26" s="925">
        <v>12.9</v>
      </c>
      <c r="AG26" s="926" t="s">
        <v>1921</v>
      </c>
    </row>
    <row r="27" spans="1:33" s="181" customFormat="1" ht="33" customHeight="1" x14ac:dyDescent="0.25">
      <c r="A27" s="1109" t="str">
        <f t="shared" si="3"/>
        <v/>
      </c>
      <c r="B27" s="1110" t="str">
        <f>""</f>
        <v/>
      </c>
      <c r="C27" s="1109" t="s">
        <v>115</v>
      </c>
      <c r="D27" s="1109" t="s">
        <v>115</v>
      </c>
      <c r="E27" s="1109" t="s">
        <v>115</v>
      </c>
      <c r="F27" s="1110" t="str">
        <f>""</f>
        <v/>
      </c>
      <c r="G27" s="1111">
        <v>5</v>
      </c>
      <c r="H27" s="1112" t="str">
        <f t="array" aca="1" ref="H27" ca="1">IFERROR(INDEX($A$10:$A$19,SMALL((IF(LEN($A$10:$A$19),ROW(INDIRECT("1:"&amp;ROWS($A$10:$A$19))))),ROW(A15)),1),"")</f>
        <v/>
      </c>
      <c r="I27" s="1113" t="str">
        <f t="array" aca="1" ref="I27" ca="1">IFERROR(INDEX($A$10:$A$32,SMALL((IF(LEN($A$10:$A$32),ROW(INDIRECT("1:"&amp;ROWS($A$10:$A$32))))),ROW(A15)),1),"")</f>
        <v/>
      </c>
      <c r="J27" s="129"/>
      <c r="K27" s="1059">
        <v>1.2999999999999999E-3</v>
      </c>
      <c r="L27" s="1064">
        <v>2.0999999999999999E-3</v>
      </c>
      <c r="M27" s="848">
        <v>1</v>
      </c>
      <c r="N27" s="849">
        <v>1</v>
      </c>
      <c r="O27" s="829">
        <v>0</v>
      </c>
      <c r="Q27" s="1114">
        <v>125</v>
      </c>
      <c r="R27" s="1115">
        <v>93.3</v>
      </c>
      <c r="S27" s="1116">
        <v>0.94499999999999995</v>
      </c>
      <c r="T27" s="1116">
        <v>0.95</v>
      </c>
      <c r="U27" s="1105">
        <f t="shared" si="1"/>
        <v>0.78526315789473689</v>
      </c>
      <c r="Y27" s="1146" t="s">
        <v>116</v>
      </c>
      <c r="Z27" s="1092"/>
      <c r="AA27" s="1117" t="s">
        <v>1922</v>
      </c>
      <c r="AB27" s="1094" t="s">
        <v>1920</v>
      </c>
      <c r="AC27" s="1094" t="str">
        <f t="shared" si="0"/>
        <v>System 6 - Packaged VAV with PFP Boxes≥135,000 Btu/h and
&lt;240,000 Btu/h</v>
      </c>
      <c r="AD27" s="956">
        <v>11</v>
      </c>
      <c r="AE27" s="927" t="s">
        <v>2213</v>
      </c>
      <c r="AF27" s="925">
        <v>12.4</v>
      </c>
      <c r="AG27" s="926" t="s">
        <v>1921</v>
      </c>
    </row>
    <row r="28" spans="1:33" s="181" customFormat="1" ht="33" customHeight="1" x14ac:dyDescent="0.25">
      <c r="A28" s="1109" t="str">
        <f t="shared" si="3"/>
        <v/>
      </c>
      <c r="B28" s="1110" t="str">
        <f>""</f>
        <v/>
      </c>
      <c r="C28" s="1109" t="s">
        <v>116</v>
      </c>
      <c r="D28" s="1109" t="s">
        <v>116</v>
      </c>
      <c r="E28" s="1109" t="s">
        <v>116</v>
      </c>
      <c r="F28" s="1110" t="str">
        <f>""</f>
        <v/>
      </c>
      <c r="G28" s="1111">
        <v>6</v>
      </c>
      <c r="H28" s="1112" t="str">
        <f t="array" aca="1" ref="H28" ca="1">IFERROR(INDEX($A$10:$A$19,SMALL((IF(LEN($A$10:$A$19),ROW(INDIRECT("1:"&amp;ROWS($A$10:$A$19))))),ROW(A16)),1),"")</f>
        <v/>
      </c>
      <c r="I28" s="1113" t="str">
        <f t="array" aca="1" ref="I28" ca="1">IFERROR(INDEX($A$10:$A$32,SMALL((IF(LEN($A$10:$A$32),ROW(INDIRECT("1:"&amp;ROWS($A$10:$A$32))))),ROW(A16)),1),"")</f>
        <v/>
      </c>
      <c r="J28" s="129"/>
      <c r="K28" s="1059">
        <v>1.2999999999999999E-3</v>
      </c>
      <c r="L28" s="1064">
        <v>2.0999999999999999E-3</v>
      </c>
      <c r="M28" s="848">
        <v>1</v>
      </c>
      <c r="N28" s="849">
        <v>1</v>
      </c>
      <c r="O28" s="829">
        <v>0</v>
      </c>
      <c r="Q28" s="1114">
        <v>150</v>
      </c>
      <c r="R28" s="1115">
        <v>111.9</v>
      </c>
      <c r="S28" s="1116">
        <v>0.95</v>
      </c>
      <c r="T28" s="1116">
        <v>0.95</v>
      </c>
      <c r="U28" s="1105">
        <f t="shared" si="1"/>
        <v>0.78526315789473689</v>
      </c>
      <c r="Y28" s="1146" t="s">
        <v>116</v>
      </c>
      <c r="Z28" s="1092"/>
      <c r="AA28" s="1117" t="s">
        <v>1923</v>
      </c>
      <c r="AB28" s="1094" t="s">
        <v>1920</v>
      </c>
      <c r="AC28" s="1094" t="str">
        <f t="shared" si="0"/>
        <v>System 6 - Packaged VAV with PFP Boxes≥240,000 Btu/h and
&lt;760,000 Btu/h</v>
      </c>
      <c r="AD28" s="956">
        <v>10</v>
      </c>
      <c r="AE28" s="927" t="s">
        <v>2213</v>
      </c>
      <c r="AF28" s="927">
        <v>11.6</v>
      </c>
      <c r="AG28" s="928" t="s">
        <v>1921</v>
      </c>
    </row>
    <row r="29" spans="1:33" s="181" customFormat="1" ht="33" customHeight="1" x14ac:dyDescent="0.25">
      <c r="A29" s="1109" t="str">
        <f t="shared" si="3"/>
        <v/>
      </c>
      <c r="B29" s="1110" t="str">
        <f>""</f>
        <v/>
      </c>
      <c r="C29" s="1109" t="s">
        <v>117</v>
      </c>
      <c r="D29" s="1109" t="s">
        <v>117</v>
      </c>
      <c r="E29" s="1109" t="s">
        <v>117</v>
      </c>
      <c r="F29" s="1110" t="str">
        <f>""</f>
        <v/>
      </c>
      <c r="G29" s="1111">
        <v>7</v>
      </c>
      <c r="H29" s="1112" t="str">
        <f t="array" aca="1" ref="H29" ca="1">IFERROR(INDEX($A$10:$A$19,SMALL((IF(LEN($A$10:$A$19),ROW(INDIRECT("1:"&amp;ROWS($A$10:$A$19))))),ROW(A17)),1),"")</f>
        <v/>
      </c>
      <c r="I29" s="1113" t="str">
        <f t="array" aca="1" ref="I29" ca="1">IFERROR(INDEX($A$10:$A$32,SMALL((IF(LEN($A$10:$A$32),ROW(INDIRECT("1:"&amp;ROWS($A$10:$A$32))))),ROW(A17)),1),"")</f>
        <v/>
      </c>
      <c r="J29" s="129"/>
      <c r="K29" s="1059">
        <v>1.2999999999999999E-3</v>
      </c>
      <c r="L29" s="1064">
        <v>2.0999999999999999E-3</v>
      </c>
      <c r="M29" s="848">
        <v>1</v>
      </c>
      <c r="N29" s="849">
        <v>1</v>
      </c>
      <c r="O29" s="829">
        <v>0</v>
      </c>
      <c r="Q29" s="1119">
        <v>200</v>
      </c>
      <c r="R29" s="1120">
        <v>149.19999999999999</v>
      </c>
      <c r="S29" s="1121">
        <v>0.95</v>
      </c>
      <c r="T29" s="1121">
        <v>0.95</v>
      </c>
      <c r="U29" s="1105">
        <f t="shared" si="1"/>
        <v>0.78526315789473689</v>
      </c>
      <c r="Y29" s="1145" t="s">
        <v>116</v>
      </c>
      <c r="Z29" s="1106"/>
      <c r="AA29" s="1107" t="s">
        <v>1924</v>
      </c>
      <c r="AB29" s="1108" t="s">
        <v>1920</v>
      </c>
      <c r="AC29" s="1108" t="str">
        <f t="shared" si="0"/>
        <v>System 6 - Packaged VAV with PFP Boxes≥760,000 Btu/h</v>
      </c>
      <c r="AD29" s="957">
        <v>9.6999999999999993</v>
      </c>
      <c r="AE29" s="929" t="s">
        <v>2213</v>
      </c>
      <c r="AF29" s="929">
        <v>11.2</v>
      </c>
      <c r="AG29" s="930" t="s">
        <v>1921</v>
      </c>
    </row>
    <row r="30" spans="1:33" ht="30.75" customHeight="1" x14ac:dyDescent="0.25">
      <c r="A30" s="1109" t="str">
        <f t="shared" si="3"/>
        <v/>
      </c>
      <c r="B30" s="1110" t="str">
        <f>""</f>
        <v/>
      </c>
      <c r="C30" s="1109" t="s">
        <v>118</v>
      </c>
      <c r="D30" s="1109" t="s">
        <v>118</v>
      </c>
      <c r="E30" s="1109" t="s">
        <v>118</v>
      </c>
      <c r="F30" s="1110" t="str">
        <f>""</f>
        <v/>
      </c>
      <c r="G30" s="1111">
        <v>8</v>
      </c>
      <c r="H30" s="1112" t="str">
        <f t="array" aca="1" ref="H30" ca="1">IFERROR(INDEX($A$10:$A$19,SMALL((IF(LEN($A$10:$A$19),ROW(INDIRECT("1:"&amp;ROWS($A$10:$A$19))))),ROW(A18)),1),"")</f>
        <v/>
      </c>
      <c r="I30" s="1113" t="str">
        <f t="array" aca="1" ref="I30" ca="1">IFERROR(INDEX($A$10:$A$32,SMALL((IF(LEN($A$10:$A$32),ROW(INDIRECT("1:"&amp;ROWS($A$10:$A$32))))),ROW(A18)),1),"")</f>
        <v/>
      </c>
      <c r="K30" s="1059">
        <v>1.2999999999999999E-3</v>
      </c>
      <c r="L30" s="1064">
        <v>2.0999999999999999E-3</v>
      </c>
      <c r="M30" s="848">
        <v>1</v>
      </c>
      <c r="N30" s="849">
        <v>1</v>
      </c>
      <c r="O30" s="829">
        <v>0</v>
      </c>
      <c r="Q30" s="1114"/>
      <c r="R30" s="1115"/>
      <c r="S30" s="1116"/>
      <c r="T30" s="1116"/>
      <c r="U30" s="1105"/>
      <c r="Y30" s="183"/>
      <c r="Z30" s="183"/>
      <c r="AA30" s="183"/>
      <c r="AB30" s="183"/>
      <c r="AC30" s="183"/>
      <c r="AD30" s="183"/>
      <c r="AE30" s="183"/>
      <c r="AF30" s="183"/>
      <c r="AG30" s="183"/>
    </row>
    <row r="31" spans="1:33" ht="13.8" x14ac:dyDescent="0.25">
      <c r="A31" s="1109" t="str">
        <f t="shared" si="3"/>
        <v/>
      </c>
      <c r="B31" s="1110" t="str">
        <f>""</f>
        <v/>
      </c>
      <c r="C31" s="1122"/>
      <c r="D31" s="1109" t="s">
        <v>119</v>
      </c>
      <c r="E31" s="1109" t="s">
        <v>119</v>
      </c>
      <c r="F31" s="1110" t="str">
        <f>""</f>
        <v/>
      </c>
      <c r="G31" s="1111">
        <v>9</v>
      </c>
      <c r="H31" s="1112" t="str">
        <f t="array" aca="1" ref="H31" ca="1">IFERROR(INDEX($A$10:$A$19,SMALL((IF(LEN($A$10:$A$19),ROW(INDIRECT("1:"&amp;ROWS($A$10:$A$19))))),ROW(A19)),1),"")</f>
        <v/>
      </c>
      <c r="I31" s="1113" t="str">
        <f t="array" aca="1" ref="I31" ca="1">IFERROR(INDEX($A$10:$A$32,SMALL((IF(LEN($A$10:$A$32),ROW(INDIRECT("1:"&amp;ROWS($A$10:$A$32))))),ROW(A19)),1),"")</f>
        <v/>
      </c>
      <c r="K31" s="1059">
        <v>2.9999999999999997E-4</v>
      </c>
      <c r="L31" s="1064">
        <v>6.4000000000000005E-4</v>
      </c>
      <c r="M31" s="848">
        <v>0</v>
      </c>
      <c r="N31" s="849">
        <v>0</v>
      </c>
      <c r="O31" s="829">
        <v>5.3999999999999998E-5</v>
      </c>
      <c r="Q31" s="1114"/>
      <c r="R31" s="1115"/>
      <c r="S31" s="1116"/>
      <c r="T31" s="1116"/>
      <c r="U31" s="1105"/>
      <c r="Y31" s="183"/>
      <c r="Z31" s="183"/>
      <c r="AA31" s="183"/>
      <c r="AB31" s="183"/>
      <c r="AC31" s="183"/>
      <c r="AD31" s="183"/>
      <c r="AE31" s="183"/>
      <c r="AF31" s="183"/>
      <c r="AG31" s="183"/>
    </row>
    <row r="32" spans="1:33" ht="13.8" x14ac:dyDescent="0.25">
      <c r="A32" s="1122" t="str">
        <f t="shared" si="3"/>
        <v/>
      </c>
      <c r="B32" s="1123" t="str">
        <f>""</f>
        <v/>
      </c>
      <c r="C32" s="1122"/>
      <c r="D32" s="1122" t="s">
        <v>120</v>
      </c>
      <c r="E32" s="1122" t="s">
        <v>120</v>
      </c>
      <c r="F32" s="1123" t="str">
        <f>""</f>
        <v/>
      </c>
      <c r="G32" s="1111">
        <v>10</v>
      </c>
      <c r="H32" s="1112" t="str">
        <f t="array" aca="1" ref="H32" ca="1">IFERROR(INDEX($A$10:$A$19,SMALL((IF(LEN($A$10:$A$19),ROW(INDIRECT("1:"&amp;ROWS($A$10:$A$19))))),ROW(A20)),1),"")</f>
        <v/>
      </c>
      <c r="I32" s="1113" t="str">
        <f t="array" aca="1" ref="I32" ca="1">IFERROR(INDEX($A$10:$A$32,SMALL((IF(LEN($A$10:$A$32),ROW(INDIRECT("1:"&amp;ROWS($A$10:$A$32))))),ROW(A20)),1),"")</f>
        <v/>
      </c>
      <c r="K32" s="1059">
        <v>2.9999999999999997E-4</v>
      </c>
      <c r="L32" s="1124">
        <v>6.4000000000000005E-4</v>
      </c>
      <c r="M32" s="1138">
        <v>0</v>
      </c>
      <c r="N32" s="1139">
        <v>0</v>
      </c>
      <c r="O32" s="832">
        <v>5.3999999999999998E-5</v>
      </c>
      <c r="Q32" s="1119"/>
      <c r="R32" s="1120"/>
      <c r="S32" s="1121"/>
      <c r="T32" s="1121"/>
      <c r="U32" s="1105"/>
      <c r="X32" s="4"/>
      <c r="Y32" s="931" t="s">
        <v>1904</v>
      </c>
      <c r="Z32" s="932" t="s">
        <v>1905</v>
      </c>
      <c r="AA32" s="932" t="s">
        <v>1906</v>
      </c>
      <c r="AB32" s="932" t="s">
        <v>1907</v>
      </c>
      <c r="AC32" s="932" t="s">
        <v>1908</v>
      </c>
      <c r="AD32" s="932" t="s">
        <v>1927</v>
      </c>
      <c r="AE32" s="933"/>
      <c r="AF32" s="183"/>
      <c r="AG32" s="183"/>
    </row>
    <row r="33" spans="1:33" ht="13.8" x14ac:dyDescent="0.25">
      <c r="A33" s="1122"/>
      <c r="B33" s="1123"/>
      <c r="C33" s="1122" t="s">
        <v>1852</v>
      </c>
      <c r="D33" s="1122" t="s">
        <v>1852</v>
      </c>
      <c r="E33" s="1122" t="s">
        <v>1852</v>
      </c>
      <c r="F33" s="1123"/>
      <c r="G33" s="1111">
        <v>11</v>
      </c>
      <c r="H33" s="1112"/>
      <c r="I33" s="1113"/>
      <c r="K33" s="1059">
        <v>6.2E-4</v>
      </c>
      <c r="L33" s="1133">
        <v>1.3226666666666669E-3</v>
      </c>
      <c r="M33" s="848">
        <v>1</v>
      </c>
      <c r="N33" s="849">
        <v>1</v>
      </c>
      <c r="O33" s="829">
        <v>0</v>
      </c>
      <c r="Q33" s="1119"/>
      <c r="R33" s="1120"/>
      <c r="S33" s="1121"/>
      <c r="T33" s="1121"/>
      <c r="U33" s="1105"/>
      <c r="X33" s="1184"/>
      <c r="Y33" s="1181" t="s">
        <v>111</v>
      </c>
      <c r="Z33" s="1183" t="s">
        <v>2252</v>
      </c>
      <c r="AA33" s="1183" t="s">
        <v>2255</v>
      </c>
      <c r="AB33" s="1183"/>
      <c r="AC33" s="1182" t="str">
        <f>Y33&amp;AA33</f>
        <v>System 1 - PTAC&lt;300,000 Btu/h</v>
      </c>
      <c r="AD33" s="1183" t="s">
        <v>2260</v>
      </c>
      <c r="AE33" s="1185"/>
      <c r="AF33" s="183"/>
      <c r="AG33" s="183"/>
    </row>
    <row r="34" spans="1:33" ht="28.2" x14ac:dyDescent="0.3">
      <c r="A34" s="1122"/>
      <c r="B34" s="1123"/>
      <c r="C34" s="1122" t="s">
        <v>1853</v>
      </c>
      <c r="D34" s="1122" t="s">
        <v>1853</v>
      </c>
      <c r="E34" s="1122" t="s">
        <v>1853</v>
      </c>
      <c r="F34" s="1123"/>
      <c r="G34" s="1111">
        <v>12</v>
      </c>
      <c r="H34" s="1112"/>
      <c r="I34" s="1113"/>
      <c r="K34" s="829">
        <v>9.3999999999999997E-4</v>
      </c>
      <c r="L34" s="1134">
        <v>2.0053333333333338E-3</v>
      </c>
      <c r="M34" s="848">
        <v>1</v>
      </c>
      <c r="N34" s="849">
        <v>1</v>
      </c>
      <c r="O34" s="829">
        <v>0</v>
      </c>
      <c r="Q34" s="1119"/>
      <c r="R34" s="1120"/>
      <c r="S34" s="1121"/>
      <c r="T34" s="1121"/>
      <c r="U34" s="1105"/>
      <c r="X34" s="1184"/>
      <c r="Y34" s="934" t="s">
        <v>111</v>
      </c>
      <c r="Z34" s="936"/>
      <c r="AA34" s="935" t="s">
        <v>2256</v>
      </c>
      <c r="AB34" s="936"/>
      <c r="AC34" s="935" t="str">
        <f>Y34&amp;AA34</f>
        <v>System 1 - PTAC≥300,000 Btu/h and
≤2,500,000 Btu/h</v>
      </c>
      <c r="AD34" s="936" t="s">
        <v>629</v>
      </c>
      <c r="AE34" s="937"/>
      <c r="AF34" s="183"/>
      <c r="AG34" s="183"/>
    </row>
    <row r="35" spans="1:33" ht="13.8" x14ac:dyDescent="0.25">
      <c r="A35" s="1122"/>
      <c r="B35" s="1123"/>
      <c r="C35" s="1122" t="s">
        <v>1854</v>
      </c>
      <c r="D35" s="1122" t="s">
        <v>1854</v>
      </c>
      <c r="E35" s="1122" t="s">
        <v>1854</v>
      </c>
      <c r="F35" s="1123"/>
      <c r="G35" s="1111">
        <v>13</v>
      </c>
      <c r="H35" s="1112"/>
      <c r="I35" s="1113"/>
      <c r="K35" s="829">
        <v>9.3999999999999997E-4</v>
      </c>
      <c r="L35" s="1134">
        <v>2.0053333333333338E-3</v>
      </c>
      <c r="M35" s="848">
        <v>1</v>
      </c>
      <c r="N35" s="849">
        <v>1</v>
      </c>
      <c r="O35" s="829">
        <v>0</v>
      </c>
      <c r="Q35" s="1119"/>
      <c r="R35" s="1120"/>
      <c r="S35" s="1121"/>
      <c r="T35" s="1121"/>
      <c r="U35" s="1105"/>
      <c r="X35" s="1184"/>
      <c r="Y35" s="934" t="s">
        <v>111</v>
      </c>
      <c r="Z35" s="936"/>
      <c r="AA35" s="935" t="s">
        <v>2257</v>
      </c>
      <c r="AB35" s="936"/>
      <c r="AC35" s="935" t="str">
        <f>Y35&amp;AA35</f>
        <v>System 1 - PTAC&gt;2,500,000 Btu/h</v>
      </c>
      <c r="AD35" s="936" t="s">
        <v>628</v>
      </c>
      <c r="AE35" s="937"/>
      <c r="AF35" s="183"/>
      <c r="AG35" s="183"/>
    </row>
    <row r="36" spans="1:33" ht="39" customHeight="1" x14ac:dyDescent="0.25">
      <c r="Q36" s="4292" t="s">
        <v>2201</v>
      </c>
      <c r="R36" s="4292"/>
      <c r="S36" s="4292"/>
      <c r="T36" s="4292"/>
      <c r="X36" s="4"/>
      <c r="Y36" s="1192" t="s">
        <v>112</v>
      </c>
      <c r="Z36" s="1189" t="s">
        <v>1928</v>
      </c>
      <c r="AA36" s="1189" t="s">
        <v>1912</v>
      </c>
      <c r="AB36" s="1190"/>
      <c r="AC36" s="1189" t="str">
        <f t="shared" ref="AC36:AC42" si="4">Y36&amp;AA36</f>
        <v>System 2 - PTHPAll capacities</v>
      </c>
      <c r="AD36" s="1190" t="s">
        <v>1913</v>
      </c>
      <c r="AE36" s="1191"/>
      <c r="AF36" s="183"/>
      <c r="AG36" s="183"/>
    </row>
    <row r="37" spans="1:33" ht="27.6" x14ac:dyDescent="0.25">
      <c r="C37" s="1131" t="s">
        <v>1940</v>
      </c>
      <c r="D37" s="1131" t="s">
        <v>1941</v>
      </c>
      <c r="E37" s="1131" t="s">
        <v>1937</v>
      </c>
      <c r="F37" s="1131" t="s">
        <v>1936</v>
      </c>
      <c r="G37" s="1131" t="s">
        <v>1938</v>
      </c>
      <c r="H37" s="1131" t="s">
        <v>1942</v>
      </c>
      <c r="I37" s="1131" t="s">
        <v>1939</v>
      </c>
      <c r="X37" s="4"/>
      <c r="Y37" s="1187" t="s">
        <v>112</v>
      </c>
      <c r="Z37" s="1128" t="s">
        <v>1929</v>
      </c>
      <c r="AA37" s="1128" t="s">
        <v>1912</v>
      </c>
      <c r="AB37" s="1129"/>
      <c r="AC37" s="1128" t="str">
        <f t="shared" si="4"/>
        <v>System 2 - PTHPAll capacities</v>
      </c>
      <c r="AD37" s="1129" t="s">
        <v>1913</v>
      </c>
      <c r="AE37" s="1130"/>
      <c r="AF37" s="183"/>
      <c r="AG37" s="183"/>
    </row>
    <row r="38" spans="1:33" ht="27.6" x14ac:dyDescent="0.25">
      <c r="C38" s="1132" t="s">
        <v>111</v>
      </c>
      <c r="D38" s="1132" t="s">
        <v>112</v>
      </c>
      <c r="E38" s="1132" t="s">
        <v>111</v>
      </c>
      <c r="F38" s="1132" t="s">
        <v>119</v>
      </c>
      <c r="G38" s="1132" t="s">
        <v>113</v>
      </c>
      <c r="H38" s="1132" t="s">
        <v>111</v>
      </c>
      <c r="I38" s="1132" t="s">
        <v>115</v>
      </c>
      <c r="X38" s="1184"/>
      <c r="Y38" s="1193" t="s">
        <v>113</v>
      </c>
      <c r="Z38" s="1125" t="s">
        <v>1930</v>
      </c>
      <c r="AA38" s="1125" t="s">
        <v>1931</v>
      </c>
      <c r="AB38" s="1126"/>
      <c r="AC38" s="1125" t="str">
        <f t="shared" si="4"/>
        <v>System 3 - PSZ-AC&lt;225,000 Btu/h</v>
      </c>
      <c r="AD38" s="1126" t="s">
        <v>2258</v>
      </c>
      <c r="AE38" s="1127"/>
      <c r="AF38" s="183"/>
      <c r="AG38" s="183"/>
    </row>
    <row r="39" spans="1:33" ht="41.4" x14ac:dyDescent="0.25">
      <c r="C39" s="1132" t="s">
        <v>112</v>
      </c>
      <c r="D39" s="1132" t="s">
        <v>113</v>
      </c>
      <c r="E39" s="1132" t="s">
        <v>1943</v>
      </c>
      <c r="F39" s="1132" t="s">
        <v>120</v>
      </c>
      <c r="G39" s="1132" t="s">
        <v>114</v>
      </c>
      <c r="H39" s="1132" t="s">
        <v>1943</v>
      </c>
      <c r="I39" s="1132" t="s">
        <v>133</v>
      </c>
      <c r="X39" s="1184"/>
      <c r="Y39" s="1193" t="s">
        <v>113</v>
      </c>
      <c r="Z39" s="1125" t="s">
        <v>1930</v>
      </c>
      <c r="AA39" s="1125" t="s">
        <v>1932</v>
      </c>
      <c r="AB39" s="1126"/>
      <c r="AC39" s="1125" t="str">
        <f t="shared" si="4"/>
        <v>System 3 - PSZ-AC≥225,000 Btu/h</v>
      </c>
      <c r="AD39" s="1126" t="s">
        <v>1962</v>
      </c>
      <c r="AE39" s="1127"/>
      <c r="AF39" s="183"/>
      <c r="AG39" s="183"/>
    </row>
    <row r="40" spans="1:33" ht="41.4" x14ac:dyDescent="0.25">
      <c r="C40" s="1132" t="s">
        <v>113</v>
      </c>
      <c r="D40" s="1132" t="s">
        <v>131</v>
      </c>
      <c r="E40" s="1132" t="s">
        <v>136</v>
      </c>
      <c r="F40" s="1132" t="s">
        <v>140</v>
      </c>
      <c r="G40" s="1132" t="s">
        <v>119</v>
      </c>
      <c r="H40" s="1132" t="s">
        <v>136</v>
      </c>
      <c r="I40" s="1132" t="s">
        <v>138</v>
      </c>
      <c r="X40" s="4"/>
      <c r="Y40" s="1192" t="s">
        <v>114</v>
      </c>
      <c r="Z40" s="1189" t="s">
        <v>2254</v>
      </c>
      <c r="AA40" s="1189" t="s">
        <v>1933</v>
      </c>
      <c r="AB40" s="1190"/>
      <c r="AC40" s="1189" t="str">
        <f t="shared" si="4"/>
        <v>System 4 - PSZ-HP&lt;65,000 Btu/h
(cooling capacity)</v>
      </c>
      <c r="AD40" s="1190" t="s">
        <v>1961</v>
      </c>
      <c r="AE40" s="1191"/>
      <c r="AF40" s="183"/>
      <c r="AG40" s="183"/>
    </row>
    <row r="41" spans="1:33" ht="69" x14ac:dyDescent="0.25">
      <c r="C41" s="1132" t="s">
        <v>114</v>
      </c>
      <c r="D41" s="1132" t="s">
        <v>114</v>
      </c>
      <c r="E41" s="1132" t="s">
        <v>1944</v>
      </c>
      <c r="F41" s="1089"/>
      <c r="G41" s="1132" t="s">
        <v>120</v>
      </c>
      <c r="H41" s="1132" t="s">
        <v>1944</v>
      </c>
      <c r="I41" s="1132" t="s">
        <v>142</v>
      </c>
      <c r="X41" s="4"/>
      <c r="Y41" s="1186" t="s">
        <v>114</v>
      </c>
      <c r="Z41" s="1125"/>
      <c r="AA41" s="1125" t="s">
        <v>1934</v>
      </c>
      <c r="AB41" s="1126"/>
      <c r="AC41" s="1125" t="str">
        <f t="shared" si="4"/>
        <v>System 4 - PSZ-HP≥65,000 Btu/h and
&lt;135,000 Btu/h
(cooling capacity)
47°F db/43°F wb
outdoor air</v>
      </c>
      <c r="AD41" s="1126" t="s">
        <v>1960</v>
      </c>
      <c r="AE41" s="1127"/>
      <c r="AF41" s="183"/>
      <c r="AG41" s="183"/>
    </row>
    <row r="42" spans="1:33" ht="96.6" x14ac:dyDescent="0.25">
      <c r="C42" s="1132" t="s">
        <v>115</v>
      </c>
      <c r="D42" s="1132" t="s">
        <v>132</v>
      </c>
      <c r="E42" s="1132" t="s">
        <v>136</v>
      </c>
      <c r="F42" s="1089"/>
      <c r="G42" s="1132" t="s">
        <v>131</v>
      </c>
      <c r="H42" s="1132" t="s">
        <v>112</v>
      </c>
      <c r="I42" s="1132" t="s">
        <v>116</v>
      </c>
      <c r="X42" s="4"/>
      <c r="Y42" s="1187" t="s">
        <v>114</v>
      </c>
      <c r="Z42" s="1128"/>
      <c r="AA42" s="1128" t="s">
        <v>1935</v>
      </c>
      <c r="AB42" s="1129"/>
      <c r="AC42" s="1128" t="str">
        <f t="shared" si="4"/>
        <v>System 4 - PSZ-HP≥135,000 Btu/h
(cooling capacity)
47°F db/43°F wb
outdoor air</v>
      </c>
      <c r="AD42" s="1129" t="s">
        <v>1959</v>
      </c>
      <c r="AE42" s="1130"/>
    </row>
    <row r="43" spans="1:33" ht="96.6" x14ac:dyDescent="0.25">
      <c r="C43" s="1132" t="s">
        <v>116</v>
      </c>
      <c r="D43" s="1132" t="s">
        <v>119</v>
      </c>
      <c r="E43" s="1132" t="s">
        <v>1944</v>
      </c>
      <c r="F43" s="1089"/>
      <c r="G43" s="1132" t="s">
        <v>132</v>
      </c>
      <c r="H43" s="1132" t="s">
        <v>1945</v>
      </c>
      <c r="I43" s="1132" t="s">
        <v>134</v>
      </c>
      <c r="X43" s="1184"/>
      <c r="Y43" s="1186" t="s">
        <v>115</v>
      </c>
      <c r="Z43" s="1126" t="s">
        <v>2252</v>
      </c>
      <c r="AA43" s="1126" t="s">
        <v>2255</v>
      </c>
      <c r="AB43" s="1126"/>
      <c r="AC43" s="1125" t="str">
        <f t="shared" ref="AC43:AC58" si="5">Y43&amp;AA43</f>
        <v>System 5 - Packaged VAV with Reheat&lt;300,000 Btu/h</v>
      </c>
      <c r="AD43" s="1183" t="s">
        <v>2260</v>
      </c>
      <c r="AE43" s="1127"/>
    </row>
    <row r="44" spans="1:33" ht="28.2" x14ac:dyDescent="0.3">
      <c r="C44" s="1132" t="s">
        <v>136</v>
      </c>
      <c r="D44" s="1132"/>
      <c r="E44" s="1132" t="s">
        <v>112</v>
      </c>
      <c r="F44" s="1089"/>
      <c r="G44" s="1132"/>
      <c r="H44" s="1132" t="s">
        <v>119</v>
      </c>
      <c r="I44" s="1132" t="s">
        <v>117</v>
      </c>
      <c r="X44" s="1184"/>
      <c r="Y44" s="1186" t="s">
        <v>115</v>
      </c>
      <c r="Z44" s="1126"/>
      <c r="AA44" s="1125" t="s">
        <v>2259</v>
      </c>
      <c r="AB44" s="1126"/>
      <c r="AC44" s="1125" t="str">
        <f t="shared" si="5"/>
        <v>System 5 - Packaged VAV with Reheat≥300,000 Btu/h and
≤2,500,000 Btu/h</v>
      </c>
      <c r="AD44" s="936" t="s">
        <v>629</v>
      </c>
      <c r="AE44" s="1127"/>
    </row>
    <row r="45" spans="1:33" ht="41.4" x14ac:dyDescent="0.25">
      <c r="C45" s="1132" t="s">
        <v>137</v>
      </c>
      <c r="D45" s="1089"/>
      <c r="E45" s="1132" t="s">
        <v>1945</v>
      </c>
      <c r="F45" s="1089"/>
      <c r="G45" s="1132"/>
      <c r="H45" s="1132" t="s">
        <v>119</v>
      </c>
      <c r="I45" s="1132" t="s">
        <v>135</v>
      </c>
      <c r="X45" s="1184"/>
      <c r="Y45" s="1186" t="s">
        <v>115</v>
      </c>
      <c r="Z45" s="1126"/>
      <c r="AA45" s="1125" t="s">
        <v>2257</v>
      </c>
      <c r="AB45" s="1126"/>
      <c r="AC45" s="1125" t="str">
        <f t="shared" si="5"/>
        <v>System 5 - Packaged VAV with Reheat&gt;2,500,000 Btu/h</v>
      </c>
      <c r="AD45" s="936" t="s">
        <v>628</v>
      </c>
      <c r="AE45" s="1127"/>
    </row>
    <row r="46" spans="1:33" ht="27.6" x14ac:dyDescent="0.25">
      <c r="C46" s="1132" t="s">
        <v>138</v>
      </c>
      <c r="D46" s="1132"/>
      <c r="E46" s="1132" t="s">
        <v>119</v>
      </c>
      <c r="F46" s="1089"/>
      <c r="G46" s="1132"/>
      <c r="H46" s="1132" t="s">
        <v>140</v>
      </c>
      <c r="I46" s="1132" t="s">
        <v>139</v>
      </c>
      <c r="X46" s="4"/>
      <c r="Y46" s="1188" t="s">
        <v>116</v>
      </c>
      <c r="Z46" s="1189" t="s">
        <v>2253</v>
      </c>
      <c r="AA46" s="1189" t="s">
        <v>1917</v>
      </c>
      <c r="AB46" s="1190" t="s">
        <v>569</v>
      </c>
      <c r="AC46" s="1189" t="str">
        <f t="shared" si="5"/>
        <v>System 6 - Packaged VAV with PFP Boxes&lt;65,000 Btu/h</v>
      </c>
      <c r="AD46" s="1190"/>
      <c r="AE46" s="1191"/>
    </row>
    <row r="47" spans="1:33" ht="27.6" x14ac:dyDescent="0.25">
      <c r="C47" s="1089"/>
      <c r="D47" s="1089"/>
      <c r="E47" s="1132" t="s">
        <v>140</v>
      </c>
      <c r="F47" s="1089"/>
      <c r="G47" s="1132"/>
      <c r="H47" s="1132" t="s">
        <v>140</v>
      </c>
      <c r="I47" s="1132" t="s">
        <v>1946</v>
      </c>
      <c r="X47" s="4"/>
      <c r="Y47" s="1186" t="s">
        <v>116</v>
      </c>
      <c r="Z47" s="1125"/>
      <c r="AA47" s="1125" t="s">
        <v>1919</v>
      </c>
      <c r="AB47" s="1126" t="s">
        <v>1920</v>
      </c>
      <c r="AC47" s="1125" t="str">
        <f t="shared" si="5"/>
        <v>System 6 - Packaged VAV with PFP Boxes≥65,000 Btu/h and
&lt;135,000 Btu/h</v>
      </c>
      <c r="AD47" s="1126"/>
      <c r="AE47" s="1127"/>
    </row>
    <row r="48" spans="1:33" ht="27.6" x14ac:dyDescent="0.25">
      <c r="C48" s="1089"/>
      <c r="D48" s="1089"/>
      <c r="E48" s="1132" t="s">
        <v>120</v>
      </c>
      <c r="F48" s="1089"/>
      <c r="G48" s="1132"/>
      <c r="H48" s="1132" t="s">
        <v>120</v>
      </c>
      <c r="I48" s="1089" t="s">
        <v>118</v>
      </c>
      <c r="X48" s="4"/>
      <c r="Y48" s="1186" t="s">
        <v>116</v>
      </c>
      <c r="Z48" s="1125"/>
      <c r="AA48" s="1125" t="s">
        <v>1922</v>
      </c>
      <c r="AB48" s="1126" t="s">
        <v>1920</v>
      </c>
      <c r="AC48" s="1125" t="str">
        <f t="shared" si="5"/>
        <v>System 6 - Packaged VAV with PFP Boxes≥135,000 Btu/h and
&lt;240,000 Btu/h</v>
      </c>
      <c r="AD48" s="1126"/>
      <c r="AE48" s="1127"/>
    </row>
    <row r="49" spans="2:31" s="42" customFormat="1" ht="27.6" x14ac:dyDescent="0.25">
      <c r="B49" s="184"/>
      <c r="C49" s="1089"/>
      <c r="D49" s="1089"/>
      <c r="E49" s="1089"/>
      <c r="F49" s="1089"/>
      <c r="G49" s="1132"/>
      <c r="H49" s="1132" t="s">
        <v>120</v>
      </c>
      <c r="I49" s="1089" t="s">
        <v>1947</v>
      </c>
      <c r="X49" s="4"/>
      <c r="Y49" s="1186" t="s">
        <v>116</v>
      </c>
      <c r="Z49" s="1125"/>
      <c r="AA49" s="1125" t="s">
        <v>1923</v>
      </c>
      <c r="AB49" s="1126" t="s">
        <v>1920</v>
      </c>
      <c r="AC49" s="1125" t="str">
        <f t="shared" si="5"/>
        <v>System 6 - Packaged VAV with PFP Boxes≥240,000 Btu/h and
&lt;760,000 Btu/h</v>
      </c>
      <c r="AD49" s="1126"/>
      <c r="AE49" s="1127"/>
    </row>
    <row r="50" spans="2:31" s="42" customFormat="1" ht="13.8" x14ac:dyDescent="0.25">
      <c r="B50" s="184"/>
      <c r="C50" s="1089"/>
      <c r="D50" s="1089"/>
      <c r="E50" s="1089"/>
      <c r="F50" s="1089"/>
      <c r="G50" s="1132"/>
      <c r="H50" s="1089"/>
      <c r="I50" s="1089"/>
      <c r="X50" s="4"/>
      <c r="Y50" s="1187" t="s">
        <v>116</v>
      </c>
      <c r="Z50" s="1129"/>
      <c r="AA50" s="1129" t="s">
        <v>1924</v>
      </c>
      <c r="AB50" s="1129" t="s">
        <v>1920</v>
      </c>
      <c r="AC50" s="1128" t="str">
        <f t="shared" si="5"/>
        <v>System 6 - Packaged VAV with PFP Boxes≥760,000 Btu/h</v>
      </c>
      <c r="AD50" s="1129"/>
      <c r="AE50" s="1130"/>
    </row>
    <row r="51" spans="2:31" s="42" customFormat="1" ht="13.8" x14ac:dyDescent="0.25">
      <c r="B51" s="184"/>
      <c r="C51" s="1089"/>
      <c r="D51" s="1089"/>
      <c r="E51" s="1089"/>
      <c r="F51" s="1089"/>
      <c r="G51" s="1089"/>
      <c r="H51" s="1089"/>
      <c r="I51" s="1089"/>
      <c r="X51" s="1184"/>
      <c r="Y51" s="1193" t="s">
        <v>119</v>
      </c>
      <c r="Z51" s="1125" t="s">
        <v>1930</v>
      </c>
      <c r="AA51" s="1125" t="s">
        <v>1931</v>
      </c>
      <c r="AB51" s="1126"/>
      <c r="AC51" s="1125" t="str">
        <f t="shared" si="5"/>
        <v>System 9 - Heating and Ventilation&lt;225,000 Btu/h</v>
      </c>
      <c r="AD51" s="1126" t="s">
        <v>2258</v>
      </c>
      <c r="AE51" s="1127"/>
    </row>
    <row r="52" spans="2:31" ht="13.8" x14ac:dyDescent="0.25">
      <c r="X52" s="1184"/>
      <c r="Y52" s="1193" t="s">
        <v>119</v>
      </c>
      <c r="Z52" s="1125" t="s">
        <v>1930</v>
      </c>
      <c r="AA52" s="1125" t="s">
        <v>1932</v>
      </c>
      <c r="AB52" s="1126"/>
      <c r="AC52" s="1125" t="str">
        <f t="shared" si="5"/>
        <v>System 9 - Heating and Ventilation≥225,000 Btu/h</v>
      </c>
      <c r="AD52" s="1126" t="s">
        <v>1962</v>
      </c>
      <c r="AE52" s="1127"/>
    </row>
    <row r="53" spans="2:31" ht="13.8" x14ac:dyDescent="0.25">
      <c r="X53" s="1184"/>
      <c r="Y53" s="1192" t="s">
        <v>117</v>
      </c>
      <c r="Z53" s="1190" t="s">
        <v>2252</v>
      </c>
      <c r="AA53" s="1190" t="s">
        <v>2255</v>
      </c>
      <c r="AB53" s="1190"/>
      <c r="AC53" s="1189" t="str">
        <f t="shared" si="5"/>
        <v>System 7 - VAV with Reheat&lt;300,000 Btu/h</v>
      </c>
      <c r="AD53" s="1183" t="s">
        <v>2260</v>
      </c>
      <c r="AE53" s="1191"/>
    </row>
    <row r="54" spans="2:31" ht="28.2" x14ac:dyDescent="0.3">
      <c r="X54" s="1184"/>
      <c r="Y54" s="1186" t="s">
        <v>117</v>
      </c>
      <c r="Z54" s="1126"/>
      <c r="AA54" s="1125" t="s">
        <v>2259</v>
      </c>
      <c r="AB54" s="1126"/>
      <c r="AC54" s="1125" t="str">
        <f t="shared" si="5"/>
        <v>System 7 - VAV with Reheat≥300,000 Btu/h and
≤2,500,000 Btu/h</v>
      </c>
      <c r="AD54" s="936" t="s">
        <v>629</v>
      </c>
      <c r="AE54" s="1127"/>
    </row>
    <row r="55" spans="2:31" ht="13.8" x14ac:dyDescent="0.25">
      <c r="X55" s="1184"/>
      <c r="Y55" s="1187" t="s">
        <v>117</v>
      </c>
      <c r="Z55" s="1129"/>
      <c r="AA55" s="1128" t="s">
        <v>2257</v>
      </c>
      <c r="AB55" s="1129"/>
      <c r="AC55" s="1128" t="str">
        <f t="shared" si="5"/>
        <v>System 7 - VAV with Reheat&gt;2,500,000 Btu/h</v>
      </c>
      <c r="AD55" s="936" t="s">
        <v>628</v>
      </c>
      <c r="AE55" s="1130"/>
    </row>
    <row r="56" spans="2:31" ht="13.8" x14ac:dyDescent="0.25">
      <c r="X56" s="1184"/>
      <c r="Y56" s="1186" t="s">
        <v>1853</v>
      </c>
      <c r="Z56" s="1126" t="s">
        <v>2252</v>
      </c>
      <c r="AA56" s="1126" t="s">
        <v>2255</v>
      </c>
      <c r="AB56" s="1126"/>
      <c r="AC56" s="1125" t="str">
        <f t="shared" si="5"/>
        <v>System 12 - SZ-CV-HW&lt;300,000 Btu/h</v>
      </c>
      <c r="AD56" s="1183" t="s">
        <v>2260</v>
      </c>
      <c r="AE56" s="1127"/>
    </row>
    <row r="57" spans="2:31" ht="28.2" x14ac:dyDescent="0.3">
      <c r="X57" s="1184"/>
      <c r="Y57" s="1186" t="s">
        <v>1853</v>
      </c>
      <c r="Z57" s="1126"/>
      <c r="AA57" s="1125" t="s">
        <v>2259</v>
      </c>
      <c r="AB57" s="1126"/>
      <c r="AC57" s="1125" t="str">
        <f t="shared" si="5"/>
        <v>System 12 - SZ-CV-HW≥300,000 Btu/h and
≤2,500,000 Btu/h</v>
      </c>
      <c r="AD57" s="936" t="s">
        <v>629</v>
      </c>
      <c r="AE57" s="1127"/>
    </row>
    <row r="58" spans="2:31" ht="13.8" x14ac:dyDescent="0.25">
      <c r="X58" s="1184"/>
      <c r="Y58" s="1187" t="s">
        <v>1853</v>
      </c>
      <c r="Z58" s="1129"/>
      <c r="AA58" s="1128" t="s">
        <v>2257</v>
      </c>
      <c r="AB58" s="1129"/>
      <c r="AC58" s="1128" t="str">
        <f t="shared" si="5"/>
        <v>System 12 - SZ-CV-HW&gt;2,500,000 Btu/h</v>
      </c>
      <c r="AD58" s="936" t="s">
        <v>628</v>
      </c>
      <c r="AE58" s="1130"/>
    </row>
  </sheetData>
  <sheetProtection algorithmName="SHA-512" hashValue="lfwMc7F1cjA1JBHprnVy62f9S2i2YdzJNQcfVTBLB4Dwgw4s0h+AXr6Idmkz5kin9gIWP3GwKpwl/eBsIh7BMQ==" saltValue="5SseP3Ma/znzci+Oo7Laag==" spinCount="100000" sheet="1" objects="1" scenarios="1"/>
  <mergeCells count="14">
    <mergeCell ref="S8:S9"/>
    <mergeCell ref="T8:T9"/>
    <mergeCell ref="U8:U9"/>
    <mergeCell ref="Q36:T36"/>
    <mergeCell ref="K7:O7"/>
    <mergeCell ref="Q7:U7"/>
    <mergeCell ref="N8:N9"/>
    <mergeCell ref="Q8:Q9"/>
    <mergeCell ref="R8:R9"/>
    <mergeCell ref="G8:G9"/>
    <mergeCell ref="H8:H9"/>
    <mergeCell ref="I8:I9"/>
    <mergeCell ref="K8:L8"/>
    <mergeCell ref="M8:M9"/>
  </mergeCell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19">
    <tabColor theme="5" tint="0.39997558519241921"/>
  </sheetPr>
  <dimension ref="A1:V127"/>
  <sheetViews>
    <sheetView workbookViewId="0"/>
  </sheetViews>
  <sheetFormatPr defaultColWidth="8.69921875" defaultRowHeight="13.8" x14ac:dyDescent="0.25"/>
  <cols>
    <col min="1" max="1" width="9" style="59" customWidth="1"/>
    <col min="2" max="2" width="21" style="59" customWidth="1"/>
    <col min="3" max="3" width="20.796875" style="59" customWidth="1"/>
    <col min="4" max="4" width="14.19921875" style="59" customWidth="1"/>
    <col min="5" max="5" width="12.296875" style="59" customWidth="1"/>
    <col min="6" max="6" width="14" style="59" customWidth="1"/>
    <col min="7" max="7" width="12.296875" style="59" customWidth="1"/>
    <col min="8" max="9" width="8.69921875" style="59"/>
    <col min="10" max="10" width="17.69921875" style="59" customWidth="1"/>
    <col min="11" max="13" width="8.69921875" style="59"/>
    <col min="14" max="14" width="11.19921875" style="59" customWidth="1"/>
    <col min="15" max="15" width="10.796875" style="59" customWidth="1"/>
    <col min="16" max="16" width="8.69921875" style="59"/>
    <col min="17" max="17" width="11.296875" style="59" customWidth="1"/>
    <col min="18" max="18" width="8.69921875" style="59"/>
    <col min="19" max="19" width="10.796875" style="59" customWidth="1"/>
    <col min="20" max="16384" width="8.69921875" style="59"/>
  </cols>
  <sheetData>
    <row r="1" spans="1:22" ht="21" x14ac:dyDescent="0.4">
      <c r="A1" s="97" t="s">
        <v>702</v>
      </c>
      <c r="B1" s="60"/>
      <c r="C1" s="60"/>
      <c r="D1" s="60"/>
      <c r="E1" s="60"/>
      <c r="F1" s="60"/>
      <c r="G1" s="60"/>
      <c r="H1" s="60"/>
      <c r="I1" s="60"/>
      <c r="J1" s="60"/>
      <c r="K1" s="60"/>
      <c r="L1" s="60"/>
      <c r="M1" s="60"/>
      <c r="N1" s="60"/>
      <c r="O1" s="60"/>
      <c r="P1" s="60"/>
      <c r="Q1" s="60"/>
      <c r="R1" s="60"/>
      <c r="S1" s="60"/>
      <c r="T1" s="60"/>
      <c r="U1" s="60"/>
      <c r="V1" s="60"/>
    </row>
    <row r="2" spans="1:22" ht="21" x14ac:dyDescent="0.4">
      <c r="A2" s="97"/>
      <c r="B2" s="60"/>
      <c r="C2" s="60"/>
      <c r="D2" s="60"/>
      <c r="E2" s="60"/>
      <c r="F2" s="60"/>
      <c r="G2" s="60"/>
      <c r="H2" s="60"/>
      <c r="I2" s="60"/>
      <c r="J2" s="60"/>
      <c r="K2" s="60"/>
      <c r="L2" s="60"/>
      <c r="M2" s="60"/>
      <c r="N2" s="60"/>
      <c r="O2" s="60"/>
      <c r="P2" s="60"/>
      <c r="Q2" s="60"/>
      <c r="R2" s="60"/>
      <c r="S2" s="60"/>
      <c r="T2" s="60"/>
      <c r="U2" s="60"/>
      <c r="V2" s="60"/>
    </row>
    <row r="3" spans="1:22" x14ac:dyDescent="0.25">
      <c r="A3" s="60"/>
      <c r="B3" s="96" t="s">
        <v>701</v>
      </c>
      <c r="C3" s="81"/>
      <c r="D3" s="81"/>
      <c r="E3" s="81"/>
      <c r="F3" s="81"/>
      <c r="G3" s="81"/>
      <c r="H3" s="81"/>
      <c r="I3" s="81"/>
      <c r="J3" s="81"/>
      <c r="K3" s="81"/>
      <c r="L3" s="95"/>
      <c r="M3" s="81"/>
      <c r="N3" s="95"/>
      <c r="O3" s="81"/>
      <c r="P3" s="81"/>
      <c r="Q3" s="81"/>
      <c r="R3" s="81"/>
      <c r="S3" s="81"/>
      <c r="T3" s="81"/>
      <c r="U3" s="81"/>
      <c r="V3" s="80"/>
    </row>
    <row r="4" spans="1:22" x14ac:dyDescent="0.25">
      <c r="A4" s="60"/>
      <c r="B4" s="94" t="s">
        <v>700</v>
      </c>
      <c r="C4" s="60"/>
      <c r="D4" s="60"/>
      <c r="E4" s="60"/>
      <c r="F4" s="60"/>
      <c r="G4" s="60"/>
      <c r="H4" s="60"/>
      <c r="I4" s="60"/>
      <c r="J4" s="60"/>
      <c r="K4" s="60"/>
      <c r="L4" s="60"/>
      <c r="M4" s="60"/>
      <c r="N4" s="60"/>
      <c r="O4" s="60"/>
      <c r="P4" s="60"/>
      <c r="Q4" s="60"/>
      <c r="R4" s="60"/>
      <c r="S4" s="60"/>
      <c r="T4" s="60"/>
      <c r="U4" s="60"/>
      <c r="V4" s="74"/>
    </row>
    <row r="5" spans="1:22" x14ac:dyDescent="0.25">
      <c r="A5" s="60"/>
      <c r="B5" s="94" t="s">
        <v>699</v>
      </c>
      <c r="C5" s="60"/>
      <c r="D5" s="60"/>
      <c r="E5" s="60"/>
      <c r="F5" s="60"/>
      <c r="G5" s="60"/>
      <c r="H5" s="60"/>
      <c r="I5" s="60"/>
      <c r="J5" s="60"/>
      <c r="K5" s="60"/>
      <c r="L5" s="60"/>
      <c r="M5" s="60"/>
      <c r="N5" s="60"/>
      <c r="O5" s="60"/>
      <c r="P5" s="60"/>
      <c r="Q5" s="60"/>
      <c r="R5" s="60"/>
      <c r="S5" s="60"/>
      <c r="T5" s="60"/>
      <c r="U5" s="60"/>
      <c r="V5" s="74"/>
    </row>
    <row r="6" spans="1:22" x14ac:dyDescent="0.25">
      <c r="A6" s="60"/>
      <c r="B6" s="94" t="s">
        <v>698</v>
      </c>
      <c r="C6" s="60"/>
      <c r="D6" s="60"/>
      <c r="E6" s="60"/>
      <c r="F6" s="60"/>
      <c r="G6" s="60"/>
      <c r="H6" s="60"/>
      <c r="I6" s="60"/>
      <c r="J6" s="60"/>
      <c r="K6" s="60"/>
      <c r="L6" s="60"/>
      <c r="M6" s="60"/>
      <c r="N6" s="60"/>
      <c r="O6" s="60"/>
      <c r="P6" s="60"/>
      <c r="Q6" s="60"/>
      <c r="R6" s="60"/>
      <c r="S6" s="60"/>
      <c r="T6" s="60"/>
      <c r="U6" s="60"/>
      <c r="V6" s="74"/>
    </row>
    <row r="7" spans="1:22" x14ac:dyDescent="0.25">
      <c r="A7" s="60"/>
      <c r="B7" s="94" t="s">
        <v>697</v>
      </c>
      <c r="C7" s="60"/>
      <c r="D7" s="60"/>
      <c r="E7" s="60"/>
      <c r="F7" s="60"/>
      <c r="G7" s="60"/>
      <c r="H7" s="60"/>
      <c r="I7" s="60"/>
      <c r="J7" s="60"/>
      <c r="K7" s="60"/>
      <c r="L7" s="60"/>
      <c r="M7" s="60"/>
      <c r="N7" s="60"/>
      <c r="O7" s="60"/>
      <c r="P7" s="60"/>
      <c r="Q7" s="60"/>
      <c r="R7" s="60"/>
      <c r="S7" s="60"/>
      <c r="T7" s="60"/>
      <c r="U7" s="60"/>
      <c r="V7" s="74"/>
    </row>
    <row r="8" spans="1:22" x14ac:dyDescent="0.25">
      <c r="A8" s="60"/>
      <c r="B8" s="94" t="s">
        <v>696</v>
      </c>
      <c r="C8" s="60"/>
      <c r="D8" s="60"/>
      <c r="E8" s="60"/>
      <c r="F8" s="60"/>
      <c r="G8" s="60"/>
      <c r="H8" s="60"/>
      <c r="I8" s="60"/>
      <c r="J8" s="60"/>
      <c r="K8" s="60"/>
      <c r="L8" s="60"/>
      <c r="M8" s="60"/>
      <c r="N8" s="60"/>
      <c r="O8" s="60"/>
      <c r="P8" s="60"/>
      <c r="Q8" s="60"/>
      <c r="R8" s="60"/>
      <c r="S8" s="60"/>
      <c r="T8" s="60"/>
      <c r="U8" s="60"/>
      <c r="V8" s="74"/>
    </row>
    <row r="9" spans="1:22" x14ac:dyDescent="0.25">
      <c r="A9" s="60"/>
      <c r="B9" s="94" t="s">
        <v>695</v>
      </c>
      <c r="C9" s="60"/>
      <c r="D9" s="60"/>
      <c r="E9" s="60"/>
      <c r="F9" s="60"/>
      <c r="G9" s="60"/>
      <c r="H9" s="60"/>
      <c r="I9" s="60"/>
      <c r="J9" s="60"/>
      <c r="K9" s="60"/>
      <c r="L9" s="60"/>
      <c r="M9" s="60"/>
      <c r="N9" s="60"/>
      <c r="O9" s="60"/>
      <c r="P9" s="60"/>
      <c r="Q9" s="60"/>
      <c r="R9" s="60"/>
      <c r="S9" s="60"/>
      <c r="T9" s="60"/>
      <c r="U9" s="60"/>
      <c r="V9" s="74"/>
    </row>
    <row r="10" spans="1:22" x14ac:dyDescent="0.25">
      <c r="A10" s="60"/>
      <c r="B10" s="94" t="s">
        <v>694</v>
      </c>
      <c r="C10" s="60"/>
      <c r="D10" s="60"/>
      <c r="E10" s="60"/>
      <c r="F10" s="60"/>
      <c r="G10" s="60"/>
      <c r="H10" s="60"/>
      <c r="I10" s="60"/>
      <c r="J10" s="60"/>
      <c r="K10" s="60"/>
      <c r="L10" s="60"/>
      <c r="M10" s="60"/>
      <c r="N10" s="60"/>
      <c r="O10" s="60"/>
      <c r="P10" s="60"/>
      <c r="Q10" s="60"/>
      <c r="R10" s="60"/>
      <c r="S10" s="60"/>
      <c r="T10" s="60"/>
      <c r="U10" s="60"/>
      <c r="V10" s="74"/>
    </row>
    <row r="11" spans="1:22" x14ac:dyDescent="0.25">
      <c r="A11" s="60"/>
      <c r="B11" s="94" t="s">
        <v>693</v>
      </c>
      <c r="C11" s="60"/>
      <c r="D11" s="60"/>
      <c r="E11" s="60"/>
      <c r="F11" s="60"/>
      <c r="G11" s="60"/>
      <c r="H11" s="60"/>
      <c r="I11" s="60"/>
      <c r="J11" s="60"/>
      <c r="K11" s="60"/>
      <c r="L11" s="60"/>
      <c r="M11" s="60"/>
      <c r="N11" s="60"/>
      <c r="O11" s="60"/>
      <c r="P11" s="60"/>
      <c r="Q11" s="60"/>
      <c r="R11" s="60"/>
      <c r="S11" s="60"/>
      <c r="T11" s="60"/>
      <c r="U11" s="60"/>
      <c r="V11" s="74"/>
    </row>
    <row r="12" spans="1:22" x14ac:dyDescent="0.25">
      <c r="A12" s="60"/>
      <c r="B12" s="94" t="s">
        <v>639</v>
      </c>
      <c r="C12" s="60"/>
      <c r="D12" s="60"/>
      <c r="E12" s="60"/>
      <c r="F12" s="60"/>
      <c r="G12" s="60"/>
      <c r="H12" s="60"/>
      <c r="I12" s="60"/>
      <c r="J12" s="60"/>
      <c r="K12" s="60"/>
      <c r="L12" s="60"/>
      <c r="M12" s="60"/>
      <c r="N12" s="60"/>
      <c r="O12" s="60"/>
      <c r="P12" s="60"/>
      <c r="Q12" s="60"/>
      <c r="R12" s="60"/>
      <c r="S12" s="60"/>
      <c r="T12" s="60"/>
      <c r="U12" s="60"/>
      <c r="V12" s="74"/>
    </row>
    <row r="13" spans="1:22" x14ac:dyDescent="0.25">
      <c r="A13" s="60"/>
      <c r="B13" s="93" t="s">
        <v>638</v>
      </c>
      <c r="C13" s="92"/>
      <c r="D13" s="92"/>
      <c r="E13" s="92"/>
      <c r="F13" s="92"/>
      <c r="G13" s="92"/>
      <c r="H13" s="92"/>
      <c r="I13" s="92"/>
      <c r="J13" s="92"/>
      <c r="K13" s="92"/>
      <c r="L13" s="92"/>
      <c r="M13" s="92"/>
      <c r="N13" s="92"/>
      <c r="O13" s="92"/>
      <c r="P13" s="92"/>
      <c r="Q13" s="92"/>
      <c r="R13" s="92"/>
      <c r="S13" s="92"/>
      <c r="T13" s="92"/>
      <c r="U13" s="92"/>
      <c r="V13" s="91"/>
    </row>
    <row r="14" spans="1:22" x14ac:dyDescent="0.25">
      <c r="A14" s="60"/>
      <c r="B14" s="60"/>
      <c r="C14" s="60"/>
      <c r="D14" s="60"/>
      <c r="E14" s="60"/>
      <c r="F14" s="60"/>
      <c r="G14" s="60"/>
      <c r="H14" s="60"/>
      <c r="I14" s="60"/>
      <c r="J14" s="60"/>
      <c r="K14" s="60"/>
      <c r="L14" s="60"/>
      <c r="M14" s="60"/>
      <c r="N14" s="60"/>
      <c r="O14" s="60"/>
      <c r="P14" s="60"/>
      <c r="Q14" s="60"/>
      <c r="R14" s="60"/>
      <c r="S14" s="60"/>
      <c r="T14" s="60"/>
      <c r="U14" s="60"/>
      <c r="V14" s="60"/>
    </row>
    <row r="15" spans="1:22" x14ac:dyDescent="0.25">
      <c r="A15" s="60"/>
      <c r="B15" s="82" t="s">
        <v>692</v>
      </c>
      <c r="C15" s="81"/>
      <c r="D15" s="81"/>
      <c r="E15" s="81"/>
      <c r="F15" s="81"/>
      <c r="G15" s="81"/>
      <c r="H15" s="81"/>
      <c r="I15" s="81"/>
      <c r="J15" s="81"/>
      <c r="K15" s="81"/>
      <c r="L15" s="81"/>
      <c r="M15" s="81"/>
      <c r="N15" s="81"/>
      <c r="O15" s="81"/>
      <c r="P15" s="81"/>
      <c r="Q15" s="81"/>
      <c r="R15" s="81"/>
      <c r="S15" s="81"/>
      <c r="T15" s="81"/>
      <c r="U15" s="81"/>
      <c r="V15" s="80"/>
    </row>
    <row r="16" spans="1:22" x14ac:dyDescent="0.25">
      <c r="A16" s="60"/>
      <c r="B16" s="94"/>
      <c r="C16" s="61" t="s">
        <v>691</v>
      </c>
      <c r="D16" s="60"/>
      <c r="E16" s="122">
        <v>3000</v>
      </c>
      <c r="F16" s="60"/>
      <c r="G16" s="60"/>
      <c r="H16" s="60"/>
      <c r="I16" s="60"/>
      <c r="J16" s="60"/>
      <c r="K16" s="60"/>
      <c r="L16" s="60"/>
      <c r="M16" s="60"/>
      <c r="N16" s="60"/>
      <c r="O16" s="60"/>
      <c r="P16" s="60"/>
      <c r="Q16" s="60"/>
      <c r="R16" s="60"/>
      <c r="S16" s="60"/>
      <c r="T16" s="60"/>
      <c r="U16" s="60"/>
      <c r="V16" s="74"/>
    </row>
    <row r="17" spans="1:22" x14ac:dyDescent="0.25">
      <c r="A17" s="60"/>
      <c r="B17" s="94"/>
      <c r="C17" s="61" t="s">
        <v>690</v>
      </c>
      <c r="D17" s="60"/>
      <c r="E17" s="122">
        <v>1500</v>
      </c>
      <c r="F17" s="60"/>
      <c r="G17" s="60"/>
      <c r="H17" s="60"/>
      <c r="I17" s="60"/>
      <c r="J17" s="60"/>
      <c r="K17" s="60"/>
      <c r="L17" s="60"/>
      <c r="M17" s="60"/>
      <c r="N17" s="60"/>
      <c r="O17" s="60"/>
      <c r="P17" s="60"/>
      <c r="Q17" s="60"/>
      <c r="R17" s="60"/>
      <c r="S17" s="60"/>
      <c r="T17" s="60"/>
      <c r="U17" s="60"/>
      <c r="V17" s="74"/>
    </row>
    <row r="18" spans="1:22" x14ac:dyDescent="0.25">
      <c r="A18" s="60"/>
      <c r="B18" s="77"/>
      <c r="C18" s="60"/>
      <c r="D18" s="60"/>
      <c r="E18" s="60"/>
      <c r="F18" s="60"/>
      <c r="G18" s="60"/>
      <c r="H18" s="60"/>
      <c r="I18" s="60"/>
      <c r="J18" s="60"/>
      <c r="K18" s="60"/>
      <c r="L18" s="60"/>
      <c r="M18" s="60"/>
      <c r="N18" s="60"/>
      <c r="O18" s="60"/>
      <c r="P18" s="60"/>
      <c r="Q18" s="60"/>
      <c r="R18" s="60"/>
      <c r="S18" s="60"/>
      <c r="T18" s="60"/>
      <c r="U18" s="60"/>
      <c r="V18" s="74"/>
    </row>
    <row r="19" spans="1:22" x14ac:dyDescent="0.25">
      <c r="A19" s="60"/>
      <c r="B19" s="77"/>
      <c r="C19" s="60"/>
      <c r="D19" s="60"/>
      <c r="E19" s="60"/>
      <c r="F19" s="60"/>
      <c r="G19" s="60"/>
      <c r="H19" s="60"/>
      <c r="I19" s="60"/>
      <c r="J19" s="60"/>
      <c r="K19" s="60"/>
      <c r="L19" s="60"/>
      <c r="M19" s="60"/>
      <c r="N19" s="60"/>
      <c r="O19" s="60"/>
      <c r="P19" s="60"/>
      <c r="Q19" s="60"/>
      <c r="R19" s="60"/>
      <c r="S19" s="60"/>
      <c r="T19" s="60"/>
      <c r="U19" s="60"/>
      <c r="V19" s="74"/>
    </row>
    <row r="20" spans="1:22" x14ac:dyDescent="0.25">
      <c r="A20" s="60"/>
      <c r="B20" s="94"/>
      <c r="C20" s="106"/>
      <c r="D20" s="106" t="s">
        <v>689</v>
      </c>
      <c r="E20" s="106" t="s">
        <v>688</v>
      </c>
      <c r="F20" s="106" t="s">
        <v>687</v>
      </c>
      <c r="G20" s="106" t="s">
        <v>656</v>
      </c>
      <c r="H20" s="106" t="s">
        <v>655</v>
      </c>
      <c r="I20" s="106" t="s">
        <v>686</v>
      </c>
      <c r="J20" s="106" t="s">
        <v>653</v>
      </c>
      <c r="K20" s="106" t="s">
        <v>652</v>
      </c>
      <c r="L20" s="106" t="s">
        <v>651</v>
      </c>
      <c r="M20" s="106" t="s">
        <v>685</v>
      </c>
      <c r="N20" s="60"/>
      <c r="O20" s="60"/>
      <c r="P20" s="60"/>
      <c r="Q20" s="60"/>
      <c r="R20" s="60"/>
      <c r="S20" s="60"/>
      <c r="T20" s="60"/>
      <c r="U20" s="60"/>
      <c r="V20" s="74"/>
    </row>
    <row r="21" spans="1:22" x14ac:dyDescent="0.25">
      <c r="A21" s="60"/>
      <c r="B21" s="94"/>
      <c r="C21" s="121" t="s">
        <v>684</v>
      </c>
      <c r="D21" s="120">
        <f>$E$16</f>
        <v>3000</v>
      </c>
      <c r="E21" s="106"/>
      <c r="F21" s="120"/>
      <c r="G21" s="120">
        <f>$E$16</f>
        <v>3000</v>
      </c>
      <c r="H21" s="106"/>
      <c r="I21" s="120"/>
      <c r="J21" s="120">
        <f t="shared" ref="J21:K23" si="0">$E$16</f>
        <v>3000</v>
      </c>
      <c r="K21" s="120">
        <f t="shared" si="0"/>
        <v>3000</v>
      </c>
      <c r="L21" s="106"/>
      <c r="M21" s="120"/>
      <c r="N21" s="60"/>
      <c r="O21" s="60"/>
      <c r="P21" s="60"/>
      <c r="Q21" s="60"/>
      <c r="R21" s="60"/>
      <c r="S21" s="60"/>
      <c r="T21" s="60"/>
      <c r="U21" s="60"/>
      <c r="V21" s="74"/>
    </row>
    <row r="22" spans="1:22" x14ac:dyDescent="0.25">
      <c r="A22" s="60"/>
      <c r="B22" s="94"/>
      <c r="C22" s="121" t="s">
        <v>683</v>
      </c>
      <c r="D22" s="120">
        <f>$E$16</f>
        <v>3000</v>
      </c>
      <c r="E22" s="120">
        <f>40%*D21</f>
        <v>1200</v>
      </c>
      <c r="F22" s="120"/>
      <c r="G22" s="120">
        <f>$E$16</f>
        <v>3000</v>
      </c>
      <c r="H22" s="120">
        <f>40%*G21</f>
        <v>1200</v>
      </c>
      <c r="I22" s="120"/>
      <c r="J22" s="120">
        <f t="shared" si="0"/>
        <v>3000</v>
      </c>
      <c r="K22" s="120">
        <f t="shared" si="0"/>
        <v>3000</v>
      </c>
      <c r="L22" s="120">
        <f>40%*K21</f>
        <v>1200</v>
      </c>
      <c r="M22" s="120"/>
      <c r="N22" s="60"/>
      <c r="O22" s="60"/>
      <c r="P22" s="60"/>
      <c r="Q22" s="60"/>
      <c r="R22" s="60"/>
      <c r="S22" s="60"/>
      <c r="T22" s="60"/>
      <c r="U22" s="60"/>
      <c r="V22" s="74"/>
    </row>
    <row r="23" spans="1:22" x14ac:dyDescent="0.25">
      <c r="A23" s="60"/>
      <c r="B23" s="94"/>
      <c r="C23" s="121" t="s">
        <v>682</v>
      </c>
      <c r="D23" s="120">
        <f>$E$16</f>
        <v>3000</v>
      </c>
      <c r="E23" s="120">
        <f>50%*D22</f>
        <v>1500</v>
      </c>
      <c r="F23" s="120">
        <f>20%*D23</f>
        <v>600</v>
      </c>
      <c r="G23" s="120">
        <f>$E$16</f>
        <v>3000</v>
      </c>
      <c r="H23" s="120">
        <f>50%*G22</f>
        <v>1500</v>
      </c>
      <c r="I23" s="120">
        <f>20%*G23</f>
        <v>600</v>
      </c>
      <c r="J23" s="120">
        <f t="shared" si="0"/>
        <v>3000</v>
      </c>
      <c r="K23" s="120">
        <f t="shared" si="0"/>
        <v>3000</v>
      </c>
      <c r="L23" s="120">
        <f>50%*K22</f>
        <v>1500</v>
      </c>
      <c r="M23" s="120">
        <f>20%*K23</f>
        <v>600</v>
      </c>
      <c r="N23" s="60"/>
      <c r="O23" s="60"/>
      <c r="P23" s="60"/>
      <c r="Q23" s="60"/>
      <c r="R23" s="60"/>
      <c r="S23" s="60"/>
      <c r="T23" s="60"/>
      <c r="U23" s="60"/>
      <c r="V23" s="74"/>
    </row>
    <row r="24" spans="1:22" x14ac:dyDescent="0.25">
      <c r="A24" s="60"/>
      <c r="B24" s="93"/>
      <c r="C24" s="92"/>
      <c r="D24" s="92"/>
      <c r="E24" s="92"/>
      <c r="F24" s="92"/>
      <c r="G24" s="92"/>
      <c r="H24" s="92"/>
      <c r="I24" s="92"/>
      <c r="J24" s="92"/>
      <c r="K24" s="92"/>
      <c r="L24" s="92"/>
      <c r="M24" s="92"/>
      <c r="N24" s="92"/>
      <c r="O24" s="92"/>
      <c r="P24" s="92"/>
      <c r="Q24" s="92"/>
      <c r="R24" s="92"/>
      <c r="S24" s="92"/>
      <c r="T24" s="92"/>
      <c r="U24" s="92"/>
      <c r="V24" s="91"/>
    </row>
    <row r="25" spans="1:22" x14ac:dyDescent="0.25">
      <c r="A25" s="60"/>
      <c r="B25" s="61" t="s">
        <v>681</v>
      </c>
      <c r="C25" s="60"/>
      <c r="D25" s="60"/>
      <c r="E25" s="60"/>
      <c r="F25" s="60"/>
      <c r="G25" s="60"/>
      <c r="H25" s="60"/>
      <c r="I25" s="60"/>
      <c r="J25" s="60"/>
      <c r="K25" s="60"/>
      <c r="L25" s="60"/>
      <c r="M25" s="60"/>
      <c r="N25" s="60"/>
      <c r="O25" s="60"/>
      <c r="P25" s="60"/>
      <c r="Q25" s="60"/>
      <c r="R25" s="60"/>
      <c r="S25" s="60"/>
      <c r="T25" s="60"/>
      <c r="U25" s="60"/>
      <c r="V25" s="60"/>
    </row>
    <row r="26" spans="1:22" x14ac:dyDescent="0.25">
      <c r="A26" s="60"/>
      <c r="B26" s="61"/>
      <c r="C26" s="60"/>
      <c r="D26" s="60"/>
      <c r="E26" s="60"/>
      <c r="F26" s="60"/>
      <c r="G26" s="60"/>
      <c r="H26" s="60"/>
      <c r="I26" s="60"/>
      <c r="J26" s="60"/>
      <c r="K26" s="60"/>
      <c r="L26" s="60"/>
      <c r="M26" s="60"/>
      <c r="N26" s="60"/>
      <c r="O26" s="60"/>
      <c r="P26" s="60"/>
      <c r="Q26" s="60"/>
      <c r="R26" s="60"/>
      <c r="S26" s="60"/>
      <c r="T26" s="60"/>
      <c r="U26" s="60"/>
      <c r="V26" s="60"/>
    </row>
    <row r="27" spans="1:22" x14ac:dyDescent="0.25">
      <c r="A27" s="60"/>
      <c r="B27" s="61" t="s">
        <v>680</v>
      </c>
      <c r="C27" s="60">
        <v>38.200000000000003</v>
      </c>
      <c r="D27" s="60" t="s">
        <v>679</v>
      </c>
      <c r="E27" s="60"/>
      <c r="F27" s="60"/>
      <c r="G27" s="60"/>
      <c r="H27" s="60"/>
      <c r="I27" s="60"/>
      <c r="J27" s="60"/>
      <c r="K27" s="60"/>
      <c r="L27" s="60"/>
      <c r="M27" s="60"/>
      <c r="N27" s="60"/>
      <c r="O27" s="60"/>
      <c r="P27" s="60"/>
      <c r="Q27" s="60"/>
      <c r="R27" s="60"/>
      <c r="S27" s="60"/>
      <c r="T27" s="60"/>
      <c r="U27" s="60"/>
      <c r="V27" s="60"/>
    </row>
    <row r="28" spans="1:22" x14ac:dyDescent="0.25">
      <c r="A28" s="60"/>
      <c r="B28" s="60"/>
      <c r="C28" s="60"/>
      <c r="D28" s="60"/>
      <c r="E28" s="60"/>
      <c r="F28" s="60"/>
      <c r="G28" s="60"/>
      <c r="H28" s="60"/>
      <c r="I28" s="60"/>
      <c r="J28" s="60"/>
      <c r="K28" s="60"/>
      <c r="L28" s="60"/>
      <c r="M28" s="60"/>
      <c r="N28" s="60"/>
      <c r="O28" s="60"/>
      <c r="P28" s="60"/>
      <c r="Q28" s="60"/>
      <c r="R28" s="60"/>
      <c r="S28" s="60"/>
      <c r="T28" s="60"/>
      <c r="U28" s="60"/>
      <c r="V28" s="60"/>
    </row>
    <row r="29" spans="1:22" x14ac:dyDescent="0.25">
      <c r="A29" s="60"/>
      <c r="B29" s="60"/>
      <c r="C29" s="60" t="s">
        <v>618</v>
      </c>
      <c r="D29" s="60" t="s">
        <v>667</v>
      </c>
      <c r="E29" s="79" t="s">
        <v>617</v>
      </c>
      <c r="F29" s="60">
        <v>3</v>
      </c>
      <c r="G29" s="60" t="s">
        <v>668</v>
      </c>
      <c r="H29" s="78" t="s">
        <v>615</v>
      </c>
      <c r="I29" s="60">
        <f>C27</f>
        <v>38.200000000000003</v>
      </c>
      <c r="J29" s="60" t="s">
        <v>679</v>
      </c>
      <c r="K29" s="78" t="s">
        <v>615</v>
      </c>
      <c r="L29" s="116">
        <v>0.9</v>
      </c>
      <c r="M29" s="60" t="s">
        <v>678</v>
      </c>
      <c r="N29" s="60"/>
      <c r="O29" s="60"/>
      <c r="P29" s="60" t="s">
        <v>375</v>
      </c>
      <c r="Q29" s="60">
        <v>0.746</v>
      </c>
      <c r="R29" s="60" t="s">
        <v>677</v>
      </c>
      <c r="S29" s="60"/>
      <c r="T29" s="60"/>
      <c r="U29" s="60"/>
      <c r="V29" s="60"/>
    </row>
    <row r="30" spans="1:22" x14ac:dyDescent="0.25">
      <c r="A30" s="60"/>
      <c r="B30" s="61"/>
      <c r="C30" s="119">
        <f>3/38.2/90%*0.746</f>
        <v>6.5095986038394421E-2</v>
      </c>
      <c r="D30" s="60" t="s">
        <v>667</v>
      </c>
      <c r="E30" s="60"/>
      <c r="F30" s="60"/>
      <c r="G30" s="60"/>
      <c r="H30" s="60"/>
      <c r="I30" s="60"/>
      <c r="J30" s="60"/>
      <c r="K30" s="60"/>
      <c r="L30" s="60"/>
      <c r="M30" s="60"/>
      <c r="N30" s="60"/>
      <c r="O30" s="60"/>
      <c r="P30" s="60"/>
      <c r="Q30" s="60"/>
      <c r="R30" s="60"/>
      <c r="S30" s="60"/>
      <c r="T30" s="60"/>
      <c r="U30" s="60"/>
      <c r="V30" s="60"/>
    </row>
    <row r="31" spans="1:22" x14ac:dyDescent="0.25">
      <c r="A31" s="60"/>
      <c r="B31" s="61"/>
      <c r="C31" s="60"/>
      <c r="D31" s="60"/>
      <c r="E31" s="60"/>
      <c r="F31" s="60"/>
      <c r="G31" s="60"/>
      <c r="H31" s="60"/>
      <c r="I31" s="60"/>
      <c r="J31" s="60"/>
      <c r="K31" s="60"/>
      <c r="L31" s="60"/>
      <c r="M31" s="60"/>
      <c r="N31" s="60"/>
      <c r="O31" s="60"/>
      <c r="P31" s="60"/>
      <c r="Q31" s="60"/>
      <c r="R31" s="60"/>
      <c r="S31" s="60"/>
      <c r="T31" s="60"/>
      <c r="U31" s="60"/>
      <c r="V31" s="60"/>
    </row>
    <row r="32" spans="1:22" x14ac:dyDescent="0.25">
      <c r="A32" s="60"/>
      <c r="B32" s="61"/>
      <c r="C32" s="60" t="s">
        <v>618</v>
      </c>
      <c r="D32" s="60" t="s">
        <v>673</v>
      </c>
      <c r="E32" s="60" t="s">
        <v>617</v>
      </c>
      <c r="F32" s="117">
        <f>C30</f>
        <v>6.5095986038394421E-2</v>
      </c>
      <c r="G32" s="60" t="s">
        <v>667</v>
      </c>
      <c r="H32" s="78" t="s">
        <v>375</v>
      </c>
      <c r="I32" s="116">
        <v>0.38</v>
      </c>
      <c r="J32" s="60" t="s">
        <v>676</v>
      </c>
      <c r="K32" s="60"/>
      <c r="L32" s="60" t="s">
        <v>375</v>
      </c>
      <c r="M32" s="118">
        <f>$E$16</f>
        <v>3000</v>
      </c>
      <c r="N32" s="60" t="s">
        <v>675</v>
      </c>
      <c r="O32" s="60"/>
      <c r="P32" s="78" t="s">
        <v>615</v>
      </c>
      <c r="Q32" s="118">
        <f>$E$17</f>
        <v>1500</v>
      </c>
      <c r="R32" s="60" t="s">
        <v>674</v>
      </c>
      <c r="S32" s="60"/>
      <c r="T32" s="60"/>
      <c r="U32" s="60"/>
      <c r="V32" s="60"/>
    </row>
    <row r="33" spans="1:22" x14ac:dyDescent="0.25">
      <c r="A33" s="60"/>
      <c r="B33" s="61"/>
      <c r="C33" s="114">
        <f>F32*I32*M32/Q32</f>
        <v>4.9472949389179753E-2</v>
      </c>
      <c r="D33" s="75" t="s">
        <v>673</v>
      </c>
      <c r="E33" s="60"/>
      <c r="F33" s="117"/>
      <c r="G33" s="60"/>
      <c r="H33" s="78"/>
      <c r="I33" s="116"/>
      <c r="J33" s="60"/>
      <c r="K33" s="60"/>
      <c r="L33" s="60"/>
      <c r="M33" s="60"/>
      <c r="N33" s="60"/>
      <c r="O33" s="60"/>
      <c r="P33" s="78"/>
      <c r="Q33" s="60"/>
      <c r="R33" s="60"/>
      <c r="S33" s="60"/>
      <c r="T33" s="60"/>
      <c r="U33" s="60"/>
      <c r="V33" s="60"/>
    </row>
    <row r="34" spans="1:22" x14ac:dyDescent="0.25">
      <c r="A34" s="60"/>
      <c r="B34" s="61"/>
      <c r="C34" s="60"/>
      <c r="D34" s="60"/>
      <c r="E34" s="60"/>
      <c r="F34" s="60"/>
      <c r="G34" s="60"/>
      <c r="H34" s="60"/>
      <c r="I34" s="60"/>
      <c r="J34" s="60"/>
      <c r="K34" s="60"/>
      <c r="L34" s="60"/>
      <c r="M34" s="60"/>
      <c r="N34" s="60"/>
      <c r="O34" s="60"/>
      <c r="P34" s="60"/>
      <c r="Q34" s="60"/>
      <c r="R34" s="60"/>
      <c r="S34" s="60"/>
      <c r="T34" s="60"/>
      <c r="U34" s="60"/>
      <c r="V34" s="60"/>
    </row>
    <row r="35" spans="1:22" x14ac:dyDescent="0.25">
      <c r="A35" s="60"/>
      <c r="B35" s="61"/>
      <c r="C35" s="60"/>
      <c r="D35" s="60"/>
      <c r="E35" s="60"/>
      <c r="F35" s="60"/>
      <c r="G35" s="60"/>
      <c r="H35" s="60"/>
      <c r="I35" s="60"/>
      <c r="J35" s="60"/>
      <c r="K35" s="60"/>
      <c r="L35" s="60"/>
      <c r="M35" s="60"/>
      <c r="N35" s="60"/>
      <c r="O35" s="60"/>
      <c r="P35" s="60"/>
      <c r="Q35" s="60"/>
      <c r="R35" s="60"/>
      <c r="S35" s="60"/>
      <c r="T35" s="60"/>
      <c r="U35" s="60"/>
      <c r="V35" s="60"/>
    </row>
    <row r="36" spans="1:22" x14ac:dyDescent="0.25">
      <c r="A36" s="60"/>
      <c r="B36" s="61" t="s">
        <v>672</v>
      </c>
      <c r="C36" s="60"/>
      <c r="D36" s="60"/>
      <c r="E36" s="60"/>
      <c r="F36" s="60"/>
      <c r="G36" s="60"/>
      <c r="H36" s="60"/>
      <c r="I36" s="60"/>
      <c r="J36" s="60"/>
      <c r="K36" s="60"/>
      <c r="L36" s="60"/>
      <c r="M36" s="60"/>
      <c r="N36" s="60"/>
      <c r="O36" s="60"/>
      <c r="P36" s="60"/>
      <c r="Q36" s="60"/>
      <c r="R36" s="60"/>
      <c r="S36" s="60"/>
      <c r="T36" s="60"/>
      <c r="U36" s="60"/>
      <c r="V36" s="60"/>
    </row>
    <row r="37" spans="1:22" x14ac:dyDescent="0.25">
      <c r="A37" s="60"/>
      <c r="B37" s="61"/>
      <c r="C37" s="60">
        <v>19</v>
      </c>
      <c r="D37" s="60" t="s">
        <v>220</v>
      </c>
      <c r="E37" s="60"/>
      <c r="F37" s="60"/>
      <c r="G37" s="60"/>
      <c r="H37" s="60"/>
      <c r="I37" s="60"/>
      <c r="J37" s="60"/>
      <c r="K37" s="60"/>
      <c r="L37" s="60"/>
      <c r="M37" s="60"/>
      <c r="N37" s="60"/>
      <c r="O37" s="60"/>
      <c r="P37" s="60"/>
      <c r="Q37" s="60"/>
      <c r="R37" s="60"/>
      <c r="S37" s="60"/>
      <c r="T37" s="60"/>
      <c r="U37" s="60"/>
      <c r="V37" s="60"/>
    </row>
    <row r="38" spans="1:22" x14ac:dyDescent="0.25">
      <c r="A38" s="60"/>
      <c r="B38" s="61"/>
      <c r="C38" s="60"/>
      <c r="D38" s="60"/>
      <c r="E38" s="60"/>
      <c r="F38" s="60"/>
      <c r="G38" s="60"/>
      <c r="H38" s="60"/>
      <c r="I38" s="60"/>
      <c r="J38" s="60"/>
      <c r="K38" s="60"/>
      <c r="L38" s="60"/>
      <c r="M38" s="60"/>
      <c r="N38" s="60"/>
      <c r="O38" s="60"/>
      <c r="P38" s="60"/>
      <c r="Q38" s="60"/>
      <c r="R38" s="60"/>
      <c r="S38" s="60"/>
      <c r="T38" s="60"/>
      <c r="U38" s="60"/>
      <c r="V38" s="60"/>
    </row>
    <row r="39" spans="1:22" x14ac:dyDescent="0.25">
      <c r="A39" s="60"/>
      <c r="B39" s="61"/>
      <c r="C39" s="60" t="s">
        <v>618</v>
      </c>
      <c r="D39" s="60" t="s">
        <v>667</v>
      </c>
      <c r="E39" s="60" t="s">
        <v>669</v>
      </c>
      <c r="F39" s="60">
        <f>C37</f>
        <v>19</v>
      </c>
      <c r="G39" s="60" t="s">
        <v>220</v>
      </c>
      <c r="H39" s="60" t="s">
        <v>375</v>
      </c>
      <c r="I39" s="60">
        <v>3</v>
      </c>
      <c r="J39" s="60" t="s">
        <v>668</v>
      </c>
      <c r="K39" s="78" t="s">
        <v>615</v>
      </c>
      <c r="L39" s="60" t="s">
        <v>614</v>
      </c>
      <c r="M39" s="60"/>
      <c r="N39" s="60"/>
      <c r="O39" s="60"/>
      <c r="P39" s="60"/>
      <c r="Q39" s="60"/>
      <c r="R39" s="60"/>
      <c r="S39" s="60"/>
      <c r="T39" s="60"/>
      <c r="U39" s="60"/>
      <c r="V39" s="60"/>
    </row>
    <row r="40" spans="1:22" x14ac:dyDescent="0.25">
      <c r="A40" s="60"/>
      <c r="B40" s="61"/>
      <c r="C40" s="115">
        <f>F39*I39/1000</f>
        <v>5.7000000000000002E-2</v>
      </c>
      <c r="D40" s="75" t="s">
        <v>667</v>
      </c>
      <c r="E40" s="60"/>
      <c r="F40" s="60"/>
      <c r="G40" s="60"/>
      <c r="H40" s="60"/>
      <c r="I40" s="60"/>
      <c r="J40" s="60"/>
      <c r="K40" s="60"/>
      <c r="L40" s="60"/>
      <c r="M40" s="60"/>
      <c r="N40" s="60"/>
      <c r="O40" s="60"/>
      <c r="P40" s="60"/>
      <c r="Q40" s="60"/>
      <c r="R40" s="60"/>
      <c r="S40" s="60"/>
      <c r="T40" s="60"/>
      <c r="U40" s="60"/>
      <c r="V40" s="60"/>
    </row>
    <row r="41" spans="1:22" x14ac:dyDescent="0.25">
      <c r="A41" s="60"/>
      <c r="B41" s="61"/>
      <c r="C41" s="60"/>
      <c r="D41" s="60"/>
      <c r="E41" s="60"/>
      <c r="F41" s="60"/>
      <c r="G41" s="60"/>
      <c r="H41" s="60"/>
      <c r="I41" s="60"/>
      <c r="J41" s="60"/>
      <c r="K41" s="60"/>
      <c r="L41" s="60"/>
      <c r="M41" s="60"/>
      <c r="N41" s="60"/>
      <c r="O41" s="60"/>
      <c r="P41" s="60"/>
      <c r="Q41" s="60"/>
      <c r="R41" s="60"/>
      <c r="S41" s="60"/>
      <c r="T41" s="60"/>
      <c r="U41" s="60"/>
      <c r="V41" s="60"/>
    </row>
    <row r="42" spans="1:22" x14ac:dyDescent="0.25">
      <c r="A42" s="60"/>
      <c r="B42" s="61" t="s">
        <v>671</v>
      </c>
      <c r="C42" s="60"/>
      <c r="D42" s="60"/>
      <c r="E42" s="60"/>
      <c r="F42" s="60"/>
      <c r="G42" s="60"/>
      <c r="H42" s="60"/>
      <c r="I42" s="60"/>
      <c r="J42" s="60"/>
      <c r="K42" s="60"/>
      <c r="L42" s="60"/>
      <c r="M42" s="60"/>
      <c r="N42" s="60"/>
      <c r="O42" s="60"/>
      <c r="P42" s="60"/>
      <c r="Q42" s="60"/>
      <c r="R42" s="60"/>
      <c r="S42" s="60"/>
      <c r="T42" s="60"/>
      <c r="U42" s="60"/>
      <c r="V42" s="60"/>
    </row>
    <row r="43" spans="1:22" x14ac:dyDescent="0.25">
      <c r="A43" s="60"/>
      <c r="B43" s="61"/>
      <c r="C43" s="60">
        <v>11</v>
      </c>
      <c r="D43" s="60" t="s">
        <v>220</v>
      </c>
      <c r="E43" s="60"/>
      <c r="F43" s="60"/>
      <c r="G43" s="60"/>
      <c r="H43" s="60"/>
      <c r="I43" s="60"/>
      <c r="J43" s="60"/>
      <c r="K43" s="60"/>
      <c r="L43" s="60"/>
      <c r="M43" s="60"/>
      <c r="N43" s="60"/>
      <c r="O43" s="60"/>
      <c r="P43" s="60"/>
      <c r="Q43" s="60"/>
      <c r="R43" s="60"/>
      <c r="S43" s="60"/>
      <c r="T43" s="60"/>
      <c r="U43" s="60"/>
      <c r="V43" s="60"/>
    </row>
    <row r="44" spans="1:22" x14ac:dyDescent="0.25">
      <c r="A44" s="60"/>
      <c r="B44" s="61"/>
      <c r="C44" s="60"/>
      <c r="D44" s="60"/>
      <c r="E44" s="60"/>
      <c r="F44" s="60"/>
      <c r="G44" s="60"/>
      <c r="H44" s="60"/>
      <c r="I44" s="60"/>
      <c r="J44" s="60"/>
      <c r="K44" s="60"/>
      <c r="L44" s="60"/>
      <c r="M44" s="60"/>
      <c r="N44" s="60"/>
      <c r="O44" s="60"/>
      <c r="P44" s="60"/>
      <c r="Q44" s="60"/>
      <c r="R44" s="60"/>
      <c r="S44" s="60"/>
      <c r="T44" s="60"/>
      <c r="U44" s="60"/>
      <c r="V44" s="60"/>
    </row>
    <row r="45" spans="1:22" x14ac:dyDescent="0.25">
      <c r="A45" s="60"/>
      <c r="B45" s="61"/>
      <c r="C45" s="60" t="s">
        <v>618</v>
      </c>
      <c r="D45" s="60" t="s">
        <v>667</v>
      </c>
      <c r="E45" s="60" t="s">
        <v>669</v>
      </c>
      <c r="F45" s="60">
        <f>C43</f>
        <v>11</v>
      </c>
      <c r="G45" s="60" t="s">
        <v>220</v>
      </c>
      <c r="H45" s="60" t="s">
        <v>375</v>
      </c>
      <c r="I45" s="60">
        <v>2</v>
      </c>
      <c r="J45" s="60" t="s">
        <v>668</v>
      </c>
      <c r="K45" s="78" t="s">
        <v>615</v>
      </c>
      <c r="L45" s="60" t="s">
        <v>614</v>
      </c>
      <c r="M45" s="60"/>
      <c r="N45" s="60"/>
      <c r="O45" s="60"/>
      <c r="P45" s="60"/>
      <c r="Q45" s="60"/>
      <c r="R45" s="60"/>
      <c r="S45" s="60"/>
      <c r="T45" s="60"/>
      <c r="U45" s="60"/>
      <c r="V45" s="60"/>
    </row>
    <row r="46" spans="1:22" x14ac:dyDescent="0.25">
      <c r="A46" s="60"/>
      <c r="B46" s="61"/>
      <c r="C46" s="114">
        <f>F45*I45/1000</f>
        <v>2.1999999999999999E-2</v>
      </c>
      <c r="D46" s="75" t="s">
        <v>667</v>
      </c>
      <c r="E46" s="60"/>
      <c r="F46" s="60"/>
      <c r="G46" s="60"/>
      <c r="H46" s="60"/>
      <c r="I46" s="60"/>
      <c r="J46" s="60"/>
      <c r="K46" s="60"/>
      <c r="L46" s="60"/>
      <c r="M46" s="60"/>
      <c r="N46" s="60"/>
      <c r="O46" s="60"/>
      <c r="P46" s="60"/>
      <c r="Q46" s="60"/>
      <c r="R46" s="60"/>
      <c r="S46" s="60"/>
      <c r="T46" s="60"/>
      <c r="U46" s="60"/>
      <c r="V46" s="60"/>
    </row>
    <row r="47" spans="1:22" x14ac:dyDescent="0.25">
      <c r="A47" s="60"/>
      <c r="B47" s="61"/>
      <c r="C47" s="60"/>
      <c r="D47" s="60"/>
      <c r="E47" s="60"/>
      <c r="F47" s="60"/>
      <c r="G47" s="60"/>
      <c r="H47" s="60"/>
      <c r="I47" s="60"/>
      <c r="J47" s="60"/>
      <c r="K47" s="60"/>
      <c r="L47" s="60"/>
      <c r="M47" s="60"/>
      <c r="N47" s="60"/>
      <c r="O47" s="60"/>
      <c r="P47" s="60"/>
      <c r="Q47" s="60"/>
      <c r="R47" s="60"/>
      <c r="S47" s="60"/>
      <c r="T47" s="60"/>
      <c r="U47" s="60"/>
      <c r="V47" s="60"/>
    </row>
    <row r="48" spans="1:22" x14ac:dyDescent="0.25">
      <c r="A48" s="60"/>
      <c r="B48" s="61" t="s">
        <v>670</v>
      </c>
      <c r="C48" s="60"/>
      <c r="D48" s="60"/>
      <c r="E48" s="60"/>
      <c r="F48" s="60"/>
      <c r="G48" s="60"/>
      <c r="H48" s="60"/>
      <c r="I48" s="60"/>
      <c r="J48" s="60"/>
      <c r="K48" s="60"/>
      <c r="L48" s="60"/>
      <c r="M48" s="60"/>
      <c r="N48" s="60"/>
      <c r="O48" s="60"/>
      <c r="P48" s="60"/>
      <c r="Q48" s="60"/>
      <c r="R48" s="60"/>
      <c r="S48" s="60"/>
      <c r="T48" s="60"/>
      <c r="U48" s="60"/>
      <c r="V48" s="60"/>
    </row>
    <row r="49" spans="1:22" x14ac:dyDescent="0.25">
      <c r="A49" s="60"/>
      <c r="B49" s="61"/>
      <c r="C49" s="60">
        <v>11</v>
      </c>
      <c r="D49" s="60" t="s">
        <v>220</v>
      </c>
      <c r="E49" s="60"/>
      <c r="F49" s="60"/>
      <c r="G49" s="60"/>
      <c r="H49" s="60"/>
      <c r="I49" s="60"/>
      <c r="J49" s="60"/>
      <c r="K49" s="60"/>
      <c r="L49" s="60"/>
      <c r="M49" s="60"/>
      <c r="N49" s="60"/>
      <c r="O49" s="60"/>
      <c r="P49" s="60"/>
      <c r="Q49" s="60"/>
      <c r="R49" s="60"/>
      <c r="S49" s="60"/>
      <c r="T49" s="60"/>
      <c r="U49" s="60"/>
      <c r="V49" s="60"/>
    </row>
    <row r="50" spans="1:22" x14ac:dyDescent="0.25">
      <c r="A50" s="60"/>
      <c r="B50" s="61"/>
      <c r="C50" s="60"/>
      <c r="D50" s="60"/>
      <c r="E50" s="60"/>
      <c r="F50" s="60"/>
      <c r="G50" s="60"/>
      <c r="H50" s="60"/>
      <c r="I50" s="60"/>
      <c r="J50" s="60"/>
      <c r="K50" s="60"/>
      <c r="L50" s="60"/>
      <c r="M50" s="60"/>
      <c r="N50" s="60"/>
      <c r="O50" s="60"/>
      <c r="P50" s="60"/>
      <c r="Q50" s="60"/>
      <c r="R50" s="60"/>
      <c r="S50" s="60"/>
      <c r="T50" s="60"/>
      <c r="U50" s="60"/>
      <c r="V50" s="60"/>
    </row>
    <row r="51" spans="1:22" x14ac:dyDescent="0.25">
      <c r="A51" s="60"/>
      <c r="B51" s="61"/>
      <c r="C51" s="60" t="s">
        <v>618</v>
      </c>
      <c r="D51" s="60" t="s">
        <v>667</v>
      </c>
      <c r="E51" s="60" t="s">
        <v>669</v>
      </c>
      <c r="F51" s="60">
        <f>C49</f>
        <v>11</v>
      </c>
      <c r="G51" s="60" t="s">
        <v>220</v>
      </c>
      <c r="H51" s="60" t="s">
        <v>375</v>
      </c>
      <c r="I51" s="60">
        <v>2</v>
      </c>
      <c r="J51" s="60" t="s">
        <v>668</v>
      </c>
      <c r="K51" s="78" t="s">
        <v>615</v>
      </c>
      <c r="L51" s="60" t="s">
        <v>614</v>
      </c>
      <c r="M51" s="60"/>
      <c r="N51" s="60"/>
      <c r="O51" s="60"/>
      <c r="P51" s="60"/>
      <c r="Q51" s="60"/>
      <c r="R51" s="60"/>
      <c r="S51" s="60"/>
      <c r="T51" s="60"/>
      <c r="U51" s="60"/>
      <c r="V51" s="60"/>
    </row>
    <row r="52" spans="1:22" x14ac:dyDescent="0.25">
      <c r="A52" s="60"/>
      <c r="B52" s="61"/>
      <c r="C52" s="114">
        <f>F51*I51/1000</f>
        <v>2.1999999999999999E-2</v>
      </c>
      <c r="D52" s="75" t="s">
        <v>667</v>
      </c>
      <c r="E52" s="60"/>
      <c r="F52" s="60"/>
      <c r="G52" s="60"/>
      <c r="H52" s="60"/>
      <c r="I52" s="60"/>
      <c r="J52" s="60"/>
      <c r="K52" s="60"/>
      <c r="L52" s="60"/>
      <c r="M52" s="60"/>
      <c r="N52" s="60"/>
      <c r="O52" s="60"/>
      <c r="P52" s="60"/>
      <c r="Q52" s="60"/>
      <c r="R52" s="60"/>
      <c r="S52" s="60"/>
      <c r="T52" s="60"/>
      <c r="U52" s="60"/>
      <c r="V52" s="60"/>
    </row>
    <row r="53" spans="1:22" x14ac:dyDescent="0.25">
      <c r="A53" s="60"/>
      <c r="B53" s="61"/>
      <c r="C53" s="60"/>
      <c r="D53" s="60"/>
      <c r="E53" s="60"/>
      <c r="F53" s="60"/>
      <c r="G53" s="60"/>
      <c r="H53" s="60"/>
      <c r="I53" s="60"/>
      <c r="J53" s="60"/>
      <c r="K53" s="60"/>
      <c r="L53" s="60"/>
      <c r="M53" s="60"/>
      <c r="N53" s="60"/>
      <c r="O53" s="60"/>
      <c r="P53" s="60"/>
      <c r="Q53" s="60"/>
      <c r="R53" s="60"/>
      <c r="S53" s="60"/>
      <c r="T53" s="60"/>
      <c r="U53" s="60"/>
      <c r="V53" s="60"/>
    </row>
    <row r="54" spans="1:22" x14ac:dyDescent="0.25">
      <c r="A54" s="60"/>
      <c r="B54" s="61" t="s">
        <v>666</v>
      </c>
      <c r="C54" s="60"/>
      <c r="D54" s="60"/>
      <c r="E54" s="60"/>
      <c r="F54" s="60"/>
      <c r="G54" s="60"/>
      <c r="H54" s="60"/>
      <c r="I54" s="60"/>
      <c r="J54" s="60"/>
      <c r="K54" s="60"/>
      <c r="L54" s="60"/>
      <c r="M54" s="60"/>
      <c r="N54" s="60"/>
      <c r="O54" s="60"/>
      <c r="P54" s="60"/>
      <c r="Q54" s="60"/>
      <c r="R54" s="60"/>
      <c r="S54" s="60"/>
      <c r="T54" s="60"/>
      <c r="U54" s="60"/>
      <c r="V54" s="60"/>
    </row>
    <row r="55" spans="1:22" x14ac:dyDescent="0.25">
      <c r="A55" s="60"/>
      <c r="B55" s="61" t="s">
        <v>665</v>
      </c>
      <c r="C55" s="60"/>
      <c r="D55" s="60"/>
      <c r="E55" s="60"/>
      <c r="F55" s="60"/>
      <c r="G55" s="60"/>
      <c r="H55" s="60"/>
      <c r="I55" s="60"/>
      <c r="J55" s="60"/>
      <c r="K55" s="60"/>
      <c r="L55" s="60"/>
      <c r="M55" s="60"/>
      <c r="N55" s="60"/>
      <c r="O55" s="60"/>
      <c r="P55" s="60"/>
      <c r="Q55" s="60"/>
      <c r="R55" s="60"/>
      <c r="S55" s="60"/>
      <c r="T55" s="60"/>
      <c r="U55" s="60"/>
      <c r="V55" s="60"/>
    </row>
    <row r="56" spans="1:22" x14ac:dyDescent="0.25">
      <c r="A56" s="60"/>
      <c r="C56" s="61" t="s">
        <v>610</v>
      </c>
      <c r="D56" s="106">
        <v>1.1499999999999999</v>
      </c>
      <c r="E56" s="60"/>
      <c r="F56" s="60"/>
      <c r="G56" s="60"/>
      <c r="H56" s="60" t="s">
        <v>664</v>
      </c>
      <c r="I56" s="60"/>
      <c r="J56" s="60"/>
      <c r="K56" s="60"/>
      <c r="L56" s="60"/>
      <c r="M56" s="60"/>
      <c r="N56" s="60"/>
      <c r="O56" s="60"/>
      <c r="P56" s="113">
        <f>3413/12000</f>
        <v>0.28441666666666665</v>
      </c>
      <c r="Q56" s="60"/>
      <c r="R56" s="60"/>
      <c r="S56" s="60"/>
      <c r="T56" s="60"/>
      <c r="U56" s="60"/>
      <c r="V56" s="60"/>
    </row>
    <row r="57" spans="1:22" x14ac:dyDescent="0.25">
      <c r="A57" s="60"/>
      <c r="B57" s="61"/>
      <c r="C57" s="60"/>
      <c r="D57" s="60"/>
      <c r="E57" s="60"/>
      <c r="F57" s="60"/>
      <c r="G57" s="60"/>
      <c r="Q57" s="60"/>
      <c r="R57" s="60"/>
      <c r="S57" s="60"/>
      <c r="T57" s="60"/>
      <c r="U57" s="60"/>
      <c r="V57" s="60"/>
    </row>
    <row r="58" spans="1:22" x14ac:dyDescent="0.25">
      <c r="A58" s="60"/>
      <c r="B58" s="4367" t="s">
        <v>663</v>
      </c>
      <c r="C58" s="4368"/>
      <c r="D58" s="112"/>
      <c r="E58" s="111"/>
      <c r="F58" s="110"/>
      <c r="G58" s="4369" t="s">
        <v>662</v>
      </c>
      <c r="H58" s="4370"/>
      <c r="I58" s="4370"/>
      <c r="J58" s="4370"/>
      <c r="K58" s="4370"/>
      <c r="L58" s="4370"/>
      <c r="M58" s="4370"/>
      <c r="N58" s="4370"/>
      <c r="O58" s="4370"/>
      <c r="P58" s="4368"/>
      <c r="Q58" s="472" t="s">
        <v>661</v>
      </c>
      <c r="T58" s="60"/>
      <c r="U58" s="60"/>
      <c r="V58" s="60"/>
    </row>
    <row r="59" spans="1:22" x14ac:dyDescent="0.25">
      <c r="A59" s="60"/>
      <c r="B59" s="107" t="s">
        <v>212</v>
      </c>
      <c r="C59" s="107" t="s">
        <v>207</v>
      </c>
      <c r="D59" s="106" t="s">
        <v>660</v>
      </c>
      <c r="E59" s="106" t="s">
        <v>659</v>
      </c>
      <c r="F59" s="106" t="s">
        <v>658</v>
      </c>
      <c r="G59" s="106" t="s">
        <v>657</v>
      </c>
      <c r="H59" s="106" t="s">
        <v>656</v>
      </c>
      <c r="I59" s="106" t="s">
        <v>655</v>
      </c>
      <c r="J59" s="106" t="s">
        <v>654</v>
      </c>
      <c r="K59" s="106" t="s">
        <v>653</v>
      </c>
      <c r="L59" s="106" t="s">
        <v>652</v>
      </c>
      <c r="M59" s="106" t="s">
        <v>651</v>
      </c>
      <c r="N59" s="106" t="s">
        <v>650</v>
      </c>
      <c r="O59" s="106" t="s">
        <v>649</v>
      </c>
      <c r="P59" s="98" t="s">
        <v>355</v>
      </c>
      <c r="Q59" s="473"/>
      <c r="T59" s="60"/>
      <c r="U59" s="60"/>
      <c r="V59" s="60"/>
    </row>
    <row r="60" spans="1:22" x14ac:dyDescent="0.25">
      <c r="A60" s="60"/>
      <c r="B60" s="109">
        <v>0</v>
      </c>
      <c r="C60" s="109">
        <v>0</v>
      </c>
      <c r="D60" s="107">
        <v>1</v>
      </c>
      <c r="E60" s="106" t="s">
        <v>648</v>
      </c>
      <c r="F60" s="105">
        <v>5.5819999999999999</v>
      </c>
      <c r="G60" s="104">
        <f t="shared" ref="G60:G65" si="1">1/F60</f>
        <v>0.1791472590469366</v>
      </c>
      <c r="H60" s="102">
        <f>C$46*$G$21/$E$17*$P56</f>
        <v>1.2514333333333332E-2</v>
      </c>
      <c r="I60" s="106"/>
      <c r="J60" s="106"/>
      <c r="K60" s="104">
        <f>0.72*$C$52*$J$21/$E$17*$P56</f>
        <v>9.0103199999999987E-3</v>
      </c>
      <c r="L60" s="103">
        <f>$C$40/$D60*K$21/$E$17*$P56</f>
        <v>3.2423500000000001E-2</v>
      </c>
      <c r="M60" s="102"/>
      <c r="N60" s="102"/>
      <c r="O60" s="102">
        <f>$C$33*$P56</f>
        <v>1.4070931355439208E-2</v>
      </c>
      <c r="P60" s="101">
        <f t="shared" ref="P60:P65" si="2">SUM(G60:O60)</f>
        <v>0.24716634373570912</v>
      </c>
      <c r="Q60" s="100">
        <f t="shared" ref="Q60:Q65" si="3">1/P60</f>
        <v>4.0458582867143251</v>
      </c>
      <c r="T60" s="60"/>
      <c r="U60" s="60"/>
      <c r="V60" s="60"/>
    </row>
    <row r="61" spans="1:22" x14ac:dyDescent="0.25">
      <c r="A61" s="60"/>
      <c r="B61" s="108">
        <f>75/$D$56</f>
        <v>65.217391304347828</v>
      </c>
      <c r="C61" s="108">
        <f>264/$D$56</f>
        <v>229.56521739130437</v>
      </c>
      <c r="D61" s="107">
        <v>1</v>
      </c>
      <c r="E61" s="106" t="s">
        <v>648</v>
      </c>
      <c r="F61" s="105">
        <v>5.718</v>
      </c>
      <c r="G61" s="104">
        <f t="shared" si="1"/>
        <v>0.17488632388947184</v>
      </c>
      <c r="H61" s="102">
        <f>C$46*$G$21/$E$17*$P56</f>
        <v>1.2514333333333332E-2</v>
      </c>
      <c r="I61" s="106"/>
      <c r="J61" s="106"/>
      <c r="K61" s="104">
        <f>0.72*$C$52*$J$21/$E$17*$P56</f>
        <v>9.0103199999999987E-3</v>
      </c>
      <c r="L61" s="103">
        <f>$C$40/$D61*K$21/$E$17*$P56</f>
        <v>3.2423500000000001E-2</v>
      </c>
      <c r="M61" s="102"/>
      <c r="N61" s="102"/>
      <c r="O61" s="102">
        <f>$C$33*$P56</f>
        <v>1.4070931355439208E-2</v>
      </c>
      <c r="P61" s="101">
        <f t="shared" si="2"/>
        <v>0.24290540857824436</v>
      </c>
      <c r="Q61" s="100">
        <f t="shared" si="3"/>
        <v>4.1168288752939866</v>
      </c>
      <c r="T61" s="60"/>
      <c r="U61" s="60"/>
      <c r="V61" s="60"/>
    </row>
    <row r="62" spans="1:22" x14ac:dyDescent="0.25">
      <c r="A62" s="60"/>
      <c r="B62" s="108">
        <f>150/$D$56</f>
        <v>130.43478260869566</v>
      </c>
      <c r="C62" s="108">
        <f>528/$D$56</f>
        <v>459.13043478260875</v>
      </c>
      <c r="D62" s="107">
        <v>1</v>
      </c>
      <c r="E62" s="106" t="s">
        <v>648</v>
      </c>
      <c r="F62" s="105">
        <v>6.0640000000000001</v>
      </c>
      <c r="G62" s="104">
        <f t="shared" si="1"/>
        <v>0.16490765171503957</v>
      </c>
      <c r="H62" s="102">
        <f>C$46*$G$21/$E$17*$P56</f>
        <v>1.2514333333333332E-2</v>
      </c>
      <c r="I62" s="106"/>
      <c r="J62" s="106"/>
      <c r="K62" s="104">
        <f>0.72*$C$52*$J$21/$E$17*$P56</f>
        <v>9.0103199999999987E-3</v>
      </c>
      <c r="L62" s="103">
        <f>$C$40/$D62*K$21/$E$17*$P56</f>
        <v>3.2423500000000001E-2</v>
      </c>
      <c r="M62" s="102"/>
      <c r="N62" s="102"/>
      <c r="O62" s="102">
        <f>$C$33*$P56</f>
        <v>1.4070931355439208E-2</v>
      </c>
      <c r="P62" s="101">
        <f t="shared" si="2"/>
        <v>0.23292673640381209</v>
      </c>
      <c r="Q62" s="100">
        <f t="shared" si="3"/>
        <v>4.2931954289109848</v>
      </c>
      <c r="T62" s="60"/>
      <c r="U62" s="60"/>
      <c r="V62" s="60"/>
    </row>
    <row r="63" spans="1:22" x14ac:dyDescent="0.25">
      <c r="A63" s="60"/>
      <c r="B63" s="108">
        <f>300/$D$56</f>
        <v>260.86956521739131</v>
      </c>
      <c r="C63" s="108">
        <f>1055/$D$56</f>
        <v>917.39130434782612</v>
      </c>
      <c r="D63" s="107">
        <v>2</v>
      </c>
      <c r="E63" s="106" t="s">
        <v>648</v>
      </c>
      <c r="F63" s="105">
        <v>6.0640000000000001</v>
      </c>
      <c r="G63" s="104">
        <f t="shared" si="1"/>
        <v>0.16490765171503957</v>
      </c>
      <c r="H63" s="102">
        <f>C$46/D63*$G$22/$E$17*$P56</f>
        <v>6.2571666666666661E-3</v>
      </c>
      <c r="I63" s="104">
        <f>C$46/D63*$H$22/$E$17*$P56</f>
        <v>2.5028666666666662E-3</v>
      </c>
      <c r="J63" s="106"/>
      <c r="K63" s="104">
        <f>$C$52*0.42*$J$22/$E$17*$P56</f>
        <v>5.2560199999999993E-3</v>
      </c>
      <c r="L63" s="103">
        <f>$C$40/$D63*K$22/$E$17*$P56</f>
        <v>1.621175E-2</v>
      </c>
      <c r="M63" s="102">
        <f>$C$40/$D63*L$22/$E$17*$P56</f>
        <v>6.4846999999999995E-3</v>
      </c>
      <c r="N63" s="102"/>
      <c r="O63" s="102">
        <f>$C$33*$P56</f>
        <v>1.4070931355439208E-2</v>
      </c>
      <c r="P63" s="101">
        <f t="shared" si="2"/>
        <v>0.21569108640381213</v>
      </c>
      <c r="Q63" s="100">
        <f t="shared" si="3"/>
        <v>4.6362602028338893</v>
      </c>
      <c r="T63" s="60"/>
      <c r="U63" s="60"/>
      <c r="V63" s="60"/>
    </row>
    <row r="64" spans="1:22" x14ac:dyDescent="0.25">
      <c r="A64" s="60"/>
      <c r="B64" s="108">
        <f>600/$D$56</f>
        <v>521.73913043478262</v>
      </c>
      <c r="C64" s="108">
        <f>2110/$D$56</f>
        <v>1834.7826086956522</v>
      </c>
      <c r="D64" s="107">
        <v>2</v>
      </c>
      <c r="E64" s="106" t="s">
        <v>647</v>
      </c>
      <c r="F64" s="105">
        <v>5.9009999999999998</v>
      </c>
      <c r="G64" s="104">
        <f t="shared" si="1"/>
        <v>0.16946280291476021</v>
      </c>
      <c r="H64" s="102">
        <f>C$46/D64*$G$22/$E$17*$P56</f>
        <v>6.2571666666666661E-3</v>
      </c>
      <c r="I64" s="104">
        <f>C$46/D64*$H$22/$E$17*$P56</f>
        <v>2.5028666666666662E-3</v>
      </c>
      <c r="J64" s="106"/>
      <c r="K64" s="104">
        <f>$C$52*0.42*$J$22/$E$17*$P56</f>
        <v>5.2560199999999993E-3</v>
      </c>
      <c r="L64" s="103">
        <f>$C$40/$D64*K$22/$E$17*$P56</f>
        <v>1.621175E-2</v>
      </c>
      <c r="M64" s="102">
        <f>$C$40/$D64*L$22/$E$17*$P56</f>
        <v>6.4846999999999995E-3</v>
      </c>
      <c r="N64" s="102"/>
      <c r="O64" s="102">
        <f>$C$33*$P56</f>
        <v>1.4070931355439208E-2</v>
      </c>
      <c r="P64" s="101">
        <f t="shared" si="2"/>
        <v>0.22024623760353276</v>
      </c>
      <c r="Q64" s="100">
        <f t="shared" si="3"/>
        <v>4.5403726796010426</v>
      </c>
      <c r="T64" s="60"/>
      <c r="U64" s="60"/>
      <c r="V64" s="60"/>
    </row>
    <row r="65" spans="1:22" x14ac:dyDescent="0.25">
      <c r="A65" s="60"/>
      <c r="B65" s="108">
        <f>1200/$D$56</f>
        <v>1043.4782608695652</v>
      </c>
      <c r="C65" s="108">
        <f>4220/$D$56</f>
        <v>3669.5652173913045</v>
      </c>
      <c r="D65" s="107">
        <v>3</v>
      </c>
      <c r="E65" s="106" t="s">
        <v>647</v>
      </c>
      <c r="F65" s="105">
        <v>6.4059999999999997</v>
      </c>
      <c r="G65" s="104">
        <f t="shared" si="1"/>
        <v>0.15610365282547611</v>
      </c>
      <c r="H65" s="102">
        <f>C$46/D65*$G$23/$E$17*$P56</f>
        <v>4.1714444444444438E-3</v>
      </c>
      <c r="I65" s="104">
        <f>C$46/D65*$H$23/$E$17*$P56</f>
        <v>2.0857222222222219E-3</v>
      </c>
      <c r="J65" s="104">
        <f>C$46/D65*$I$23/$E$17*$P56</f>
        <v>8.3428888888888891E-4</v>
      </c>
      <c r="K65" s="104">
        <f>$C$52*0.42*$J$23/$E$17*$P56</f>
        <v>5.2560199999999993E-3</v>
      </c>
      <c r="L65" s="103">
        <f>$C$40/$D65*K$23/$E$17*$P56</f>
        <v>1.0807833333333332E-2</v>
      </c>
      <c r="M65" s="102">
        <f>$C$40/D$65*L$23/$E$17*$P56</f>
        <v>5.4039166666666662E-3</v>
      </c>
      <c r="N65" s="102">
        <f>$C$40/D$65*M$23/$E$17*$P56</f>
        <v>2.1615666666666665E-3</v>
      </c>
      <c r="O65" s="102">
        <f>$C$33*$P56</f>
        <v>1.4070931355439208E-2</v>
      </c>
      <c r="P65" s="101">
        <f t="shared" si="2"/>
        <v>0.20089537640313757</v>
      </c>
      <c r="Q65" s="100">
        <f t="shared" si="3"/>
        <v>4.977715355645099</v>
      </c>
      <c r="T65" s="60"/>
      <c r="U65" s="60"/>
      <c r="V65" s="60"/>
    </row>
    <row r="66" spans="1:22" x14ac:dyDescent="0.25">
      <c r="A66" s="60"/>
      <c r="B66" s="99"/>
      <c r="C66" s="81"/>
      <c r="D66" s="60"/>
      <c r="E66" s="60"/>
      <c r="F66" s="60"/>
      <c r="G66" s="60"/>
      <c r="H66" s="60"/>
      <c r="I66" s="60"/>
      <c r="J66" s="60"/>
      <c r="K66" s="60"/>
      <c r="L66" s="60"/>
      <c r="M66" s="60"/>
      <c r="N66" s="60"/>
      <c r="O66" s="60"/>
      <c r="P66" s="60"/>
      <c r="Q66" s="60"/>
      <c r="R66" s="60"/>
      <c r="S66" s="60"/>
      <c r="T66" s="60"/>
      <c r="U66" s="60"/>
      <c r="V66" s="60"/>
    </row>
    <row r="67" spans="1:22" x14ac:dyDescent="0.25">
      <c r="A67" s="60"/>
      <c r="B67" s="66" t="s">
        <v>602</v>
      </c>
      <c r="C67" s="60"/>
      <c r="D67" s="60"/>
      <c r="E67" s="60"/>
      <c r="F67" s="60"/>
      <c r="G67" s="60"/>
      <c r="H67" s="60"/>
      <c r="I67" s="60"/>
      <c r="J67" s="60"/>
      <c r="K67" s="60"/>
      <c r="L67" s="60"/>
      <c r="M67" s="60"/>
      <c r="N67" s="60"/>
      <c r="O67" s="60"/>
      <c r="P67" s="60"/>
      <c r="Q67" s="60"/>
      <c r="R67" s="60"/>
      <c r="S67" s="60"/>
      <c r="T67" s="60"/>
      <c r="U67" s="60"/>
      <c r="V67" s="60"/>
    </row>
    <row r="68" spans="1:22" x14ac:dyDescent="0.25">
      <c r="A68" s="60"/>
      <c r="B68" s="65"/>
      <c r="C68" s="60"/>
      <c r="D68" s="60"/>
      <c r="E68" s="60"/>
      <c r="F68" s="60"/>
      <c r="G68" s="60"/>
      <c r="H68" s="60"/>
      <c r="I68" s="60"/>
      <c r="J68" s="60"/>
      <c r="K68" s="60"/>
      <c r="L68" s="60"/>
      <c r="M68" s="60"/>
      <c r="N68" s="60"/>
      <c r="O68" s="60"/>
      <c r="P68" s="60"/>
      <c r="Q68" s="60"/>
      <c r="R68" s="60"/>
      <c r="S68" s="60"/>
      <c r="T68" s="60"/>
      <c r="U68" s="60"/>
      <c r="V68" s="60"/>
    </row>
    <row r="69" spans="1:22" x14ac:dyDescent="0.25">
      <c r="A69" s="60"/>
      <c r="B69" s="60"/>
      <c r="C69" s="60" t="s">
        <v>601</v>
      </c>
      <c r="D69" s="60"/>
      <c r="E69" s="60"/>
      <c r="F69" s="60"/>
      <c r="G69" s="60"/>
      <c r="H69" s="60"/>
      <c r="I69" s="60"/>
      <c r="J69" s="60"/>
      <c r="K69" s="60"/>
      <c r="L69" s="60"/>
      <c r="M69" s="60"/>
      <c r="N69" s="60"/>
      <c r="O69" s="60"/>
      <c r="P69" s="60"/>
      <c r="Q69" s="60"/>
      <c r="R69" s="60"/>
      <c r="S69" s="60"/>
      <c r="T69" s="60"/>
      <c r="U69" s="60"/>
      <c r="V69" s="60"/>
    </row>
    <row r="70" spans="1:22" x14ac:dyDescent="0.25">
      <c r="A70" s="60"/>
      <c r="B70" s="60"/>
      <c r="C70" s="98">
        <f>IF(OR(SUMIF('12 - Performance_Outputs_1'!$S$238:$S$293,"District Cooling",'12 - Performance_Outputs_1'!$G$238:$G$293)=0,ISERROR(VLOOKUP(VLOOKUP("District Cooling",'12 - Performance_Outputs_1'!$B$17:$H$18,5,FALSE),DemandTable,3,FALSE)/12)),1200,(SUMIF('12 - Performance_Outputs_1'!$S$238:$S$293,"District Cooling",'12 - Performance_Outputs_1'!$G$238:$G$293)*VLOOKUP(VLOOKUP("District Cooling",'12 - Performance_Outputs_1'!$B$17:$H$18,5,FALSE),DemandTable,3,FALSE)/12))</f>
        <v>1200</v>
      </c>
      <c r="D70" s="61" t="s">
        <v>212</v>
      </c>
      <c r="E70" s="60"/>
      <c r="F70" s="60"/>
      <c r="G70" s="60"/>
      <c r="H70" s="60"/>
      <c r="I70" s="60"/>
      <c r="J70" s="60"/>
      <c r="K70" s="60"/>
      <c r="L70" s="60"/>
      <c r="M70" s="60"/>
      <c r="N70" s="60"/>
      <c r="O70" s="60"/>
      <c r="P70" s="60"/>
      <c r="Q70" s="60"/>
      <c r="R70" s="60"/>
      <c r="S70" s="60"/>
      <c r="T70" s="60"/>
      <c r="U70" s="60"/>
      <c r="V70" s="60"/>
    </row>
    <row r="71" spans="1:22" x14ac:dyDescent="0.25">
      <c r="A71" s="60"/>
      <c r="B71" s="60"/>
      <c r="C71" s="60"/>
      <c r="D71" s="60"/>
      <c r="E71" s="60"/>
      <c r="F71" s="60"/>
      <c r="G71" s="60"/>
      <c r="H71" s="60"/>
      <c r="I71" s="60"/>
      <c r="J71" s="60"/>
      <c r="K71" s="60"/>
      <c r="L71" s="60"/>
      <c r="M71" s="60"/>
      <c r="N71" s="60"/>
      <c r="O71" s="60"/>
      <c r="P71" s="60"/>
      <c r="Q71" s="60"/>
      <c r="R71" s="60"/>
      <c r="S71" s="60"/>
      <c r="T71" s="60"/>
      <c r="U71" s="60"/>
      <c r="V71" s="60"/>
    </row>
    <row r="72" spans="1:22" x14ac:dyDescent="0.25">
      <c r="A72" s="60"/>
      <c r="B72" s="60"/>
      <c r="C72" s="60" t="s">
        <v>646</v>
      </c>
      <c r="D72" s="60"/>
      <c r="E72" s="60"/>
      <c r="F72" s="60"/>
      <c r="G72" s="60"/>
      <c r="H72" s="60"/>
      <c r="I72" s="60"/>
      <c r="J72" s="60"/>
      <c r="K72" s="60"/>
      <c r="L72" s="60"/>
      <c r="M72" s="60"/>
      <c r="N72" s="60"/>
      <c r="O72" s="60"/>
      <c r="P72" s="60"/>
      <c r="Q72" s="60"/>
      <c r="R72" s="60"/>
      <c r="S72" s="60"/>
      <c r="T72" s="60"/>
      <c r="U72" s="60"/>
      <c r="V72" s="60"/>
    </row>
    <row r="73" spans="1:22" x14ac:dyDescent="0.25">
      <c r="A73" s="60"/>
      <c r="B73" s="60"/>
      <c r="C73" s="63">
        <f>IF(ISERROR(VLOOKUP($C$70,DESBaseCHWTable,16)),$Q$65,VLOOKUP($C$70,DESBaseCHWTable,16))</f>
        <v>4.977715355645099</v>
      </c>
      <c r="D73" s="61" t="s">
        <v>645</v>
      </c>
      <c r="E73" s="60"/>
      <c r="F73" s="60"/>
      <c r="G73" s="60"/>
      <c r="H73" s="60"/>
      <c r="I73" s="60"/>
      <c r="J73" s="60"/>
      <c r="K73" s="60"/>
      <c r="L73" s="60"/>
      <c r="M73" s="60"/>
      <c r="N73" s="60"/>
      <c r="O73" s="60"/>
      <c r="P73" s="60"/>
      <c r="Q73" s="60"/>
      <c r="R73" s="60"/>
      <c r="S73" s="60"/>
      <c r="T73" s="60"/>
      <c r="U73" s="60"/>
      <c r="V73" s="60"/>
    </row>
    <row r="74" spans="1:22" x14ac:dyDescent="0.25">
      <c r="A74" s="60"/>
      <c r="B74" s="60"/>
      <c r="C74" s="60"/>
      <c r="D74" s="60"/>
      <c r="E74" s="60"/>
      <c r="F74" s="60"/>
      <c r="G74" s="60"/>
      <c r="H74" s="60"/>
      <c r="I74" s="60"/>
      <c r="J74" s="60"/>
      <c r="K74" s="60"/>
      <c r="L74" s="60"/>
      <c r="M74" s="60"/>
      <c r="N74" s="60"/>
      <c r="O74" s="60"/>
      <c r="P74" s="60"/>
      <c r="Q74" s="60"/>
      <c r="R74" s="60"/>
      <c r="S74" s="60"/>
      <c r="T74" s="60"/>
      <c r="U74" s="60"/>
      <c r="V74" s="60"/>
    </row>
    <row r="75" spans="1:22" ht="21" x14ac:dyDescent="0.4">
      <c r="A75" s="97" t="s">
        <v>644</v>
      </c>
      <c r="B75" s="60"/>
      <c r="C75" s="60"/>
      <c r="D75" s="60"/>
      <c r="E75" s="60"/>
      <c r="F75" s="60"/>
      <c r="G75" s="60"/>
      <c r="H75" s="60"/>
      <c r="I75" s="60"/>
      <c r="J75" s="60"/>
      <c r="K75" s="60"/>
      <c r="L75" s="60"/>
      <c r="M75" s="60"/>
      <c r="N75" s="60"/>
      <c r="O75" s="60"/>
      <c r="P75" s="60"/>
      <c r="Q75" s="60"/>
      <c r="R75" s="60"/>
      <c r="S75" s="60"/>
      <c r="T75" s="60"/>
      <c r="U75" s="60"/>
      <c r="V75" s="60"/>
    </row>
    <row r="76" spans="1:22" ht="21" x14ac:dyDescent="0.4">
      <c r="A76" s="97"/>
      <c r="B76" s="60"/>
      <c r="C76" s="60"/>
      <c r="D76" s="60"/>
      <c r="E76" s="60"/>
      <c r="F76" s="60"/>
      <c r="G76" s="60"/>
      <c r="H76" s="60"/>
      <c r="I76" s="60"/>
      <c r="J76" s="60"/>
      <c r="K76" s="60"/>
      <c r="L76" s="60"/>
      <c r="M76" s="60"/>
      <c r="N76" s="60"/>
      <c r="O76" s="60"/>
      <c r="P76" s="60"/>
      <c r="Q76" s="60"/>
      <c r="R76" s="60"/>
      <c r="S76" s="60"/>
      <c r="T76" s="60"/>
      <c r="U76" s="60"/>
      <c r="V76" s="60"/>
    </row>
    <row r="77" spans="1:22" x14ac:dyDescent="0.25">
      <c r="A77" s="60"/>
      <c r="B77" s="96" t="s">
        <v>643</v>
      </c>
      <c r="C77" s="81"/>
      <c r="D77" s="81"/>
      <c r="E77" s="81"/>
      <c r="F77" s="81"/>
      <c r="G77" s="81"/>
      <c r="H77" s="81"/>
      <c r="I77" s="81"/>
      <c r="J77" s="81"/>
      <c r="K77" s="81"/>
      <c r="L77" s="95"/>
      <c r="M77" s="81"/>
      <c r="N77" s="95"/>
      <c r="O77" s="81"/>
      <c r="P77" s="81"/>
      <c r="Q77" s="81"/>
      <c r="R77" s="81"/>
      <c r="S77" s="81"/>
      <c r="T77" s="81"/>
      <c r="U77" s="81"/>
      <c r="V77" s="80"/>
    </row>
    <row r="78" spans="1:22" x14ac:dyDescent="0.25">
      <c r="A78" s="60"/>
      <c r="B78" s="94" t="s">
        <v>642</v>
      </c>
      <c r="C78" s="60"/>
      <c r="D78" s="60"/>
      <c r="E78" s="60"/>
      <c r="F78" s="60"/>
      <c r="G78" s="60"/>
      <c r="H78" s="60"/>
      <c r="I78" s="60"/>
      <c r="J78" s="60"/>
      <c r="K78" s="60"/>
      <c r="L78" s="60"/>
      <c r="M78" s="60"/>
      <c r="N78" s="60"/>
      <c r="O78" s="60"/>
      <c r="P78" s="60"/>
      <c r="Q78" s="60"/>
      <c r="R78" s="60"/>
      <c r="S78" s="60"/>
      <c r="T78" s="60"/>
      <c r="U78" s="60"/>
      <c r="V78" s="74"/>
    </row>
    <row r="79" spans="1:22" x14ac:dyDescent="0.25">
      <c r="A79" s="60"/>
      <c r="B79" s="94" t="s">
        <v>641</v>
      </c>
      <c r="C79" s="60"/>
      <c r="D79" s="60"/>
      <c r="E79" s="60"/>
      <c r="F79" s="60"/>
      <c r="G79" s="60"/>
      <c r="H79" s="60"/>
      <c r="I79" s="60"/>
      <c r="J79" s="60"/>
      <c r="K79" s="60"/>
      <c r="L79" s="60"/>
      <c r="M79" s="60"/>
      <c r="N79" s="60"/>
      <c r="O79" s="60"/>
      <c r="P79" s="60"/>
      <c r="Q79" s="60"/>
      <c r="R79" s="60"/>
      <c r="S79" s="60"/>
      <c r="T79" s="60"/>
      <c r="U79" s="60"/>
      <c r="V79" s="74"/>
    </row>
    <row r="80" spans="1:22" x14ac:dyDescent="0.25">
      <c r="A80" s="60"/>
      <c r="B80" s="94" t="s">
        <v>640</v>
      </c>
      <c r="C80" s="60"/>
      <c r="D80" s="60"/>
      <c r="E80" s="60"/>
      <c r="F80" s="60"/>
      <c r="G80" s="60"/>
      <c r="H80" s="60"/>
      <c r="I80" s="60"/>
      <c r="J80" s="60"/>
      <c r="K80" s="60"/>
      <c r="L80" s="60"/>
      <c r="M80" s="60"/>
      <c r="N80" s="60"/>
      <c r="O80" s="60"/>
      <c r="P80" s="60"/>
      <c r="Q80" s="60"/>
      <c r="R80" s="60"/>
      <c r="S80" s="60"/>
      <c r="T80" s="60"/>
      <c r="U80" s="60"/>
      <c r="V80" s="74"/>
    </row>
    <row r="81" spans="1:22" x14ac:dyDescent="0.25">
      <c r="A81" s="60"/>
      <c r="B81" s="94" t="s">
        <v>639</v>
      </c>
      <c r="C81" s="60"/>
      <c r="D81" s="60"/>
      <c r="E81" s="60"/>
      <c r="F81" s="60"/>
      <c r="G81" s="60"/>
      <c r="H81" s="60"/>
      <c r="I81" s="60"/>
      <c r="J81" s="60"/>
      <c r="K81" s="60"/>
      <c r="L81" s="60"/>
      <c r="M81" s="60"/>
      <c r="N81" s="60"/>
      <c r="O81" s="60"/>
      <c r="P81" s="60"/>
      <c r="Q81" s="60"/>
      <c r="R81" s="60"/>
      <c r="S81" s="60"/>
      <c r="T81" s="60"/>
      <c r="U81" s="60"/>
      <c r="V81" s="74"/>
    </row>
    <row r="82" spans="1:22" x14ac:dyDescent="0.25">
      <c r="A82" s="60"/>
      <c r="B82" s="94" t="s">
        <v>638</v>
      </c>
      <c r="C82" s="60"/>
      <c r="D82" s="60"/>
      <c r="E82" s="60"/>
      <c r="F82" s="60"/>
      <c r="G82" s="60"/>
      <c r="H82" s="60"/>
      <c r="I82" s="60"/>
      <c r="J82" s="60"/>
      <c r="K82" s="60"/>
      <c r="L82" s="60"/>
      <c r="M82" s="60"/>
      <c r="N82" s="60"/>
      <c r="O82" s="60"/>
      <c r="P82" s="60"/>
      <c r="Q82" s="60"/>
      <c r="R82" s="60"/>
      <c r="S82" s="60"/>
      <c r="T82" s="60"/>
      <c r="U82" s="60"/>
      <c r="V82" s="74"/>
    </row>
    <row r="83" spans="1:22" x14ac:dyDescent="0.25">
      <c r="A83" s="60"/>
      <c r="B83" s="93" t="s">
        <v>637</v>
      </c>
      <c r="C83" s="92"/>
      <c r="D83" s="92"/>
      <c r="E83" s="92"/>
      <c r="F83" s="92"/>
      <c r="G83" s="92"/>
      <c r="H83" s="92"/>
      <c r="I83" s="92"/>
      <c r="J83" s="92"/>
      <c r="K83" s="92"/>
      <c r="L83" s="92"/>
      <c r="M83" s="92"/>
      <c r="N83" s="92"/>
      <c r="O83" s="92"/>
      <c r="P83" s="92"/>
      <c r="Q83" s="92"/>
      <c r="R83" s="92"/>
      <c r="S83" s="92"/>
      <c r="T83" s="92"/>
      <c r="U83" s="92"/>
      <c r="V83" s="91"/>
    </row>
    <row r="84" spans="1:22" x14ac:dyDescent="0.25">
      <c r="A84" s="60"/>
      <c r="B84" s="60"/>
      <c r="C84" s="60"/>
      <c r="D84" s="60"/>
      <c r="E84" s="60"/>
      <c r="F84" s="60"/>
      <c r="G84" s="60"/>
      <c r="H84" s="60"/>
      <c r="I84" s="60"/>
      <c r="J84" s="60"/>
      <c r="K84" s="60"/>
      <c r="L84" s="60"/>
      <c r="M84" s="60"/>
      <c r="N84" s="60"/>
      <c r="O84" s="60"/>
      <c r="P84" s="60"/>
      <c r="Q84" s="60"/>
      <c r="R84" s="60"/>
      <c r="S84" s="60"/>
      <c r="T84" s="60"/>
      <c r="U84" s="60"/>
      <c r="V84" s="60"/>
    </row>
    <row r="85" spans="1:22" x14ac:dyDescent="0.25">
      <c r="A85" s="60"/>
      <c r="C85" s="60"/>
      <c r="D85" s="60"/>
      <c r="E85" s="60"/>
      <c r="F85" s="60"/>
      <c r="G85" s="60"/>
      <c r="H85" s="60"/>
      <c r="I85" s="60"/>
      <c r="J85" s="60"/>
      <c r="K85" s="60"/>
      <c r="L85" s="60"/>
      <c r="M85" s="60"/>
      <c r="N85" s="60"/>
      <c r="O85" s="60"/>
      <c r="P85" s="60"/>
      <c r="Q85" s="60"/>
      <c r="R85" s="60"/>
      <c r="S85" s="60"/>
      <c r="T85" s="60"/>
      <c r="U85" s="60"/>
      <c r="V85" s="60"/>
    </row>
    <row r="86" spans="1:22" x14ac:dyDescent="0.25">
      <c r="A86" s="60"/>
      <c r="B86" s="82" t="s">
        <v>636</v>
      </c>
      <c r="C86" s="81"/>
      <c r="D86" s="81"/>
      <c r="E86" s="81"/>
      <c r="F86" s="81"/>
      <c r="G86" s="81"/>
      <c r="H86" s="81"/>
      <c r="I86" s="81"/>
      <c r="J86" s="81"/>
      <c r="K86" s="81"/>
      <c r="L86" s="81"/>
      <c r="M86" s="81"/>
      <c r="N86" s="81"/>
      <c r="O86" s="81"/>
      <c r="P86" s="81"/>
      <c r="Q86" s="81"/>
      <c r="R86" s="81"/>
      <c r="S86" s="81"/>
      <c r="T86" s="81"/>
      <c r="U86" s="81"/>
      <c r="V86" s="80"/>
    </row>
    <row r="87" spans="1:22" x14ac:dyDescent="0.25">
      <c r="A87" s="60"/>
      <c r="B87" s="90" t="s">
        <v>635</v>
      </c>
      <c r="C87" s="60"/>
      <c r="D87" s="60"/>
      <c r="E87" s="60"/>
      <c r="F87" s="60"/>
      <c r="G87" s="60"/>
      <c r="H87" s="60"/>
      <c r="I87" s="60"/>
      <c r="J87" s="60"/>
      <c r="K87" s="60"/>
      <c r="L87" s="60"/>
      <c r="M87" s="60"/>
      <c r="N87" s="60"/>
      <c r="O87" s="60"/>
      <c r="P87" s="60"/>
      <c r="Q87" s="60"/>
      <c r="R87" s="60"/>
      <c r="S87" s="60"/>
      <c r="T87" s="60"/>
      <c r="U87" s="60"/>
      <c r="V87" s="74"/>
    </row>
    <row r="88" spans="1:22" x14ac:dyDescent="0.25">
      <c r="A88" s="60"/>
      <c r="B88" s="90" t="s">
        <v>634</v>
      </c>
      <c r="C88" s="60"/>
      <c r="D88" s="60"/>
      <c r="E88" s="60"/>
      <c r="F88" s="60"/>
      <c r="G88" s="60"/>
      <c r="H88" s="60"/>
      <c r="I88" s="60"/>
      <c r="J88" s="60"/>
      <c r="K88" s="60"/>
      <c r="L88" s="60"/>
      <c r="M88" s="60"/>
      <c r="N88" s="60"/>
      <c r="O88" s="60"/>
      <c r="P88" s="60"/>
      <c r="Q88" s="60"/>
      <c r="R88" s="60"/>
      <c r="S88" s="60"/>
      <c r="T88" s="60"/>
      <c r="U88" s="60"/>
      <c r="V88" s="74"/>
    </row>
    <row r="89" spans="1:22" x14ac:dyDescent="0.25">
      <c r="A89" s="60"/>
      <c r="B89" s="87" t="s">
        <v>633</v>
      </c>
      <c r="C89" s="60"/>
      <c r="D89" s="60"/>
      <c r="E89" s="60"/>
      <c r="F89" s="60"/>
      <c r="G89" s="60"/>
      <c r="H89" s="60"/>
      <c r="I89" s="60"/>
      <c r="J89" s="60"/>
      <c r="K89" s="60"/>
      <c r="L89" s="60"/>
      <c r="M89" s="60"/>
      <c r="N89" s="60"/>
      <c r="O89" s="60"/>
      <c r="P89" s="60"/>
      <c r="Q89" s="60"/>
      <c r="R89" s="60"/>
      <c r="S89" s="60"/>
      <c r="T89" s="60"/>
      <c r="U89" s="60"/>
      <c r="V89" s="74"/>
    </row>
    <row r="90" spans="1:22" x14ac:dyDescent="0.25">
      <c r="A90" s="60"/>
      <c r="B90" s="86" t="s">
        <v>632</v>
      </c>
      <c r="C90" s="60"/>
      <c r="D90" s="60"/>
      <c r="E90" s="89"/>
      <c r="F90" s="60"/>
      <c r="G90" s="60"/>
      <c r="H90" s="60"/>
      <c r="I90" s="60"/>
      <c r="J90" s="60"/>
      <c r="K90" s="60"/>
      <c r="L90" s="60"/>
      <c r="M90" s="60"/>
      <c r="N90" s="60"/>
      <c r="O90" s="60"/>
      <c r="P90" s="60"/>
      <c r="Q90" s="60"/>
      <c r="R90" s="60"/>
      <c r="S90" s="60"/>
      <c r="T90" s="60"/>
      <c r="U90" s="60"/>
      <c r="V90" s="74"/>
    </row>
    <row r="91" spans="1:22" x14ac:dyDescent="0.25">
      <c r="A91" s="60"/>
      <c r="B91" s="90"/>
      <c r="C91" s="60"/>
      <c r="D91" s="60"/>
      <c r="E91" s="60"/>
      <c r="F91" s="60"/>
      <c r="G91" s="60"/>
      <c r="H91" s="60"/>
      <c r="I91" s="60"/>
      <c r="J91" s="60"/>
      <c r="K91" s="60"/>
      <c r="L91" s="60"/>
      <c r="M91" s="60"/>
      <c r="N91" s="60"/>
      <c r="O91" s="60"/>
      <c r="P91" s="60"/>
      <c r="Q91" s="60"/>
      <c r="R91" s="60"/>
      <c r="S91" s="60"/>
      <c r="T91" s="60"/>
      <c r="U91" s="60"/>
      <c r="V91" s="74"/>
    </row>
    <row r="92" spans="1:22" x14ac:dyDescent="0.25">
      <c r="A92" s="60"/>
      <c r="B92" s="90" t="s">
        <v>631</v>
      </c>
      <c r="C92" s="60"/>
      <c r="D92" s="60"/>
      <c r="E92" s="60"/>
      <c r="F92" s="60"/>
      <c r="G92" s="60"/>
      <c r="H92" s="60"/>
      <c r="I92" s="60"/>
      <c r="J92" s="60"/>
      <c r="K92" s="60"/>
      <c r="L92" s="60"/>
      <c r="M92" s="60"/>
      <c r="N92" s="60"/>
      <c r="O92" s="60"/>
      <c r="P92" s="60"/>
      <c r="Q92" s="60"/>
      <c r="R92" s="60"/>
      <c r="S92" s="60"/>
      <c r="T92" s="60"/>
      <c r="U92" s="60"/>
      <c r="V92" s="74"/>
    </row>
    <row r="93" spans="1:22" x14ac:dyDescent="0.25">
      <c r="A93" s="60"/>
      <c r="B93" s="87" t="s">
        <v>630</v>
      </c>
      <c r="C93" s="60" t="s">
        <v>626</v>
      </c>
      <c r="D93" s="60" t="s">
        <v>625</v>
      </c>
      <c r="E93" s="60"/>
      <c r="F93" s="60"/>
      <c r="G93" s="60"/>
      <c r="H93" s="60"/>
      <c r="I93" s="60"/>
      <c r="J93" s="60"/>
      <c r="K93" s="60"/>
      <c r="L93" s="60"/>
      <c r="M93" s="60"/>
      <c r="N93" s="60"/>
      <c r="O93" s="60"/>
      <c r="P93" s="60"/>
      <c r="Q93" s="60"/>
      <c r="R93" s="60"/>
      <c r="S93" s="60"/>
      <c r="T93" s="60"/>
      <c r="U93" s="60"/>
      <c r="V93" s="74"/>
    </row>
    <row r="94" spans="1:22" x14ac:dyDescent="0.25">
      <c r="A94" s="60"/>
      <c r="B94" s="86"/>
      <c r="C94" s="60" t="s">
        <v>624</v>
      </c>
      <c r="D94" s="60" t="s">
        <v>629</v>
      </c>
      <c r="E94" s="89"/>
      <c r="F94" s="60"/>
      <c r="G94" s="60"/>
      <c r="H94" s="60"/>
      <c r="I94" s="60"/>
      <c r="J94" s="60"/>
      <c r="K94" s="60"/>
      <c r="L94" s="60"/>
      <c r="M94" s="60"/>
      <c r="N94" s="60"/>
      <c r="O94" s="60"/>
      <c r="P94" s="60"/>
      <c r="Q94" s="60"/>
      <c r="R94" s="60"/>
      <c r="S94" s="60"/>
      <c r="T94" s="60"/>
      <c r="U94" s="60"/>
      <c r="V94" s="74"/>
    </row>
    <row r="95" spans="1:22" x14ac:dyDescent="0.25">
      <c r="B95" s="85"/>
      <c r="C95" s="84" t="s">
        <v>622</v>
      </c>
      <c r="D95" s="59" t="s">
        <v>628</v>
      </c>
      <c r="V95" s="83"/>
    </row>
    <row r="96" spans="1:22" x14ac:dyDescent="0.25">
      <c r="B96" s="88"/>
      <c r="V96" s="83"/>
    </row>
    <row r="97" spans="1:22" x14ac:dyDescent="0.25">
      <c r="B97" s="87" t="s">
        <v>627</v>
      </c>
      <c r="C97" s="60" t="s">
        <v>626</v>
      </c>
      <c r="D97" s="60" t="s">
        <v>625</v>
      </c>
      <c r="V97" s="83"/>
    </row>
    <row r="98" spans="1:22" x14ac:dyDescent="0.25">
      <c r="B98" s="86"/>
      <c r="C98" s="60" t="s">
        <v>624</v>
      </c>
      <c r="D98" s="60" t="s">
        <v>623</v>
      </c>
      <c r="V98" s="83"/>
    </row>
    <row r="99" spans="1:22" x14ac:dyDescent="0.25">
      <c r="B99" s="85"/>
      <c r="C99" s="84" t="s">
        <v>622</v>
      </c>
      <c r="D99" s="59" t="s">
        <v>621</v>
      </c>
      <c r="V99" s="83"/>
    </row>
    <row r="100" spans="1:22" x14ac:dyDescent="0.25">
      <c r="B100" s="73"/>
      <c r="C100" s="72"/>
      <c r="D100" s="72"/>
      <c r="E100" s="72"/>
      <c r="F100" s="72"/>
      <c r="G100" s="72"/>
      <c r="H100" s="72"/>
      <c r="I100" s="72"/>
      <c r="J100" s="72"/>
      <c r="K100" s="72"/>
      <c r="L100" s="72"/>
      <c r="M100" s="72"/>
      <c r="N100" s="72"/>
      <c r="O100" s="72"/>
      <c r="P100" s="72"/>
      <c r="Q100" s="72"/>
      <c r="R100" s="72"/>
      <c r="S100" s="72"/>
      <c r="T100" s="72"/>
      <c r="U100" s="72"/>
      <c r="V100" s="71"/>
    </row>
    <row r="102" spans="1:22" x14ac:dyDescent="0.25">
      <c r="A102" s="60"/>
      <c r="B102" s="82" t="s">
        <v>620</v>
      </c>
      <c r="C102" s="81"/>
      <c r="D102" s="81"/>
      <c r="E102" s="81"/>
      <c r="F102" s="81"/>
      <c r="G102" s="81"/>
      <c r="H102" s="81"/>
      <c r="I102" s="81"/>
      <c r="J102" s="81"/>
      <c r="K102" s="81"/>
      <c r="L102" s="81"/>
      <c r="M102" s="81"/>
      <c r="N102" s="81"/>
      <c r="O102" s="81"/>
      <c r="P102" s="81"/>
      <c r="Q102" s="81"/>
      <c r="R102" s="81"/>
      <c r="S102" s="81"/>
      <c r="T102" s="81"/>
      <c r="U102" s="81"/>
      <c r="V102" s="80"/>
    </row>
    <row r="103" spans="1:22" x14ac:dyDescent="0.25">
      <c r="A103" s="60"/>
      <c r="B103" s="77"/>
      <c r="C103" s="60">
        <v>19</v>
      </c>
      <c r="D103" s="60" t="s">
        <v>220</v>
      </c>
      <c r="E103" s="60"/>
      <c r="F103" s="60"/>
      <c r="G103" s="60"/>
      <c r="H103" s="60"/>
      <c r="I103" s="60"/>
      <c r="J103" s="60"/>
      <c r="K103" s="60"/>
      <c r="L103" s="60"/>
      <c r="M103" s="60"/>
      <c r="N103" s="60"/>
      <c r="O103" s="60"/>
      <c r="P103" s="60"/>
      <c r="Q103" s="60"/>
      <c r="R103" s="60"/>
      <c r="S103" s="60"/>
      <c r="T103" s="60"/>
      <c r="U103" s="60"/>
      <c r="V103" s="74"/>
    </row>
    <row r="104" spans="1:22" x14ac:dyDescent="0.25">
      <c r="A104" s="60"/>
      <c r="B104" s="77"/>
      <c r="C104" s="60" t="s">
        <v>619</v>
      </c>
      <c r="D104" s="60"/>
      <c r="E104" s="60"/>
      <c r="F104" s="60"/>
      <c r="G104" s="60"/>
      <c r="H104" s="60"/>
      <c r="I104" s="60"/>
      <c r="J104" s="60"/>
      <c r="K104" s="60"/>
      <c r="L104" s="60"/>
      <c r="M104" s="60"/>
      <c r="N104" s="60"/>
      <c r="O104" s="60"/>
      <c r="P104" s="60"/>
      <c r="Q104" s="60"/>
      <c r="R104" s="60"/>
      <c r="S104" s="60"/>
      <c r="T104" s="60"/>
      <c r="U104" s="60"/>
      <c r="V104" s="74"/>
    </row>
    <row r="105" spans="1:22" x14ac:dyDescent="0.25">
      <c r="A105" s="60"/>
      <c r="B105" s="77"/>
      <c r="C105" s="60" t="s">
        <v>618</v>
      </c>
      <c r="D105" s="60" t="s">
        <v>613</v>
      </c>
      <c r="E105" s="79" t="s">
        <v>617</v>
      </c>
      <c r="F105" s="60">
        <f>C103</f>
        <v>19</v>
      </c>
      <c r="G105" s="60" t="s">
        <v>220</v>
      </c>
      <c r="H105" s="60" t="s">
        <v>375</v>
      </c>
      <c r="I105" s="60">
        <v>0.1366</v>
      </c>
      <c r="J105" s="60" t="s">
        <v>616</v>
      </c>
      <c r="K105" s="78" t="s">
        <v>615</v>
      </c>
      <c r="L105" s="60" t="s">
        <v>614</v>
      </c>
      <c r="M105" s="60"/>
      <c r="N105" s="60"/>
      <c r="O105" s="60"/>
      <c r="P105" s="60"/>
      <c r="Q105" s="60"/>
      <c r="R105" s="60"/>
      <c r="S105" s="60"/>
      <c r="T105" s="60"/>
      <c r="U105" s="60"/>
      <c r="V105" s="74"/>
    </row>
    <row r="106" spans="1:22" x14ac:dyDescent="0.25">
      <c r="A106" s="60"/>
      <c r="B106" s="77"/>
      <c r="C106" s="76">
        <f>F105*I105/1000</f>
        <v>2.5954000000000003E-3</v>
      </c>
      <c r="D106" s="75" t="s">
        <v>613</v>
      </c>
      <c r="E106" s="60"/>
      <c r="F106" s="60"/>
      <c r="G106" s="60"/>
      <c r="H106" s="60"/>
      <c r="I106" s="60"/>
      <c r="J106" s="60"/>
      <c r="K106" s="60"/>
      <c r="L106" s="60"/>
      <c r="M106" s="60"/>
      <c r="N106" s="60"/>
      <c r="O106" s="60"/>
      <c r="P106" s="60"/>
      <c r="Q106" s="60"/>
      <c r="R106" s="60"/>
      <c r="S106" s="60"/>
      <c r="T106" s="60"/>
      <c r="U106" s="60"/>
      <c r="V106" s="74"/>
    </row>
    <row r="107" spans="1:22" x14ac:dyDescent="0.25">
      <c r="B107" s="73"/>
      <c r="C107" s="72"/>
      <c r="D107" s="72"/>
      <c r="E107" s="72"/>
      <c r="F107" s="72"/>
      <c r="G107" s="72"/>
      <c r="H107" s="72"/>
      <c r="I107" s="72"/>
      <c r="J107" s="72"/>
      <c r="K107" s="72"/>
      <c r="L107" s="72"/>
      <c r="M107" s="72"/>
      <c r="N107" s="72"/>
      <c r="O107" s="72"/>
      <c r="P107" s="72"/>
      <c r="Q107" s="72"/>
      <c r="R107" s="72"/>
      <c r="S107" s="72"/>
      <c r="T107" s="72"/>
      <c r="U107" s="72"/>
      <c r="V107" s="71"/>
    </row>
    <row r="109" spans="1:22" x14ac:dyDescent="0.25">
      <c r="A109" s="60"/>
      <c r="B109" s="474" t="s">
        <v>612</v>
      </c>
      <c r="C109" s="475"/>
      <c r="D109" s="475"/>
      <c r="E109" s="475"/>
      <c r="F109" s="475"/>
      <c r="G109" s="475"/>
      <c r="H109" s="475"/>
      <c r="I109" s="475"/>
      <c r="J109" s="475"/>
      <c r="K109" s="475"/>
      <c r="L109" s="475"/>
      <c r="M109" s="475"/>
      <c r="N109" s="475"/>
      <c r="O109" s="475"/>
      <c r="P109" s="475"/>
      <c r="Q109" s="475"/>
      <c r="R109" s="475"/>
      <c r="S109" s="475"/>
      <c r="T109" s="475"/>
      <c r="U109" s="475"/>
      <c r="V109" s="475"/>
    </row>
    <row r="110" spans="1:22" x14ac:dyDescent="0.25">
      <c r="A110" s="60"/>
      <c r="B110" s="474" t="s">
        <v>611</v>
      </c>
      <c r="C110" s="475"/>
      <c r="D110" s="475"/>
      <c r="E110" s="475"/>
      <c r="F110" s="475"/>
      <c r="G110" s="475"/>
      <c r="H110" s="475"/>
      <c r="I110" s="475"/>
      <c r="J110" s="475"/>
      <c r="K110" s="475"/>
      <c r="L110" s="475"/>
      <c r="M110" s="475"/>
      <c r="N110" s="475"/>
      <c r="O110" s="475"/>
      <c r="P110" s="475"/>
      <c r="Q110" s="475"/>
      <c r="R110" s="475"/>
      <c r="S110" s="475"/>
      <c r="T110" s="475"/>
      <c r="U110" s="475"/>
      <c r="V110" s="475"/>
    </row>
    <row r="111" spans="1:22" x14ac:dyDescent="0.25">
      <c r="A111" s="60"/>
      <c r="B111" s="476"/>
      <c r="C111" s="474" t="s">
        <v>610</v>
      </c>
      <c r="D111" s="477">
        <v>1.25</v>
      </c>
      <c r="E111" s="475"/>
      <c r="F111" s="475"/>
      <c r="G111" s="475"/>
      <c r="H111" s="475"/>
      <c r="I111" s="475"/>
      <c r="J111" s="475"/>
      <c r="K111" s="475"/>
      <c r="L111" s="475"/>
      <c r="M111" s="475"/>
      <c r="N111" s="475"/>
      <c r="O111" s="475"/>
      <c r="P111" s="475"/>
      <c r="Q111" s="475"/>
      <c r="R111" s="475"/>
      <c r="S111" s="475"/>
      <c r="T111" s="475"/>
      <c r="U111" s="475"/>
      <c r="V111" s="475"/>
    </row>
    <row r="112" spans="1:22" x14ac:dyDescent="0.25">
      <c r="A112" s="60"/>
      <c r="B112" s="474"/>
      <c r="C112" s="475"/>
      <c r="D112" s="475"/>
      <c r="E112" s="475"/>
      <c r="F112" s="475"/>
      <c r="G112" s="475"/>
      <c r="H112" s="475"/>
      <c r="I112" s="475"/>
      <c r="J112" s="475"/>
      <c r="K112" s="475"/>
      <c r="L112" s="475"/>
      <c r="M112" s="475"/>
      <c r="N112" s="475"/>
      <c r="O112" s="475"/>
      <c r="P112" s="475"/>
      <c r="Q112" s="475"/>
      <c r="R112" s="475"/>
      <c r="S112" s="475"/>
      <c r="T112" s="475"/>
      <c r="U112" s="475"/>
      <c r="V112" s="475"/>
    </row>
    <row r="113" spans="1:22" ht="66" x14ac:dyDescent="0.25">
      <c r="B113" s="4371" t="s">
        <v>609</v>
      </c>
      <c r="C113" s="4371"/>
      <c r="D113" s="4371" t="s">
        <v>608</v>
      </c>
      <c r="E113" s="4371"/>
      <c r="F113" s="478" t="s">
        <v>607</v>
      </c>
      <c r="G113" s="4372" t="s">
        <v>599</v>
      </c>
      <c r="H113" s="4372"/>
      <c r="I113" s="4373" t="s">
        <v>598</v>
      </c>
      <c r="J113" s="476"/>
      <c r="K113" s="476"/>
      <c r="L113" s="476"/>
      <c r="M113" s="476"/>
      <c r="N113" s="476"/>
      <c r="O113" s="476"/>
      <c r="P113" s="476"/>
      <c r="Q113" s="476"/>
      <c r="R113" s="476"/>
      <c r="S113" s="476"/>
      <c r="T113" s="476"/>
      <c r="U113" s="476"/>
      <c r="V113" s="476"/>
    </row>
    <row r="114" spans="1:22" x14ac:dyDescent="0.25">
      <c r="B114" s="4371"/>
      <c r="C114" s="4371"/>
      <c r="D114" s="4371" t="s">
        <v>605</v>
      </c>
      <c r="E114" s="4371"/>
      <c r="F114" s="479" t="s">
        <v>606</v>
      </c>
      <c r="G114" s="4372" t="s">
        <v>605</v>
      </c>
      <c r="H114" s="4372"/>
      <c r="I114" s="4374"/>
      <c r="J114" s="476"/>
      <c r="K114" s="476"/>
      <c r="L114" s="476"/>
      <c r="M114" s="476"/>
      <c r="N114" s="476"/>
      <c r="O114" s="476"/>
      <c r="P114" s="476"/>
      <c r="Q114" s="476"/>
      <c r="R114" s="476"/>
      <c r="S114" s="476"/>
      <c r="T114" s="476"/>
      <c r="U114" s="476"/>
      <c r="V114" s="476"/>
    </row>
    <row r="115" spans="1:22" x14ac:dyDescent="0.25">
      <c r="B115" s="479" t="s">
        <v>209</v>
      </c>
      <c r="C115" s="479" t="s">
        <v>207</v>
      </c>
      <c r="D115" s="479" t="s">
        <v>604</v>
      </c>
      <c r="E115" s="479" t="s">
        <v>603</v>
      </c>
      <c r="F115" s="479"/>
      <c r="G115" s="480" t="s">
        <v>604</v>
      </c>
      <c r="H115" s="480" t="s">
        <v>603</v>
      </c>
      <c r="I115" s="4375"/>
      <c r="J115" s="476"/>
      <c r="K115" s="476"/>
      <c r="L115" s="476"/>
      <c r="M115" s="476"/>
      <c r="N115" s="476"/>
      <c r="O115" s="476"/>
      <c r="P115" s="476"/>
      <c r="Q115" s="476"/>
      <c r="R115" s="476"/>
      <c r="S115" s="476"/>
      <c r="T115" s="476"/>
      <c r="U115" s="476"/>
      <c r="V115" s="476"/>
    </row>
    <row r="116" spans="1:22" x14ac:dyDescent="0.25">
      <c r="B116" s="70">
        <v>0</v>
      </c>
      <c r="C116" s="479">
        <v>0</v>
      </c>
      <c r="D116" s="481">
        <v>0.8</v>
      </c>
      <c r="E116" s="481">
        <v>0.8</v>
      </c>
      <c r="F116" s="68">
        <f>$C$106*3000/1500*0.72</f>
        <v>3.7373760000000002E-3</v>
      </c>
      <c r="G116" s="67">
        <f t="shared" ref="G116:H118" si="4">D116</f>
        <v>0.8</v>
      </c>
      <c r="H116" s="67">
        <f t="shared" si="4"/>
        <v>0.8</v>
      </c>
      <c r="I116" s="482">
        <f>1/F116</f>
        <v>267.5674055808139</v>
      </c>
      <c r="J116" s="476"/>
      <c r="K116" s="476"/>
      <c r="L116" s="476"/>
      <c r="M116" s="476"/>
      <c r="N116" s="476"/>
      <c r="O116" s="476"/>
      <c r="P116" s="476"/>
      <c r="Q116" s="476"/>
      <c r="R116" s="476"/>
      <c r="S116" s="476"/>
      <c r="T116" s="476"/>
      <c r="U116" s="476"/>
      <c r="V116" s="476"/>
    </row>
    <row r="117" spans="1:22" x14ac:dyDescent="0.25">
      <c r="B117" s="69">
        <f>300000/$D$111</f>
        <v>240000</v>
      </c>
      <c r="C117" s="479">
        <v>88</v>
      </c>
      <c r="D117" s="481">
        <v>0.8</v>
      </c>
      <c r="E117" s="481">
        <v>0.82</v>
      </c>
      <c r="F117" s="68">
        <f>$C$106*3000/1500*0.42</f>
        <v>2.1801360000000001E-3</v>
      </c>
      <c r="G117" s="67">
        <f t="shared" si="4"/>
        <v>0.8</v>
      </c>
      <c r="H117" s="67">
        <f t="shared" si="4"/>
        <v>0.82</v>
      </c>
      <c r="I117" s="482">
        <f>1/F117</f>
        <v>458.68698099568098</v>
      </c>
      <c r="J117" s="476"/>
      <c r="K117" s="476"/>
      <c r="L117" s="476"/>
      <c r="M117" s="476"/>
      <c r="N117" s="476"/>
      <c r="O117" s="476"/>
      <c r="P117" s="476"/>
      <c r="Q117" s="476"/>
      <c r="R117" s="476"/>
      <c r="S117" s="476"/>
      <c r="T117" s="476"/>
      <c r="U117" s="476"/>
      <c r="V117" s="476"/>
    </row>
    <row r="118" spans="1:22" x14ac:dyDescent="0.25">
      <c r="B118" s="69">
        <f>2500000/$D$111</f>
        <v>2000000</v>
      </c>
      <c r="C118" s="479">
        <v>733</v>
      </c>
      <c r="D118" s="481">
        <v>0.82</v>
      </c>
      <c r="E118" s="481">
        <v>0.84</v>
      </c>
      <c r="F118" s="68">
        <f>$C$106*3000/1500*0.42</f>
        <v>2.1801360000000001E-3</v>
      </c>
      <c r="G118" s="67">
        <f t="shared" si="4"/>
        <v>0.82</v>
      </c>
      <c r="H118" s="67">
        <f t="shared" si="4"/>
        <v>0.84</v>
      </c>
      <c r="I118" s="482">
        <f>1/F118</f>
        <v>458.68698099568098</v>
      </c>
      <c r="J118" s="476"/>
      <c r="K118" s="476"/>
      <c r="L118" s="476"/>
      <c r="M118" s="476"/>
      <c r="N118" s="476"/>
      <c r="O118" s="476"/>
      <c r="P118" s="476"/>
      <c r="Q118" s="476"/>
      <c r="R118" s="476"/>
      <c r="S118" s="476"/>
      <c r="T118" s="476"/>
      <c r="U118" s="476"/>
      <c r="V118" s="476"/>
    </row>
    <row r="119" spans="1:22" x14ac:dyDescent="0.25">
      <c r="B119" s="476"/>
      <c r="C119" s="476"/>
      <c r="D119" s="476"/>
      <c r="E119" s="476"/>
      <c r="F119" s="476"/>
      <c r="G119" s="476"/>
      <c r="H119" s="476"/>
      <c r="I119" s="476"/>
      <c r="J119" s="476"/>
      <c r="K119" s="476"/>
      <c r="L119" s="476"/>
      <c r="M119" s="476"/>
      <c r="N119" s="476"/>
      <c r="O119" s="476"/>
      <c r="P119" s="476"/>
      <c r="Q119" s="476"/>
      <c r="R119" s="476"/>
      <c r="S119" s="476"/>
      <c r="T119" s="476"/>
      <c r="U119" s="476"/>
      <c r="V119" s="476"/>
    </row>
    <row r="120" spans="1:22" x14ac:dyDescent="0.25">
      <c r="A120" s="60"/>
      <c r="B120" s="66" t="s">
        <v>955</v>
      </c>
      <c r="C120" s="60"/>
      <c r="D120" s="60"/>
      <c r="E120" s="60"/>
      <c r="F120" s="60"/>
      <c r="G120" s="60"/>
      <c r="H120" s="60"/>
      <c r="I120" s="60"/>
      <c r="J120" s="60"/>
      <c r="K120" s="60"/>
      <c r="L120" s="60"/>
      <c r="M120" s="60"/>
      <c r="N120" s="60"/>
      <c r="O120" s="60"/>
      <c r="P120" s="60"/>
      <c r="Q120" s="60"/>
      <c r="R120" s="60"/>
      <c r="S120" s="60"/>
      <c r="T120" s="60"/>
      <c r="U120" s="60"/>
      <c r="V120" s="60"/>
    </row>
    <row r="121" spans="1:22" x14ac:dyDescent="0.25">
      <c r="A121" s="60"/>
      <c r="B121" s="65"/>
      <c r="C121" s="60"/>
      <c r="D121" s="60"/>
      <c r="E121" s="60"/>
      <c r="F121" s="60"/>
      <c r="G121" s="60"/>
      <c r="H121" s="60"/>
      <c r="I121" s="60"/>
      <c r="J121" s="60"/>
      <c r="K121" s="60"/>
      <c r="L121" s="60"/>
      <c r="M121" s="60"/>
      <c r="N121" s="60"/>
      <c r="O121" s="60"/>
      <c r="P121" s="60"/>
      <c r="Q121" s="60"/>
      <c r="R121" s="60"/>
      <c r="S121" s="60"/>
      <c r="T121" s="60"/>
      <c r="U121" s="60"/>
      <c r="V121" s="60"/>
    </row>
    <row r="122" spans="1:22" x14ac:dyDescent="0.25">
      <c r="A122" s="60"/>
      <c r="B122" s="60"/>
      <c r="C122" s="301" t="s">
        <v>956</v>
      </c>
      <c r="D122" s="60"/>
      <c r="E122" s="60"/>
      <c r="F122" s="60"/>
      <c r="G122" s="60"/>
      <c r="H122" s="60"/>
      <c r="I122" s="60"/>
      <c r="J122" s="60"/>
      <c r="K122" s="60"/>
      <c r="L122" s="60"/>
      <c r="M122" s="60"/>
      <c r="N122" s="60"/>
      <c r="O122" s="60"/>
      <c r="P122" s="60"/>
      <c r="Q122" s="60"/>
      <c r="R122" s="60"/>
      <c r="S122" s="60"/>
      <c r="T122" s="60"/>
      <c r="U122" s="60"/>
      <c r="V122" s="60"/>
    </row>
    <row r="123" spans="1:22" x14ac:dyDescent="0.25">
      <c r="A123" s="60"/>
      <c r="B123" s="60"/>
      <c r="C123" s="64">
        <f>IF(SUMIF('12 - Performance_Outputs_1'!$S$238:$S$293,"District Hot Water",'12 - Performance_Outputs_1'!$G$238:$G$293)+SUMIF('12 - Performance_Outputs_1'!$S$238:$S$293,"District Steam",'12 - Performance_Outputs_1'!$G$238:$G$293)=0,3000000,IF(ISERROR(VLOOKUP(VLOOKUP("District Hot Water",'12 - Performance_Outputs_1'!$B$17:$H$18,5,FALSE),DemandTable,3,FALSE)),IF(ISERROR(VLOOKUP(VLOOKUP("District Steam",'12 - Performance_Outputs_1'!$B$17:$H$18,5,FALSE),DemandTable,3,FALSE)),3000000,(SUMIF('12 - Performance_Outputs_1'!$S$238:$S$293,"District Steam",'12 - Performance_Outputs_1'!$G$238:$G$293)*(VLOOKUP(VLOOKUP("District Steam",'12 - Performance_Outputs_1'!$B$17:$H$18,5,FALSE),DemandTable,3,FALSE))/VLOOKUP("Btuh",DemandTable,3,FALSE))),(SUMIF('12 - Performance_Outputs_1'!$S$238:$S$293,"District Hot Water",'12 - Performance_Outputs_1'!$G$238:$G$293)*(VLOOKUP(VLOOKUP("District Hot Water",'12 - Performance_Outputs_1'!$B$17:$H$18,5,FALSE),DemandTable,3,FALSE))/VLOOKUP("Btuh",DemandTable,3,FALSE))))</f>
        <v>3000000</v>
      </c>
      <c r="D123" s="61" t="s">
        <v>209</v>
      </c>
      <c r="E123" s="60"/>
      <c r="F123" s="60"/>
      <c r="G123" s="60"/>
      <c r="H123" s="60"/>
      <c r="I123" s="60"/>
      <c r="J123" s="60"/>
      <c r="K123" s="60"/>
      <c r="L123" s="60"/>
      <c r="M123" s="60"/>
      <c r="N123" s="60"/>
      <c r="O123" s="60"/>
      <c r="P123" s="60"/>
      <c r="Q123" s="60"/>
      <c r="R123" s="60"/>
      <c r="S123" s="60"/>
      <c r="T123" s="60"/>
      <c r="U123" s="60"/>
      <c r="V123" s="60"/>
    </row>
    <row r="124" spans="1:22" x14ac:dyDescent="0.25">
      <c r="A124" s="60"/>
      <c r="B124" s="60"/>
      <c r="C124" s="60"/>
      <c r="D124" s="60"/>
      <c r="E124" s="60"/>
      <c r="F124" s="60"/>
      <c r="G124" s="60"/>
      <c r="H124" s="60"/>
      <c r="I124" s="60"/>
      <c r="J124" s="60"/>
      <c r="K124" s="60"/>
      <c r="L124" s="60"/>
      <c r="M124" s="60"/>
      <c r="N124" s="60"/>
      <c r="O124" s="60"/>
      <c r="P124" s="60"/>
      <c r="Q124" s="60"/>
      <c r="R124" s="60"/>
      <c r="S124" s="60"/>
      <c r="T124" s="60"/>
      <c r="U124" s="60"/>
      <c r="V124" s="60"/>
    </row>
    <row r="125" spans="1:22" x14ac:dyDescent="0.25">
      <c r="A125" s="60"/>
      <c r="B125" s="60"/>
      <c r="C125" s="60" t="s">
        <v>600</v>
      </c>
      <c r="D125" s="60"/>
      <c r="E125" s="60"/>
      <c r="F125" s="60"/>
      <c r="G125" s="60"/>
      <c r="H125" s="60"/>
      <c r="I125" s="60"/>
      <c r="J125" s="60"/>
      <c r="K125" s="60"/>
      <c r="L125" s="60"/>
      <c r="M125" s="60"/>
      <c r="N125" s="60"/>
      <c r="O125" s="60"/>
      <c r="P125" s="60"/>
      <c r="Q125" s="60"/>
      <c r="R125" s="60"/>
      <c r="S125" s="60"/>
      <c r="T125" s="60"/>
      <c r="U125" s="60"/>
      <c r="V125" s="60"/>
    </row>
    <row r="126" spans="1:22" x14ac:dyDescent="0.25">
      <c r="A126" s="60"/>
      <c r="B126" s="60"/>
      <c r="C126" s="63">
        <f>(IF(ISERROR(VLOOKUP('12 - Performance_Outputs_1'!$B$337,DropdownData!$B$2:$D$14,3,FALSE)),$H$118,IF(VLOOKUP('12 - Performance_Outputs_1'!$B$337,DropdownData!$B$2:$D$14,3,FALSE)="Yes",IF(ISERROR(VLOOKUP($C$123,DESBaseHHWTable,6)),$H$118,VLOOKUP($C$123,DESBaseHHWTable,6)),IF(ISERROR(VLOOKUP($C$123,DESBaseHHWTable,7)),$H$118,VLOOKUP($C$123,DESBaseHHWTable,7)))))</f>
        <v>0.84</v>
      </c>
      <c r="D126" s="61" t="s">
        <v>599</v>
      </c>
      <c r="E126" s="60"/>
      <c r="F126" s="62">
        <f>IF(ISERROR(VLOOKUP($C$123,DESBaseHHWTable,8)),$I$118,VLOOKUP($C$123,DESBaseHHWTable,8))</f>
        <v>458.68698099568098</v>
      </c>
      <c r="G126" s="61" t="s">
        <v>598</v>
      </c>
      <c r="H126" s="60"/>
      <c r="I126" s="60"/>
      <c r="J126" s="60"/>
      <c r="K126" s="60"/>
      <c r="L126" s="60"/>
      <c r="M126" s="60"/>
      <c r="N126" s="60"/>
      <c r="O126" s="60"/>
      <c r="P126" s="60"/>
      <c r="Q126" s="60"/>
      <c r="R126" s="60"/>
      <c r="S126" s="60"/>
      <c r="T126" s="60"/>
      <c r="U126" s="60"/>
      <c r="V126" s="60"/>
    </row>
    <row r="127" spans="1:22" x14ac:dyDescent="0.25">
      <c r="A127" s="60"/>
      <c r="B127" s="60"/>
      <c r="C127" s="60"/>
      <c r="D127" s="60"/>
      <c r="E127" s="60"/>
      <c r="F127" s="60"/>
      <c r="G127" s="60"/>
      <c r="H127" s="60"/>
      <c r="I127" s="60"/>
      <c r="J127" s="60"/>
      <c r="K127" s="60"/>
      <c r="L127" s="60"/>
      <c r="M127" s="60"/>
      <c r="N127" s="60"/>
      <c r="O127" s="60"/>
      <c r="P127" s="60"/>
      <c r="Q127" s="60"/>
      <c r="R127" s="60"/>
      <c r="S127" s="60"/>
      <c r="T127" s="60"/>
      <c r="U127" s="60"/>
      <c r="V127" s="60"/>
    </row>
  </sheetData>
  <sheetProtection algorithmName="SHA-512" hashValue="hlbAP220JEJl/NU10purf/53kygY2pAjE/ZlK1D+jftSzGCc+UBVYzGrBPNHuQhrgbY2UFbJwob6wX1ahsHzsg==" saltValue="jwQgjN18cYAVZ5J91fja9w==" spinCount="100000" sheet="1" objects="1" scenarios="1"/>
  <mergeCells count="8">
    <mergeCell ref="B58:C58"/>
    <mergeCell ref="G58:P58"/>
    <mergeCell ref="B113:C114"/>
    <mergeCell ref="D113:E113"/>
    <mergeCell ref="G113:H113"/>
    <mergeCell ref="I113:I115"/>
    <mergeCell ref="D114:E114"/>
    <mergeCell ref="G114:H11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5A613617A7C5B46826CF6D217F037D7" ma:contentTypeVersion="17" ma:contentTypeDescription="Create a new document." ma:contentTypeScope="" ma:versionID="e999bd87669cd8477f7eb10dc20f5d1a">
  <xsd:schema xmlns:xsd="http://www.w3.org/2001/XMLSchema" xmlns:xs="http://www.w3.org/2001/XMLSchema" xmlns:p="http://schemas.microsoft.com/office/2006/metadata/properties" xmlns:ns1="http://schemas.microsoft.com/sharepoint/v3" xmlns:ns3="ce537f1a-68b8-4212-8072-4597f22b4385" xmlns:ns4="ba895b08-f796-4204-acce-b11d769937f4" targetNamespace="http://schemas.microsoft.com/office/2006/metadata/properties" ma:root="true" ma:fieldsID="f67d12b2bba6bf1c9605a5abf410a527" ns1:_="" ns3:_="" ns4:_="">
    <xsd:import namespace="http://schemas.microsoft.com/sharepoint/v3"/>
    <xsd:import namespace="ce537f1a-68b8-4212-8072-4597f22b4385"/>
    <xsd:import namespace="ba895b08-f796-4204-acce-b11d769937f4"/>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EventHashCode" minOccurs="0"/>
                <xsd:element ref="ns4:MediaServiceGenerationTime" minOccurs="0"/>
                <xsd:element ref="ns4:MediaServiceDateTaken" minOccurs="0"/>
                <xsd:element ref="ns4:MediaServiceAutoTags" minOccurs="0"/>
                <xsd:element ref="ns4:MediaServiceOCR" minOccurs="0"/>
                <xsd:element ref="ns4:MediaServiceLocation"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537f1a-68b8-4212-8072-4597f22b438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ba895b08-f796-4204-acce-b11d769937f4"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ServiceAutoKeyPoints" ma:index="23" nillable="true" ma:displayName="MediaServiceAutoKeyPoints" ma:hidden="true" ma:internalName="MediaServiceAutoKeyPoints" ma:readOnly="true">
      <xsd:simpleType>
        <xsd:restriction base="dms:Note"/>
      </xsd:simpleType>
    </xsd:element>
    <xsd:element name="MediaServiceKeyPoints" ma:index="2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7BB6FCF-0AC0-4FFC-ACC5-B10C3363E382}">
  <ds:schemaRefs>
    <ds:schemaRef ds:uri="http://schemas.microsoft.com/sharepoint/v3/contenttype/forms"/>
  </ds:schemaRefs>
</ds:datastoreItem>
</file>

<file path=customXml/itemProps2.xml><?xml version="1.0" encoding="utf-8"?>
<ds:datastoreItem xmlns:ds="http://schemas.openxmlformats.org/officeDocument/2006/customXml" ds:itemID="{969B814C-EA10-4B07-8FAD-A377EC165597}">
  <ds:schemaRefs>
    <ds:schemaRef ds:uri="http://schemas.microsoft.com/office/infopath/2007/PartnerControls"/>
    <ds:schemaRef ds:uri="http://schemas.openxmlformats.org/package/2006/metadata/core-properties"/>
    <ds:schemaRef ds:uri="http://schemas.microsoft.com/office/2006/documentManagement/types"/>
    <ds:schemaRef ds:uri="http://schemas.microsoft.com/office/2006/metadata/properties"/>
    <ds:schemaRef ds:uri="ba895b08-f796-4204-acce-b11d769937f4"/>
    <ds:schemaRef ds:uri="http://purl.org/dc/terms/"/>
    <ds:schemaRef ds:uri="http://purl.org/dc/elements/1.1/"/>
    <ds:schemaRef ds:uri="ce537f1a-68b8-4212-8072-4597f22b4385"/>
    <ds:schemaRef ds:uri="http://schemas.microsoft.com/sharepoint/v3"/>
    <ds:schemaRef ds:uri="http://www.w3.org/XML/1998/namespace"/>
    <ds:schemaRef ds:uri="http://purl.org/dc/dcmitype/"/>
  </ds:schemaRefs>
</ds:datastoreItem>
</file>

<file path=customXml/itemProps3.xml><?xml version="1.0" encoding="utf-8"?>
<ds:datastoreItem xmlns:ds="http://schemas.openxmlformats.org/officeDocument/2006/customXml" ds:itemID="{8BC40D34-DE03-4118-B56B-AB56ACDAF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e537f1a-68b8-4212-8072-4597f22b4385"/>
    <ds:schemaRef ds:uri="ba895b08-f796-4204-acce-b11d769937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60</vt:i4>
      </vt:variant>
      <vt:variant>
        <vt:lpstr>Named Ranges</vt:lpstr>
      </vt:variant>
      <vt:variant>
        <vt:i4>1119</vt:i4>
      </vt:variant>
    </vt:vector>
  </HeadingPairs>
  <TitlesOfParts>
    <vt:vector size="1179" baseType="lpstr">
      <vt:lpstr>Performance_Outputs_0</vt:lpstr>
      <vt:lpstr>Instructions</vt:lpstr>
      <vt:lpstr>Definitions</vt:lpstr>
      <vt:lpstr>General Information</vt:lpstr>
      <vt:lpstr>1 - Multiple Buildings Details</vt:lpstr>
      <vt:lpstr>BPF 2016</vt:lpstr>
      <vt:lpstr>2a - Schedules</vt:lpstr>
      <vt:lpstr>2b - EFLH Calculator</vt:lpstr>
      <vt:lpstr>3 - Multifamily Details</vt:lpstr>
      <vt:lpstr>4 - Shading and Fenestration</vt:lpstr>
      <vt:lpstr>5 - Opaque Assemblies</vt:lpstr>
      <vt:lpstr>Envelope Assumptions</vt:lpstr>
      <vt:lpstr>Envelope Lookup 90.1-2007</vt:lpstr>
      <vt:lpstr>Envelope Lookup 90.1-2013</vt:lpstr>
      <vt:lpstr>Envelope Lookup 90.1-2010</vt:lpstr>
      <vt:lpstr>6a - Lighting Counts</vt:lpstr>
      <vt:lpstr>6b - General Lighting</vt:lpstr>
      <vt:lpstr>Lighting Assumptions</vt:lpstr>
      <vt:lpstr>Lighting Assumptions 90.1-2007</vt:lpstr>
      <vt:lpstr>Lighting Assumptions 90.1-2013</vt:lpstr>
      <vt:lpstr>Lighting Assumptions 90.1-2010</vt:lpstr>
      <vt:lpstr>Lighting Assumptions 90.1-2016</vt:lpstr>
      <vt:lpstr>7 - Process Loads</vt:lpstr>
      <vt:lpstr>8 - Service Water Heating</vt:lpstr>
      <vt:lpstr>SWH Lookup</vt:lpstr>
      <vt:lpstr>9 - General HVAC</vt:lpstr>
      <vt:lpstr>10a - Baseline Air-Side HVAC</vt:lpstr>
      <vt:lpstr>10b - Proposed Air-Side HVAC</vt:lpstr>
      <vt:lpstr>11 - Water-Side HVAC</vt:lpstr>
      <vt:lpstr>P4P - LEED Inputs</vt:lpstr>
      <vt:lpstr>Results from eQuest</vt:lpstr>
      <vt:lpstr>ECM</vt:lpstr>
      <vt:lpstr>Detailed Measures</vt:lpstr>
      <vt:lpstr>Results from Trace</vt:lpstr>
      <vt:lpstr>12 - Performance_Outputs_1</vt:lpstr>
      <vt:lpstr>13 - Conversion Tool </vt:lpstr>
      <vt:lpstr>90.1-2004 Site EUI</vt:lpstr>
      <vt:lpstr>90.1-2013 Site EUI</vt:lpstr>
      <vt:lpstr>Points_v4.1</vt:lpstr>
      <vt:lpstr>Points_v4PilotACP_GHG+Cost</vt:lpstr>
      <vt:lpstr>Points_v4PilotACP_Cost</vt:lpstr>
      <vt:lpstr>Revision Notes</vt:lpstr>
      <vt:lpstr>Quality Assurance Checks</vt:lpstr>
      <vt:lpstr>Performance_Outputs_0 old</vt:lpstr>
      <vt:lpstr>Performance_Outputs_Summary</vt:lpstr>
      <vt:lpstr>BPF 2013BM</vt:lpstr>
      <vt:lpstr>BPF 2007</vt:lpstr>
      <vt:lpstr>BPF 2010</vt:lpstr>
      <vt:lpstr>BPF 2013</vt:lpstr>
      <vt:lpstr>Summary</vt:lpstr>
      <vt:lpstr>Revision Log</vt:lpstr>
      <vt:lpstr>GHG_EF</vt:lpstr>
      <vt:lpstr>Version Update Checklist</vt:lpstr>
      <vt:lpstr>Rating System Descriptions</vt:lpstr>
      <vt:lpstr>HVAC Lookup</vt:lpstr>
      <vt:lpstr>DropdownData</vt:lpstr>
      <vt:lpstr>HVAC Lookup 90.1-2007</vt:lpstr>
      <vt:lpstr>HVAC Lookup 90.1-2013</vt:lpstr>
      <vt:lpstr>HVAC Lookup 90.1-2010</vt:lpstr>
      <vt:lpstr>District Energy Path 3</vt:lpstr>
      <vt:lpstr>'Quality Assurance Checks'!_Toc504031257</vt:lpstr>
      <vt:lpstr>AddG</vt:lpstr>
      <vt:lpstr>AddPowAnchor</vt:lpstr>
      <vt:lpstr>Instructions!AHVAC_Base_CoolingCap</vt:lpstr>
      <vt:lpstr>AHVAC_Base_CoolingCap</vt:lpstr>
      <vt:lpstr>Instructions!AHVAC_Base_FanFlow</vt:lpstr>
      <vt:lpstr>AHVAC_Base_FanFlow</vt:lpstr>
      <vt:lpstr>Instructions!AHVAC_Base_FanPower</vt:lpstr>
      <vt:lpstr>AHVAC_Base_FanPower</vt:lpstr>
      <vt:lpstr>Instructions!AHVAC_Base_HeatingCap</vt:lpstr>
      <vt:lpstr>AHVAC_Base_HeatingCap</vt:lpstr>
      <vt:lpstr>Instructions!AHVAC_Base_ID</vt:lpstr>
      <vt:lpstr>AHVAC_Base_ID</vt:lpstr>
      <vt:lpstr>Instructions!AHVAC_Base_OAFlow</vt:lpstr>
      <vt:lpstr>AHVAC_Base_OAFlow</vt:lpstr>
      <vt:lpstr>'Detailed Measures'!AHVAC_BaseSystemList</vt:lpstr>
      <vt:lpstr>Instructions!AHVAC_BaseSystemList</vt:lpstr>
      <vt:lpstr>Instructions!AHVAC_Design_CoolingCap</vt:lpstr>
      <vt:lpstr>AHVAC_Design_CoolingCap</vt:lpstr>
      <vt:lpstr>'Detailed Measures'!AHVAC_Design_FanFlow</vt:lpstr>
      <vt:lpstr>Instructions!AHVAC_Design_FanFlow</vt:lpstr>
      <vt:lpstr>AHVAC_Design_FanFlow</vt:lpstr>
      <vt:lpstr>Instructions!AHVAC_Design_FanPower</vt:lpstr>
      <vt:lpstr>AHVAC_Design_FanPower</vt:lpstr>
      <vt:lpstr>'Detailed Measures'!AHVAC_Design_HeatingCap</vt:lpstr>
      <vt:lpstr>Instructions!AHVAC_Design_HeatingCap</vt:lpstr>
      <vt:lpstr>AHVAC_Design_HeatingCap</vt:lpstr>
      <vt:lpstr>Instructions!AHVAC_Design_ID</vt:lpstr>
      <vt:lpstr>AHVAC_Design_ID</vt:lpstr>
      <vt:lpstr>Instructions!AHVAC_Design_OAFlow</vt:lpstr>
      <vt:lpstr>AHVAC_Design_OAFlow</vt:lpstr>
      <vt:lpstr>AirsideHide</vt:lpstr>
      <vt:lpstr>All_Sys</vt:lpstr>
      <vt:lpstr>AreaPropEqualsBase</vt:lpstr>
      <vt:lpstr>AreaUnits</vt:lpstr>
      <vt:lpstr>'Detailed Measures'!AshraeClimate</vt:lpstr>
      <vt:lpstr>Instructions!AshraeClimate</vt:lpstr>
      <vt:lpstr>AshraeClimate</vt:lpstr>
      <vt:lpstr>DropdownData!AshraeCZ</vt:lpstr>
      <vt:lpstr>'Envelope Lookup 90.1-2007'!AshraeCZ</vt:lpstr>
      <vt:lpstr>'Envelope Lookup 90.1-2010'!AshraeCZ</vt:lpstr>
      <vt:lpstr>AshraeCZ</vt:lpstr>
      <vt:lpstr>'Detailed Measures'!ASHRAEversion</vt:lpstr>
      <vt:lpstr>Instructions!ASHRAEversion</vt:lpstr>
      <vt:lpstr>ASHRAEversion</vt:lpstr>
      <vt:lpstr>Instructions!Avg_Bedroom_Area</vt:lpstr>
      <vt:lpstr>Avg_Bedroom_Area</vt:lpstr>
      <vt:lpstr>Instructions!Avg_Bedrooms</vt:lpstr>
      <vt:lpstr>Avg_Bedrooms</vt:lpstr>
      <vt:lpstr>BAequipTable</vt:lpstr>
      <vt:lpstr>BAManchor</vt:lpstr>
      <vt:lpstr>'Detailed Measures'!BAMCategories</vt:lpstr>
      <vt:lpstr>'Lighting Assumptions 90.1-2007'!BAMCategories</vt:lpstr>
      <vt:lpstr>'Lighting Assumptions 90.1-2010'!BAMCategories</vt:lpstr>
      <vt:lpstr>'Lighting Assumptions 90.1-2013'!BAMCategories</vt:lpstr>
      <vt:lpstr>'Lighting Assumptions 90.1-2016'!BAMCategories</vt:lpstr>
      <vt:lpstr>BAMCategories</vt:lpstr>
      <vt:lpstr>BaselineAnchor</vt:lpstr>
      <vt:lpstr>BaselineHVACModeled</vt:lpstr>
      <vt:lpstr>'Detailed Measures'!BaselineOrientationExemptions</vt:lpstr>
      <vt:lpstr>Instructions!BaselineOrientationExemptions</vt:lpstr>
      <vt:lpstr>BaselineOrientationExemptions</vt:lpstr>
      <vt:lpstr>Instructions!BaselineSecondarySystems</vt:lpstr>
      <vt:lpstr>'Revision Log'!BaselineSecondarySystems</vt:lpstr>
      <vt:lpstr>BelowLastRow</vt:lpstr>
      <vt:lpstr>bpf_reference</vt:lpstr>
      <vt:lpstr>'Detailed Measures'!BPFBuildingType</vt:lpstr>
      <vt:lpstr>Instructions!BPFBuildingType</vt:lpstr>
      <vt:lpstr>BPFBuildingType</vt:lpstr>
      <vt:lpstr>BPFBuildingType2016</vt:lpstr>
      <vt:lpstr>'10a - Baseline Air-Side HVAC'!Building_ID_Entry</vt:lpstr>
      <vt:lpstr>'11 - Water-Side HVAC'!Building_ID_Entry</vt:lpstr>
      <vt:lpstr>'4 - Shading and Fenestration'!Building_ID_Entry</vt:lpstr>
      <vt:lpstr>'6b - General Lighting'!Building_ID_Entry</vt:lpstr>
      <vt:lpstr>'8 - Service Water Heating'!Building_ID_Entry</vt:lpstr>
      <vt:lpstr>'9 - General HVAC'!Building_ID_Entry</vt:lpstr>
      <vt:lpstr>'Detailed Measures'!BuildingArea</vt:lpstr>
      <vt:lpstr>BuildingArea</vt:lpstr>
      <vt:lpstr>'Detailed Measures'!BuildingAreaType</vt:lpstr>
      <vt:lpstr>Instructions!BuildingAreaType</vt:lpstr>
      <vt:lpstr>BuildingAreaType</vt:lpstr>
      <vt:lpstr>BuildingNames</vt:lpstr>
      <vt:lpstr>BuildingNames2</vt:lpstr>
      <vt:lpstr>BuildingOrientationExemptionRange</vt:lpstr>
      <vt:lpstr>BuildingRotationModeled</vt:lpstr>
      <vt:lpstr>'Envelope Lookup 90.1-2007'!BuildingType</vt:lpstr>
      <vt:lpstr>'Envelope Lookup 90.1-2010'!BuildingType</vt:lpstr>
      <vt:lpstr>BuildingType</vt:lpstr>
      <vt:lpstr>'Detailed Measures'!BuildingTypes</vt:lpstr>
      <vt:lpstr>'Lighting Assumptions 90.1-2007'!BuildingTypes</vt:lpstr>
      <vt:lpstr>'Lighting Assumptions 90.1-2010'!BuildingTypes</vt:lpstr>
      <vt:lpstr>'Lighting Assumptions 90.1-2013'!BuildingTypes</vt:lpstr>
      <vt:lpstr>'Lighting Assumptions 90.1-2016'!BuildingTypes</vt:lpstr>
      <vt:lpstr>BuildingTypes</vt:lpstr>
      <vt:lpstr>'12 - Performance_Outputs_1'!BvPUnregCheck</vt:lpstr>
      <vt:lpstr>Performance_Outputs_0!BvPUnregCheck</vt:lpstr>
      <vt:lpstr>'Performance_Outputs_0 old'!BvPUnregCheck</vt:lpstr>
      <vt:lpstr>Performance_Outputs_Summary!BvPUnregCheck</vt:lpstr>
      <vt:lpstr>'Detailed Measures'!CaliforniaClimate</vt:lpstr>
      <vt:lpstr>Instructions!CaliforniaClimate</vt:lpstr>
      <vt:lpstr>CaliforniaClimate</vt:lpstr>
      <vt:lpstr>CampusEndUses</vt:lpstr>
      <vt:lpstr>CAZones</vt:lpstr>
      <vt:lpstr>checkboxcol</vt:lpstr>
      <vt:lpstr>ClimateZone</vt:lpstr>
      <vt:lpstr>'Detailed Measures'!CodeUsed</vt:lpstr>
      <vt:lpstr>CodeUsed</vt:lpstr>
      <vt:lpstr>'Detailed Measures'!ConsumptionUnits</vt:lpstr>
      <vt:lpstr>Instructions!ConsumptionUnits</vt:lpstr>
      <vt:lpstr>ConsumptionUnits</vt:lpstr>
      <vt:lpstr>contbl_hdl</vt:lpstr>
      <vt:lpstr>conversiontable</vt:lpstr>
      <vt:lpstr>CSSchedule</vt:lpstr>
      <vt:lpstr>'Detailed Measures'!Datacenter_Avg</vt:lpstr>
      <vt:lpstr>Instructions!Datacenter_Avg</vt:lpstr>
      <vt:lpstr>Datacenter_Avg</vt:lpstr>
      <vt:lpstr>DataInputFreezeCell</vt:lpstr>
      <vt:lpstr>DataInputTopLeft</vt:lpstr>
      <vt:lpstr>DataSourceSelection</vt:lpstr>
      <vt:lpstr>'Detailed Measures'!DD_GH_BaseSysList</vt:lpstr>
      <vt:lpstr>Instructions!DD_GH_BaseSysList</vt:lpstr>
      <vt:lpstr>DD_GH_BaseSysList</vt:lpstr>
      <vt:lpstr>deleteme</vt:lpstr>
      <vt:lpstr>'Detailed Measures'!DemandTable</vt:lpstr>
      <vt:lpstr>Instructions!DemandTable</vt:lpstr>
      <vt:lpstr>DemandTable</vt:lpstr>
      <vt:lpstr>'Detailed Measures'!DemandUnits</vt:lpstr>
      <vt:lpstr>Instructions!DemandUnits</vt:lpstr>
      <vt:lpstr>DemandUnits</vt:lpstr>
      <vt:lpstr>'Detailed Measures'!DESBaseCHWTable</vt:lpstr>
      <vt:lpstr>Instructions!DESBaseCHWTable</vt:lpstr>
      <vt:lpstr>DESBaseCHWTable</vt:lpstr>
      <vt:lpstr>'Detailed Measures'!DESBaseHHWTable</vt:lpstr>
      <vt:lpstr>Instructions!DESBaseHHWTable</vt:lpstr>
      <vt:lpstr>DESBaseHHWTable</vt:lpstr>
      <vt:lpstr>DESInputsInGeneralInformation</vt:lpstr>
      <vt:lpstr>'Detailed Measures'!DESPath</vt:lpstr>
      <vt:lpstr>Instructions!DESPath</vt:lpstr>
      <vt:lpstr>DESPath</vt:lpstr>
      <vt:lpstr>'Detailed Measures'!DESPath3_Cooling_COP</vt:lpstr>
      <vt:lpstr>Instructions!DESPath3_Cooling_COP</vt:lpstr>
      <vt:lpstr>DESPath3_Cooling_COP</vt:lpstr>
      <vt:lpstr>'Detailed Measures'!DESPath3_Heating_eCOP</vt:lpstr>
      <vt:lpstr>Instructions!DESPath3_Heating_eCOP</vt:lpstr>
      <vt:lpstr>DESPath3_Heating_eCOP</vt:lpstr>
      <vt:lpstr>'Detailed Measures'!DESPath3_Heating_fCOP</vt:lpstr>
      <vt:lpstr>Instructions!DESPath3_Heating_fCOP</vt:lpstr>
      <vt:lpstr>DESPath3_Heating_fCOP</vt:lpstr>
      <vt:lpstr>'Detailed Measures'!DistrictCooling</vt:lpstr>
      <vt:lpstr>Instructions!DistrictCooling</vt:lpstr>
      <vt:lpstr>DistrictCooling</vt:lpstr>
      <vt:lpstr>'Detailed Measures'!DistrictHeating</vt:lpstr>
      <vt:lpstr>Instructions!DistrictHeating</vt:lpstr>
      <vt:lpstr>DistrictHeating</vt:lpstr>
      <vt:lpstr>DUSchedule</vt:lpstr>
      <vt:lpstr>dwelling_row_all</vt:lpstr>
      <vt:lpstr>Dwelling_Rows2</vt:lpstr>
      <vt:lpstr>EcoTempIP</vt:lpstr>
      <vt:lpstr>EcoTempSI</vt:lpstr>
      <vt:lpstr>'2b - EFLH Calculator'!EFLH_Fraction_Abbreviated</vt:lpstr>
      <vt:lpstr>'2b - EFLH Calculator'!EFLH_Fraction_Detailed</vt:lpstr>
      <vt:lpstr>'2b - EFLH Calculator'!EFLH_On_Off_Abbreviated</vt:lpstr>
      <vt:lpstr>'2b - EFLH Calculator'!EFLH_ON_OFF_Detailed</vt:lpstr>
      <vt:lpstr>EndOfFixtures</vt:lpstr>
      <vt:lpstr>EndUses</vt:lpstr>
      <vt:lpstr>'Detailed Measures'!EnergyCode</vt:lpstr>
      <vt:lpstr>Instructions!EnergyCode</vt:lpstr>
      <vt:lpstr>EnergyCode</vt:lpstr>
      <vt:lpstr>EnergyCodeREF</vt:lpstr>
      <vt:lpstr>EnergyModelPhase</vt:lpstr>
      <vt:lpstr>EnergyModelPhaseOther</vt:lpstr>
      <vt:lpstr>'Detailed Measures'!EnergySources</vt:lpstr>
      <vt:lpstr>Instructions!EnergySources</vt:lpstr>
      <vt:lpstr>EnergySources</vt:lpstr>
      <vt:lpstr>'Detailed Measures'!EnergyUnitsTable</vt:lpstr>
      <vt:lpstr>Instructions!EnergyUnitsTable</vt:lpstr>
      <vt:lpstr>EnergyUnitsTable</vt:lpstr>
      <vt:lpstr>Env_Lookup_2013_Windows</vt:lpstr>
      <vt:lpstr>Env_Lookup_2013_Windows_BT</vt:lpstr>
      <vt:lpstr>Env_Lookup_2013_Windows_CZ</vt:lpstr>
      <vt:lpstr>DropdownData!EnvelopeCopyRange</vt:lpstr>
      <vt:lpstr>Performance_Outputs_0!eQUESTOutputColumn</vt:lpstr>
      <vt:lpstr>eQUESTOutputColumn</vt:lpstr>
      <vt:lpstr>EquipBAanchor</vt:lpstr>
      <vt:lpstr>'Detailed Measures'!Fanslookup</vt:lpstr>
      <vt:lpstr>'HVAC Lookup 90.1-2007'!Fanslookup</vt:lpstr>
      <vt:lpstr>'HVAC Lookup 90.1-2010'!Fanslookup</vt:lpstr>
      <vt:lpstr>'HVAC Lookup 90.1-2013'!Fanslookup</vt:lpstr>
      <vt:lpstr>Instructions!Fanslookup</vt:lpstr>
      <vt:lpstr>'Revision Log'!Fanslookup</vt:lpstr>
      <vt:lpstr>Fanslookup</vt:lpstr>
      <vt:lpstr>'Detailed Measures'!FenestrationPercent</vt:lpstr>
      <vt:lpstr>Instructions!FenestrationPercent</vt:lpstr>
      <vt:lpstr>FenestrationPercent</vt:lpstr>
      <vt:lpstr>'Detailed Measures'!FinishedAnchor</vt:lpstr>
      <vt:lpstr>FinishedAnchor</vt:lpstr>
      <vt:lpstr>FixtureCountLabel</vt:lpstr>
      <vt:lpstr>'12 - Performance_Outputs_1'!FormulaProposed1</vt:lpstr>
      <vt:lpstr>Performance_Outputs_0!FormulaProposed1</vt:lpstr>
      <vt:lpstr>'Performance_Outputs_0 old'!FormulaProposed1</vt:lpstr>
      <vt:lpstr>Performance_Outputs_Summary!FormulaProposed1</vt:lpstr>
      <vt:lpstr>'Envelope Lookup 90.1-2007'!FramingType</vt:lpstr>
      <vt:lpstr>'Envelope Lookup 90.1-2010'!FramingType</vt:lpstr>
      <vt:lpstr>FramingType</vt:lpstr>
      <vt:lpstr>FuelTable</vt:lpstr>
      <vt:lpstr>'Detailed Measures'!FuelTypes</vt:lpstr>
      <vt:lpstr>Instructions!FuelTypes</vt:lpstr>
      <vt:lpstr>FuelTypes</vt:lpstr>
      <vt:lpstr>'Detailed Measures'!FuelTypesTable</vt:lpstr>
      <vt:lpstr>Instructions!FuelTypesTable</vt:lpstr>
      <vt:lpstr>FuelTypesTable</vt:lpstr>
      <vt:lpstr>GenHVACformatref</vt:lpstr>
      <vt:lpstr>GHG_EF</vt:lpstr>
      <vt:lpstr>GHG_EF_Database</vt:lpstr>
      <vt:lpstr>GHG_EF_ESPM</vt:lpstr>
      <vt:lpstr>GHG_EF_ESPM_hdl</vt:lpstr>
      <vt:lpstr>GHG_EF_HL</vt:lpstr>
      <vt:lpstr>GHVAC_BaseSystemList</vt:lpstr>
      <vt:lpstr>Instructions!GHVAC_BHVACST_Index</vt:lpstr>
      <vt:lpstr>GHVAC_BHVACST_Index</vt:lpstr>
      <vt:lpstr>Instructions!GHVAC_BSysType_Hdr</vt:lpstr>
      <vt:lpstr>GHVAC_BSysType_Hdr</vt:lpstr>
      <vt:lpstr>GHVAC_BSysType_Index</vt:lpstr>
      <vt:lpstr>GHVAC_BSysType_Table</vt:lpstr>
      <vt:lpstr>GHVAC_PHVACST_Index</vt:lpstr>
      <vt:lpstr>'Detailed Measures'!GI_BldgArea</vt:lpstr>
      <vt:lpstr>Instructions!GI_BldgArea</vt:lpstr>
      <vt:lpstr>GI_BldgArea</vt:lpstr>
      <vt:lpstr>GI_DES_ModelingMethod</vt:lpstr>
      <vt:lpstr>GI_DES_Path1Boolean</vt:lpstr>
      <vt:lpstr>GI_DESPath</vt:lpstr>
      <vt:lpstr>'Detailed Measures'!GI_Project_Name</vt:lpstr>
      <vt:lpstr>Instructions!GI_Project_Name</vt:lpstr>
      <vt:lpstr>GI_Project_Name</vt:lpstr>
      <vt:lpstr>GI_Project_Number</vt:lpstr>
      <vt:lpstr>GI_RSV_DataCenterMethod</vt:lpstr>
      <vt:lpstr>'Envelope Lookup 90.1-2007'!GlazingDescription</vt:lpstr>
      <vt:lpstr>'Envelope Lookup 90.1-2010'!GlazingDescription</vt:lpstr>
      <vt:lpstr>GlazingDescription</vt:lpstr>
      <vt:lpstr>'Envelope Lookup 90.1-2007'!GlazingType</vt:lpstr>
      <vt:lpstr>'Envelope Lookup 90.1-2010'!GlazingType</vt:lpstr>
      <vt:lpstr>GlazingType</vt:lpstr>
      <vt:lpstr>'HVAC Lookup 90.1-2007'!HeatingOnly</vt:lpstr>
      <vt:lpstr>'HVAC Lookup 90.1-2010'!HeatingOnly</vt:lpstr>
      <vt:lpstr>'HVAC Lookup 90.1-2013'!HeatingOnly</vt:lpstr>
      <vt:lpstr>Instructions!HeatingOnly</vt:lpstr>
      <vt:lpstr>'Revision Log'!HeatingOnly</vt:lpstr>
      <vt:lpstr>HeatingOnly</vt:lpstr>
      <vt:lpstr>'Detailed Measures'!Homes_DwellingEqpList</vt:lpstr>
      <vt:lpstr>Instructions!Homes_DwellingEqpList</vt:lpstr>
      <vt:lpstr>Homes_DwellingEqpList</vt:lpstr>
      <vt:lpstr>'Detailed Measures'!Homes_DwellingEqpLookup</vt:lpstr>
      <vt:lpstr>Instructions!Homes_DwellingEqpLookup</vt:lpstr>
      <vt:lpstr>Homes_DwellingEqpLookup</vt:lpstr>
      <vt:lpstr>Homes_DwellingNonResEPDList</vt:lpstr>
      <vt:lpstr>Homes_DwellingNonResEPDLookup</vt:lpstr>
      <vt:lpstr>'Detailed Measures'!Homes_LaundryEqpList</vt:lpstr>
      <vt:lpstr>Instructions!Homes_LaundryEqpList</vt:lpstr>
      <vt:lpstr>Homes_LaundryEqpList</vt:lpstr>
      <vt:lpstr>'Detailed Measures'!Homes_LaundryEqpLookup</vt:lpstr>
      <vt:lpstr>Instructions!Homes_LaundryEqpLookup</vt:lpstr>
      <vt:lpstr>Homes_LaundryEqpLookup</vt:lpstr>
      <vt:lpstr>Instructions!Homes_Point_Adjustment</vt:lpstr>
      <vt:lpstr>Homes_Point_Adjustment</vt:lpstr>
      <vt:lpstr>HomesEqpCalc</vt:lpstr>
      <vt:lpstr>HomesInGeneralInformation</vt:lpstr>
      <vt:lpstr>L_BAM_Area_Total</vt:lpstr>
      <vt:lpstr>L_BAM_ButtonRow</vt:lpstr>
      <vt:lpstr>L_BAM_SumHdr</vt:lpstr>
      <vt:lpstr>L_BAM_SumIndex</vt:lpstr>
      <vt:lpstr>L_BAM_SumTable</vt:lpstr>
      <vt:lpstr>Instructions!L_BAMInput_Index</vt:lpstr>
      <vt:lpstr>L_BAMInput_Index</vt:lpstr>
      <vt:lpstr>Instructions!L_ELR_Response</vt:lpstr>
      <vt:lpstr>L_ELR_Response</vt:lpstr>
      <vt:lpstr>Instructions!L_ExtSum_Hdr</vt:lpstr>
      <vt:lpstr>L_ExtSum_Hdr</vt:lpstr>
      <vt:lpstr>L_ExtSum_Index</vt:lpstr>
      <vt:lpstr>Instructions!L_ExtSum_Table</vt:lpstr>
      <vt:lpstr>L_ExtSum_Table</vt:lpstr>
      <vt:lpstr>Instructions!L_IL_SumHdr</vt:lpstr>
      <vt:lpstr>L_IL_SumHdr</vt:lpstr>
      <vt:lpstr>Instructions!L_IL_SumIndex</vt:lpstr>
      <vt:lpstr>L_IL_SumIndex</vt:lpstr>
      <vt:lpstr>Instructions!L_IL_SumTable</vt:lpstr>
      <vt:lpstr>L_IL_SumTable</vt:lpstr>
      <vt:lpstr>L_IPL_Index</vt:lpstr>
      <vt:lpstr>'Detailed Measures'!L_LPDmethod</vt:lpstr>
      <vt:lpstr>Instructions!L_LPDmethod</vt:lpstr>
      <vt:lpstr>L_LPDmethod</vt:lpstr>
      <vt:lpstr>Instructions!L_LtgZone_Hdr</vt:lpstr>
      <vt:lpstr>L_LtgZone_Hdr</vt:lpstr>
      <vt:lpstr>L_LtgZone_Index</vt:lpstr>
      <vt:lpstr>Instructions!L_LtgZone_Table</vt:lpstr>
      <vt:lpstr>L_LtgZone_Table</vt:lpstr>
      <vt:lpstr>Instructions!L_NTSurface_Hdr</vt:lpstr>
      <vt:lpstr>L_NTSurface_Hdr</vt:lpstr>
      <vt:lpstr>Instructions!L_NTSurface_Index</vt:lpstr>
      <vt:lpstr>L_NTSurface_Index</vt:lpstr>
      <vt:lpstr>Instructions!L_NTSurface_Table</vt:lpstr>
      <vt:lpstr>L_NTSurface_Table</vt:lpstr>
      <vt:lpstr>L_SxS_Area_Total</vt:lpstr>
      <vt:lpstr>L_SxS_SumHdr</vt:lpstr>
      <vt:lpstr>L_SxS_SumIndex</vt:lpstr>
      <vt:lpstr>L_SxS_SumTable</vt:lpstr>
      <vt:lpstr>L_SxSALP_ButtonRow</vt:lpstr>
      <vt:lpstr>L_SxSALP_SumHdr</vt:lpstr>
      <vt:lpstr>L_SXSALP_SumIndex</vt:lpstr>
      <vt:lpstr>L_SxSALP_SumTable</vt:lpstr>
      <vt:lpstr>L_SxSALPInput_Hdr</vt:lpstr>
      <vt:lpstr>L_SxSALPInput_Index</vt:lpstr>
      <vt:lpstr>Instructions!L_SxSInput_Index</vt:lpstr>
      <vt:lpstr>L_SxSInput_Index</vt:lpstr>
      <vt:lpstr>L_SxSM_ButtonRow</vt:lpstr>
      <vt:lpstr>LastLightingColumn</vt:lpstr>
      <vt:lpstr>Lighting_Residential_Hdr</vt:lpstr>
      <vt:lpstr>Lighting_Residential_Index</vt:lpstr>
      <vt:lpstr>Lighting_Residential_Table</vt:lpstr>
      <vt:lpstr>Instructions!Lighting_SxS_Residential_Hdr</vt:lpstr>
      <vt:lpstr>Lighting_SxS_Residential_Hdr</vt:lpstr>
      <vt:lpstr>Lighting_SxS_Residential_Index</vt:lpstr>
      <vt:lpstr>Lighting_SxS_Residential_Table</vt:lpstr>
      <vt:lpstr>LightingSummarySpaceTypes</vt:lpstr>
      <vt:lpstr>LPDbySpaceTypeES</vt:lpstr>
      <vt:lpstr>'Detailed Measures'!LPDSpacebySpace</vt:lpstr>
      <vt:lpstr>'Lighting Assumptions 90.1-2007'!LPDSpacebySpace</vt:lpstr>
      <vt:lpstr>'Lighting Assumptions 90.1-2010'!LPDSpacebySpace</vt:lpstr>
      <vt:lpstr>'Lighting Assumptions 90.1-2013'!LPDSpacebySpace</vt:lpstr>
      <vt:lpstr>LPDSpacebySpace</vt:lpstr>
      <vt:lpstr>'Lighting Assumptions 90.1-2016'!LPDSpacebySpace2016</vt:lpstr>
      <vt:lpstr>Instructions!MBD_BS_Hdr</vt:lpstr>
      <vt:lpstr>MBD_BS_Hdr</vt:lpstr>
      <vt:lpstr>Instructions!MBD_BS_Index</vt:lpstr>
      <vt:lpstr>MBD_BS_Index</vt:lpstr>
      <vt:lpstr>Instructions!MBD_BS_Table</vt:lpstr>
      <vt:lpstr>MBD_BS_Table</vt:lpstr>
      <vt:lpstr>Instructions!MBD_BSTotal_Index</vt:lpstr>
      <vt:lpstr>MBD_BSTotal_Index</vt:lpstr>
      <vt:lpstr>Instructions!MBD_EMI_Hdr</vt:lpstr>
      <vt:lpstr>MBD_EMI_Hdr</vt:lpstr>
      <vt:lpstr>Instructions!MBD_EMI_Index</vt:lpstr>
      <vt:lpstr>MBD_EMI_Index</vt:lpstr>
      <vt:lpstr>Instructions!MBD_EMI_Table</vt:lpstr>
      <vt:lpstr>MBD_EMI_Table</vt:lpstr>
      <vt:lpstr>'1 - Multiple Buildings Details'!MBD_EMSubsetRange</vt:lpstr>
      <vt:lpstr>Instructions!MBD_LEEDNDEMSubsetExist</vt:lpstr>
      <vt:lpstr>MBD_LEEDNDEMSubsetExist</vt:lpstr>
      <vt:lpstr>MBD_rbModelMethod</vt:lpstr>
      <vt:lpstr>Instructions!MD_BUS_Hdr</vt:lpstr>
      <vt:lpstr>MD_BUS_Hdr</vt:lpstr>
      <vt:lpstr>Instructions!MD_BUS_Index</vt:lpstr>
      <vt:lpstr>MD_BUS_Index</vt:lpstr>
      <vt:lpstr>Instructions!MD_BUS_SumHdr</vt:lpstr>
      <vt:lpstr>MD_BUS_SumHdr</vt:lpstr>
      <vt:lpstr>Instructions!MD_BUS_SumIndex</vt:lpstr>
      <vt:lpstr>MD_BUS_SumIndex</vt:lpstr>
      <vt:lpstr>Instructions!MD_BUS_SumTable</vt:lpstr>
      <vt:lpstr>MD_BUS_SumTable</vt:lpstr>
      <vt:lpstr>Instructions!MD_BUS_Table</vt:lpstr>
      <vt:lpstr>MD_BUS_Table</vt:lpstr>
      <vt:lpstr>MD_HDUEC_Hdr</vt:lpstr>
      <vt:lpstr>Instructions!MD_HDUEC_Index</vt:lpstr>
      <vt:lpstr>MD_HDUEC_Index1</vt:lpstr>
      <vt:lpstr>MD_HDUEC_Table</vt:lpstr>
      <vt:lpstr>MD_HDUEMS_Table</vt:lpstr>
      <vt:lpstr>MD_HLREMS_Index</vt:lpstr>
      <vt:lpstr>MD_HLREMS_Table</vt:lpstr>
      <vt:lpstr>MD_HSWHLS_Table</vt:lpstr>
      <vt:lpstr>Instructions!MD_Laundry_Hdr</vt:lpstr>
      <vt:lpstr>MD_Laundry_Hdr</vt:lpstr>
      <vt:lpstr>Instructions!MD_Laundry_Index</vt:lpstr>
      <vt:lpstr>MD_Laundry_Index</vt:lpstr>
      <vt:lpstr>MD_Laundry_Table</vt:lpstr>
      <vt:lpstr>'3 - Multifamily Details'!MD_SWH_Profile</vt:lpstr>
      <vt:lpstr>ModelingMethod</vt:lpstr>
      <vt:lpstr>'HVAC Lookup 90.1-2007'!Motor_Horsepower</vt:lpstr>
      <vt:lpstr>'HVAC Lookup 90.1-2010'!Motor_Horsepower</vt:lpstr>
      <vt:lpstr>'HVAC Lookup 90.1-2013'!Motor_Horsepower</vt:lpstr>
      <vt:lpstr>Instructions!Motor_Horsepower</vt:lpstr>
      <vt:lpstr>'Revision Log'!Motor_Horsepower</vt:lpstr>
      <vt:lpstr>Motor_Horsepower</vt:lpstr>
      <vt:lpstr>'Detailed Measures'!Motor_Horsepower_Nominal_Efficiency_IP</vt:lpstr>
      <vt:lpstr>'HVAC Lookup 90.1-2007'!Motor_Horsepower_Nominal_Efficiency_IP</vt:lpstr>
      <vt:lpstr>'HVAC Lookup 90.1-2010'!Motor_Horsepower_Nominal_Efficiency_IP</vt:lpstr>
      <vt:lpstr>'HVAC Lookup 90.1-2013'!Motor_Horsepower_Nominal_Efficiency_IP</vt:lpstr>
      <vt:lpstr>Instructions!Motor_Horsepower_Nominal_Efficiency_IP</vt:lpstr>
      <vt:lpstr>Motor_Horsepower_Nominal_Efficiency_IP</vt:lpstr>
      <vt:lpstr>'Detailed Measures'!Motor_Horsepower_Nominal_Efficiency_SI</vt:lpstr>
      <vt:lpstr>'HVAC Lookup 90.1-2007'!Motor_Horsepower_Nominal_Efficiency_SI</vt:lpstr>
      <vt:lpstr>'HVAC Lookup 90.1-2010'!Motor_Horsepower_Nominal_Efficiency_SI</vt:lpstr>
      <vt:lpstr>'HVAC Lookup 90.1-2013'!Motor_Horsepower_Nominal_Efficiency_SI</vt:lpstr>
      <vt:lpstr>Instructions!Motor_Horsepower_Nominal_Efficiency_SI</vt:lpstr>
      <vt:lpstr>Motor_Horsepower_Nominal_Efficiency_SI</vt:lpstr>
      <vt:lpstr>'Detailed Measures'!MultipleBuildingsExist</vt:lpstr>
      <vt:lpstr>Instructions!MultipleBuildingsExist</vt:lpstr>
      <vt:lpstr>MultipleBuildingsExist</vt:lpstr>
      <vt:lpstr>Natural_Gas</vt:lpstr>
      <vt:lpstr>'Envelope Lookup 90.1-2007'!NewExisting</vt:lpstr>
      <vt:lpstr>'Envelope Lookup 90.1-2010'!NewExisting</vt:lpstr>
      <vt:lpstr>NewExisting</vt:lpstr>
      <vt:lpstr>'HVAC Lookup 90.1-2007'!NoA</vt:lpstr>
      <vt:lpstr>'HVAC Lookup 90.1-2010'!NoA</vt:lpstr>
      <vt:lpstr>'HVAC Lookup 90.1-2013'!NoA</vt:lpstr>
      <vt:lpstr>Instructions!NoA</vt:lpstr>
      <vt:lpstr>'Revision Log'!NoA</vt:lpstr>
      <vt:lpstr>NoA</vt:lpstr>
      <vt:lpstr>'HVAC Lookup 90.1-2007'!NoEconomizer</vt:lpstr>
      <vt:lpstr>'HVAC Lookup 90.1-2010'!NoEconomizer</vt:lpstr>
      <vt:lpstr>'HVAC Lookup 90.1-2013'!NoEconomizer</vt:lpstr>
      <vt:lpstr>Instructions!NoEconomizer</vt:lpstr>
      <vt:lpstr>'Revision Log'!NoEconomizer</vt:lpstr>
      <vt:lpstr>NoEconomizer</vt:lpstr>
      <vt:lpstr>'Detailed Measures'!NonresidentialGlazing</vt:lpstr>
      <vt:lpstr>Instructions!NonresidentialGlazing</vt:lpstr>
      <vt:lpstr>OA_AGEWC_hdr</vt:lpstr>
      <vt:lpstr>OA_AGEWC_Index</vt:lpstr>
      <vt:lpstr>OA_AGEWC_table</vt:lpstr>
      <vt:lpstr>OA_BGEWC_hdr</vt:lpstr>
      <vt:lpstr>OA_BGEWC_Index</vt:lpstr>
      <vt:lpstr>OA_BGEWC_table</vt:lpstr>
      <vt:lpstr>OA_EFC_hdr</vt:lpstr>
      <vt:lpstr>OA_EFC_Index</vt:lpstr>
      <vt:lpstr>OA_EFC_table</vt:lpstr>
      <vt:lpstr>OA_OBEC_hdr</vt:lpstr>
      <vt:lpstr>OA_OBEC_Index</vt:lpstr>
      <vt:lpstr>OA_OBEC_table</vt:lpstr>
      <vt:lpstr>OA_OD_hdr</vt:lpstr>
      <vt:lpstr>OA_OD_Index</vt:lpstr>
      <vt:lpstr>OA_OD_table</vt:lpstr>
      <vt:lpstr>OA_SOGF_hdr</vt:lpstr>
      <vt:lpstr>OA_SOGF_Index</vt:lpstr>
      <vt:lpstr>OA_SOGF_table</vt:lpstr>
      <vt:lpstr>'HVAC Lookup 90.1-2007'!OtherHRanges</vt:lpstr>
      <vt:lpstr>'HVAC Lookup 90.1-2010'!OtherHRanges</vt:lpstr>
      <vt:lpstr>'HVAC Lookup 90.1-2013'!OtherHRanges</vt:lpstr>
      <vt:lpstr>OtherHRanges</vt:lpstr>
      <vt:lpstr>OutputSheetNames</vt:lpstr>
      <vt:lpstr>'Detailed Measures'!pctNew</vt:lpstr>
      <vt:lpstr>Instructions!pctNew</vt:lpstr>
      <vt:lpstr>pctNew</vt:lpstr>
      <vt:lpstr>'Detailed Measures'!PctRenovation</vt:lpstr>
      <vt:lpstr>Instructions!PctRenovation</vt:lpstr>
      <vt:lpstr>PctRenovation</vt:lpstr>
      <vt:lpstr>PL_BAEPD_Hdr</vt:lpstr>
      <vt:lpstr>PL_BAEPD_Index</vt:lpstr>
      <vt:lpstr>PL_BAEPD_Table</vt:lpstr>
      <vt:lpstr>PL_BAEPDInput_Index</vt:lpstr>
      <vt:lpstr>PL_EPD_SumHdr</vt:lpstr>
      <vt:lpstr>PL_EPD_SumIndex</vt:lpstr>
      <vt:lpstr>PL_EPD_SumTable</vt:lpstr>
      <vt:lpstr>PL_GFPC_Index</vt:lpstr>
      <vt:lpstr>PL_GFPC_Table</vt:lpstr>
      <vt:lpstr>PL_NRPEInput_Index</vt:lpstr>
      <vt:lpstr>PL_REMM_BAMBoolean</vt:lpstr>
      <vt:lpstr>PL_REMM_Description</vt:lpstr>
      <vt:lpstr>PL_REMM_SxSBoolean</vt:lpstr>
      <vt:lpstr>PL_SxSEPD_Hdr</vt:lpstr>
      <vt:lpstr>PL_SxSEPD_Index</vt:lpstr>
      <vt:lpstr>PL_SxSEPD_Table</vt:lpstr>
      <vt:lpstr>PL_SxSEPDInput_Index</vt:lpstr>
      <vt:lpstr>'12 - Performance_Outputs_1'!PO_base_Add_EndUses</vt:lpstr>
      <vt:lpstr>Performance_Outputs_0!PO_base_Add_EndUses</vt:lpstr>
      <vt:lpstr>'Performance_Outputs_0 old'!PO_base_Add_EndUses</vt:lpstr>
      <vt:lpstr>'12 - Performance_Outputs_1'!PO_baseline_hdr</vt:lpstr>
      <vt:lpstr>Performance_Outputs_0!PO_baseline_hdr</vt:lpstr>
      <vt:lpstr>'Performance_Outputs_0 old'!PO_baseline_hdr</vt:lpstr>
      <vt:lpstr>'12 - Performance_Outputs_1'!PO_baseline_index</vt:lpstr>
      <vt:lpstr>Performance_Outputs_0!PO_baseline_index</vt:lpstr>
      <vt:lpstr>'Performance_Outputs_0 old'!PO_baseline_index</vt:lpstr>
      <vt:lpstr>'12 - Performance_Outputs_1'!PO_Baseline_Subtotal_table</vt:lpstr>
      <vt:lpstr>Performance_Outputs_0!PO_Baseline_Subtotal_table</vt:lpstr>
      <vt:lpstr>'Performance_Outputs_0 old'!PO_Baseline_Subtotal_table</vt:lpstr>
      <vt:lpstr>Performance_Outputs_Summary!PO_Baseline_Subtotal_table</vt:lpstr>
      <vt:lpstr>Instructions!PO_baseline_table</vt:lpstr>
      <vt:lpstr>Performance_Outputs_0!PO_baseline_table</vt:lpstr>
      <vt:lpstr>'Performance_Outputs_0 old'!PO_baseline_table</vt:lpstr>
      <vt:lpstr>PO_baseline_table</vt:lpstr>
      <vt:lpstr>'12 - Performance_Outputs_1'!PO_BaselineSection</vt:lpstr>
      <vt:lpstr>Performance_Outputs_0!PO_BaselineSection</vt:lpstr>
      <vt:lpstr>'Performance_Outputs_0 old'!PO_BaselineSection</vt:lpstr>
      <vt:lpstr>'12 - Performance_Outputs_1'!PO_Datacenter_averaged_tables</vt:lpstr>
      <vt:lpstr>Performance_Outputs_0!PO_Datacenter_averaged_tables</vt:lpstr>
      <vt:lpstr>'Performance_Outputs_0 old'!PO_Datacenter_averaged_tables</vt:lpstr>
      <vt:lpstr>Performance_Outputs_Summary!PO_Datacenter_averaged_tables</vt:lpstr>
      <vt:lpstr>'12 - Performance_Outputs_1'!PO_Datacenter_PUE_table</vt:lpstr>
      <vt:lpstr>Performance_Outputs_0!PO_Datacenter_PUE_table</vt:lpstr>
      <vt:lpstr>'Performance_Outputs_0 old'!PO_Datacenter_PUE_table</vt:lpstr>
      <vt:lpstr>'12 - Performance_Outputs_1'!PO_Datacenter_text1</vt:lpstr>
      <vt:lpstr>Performance_Outputs_0!PO_Datacenter_text1</vt:lpstr>
      <vt:lpstr>'Performance_Outputs_0 old'!PO_Datacenter_text1</vt:lpstr>
      <vt:lpstr>'12 - Performance_Outputs_1'!PO_Datacenter_text2</vt:lpstr>
      <vt:lpstr>Performance_Outputs_0!PO_Datacenter_text2</vt:lpstr>
      <vt:lpstr>'Performance_Outputs_0 old'!PO_Datacenter_text2</vt:lpstr>
      <vt:lpstr>'12 - Performance_Outputs_1'!PO_Datacenter_text3</vt:lpstr>
      <vt:lpstr>Performance_Outputs_0!PO_Datacenter_text3</vt:lpstr>
      <vt:lpstr>'Performance_Outputs_0 old'!PO_Datacenter_text3</vt:lpstr>
      <vt:lpstr>'12 - Performance_Outputs_1'!PO_DES_PRM_Section</vt:lpstr>
      <vt:lpstr>Performance_Outputs_0!PO_DES_PRM_Section</vt:lpstr>
      <vt:lpstr>'Performance_Outputs_0 old'!PO_DES_PRM_Section</vt:lpstr>
      <vt:lpstr>'12 - Performance_Outputs_1'!PO_DESbase_Enrgy_Hdr</vt:lpstr>
      <vt:lpstr>Performance_Outputs_0!PO_DESbase_Enrgy_Hdr</vt:lpstr>
      <vt:lpstr>'Performance_Outputs_0 old'!PO_DESbase_Enrgy_Hdr</vt:lpstr>
      <vt:lpstr>'12 - Performance_Outputs_1'!PO_DESbase_Enrgy_Index</vt:lpstr>
      <vt:lpstr>Performance_Outputs_0!PO_DESbase_Enrgy_Index</vt:lpstr>
      <vt:lpstr>'Performance_Outputs_0 old'!PO_DESbase_Enrgy_Index</vt:lpstr>
      <vt:lpstr>'12 - Performance_Outputs_1'!PO_DESbase_Enrgy_Table</vt:lpstr>
      <vt:lpstr>Performance_Outputs_0!PO_DESbase_Enrgy_Table</vt:lpstr>
      <vt:lpstr>'Performance_Outputs_0 old'!PO_DESbase_Enrgy_Table</vt:lpstr>
      <vt:lpstr>'12 - Performance_Outputs_1'!PO_DESdesign_Enrgy_Hdr</vt:lpstr>
      <vt:lpstr>Performance_Outputs_0!PO_DESdesign_Enrgy_Hdr</vt:lpstr>
      <vt:lpstr>'Performance_Outputs_0 old'!PO_DESdesign_Enrgy_Hdr</vt:lpstr>
      <vt:lpstr>'12 - Performance_Outputs_1'!PO_DESdesign_Enrgy_Index</vt:lpstr>
      <vt:lpstr>Performance_Outputs_0!PO_DESdesign_Enrgy_Index</vt:lpstr>
      <vt:lpstr>'Performance_Outputs_0 old'!PO_DESdesign_Enrgy_Index</vt:lpstr>
      <vt:lpstr>'12 - Performance_Outputs_1'!PO_DESdesign_Enrgy_Table</vt:lpstr>
      <vt:lpstr>Performance_Outputs_0!PO_DESdesign_Enrgy_Table</vt:lpstr>
      <vt:lpstr>'Performance_Outputs_0 old'!PO_DESdesign_Enrgy_Table</vt:lpstr>
      <vt:lpstr>'12 - Performance_Outputs_1'!PO_design_Add_EndUses</vt:lpstr>
      <vt:lpstr>Performance_Outputs_0!PO_design_Add_EndUses</vt:lpstr>
      <vt:lpstr>'Performance_Outputs_0 old'!PO_design_Add_EndUses</vt:lpstr>
      <vt:lpstr>Performance_Outputs_Summary!PO_design_Add_EndUses</vt:lpstr>
      <vt:lpstr>'12 - Performance_Outputs_1'!PO_design_hdr</vt:lpstr>
      <vt:lpstr>Performance_Outputs_0!PO_design_hdr</vt:lpstr>
      <vt:lpstr>'Performance_Outputs_0 old'!PO_design_hdr</vt:lpstr>
      <vt:lpstr>Performance_Outputs_Summary!PO_design_hdr</vt:lpstr>
      <vt:lpstr>'Quality Assurance Checks'!PO_design_hdr</vt:lpstr>
      <vt:lpstr>'12 - Performance_Outputs_1'!PO_design_index</vt:lpstr>
      <vt:lpstr>Performance_Outputs_0!PO_design_index</vt:lpstr>
      <vt:lpstr>'Performance_Outputs_0 old'!PO_design_index</vt:lpstr>
      <vt:lpstr>Performance_Outputs_Summary!PO_design_index</vt:lpstr>
      <vt:lpstr>'12 - Performance_Outputs_1'!PO_design_table</vt:lpstr>
      <vt:lpstr>Performance_Outputs_0!PO_design_table</vt:lpstr>
      <vt:lpstr>'Performance_Outputs_0 old'!PO_design_table</vt:lpstr>
      <vt:lpstr>Performance_Outputs_Summary!PO_design_table</vt:lpstr>
      <vt:lpstr>'Quality Assurance Checks'!PO_design_table</vt:lpstr>
      <vt:lpstr>Performance_Outputs_Summary!PO_DesignOutputs_Section</vt:lpstr>
      <vt:lpstr>'12 - Performance_Outputs_1'!PO_DESPath1_text1</vt:lpstr>
      <vt:lpstr>Performance_Outputs_0!PO_DESPath1_text1</vt:lpstr>
      <vt:lpstr>'Performance_Outputs_0 old'!PO_DESPath1_text1</vt:lpstr>
      <vt:lpstr>'12 - Performance_Outputs_1'!PO_DESPath1_text2</vt:lpstr>
      <vt:lpstr>Performance_Outputs_0!PO_DESPath1_text2</vt:lpstr>
      <vt:lpstr>'Performance_Outputs_0 old'!PO_DESPath1_text2</vt:lpstr>
      <vt:lpstr>'12 - Performance_Outputs_1'!PO_DESPath1_text3</vt:lpstr>
      <vt:lpstr>Performance_Outputs_0!PO_DESPath1_text3</vt:lpstr>
      <vt:lpstr>'Performance_Outputs_0 old'!PO_DESPath1_text3</vt:lpstr>
      <vt:lpstr>'12 - Performance_Outputs_1'!PO_DESPath2_text1</vt:lpstr>
      <vt:lpstr>Performance_Outputs_0!PO_DESPath2_text1</vt:lpstr>
      <vt:lpstr>'Performance_Outputs_0 old'!PO_DESPath2_text1</vt:lpstr>
      <vt:lpstr>'12 - Performance_Outputs_1'!PO_DESPath2_text2</vt:lpstr>
      <vt:lpstr>Performance_Outputs_0!PO_DESPath2_text2</vt:lpstr>
      <vt:lpstr>'Performance_Outputs_0 old'!PO_DESPath2_text2</vt:lpstr>
      <vt:lpstr>'12 - Performance_Outputs_1'!PO_DESpath2_text3</vt:lpstr>
      <vt:lpstr>Performance_Outputs_0!PO_DESpath2_text3</vt:lpstr>
      <vt:lpstr>'Performance_Outputs_0 old'!PO_DESpath2_text3</vt:lpstr>
      <vt:lpstr>'12 - Performance_Outputs_1'!PO_DESPath3_tables</vt:lpstr>
      <vt:lpstr>Performance_Outputs_0!PO_DESPath3_tables</vt:lpstr>
      <vt:lpstr>'Performance_Outputs_0 old'!PO_DESPath3_tables</vt:lpstr>
      <vt:lpstr>'12 - Performance_Outputs_1'!PO_DESPath3_text1</vt:lpstr>
      <vt:lpstr>Performance_Outputs_0!PO_DESPath3_text1</vt:lpstr>
      <vt:lpstr>'Performance_Outputs_0 old'!PO_DESPath3_text1</vt:lpstr>
      <vt:lpstr>'12 - Performance_Outputs_1'!PO_DESPath3_text2</vt:lpstr>
      <vt:lpstr>Performance_Outputs_0!PO_DESPath3_text2</vt:lpstr>
      <vt:lpstr>'Performance_Outputs_0 old'!PO_DESPath3_text2</vt:lpstr>
      <vt:lpstr>'12 - Performance_Outputs_1'!PO_DESPath3_text3</vt:lpstr>
      <vt:lpstr>Performance_Outputs_0!PO_DESPath3_text3</vt:lpstr>
      <vt:lpstr>'Performance_Outputs_0 old'!PO_DESPath3_text3</vt:lpstr>
      <vt:lpstr>Performance_Outputs_Summary!PO_DESPath3outputs</vt:lpstr>
      <vt:lpstr>'12 - Performance_Outputs_1'!PO_EnergyEndUses</vt:lpstr>
      <vt:lpstr>Performance_Outputs_0!PO_EnergyEndUses</vt:lpstr>
      <vt:lpstr>'Performance_Outputs_0 old'!PO_EnergyEndUses</vt:lpstr>
      <vt:lpstr>Performance_Outputs_Summary!PO_EnergyEndUses</vt:lpstr>
      <vt:lpstr>'12 - Performance_Outputs_1'!PO_EnergyReportingMethod</vt:lpstr>
      <vt:lpstr>Performance_Outputs_0!PO_EnergyReportingMethod</vt:lpstr>
      <vt:lpstr>'Performance_Outputs_0 old'!PO_EnergyReportingMethod</vt:lpstr>
      <vt:lpstr>'Quality Assurance Checks'!PO_EnergyReportingMethod</vt:lpstr>
      <vt:lpstr>Performance_Outputs_Summary!PO_EnergySources_Section</vt:lpstr>
      <vt:lpstr>'12 - Performance_Outputs_1'!PO_EnergyType</vt:lpstr>
      <vt:lpstr>Performance_Outputs_0!PO_EnergyType</vt:lpstr>
      <vt:lpstr>'Performance_Outputs_0 old'!PO_EnergyType</vt:lpstr>
      <vt:lpstr>Performance_Outputs_Summary!PO_EnergyType</vt:lpstr>
      <vt:lpstr>'12 - Performance_Outputs_1'!PO_Enrgy_1_Hdr</vt:lpstr>
      <vt:lpstr>Performance_Outputs_0!PO_Enrgy_1_Hdr</vt:lpstr>
      <vt:lpstr>'Performance_Outputs_0 old'!PO_Enrgy_1_Hdr</vt:lpstr>
      <vt:lpstr>Performance_Outputs_Summary!PO_Enrgy_1_Hdr</vt:lpstr>
      <vt:lpstr>'12 - Performance_Outputs_1'!PO_Enrgy_1_Index</vt:lpstr>
      <vt:lpstr>Performance_Outputs_0!PO_Enrgy_1_Index</vt:lpstr>
      <vt:lpstr>'Performance_Outputs_0 old'!PO_Enrgy_1_Index</vt:lpstr>
      <vt:lpstr>Performance_Outputs_Summary!PO_Enrgy_1_Index</vt:lpstr>
      <vt:lpstr>'12 - Performance_Outputs_1'!PO_Enrgy_1_Table</vt:lpstr>
      <vt:lpstr>Performance_Outputs_0!PO_Enrgy_1_Table</vt:lpstr>
      <vt:lpstr>'Performance_Outputs_0 old'!PO_Enrgy_1_Table</vt:lpstr>
      <vt:lpstr>Performance_Outputs_Summary!PO_Enrgy_1_Table</vt:lpstr>
      <vt:lpstr>'12 - Performance_Outputs_1'!PO_Enrgy_10_Hdr</vt:lpstr>
      <vt:lpstr>Performance_Outputs_0!PO_Enrgy_10_Hdr</vt:lpstr>
      <vt:lpstr>'Performance_Outputs_0 old'!PO_Enrgy_10_Hdr</vt:lpstr>
      <vt:lpstr>'12 - Performance_Outputs_1'!PO_Enrgy_10_Index</vt:lpstr>
      <vt:lpstr>Performance_Outputs_0!PO_Enrgy_10_Index</vt:lpstr>
      <vt:lpstr>'Performance_Outputs_0 old'!PO_Enrgy_10_Index</vt:lpstr>
      <vt:lpstr>'12 - Performance_Outputs_1'!PO_Enrgy_10_Table</vt:lpstr>
      <vt:lpstr>Performance_Outputs_0!PO_Enrgy_10_Table</vt:lpstr>
      <vt:lpstr>'Performance_Outputs_0 old'!PO_Enrgy_10_Table</vt:lpstr>
      <vt:lpstr>'12 - Performance_Outputs_1'!PO_Enrgy_11_Hdr</vt:lpstr>
      <vt:lpstr>Performance_Outputs_0!PO_Enrgy_11_Hdr</vt:lpstr>
      <vt:lpstr>'Performance_Outputs_0 old'!PO_Enrgy_11_Hdr</vt:lpstr>
      <vt:lpstr>'12 - Performance_Outputs_1'!PO_Enrgy_11_Index</vt:lpstr>
      <vt:lpstr>Performance_Outputs_0!PO_Enrgy_11_Index</vt:lpstr>
      <vt:lpstr>'Performance_Outputs_0 old'!PO_Enrgy_11_Index</vt:lpstr>
      <vt:lpstr>'12 - Performance_Outputs_1'!PO_Enrgy_11_Table</vt:lpstr>
      <vt:lpstr>Performance_Outputs_0!PO_Enrgy_11_Table</vt:lpstr>
      <vt:lpstr>'Performance_Outputs_0 old'!PO_Enrgy_11_Table</vt:lpstr>
      <vt:lpstr>'12 - Performance_Outputs_1'!PO_Enrgy_12_Hdr</vt:lpstr>
      <vt:lpstr>Performance_Outputs_0!PO_Enrgy_12_Hdr</vt:lpstr>
      <vt:lpstr>'Performance_Outputs_0 old'!PO_Enrgy_12_Hdr</vt:lpstr>
      <vt:lpstr>'12 - Performance_Outputs_1'!PO_Enrgy_12_Index</vt:lpstr>
      <vt:lpstr>Performance_Outputs_0!PO_Enrgy_12_Index</vt:lpstr>
      <vt:lpstr>'Performance_Outputs_0 old'!PO_Enrgy_12_Index</vt:lpstr>
      <vt:lpstr>'12 - Performance_Outputs_1'!PO_Enrgy_12_Table</vt:lpstr>
      <vt:lpstr>Performance_Outputs_0!PO_Enrgy_12_Table</vt:lpstr>
      <vt:lpstr>'Performance_Outputs_0 old'!PO_Enrgy_12_Table</vt:lpstr>
      <vt:lpstr>'12 - Performance_Outputs_1'!PO_Enrgy_13_Hdr</vt:lpstr>
      <vt:lpstr>Performance_Outputs_0!PO_Enrgy_13_Hdr</vt:lpstr>
      <vt:lpstr>'Performance_Outputs_0 old'!PO_Enrgy_13_Hdr</vt:lpstr>
      <vt:lpstr>Performance_Outputs_Summary!PO_Enrgy_13_Hdr</vt:lpstr>
      <vt:lpstr>'12 - Performance_Outputs_1'!PO_Enrgy_13_Index</vt:lpstr>
      <vt:lpstr>Performance_Outputs_0!PO_Enrgy_13_Index</vt:lpstr>
      <vt:lpstr>'Performance_Outputs_0 old'!PO_Enrgy_13_Index</vt:lpstr>
      <vt:lpstr>Performance_Outputs_Summary!PO_Enrgy_13_Index</vt:lpstr>
      <vt:lpstr>'12 - Performance_Outputs_1'!PO_Enrgy_13_Table</vt:lpstr>
      <vt:lpstr>Performance_Outputs_0!PO_Enrgy_13_Table</vt:lpstr>
      <vt:lpstr>'Performance_Outputs_0 old'!PO_Enrgy_13_Table</vt:lpstr>
      <vt:lpstr>Performance_Outputs_Summary!PO_Enrgy_13_Table</vt:lpstr>
      <vt:lpstr>'12 - Performance_Outputs_1'!PO_Enrgy_14_Hdr</vt:lpstr>
      <vt:lpstr>Performance_Outputs_0!PO_Enrgy_14_Hdr</vt:lpstr>
      <vt:lpstr>'Performance_Outputs_0 old'!PO_Enrgy_14_Hdr</vt:lpstr>
      <vt:lpstr>Performance_Outputs_Summary!PO_Enrgy_14_Hdr</vt:lpstr>
      <vt:lpstr>'12 - Performance_Outputs_1'!PO_Enrgy_14_Index</vt:lpstr>
      <vt:lpstr>Performance_Outputs_0!PO_Enrgy_14_Index</vt:lpstr>
      <vt:lpstr>'Performance_Outputs_0 old'!PO_Enrgy_14_Index</vt:lpstr>
      <vt:lpstr>Performance_Outputs_Summary!PO_Enrgy_14_Index</vt:lpstr>
      <vt:lpstr>'12 - Performance_Outputs_1'!PO_Enrgy_14_Table</vt:lpstr>
      <vt:lpstr>Performance_Outputs_0!PO_Enrgy_14_Table</vt:lpstr>
      <vt:lpstr>'Performance_Outputs_0 old'!PO_Enrgy_14_Table</vt:lpstr>
      <vt:lpstr>Performance_Outputs_Summary!PO_Enrgy_14_Table</vt:lpstr>
      <vt:lpstr>'12 - Performance_Outputs_1'!PO_Enrgy_15_Hdr</vt:lpstr>
      <vt:lpstr>Performance_Outputs_0!PO_Enrgy_15_Hdr</vt:lpstr>
      <vt:lpstr>'Performance_Outputs_0 old'!PO_Enrgy_15_Hdr</vt:lpstr>
      <vt:lpstr>'12 - Performance_Outputs_1'!PO_Enrgy_15_Index</vt:lpstr>
      <vt:lpstr>Performance_Outputs_0!PO_Enrgy_15_Index</vt:lpstr>
      <vt:lpstr>'Performance_Outputs_0 old'!PO_Enrgy_15_Index</vt:lpstr>
      <vt:lpstr>'12 - Performance_Outputs_1'!PO_Enrgy_15_Table</vt:lpstr>
      <vt:lpstr>Performance_Outputs_0!PO_Enrgy_15_Table</vt:lpstr>
      <vt:lpstr>'Performance_Outputs_0 old'!PO_Enrgy_15_Table</vt:lpstr>
      <vt:lpstr>'12 - Performance_Outputs_1'!PO_Enrgy_16_Hdr</vt:lpstr>
      <vt:lpstr>Performance_Outputs_0!PO_Enrgy_16_Hdr</vt:lpstr>
      <vt:lpstr>'Performance_Outputs_0 old'!PO_Enrgy_16_Hdr</vt:lpstr>
      <vt:lpstr>Performance_Outputs_Summary!PO_Enrgy_16_Hdr</vt:lpstr>
      <vt:lpstr>'12 - Performance_Outputs_1'!PO_Enrgy_16_Index</vt:lpstr>
      <vt:lpstr>Performance_Outputs_0!PO_Enrgy_16_Index</vt:lpstr>
      <vt:lpstr>'Performance_Outputs_0 old'!PO_Enrgy_16_Index</vt:lpstr>
      <vt:lpstr>Performance_Outputs_Summary!PO_Enrgy_16_Index</vt:lpstr>
      <vt:lpstr>'12 - Performance_Outputs_1'!PO_Enrgy_16_Table</vt:lpstr>
      <vt:lpstr>Performance_Outputs_0!PO_Enrgy_16_Table</vt:lpstr>
      <vt:lpstr>'Performance_Outputs_0 old'!PO_Enrgy_16_Table</vt:lpstr>
      <vt:lpstr>Performance_Outputs_Summary!PO_Enrgy_16_Table</vt:lpstr>
      <vt:lpstr>PO_Enrgy_17_Hdr</vt:lpstr>
      <vt:lpstr>PO_Enrgy_17_Table</vt:lpstr>
      <vt:lpstr>'12 - Performance_Outputs_1'!PO_Enrgy_2_Hdr</vt:lpstr>
      <vt:lpstr>Performance_Outputs_0!PO_Enrgy_2_Hdr</vt:lpstr>
      <vt:lpstr>'Performance_Outputs_0 old'!PO_Enrgy_2_Hdr</vt:lpstr>
      <vt:lpstr>'12 - Performance_Outputs_1'!PO_Enrgy_2_Index</vt:lpstr>
      <vt:lpstr>Performance_Outputs_0!PO_Enrgy_2_Index</vt:lpstr>
      <vt:lpstr>'Performance_Outputs_0 old'!PO_Enrgy_2_Index</vt:lpstr>
      <vt:lpstr>'12 - Performance_Outputs_1'!PO_Enrgy_2_Table</vt:lpstr>
      <vt:lpstr>Performance_Outputs_0!PO_Enrgy_2_Table</vt:lpstr>
      <vt:lpstr>'Performance_Outputs_0 old'!PO_Enrgy_2_Table</vt:lpstr>
      <vt:lpstr>'12 - Performance_Outputs_1'!PO_Enrgy_3_Hdr</vt:lpstr>
      <vt:lpstr>Performance_Outputs_0!PO_Enrgy_3_Hdr</vt:lpstr>
      <vt:lpstr>'Performance_Outputs_0 old'!PO_Enrgy_3_Hdr</vt:lpstr>
      <vt:lpstr>'12 - Performance_Outputs_1'!PO_Enrgy_3_Index</vt:lpstr>
      <vt:lpstr>Performance_Outputs_0!PO_Enrgy_3_Index</vt:lpstr>
      <vt:lpstr>'Performance_Outputs_0 old'!PO_Enrgy_3_Index</vt:lpstr>
      <vt:lpstr>'12 - Performance_Outputs_1'!PO_Enrgy_3_Table</vt:lpstr>
      <vt:lpstr>Performance_Outputs_0!PO_Enrgy_3_Table</vt:lpstr>
      <vt:lpstr>'Performance_Outputs_0 old'!PO_Enrgy_3_Table</vt:lpstr>
      <vt:lpstr>'12 - Performance_Outputs_1'!PO_Enrgy_4_Hdr</vt:lpstr>
      <vt:lpstr>Performance_Outputs_0!PO_Enrgy_4_Hdr</vt:lpstr>
      <vt:lpstr>'Performance_Outputs_0 old'!PO_Enrgy_4_Hdr</vt:lpstr>
      <vt:lpstr>'12 - Performance_Outputs_1'!PO_Enrgy_4_Index</vt:lpstr>
      <vt:lpstr>Performance_Outputs_0!PO_Enrgy_4_Index</vt:lpstr>
      <vt:lpstr>'Performance_Outputs_0 old'!PO_Enrgy_4_Index</vt:lpstr>
      <vt:lpstr>'12 - Performance_Outputs_1'!PO_Enrgy_4_Table</vt:lpstr>
      <vt:lpstr>Performance_Outputs_0!PO_Enrgy_4_Table</vt:lpstr>
      <vt:lpstr>'Performance_Outputs_0 old'!PO_Enrgy_4_Table</vt:lpstr>
      <vt:lpstr>PO_Enrgy_4_Table_Add_P</vt:lpstr>
      <vt:lpstr>'12 - Performance_Outputs_1'!PO_Enrgy_5_Hdr</vt:lpstr>
      <vt:lpstr>Performance_Outputs_0!PO_Enrgy_5_Hdr</vt:lpstr>
      <vt:lpstr>'Performance_Outputs_0 old'!PO_Enrgy_5_Hdr</vt:lpstr>
      <vt:lpstr>'12 - Performance_Outputs_1'!PO_Enrgy_5_Index</vt:lpstr>
      <vt:lpstr>Performance_Outputs_0!PO_Enrgy_5_Index</vt:lpstr>
      <vt:lpstr>'Performance_Outputs_0 old'!PO_Enrgy_5_Index</vt:lpstr>
      <vt:lpstr>'12 - Performance_Outputs_1'!PO_Enrgy_5_Table</vt:lpstr>
      <vt:lpstr>Performance_Outputs_0!PO_Enrgy_5_Table</vt:lpstr>
      <vt:lpstr>'Performance_Outputs_0 old'!PO_Enrgy_5_Table</vt:lpstr>
      <vt:lpstr>'12 - Performance_Outputs_1'!PO_Enrgy_6_Hdr</vt:lpstr>
      <vt:lpstr>Performance_Outputs_0!PO_Enrgy_6_Hdr</vt:lpstr>
      <vt:lpstr>'Performance_Outputs_0 old'!PO_Enrgy_6_Hdr</vt:lpstr>
      <vt:lpstr>'12 - Performance_Outputs_1'!PO_Enrgy_6_Index</vt:lpstr>
      <vt:lpstr>Performance_Outputs_0!PO_Enrgy_6_Index</vt:lpstr>
      <vt:lpstr>'Performance_Outputs_0 old'!PO_Enrgy_6_Index</vt:lpstr>
      <vt:lpstr>'12 - Performance_Outputs_1'!PO_Enrgy_6_Table</vt:lpstr>
      <vt:lpstr>Performance_Outputs_0!PO_Enrgy_6_Table</vt:lpstr>
      <vt:lpstr>'Performance_Outputs_0 old'!PO_Enrgy_6_Table</vt:lpstr>
      <vt:lpstr>'12 - Performance_Outputs_1'!PO_Enrgy_7_Hdr</vt:lpstr>
      <vt:lpstr>Performance_Outputs_0!PO_Enrgy_7_Hdr</vt:lpstr>
      <vt:lpstr>'Performance_Outputs_0 old'!PO_Enrgy_7_Hdr</vt:lpstr>
      <vt:lpstr>Performance_Outputs_Summary!PO_Enrgy_7_Hdr</vt:lpstr>
      <vt:lpstr>'12 - Performance_Outputs_1'!PO_Enrgy_7_Index</vt:lpstr>
      <vt:lpstr>Performance_Outputs_0!PO_Enrgy_7_Index</vt:lpstr>
      <vt:lpstr>'Performance_Outputs_0 old'!PO_Enrgy_7_Index</vt:lpstr>
      <vt:lpstr>Performance_Outputs_Summary!PO_Enrgy_7_Index</vt:lpstr>
      <vt:lpstr>'12 - Performance_Outputs_1'!PO_Enrgy_7_Table</vt:lpstr>
      <vt:lpstr>Performance_Outputs_0!PO_Enrgy_7_Table</vt:lpstr>
      <vt:lpstr>'Performance_Outputs_0 old'!PO_Enrgy_7_Table</vt:lpstr>
      <vt:lpstr>Performance_Outputs_Summary!PO_Enrgy_7_Table</vt:lpstr>
      <vt:lpstr>'12 - Performance_Outputs_1'!PO_Enrgy_8_Hdr</vt:lpstr>
      <vt:lpstr>Performance_Outputs_0!PO_Enrgy_8_Hdr</vt:lpstr>
      <vt:lpstr>'Performance_Outputs_0 old'!PO_Enrgy_8_Hdr</vt:lpstr>
      <vt:lpstr>Performance_Outputs_Summary!PO_Enrgy_8_Hdr</vt:lpstr>
      <vt:lpstr>'Quality Assurance Checks'!PO_Enrgy_8_Hdr</vt:lpstr>
      <vt:lpstr>'12 - Performance_Outputs_1'!PO_Enrgy_8_Index</vt:lpstr>
      <vt:lpstr>Performance_Outputs_0!PO_Enrgy_8_Index</vt:lpstr>
      <vt:lpstr>'Performance_Outputs_0 old'!PO_Enrgy_8_Index</vt:lpstr>
      <vt:lpstr>Performance_Outputs_Summary!PO_Enrgy_8_Index</vt:lpstr>
      <vt:lpstr>'12 - Performance_Outputs_1'!PO_Enrgy_8_Table</vt:lpstr>
      <vt:lpstr>Performance_Outputs_0!PO_Enrgy_8_Table</vt:lpstr>
      <vt:lpstr>'Performance_Outputs_0 old'!PO_Enrgy_8_Table</vt:lpstr>
      <vt:lpstr>Performance_Outputs_Summary!PO_Enrgy_8_Table</vt:lpstr>
      <vt:lpstr>'Quality Assurance Checks'!PO_Enrgy_8_Table</vt:lpstr>
      <vt:lpstr>'12 - Performance_Outputs_1'!PO_Enrgy_9_Hdr</vt:lpstr>
      <vt:lpstr>Performance_Outputs_0!PO_Enrgy_9_Hdr</vt:lpstr>
      <vt:lpstr>'Performance_Outputs_0 old'!PO_Enrgy_9_Hdr</vt:lpstr>
      <vt:lpstr>Performance_Outputs_Summary!PO_Enrgy_9_Hdr</vt:lpstr>
      <vt:lpstr>'12 - Performance_Outputs_1'!PO_Enrgy_9_Index</vt:lpstr>
      <vt:lpstr>Performance_Outputs_0!PO_Enrgy_9_Index</vt:lpstr>
      <vt:lpstr>'Performance_Outputs_0 old'!PO_Enrgy_9_Index</vt:lpstr>
      <vt:lpstr>Performance_Outputs_Summary!PO_Enrgy_9_Index</vt:lpstr>
      <vt:lpstr>'12 - Performance_Outputs_1'!PO_Enrgy_9_Table</vt:lpstr>
      <vt:lpstr>Performance_Outputs_0!PO_Enrgy_9_Table</vt:lpstr>
      <vt:lpstr>'Performance_Outputs_0 old'!PO_Enrgy_9_Table</vt:lpstr>
      <vt:lpstr>Performance_Outputs_Summary!PO_Enrgy_9_Table</vt:lpstr>
      <vt:lpstr>'12 - Performance_Outputs_1'!PO_ExCalc_Hdr</vt:lpstr>
      <vt:lpstr>Performance_Outputs_0!PO_ExCalc_Hdr</vt:lpstr>
      <vt:lpstr>'Performance_Outputs_0 old'!PO_ExCalc_Hdr</vt:lpstr>
      <vt:lpstr>'Quality Assurance Checks'!PO_ExCalc_Hdr</vt:lpstr>
      <vt:lpstr>'12 - Performance_Outputs_1'!PO_ExCalc_Table</vt:lpstr>
      <vt:lpstr>Performance_Outputs_0!PO_ExCalc_Table</vt:lpstr>
      <vt:lpstr>'Performance_Outputs_0 old'!PO_ExCalc_Table</vt:lpstr>
      <vt:lpstr>'Quality Assurance Checks'!PO_ExCalc_Table</vt:lpstr>
      <vt:lpstr>'12 - Performance_Outputs_1'!PO_ExCalcOutputs</vt:lpstr>
      <vt:lpstr>Performance_Outputs_0!PO_ExCalcOutputs</vt:lpstr>
      <vt:lpstr>'Performance_Outputs_0 old'!PO_ExCalcOutputs</vt:lpstr>
      <vt:lpstr>Performance_Outputs_Summary!PO_ExCalcOutputs</vt:lpstr>
      <vt:lpstr>'12 - Performance_Outputs_1'!PO_ExCalcSection</vt:lpstr>
      <vt:lpstr>Performance_Outputs_0!PO_ExCalcSection</vt:lpstr>
      <vt:lpstr>'Performance_Outputs_0 old'!PO_ExCalcSection</vt:lpstr>
      <vt:lpstr>Performance_Outputs_0!PO_ExLBaseAnchor</vt:lpstr>
      <vt:lpstr>'Performance_Outputs_0 old'!PO_ExLBaseAnchor</vt:lpstr>
      <vt:lpstr>PO_ExLBaseAnchor</vt:lpstr>
      <vt:lpstr>'12 - Performance_Outputs_1'!PO_ModelID</vt:lpstr>
      <vt:lpstr>Performance_Outputs_0!PO_ModelID</vt:lpstr>
      <vt:lpstr>'Performance_Outputs_0 old'!PO_ModelID</vt:lpstr>
      <vt:lpstr>'12 - Performance_Outputs_1'!PO_ModelSubtotal</vt:lpstr>
      <vt:lpstr>Performance_Outputs_0!PO_ModelSubtotal</vt:lpstr>
      <vt:lpstr>'Performance_Outputs_0 old'!PO_ModelSubtotal</vt:lpstr>
      <vt:lpstr>Performance_Outputs_Summary!PO_ModelSubtotal</vt:lpstr>
      <vt:lpstr>'12 - Performance_Outputs_1'!PO_ModelSubtotals</vt:lpstr>
      <vt:lpstr>Performance_Outputs_0!PO_ModelSubtotals</vt:lpstr>
      <vt:lpstr>'Performance_Outputs_0 old'!PO_ModelSubtotals</vt:lpstr>
      <vt:lpstr>Performance_Outputs_Summary!PO_ModelSubtotals</vt:lpstr>
      <vt:lpstr>'12 - Performance_Outputs_1'!PO_Multiplier</vt:lpstr>
      <vt:lpstr>Performance_Outputs_0!PO_Multiplier</vt:lpstr>
      <vt:lpstr>'Performance_Outputs_0 old'!PO_Multiplier</vt:lpstr>
      <vt:lpstr>PO_offsite_RenewableRange</vt:lpstr>
      <vt:lpstr>PO_offSiteRenewable</vt:lpstr>
      <vt:lpstr>PO_OSEnrgy_Hdr</vt:lpstr>
      <vt:lpstr>PO_OSEnrgy_Table</vt:lpstr>
      <vt:lpstr>PO_osrenewable_hdr</vt:lpstr>
      <vt:lpstr>PO_osrenewable_table</vt:lpstr>
      <vt:lpstr>'12 - Performance_Outputs_1'!PO_PRM_Total_Section</vt:lpstr>
      <vt:lpstr>Performance_Outputs_0!PO_PRM_Total_Section</vt:lpstr>
      <vt:lpstr>'Performance_Outputs_0 old'!PO_PRM_Total_Section</vt:lpstr>
      <vt:lpstr>Performance_Outputs_Summary!PO_PRM_Total_Section</vt:lpstr>
      <vt:lpstr>'12 - Performance_Outputs_1'!PO_QA_BaseExtLtgDem</vt:lpstr>
      <vt:lpstr>Performance_Outputs_0!PO_QA_BaseExtLtgDem</vt:lpstr>
      <vt:lpstr>'12 - Performance_Outputs_1'!PO_QA_DesignExtLtgDem</vt:lpstr>
      <vt:lpstr>Performance_Outputs_0!PO_QA_DesignExtLtgDem</vt:lpstr>
      <vt:lpstr>'12 - Performance_Outputs_1'!PO_QACheck</vt:lpstr>
      <vt:lpstr>Performance_Outputs_0!PO_QACheck</vt:lpstr>
      <vt:lpstr>'Performance_Outputs_0 old'!PO_QACheck</vt:lpstr>
      <vt:lpstr>'12 - Performance_Outputs_1'!PO_qcrenewtablelookup</vt:lpstr>
      <vt:lpstr>Performance_Outputs_0!PO_qcrenewtablelookup</vt:lpstr>
      <vt:lpstr>'Performance_Outputs_0 old'!PO_qcrenewtablelookup</vt:lpstr>
      <vt:lpstr>'12 - Performance_Outputs_1'!PO_QCvirtuallookup</vt:lpstr>
      <vt:lpstr>Performance_Outputs_0!PO_QCvirtuallookup</vt:lpstr>
      <vt:lpstr>'Performance_Outputs_0 old'!PO_QCvirtuallookup</vt:lpstr>
      <vt:lpstr>Performance_Outputs_Summary!PO_QCvirtuallookup</vt:lpstr>
      <vt:lpstr>'12 - Performance_Outputs_1'!PO_QCvirtualratetable</vt:lpstr>
      <vt:lpstr>Performance_Outputs_0!PO_QCvirtualratetable</vt:lpstr>
      <vt:lpstr>'Performance_Outputs_0 old'!PO_QCvirtualratetable</vt:lpstr>
      <vt:lpstr>Performance_Outputs_Summary!PO_QCvirtualratetable</vt:lpstr>
      <vt:lpstr>'12 - Performance_Outputs_1'!PO_renewable_hdr</vt:lpstr>
      <vt:lpstr>Performance_Outputs_0!PO_renewable_hdr</vt:lpstr>
      <vt:lpstr>'Performance_Outputs_0 old'!PO_renewable_hdr</vt:lpstr>
      <vt:lpstr>'Quality Assurance Checks'!PO_renewable_hdr</vt:lpstr>
      <vt:lpstr>'12 - Performance_Outputs_1'!PO_renewable_Index</vt:lpstr>
      <vt:lpstr>Performance_Outputs_0!PO_renewable_Index</vt:lpstr>
      <vt:lpstr>'Performance_Outputs_0 old'!PO_renewable_Index</vt:lpstr>
      <vt:lpstr>'12 - Performance_Outputs_1'!PO_renewable_table</vt:lpstr>
      <vt:lpstr>Performance_Outputs_0!PO_renewable_table</vt:lpstr>
      <vt:lpstr>'Performance_Outputs_0 old'!PO_renewable_table</vt:lpstr>
      <vt:lpstr>'Quality Assurance Checks'!PO_renewable_table</vt:lpstr>
      <vt:lpstr>'12 - Performance_Outputs_1'!PO_RenewableEnergyTotal</vt:lpstr>
      <vt:lpstr>Performance_Outputs_0!PO_RenewableEnergyTotal</vt:lpstr>
      <vt:lpstr>'Performance_Outputs_0 old'!PO_RenewableEnergyTotal</vt:lpstr>
      <vt:lpstr>'12 - Performance_Outputs_1'!PO_RenewableOutputs</vt:lpstr>
      <vt:lpstr>Performance_Outputs_0!PO_RenewableOutputs</vt:lpstr>
      <vt:lpstr>'Performance_Outputs_0 old'!PO_RenewableOutputs</vt:lpstr>
      <vt:lpstr>Performance_Outputs_Summary!PO_RenewableOutputs</vt:lpstr>
      <vt:lpstr>'12 - Performance_Outputs_1'!PO_RenewableRange</vt:lpstr>
      <vt:lpstr>Performance_Outputs_0!PO_RenewableRange</vt:lpstr>
      <vt:lpstr>'Performance_Outputs_0 old'!PO_RenewableRange</vt:lpstr>
      <vt:lpstr>'12 - Performance_Outputs_1'!PO_Retail_text1</vt:lpstr>
      <vt:lpstr>Performance_Outputs_0!PO_Retail_text1</vt:lpstr>
      <vt:lpstr>'Performance_Outputs_0 old'!PO_Retail_text1</vt:lpstr>
      <vt:lpstr>'12 - Performance_Outputs_1'!PO_Retail_text2</vt:lpstr>
      <vt:lpstr>Performance_Outputs_0!PO_Retail_text2</vt:lpstr>
      <vt:lpstr>'Performance_Outputs_0 old'!PO_Retail_text2</vt:lpstr>
      <vt:lpstr>'12 - Performance_Outputs_1'!PO_Section_Baseline</vt:lpstr>
      <vt:lpstr>Performance_Outputs_0!PO_Section_Baseline</vt:lpstr>
      <vt:lpstr>'Performance_Outputs_0 old'!PO_Section_Baseline</vt:lpstr>
      <vt:lpstr>'12 - Performance_Outputs_1'!PO_SectionExCalc</vt:lpstr>
      <vt:lpstr>Performance_Outputs_0!PO_SectionExCalc</vt:lpstr>
      <vt:lpstr>'Performance_Outputs_0 old'!PO_SectionExCalc</vt:lpstr>
      <vt:lpstr>'12 - Performance_Outputs_1'!PO_SectionUnmetLoads</vt:lpstr>
      <vt:lpstr>Performance_Outputs_0!PO_SectionUnmetLoads</vt:lpstr>
      <vt:lpstr>'Performance_Outputs_0 old'!PO_SectionUnmetLoads</vt:lpstr>
      <vt:lpstr>'12 - Performance_Outputs_1'!PO_ShowExCalc</vt:lpstr>
      <vt:lpstr>Performance_Outputs_0!PO_ShowExCalc</vt:lpstr>
      <vt:lpstr>'Performance_Outputs_0 old'!PO_ShowExCalc</vt:lpstr>
      <vt:lpstr>'Quality Assurance Checks'!PO_ShowExCalc</vt:lpstr>
      <vt:lpstr>'12 - Performance_Outputs_1'!PO_SiteRenewable</vt:lpstr>
      <vt:lpstr>Performance_Outputs_0!PO_SiteRenewable</vt:lpstr>
      <vt:lpstr>'Performance_Outputs_0 old'!PO_SiteRenewable</vt:lpstr>
      <vt:lpstr>'Quality Assurance Checks'!PO_SiteRenewable</vt:lpstr>
      <vt:lpstr>'12 - Performance_Outputs_1'!PO_SiteUnits</vt:lpstr>
      <vt:lpstr>Performance_Outputs_0!PO_SiteUnits</vt:lpstr>
      <vt:lpstr>'Performance_Outputs_0 old'!PO_SiteUnits</vt:lpstr>
      <vt:lpstr>Performance_Outputs_Summary!PO_SiteUnits</vt:lpstr>
      <vt:lpstr>'12 - Performance_Outputs_1'!PO_SourceUnits</vt:lpstr>
      <vt:lpstr>Performance_Outputs_0!PO_SourceUnits</vt:lpstr>
      <vt:lpstr>'Performance_Outputs_0 old'!PO_SourceUnits</vt:lpstr>
      <vt:lpstr>Performance_Outputs_Summary!PO_SourceUnits</vt:lpstr>
      <vt:lpstr>'12 - Performance_Outputs_1'!PO_TableExceptionalCalc</vt:lpstr>
      <vt:lpstr>Performance_Outputs_0!PO_TableExceptionalCalc</vt:lpstr>
      <vt:lpstr>'Performance_Outputs_0 old'!PO_TableExceptionalCalc</vt:lpstr>
      <vt:lpstr>'12 - Performance_Outputs_1'!PO_TableSiteRenewable</vt:lpstr>
      <vt:lpstr>Performance_Outputs_0!PO_TableSiteRenewable</vt:lpstr>
      <vt:lpstr>'Performance_Outputs_0 old'!PO_TableSiteRenewable</vt:lpstr>
      <vt:lpstr>PO_virtual_rate_hdr</vt:lpstr>
      <vt:lpstr>PO_virtual_rate_table</vt:lpstr>
      <vt:lpstr>'12 - Performance_Outputs_1'!PO_VirtualEnergyRate</vt:lpstr>
      <vt:lpstr>Performance_Outputs_0!PO_VirtualEnergyRate</vt:lpstr>
      <vt:lpstr>'Performance_Outputs_0 old'!PO_VirtualEnergyRate</vt:lpstr>
      <vt:lpstr>'12 - Performance_Outputs_1'!PO_VR_hdr</vt:lpstr>
      <vt:lpstr>Performance_Outputs_0!PO_VR_hdr</vt:lpstr>
      <vt:lpstr>'Performance_Outputs_0 old'!PO_VR_hdr</vt:lpstr>
      <vt:lpstr>'12 - Performance_Outputs_1'!PO_VR_table</vt:lpstr>
      <vt:lpstr>Performance_Outputs_0!PO_VR_table</vt:lpstr>
      <vt:lpstr>'Performance_Outputs_0 old'!PO_VR_table</vt:lpstr>
      <vt:lpstr>'12 - Performance_Outputs_1'!Print_Area</vt:lpstr>
      <vt:lpstr>Performance_Outputs_0!Print_Area</vt:lpstr>
      <vt:lpstr>'Performance_Outputs_0 old'!Print_Area</vt:lpstr>
      <vt:lpstr>Performance_Outputs_Summary!Print_Area</vt:lpstr>
      <vt:lpstr>'Detailed Measures'!proj_RatingSystem</vt:lpstr>
      <vt:lpstr>Instructions!proj_RatingSystem</vt:lpstr>
      <vt:lpstr>proj_RatingSystem</vt:lpstr>
      <vt:lpstr>ProjectEnergyTypes2</vt:lpstr>
      <vt:lpstr>ProjectEnergyTypeTable2</vt:lpstr>
      <vt:lpstr>'Detailed Measures'!ProjectPhaseCompleteness</vt:lpstr>
      <vt:lpstr>Instructions!ProjectPhaseCompleteness</vt:lpstr>
      <vt:lpstr>ProjectPhaseCompleteness</vt:lpstr>
      <vt:lpstr>ProposedAnchor</vt:lpstr>
      <vt:lpstr>ProposedHVAC</vt:lpstr>
      <vt:lpstr>Instructions!ProposedHVACModeled</vt:lpstr>
      <vt:lpstr>ProposedHVACModeled</vt:lpstr>
      <vt:lpstr>'Detailed Measures'!PSZHPRanges</vt:lpstr>
      <vt:lpstr>'HVAC Lookup 90.1-2007'!PSZHPRanges</vt:lpstr>
      <vt:lpstr>'HVAC Lookup 90.1-2010'!PSZHPRanges</vt:lpstr>
      <vt:lpstr>'HVAC Lookup 90.1-2013'!PSZHPRanges</vt:lpstr>
      <vt:lpstr>Instructions!PSZHPRanges</vt:lpstr>
      <vt:lpstr>PSZHPRanges</vt:lpstr>
      <vt:lpstr>'Detailed Measures'!PTRanges</vt:lpstr>
      <vt:lpstr>'HVAC Lookup 90.1-2007'!PTRanges</vt:lpstr>
      <vt:lpstr>'HVAC Lookup 90.1-2010'!PTRanges</vt:lpstr>
      <vt:lpstr>'HVAC Lookup 90.1-2013'!PTRanges</vt:lpstr>
      <vt:lpstr>Instructions!PTRanges</vt:lpstr>
      <vt:lpstr>PTRanges</vt:lpstr>
      <vt:lpstr>'12 - Performance_Outputs_1'!QA_Check</vt:lpstr>
      <vt:lpstr>Performance_Outputs_0!QA_Check</vt:lpstr>
      <vt:lpstr>'Performance_Outputs_0 old'!QA_Check</vt:lpstr>
      <vt:lpstr>Performance_Outputs_Summary!QA_Check</vt:lpstr>
      <vt:lpstr>QCConsumptionConvert</vt:lpstr>
      <vt:lpstr>QCDemandConvert</vt:lpstr>
      <vt:lpstr>Instructions!QCEnSaveRank</vt:lpstr>
      <vt:lpstr>Performance_Outputs_0!QCEnSaveRank</vt:lpstr>
      <vt:lpstr>'Performance_Outputs_0 old'!QCEnSaveRank</vt:lpstr>
      <vt:lpstr>Performance_Outputs_Summary!QCEnSaveRank</vt:lpstr>
      <vt:lpstr>QCEnSaveRank</vt:lpstr>
      <vt:lpstr>'12 - Performance_Outputs_1'!qcExCalcbasediff</vt:lpstr>
      <vt:lpstr>Performance_Outputs_0!qcExCalcbasediff</vt:lpstr>
      <vt:lpstr>'Performance_Outputs_0 old'!qcExCalcbasediff</vt:lpstr>
      <vt:lpstr>Performance_Outputs_Summary!qcExCalcbasediff</vt:lpstr>
      <vt:lpstr>Performance_Outputs_0!qcExCalcbasediff2</vt:lpstr>
      <vt:lpstr>'Performance_Outputs_0 old'!qcExCalcbasediff2</vt:lpstr>
      <vt:lpstr>Performance_Outputs_Summary!qcExCalcbasediff2</vt:lpstr>
      <vt:lpstr>qcExCalcbasediff2</vt:lpstr>
      <vt:lpstr>Performance_Outputs_0!qcExLPerfAnchor</vt:lpstr>
      <vt:lpstr>'Performance_Outputs_0 old'!qcExLPerfAnchor</vt:lpstr>
      <vt:lpstr>Performance_Outputs_Summary!qcExLPerfAnchor</vt:lpstr>
      <vt:lpstr>qcExLPerfAnchor</vt:lpstr>
      <vt:lpstr>qcnontrade</vt:lpstr>
      <vt:lpstr>Qty_Bedrooms</vt:lpstr>
      <vt:lpstr>Qty_Res_Units</vt:lpstr>
      <vt:lpstr>'Detailed Measures'!RatingSystem</vt:lpstr>
      <vt:lpstr>Instructions!RatingSystem</vt:lpstr>
      <vt:lpstr>RatingSystem</vt:lpstr>
      <vt:lpstr>'Detailed Measures'!RatingSystem_IDC</vt:lpstr>
      <vt:lpstr>Instructions!RatingSystem_IDC</vt:lpstr>
      <vt:lpstr>RatingSystem_IDC</vt:lpstr>
      <vt:lpstr>'Detailed Measures'!RatingSystemSelection</vt:lpstr>
      <vt:lpstr>Instructions!RatingSystemSelection</vt:lpstr>
      <vt:lpstr>RatingSystemSelection</vt:lpstr>
      <vt:lpstr>rbOutputReporting</vt:lpstr>
      <vt:lpstr>'Detailed Measures'!RenewableSource</vt:lpstr>
      <vt:lpstr>Instructions!RenewableSource</vt:lpstr>
      <vt:lpstr>RenewableSource</vt:lpstr>
      <vt:lpstr>Instructions!Res_Usage_Profile_Table</vt:lpstr>
      <vt:lpstr>Res_Usage_Profile_Table</vt:lpstr>
      <vt:lpstr>'Detailed Measures'!ResDwellingUnitsExist</vt:lpstr>
      <vt:lpstr>Instructions!ResDwellingUnitsExist</vt:lpstr>
      <vt:lpstr>ResDwellingUnitsExist</vt:lpstr>
      <vt:lpstr>'Envelope Lookup 90.1-2007'!ResidentialGlazing</vt:lpstr>
      <vt:lpstr>'Envelope Lookup 90.1-2010'!ResidentialGlazing</vt:lpstr>
      <vt:lpstr>ResidentialGlazing</vt:lpstr>
      <vt:lpstr>Performance_Outputs_0!RNvsVIRTqcCheck</vt:lpstr>
      <vt:lpstr>'Performance_Outputs_0 old'!RNvsVIRTqcCheck</vt:lpstr>
      <vt:lpstr>Performance_Outputs_Summary!RNvsVIRTqcCheck</vt:lpstr>
      <vt:lpstr>RNvsVIRTqcCheck</vt:lpstr>
      <vt:lpstr>S_Sched_Hdr</vt:lpstr>
      <vt:lpstr>S_Sched_Index</vt:lpstr>
      <vt:lpstr>S_Sched_Table</vt:lpstr>
      <vt:lpstr>'HVAC Lookup 90.1-2007'!SATreset</vt:lpstr>
      <vt:lpstr>'HVAC Lookup 90.1-2010'!SATreset</vt:lpstr>
      <vt:lpstr>'HVAC Lookup 90.1-2013'!SATreset</vt:lpstr>
      <vt:lpstr>Instructions!SATreset</vt:lpstr>
      <vt:lpstr>'Revision Log'!SATreset</vt:lpstr>
      <vt:lpstr>SATreset</vt:lpstr>
      <vt:lpstr>SbSanchor</vt:lpstr>
      <vt:lpstr>SbSequipTable</vt:lpstr>
      <vt:lpstr>Instructions!SelectedSxS</vt:lpstr>
      <vt:lpstr>SelectedSxS</vt:lpstr>
      <vt:lpstr>SelectUnfinished</vt:lpstr>
      <vt:lpstr>'Envelope Lookup 90.1-2007'!SemiheatedGlazing</vt:lpstr>
      <vt:lpstr>'Envelope Lookup 90.1-2010'!SemiheatedGlazing</vt:lpstr>
      <vt:lpstr>SemiheatedGlazing</vt:lpstr>
      <vt:lpstr>SF_BMZ_Table</vt:lpstr>
      <vt:lpstr>SF_qc40BaseFenestration</vt:lpstr>
      <vt:lpstr>SF_qcVerticalGlazingDiff</vt:lpstr>
      <vt:lpstr>SF_S_hdr</vt:lpstr>
      <vt:lpstr>SF_S_Index</vt:lpstr>
      <vt:lpstr>SF_S_table</vt:lpstr>
      <vt:lpstr>SF_VG_hdr</vt:lpstr>
      <vt:lpstr>SF_VG_Index</vt:lpstr>
      <vt:lpstr>SF_VG_table</vt:lpstr>
      <vt:lpstr>'Detailed Measures'!SI_IP_Units</vt:lpstr>
      <vt:lpstr>Instructions!SI_IP_Units</vt:lpstr>
      <vt:lpstr>SI_IP_Units</vt:lpstr>
      <vt:lpstr>SimProgram</vt:lpstr>
      <vt:lpstr>'Detailed Measures'!SimTool</vt:lpstr>
      <vt:lpstr>Instructions!SimTool</vt:lpstr>
      <vt:lpstr>SimTool</vt:lpstr>
      <vt:lpstr>'Detailed Measures'!SimulationProgram</vt:lpstr>
      <vt:lpstr>Instructions!SimulationProgram</vt:lpstr>
      <vt:lpstr>SimulationProgram</vt:lpstr>
      <vt:lpstr>SkyLightDescs</vt:lpstr>
      <vt:lpstr>'Envelope Lookup 90.1-2007'!SkylightFrame</vt:lpstr>
      <vt:lpstr>'Envelope Lookup 90.1-2010'!SkylightFrame</vt:lpstr>
      <vt:lpstr>SkylightFrame</vt:lpstr>
      <vt:lpstr>'Detailed Measures'!SkylightPercent</vt:lpstr>
      <vt:lpstr>Instructions!SkylightPercent</vt:lpstr>
      <vt:lpstr>SkylightPercent</vt:lpstr>
      <vt:lpstr>'Envelope Lookup 90.1-2007'!SpaceConditioningCategory</vt:lpstr>
      <vt:lpstr>'Envelope Lookup 90.1-2010'!SpaceConditioningCategory</vt:lpstr>
      <vt:lpstr>'Envelope Lookup 90.1-2013'!SpaceConditioningCategory</vt:lpstr>
      <vt:lpstr>Instructions!SWH_Fixture_Hdr</vt:lpstr>
      <vt:lpstr>SWH_Fixture_Hdr</vt:lpstr>
      <vt:lpstr>Instructions!SWH_Fixture_Index</vt:lpstr>
      <vt:lpstr>SWH_Fixture_Index</vt:lpstr>
      <vt:lpstr>Instructions!SWH_Fixture_Table</vt:lpstr>
      <vt:lpstr>SWH_Fixture_Table</vt:lpstr>
      <vt:lpstr>Instructions!SWH_Flow_Hdr</vt:lpstr>
      <vt:lpstr>SWH_Flow_Hdr</vt:lpstr>
      <vt:lpstr>Instructions!SWH_Flow_Index</vt:lpstr>
      <vt:lpstr>SWH_Flow_Index</vt:lpstr>
      <vt:lpstr>Instructions!SWH_Flow_Table</vt:lpstr>
      <vt:lpstr>SWH_Flow_Table</vt:lpstr>
      <vt:lpstr>SWH_Heater_Hdr</vt:lpstr>
      <vt:lpstr>SWH_Heater_Rows</vt:lpstr>
      <vt:lpstr>SWH_Heater_Table</vt:lpstr>
      <vt:lpstr>'Detailed Measures'!SxSCategories</vt:lpstr>
      <vt:lpstr>'Lighting Assumptions 90.1-2007'!SxSCategories</vt:lpstr>
      <vt:lpstr>'Lighting Assumptions 90.1-2010'!SxSCategories</vt:lpstr>
      <vt:lpstr>'Lighting Assumptions 90.1-2013'!SxSCategories</vt:lpstr>
      <vt:lpstr>'Lighting Assumptions 90.1-2016'!SxSCategories</vt:lpstr>
      <vt:lpstr>SxSCategories</vt:lpstr>
      <vt:lpstr>'Detailed Measures'!Sys_3_5_Ranges</vt:lpstr>
      <vt:lpstr>'HVAC Lookup 90.1-2007'!Sys_3_5_Ranges</vt:lpstr>
      <vt:lpstr>'HVAC Lookup 90.1-2010'!Sys_3_5_Ranges</vt:lpstr>
      <vt:lpstr>'HVAC Lookup 90.1-2013'!Sys_3_5_Ranges</vt:lpstr>
      <vt:lpstr>Instructions!Sys_3_5_Ranges</vt:lpstr>
      <vt:lpstr>Sys_3_5_Ranges</vt:lpstr>
      <vt:lpstr>'Detailed Measures'!Sys12H</vt:lpstr>
      <vt:lpstr>Instructions!Sys12H</vt:lpstr>
      <vt:lpstr>Sys12H</vt:lpstr>
      <vt:lpstr>'HVAC Lookup 90.1-2007'!Sys12H13</vt:lpstr>
      <vt:lpstr>Sys12H13</vt:lpstr>
      <vt:lpstr>'Detailed Measures'!Sys1H</vt:lpstr>
      <vt:lpstr>Instructions!Sys1H</vt:lpstr>
      <vt:lpstr>Sys1H</vt:lpstr>
      <vt:lpstr>'HVAC Lookup 90.1-2007'!Sys1H13</vt:lpstr>
      <vt:lpstr>Sys1H13</vt:lpstr>
      <vt:lpstr>Sys2H</vt:lpstr>
      <vt:lpstr>'HVAC Lookup 90.1-2007'!Sys2H13</vt:lpstr>
      <vt:lpstr>Sys2H13</vt:lpstr>
      <vt:lpstr>Sys2HRanges</vt:lpstr>
      <vt:lpstr>'Detailed Measures'!Sys3H</vt:lpstr>
      <vt:lpstr>Instructions!Sys3H</vt:lpstr>
      <vt:lpstr>Sys3H</vt:lpstr>
      <vt:lpstr>'HVAC Lookup 90.1-2007'!Sys3H13</vt:lpstr>
      <vt:lpstr>Sys3H13</vt:lpstr>
      <vt:lpstr>Sys3HRanges</vt:lpstr>
      <vt:lpstr>Sys4H</vt:lpstr>
      <vt:lpstr>'HVAC Lookup 90.1-2007'!Sys4H13</vt:lpstr>
      <vt:lpstr>Sys4H13</vt:lpstr>
      <vt:lpstr>'Detailed Measures'!Sys5H</vt:lpstr>
      <vt:lpstr>Instructions!Sys5H</vt:lpstr>
      <vt:lpstr>Sys5H</vt:lpstr>
      <vt:lpstr>'HVAC Lookup 90.1-2007'!Sys5H13</vt:lpstr>
      <vt:lpstr>Sys5H13</vt:lpstr>
      <vt:lpstr>'Detailed Measures'!Sys7H</vt:lpstr>
      <vt:lpstr>Instructions!Sys7H</vt:lpstr>
      <vt:lpstr>Sys7H</vt:lpstr>
      <vt:lpstr>'HVAC Lookup 90.1-2007'!Sys7H13</vt:lpstr>
      <vt:lpstr>Sys7H13</vt:lpstr>
      <vt:lpstr>'Detailed Measures'!Sys9H</vt:lpstr>
      <vt:lpstr>Instructions!Sys9H</vt:lpstr>
      <vt:lpstr>Sys9H</vt:lpstr>
      <vt:lpstr>'HVAC Lookup 90.1-2007'!Sys9H13</vt:lpstr>
      <vt:lpstr>Sys9H13</vt:lpstr>
      <vt:lpstr>SysGENERALRAnges</vt:lpstr>
      <vt:lpstr>tableBAM</vt:lpstr>
      <vt:lpstr>Instructions!tablesSxS</vt:lpstr>
      <vt:lpstr>tablesSxS</vt:lpstr>
      <vt:lpstr>tableSxS</vt:lpstr>
      <vt:lpstr>TemplateBaseline</vt:lpstr>
      <vt:lpstr>TemplateProposed</vt:lpstr>
      <vt:lpstr>ThermalTable</vt:lpstr>
      <vt:lpstr>ThermalTypes</vt:lpstr>
      <vt:lpstr>TotalArea</vt:lpstr>
      <vt:lpstr>Performance_Outputs_0!TraceOutputColumns</vt:lpstr>
      <vt:lpstr>TraceOutputColumns</vt:lpstr>
      <vt:lpstr>'Detailed Measures'!TradableSurfaces</vt:lpstr>
      <vt:lpstr>Instructions!TradableSurfaces</vt:lpstr>
      <vt:lpstr>'Lighting Assumptions 90.1-2007'!TradableSurfaces</vt:lpstr>
      <vt:lpstr>'Lighting Assumptions 90.1-2010'!TradableSurfaces</vt:lpstr>
      <vt:lpstr>'Lighting Assumptions 90.1-2013'!TradableSurfaces</vt:lpstr>
      <vt:lpstr>'Lighting Assumptions 90.1-2016'!TradableSurfaces</vt:lpstr>
      <vt:lpstr>TradableSurfaces</vt:lpstr>
      <vt:lpstr>'4 - Shading and Fenestration'!UfactorMethod</vt:lpstr>
      <vt:lpstr>'HVAC Lookup 90.1-2007'!UnitaryCooling</vt:lpstr>
      <vt:lpstr>'HVAC Lookup 90.1-2010'!UnitaryCooling</vt:lpstr>
      <vt:lpstr>'HVAC Lookup 90.1-2013'!UnitaryCooling</vt:lpstr>
      <vt:lpstr>Instructions!UnitaryCooling</vt:lpstr>
      <vt:lpstr>'Revision Log'!UnitaryCooling</vt:lpstr>
      <vt:lpstr>UnitaryCooling</vt:lpstr>
      <vt:lpstr>'HVAC Lookup 90.1-2007'!UnitaryHeating</vt:lpstr>
      <vt:lpstr>'HVAC Lookup 90.1-2010'!UnitaryHeating</vt:lpstr>
      <vt:lpstr>'HVAC Lookup 90.1-2013'!UnitaryHeating</vt:lpstr>
      <vt:lpstr>Instructions!UnitaryHeating</vt:lpstr>
      <vt:lpstr>'Revision Log'!UnitaryHeating</vt:lpstr>
      <vt:lpstr>UnitaryHeating</vt:lpstr>
      <vt:lpstr>'HVAC Lookup 90.1-2007'!UnitaryHeatingSize</vt:lpstr>
      <vt:lpstr>'HVAC Lookup 90.1-2010'!UnitaryHeatingSize</vt:lpstr>
      <vt:lpstr>'HVAC Lookup 90.1-2013'!UnitaryHeatingSize</vt:lpstr>
      <vt:lpstr>Instructions!UnitaryHeatingSize</vt:lpstr>
      <vt:lpstr>'Revision Log'!UnitaryHeatingSize</vt:lpstr>
      <vt:lpstr>UnitaryHeatingSize</vt:lpstr>
      <vt:lpstr>'HVAC Lookup 90.1-2007'!Units</vt:lpstr>
      <vt:lpstr>'HVAC Lookup 90.1-2010'!Units</vt:lpstr>
      <vt:lpstr>'HVAC Lookup 90.1-2013'!Units</vt:lpstr>
      <vt:lpstr>Instructions!Units</vt:lpstr>
      <vt:lpstr>'Revision Log'!Units</vt:lpstr>
      <vt:lpstr>Units</vt:lpstr>
      <vt:lpstr>'Detailed Measures'!UtilityRateStructure</vt:lpstr>
      <vt:lpstr>Instructions!UtilityRateStructure</vt:lpstr>
      <vt:lpstr>UtilityRateStructure</vt:lpstr>
      <vt:lpstr>VertGlazeDescs</vt:lpstr>
      <vt:lpstr>WSHVAC_Base_System</vt:lpstr>
      <vt:lpstr>WSHVAC_Proposed_System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dc:creator>
  <cp:lastModifiedBy>Mikaela Kieffer</cp:lastModifiedBy>
  <cp:lastPrinted>2019-09-13T06:58:01Z</cp:lastPrinted>
  <dcterms:created xsi:type="dcterms:W3CDTF">2012-03-14T12:57:25Z</dcterms:created>
  <dcterms:modified xsi:type="dcterms:W3CDTF">2023-07-24T20:20:21Z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0x01010025A613617A7C5B46826CF6D217F037D7</vt:lpwstr>
  </property>
</Properties>
</file>